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Peric\Downloads\"/>
    </mc:Choice>
  </mc:AlternateContent>
  <bookViews>
    <workbookView xWindow="-885" yWindow="600" windowWidth="18195" windowHeight="11340" activeTab="4"/>
  </bookViews>
  <sheets>
    <sheet name="Рачун финансирања" sheetId="16" r:id="rId1"/>
    <sheet name="Приџ,прим vs Расх,изд" sheetId="1" state="hidden" r:id="rId2"/>
    <sheet name="Оптшти део - (6)" sheetId="3" r:id="rId3"/>
    <sheet name="Капитални расходи" sheetId="4" r:id="rId4"/>
    <sheet name="По основ. нам." sheetId="5" r:id="rId5"/>
    <sheet name="Програмска" sheetId="7" r:id="rId6"/>
    <sheet name="Расх по функц. " sheetId="6" r:id="rId7"/>
    <sheet name="ПО КОРИСНИЦИМА" sheetId="8" r:id="rId8"/>
    <sheet name="Klasifikacije" sheetId="17" r:id="rId9"/>
  </sheets>
  <definedNames>
    <definedName name="_xlnm._FilterDatabase" localSheetId="8" hidden="1">Klasifikacije!$L$2:$M$4732</definedName>
    <definedName name="ljkl">'Расх по функц. '!$G$142</definedName>
    <definedName name="_xlnm.Print_Area" localSheetId="7">'ПО КОРИСНИЦИМА'!$A$1:$L$18356</definedName>
    <definedName name="Ukupno_funkcionalna">'Расх по функц. '!$G$142</definedName>
    <definedName name="Ukupno_izdaci">'По основ. нам.'!$H$88</definedName>
  </definedNames>
  <calcPr calcId="152511"/>
</workbook>
</file>

<file path=xl/calcChain.xml><?xml version="1.0" encoding="utf-8"?>
<calcChain xmlns="http://schemas.openxmlformats.org/spreadsheetml/2006/main">
  <c r="I59" i="16" l="1"/>
  <c r="I30" i="16"/>
  <c r="I29" i="16"/>
  <c r="I16" i="16"/>
  <c r="F15" i="4"/>
  <c r="F24" i="4"/>
  <c r="F33" i="4"/>
  <c r="F34" i="4"/>
  <c r="F35" i="4"/>
  <c r="F36" i="4"/>
  <c r="F51" i="4"/>
  <c r="F52" i="4"/>
  <c r="F60" i="4"/>
  <c r="F61" i="4"/>
  <c r="F69" i="4"/>
  <c r="F71" i="4"/>
  <c r="F72" i="4"/>
  <c r="F78" i="4"/>
  <c r="F81" i="4"/>
  <c r="F90" i="4"/>
  <c r="F96" i="4"/>
  <c r="F107" i="4"/>
  <c r="F108" i="4"/>
  <c r="F114" i="4"/>
  <c r="F117" i="4"/>
  <c r="F123" i="4"/>
  <c r="F132" i="4"/>
  <c r="F142" i="4"/>
  <c r="F199" i="4"/>
  <c r="F205" i="4"/>
  <c r="F207" i="4"/>
  <c r="I49" i="3"/>
  <c r="I71" i="3"/>
  <c r="I89" i="3"/>
  <c r="F83" i="3"/>
  <c r="F10" i="3"/>
  <c r="I36" i="16" l="1"/>
  <c r="H83" i="3"/>
  <c r="G13" i="5"/>
  <c r="G12" i="5"/>
  <c r="G11" i="5"/>
  <c r="G10" i="5"/>
  <c r="G9" i="5"/>
  <c r="G19" i="5"/>
  <c r="G20" i="5"/>
  <c r="G21" i="5"/>
  <c r="G22" i="5"/>
  <c r="G23" i="5"/>
  <c r="G49" i="5"/>
  <c r="G48" i="5" s="1"/>
  <c r="G53" i="5"/>
  <c r="G66" i="5"/>
  <c r="G67" i="5"/>
  <c r="G70" i="5"/>
  <c r="G52" i="5"/>
  <c r="G47" i="5"/>
  <c r="D22" i="5"/>
  <c r="E22" i="5" s="1"/>
  <c r="D77" i="5"/>
  <c r="D76" i="5" s="1"/>
  <c r="D70" i="5"/>
  <c r="D67" i="5"/>
  <c r="D66" i="5"/>
  <c r="D55" i="5"/>
  <c r="D54" i="5"/>
  <c r="D53" i="5"/>
  <c r="D47" i="5"/>
  <c r="D52" i="5"/>
  <c r="D51" i="5"/>
  <c r="D50" i="5" s="1"/>
  <c r="D49" i="5"/>
  <c r="D48" i="5" s="1"/>
  <c r="D45" i="5"/>
  <c r="D44" i="5"/>
  <c r="D36" i="5"/>
  <c r="D35" i="5" s="1"/>
  <c r="D23" i="5"/>
  <c r="E23" i="5" s="1"/>
  <c r="D21" i="5"/>
  <c r="D20" i="5"/>
  <c r="D19" i="5"/>
  <c r="D18" i="5"/>
  <c r="D14" i="5"/>
  <c r="D13" i="5"/>
  <c r="D12" i="5"/>
  <c r="D11" i="5"/>
  <c r="D10" i="5"/>
  <c r="D9" i="5"/>
  <c r="C9" i="5"/>
  <c r="E9" i="5" s="1"/>
  <c r="J253" i="7"/>
  <c r="J254" i="7"/>
  <c r="J256" i="7"/>
  <c r="J257" i="7"/>
  <c r="J258" i="7"/>
  <c r="F182" i="7"/>
  <c r="F186" i="7"/>
  <c r="F208" i="7"/>
  <c r="F252" i="7"/>
  <c r="F257" i="7"/>
  <c r="F355" i="7"/>
  <c r="E352" i="7"/>
  <c r="F352" i="7" s="1"/>
  <c r="E205" i="7"/>
  <c r="L9041" i="8"/>
  <c r="E58" i="7"/>
  <c r="E53" i="7"/>
  <c r="E50" i="7"/>
  <c r="E43" i="7"/>
  <c r="L1872" i="8"/>
  <c r="L1874" i="8" s="1"/>
  <c r="H522" i="7" s="1"/>
  <c r="L1856" i="8"/>
  <c r="D119" i="6"/>
  <c r="I5283" i="8"/>
  <c r="D8" i="5" l="1"/>
  <c r="D65" i="5"/>
  <c r="D64" i="5" s="1"/>
  <c r="D17" i="5"/>
  <c r="G8" i="5"/>
  <c r="G65" i="5"/>
  <c r="G64" i="5" s="1"/>
  <c r="G17" i="5"/>
  <c r="H90" i="3"/>
  <c r="H91" i="3"/>
  <c r="H86" i="3"/>
  <c r="H64" i="3"/>
  <c r="F79" i="3"/>
  <c r="F73" i="3"/>
  <c r="F64" i="3"/>
  <c r="F52" i="3"/>
  <c r="H47" i="3"/>
  <c r="F47" i="3"/>
  <c r="F45" i="3"/>
  <c r="F42" i="3"/>
  <c r="F33" i="3"/>
  <c r="F23" i="3"/>
  <c r="L18021" i="8"/>
  <c r="L18199" i="8" s="1"/>
  <c r="L14653" i="8"/>
  <c r="L14634" i="8"/>
  <c r="L14379" i="8"/>
  <c r="L14361" i="8"/>
  <c r="L11146" i="8"/>
  <c r="L11163" i="8" s="1"/>
  <c r="L11164" i="8" s="1"/>
  <c r="L11479" i="8" s="1"/>
  <c r="L11498" i="8" s="1"/>
  <c r="L11145" i="8"/>
  <c r="L7530" i="8"/>
  <c r="L7547" i="8" s="1"/>
  <c r="L7548" i="8" s="1"/>
  <c r="L7566" i="8" s="1"/>
  <c r="L7567" i="8" s="1"/>
  <c r="L7585" i="8" s="1"/>
  <c r="L7529" i="8"/>
  <c r="L16276" i="8"/>
  <c r="L16266" i="8"/>
  <c r="H58" i="7" s="1"/>
  <c r="L14752" i="8"/>
  <c r="L14750" i="8"/>
  <c r="L11969" i="8"/>
  <c r="L11982" i="8" s="1"/>
  <c r="L11987" i="8" s="1"/>
  <c r="L7014" i="8"/>
  <c r="L6995" i="8"/>
  <c r="G40" i="6" s="1"/>
  <c r="G34" i="6" s="1"/>
  <c r="L6976" i="8"/>
  <c r="L6958" i="8"/>
  <c r="L9592" i="8"/>
  <c r="L9140" i="8"/>
  <c r="L9157" i="8" s="1"/>
  <c r="H134" i="7" s="1"/>
  <c r="L9046" i="8"/>
  <c r="L8959" i="8"/>
  <c r="L8958" i="8"/>
  <c r="L8942" i="8"/>
  <c r="I18092" i="8"/>
  <c r="I18110" i="8" s="1"/>
  <c r="I18126" i="8" s="1"/>
  <c r="I18129" i="8" s="1"/>
  <c r="I18145" i="8" s="1"/>
  <c r="I18148" i="8" s="1"/>
  <c r="I18164" i="8" s="1"/>
  <c r="I18167" i="8" s="1"/>
  <c r="I16276" i="8"/>
  <c r="I16278" i="8" s="1"/>
  <c r="I16294" i="8" s="1"/>
  <c r="I16260" i="8"/>
  <c r="I16177" i="8"/>
  <c r="I16179" i="8" s="1"/>
  <c r="I16195" i="8" s="1"/>
  <c r="E57" i="7" s="1"/>
  <c r="I16161" i="8"/>
  <c r="I15880" i="8"/>
  <c r="I15882" i="8" s="1"/>
  <c r="I15898" i="8" s="1"/>
  <c r="E54" i="7" s="1"/>
  <c r="I15864" i="8"/>
  <c r="I15781" i="8"/>
  <c r="I15783" i="8" s="1"/>
  <c r="I15799" i="8" s="1"/>
  <c r="I15765" i="8"/>
  <c r="I15682" i="8"/>
  <c r="I15684" i="8" s="1"/>
  <c r="I15700" i="8" s="1"/>
  <c r="I15666" i="8"/>
  <c r="E52" i="7" s="1"/>
  <c r="I15583" i="8"/>
  <c r="I15585" i="8" s="1"/>
  <c r="I15601" i="8" s="1"/>
  <c r="E51" i="7" s="1"/>
  <c r="I15567" i="8"/>
  <c r="I15346" i="8"/>
  <c r="I15364" i="8" s="1"/>
  <c r="E47" i="7" s="1"/>
  <c r="I15330" i="8"/>
  <c r="I14934" i="8"/>
  <c r="I14950" i="8" s="1"/>
  <c r="I14952" i="8" s="1"/>
  <c r="I14835" i="8"/>
  <c r="D83" i="6" s="1"/>
  <c r="H14736" i="8"/>
  <c r="I14736" i="8"/>
  <c r="I14751" i="8"/>
  <c r="I16450" i="8" s="1"/>
  <c r="I16475" i="8" s="1"/>
  <c r="I14345" i="8"/>
  <c r="I14361" i="8" s="1"/>
  <c r="I14363" i="8" s="1"/>
  <c r="I14379" i="8" s="1"/>
  <c r="I11966" i="8"/>
  <c r="I11982" i="8" s="1"/>
  <c r="I11984" i="8" s="1"/>
  <c r="I12000" i="8" s="1"/>
  <c r="I12102" i="8" s="1"/>
  <c r="I12118" i="8" s="1"/>
  <c r="I12121" i="8" s="1"/>
  <c r="I11130" i="8"/>
  <c r="I11146" i="8" s="1"/>
  <c r="I11148" i="8" s="1"/>
  <c r="I10910" i="8"/>
  <c r="I10926" i="8" s="1"/>
  <c r="I10928" i="8" s="1"/>
  <c r="I10712" i="8"/>
  <c r="D92" i="6" s="1"/>
  <c r="I18108" i="8" l="1"/>
  <c r="D115" i="6"/>
  <c r="I12137" i="8"/>
  <c r="E415" i="7" s="1"/>
  <c r="D82" i="6"/>
  <c r="I14968" i="8"/>
  <c r="E39" i="7" s="1"/>
  <c r="I14618" i="8"/>
  <c r="I14634" i="8" s="1"/>
  <c r="I14637" i="8" s="1"/>
  <c r="E251" i="7"/>
  <c r="E250" i="7" s="1"/>
  <c r="I10944" i="8"/>
  <c r="E525" i="7"/>
  <c r="D37" i="6"/>
  <c r="I18183" i="8"/>
  <c r="I10730" i="8"/>
  <c r="I14769" i="8"/>
  <c r="I15348" i="8"/>
  <c r="D94" i="6" s="1"/>
  <c r="D114" i="6"/>
  <c r="D113" i="6" s="1"/>
  <c r="L8960" i="8"/>
  <c r="H132" i="7" s="1"/>
  <c r="L9560" i="8"/>
  <c r="L9059" i="8"/>
  <c r="L9158" i="8"/>
  <c r="G70" i="6"/>
  <c r="G41" i="6" s="1"/>
  <c r="I10728" i="8"/>
  <c r="I14752" i="8"/>
  <c r="D91" i="6" s="1"/>
  <c r="I14754" i="8"/>
  <c r="I14770" i="8" s="1"/>
  <c r="E37" i="7" s="1"/>
  <c r="I14851" i="8"/>
  <c r="L9572" i="8"/>
  <c r="G31" i="6"/>
  <c r="L7586" i="8"/>
  <c r="H523" i="7" s="1"/>
  <c r="L11499" i="8"/>
  <c r="L16284" i="8"/>
  <c r="G122" i="6"/>
  <c r="G120" i="6" s="1"/>
  <c r="F51" i="3"/>
  <c r="L12000" i="8"/>
  <c r="G115" i="6"/>
  <c r="L14768" i="8"/>
  <c r="H37" i="7"/>
  <c r="H36" i="7" s="1"/>
  <c r="H251" i="7"/>
  <c r="H250" i="7" s="1"/>
  <c r="F44" i="3"/>
  <c r="H44" i="3"/>
  <c r="F9" i="3"/>
  <c r="I11480" i="8"/>
  <c r="I11164" i="8"/>
  <c r="I11464" i="8" s="1"/>
  <c r="I9124" i="8"/>
  <c r="I9140" i="8" s="1"/>
  <c r="I9025" i="8"/>
  <c r="I9041" i="8" s="1"/>
  <c r="I8926" i="8"/>
  <c r="I8944" i="8" s="1"/>
  <c r="I8588" i="8"/>
  <c r="I8604" i="8" s="1"/>
  <c r="I8606" i="8" s="1"/>
  <c r="I7893" i="8"/>
  <c r="I7909" i="8" s="1"/>
  <c r="I7514" i="8"/>
  <c r="I7530" i="8" s="1"/>
  <c r="I6942" i="8"/>
  <c r="I6958" i="8" s="1"/>
  <c r="I6127" i="8"/>
  <c r="I6143" i="8" s="1"/>
  <c r="I6145" i="8" s="1"/>
  <c r="I5984" i="8"/>
  <c r="I6000" i="8" s="1"/>
  <c r="I6002" i="8" s="1"/>
  <c r="J5852" i="8"/>
  <c r="J5853" i="8"/>
  <c r="J5854" i="8"/>
  <c r="J5855" i="8"/>
  <c r="J5856" i="8"/>
  <c r="J5857" i="8"/>
  <c r="J5858" i="8"/>
  <c r="J5859" i="8"/>
  <c r="J5860" i="8"/>
  <c r="J5861" i="8"/>
  <c r="J5862" i="8"/>
  <c r="J5863" i="8"/>
  <c r="J5864" i="8"/>
  <c r="J5865" i="8"/>
  <c r="J5866" i="8"/>
  <c r="J5867" i="8"/>
  <c r="J5868" i="8"/>
  <c r="J5869" i="8"/>
  <c r="J5870" i="8"/>
  <c r="J5871" i="8"/>
  <c r="J5872" i="8"/>
  <c r="J5873" i="8"/>
  <c r="J5874" i="8"/>
  <c r="J5875" i="8"/>
  <c r="J5876" i="8"/>
  <c r="J5877" i="8"/>
  <c r="J5878" i="8"/>
  <c r="J5879" i="8"/>
  <c r="J5880" i="8"/>
  <c r="J5881" i="8"/>
  <c r="J5882" i="8"/>
  <c r="J5883" i="8"/>
  <c r="J5884" i="8"/>
  <c r="J5885" i="8"/>
  <c r="J5886" i="8"/>
  <c r="J5887" i="8"/>
  <c r="J5888" i="8"/>
  <c r="J5889" i="8"/>
  <c r="J5890" i="8"/>
  <c r="J5891" i="8"/>
  <c r="J5892" i="8"/>
  <c r="J5893" i="8"/>
  <c r="J5894" i="8"/>
  <c r="J5895" i="8"/>
  <c r="J5896" i="8"/>
  <c r="J5897" i="8"/>
  <c r="J5898" i="8"/>
  <c r="J5899" i="8"/>
  <c r="J5900" i="8"/>
  <c r="J5901" i="8"/>
  <c r="J5902" i="8"/>
  <c r="J5903" i="8"/>
  <c r="J5904" i="8"/>
  <c r="J5905" i="8"/>
  <c r="J5906" i="8"/>
  <c r="J5907" i="8"/>
  <c r="J5908" i="8"/>
  <c r="J5909" i="8"/>
  <c r="J5910" i="8"/>
  <c r="J5911" i="8"/>
  <c r="J5912" i="8"/>
  <c r="J5913" i="8"/>
  <c r="J5914" i="8"/>
  <c r="J5915" i="8"/>
  <c r="J5916" i="8"/>
  <c r="J5917" i="8"/>
  <c r="J5922" i="8"/>
  <c r="I5600" i="8"/>
  <c r="I5616" i="8" s="1"/>
  <c r="I5299" i="8"/>
  <c r="I5301" i="8" s="1"/>
  <c r="I5064" i="8"/>
  <c r="I5080" i="8" s="1"/>
  <c r="L4951" i="8"/>
  <c r="L4959" i="8" s="1"/>
  <c r="L4941" i="8"/>
  <c r="I4935" i="8"/>
  <c r="I4836" i="8"/>
  <c r="I4852" i="8" s="1"/>
  <c r="I4737" i="8"/>
  <c r="I4753" i="8" s="1"/>
  <c r="I4654" i="8"/>
  <c r="I4656" i="8" s="1"/>
  <c r="I4672" i="8" s="1"/>
  <c r="I4638" i="8"/>
  <c r="E351" i="7" s="1"/>
  <c r="L4437" i="8"/>
  <c r="L4439" i="8" s="1"/>
  <c r="I4413" i="8"/>
  <c r="I4415" i="8" s="1"/>
  <c r="I4397" i="8"/>
  <c r="E348" i="7" s="1"/>
  <c r="L4312" i="8"/>
  <c r="L4313" i="8" s="1"/>
  <c r="I4313" i="8"/>
  <c r="I4315" i="8" s="1"/>
  <c r="I4297" i="8"/>
  <c r="I4188" i="8"/>
  <c r="I4086" i="8"/>
  <c r="E207" i="7" s="1"/>
  <c r="I4068" i="8"/>
  <c r="J3988" i="8"/>
  <c r="J3991" i="8"/>
  <c r="J3992" i="8"/>
  <c r="J3993" i="8"/>
  <c r="J3994" i="8"/>
  <c r="J3995" i="8"/>
  <c r="J3996" i="8"/>
  <c r="J3997" i="8"/>
  <c r="J3998" i="8"/>
  <c r="J3999" i="8"/>
  <c r="J4000" i="8"/>
  <c r="J4001" i="8"/>
  <c r="J4002" i="8"/>
  <c r="J4003" i="8"/>
  <c r="J4004" i="8"/>
  <c r="J4005" i="8"/>
  <c r="J4006" i="8"/>
  <c r="J4007" i="8"/>
  <c r="J4008" i="8"/>
  <c r="J4009" i="8"/>
  <c r="J4010" i="8"/>
  <c r="J4011" i="8"/>
  <c r="J4012" i="8"/>
  <c r="J4013" i="8"/>
  <c r="J4014" i="8"/>
  <c r="J4015" i="8"/>
  <c r="J4016" i="8"/>
  <c r="J4017" i="8"/>
  <c r="J4018" i="8"/>
  <c r="J4019" i="8"/>
  <c r="J4020" i="8"/>
  <c r="J4021" i="8"/>
  <c r="J4022" i="8"/>
  <c r="J4023" i="8"/>
  <c r="J4024" i="8"/>
  <c r="J4025" i="8"/>
  <c r="J4026" i="8"/>
  <c r="J4027" i="8"/>
  <c r="J4028" i="8"/>
  <c r="J4029" i="8"/>
  <c r="J4030" i="8"/>
  <c r="J4031" i="8"/>
  <c r="J4032" i="8"/>
  <c r="J4033" i="8"/>
  <c r="J4034" i="8"/>
  <c r="J4035" i="8"/>
  <c r="J4036" i="8"/>
  <c r="I3953" i="8"/>
  <c r="I3969" i="8" s="1"/>
  <c r="I3770" i="8"/>
  <c r="I3772" i="8" s="1"/>
  <c r="I3754" i="8"/>
  <c r="I3556" i="8"/>
  <c r="I3572" i="8" s="1"/>
  <c r="I3574" i="8" s="1"/>
  <c r="I3457" i="8"/>
  <c r="I3473" i="8" s="1"/>
  <c r="I3344" i="8"/>
  <c r="I3360" i="8" s="1"/>
  <c r="I3362" i="8" s="1"/>
  <c r="I3097" i="8"/>
  <c r="I3113" i="8" s="1"/>
  <c r="L3113" i="8"/>
  <c r="L3111" i="8"/>
  <c r="I2426" i="8"/>
  <c r="I2440" i="8" s="1"/>
  <c r="L2416" i="8"/>
  <c r="L2426" i="8" s="1"/>
  <c r="H2293" i="8"/>
  <c r="I1939" i="8"/>
  <c r="D30" i="6" s="1"/>
  <c r="L1954" i="8"/>
  <c r="I1840" i="8"/>
  <c r="I1856" i="8" s="1"/>
  <c r="I1858" i="8" s="1"/>
  <c r="I531" i="8"/>
  <c r="J531" i="8" s="1"/>
  <c r="I431" i="8"/>
  <c r="I447" i="8" s="1"/>
  <c r="I449" i="8" s="1"/>
  <c r="I73" i="8"/>
  <c r="D18" i="6" s="1"/>
  <c r="J309" i="8"/>
  <c r="J310" i="8"/>
  <c r="J311" i="8"/>
  <c r="J312" i="8"/>
  <c r="J313" i="8"/>
  <c r="J314" i="8"/>
  <c r="J315" i="8"/>
  <c r="J316" i="8"/>
  <c r="J317" i="8"/>
  <c r="J318" i="8"/>
  <c r="J319" i="8"/>
  <c r="J320" i="8"/>
  <c r="J321" i="8"/>
  <c r="J322" i="8"/>
  <c r="J323" i="8"/>
  <c r="J328" i="8"/>
  <c r="J329" i="8"/>
  <c r="J330" i="8"/>
  <c r="J331" i="8"/>
  <c r="J332" i="8"/>
  <c r="J333" i="8"/>
  <c r="J334" i="8"/>
  <c r="J335" i="8"/>
  <c r="J336" i="8"/>
  <c r="J337" i="8"/>
  <c r="J338" i="8"/>
  <c r="J339" i="8"/>
  <c r="J340" i="8"/>
  <c r="J341" i="8"/>
  <c r="J342" i="8"/>
  <c r="J347" i="8"/>
  <c r="J348" i="8"/>
  <c r="J349" i="8"/>
  <c r="J350" i="8"/>
  <c r="J351" i="8"/>
  <c r="J352" i="8"/>
  <c r="J353" i="8"/>
  <c r="J354" i="8"/>
  <c r="J355" i="8"/>
  <c r="J356" i="8"/>
  <c r="J357" i="8"/>
  <c r="J358" i="8"/>
  <c r="J359" i="8"/>
  <c r="J360" i="8"/>
  <c r="J361" i="8"/>
  <c r="J363" i="8"/>
  <c r="J364" i="8"/>
  <c r="J369" i="8"/>
  <c r="J370" i="8"/>
  <c r="J371" i="8"/>
  <c r="J372" i="8"/>
  <c r="J373" i="8"/>
  <c r="J374" i="8"/>
  <c r="J375" i="8"/>
  <c r="J376" i="8"/>
  <c r="J377" i="8"/>
  <c r="J378" i="8"/>
  <c r="J379" i="8"/>
  <c r="J380" i="8"/>
  <c r="J381" i="8"/>
  <c r="J382" i="8"/>
  <c r="J383" i="8"/>
  <c r="J384" i="8"/>
  <c r="J385" i="8"/>
  <c r="J386" i="8"/>
  <c r="J387" i="8"/>
  <c r="J388" i="8"/>
  <c r="J389" i="8"/>
  <c r="J390" i="8"/>
  <c r="J391"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1" i="8"/>
  <c r="J432" i="8"/>
  <c r="J433" i="8"/>
  <c r="J434" i="8"/>
  <c r="J435" i="8"/>
  <c r="J436" i="8"/>
  <c r="J437" i="8"/>
  <c r="J438" i="8"/>
  <c r="J439" i="8"/>
  <c r="J440" i="8"/>
  <c r="J441" i="8"/>
  <c r="J442" i="8"/>
  <c r="J443" i="8"/>
  <c r="J444" i="8"/>
  <c r="J445" i="8"/>
  <c r="J446" i="8"/>
  <c r="J450" i="8"/>
  <c r="J451" i="8"/>
  <c r="J452" i="8"/>
  <c r="J453" i="8"/>
  <c r="J454" i="8"/>
  <c r="J455" i="8"/>
  <c r="J456" i="8"/>
  <c r="J457" i="8"/>
  <c r="J458" i="8"/>
  <c r="J459" i="8"/>
  <c r="J460" i="8"/>
  <c r="J461" i="8"/>
  <c r="J462" i="8"/>
  <c r="J463" i="8"/>
  <c r="J464" i="8"/>
  <c r="J466"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2" i="8"/>
  <c r="J533" i="8"/>
  <c r="J534" i="8"/>
  <c r="J535" i="8"/>
  <c r="J536" i="8"/>
  <c r="J537" i="8"/>
  <c r="J538" i="8"/>
  <c r="J539" i="8"/>
  <c r="J540" i="8"/>
  <c r="J541" i="8"/>
  <c r="J542" i="8"/>
  <c r="J543" i="8"/>
  <c r="J544" i="8"/>
  <c r="J545" i="8"/>
  <c r="J546" i="8"/>
  <c r="J550" i="8"/>
  <c r="J551" i="8"/>
  <c r="J552" i="8"/>
  <c r="J553" i="8"/>
  <c r="J554" i="8"/>
  <c r="J555" i="8"/>
  <c r="J556" i="8"/>
  <c r="J557" i="8"/>
  <c r="J558" i="8"/>
  <c r="J559" i="8"/>
  <c r="J560" i="8"/>
  <c r="J561" i="8"/>
  <c r="J562" i="8"/>
  <c r="J563" i="8"/>
  <c r="J564"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3" i="8"/>
  <c r="J684" i="8"/>
  <c r="J685" i="8"/>
  <c r="J686" i="8"/>
  <c r="J687" i="8"/>
  <c r="J688" i="8"/>
  <c r="J689" i="8"/>
  <c r="J690" i="8"/>
  <c r="J691" i="8"/>
  <c r="J692" i="8"/>
  <c r="J693" i="8"/>
  <c r="J694" i="8"/>
  <c r="J695" i="8"/>
  <c r="J696" i="8"/>
  <c r="J697" i="8"/>
  <c r="J699" i="8"/>
  <c r="J702" i="8"/>
  <c r="J703" i="8"/>
  <c r="J704" i="8"/>
  <c r="J705" i="8"/>
  <c r="J706" i="8"/>
  <c r="J707" i="8"/>
  <c r="J708" i="8"/>
  <c r="J709" i="8"/>
  <c r="J710" i="8"/>
  <c r="J711" i="8"/>
  <c r="J712" i="8"/>
  <c r="J713" i="8"/>
  <c r="J714" i="8"/>
  <c r="J715" i="8"/>
  <c r="J716" i="8"/>
  <c r="J718" i="8"/>
  <c r="J721" i="8"/>
  <c r="J722" i="8"/>
  <c r="J723" i="8"/>
  <c r="J724" i="8"/>
  <c r="J725" i="8"/>
  <c r="J726" i="8"/>
  <c r="J727" i="8"/>
  <c r="J728" i="8"/>
  <c r="J729" i="8"/>
  <c r="J730" i="8"/>
  <c r="J731" i="8"/>
  <c r="J732" i="8"/>
  <c r="J733" i="8"/>
  <c r="J734" i="8"/>
  <c r="J735"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5" i="8"/>
  <c r="J806" i="8"/>
  <c r="J807" i="8"/>
  <c r="J808" i="8"/>
  <c r="J809" i="8"/>
  <c r="J810" i="8"/>
  <c r="J811" i="8"/>
  <c r="J812" i="8"/>
  <c r="J813" i="8"/>
  <c r="J814" i="8"/>
  <c r="J815" i="8"/>
  <c r="J816" i="8"/>
  <c r="J817" i="8"/>
  <c r="J818" i="8"/>
  <c r="J819" i="8"/>
  <c r="J821" i="8"/>
  <c r="J823" i="8"/>
  <c r="J824" i="8"/>
  <c r="J825" i="8"/>
  <c r="J826" i="8"/>
  <c r="J827" i="8"/>
  <c r="J828" i="8"/>
  <c r="J829" i="8"/>
  <c r="J830" i="8"/>
  <c r="J831" i="8"/>
  <c r="J832" i="8"/>
  <c r="J833" i="8"/>
  <c r="J834" i="8"/>
  <c r="J835" i="8"/>
  <c r="J836" i="8"/>
  <c r="J837" i="8"/>
  <c r="J839" i="8"/>
  <c r="J840" i="8"/>
  <c r="J842" i="8"/>
  <c r="J843" i="8"/>
  <c r="J844" i="8"/>
  <c r="J845" i="8"/>
  <c r="J846" i="8"/>
  <c r="J847" i="8"/>
  <c r="J848" i="8"/>
  <c r="J849" i="8"/>
  <c r="J850" i="8"/>
  <c r="J851" i="8"/>
  <c r="J852" i="8"/>
  <c r="J853" i="8"/>
  <c r="J854" i="8"/>
  <c r="J855" i="8"/>
  <c r="J856" i="8"/>
  <c r="J858" i="8"/>
  <c r="J859" i="8"/>
  <c r="J861" i="8"/>
  <c r="J862" i="8"/>
  <c r="J863" i="8"/>
  <c r="J864" i="8"/>
  <c r="J865" i="8"/>
  <c r="J866" i="8"/>
  <c r="J867" i="8"/>
  <c r="J868" i="8"/>
  <c r="J869" i="8"/>
  <c r="J870" i="8"/>
  <c r="J871" i="8"/>
  <c r="J872" i="8"/>
  <c r="J873" i="8"/>
  <c r="J874" i="8"/>
  <c r="J875" i="8"/>
  <c r="J877" i="8"/>
  <c r="J878" i="8"/>
  <c r="J880" i="8"/>
  <c r="J881" i="8"/>
  <c r="J882" i="8"/>
  <c r="J883" i="8"/>
  <c r="J884" i="8"/>
  <c r="J885" i="8"/>
  <c r="J886" i="8"/>
  <c r="J887" i="8"/>
  <c r="J888" i="8"/>
  <c r="J889" i="8"/>
  <c r="J890" i="8"/>
  <c r="J891" i="8"/>
  <c r="J892" i="8"/>
  <c r="J893" i="8"/>
  <c r="J894" i="8"/>
  <c r="J896" i="8"/>
  <c r="J897"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5" i="8"/>
  <c r="J1826" i="8"/>
  <c r="J1827" i="8"/>
  <c r="J1828" i="8"/>
  <c r="J1829" i="8"/>
  <c r="J1830" i="8"/>
  <c r="J1831" i="8"/>
  <c r="J1833" i="8"/>
  <c r="J1834" i="8"/>
  <c r="J1835" i="8"/>
  <c r="J1836" i="8"/>
  <c r="J1837" i="8"/>
  <c r="J1838" i="8"/>
  <c r="J1840" i="8"/>
  <c r="J1841" i="8"/>
  <c r="J1842" i="8"/>
  <c r="J1843" i="8"/>
  <c r="J1844" i="8"/>
  <c r="J1845" i="8"/>
  <c r="J1846" i="8"/>
  <c r="J1847" i="8"/>
  <c r="J1848" i="8"/>
  <c r="J1849" i="8"/>
  <c r="J1850" i="8"/>
  <c r="J1851" i="8"/>
  <c r="J1852" i="8"/>
  <c r="J1855" i="8"/>
  <c r="J1859" i="8"/>
  <c r="J1860" i="8"/>
  <c r="J1861" i="8"/>
  <c r="J1862" i="8"/>
  <c r="J1863" i="8"/>
  <c r="J1864" i="8"/>
  <c r="J1865" i="8"/>
  <c r="J1866" i="8"/>
  <c r="J1867" i="8"/>
  <c r="J1868" i="8"/>
  <c r="J1869" i="8"/>
  <c r="J1870" i="8"/>
  <c r="J1875" i="8"/>
  <c r="J1878" i="8"/>
  <c r="J1879" i="8"/>
  <c r="J1880" i="8"/>
  <c r="J1881" i="8"/>
  <c r="J1882" i="8"/>
  <c r="J1883" i="8"/>
  <c r="J1884" i="8"/>
  <c r="J1885" i="8"/>
  <c r="J1886" i="8"/>
  <c r="J1887" i="8"/>
  <c r="J1888" i="8"/>
  <c r="J1889"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40" i="8"/>
  <c r="J1941" i="8"/>
  <c r="J1942" i="8"/>
  <c r="J1943" i="8"/>
  <c r="J1944" i="8"/>
  <c r="J1945" i="8"/>
  <c r="J1946" i="8"/>
  <c r="J1947" i="8"/>
  <c r="J1948" i="8"/>
  <c r="J1949" i="8"/>
  <c r="J1950" i="8"/>
  <c r="J1951" i="8"/>
  <c r="J1952" i="8"/>
  <c r="J1953" i="8"/>
  <c r="J1958" i="8"/>
  <c r="J1959" i="8"/>
  <c r="J1960" i="8"/>
  <c r="J1961" i="8"/>
  <c r="J1962" i="8"/>
  <c r="J1963" i="8"/>
  <c r="J1964" i="8"/>
  <c r="J1965" i="8"/>
  <c r="J1966" i="8"/>
  <c r="J1967" i="8"/>
  <c r="J1968" i="8"/>
  <c r="J1969" i="8"/>
  <c r="J1970" i="8"/>
  <c r="J1971" i="8"/>
  <c r="J1974" i="8"/>
  <c r="J1975" i="8"/>
  <c r="J1977" i="8"/>
  <c r="J1978" i="8"/>
  <c r="J1979" i="8"/>
  <c r="J1980" i="8"/>
  <c r="J1981" i="8"/>
  <c r="J1982" i="8"/>
  <c r="J1983" i="8"/>
  <c r="J1984" i="8"/>
  <c r="J1985" i="8"/>
  <c r="J1986" i="8"/>
  <c r="J1987" i="8"/>
  <c r="J1988" i="8"/>
  <c r="J1989" i="8"/>
  <c r="J1990" i="8"/>
  <c r="J1991"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6" i="8"/>
  <c r="J2117" i="8"/>
  <c r="J2118" i="8"/>
  <c r="J2119" i="8"/>
  <c r="J2120" i="8"/>
  <c r="J2121" i="8"/>
  <c r="J2122" i="8"/>
  <c r="J2123" i="8"/>
  <c r="J2124" i="8"/>
  <c r="J2125" i="8"/>
  <c r="J2126" i="8"/>
  <c r="J2127" i="8"/>
  <c r="J2128" i="8"/>
  <c r="J2129" i="8"/>
  <c r="J2130" i="8"/>
  <c r="J2132" i="8"/>
  <c r="J2134" i="8"/>
  <c r="J2135" i="8"/>
  <c r="J2136" i="8"/>
  <c r="J2137" i="8"/>
  <c r="J2138" i="8"/>
  <c r="J2139" i="8"/>
  <c r="J2140" i="8"/>
  <c r="J2141" i="8"/>
  <c r="J2142" i="8"/>
  <c r="J2143" i="8"/>
  <c r="J2144" i="8"/>
  <c r="J2145" i="8"/>
  <c r="J2146" i="8"/>
  <c r="J2147" i="8"/>
  <c r="J2148" i="8"/>
  <c r="J2150" i="8"/>
  <c r="J2151" i="8"/>
  <c r="J2152" i="8"/>
  <c r="J2153" i="8"/>
  <c r="J2154" i="8"/>
  <c r="J2155" i="8"/>
  <c r="J2156" i="8"/>
  <c r="J2157" i="8"/>
  <c r="J2158" i="8"/>
  <c r="J2159" i="8"/>
  <c r="J2160" i="8"/>
  <c r="J2161" i="8"/>
  <c r="J2163" i="8"/>
  <c r="J2164" i="8"/>
  <c r="J2165" i="8"/>
  <c r="J2166" i="8"/>
  <c r="J2167" i="8"/>
  <c r="J2168" i="8"/>
  <c r="J2169" i="8"/>
  <c r="J2170" i="8"/>
  <c r="J2171" i="8"/>
  <c r="J2172" i="8"/>
  <c r="J2173" i="8"/>
  <c r="J2174" i="8"/>
  <c r="J2175" i="8"/>
  <c r="J2176" i="8"/>
  <c r="J2177" i="8"/>
  <c r="J2179" i="8"/>
  <c r="J2181" i="8"/>
  <c r="J2182" i="8"/>
  <c r="J2183" i="8"/>
  <c r="J2184" i="8"/>
  <c r="J2185" i="8"/>
  <c r="J2186" i="8"/>
  <c r="J2187" i="8"/>
  <c r="J2188" i="8"/>
  <c r="J2189" i="8"/>
  <c r="J2190" i="8"/>
  <c r="J2191" i="8"/>
  <c r="J2192" i="8"/>
  <c r="J2193" i="8"/>
  <c r="J2194" i="8"/>
  <c r="J2195" i="8"/>
  <c r="J2197" i="8"/>
  <c r="J2198" i="8"/>
  <c r="J2199" i="8"/>
  <c r="J2200" i="8"/>
  <c r="J2201" i="8"/>
  <c r="J2202" i="8"/>
  <c r="J2203" i="8"/>
  <c r="J2204" i="8"/>
  <c r="J2205" i="8"/>
  <c r="J2206" i="8"/>
  <c r="J2208" i="8"/>
  <c r="J2209" i="8"/>
  <c r="J2210" i="8"/>
  <c r="J2211" i="8"/>
  <c r="J2212" i="8"/>
  <c r="J2213" i="8"/>
  <c r="J2214" i="8"/>
  <c r="J2215" i="8"/>
  <c r="J2216" i="8"/>
  <c r="J2217" i="8"/>
  <c r="J2218" i="8"/>
  <c r="J2219" i="8"/>
  <c r="J2220" i="8"/>
  <c r="J2221" i="8"/>
  <c r="J2222" i="8"/>
  <c r="J2224" i="8"/>
  <c r="J2226" i="8"/>
  <c r="J2227" i="8"/>
  <c r="J2228" i="8"/>
  <c r="J2229" i="8"/>
  <c r="J2230" i="8"/>
  <c r="J2231" i="8"/>
  <c r="J2232" i="8"/>
  <c r="J2233" i="8"/>
  <c r="J2234" i="8"/>
  <c r="J2235" i="8"/>
  <c r="J2236" i="8"/>
  <c r="J2237" i="8"/>
  <c r="J2238" i="8"/>
  <c r="J2239" i="8"/>
  <c r="J2240" i="8"/>
  <c r="J2242" i="8"/>
  <c r="J2243" i="8"/>
  <c r="J2244" i="8"/>
  <c r="J2245" i="8"/>
  <c r="J2246" i="8"/>
  <c r="J2247" i="8"/>
  <c r="J2248" i="8"/>
  <c r="J2249" i="8"/>
  <c r="J2250" i="8"/>
  <c r="J2251" i="8"/>
  <c r="J2253" i="8"/>
  <c r="J2254" i="8"/>
  <c r="J2255" i="8"/>
  <c r="J2256" i="8"/>
  <c r="J2257" i="8"/>
  <c r="J2258" i="8"/>
  <c r="J2259" i="8"/>
  <c r="J2260" i="8"/>
  <c r="J2261" i="8"/>
  <c r="J2262" i="8"/>
  <c r="J2263" i="8"/>
  <c r="J2264" i="8"/>
  <c r="J2265" i="8"/>
  <c r="J2266" i="8"/>
  <c r="J2267" i="8"/>
  <c r="J2269" i="8"/>
  <c r="J2271" i="8"/>
  <c r="J2272" i="8"/>
  <c r="J2273" i="8"/>
  <c r="J2274" i="8"/>
  <c r="J2275" i="8"/>
  <c r="J2276" i="8"/>
  <c r="J2277" i="8"/>
  <c r="J2278" i="8"/>
  <c r="J2279" i="8"/>
  <c r="J2280" i="8"/>
  <c r="J2281" i="8"/>
  <c r="J2282" i="8"/>
  <c r="J2283" i="8"/>
  <c r="J2284" i="8"/>
  <c r="J2285" i="8"/>
  <c r="J2287" i="8"/>
  <c r="J2290" i="8"/>
  <c r="J2291" i="8"/>
  <c r="J2294" i="8"/>
  <c r="J2295" i="8"/>
  <c r="J2296" i="8"/>
  <c r="J2297" i="8"/>
  <c r="J2298" i="8"/>
  <c r="J2299" i="8"/>
  <c r="J2300" i="8"/>
  <c r="J2301" i="8"/>
  <c r="J2302" i="8"/>
  <c r="J2303" i="8"/>
  <c r="J2304" i="8"/>
  <c r="J2305" i="8"/>
  <c r="J2306" i="8"/>
  <c r="J2307" i="8"/>
  <c r="J2308" i="8"/>
  <c r="J2312" i="8"/>
  <c r="J2313" i="8"/>
  <c r="J2314" i="8"/>
  <c r="J2315" i="8"/>
  <c r="J2316" i="8"/>
  <c r="J2317" i="8"/>
  <c r="J2318" i="8"/>
  <c r="J2319" i="8"/>
  <c r="J2320" i="8"/>
  <c r="J2321" i="8"/>
  <c r="J2322" i="8"/>
  <c r="J2323" i="8"/>
  <c r="J2324" i="8"/>
  <c r="J2325" i="8"/>
  <c r="J2326" i="8"/>
  <c r="J2328" i="8"/>
  <c r="J2329" i="8"/>
  <c r="J2330" i="8"/>
  <c r="J2331" i="8"/>
  <c r="J2332" i="8"/>
  <c r="J2333" i="8"/>
  <c r="J2334" i="8"/>
  <c r="J2335" i="8"/>
  <c r="J2336" i="8"/>
  <c r="J2337" i="8"/>
  <c r="J2338" i="8"/>
  <c r="J2339" i="8"/>
  <c r="J2340" i="8"/>
  <c r="J2341" i="8"/>
  <c r="J2342" i="8"/>
  <c r="J2343" i="8"/>
  <c r="J2344" i="8"/>
  <c r="J2345" i="8"/>
  <c r="J2346"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17" i="8"/>
  <c r="J2418" i="8"/>
  <c r="J2419" i="8"/>
  <c r="J2420" i="8"/>
  <c r="J2421" i="8"/>
  <c r="J2423" i="8"/>
  <c r="J2424" i="8"/>
  <c r="J2425" i="8"/>
  <c r="J2435" i="8"/>
  <c r="J2436" i="8"/>
  <c r="J2437" i="8"/>
  <c r="J2438" i="8"/>
  <c r="J2439" i="8"/>
  <c r="J2441" i="8"/>
  <c r="J2442" i="8"/>
  <c r="J2443"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9" i="8"/>
  <c r="J3000" i="8"/>
  <c r="J3001" i="8"/>
  <c r="J3002" i="8"/>
  <c r="J3003" i="8"/>
  <c r="J3005" i="8"/>
  <c r="J3006" i="8"/>
  <c r="J3007" i="8"/>
  <c r="J3008" i="8"/>
  <c r="J3009" i="8"/>
  <c r="J3010" i="8"/>
  <c r="J3011" i="8"/>
  <c r="J3012" i="8"/>
  <c r="J3015" i="8"/>
  <c r="J3016" i="8"/>
  <c r="J3017" i="8"/>
  <c r="J3018"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97" i="8"/>
  <c r="J3098" i="8"/>
  <c r="J3099" i="8"/>
  <c r="J3100" i="8"/>
  <c r="J3101" i="8"/>
  <c r="J3102" i="8"/>
  <c r="J3103" i="8"/>
  <c r="J3104" i="8"/>
  <c r="J3105" i="8"/>
  <c r="J3106" i="8"/>
  <c r="J3107" i="8"/>
  <c r="J3108" i="8"/>
  <c r="J3109" i="8"/>
  <c r="J3110" i="8"/>
  <c r="J3112" i="8"/>
  <c r="J3116" i="8"/>
  <c r="J3117" i="8"/>
  <c r="J3118" i="8"/>
  <c r="J3119" i="8"/>
  <c r="J3120" i="8"/>
  <c r="J3121" i="8"/>
  <c r="J3122" i="8"/>
  <c r="J3123" i="8"/>
  <c r="J3124" i="8"/>
  <c r="J3125" i="8"/>
  <c r="J3126" i="8"/>
  <c r="J3127" i="8"/>
  <c r="J3128" i="8"/>
  <c r="J3130"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5" i="8"/>
  <c r="J3346" i="8"/>
  <c r="J3347" i="8"/>
  <c r="J3348" i="8"/>
  <c r="J3349" i="8"/>
  <c r="J3350" i="8"/>
  <c r="J3351" i="8"/>
  <c r="J3352" i="8"/>
  <c r="J3353" i="8"/>
  <c r="J3354" i="8"/>
  <c r="J3355" i="8"/>
  <c r="J3356" i="8"/>
  <c r="J3357" i="8"/>
  <c r="J3358" i="8"/>
  <c r="J3359" i="8"/>
  <c r="J3363" i="8"/>
  <c r="J3364" i="8"/>
  <c r="J3365" i="8"/>
  <c r="J3366" i="8"/>
  <c r="J3367" i="8"/>
  <c r="J3368" i="8"/>
  <c r="J3369" i="8"/>
  <c r="J3370" i="8"/>
  <c r="J3371" i="8"/>
  <c r="J3372" i="8"/>
  <c r="J3373" i="8"/>
  <c r="J3374" i="8"/>
  <c r="J3375" i="8"/>
  <c r="J3376" i="8"/>
  <c r="J3377" i="8"/>
  <c r="J3379" i="8"/>
  <c r="J3380" i="8"/>
  <c r="J3381" i="8"/>
  <c r="J3382" i="8"/>
  <c r="J3383" i="8"/>
  <c r="J3384" i="8"/>
  <c r="J3385" i="8"/>
  <c r="J3386" i="8"/>
  <c r="J3387" i="8"/>
  <c r="J3388" i="8"/>
  <c r="J3389" i="8"/>
  <c r="J3390" i="8"/>
  <c r="J3391" i="8"/>
  <c r="J3392" i="8"/>
  <c r="J3393"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8" i="8"/>
  <c r="J3459" i="8"/>
  <c r="J3460" i="8"/>
  <c r="J3461" i="8"/>
  <c r="J3462" i="8"/>
  <c r="J3463" i="8"/>
  <c r="J3464" i="8"/>
  <c r="J3465" i="8"/>
  <c r="J3466" i="8"/>
  <c r="J3467" i="8"/>
  <c r="J3468" i="8"/>
  <c r="J3469" i="8"/>
  <c r="J3470" i="8"/>
  <c r="J3471" i="8"/>
  <c r="J3472" i="8"/>
  <c r="J3476" i="8"/>
  <c r="J3477" i="8"/>
  <c r="J3478" i="8"/>
  <c r="J3479" i="8"/>
  <c r="J3480" i="8"/>
  <c r="J3481" i="8"/>
  <c r="J3482" i="8"/>
  <c r="J3483" i="8"/>
  <c r="J3484" i="8"/>
  <c r="J3485" i="8"/>
  <c r="J3486" i="8"/>
  <c r="J3487" i="8"/>
  <c r="J3488" i="8"/>
  <c r="J3489" i="8"/>
  <c r="J3490" i="8"/>
  <c r="J3492"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7" i="8"/>
  <c r="J3558" i="8"/>
  <c r="J3559" i="8"/>
  <c r="J3560" i="8"/>
  <c r="J3561" i="8"/>
  <c r="J3562" i="8"/>
  <c r="J3563" i="8"/>
  <c r="J3564" i="8"/>
  <c r="J3565" i="8"/>
  <c r="J3566" i="8"/>
  <c r="J3567" i="8"/>
  <c r="J3568" i="8"/>
  <c r="J3569" i="8"/>
  <c r="J3570" i="8"/>
  <c r="J3571" i="8"/>
  <c r="J3575" i="8"/>
  <c r="J3576" i="8"/>
  <c r="J3577" i="8"/>
  <c r="J3578" i="8"/>
  <c r="J3579" i="8"/>
  <c r="J3580" i="8"/>
  <c r="J3581" i="8"/>
  <c r="J3582" i="8"/>
  <c r="J3583" i="8"/>
  <c r="J3584" i="8"/>
  <c r="J3585" i="8"/>
  <c r="J3586" i="8"/>
  <c r="J3587" i="8"/>
  <c r="J3588" i="8"/>
  <c r="J3589" i="8"/>
  <c r="J3693" i="8"/>
  <c r="J3694" i="8"/>
  <c r="J3695" i="8"/>
  <c r="J3696" i="8"/>
  <c r="J3697" i="8"/>
  <c r="J3698" i="8"/>
  <c r="J3699" i="8"/>
  <c r="J3700" i="8"/>
  <c r="J3701" i="8"/>
  <c r="J3702" i="8"/>
  <c r="J3703" i="8"/>
  <c r="J3704" i="8"/>
  <c r="J3705" i="8"/>
  <c r="J3706" i="8"/>
  <c r="J3707" i="8"/>
  <c r="J3708" i="8"/>
  <c r="J3709" i="8"/>
  <c r="J3710" i="8"/>
  <c r="J3711" i="8"/>
  <c r="J3712" i="8"/>
  <c r="J3713" i="8"/>
  <c r="J3714" i="8"/>
  <c r="J3715" i="8"/>
  <c r="J3716" i="8"/>
  <c r="J3717" i="8"/>
  <c r="J3718" i="8"/>
  <c r="J3719" i="8"/>
  <c r="J3720" i="8"/>
  <c r="J3721" i="8"/>
  <c r="J3722" i="8"/>
  <c r="J3723" i="8"/>
  <c r="J3724" i="8"/>
  <c r="J3725" i="8"/>
  <c r="J3726" i="8"/>
  <c r="J3727" i="8"/>
  <c r="J3728" i="8"/>
  <c r="J3729" i="8"/>
  <c r="J3730" i="8"/>
  <c r="J3731" i="8"/>
  <c r="J3732" i="8"/>
  <c r="J3733" i="8"/>
  <c r="J3734" i="8"/>
  <c r="J3735" i="8"/>
  <c r="J3736" i="8"/>
  <c r="J3737" i="8"/>
  <c r="J3738" i="8"/>
  <c r="J3739" i="8"/>
  <c r="J3740" i="8"/>
  <c r="J3741" i="8"/>
  <c r="J3742" i="8"/>
  <c r="J3743" i="8"/>
  <c r="J3744" i="8"/>
  <c r="J3745" i="8"/>
  <c r="J3746" i="8"/>
  <c r="J3747" i="8"/>
  <c r="J3748" i="8"/>
  <c r="J3749" i="8"/>
  <c r="J3750" i="8"/>
  <c r="J3751" i="8"/>
  <c r="J3752" i="8"/>
  <c r="J3755" i="8"/>
  <c r="J3756" i="8"/>
  <c r="J3757" i="8"/>
  <c r="J3758" i="8"/>
  <c r="J3759" i="8"/>
  <c r="J3760" i="8"/>
  <c r="J3761" i="8"/>
  <c r="J3762" i="8"/>
  <c r="J3763" i="8"/>
  <c r="J3764" i="8"/>
  <c r="J3765" i="8"/>
  <c r="J3766" i="8"/>
  <c r="J3767" i="8"/>
  <c r="J3768" i="8"/>
  <c r="J3769" i="8"/>
  <c r="J3773" i="8"/>
  <c r="J3774" i="8"/>
  <c r="J3775" i="8"/>
  <c r="J3776" i="8"/>
  <c r="J3777" i="8"/>
  <c r="J3778" i="8"/>
  <c r="J3779" i="8"/>
  <c r="J3780" i="8"/>
  <c r="J3781" i="8"/>
  <c r="J3782" i="8"/>
  <c r="J3783" i="8"/>
  <c r="J3784" i="8"/>
  <c r="J3785" i="8"/>
  <c r="J3786" i="8"/>
  <c r="J3787" i="8"/>
  <c r="J3789" i="8"/>
  <c r="J3790" i="8"/>
  <c r="J3793" i="8"/>
  <c r="J3794" i="8"/>
  <c r="J3795" i="8"/>
  <c r="J3796" i="8"/>
  <c r="J3797" i="8"/>
  <c r="J3798" i="8"/>
  <c r="J3799" i="8"/>
  <c r="J3800" i="8"/>
  <c r="J3801" i="8"/>
  <c r="J3802" i="8"/>
  <c r="J3803" i="8"/>
  <c r="J3804" i="8"/>
  <c r="J3805" i="8"/>
  <c r="J3806" i="8"/>
  <c r="J3807" i="8"/>
  <c r="J3808" i="8"/>
  <c r="J3809" i="8"/>
  <c r="J3810" i="8"/>
  <c r="J3811" i="8"/>
  <c r="J3812" i="8"/>
  <c r="J3813" i="8"/>
  <c r="J3814" i="8"/>
  <c r="J3815" i="8"/>
  <c r="J3816" i="8"/>
  <c r="J3817" i="8"/>
  <c r="J3818" i="8"/>
  <c r="J3819" i="8"/>
  <c r="J3820" i="8"/>
  <c r="J3821" i="8"/>
  <c r="J3822" i="8"/>
  <c r="J3823" i="8"/>
  <c r="J3824" i="8"/>
  <c r="J3825" i="8"/>
  <c r="J3826" i="8"/>
  <c r="J3827" i="8"/>
  <c r="J3828" i="8"/>
  <c r="J3829" i="8"/>
  <c r="J3830" i="8"/>
  <c r="J3831" i="8"/>
  <c r="J3832" i="8"/>
  <c r="J3833" i="8"/>
  <c r="J3834" i="8"/>
  <c r="J3835" i="8"/>
  <c r="J3836" i="8"/>
  <c r="J3837" i="8"/>
  <c r="J3838" i="8"/>
  <c r="J3839" i="8"/>
  <c r="J3840" i="8"/>
  <c r="J3841" i="8"/>
  <c r="J3842" i="8"/>
  <c r="J3843" i="8"/>
  <c r="J3844" i="8"/>
  <c r="J3845" i="8"/>
  <c r="J3846" i="8"/>
  <c r="J3847" i="8"/>
  <c r="J3848" i="8"/>
  <c r="J3849" i="8"/>
  <c r="J3850" i="8"/>
  <c r="J3851" i="8"/>
  <c r="J3852" i="8"/>
  <c r="J3855" i="8"/>
  <c r="J3856" i="8"/>
  <c r="J3857" i="8"/>
  <c r="J3858" i="8"/>
  <c r="J3859" i="8"/>
  <c r="J3860" i="8"/>
  <c r="J3861" i="8"/>
  <c r="J3862" i="8"/>
  <c r="J3863" i="8"/>
  <c r="J3864" i="8"/>
  <c r="J3865" i="8"/>
  <c r="J3866" i="8"/>
  <c r="J3867" i="8"/>
  <c r="J3868" i="8"/>
  <c r="J3869" i="8"/>
  <c r="J3873" i="8"/>
  <c r="J3874" i="8"/>
  <c r="J3875" i="8"/>
  <c r="J3876" i="8"/>
  <c r="J3877" i="8"/>
  <c r="J3878" i="8"/>
  <c r="J3879" i="8"/>
  <c r="J3880" i="8"/>
  <c r="J3881" i="8"/>
  <c r="J3882" i="8"/>
  <c r="J3883" i="8"/>
  <c r="J3884" i="8"/>
  <c r="J3885" i="8"/>
  <c r="J3886" i="8"/>
  <c r="J3887" i="8"/>
  <c r="J3889" i="8"/>
  <c r="J3892" i="8"/>
  <c r="J3893" i="8"/>
  <c r="J3894" i="8"/>
  <c r="J3895" i="8"/>
  <c r="J3896" i="8"/>
  <c r="J3897" i="8"/>
  <c r="J3898" i="8"/>
  <c r="J3899" i="8"/>
  <c r="J3900" i="8"/>
  <c r="J3901" i="8"/>
  <c r="J3902" i="8"/>
  <c r="J3903" i="8"/>
  <c r="J3904" i="8"/>
  <c r="J3905" i="8"/>
  <c r="J3906" i="8"/>
  <c r="J3907" i="8"/>
  <c r="J3908" i="8"/>
  <c r="J3909" i="8"/>
  <c r="J3910" i="8"/>
  <c r="J3911" i="8"/>
  <c r="J3912" i="8"/>
  <c r="J3913" i="8"/>
  <c r="J3914" i="8"/>
  <c r="J3915" i="8"/>
  <c r="J3916" i="8"/>
  <c r="J3917" i="8"/>
  <c r="J3918" i="8"/>
  <c r="J3919" i="8"/>
  <c r="J3920" i="8"/>
  <c r="J3921" i="8"/>
  <c r="J3922" i="8"/>
  <c r="J3923" i="8"/>
  <c r="J3924" i="8"/>
  <c r="J3925" i="8"/>
  <c r="J3926" i="8"/>
  <c r="J3927" i="8"/>
  <c r="J3928" i="8"/>
  <c r="J3929" i="8"/>
  <c r="J3930" i="8"/>
  <c r="J3931" i="8"/>
  <c r="J3932" i="8"/>
  <c r="J3933" i="8"/>
  <c r="J3934" i="8"/>
  <c r="J3935" i="8"/>
  <c r="J3936" i="8"/>
  <c r="J3937" i="8"/>
  <c r="J3938" i="8"/>
  <c r="J3939" i="8"/>
  <c r="J3940" i="8"/>
  <c r="J3941" i="8"/>
  <c r="J3942" i="8"/>
  <c r="J3943" i="8"/>
  <c r="J3944" i="8"/>
  <c r="J3945" i="8"/>
  <c r="J3946" i="8"/>
  <c r="J3947" i="8"/>
  <c r="J3948" i="8"/>
  <c r="J3949" i="8"/>
  <c r="J3950" i="8"/>
  <c r="J3951" i="8"/>
  <c r="J3953" i="8"/>
  <c r="J3954" i="8"/>
  <c r="J3955" i="8"/>
  <c r="J3956" i="8"/>
  <c r="J3957" i="8"/>
  <c r="J3958" i="8"/>
  <c r="J3959" i="8"/>
  <c r="J3960" i="8"/>
  <c r="J3961" i="8"/>
  <c r="J3962" i="8"/>
  <c r="J3963" i="8"/>
  <c r="J3964" i="8"/>
  <c r="J3965" i="8"/>
  <c r="J3966" i="8"/>
  <c r="J3967" i="8"/>
  <c r="J3968" i="8"/>
  <c r="J3972" i="8"/>
  <c r="J3973" i="8"/>
  <c r="J3974" i="8"/>
  <c r="J3975" i="8"/>
  <c r="J3976" i="8"/>
  <c r="J3977" i="8"/>
  <c r="J3978" i="8"/>
  <c r="J3979" i="8"/>
  <c r="J3980" i="8"/>
  <c r="J3981" i="8"/>
  <c r="J3982" i="8"/>
  <c r="J3983" i="8"/>
  <c r="J3984" i="8"/>
  <c r="J3985" i="8"/>
  <c r="J3986" i="8"/>
  <c r="J4037" i="8"/>
  <c r="J4038" i="8"/>
  <c r="J4039" i="8"/>
  <c r="J4040" i="8"/>
  <c r="J4041" i="8"/>
  <c r="J4042" i="8"/>
  <c r="J4043" i="8"/>
  <c r="J4044" i="8"/>
  <c r="J4045" i="8"/>
  <c r="J4046" i="8"/>
  <c r="J4047" i="8"/>
  <c r="J4048" i="8"/>
  <c r="J4049" i="8"/>
  <c r="J4050" i="8"/>
  <c r="J4052" i="8"/>
  <c r="J4053" i="8"/>
  <c r="J4054" i="8"/>
  <c r="J4055" i="8"/>
  <c r="J4056" i="8"/>
  <c r="J4057" i="8"/>
  <c r="J4058" i="8"/>
  <c r="J4059" i="8"/>
  <c r="J4060" i="8"/>
  <c r="J4061" i="8"/>
  <c r="J4062" i="8"/>
  <c r="J4063" i="8"/>
  <c r="J4064" i="8"/>
  <c r="J4065" i="8"/>
  <c r="J4066" i="8"/>
  <c r="J4067" i="8"/>
  <c r="J4071" i="8"/>
  <c r="J4072" i="8"/>
  <c r="J4073" i="8"/>
  <c r="J4074" i="8"/>
  <c r="J4075" i="8"/>
  <c r="J4076" i="8"/>
  <c r="J4077" i="8"/>
  <c r="J4078" i="8"/>
  <c r="J4079" i="8"/>
  <c r="J4080" i="8"/>
  <c r="J4081" i="8"/>
  <c r="J4082" i="8"/>
  <c r="J4083" i="8"/>
  <c r="J4084" i="8"/>
  <c r="J4085" i="8"/>
  <c r="J4087" i="8"/>
  <c r="J4174" i="8"/>
  <c r="J4175" i="8"/>
  <c r="J4176" i="8"/>
  <c r="J4177" i="8"/>
  <c r="J4178" i="8"/>
  <c r="J4179" i="8"/>
  <c r="J4180" i="8"/>
  <c r="J4181" i="8"/>
  <c r="J4182" i="8"/>
  <c r="J4183" i="8"/>
  <c r="J4184" i="8"/>
  <c r="J4185" i="8"/>
  <c r="J4186" i="8"/>
  <c r="J4190" i="8"/>
  <c r="J4191" i="8"/>
  <c r="J4192" i="8"/>
  <c r="J4193" i="8"/>
  <c r="J4194" i="8"/>
  <c r="J4195" i="8"/>
  <c r="J4196" i="8"/>
  <c r="J4197" i="8"/>
  <c r="J4198" i="8"/>
  <c r="J4199" i="8"/>
  <c r="J4200" i="8"/>
  <c r="J4201" i="8"/>
  <c r="J4202" i="8"/>
  <c r="J4203" i="8"/>
  <c r="J4204" i="8"/>
  <c r="J4205" i="8"/>
  <c r="J4206" i="8"/>
  <c r="J4207" i="8"/>
  <c r="J4208" i="8"/>
  <c r="J4209" i="8"/>
  <c r="J4210" i="8"/>
  <c r="J4211" i="8"/>
  <c r="J4212" i="8"/>
  <c r="J4213" i="8"/>
  <c r="J4214" i="8"/>
  <c r="J4215" i="8"/>
  <c r="J4216" i="8"/>
  <c r="J4217" i="8"/>
  <c r="J4218" i="8"/>
  <c r="J4219" i="8"/>
  <c r="J4220" i="8"/>
  <c r="J4221" i="8"/>
  <c r="J4222" i="8"/>
  <c r="J4223" i="8"/>
  <c r="J4224" i="8"/>
  <c r="J4225" i="8"/>
  <c r="J4226" i="8"/>
  <c r="J4227" i="8"/>
  <c r="J4228" i="8"/>
  <c r="J4229" i="8"/>
  <c r="J4230" i="8"/>
  <c r="J4231" i="8"/>
  <c r="J4232" i="8"/>
  <c r="J4236" i="8"/>
  <c r="J4237" i="8"/>
  <c r="J4238" i="8"/>
  <c r="J4239" i="8"/>
  <c r="J4240" i="8"/>
  <c r="J4241" i="8"/>
  <c r="J4242" i="8"/>
  <c r="J4243" i="8"/>
  <c r="J4244" i="8"/>
  <c r="J4245" i="8"/>
  <c r="J4246" i="8"/>
  <c r="J4247" i="8"/>
  <c r="J4248" i="8"/>
  <c r="J4249" i="8"/>
  <c r="J4250" i="8"/>
  <c r="J4251" i="8"/>
  <c r="J4252" i="8"/>
  <c r="J4253" i="8"/>
  <c r="J4254" i="8"/>
  <c r="J4255" i="8"/>
  <c r="J4256" i="8"/>
  <c r="J4257" i="8"/>
  <c r="J4258" i="8"/>
  <c r="J4259" i="8"/>
  <c r="J4260" i="8"/>
  <c r="J4261" i="8"/>
  <c r="J4262" i="8"/>
  <c r="J4263" i="8"/>
  <c r="J4264" i="8"/>
  <c r="J4265" i="8"/>
  <c r="J4266" i="8"/>
  <c r="J4267" i="8"/>
  <c r="J4268" i="8"/>
  <c r="J4269" i="8"/>
  <c r="J4270" i="8"/>
  <c r="J4271" i="8"/>
  <c r="J4272" i="8"/>
  <c r="J4273" i="8"/>
  <c r="J4274" i="8"/>
  <c r="J4275" i="8"/>
  <c r="J4276" i="8"/>
  <c r="J4277" i="8"/>
  <c r="J4278" i="8"/>
  <c r="J4279" i="8"/>
  <c r="J4280" i="8"/>
  <c r="J4281" i="8"/>
  <c r="J4282" i="8"/>
  <c r="J4283" i="8"/>
  <c r="J4284" i="8"/>
  <c r="J4285" i="8"/>
  <c r="J4286" i="8"/>
  <c r="J4287" i="8"/>
  <c r="J4288" i="8"/>
  <c r="J4289" i="8"/>
  <c r="J4290" i="8"/>
  <c r="J4291" i="8"/>
  <c r="J4292" i="8"/>
  <c r="J4293" i="8"/>
  <c r="J4294" i="8"/>
  <c r="J4295" i="8"/>
  <c r="J4298" i="8"/>
  <c r="J4299" i="8"/>
  <c r="J4300" i="8"/>
  <c r="J4301" i="8"/>
  <c r="J4302" i="8"/>
  <c r="J4303" i="8"/>
  <c r="J4304" i="8"/>
  <c r="J4305" i="8"/>
  <c r="J4306" i="8"/>
  <c r="J4307" i="8"/>
  <c r="J4308" i="8"/>
  <c r="J4309" i="8"/>
  <c r="J4310" i="8"/>
  <c r="J4311" i="8"/>
  <c r="J4316" i="8"/>
  <c r="J4317" i="8"/>
  <c r="J4318" i="8"/>
  <c r="J4319" i="8"/>
  <c r="J4320" i="8"/>
  <c r="J4321" i="8"/>
  <c r="J4322" i="8"/>
  <c r="J4323" i="8"/>
  <c r="J4324" i="8"/>
  <c r="J4325" i="8"/>
  <c r="J4326" i="8"/>
  <c r="J4327" i="8"/>
  <c r="J4328" i="8"/>
  <c r="J4329" i="8"/>
  <c r="J4330" i="8"/>
  <c r="J4332" i="8"/>
  <c r="J4333" i="8"/>
  <c r="J4336" i="8"/>
  <c r="J4337" i="8"/>
  <c r="J4338" i="8"/>
  <c r="J4339" i="8"/>
  <c r="J4340" i="8"/>
  <c r="J4341" i="8"/>
  <c r="J4342" i="8"/>
  <c r="J4343" i="8"/>
  <c r="J4344" i="8"/>
  <c r="J4345" i="8"/>
  <c r="J4346" i="8"/>
  <c r="J4347" i="8"/>
  <c r="J4348" i="8"/>
  <c r="J4349" i="8"/>
  <c r="J4350" i="8"/>
  <c r="J4351" i="8"/>
  <c r="J4352" i="8"/>
  <c r="J4353" i="8"/>
  <c r="J4354" i="8"/>
  <c r="J4355" i="8"/>
  <c r="J4356" i="8"/>
  <c r="J4357" i="8"/>
  <c r="J4358" i="8"/>
  <c r="J4359" i="8"/>
  <c r="J4360" i="8"/>
  <c r="J4361" i="8"/>
  <c r="J4362" i="8"/>
  <c r="J4363" i="8"/>
  <c r="J4364" i="8"/>
  <c r="J4365" i="8"/>
  <c r="J4366" i="8"/>
  <c r="J4367" i="8"/>
  <c r="J4368" i="8"/>
  <c r="J4369" i="8"/>
  <c r="J4370" i="8"/>
  <c r="J4371" i="8"/>
  <c r="J4372" i="8"/>
  <c r="J4373" i="8"/>
  <c r="J4374" i="8"/>
  <c r="J4375" i="8"/>
  <c r="J4376" i="8"/>
  <c r="J4377" i="8"/>
  <c r="J4378" i="8"/>
  <c r="J4379" i="8"/>
  <c r="J4380" i="8"/>
  <c r="J4381" i="8"/>
  <c r="J4382" i="8"/>
  <c r="J4383" i="8"/>
  <c r="J4384" i="8"/>
  <c r="J4385" i="8"/>
  <c r="J4386" i="8"/>
  <c r="J4387" i="8"/>
  <c r="J4388" i="8"/>
  <c r="J4389" i="8"/>
  <c r="J4390" i="8"/>
  <c r="J4391" i="8"/>
  <c r="J4392" i="8"/>
  <c r="J4393" i="8"/>
  <c r="J4394" i="8"/>
  <c r="J4395" i="8"/>
  <c r="J4398" i="8"/>
  <c r="J4399" i="8"/>
  <c r="J4400" i="8"/>
  <c r="J4401" i="8"/>
  <c r="J4402" i="8"/>
  <c r="J4403" i="8"/>
  <c r="J4404" i="8"/>
  <c r="J4405" i="8"/>
  <c r="J4406" i="8"/>
  <c r="J4407" i="8"/>
  <c r="J4408" i="8"/>
  <c r="J4409" i="8"/>
  <c r="J4410" i="8"/>
  <c r="J4411" i="8"/>
  <c r="J4412" i="8"/>
  <c r="J4416" i="8"/>
  <c r="J4417" i="8"/>
  <c r="J4418" i="8"/>
  <c r="J4419" i="8"/>
  <c r="J4420" i="8"/>
  <c r="J4421" i="8"/>
  <c r="J4422" i="8"/>
  <c r="J4423" i="8"/>
  <c r="J4424" i="8"/>
  <c r="J4425" i="8"/>
  <c r="J4426" i="8"/>
  <c r="J4427" i="8"/>
  <c r="J4428" i="8"/>
  <c r="J4429" i="8"/>
  <c r="J4430" i="8"/>
  <c r="J4432" i="8"/>
  <c r="J4435" i="8"/>
  <c r="J4438" i="8"/>
  <c r="J4441" i="8"/>
  <c r="J4443" i="8"/>
  <c r="J4444" i="8"/>
  <c r="J4445" i="8"/>
  <c r="J4446" i="8"/>
  <c r="J4447" i="8"/>
  <c r="J4448" i="8"/>
  <c r="J4449" i="8"/>
  <c r="J4450" i="8"/>
  <c r="J4451" i="8"/>
  <c r="J4452" i="8"/>
  <c r="J4453" i="8"/>
  <c r="J4454" i="8"/>
  <c r="J4455" i="8"/>
  <c r="J4456" i="8"/>
  <c r="J4457" i="8"/>
  <c r="J4458" i="8"/>
  <c r="J4459" i="8"/>
  <c r="J4460" i="8"/>
  <c r="J4461" i="8"/>
  <c r="J4462" i="8"/>
  <c r="J4463" i="8"/>
  <c r="J4464" i="8"/>
  <c r="J4465" i="8"/>
  <c r="J4466" i="8"/>
  <c r="J4467" i="8"/>
  <c r="J4468" i="8"/>
  <c r="J4469" i="8"/>
  <c r="J4470" i="8"/>
  <c r="J4471" i="8"/>
  <c r="J4472" i="8"/>
  <c r="J4473" i="8"/>
  <c r="J4474" i="8"/>
  <c r="J4475" i="8"/>
  <c r="J4476" i="8"/>
  <c r="J4477" i="8"/>
  <c r="J4478" i="8"/>
  <c r="J4479" i="8"/>
  <c r="J4480" i="8"/>
  <c r="J4481" i="8"/>
  <c r="J4482" i="8"/>
  <c r="J4483" i="8"/>
  <c r="J4484" i="8"/>
  <c r="J4485" i="8"/>
  <c r="J4486" i="8"/>
  <c r="J4487" i="8"/>
  <c r="J4488" i="8"/>
  <c r="J4489" i="8"/>
  <c r="J4490" i="8"/>
  <c r="J4491" i="8"/>
  <c r="J4492" i="8"/>
  <c r="J4493" i="8"/>
  <c r="J4494" i="8"/>
  <c r="J4495" i="8"/>
  <c r="J4496" i="8"/>
  <c r="J4497" i="8"/>
  <c r="J4498" i="8"/>
  <c r="J4499" i="8"/>
  <c r="J4500" i="8"/>
  <c r="J4501" i="8"/>
  <c r="J4502" i="8"/>
  <c r="J4503" i="8"/>
  <c r="J4504" i="8"/>
  <c r="J4505" i="8"/>
  <c r="J4506" i="8"/>
  <c r="J4507" i="8"/>
  <c r="J4508" i="8"/>
  <c r="J4509" i="8"/>
  <c r="J4510" i="8"/>
  <c r="J4511" i="8"/>
  <c r="J4512" i="8"/>
  <c r="J4513" i="8"/>
  <c r="J4514" i="8"/>
  <c r="J4515" i="8"/>
  <c r="J4516" i="8"/>
  <c r="J4517" i="8"/>
  <c r="J4518" i="8"/>
  <c r="J4519" i="8"/>
  <c r="J4520" i="8"/>
  <c r="J4521" i="8"/>
  <c r="J4522" i="8"/>
  <c r="J4523" i="8"/>
  <c r="J4524" i="8"/>
  <c r="J4525" i="8"/>
  <c r="J4526" i="8"/>
  <c r="J4527" i="8"/>
  <c r="J4528" i="8"/>
  <c r="J4529" i="8"/>
  <c r="J4530" i="8"/>
  <c r="J4531" i="8"/>
  <c r="J4532" i="8"/>
  <c r="J4533" i="8"/>
  <c r="J4534" i="8"/>
  <c r="J4535" i="8"/>
  <c r="J4536" i="8"/>
  <c r="J4537" i="8"/>
  <c r="J4538" i="8"/>
  <c r="J4539" i="8"/>
  <c r="J4540" i="8"/>
  <c r="J4541" i="8"/>
  <c r="J4542" i="8"/>
  <c r="J4543" i="8"/>
  <c r="J4544" i="8"/>
  <c r="J4545" i="8"/>
  <c r="J4546" i="8"/>
  <c r="J4547" i="8"/>
  <c r="J4548" i="8"/>
  <c r="J4549" i="8"/>
  <c r="J4550" i="8"/>
  <c r="J4551" i="8"/>
  <c r="J4552" i="8"/>
  <c r="J4553" i="8"/>
  <c r="J4554" i="8"/>
  <c r="J4555" i="8"/>
  <c r="J4556" i="8"/>
  <c r="J4557" i="8"/>
  <c r="J4558" i="8"/>
  <c r="J4559" i="8"/>
  <c r="J4560" i="8"/>
  <c r="J4561" i="8"/>
  <c r="J4562" i="8"/>
  <c r="J4563" i="8"/>
  <c r="J4564" i="8"/>
  <c r="J4565" i="8"/>
  <c r="J4566" i="8"/>
  <c r="J4567" i="8"/>
  <c r="J4568" i="8"/>
  <c r="J4569" i="8"/>
  <c r="J4570" i="8"/>
  <c r="J4571" i="8"/>
  <c r="J4572" i="8"/>
  <c r="J4573" i="8"/>
  <c r="J4574" i="8"/>
  <c r="J4577" i="8"/>
  <c r="J4578" i="8"/>
  <c r="J4579" i="8"/>
  <c r="J4580" i="8"/>
  <c r="J4581" i="8"/>
  <c r="J4582" i="8"/>
  <c r="J4583" i="8"/>
  <c r="J4584" i="8"/>
  <c r="J4585" i="8"/>
  <c r="J4586" i="8"/>
  <c r="J4587" i="8"/>
  <c r="J4588" i="8"/>
  <c r="J4589" i="8"/>
  <c r="J4590" i="8"/>
  <c r="J4591" i="8"/>
  <c r="J4592" i="8"/>
  <c r="J4593" i="8"/>
  <c r="J4594" i="8"/>
  <c r="J4595" i="8"/>
  <c r="J4596" i="8"/>
  <c r="J4597" i="8"/>
  <c r="J4598" i="8"/>
  <c r="J4599" i="8"/>
  <c r="J4600" i="8"/>
  <c r="J4601" i="8"/>
  <c r="J4602" i="8"/>
  <c r="J4603" i="8"/>
  <c r="J4604" i="8"/>
  <c r="J4605" i="8"/>
  <c r="J4606" i="8"/>
  <c r="J4607" i="8"/>
  <c r="J4608" i="8"/>
  <c r="J4609" i="8"/>
  <c r="J4610" i="8"/>
  <c r="J4611" i="8"/>
  <c r="J4612" i="8"/>
  <c r="J4613" i="8"/>
  <c r="J4614" i="8"/>
  <c r="J4615" i="8"/>
  <c r="J4616" i="8"/>
  <c r="J4617" i="8"/>
  <c r="J4618" i="8"/>
  <c r="J4619" i="8"/>
  <c r="J4620" i="8"/>
  <c r="J4621" i="8"/>
  <c r="J4622" i="8"/>
  <c r="J4623" i="8"/>
  <c r="J4624" i="8"/>
  <c r="J4625" i="8"/>
  <c r="J4626" i="8"/>
  <c r="J4627" i="8"/>
  <c r="J4628" i="8"/>
  <c r="J4629" i="8"/>
  <c r="J4630" i="8"/>
  <c r="J4631" i="8"/>
  <c r="J4632" i="8"/>
  <c r="J4633" i="8"/>
  <c r="J4634" i="8"/>
  <c r="J4635" i="8"/>
  <c r="J4636" i="8"/>
  <c r="J4639" i="8"/>
  <c r="J4640" i="8"/>
  <c r="J4641" i="8"/>
  <c r="J4642" i="8"/>
  <c r="J4643" i="8"/>
  <c r="J4644" i="8"/>
  <c r="J4645" i="8"/>
  <c r="J4646" i="8"/>
  <c r="J4647" i="8"/>
  <c r="J4648" i="8"/>
  <c r="J4649" i="8"/>
  <c r="J4650" i="8"/>
  <c r="J4651" i="8"/>
  <c r="J4652" i="8"/>
  <c r="J4653" i="8"/>
  <c r="J4657" i="8"/>
  <c r="J4658" i="8"/>
  <c r="J4659" i="8"/>
  <c r="J4660" i="8"/>
  <c r="J4661" i="8"/>
  <c r="J4662" i="8"/>
  <c r="J4663" i="8"/>
  <c r="J4664" i="8"/>
  <c r="J4665" i="8"/>
  <c r="J4666" i="8"/>
  <c r="J4667" i="8"/>
  <c r="J4668" i="8"/>
  <c r="J4669" i="8"/>
  <c r="J4670" i="8"/>
  <c r="J4671" i="8"/>
  <c r="J4673" i="8"/>
  <c r="J4676" i="8"/>
  <c r="J4677" i="8"/>
  <c r="J4678" i="8"/>
  <c r="J4679" i="8"/>
  <c r="J4680" i="8"/>
  <c r="J4681" i="8"/>
  <c r="J4682" i="8"/>
  <c r="J4683" i="8"/>
  <c r="J4684" i="8"/>
  <c r="J4685" i="8"/>
  <c r="J4686" i="8"/>
  <c r="J4687" i="8"/>
  <c r="J4688" i="8"/>
  <c r="J4689" i="8"/>
  <c r="J4690" i="8"/>
  <c r="J4691" i="8"/>
  <c r="J4692" i="8"/>
  <c r="J4693" i="8"/>
  <c r="J4694" i="8"/>
  <c r="J4695" i="8"/>
  <c r="J4696" i="8"/>
  <c r="J4697" i="8"/>
  <c r="J4698" i="8"/>
  <c r="J4699" i="8"/>
  <c r="J4700" i="8"/>
  <c r="J4701" i="8"/>
  <c r="J4702" i="8"/>
  <c r="J4703" i="8"/>
  <c r="J4704" i="8"/>
  <c r="J4705" i="8"/>
  <c r="J4706" i="8"/>
  <c r="J4707" i="8"/>
  <c r="J4708" i="8"/>
  <c r="J4709" i="8"/>
  <c r="J4710" i="8"/>
  <c r="J4711" i="8"/>
  <c r="J4712" i="8"/>
  <c r="J4713" i="8"/>
  <c r="J4714" i="8"/>
  <c r="J4715" i="8"/>
  <c r="J4716" i="8"/>
  <c r="J4717" i="8"/>
  <c r="J4718" i="8"/>
  <c r="J4719" i="8"/>
  <c r="J4720" i="8"/>
  <c r="J4721" i="8"/>
  <c r="J4722" i="8"/>
  <c r="J4723" i="8"/>
  <c r="J4724" i="8"/>
  <c r="J4725" i="8"/>
  <c r="J4726" i="8"/>
  <c r="J4727" i="8"/>
  <c r="J4728" i="8"/>
  <c r="J4729" i="8"/>
  <c r="J4730" i="8"/>
  <c r="J4731" i="8"/>
  <c r="J4732" i="8"/>
  <c r="J4733" i="8"/>
  <c r="J4734" i="8"/>
  <c r="J4735" i="8"/>
  <c r="J4738" i="8"/>
  <c r="J4739" i="8"/>
  <c r="J4740" i="8"/>
  <c r="J4741" i="8"/>
  <c r="J4742" i="8"/>
  <c r="J4743" i="8"/>
  <c r="J4744" i="8"/>
  <c r="J4745" i="8"/>
  <c r="J4746" i="8"/>
  <c r="J4747" i="8"/>
  <c r="J4748" i="8"/>
  <c r="J4749" i="8"/>
  <c r="J4750" i="8"/>
  <c r="J4751" i="8"/>
  <c r="J4752" i="8"/>
  <c r="J4756" i="8"/>
  <c r="J4757" i="8"/>
  <c r="J4758" i="8"/>
  <c r="J4759" i="8"/>
  <c r="J4760" i="8"/>
  <c r="J4761" i="8"/>
  <c r="J4762" i="8"/>
  <c r="J4763" i="8"/>
  <c r="J4764" i="8"/>
  <c r="J4765" i="8"/>
  <c r="J4766" i="8"/>
  <c r="J4767" i="8"/>
  <c r="J4768" i="8"/>
  <c r="J4769" i="8"/>
  <c r="J4770" i="8"/>
  <c r="J4772" i="8"/>
  <c r="J4775" i="8"/>
  <c r="J4776" i="8"/>
  <c r="J4777" i="8"/>
  <c r="J4778" i="8"/>
  <c r="J4779" i="8"/>
  <c r="J4780" i="8"/>
  <c r="J4781" i="8"/>
  <c r="J4782" i="8"/>
  <c r="J4783" i="8"/>
  <c r="J4784" i="8"/>
  <c r="J4785" i="8"/>
  <c r="J4786" i="8"/>
  <c r="J4787" i="8"/>
  <c r="J4788" i="8"/>
  <c r="J4789" i="8"/>
  <c r="J4790" i="8"/>
  <c r="J4791" i="8"/>
  <c r="J4792" i="8"/>
  <c r="J4793" i="8"/>
  <c r="J4794" i="8"/>
  <c r="J4795" i="8"/>
  <c r="J4796" i="8"/>
  <c r="J4797" i="8"/>
  <c r="J4798" i="8"/>
  <c r="J4799" i="8"/>
  <c r="J4800" i="8"/>
  <c r="J4801" i="8"/>
  <c r="J4802" i="8"/>
  <c r="J4803" i="8"/>
  <c r="J4804" i="8"/>
  <c r="J4805" i="8"/>
  <c r="J4806" i="8"/>
  <c r="J4807" i="8"/>
  <c r="J4808" i="8"/>
  <c r="J4809" i="8"/>
  <c r="J4810" i="8"/>
  <c r="J4811" i="8"/>
  <c r="J4812" i="8"/>
  <c r="J4813" i="8"/>
  <c r="J4814" i="8"/>
  <c r="J4815" i="8"/>
  <c r="J4816" i="8"/>
  <c r="J4817" i="8"/>
  <c r="J4818" i="8"/>
  <c r="J4819" i="8"/>
  <c r="J4820" i="8"/>
  <c r="J4821" i="8"/>
  <c r="J4822" i="8"/>
  <c r="J4823" i="8"/>
  <c r="J4824" i="8"/>
  <c r="J4825" i="8"/>
  <c r="J4826" i="8"/>
  <c r="J4827" i="8"/>
  <c r="J4828" i="8"/>
  <c r="J4829" i="8"/>
  <c r="J4830" i="8"/>
  <c r="J4831" i="8"/>
  <c r="J4832" i="8"/>
  <c r="J4833" i="8"/>
  <c r="J4834" i="8"/>
  <c r="J4837" i="8"/>
  <c r="J4838" i="8"/>
  <c r="J4839" i="8"/>
  <c r="J4840" i="8"/>
  <c r="J4841" i="8"/>
  <c r="J4842" i="8"/>
  <c r="J4843" i="8"/>
  <c r="J4844" i="8"/>
  <c r="J4845" i="8"/>
  <c r="J4846" i="8"/>
  <c r="J4847" i="8"/>
  <c r="J4848" i="8"/>
  <c r="J4849" i="8"/>
  <c r="J4850" i="8"/>
  <c r="J4851" i="8"/>
  <c r="J4855" i="8"/>
  <c r="J4856" i="8"/>
  <c r="J4857" i="8"/>
  <c r="J4858" i="8"/>
  <c r="J4859" i="8"/>
  <c r="J4860" i="8"/>
  <c r="J4861" i="8"/>
  <c r="J4862" i="8"/>
  <c r="J4863" i="8"/>
  <c r="J4864" i="8"/>
  <c r="J4865" i="8"/>
  <c r="J4866" i="8"/>
  <c r="J4867" i="8"/>
  <c r="J4868" i="8"/>
  <c r="J4869" i="8"/>
  <c r="J4871" i="8"/>
  <c r="J4874" i="8"/>
  <c r="J4875" i="8"/>
  <c r="J4876" i="8"/>
  <c r="J4877" i="8"/>
  <c r="J4878" i="8"/>
  <c r="J4879" i="8"/>
  <c r="J4880" i="8"/>
  <c r="J4881" i="8"/>
  <c r="J4882" i="8"/>
  <c r="J4883" i="8"/>
  <c r="J4884" i="8"/>
  <c r="J4885" i="8"/>
  <c r="J4886" i="8"/>
  <c r="J4887" i="8"/>
  <c r="J4888" i="8"/>
  <c r="J4889" i="8"/>
  <c r="J4890" i="8"/>
  <c r="J4891" i="8"/>
  <c r="J4892" i="8"/>
  <c r="J4893" i="8"/>
  <c r="J4894" i="8"/>
  <c r="J4895" i="8"/>
  <c r="J4896" i="8"/>
  <c r="J4897" i="8"/>
  <c r="J4898" i="8"/>
  <c r="J4899" i="8"/>
  <c r="J4900" i="8"/>
  <c r="J4901" i="8"/>
  <c r="J4902" i="8"/>
  <c r="J4903" i="8"/>
  <c r="J4904" i="8"/>
  <c r="J4905" i="8"/>
  <c r="J4906" i="8"/>
  <c r="J4907" i="8"/>
  <c r="J4908" i="8"/>
  <c r="J4909" i="8"/>
  <c r="J4910" i="8"/>
  <c r="J4911" i="8"/>
  <c r="J4912" i="8"/>
  <c r="J4913" i="8"/>
  <c r="J4914" i="8"/>
  <c r="J4915" i="8"/>
  <c r="J4916" i="8"/>
  <c r="J4917" i="8"/>
  <c r="J4918" i="8"/>
  <c r="J4919" i="8"/>
  <c r="J4920" i="8"/>
  <c r="J4921" i="8"/>
  <c r="J4922" i="8"/>
  <c r="J4923" i="8"/>
  <c r="J4924" i="8"/>
  <c r="J4925" i="8"/>
  <c r="J4926" i="8"/>
  <c r="J4927" i="8"/>
  <c r="J4928" i="8"/>
  <c r="J4929" i="8"/>
  <c r="J4930" i="8"/>
  <c r="J4931" i="8"/>
  <c r="J4932" i="8"/>
  <c r="J4933" i="8"/>
  <c r="J4936" i="8"/>
  <c r="J4937" i="8"/>
  <c r="J4938" i="8"/>
  <c r="J4939" i="8"/>
  <c r="J4940" i="8"/>
  <c r="J4942" i="8"/>
  <c r="J4943" i="8"/>
  <c r="J4944" i="8"/>
  <c r="J4945" i="8"/>
  <c r="J4946" i="8"/>
  <c r="J4947" i="8"/>
  <c r="J4948" i="8"/>
  <c r="J4949" i="8"/>
  <c r="J4950" i="8"/>
  <c r="J4954" i="8"/>
  <c r="J4955" i="8"/>
  <c r="J4956" i="8"/>
  <c r="J4957" i="8"/>
  <c r="J4958" i="8"/>
  <c r="J4960" i="8"/>
  <c r="J4961" i="8"/>
  <c r="J4962" i="8"/>
  <c r="J4963" i="8"/>
  <c r="J4964" i="8"/>
  <c r="J4965" i="8"/>
  <c r="J4966" i="8"/>
  <c r="J4967" i="8"/>
  <c r="J4968" i="8"/>
  <c r="J4970" i="8"/>
  <c r="J4971" i="8"/>
  <c r="J4972" i="8"/>
  <c r="J4973" i="8"/>
  <c r="J4974" i="8"/>
  <c r="J4975" i="8"/>
  <c r="J4976" i="8"/>
  <c r="J4977" i="8"/>
  <c r="J4978" i="8"/>
  <c r="J4979" i="8"/>
  <c r="J4982" i="8"/>
  <c r="J4983" i="8"/>
  <c r="J4984" i="8"/>
  <c r="J4985" i="8"/>
  <c r="J4986" i="8"/>
  <c r="J4988" i="8"/>
  <c r="J4989" i="8"/>
  <c r="J4990" i="8"/>
  <c r="J4991" i="8"/>
  <c r="J4992" i="8"/>
  <c r="J4993" i="8"/>
  <c r="J4994" i="8"/>
  <c r="J4995" i="8"/>
  <c r="J4996" i="8"/>
  <c r="J5003" i="8"/>
  <c r="J5004" i="8"/>
  <c r="J5005" i="8"/>
  <c r="J5006" i="8"/>
  <c r="J5007" i="8"/>
  <c r="J5008" i="8"/>
  <c r="J5009" i="8"/>
  <c r="J5010" i="8"/>
  <c r="J5011" i="8"/>
  <c r="J5012" i="8"/>
  <c r="J5013" i="8"/>
  <c r="J5014" i="8"/>
  <c r="J5015" i="8"/>
  <c r="J5016" i="8"/>
  <c r="J5017" i="8"/>
  <c r="J5018" i="8"/>
  <c r="J5019" i="8"/>
  <c r="J5020" i="8"/>
  <c r="J5021" i="8"/>
  <c r="J5022" i="8"/>
  <c r="J5023" i="8"/>
  <c r="J5024" i="8"/>
  <c r="J5025" i="8"/>
  <c r="J5026" i="8"/>
  <c r="J5027" i="8"/>
  <c r="J5028" i="8"/>
  <c r="J5029" i="8"/>
  <c r="J5030" i="8"/>
  <c r="J5031" i="8"/>
  <c r="J5032" i="8"/>
  <c r="J5033" i="8"/>
  <c r="J5034" i="8"/>
  <c r="J5035" i="8"/>
  <c r="J5036" i="8"/>
  <c r="J5037" i="8"/>
  <c r="J5038" i="8"/>
  <c r="J5039" i="8"/>
  <c r="J5040" i="8"/>
  <c r="J5041" i="8"/>
  <c r="J5042" i="8"/>
  <c r="J5043" i="8"/>
  <c r="J5044" i="8"/>
  <c r="J5045" i="8"/>
  <c r="J5046" i="8"/>
  <c r="J5047" i="8"/>
  <c r="J5048" i="8"/>
  <c r="J5049" i="8"/>
  <c r="J5050" i="8"/>
  <c r="J5051" i="8"/>
  <c r="J5052" i="8"/>
  <c r="J5053" i="8"/>
  <c r="J5054" i="8"/>
  <c r="J5055" i="8"/>
  <c r="J5056" i="8"/>
  <c r="J5057" i="8"/>
  <c r="J5058" i="8"/>
  <c r="J5059" i="8"/>
  <c r="J5060" i="8"/>
  <c r="J5061" i="8"/>
  <c r="J5062" i="8"/>
  <c r="J5065" i="8"/>
  <c r="J5066" i="8"/>
  <c r="J5067" i="8"/>
  <c r="J5068" i="8"/>
  <c r="J5069" i="8"/>
  <c r="J5070" i="8"/>
  <c r="J5071" i="8"/>
  <c r="J5072" i="8"/>
  <c r="J5073" i="8"/>
  <c r="J5074" i="8"/>
  <c r="J5075" i="8"/>
  <c r="J5076" i="8"/>
  <c r="J5077" i="8"/>
  <c r="J5078" i="8"/>
  <c r="J5079" i="8"/>
  <c r="J5083" i="8"/>
  <c r="J5084" i="8"/>
  <c r="J5085" i="8"/>
  <c r="J5086" i="8"/>
  <c r="J5087" i="8"/>
  <c r="J5088" i="8"/>
  <c r="J5089" i="8"/>
  <c r="J5090" i="8"/>
  <c r="J5091" i="8"/>
  <c r="J5092" i="8"/>
  <c r="J5093" i="8"/>
  <c r="J5094" i="8"/>
  <c r="J5095" i="8"/>
  <c r="J5096" i="8"/>
  <c r="J5097" i="8"/>
  <c r="J5099" i="8"/>
  <c r="J5100" i="8"/>
  <c r="J5101" i="8"/>
  <c r="J5102" i="8"/>
  <c r="J5103" i="8"/>
  <c r="J5104" i="8"/>
  <c r="J5105" i="8"/>
  <c r="J5106" i="8"/>
  <c r="J5107" i="8"/>
  <c r="J5108" i="8"/>
  <c r="J5109" i="8"/>
  <c r="J5110" i="8"/>
  <c r="J5111" i="8"/>
  <c r="J5112" i="8"/>
  <c r="J5113" i="8"/>
  <c r="J5114" i="8"/>
  <c r="J5115" i="8"/>
  <c r="J5116" i="8"/>
  <c r="J5117" i="8"/>
  <c r="J5118" i="8"/>
  <c r="J5119" i="8"/>
  <c r="J5120" i="8"/>
  <c r="J5121" i="8"/>
  <c r="J5122" i="8"/>
  <c r="J5123" i="8"/>
  <c r="J5124" i="8"/>
  <c r="J5125" i="8"/>
  <c r="J5126" i="8"/>
  <c r="J5127" i="8"/>
  <c r="J5128" i="8"/>
  <c r="J5129" i="8"/>
  <c r="J5130" i="8"/>
  <c r="J5131" i="8"/>
  <c r="J5132" i="8"/>
  <c r="J5133" i="8"/>
  <c r="J5134" i="8"/>
  <c r="J5135" i="8"/>
  <c r="J5136" i="8"/>
  <c r="J5137" i="8"/>
  <c r="J5138" i="8"/>
  <c r="J5139" i="8"/>
  <c r="J5140" i="8"/>
  <c r="J5141" i="8"/>
  <c r="J5142" i="8"/>
  <c r="J5143" i="8"/>
  <c r="J5144" i="8"/>
  <c r="J5145" i="8"/>
  <c r="J5146" i="8"/>
  <c r="J5147" i="8"/>
  <c r="J5148" i="8"/>
  <c r="J5149" i="8"/>
  <c r="J5150" i="8"/>
  <c r="J5151" i="8"/>
  <c r="J5152" i="8"/>
  <c r="J5153" i="8"/>
  <c r="J5154" i="8"/>
  <c r="J5155" i="8"/>
  <c r="J5156" i="8"/>
  <c r="J5157" i="8"/>
  <c r="J5158" i="8"/>
  <c r="J5159" i="8"/>
  <c r="J5160" i="8"/>
  <c r="J5161" i="8"/>
  <c r="J5162" i="8"/>
  <c r="J5164" i="8"/>
  <c r="J5165" i="8"/>
  <c r="J5166" i="8"/>
  <c r="J5167" i="8"/>
  <c r="J5168" i="8"/>
  <c r="J5169" i="8"/>
  <c r="J5170" i="8"/>
  <c r="J5171" i="8"/>
  <c r="J5172" i="8"/>
  <c r="J5173" i="8"/>
  <c r="J5174" i="8"/>
  <c r="J5175" i="8"/>
  <c r="J5176" i="8"/>
  <c r="J5177" i="8"/>
  <c r="J5178" i="8"/>
  <c r="J5180" i="8"/>
  <c r="J5182" i="8"/>
  <c r="J5183" i="8"/>
  <c r="J5184" i="8"/>
  <c r="J5185" i="8"/>
  <c r="J5186" i="8"/>
  <c r="J5187" i="8"/>
  <c r="J5188" i="8"/>
  <c r="J5189" i="8"/>
  <c r="J5190" i="8"/>
  <c r="J5191" i="8"/>
  <c r="J5192" i="8"/>
  <c r="J5193" i="8"/>
  <c r="J5194" i="8"/>
  <c r="J5195" i="8"/>
  <c r="J5196" i="8"/>
  <c r="J5198" i="8"/>
  <c r="J5201" i="8"/>
  <c r="J5202" i="8"/>
  <c r="J5203" i="8"/>
  <c r="J5204" i="8"/>
  <c r="J5205" i="8"/>
  <c r="J5206" i="8"/>
  <c r="J5207" i="8"/>
  <c r="J5208" i="8"/>
  <c r="J5209" i="8"/>
  <c r="J5210" i="8"/>
  <c r="J5211" i="8"/>
  <c r="J5212" i="8"/>
  <c r="J5213" i="8"/>
  <c r="J5214" i="8"/>
  <c r="J5215" i="8"/>
  <c r="J5222" i="8"/>
  <c r="J5223" i="8"/>
  <c r="J5224" i="8"/>
  <c r="J5225" i="8"/>
  <c r="J5226" i="8"/>
  <c r="J5227" i="8"/>
  <c r="J5228" i="8"/>
  <c r="J5229" i="8"/>
  <c r="J5230" i="8"/>
  <c r="J5231" i="8"/>
  <c r="J5232" i="8"/>
  <c r="J5233" i="8"/>
  <c r="J5234" i="8"/>
  <c r="J5235" i="8"/>
  <c r="J5236" i="8"/>
  <c r="J5237" i="8"/>
  <c r="J5238" i="8"/>
  <c r="J5239" i="8"/>
  <c r="J5240" i="8"/>
  <c r="J5241" i="8"/>
  <c r="J5242" i="8"/>
  <c r="J5243" i="8"/>
  <c r="J5244" i="8"/>
  <c r="J5245" i="8"/>
  <c r="J5246" i="8"/>
  <c r="J5247" i="8"/>
  <c r="J5248" i="8"/>
  <c r="J5249" i="8"/>
  <c r="J5250" i="8"/>
  <c r="J5251" i="8"/>
  <c r="J5252" i="8"/>
  <c r="J5253" i="8"/>
  <c r="J5254" i="8"/>
  <c r="J5255" i="8"/>
  <c r="J5256" i="8"/>
  <c r="J5257" i="8"/>
  <c r="J5258" i="8"/>
  <c r="J5259" i="8"/>
  <c r="J5260" i="8"/>
  <c r="J5261" i="8"/>
  <c r="J5262" i="8"/>
  <c r="J5263" i="8"/>
  <c r="J5264" i="8"/>
  <c r="J5265" i="8"/>
  <c r="J5266" i="8"/>
  <c r="J5267" i="8"/>
  <c r="J5268" i="8"/>
  <c r="J5269" i="8"/>
  <c r="J5270" i="8"/>
  <c r="J5271" i="8"/>
  <c r="J5272" i="8"/>
  <c r="J5273" i="8"/>
  <c r="J5274" i="8"/>
  <c r="J5275" i="8"/>
  <c r="J5276" i="8"/>
  <c r="J5277" i="8"/>
  <c r="J5278" i="8"/>
  <c r="J5279" i="8"/>
  <c r="J5280" i="8"/>
  <c r="J5281" i="8"/>
  <c r="J5284" i="8"/>
  <c r="J5285" i="8"/>
  <c r="J5286" i="8"/>
  <c r="J5287" i="8"/>
  <c r="J5288" i="8"/>
  <c r="J5289" i="8"/>
  <c r="J5290" i="8"/>
  <c r="J5291" i="8"/>
  <c r="J5292" i="8"/>
  <c r="J5293" i="8"/>
  <c r="J5294" i="8"/>
  <c r="J5295" i="8"/>
  <c r="J5296" i="8"/>
  <c r="J5297" i="8"/>
  <c r="J5298" i="8"/>
  <c r="J5302" i="8"/>
  <c r="J5303" i="8"/>
  <c r="J5304" i="8"/>
  <c r="J5305" i="8"/>
  <c r="J5306" i="8"/>
  <c r="J5307" i="8"/>
  <c r="J5308" i="8"/>
  <c r="J5309" i="8"/>
  <c r="J5310" i="8"/>
  <c r="J5311" i="8"/>
  <c r="J5312" i="8"/>
  <c r="J5313" i="8"/>
  <c r="J5314" i="8"/>
  <c r="J5315" i="8"/>
  <c r="J5316" i="8"/>
  <c r="J5318" i="8"/>
  <c r="J5319" i="8"/>
  <c r="J5320" i="8"/>
  <c r="J5321" i="8"/>
  <c r="J5322" i="8"/>
  <c r="J5323" i="8"/>
  <c r="J5324" i="8"/>
  <c r="J5325" i="8"/>
  <c r="J5326" i="8"/>
  <c r="J5327" i="8"/>
  <c r="J5328" i="8"/>
  <c r="J5329" i="8"/>
  <c r="J5330" i="8"/>
  <c r="J5331" i="8"/>
  <c r="J5332" i="8"/>
  <c r="J5333" i="8"/>
  <c r="J5334" i="8"/>
  <c r="J5335" i="8"/>
  <c r="J5336" i="8"/>
  <c r="J5337" i="8"/>
  <c r="J5338" i="8"/>
  <c r="J5339" i="8"/>
  <c r="J5340" i="8"/>
  <c r="J5341" i="8"/>
  <c r="J5342" i="8"/>
  <c r="J5343" i="8"/>
  <c r="J5344" i="8"/>
  <c r="J5345" i="8"/>
  <c r="J5346" i="8"/>
  <c r="J5347" i="8"/>
  <c r="J5348" i="8"/>
  <c r="J5349" i="8"/>
  <c r="J5350" i="8"/>
  <c r="J5351" i="8"/>
  <c r="J5352" i="8"/>
  <c r="J5353" i="8"/>
  <c r="J5354" i="8"/>
  <c r="J5355" i="8"/>
  <c r="J5356" i="8"/>
  <c r="J5357" i="8"/>
  <c r="J5358" i="8"/>
  <c r="J5359" i="8"/>
  <c r="J5360" i="8"/>
  <c r="J5361" i="8"/>
  <c r="J5362" i="8"/>
  <c r="J5363" i="8"/>
  <c r="J5364" i="8"/>
  <c r="J5365" i="8"/>
  <c r="J5366" i="8"/>
  <c r="J5367" i="8"/>
  <c r="J5368" i="8"/>
  <c r="J5369" i="8"/>
  <c r="J5370" i="8"/>
  <c r="J5371" i="8"/>
  <c r="J5372" i="8"/>
  <c r="J5373" i="8"/>
  <c r="J5374" i="8"/>
  <c r="J5375" i="8"/>
  <c r="J5376" i="8"/>
  <c r="J5377" i="8"/>
  <c r="J5378" i="8"/>
  <c r="J5379" i="8"/>
  <c r="J5380" i="8"/>
  <c r="J5381" i="8"/>
  <c r="J5383" i="8"/>
  <c r="J5384" i="8"/>
  <c r="J5385" i="8"/>
  <c r="J5386" i="8"/>
  <c r="J5387" i="8"/>
  <c r="J5388" i="8"/>
  <c r="J5389" i="8"/>
  <c r="J5390" i="8"/>
  <c r="J5391" i="8"/>
  <c r="J5392" i="8"/>
  <c r="J5393" i="8"/>
  <c r="J5394" i="8"/>
  <c r="J5395" i="8"/>
  <c r="J5396" i="8"/>
  <c r="J5397" i="8"/>
  <c r="J5399" i="8"/>
  <c r="J5401" i="8"/>
  <c r="J5402" i="8"/>
  <c r="J5403" i="8"/>
  <c r="J5404" i="8"/>
  <c r="J5405" i="8"/>
  <c r="J5406" i="8"/>
  <c r="J5407" i="8"/>
  <c r="J5408" i="8"/>
  <c r="J5409" i="8"/>
  <c r="J5410" i="8"/>
  <c r="J5411" i="8"/>
  <c r="J5412" i="8"/>
  <c r="J5413" i="8"/>
  <c r="J5414" i="8"/>
  <c r="J5415" i="8"/>
  <c r="J5417" i="8"/>
  <c r="J5418" i="8"/>
  <c r="J5419" i="8"/>
  <c r="J5420" i="8"/>
  <c r="J5421" i="8"/>
  <c r="J5422" i="8"/>
  <c r="J5423" i="8"/>
  <c r="J5424" i="8"/>
  <c r="J5425" i="8"/>
  <c r="J5426" i="8"/>
  <c r="J5427" i="8"/>
  <c r="J5428" i="8"/>
  <c r="J5429" i="8"/>
  <c r="J5430" i="8"/>
  <c r="J5431" i="8"/>
  <c r="J5432" i="8"/>
  <c r="J5433" i="8"/>
  <c r="J5434" i="8"/>
  <c r="J5435" i="8"/>
  <c r="J5436" i="8"/>
  <c r="J5437" i="8"/>
  <c r="J5438" i="8"/>
  <c r="J5439" i="8"/>
  <c r="J5440" i="8"/>
  <c r="J5441" i="8"/>
  <c r="J5442" i="8"/>
  <c r="J5443" i="8"/>
  <c r="J5444" i="8"/>
  <c r="J5445" i="8"/>
  <c r="J5446" i="8"/>
  <c r="J5447" i="8"/>
  <c r="J5448" i="8"/>
  <c r="J5449" i="8"/>
  <c r="J5450" i="8"/>
  <c r="J5451" i="8"/>
  <c r="J5452" i="8"/>
  <c r="J5453" i="8"/>
  <c r="J5454" i="8"/>
  <c r="J5455" i="8"/>
  <c r="J5456" i="8"/>
  <c r="J5457" i="8"/>
  <c r="J5458" i="8"/>
  <c r="J5459" i="8"/>
  <c r="J5460" i="8"/>
  <c r="J5461" i="8"/>
  <c r="J5462" i="8"/>
  <c r="J5463" i="8"/>
  <c r="J5464" i="8"/>
  <c r="J5465" i="8"/>
  <c r="J5466" i="8"/>
  <c r="J5467" i="8"/>
  <c r="J5468" i="8"/>
  <c r="J5469" i="8"/>
  <c r="J5470" i="8"/>
  <c r="J5471" i="8"/>
  <c r="J5472" i="8"/>
  <c r="J5473" i="8"/>
  <c r="J5474" i="8"/>
  <c r="J5475" i="8"/>
  <c r="J5476" i="8"/>
  <c r="J5477" i="8"/>
  <c r="J5478" i="8"/>
  <c r="J5479" i="8"/>
  <c r="J5480" i="8"/>
  <c r="J5482" i="8"/>
  <c r="J5483" i="8"/>
  <c r="J5484" i="8"/>
  <c r="J5485" i="8"/>
  <c r="J5486" i="8"/>
  <c r="J5487" i="8"/>
  <c r="J5488" i="8"/>
  <c r="J5489" i="8"/>
  <c r="J5490" i="8"/>
  <c r="J5491" i="8"/>
  <c r="J5492" i="8"/>
  <c r="J5493" i="8"/>
  <c r="J5494" i="8"/>
  <c r="J5495" i="8"/>
  <c r="J5496" i="8"/>
  <c r="J5498" i="8"/>
  <c r="J5500" i="8"/>
  <c r="J5501" i="8"/>
  <c r="J5502" i="8"/>
  <c r="J5503" i="8"/>
  <c r="J5504" i="8"/>
  <c r="J5505" i="8"/>
  <c r="J5506" i="8"/>
  <c r="J5507" i="8"/>
  <c r="J5508" i="8"/>
  <c r="J5509" i="8"/>
  <c r="J5510" i="8"/>
  <c r="J5511" i="8"/>
  <c r="J5512" i="8"/>
  <c r="J5513" i="8"/>
  <c r="J5514" i="8"/>
  <c r="J5516" i="8"/>
  <c r="J5519" i="8"/>
  <c r="J5520" i="8"/>
  <c r="J5521" i="8"/>
  <c r="J5522" i="8"/>
  <c r="J5523" i="8"/>
  <c r="J5524" i="8"/>
  <c r="J5525" i="8"/>
  <c r="J5526" i="8"/>
  <c r="J5527" i="8"/>
  <c r="J5528" i="8"/>
  <c r="J5529" i="8"/>
  <c r="J5530" i="8"/>
  <c r="J5531" i="8"/>
  <c r="J5532" i="8"/>
  <c r="J5533" i="8"/>
  <c r="J5539" i="8"/>
  <c r="J5540" i="8"/>
  <c r="J5541" i="8"/>
  <c r="J5542" i="8"/>
  <c r="J5543" i="8"/>
  <c r="J5544" i="8"/>
  <c r="J5545" i="8"/>
  <c r="J5546" i="8"/>
  <c r="J5547" i="8"/>
  <c r="J5548" i="8"/>
  <c r="J5549" i="8"/>
  <c r="J5550" i="8"/>
  <c r="J5551" i="8"/>
  <c r="J5552" i="8"/>
  <c r="J5553" i="8"/>
  <c r="J5554" i="8"/>
  <c r="J5555" i="8"/>
  <c r="J5556" i="8"/>
  <c r="J5557" i="8"/>
  <c r="J5558" i="8"/>
  <c r="J5559" i="8"/>
  <c r="J5560" i="8"/>
  <c r="J5561" i="8"/>
  <c r="J5562" i="8"/>
  <c r="J5563" i="8"/>
  <c r="J5564" i="8"/>
  <c r="J5565" i="8"/>
  <c r="J5566" i="8"/>
  <c r="J5567" i="8"/>
  <c r="J5568" i="8"/>
  <c r="J5569" i="8"/>
  <c r="J5570" i="8"/>
  <c r="J5571" i="8"/>
  <c r="J5572" i="8"/>
  <c r="J5573" i="8"/>
  <c r="J5574" i="8"/>
  <c r="J5575" i="8"/>
  <c r="J5576" i="8"/>
  <c r="J5577" i="8"/>
  <c r="J5578" i="8"/>
  <c r="J5579" i="8"/>
  <c r="J5580" i="8"/>
  <c r="J5581" i="8"/>
  <c r="J5582" i="8"/>
  <c r="J5583" i="8"/>
  <c r="J5584" i="8"/>
  <c r="J5585" i="8"/>
  <c r="J5586" i="8"/>
  <c r="J5587" i="8"/>
  <c r="J5588" i="8"/>
  <c r="J5589" i="8"/>
  <c r="J5590" i="8"/>
  <c r="J5591" i="8"/>
  <c r="J5592" i="8"/>
  <c r="J5593" i="8"/>
  <c r="J5594" i="8"/>
  <c r="J5595" i="8"/>
  <c r="J5596" i="8"/>
  <c r="J5597" i="8"/>
  <c r="J5598" i="8"/>
  <c r="J5601" i="8"/>
  <c r="J5602" i="8"/>
  <c r="J5603" i="8"/>
  <c r="J5604" i="8"/>
  <c r="J5605" i="8"/>
  <c r="J5606" i="8"/>
  <c r="J5607" i="8"/>
  <c r="J5608" i="8"/>
  <c r="J5609" i="8"/>
  <c r="J5610" i="8"/>
  <c r="J5611" i="8"/>
  <c r="J5612" i="8"/>
  <c r="J5613" i="8"/>
  <c r="J5614" i="8"/>
  <c r="J5615" i="8"/>
  <c r="J5619" i="8"/>
  <c r="J5620" i="8"/>
  <c r="J5621" i="8"/>
  <c r="J5622" i="8"/>
  <c r="J5623" i="8"/>
  <c r="J5624" i="8"/>
  <c r="J5625" i="8"/>
  <c r="J5626" i="8"/>
  <c r="J5627" i="8"/>
  <c r="J5628" i="8"/>
  <c r="J5629" i="8"/>
  <c r="J5630" i="8"/>
  <c r="J5631" i="8"/>
  <c r="J5632" i="8"/>
  <c r="J5633" i="8"/>
  <c r="J5635" i="8"/>
  <c r="J5636" i="8"/>
  <c r="J5637" i="8"/>
  <c r="J5638" i="8"/>
  <c r="J5639" i="8"/>
  <c r="J5640" i="8"/>
  <c r="J5641" i="8"/>
  <c r="J5642" i="8"/>
  <c r="J5643" i="8"/>
  <c r="J5644" i="8"/>
  <c r="J5645" i="8"/>
  <c r="J5646" i="8"/>
  <c r="J5647" i="8"/>
  <c r="J5648" i="8"/>
  <c r="J5649" i="8"/>
  <c r="J5650" i="8"/>
  <c r="J5651" i="8"/>
  <c r="J5652" i="8"/>
  <c r="J5653" i="8"/>
  <c r="J5654" i="8"/>
  <c r="J5655" i="8"/>
  <c r="J5656" i="8"/>
  <c r="J5657" i="8"/>
  <c r="J5658" i="8"/>
  <c r="J5659" i="8"/>
  <c r="J5660" i="8"/>
  <c r="J5661" i="8"/>
  <c r="J5662" i="8"/>
  <c r="J5663" i="8"/>
  <c r="J5664" i="8"/>
  <c r="J5665" i="8"/>
  <c r="J5666" i="8"/>
  <c r="J5667" i="8"/>
  <c r="J5668" i="8"/>
  <c r="J5669" i="8"/>
  <c r="J5670" i="8"/>
  <c r="J5671" i="8"/>
  <c r="J5672" i="8"/>
  <c r="J5673" i="8"/>
  <c r="J5674" i="8"/>
  <c r="J5675" i="8"/>
  <c r="J5676" i="8"/>
  <c r="J5677" i="8"/>
  <c r="J5678" i="8"/>
  <c r="J5679" i="8"/>
  <c r="J5680" i="8"/>
  <c r="J5681" i="8"/>
  <c r="J5682" i="8"/>
  <c r="J5683" i="8"/>
  <c r="J5684" i="8"/>
  <c r="J5685" i="8"/>
  <c r="J5686" i="8"/>
  <c r="J5687" i="8"/>
  <c r="J5688" i="8"/>
  <c r="J5689" i="8"/>
  <c r="J5690" i="8"/>
  <c r="J5691" i="8"/>
  <c r="J5692" i="8"/>
  <c r="J5693" i="8"/>
  <c r="J5694" i="8"/>
  <c r="J5695" i="8"/>
  <c r="J5696" i="8"/>
  <c r="J5697" i="8"/>
  <c r="J5698" i="8"/>
  <c r="J5700" i="8"/>
  <c r="J5701" i="8"/>
  <c r="J5702" i="8"/>
  <c r="J5703" i="8"/>
  <c r="J5704" i="8"/>
  <c r="J5705" i="8"/>
  <c r="J5706" i="8"/>
  <c r="J5707" i="8"/>
  <c r="J5708" i="8"/>
  <c r="J5709" i="8"/>
  <c r="J5710" i="8"/>
  <c r="J5711" i="8"/>
  <c r="J5712" i="8"/>
  <c r="J5713" i="8"/>
  <c r="J5714" i="8"/>
  <c r="J5716" i="8"/>
  <c r="J5718" i="8"/>
  <c r="J5719" i="8"/>
  <c r="J5720" i="8"/>
  <c r="J5721" i="8"/>
  <c r="J5722" i="8"/>
  <c r="J5723" i="8"/>
  <c r="J5724" i="8"/>
  <c r="J5725" i="8"/>
  <c r="J5726" i="8"/>
  <c r="J5727" i="8"/>
  <c r="J5728" i="8"/>
  <c r="J5729" i="8"/>
  <c r="J5730" i="8"/>
  <c r="J5731" i="8"/>
  <c r="J5732" i="8"/>
  <c r="J5734" i="8"/>
  <c r="J5735" i="8"/>
  <c r="J5736" i="8"/>
  <c r="J5737" i="8"/>
  <c r="J5738" i="8"/>
  <c r="J5739" i="8"/>
  <c r="J5740" i="8"/>
  <c r="J5741" i="8"/>
  <c r="J5742" i="8"/>
  <c r="J5743" i="8"/>
  <c r="J5744" i="8"/>
  <c r="J5745" i="8"/>
  <c r="J5746" i="8"/>
  <c r="J5747" i="8"/>
  <c r="J5748" i="8"/>
  <c r="J5749" i="8"/>
  <c r="J5750" i="8"/>
  <c r="J5751" i="8"/>
  <c r="J5752" i="8"/>
  <c r="J5753" i="8"/>
  <c r="J5754" i="8"/>
  <c r="J5755" i="8"/>
  <c r="J5756" i="8"/>
  <c r="J5757" i="8"/>
  <c r="J5758" i="8"/>
  <c r="J5759" i="8"/>
  <c r="J5760" i="8"/>
  <c r="J5761" i="8"/>
  <c r="J5762" i="8"/>
  <c r="J5763" i="8"/>
  <c r="J5764" i="8"/>
  <c r="J5765" i="8"/>
  <c r="J5766" i="8"/>
  <c r="J5767" i="8"/>
  <c r="J5768" i="8"/>
  <c r="J5769" i="8"/>
  <c r="J5770" i="8"/>
  <c r="J5771" i="8"/>
  <c r="J5772" i="8"/>
  <c r="J5773" i="8"/>
  <c r="J5774" i="8"/>
  <c r="J5775" i="8"/>
  <c r="J5776" i="8"/>
  <c r="J5777" i="8"/>
  <c r="J5778" i="8"/>
  <c r="J5779" i="8"/>
  <c r="J5780" i="8"/>
  <c r="J5781" i="8"/>
  <c r="J5782" i="8"/>
  <c r="J5783" i="8"/>
  <c r="J5784" i="8"/>
  <c r="J5785" i="8"/>
  <c r="J5786" i="8"/>
  <c r="J5787" i="8"/>
  <c r="J5788" i="8"/>
  <c r="J5789" i="8"/>
  <c r="J5790" i="8"/>
  <c r="J5791" i="8"/>
  <c r="J5792" i="8"/>
  <c r="J5793" i="8"/>
  <c r="J5794" i="8"/>
  <c r="J5795" i="8"/>
  <c r="J5796" i="8"/>
  <c r="J5797" i="8"/>
  <c r="J5799" i="8"/>
  <c r="J5800" i="8"/>
  <c r="J5801" i="8"/>
  <c r="J5802" i="8"/>
  <c r="J5803" i="8"/>
  <c r="J5804" i="8"/>
  <c r="J5805" i="8"/>
  <c r="J5806" i="8"/>
  <c r="J5807" i="8"/>
  <c r="J5808" i="8"/>
  <c r="J5809" i="8"/>
  <c r="J5810" i="8"/>
  <c r="J5811" i="8"/>
  <c r="J5812" i="8"/>
  <c r="J5813" i="8"/>
  <c r="J5815" i="8"/>
  <c r="J5817" i="8"/>
  <c r="J5818" i="8"/>
  <c r="J5819" i="8"/>
  <c r="J5820" i="8"/>
  <c r="J5821" i="8"/>
  <c r="J5822" i="8"/>
  <c r="J5823" i="8"/>
  <c r="J5824" i="8"/>
  <c r="J5825" i="8"/>
  <c r="J5826" i="8"/>
  <c r="J5827" i="8"/>
  <c r="J5828" i="8"/>
  <c r="J5829" i="8"/>
  <c r="J5830" i="8"/>
  <c r="J5831" i="8"/>
  <c r="J5833" i="8"/>
  <c r="J5836" i="8"/>
  <c r="J5837" i="8"/>
  <c r="J5838" i="8"/>
  <c r="J5839" i="8"/>
  <c r="J5840" i="8"/>
  <c r="J5841" i="8"/>
  <c r="J5842" i="8"/>
  <c r="J5843" i="8"/>
  <c r="J5844" i="8"/>
  <c r="J5845" i="8"/>
  <c r="J5846" i="8"/>
  <c r="J5847" i="8"/>
  <c r="J5848" i="8"/>
  <c r="J5849" i="8"/>
  <c r="J5850" i="8"/>
  <c r="J5923" i="8"/>
  <c r="J5924" i="8"/>
  <c r="J5985" i="8"/>
  <c r="J5986" i="8"/>
  <c r="J5987" i="8"/>
  <c r="J5988" i="8"/>
  <c r="J5989" i="8"/>
  <c r="J5990" i="8"/>
  <c r="J5991" i="8"/>
  <c r="J5992" i="8"/>
  <c r="J5993" i="8"/>
  <c r="J5994" i="8"/>
  <c r="J5995" i="8"/>
  <c r="J5996" i="8"/>
  <c r="J5997" i="8"/>
  <c r="J5998" i="8"/>
  <c r="J5999" i="8"/>
  <c r="J6003" i="8"/>
  <c r="J6004" i="8"/>
  <c r="J6005" i="8"/>
  <c r="J6006" i="8"/>
  <c r="J6007" i="8"/>
  <c r="J6008" i="8"/>
  <c r="J6009" i="8"/>
  <c r="J6010" i="8"/>
  <c r="J6011" i="8"/>
  <c r="J6012" i="8"/>
  <c r="J6013" i="8"/>
  <c r="J6014" i="8"/>
  <c r="J6015" i="8"/>
  <c r="J6016" i="8"/>
  <c r="J6017" i="8"/>
  <c r="J6019" i="8"/>
  <c r="J6022" i="8"/>
  <c r="J6023" i="8"/>
  <c r="J6024" i="8"/>
  <c r="J6025" i="8"/>
  <c r="J6026" i="8"/>
  <c r="J6027" i="8"/>
  <c r="J6028" i="8"/>
  <c r="J6029" i="8"/>
  <c r="J6030" i="8"/>
  <c r="J6031" i="8"/>
  <c r="J6032" i="8"/>
  <c r="J6033" i="8"/>
  <c r="J6034" i="8"/>
  <c r="J6035" i="8"/>
  <c r="J6036" i="8"/>
  <c r="J6038" i="8"/>
  <c r="J6039" i="8"/>
  <c r="J6040" i="8"/>
  <c r="J6041" i="8"/>
  <c r="J6042" i="8"/>
  <c r="J6043" i="8"/>
  <c r="J6044" i="8"/>
  <c r="J6045" i="8"/>
  <c r="J6046" i="8"/>
  <c r="J6047" i="8"/>
  <c r="J6048" i="8"/>
  <c r="J6049" i="8"/>
  <c r="J6050" i="8"/>
  <c r="J6051" i="8"/>
  <c r="J6052" i="8"/>
  <c r="J6053" i="8"/>
  <c r="J6054" i="8"/>
  <c r="J6055" i="8"/>
  <c r="J6056" i="8"/>
  <c r="J6057" i="8"/>
  <c r="J6058" i="8"/>
  <c r="J6059" i="8"/>
  <c r="J6060" i="8"/>
  <c r="J6061" i="8"/>
  <c r="J6066" i="8"/>
  <c r="J6067" i="8"/>
  <c r="J6068" i="8"/>
  <c r="J6113" i="8"/>
  <c r="J6114" i="8"/>
  <c r="J6115" i="8"/>
  <c r="J6116" i="8"/>
  <c r="J6117" i="8"/>
  <c r="J6118" i="8"/>
  <c r="J6119" i="8"/>
  <c r="J6120" i="8"/>
  <c r="J6121" i="8"/>
  <c r="J6122" i="8"/>
  <c r="J6123" i="8"/>
  <c r="J6124" i="8"/>
  <c r="J6125" i="8"/>
  <c r="J6128" i="8"/>
  <c r="J6129" i="8"/>
  <c r="J6130" i="8"/>
  <c r="J6131" i="8"/>
  <c r="J6132" i="8"/>
  <c r="J6133" i="8"/>
  <c r="J6134" i="8"/>
  <c r="J6135" i="8"/>
  <c r="J6136" i="8"/>
  <c r="J6137" i="8"/>
  <c r="J6138" i="8"/>
  <c r="J6139" i="8"/>
  <c r="J6140" i="8"/>
  <c r="J6141" i="8"/>
  <c r="J6142" i="8"/>
  <c r="J6146" i="8"/>
  <c r="J6147" i="8"/>
  <c r="J6148" i="8"/>
  <c r="J6149" i="8"/>
  <c r="J6150" i="8"/>
  <c r="J6151" i="8"/>
  <c r="J6152" i="8"/>
  <c r="J6153" i="8"/>
  <c r="J6154" i="8"/>
  <c r="J6155" i="8"/>
  <c r="J6156" i="8"/>
  <c r="J6157" i="8"/>
  <c r="J6158" i="8"/>
  <c r="J6159" i="8"/>
  <c r="J6160" i="8"/>
  <c r="J6162" i="8"/>
  <c r="J6163" i="8"/>
  <c r="J6164" i="8"/>
  <c r="J6165" i="8"/>
  <c r="J6166" i="8"/>
  <c r="J6167" i="8"/>
  <c r="J6168" i="8"/>
  <c r="J6169" i="8"/>
  <c r="J6170" i="8"/>
  <c r="J6171" i="8"/>
  <c r="J6172" i="8"/>
  <c r="J6173" i="8"/>
  <c r="J6174" i="8"/>
  <c r="J6175" i="8"/>
  <c r="J6176" i="8"/>
  <c r="J6177" i="8"/>
  <c r="J6178" i="8"/>
  <c r="J6179" i="8"/>
  <c r="J6180" i="8"/>
  <c r="J6181" i="8"/>
  <c r="J6182" i="8"/>
  <c r="J6183" i="8"/>
  <c r="J6184" i="8"/>
  <c r="J6185" i="8"/>
  <c r="J6186" i="8"/>
  <c r="J6187" i="8"/>
  <c r="J6188" i="8"/>
  <c r="J6189" i="8"/>
  <c r="J6190" i="8"/>
  <c r="J6191" i="8"/>
  <c r="J6192" i="8"/>
  <c r="J6193" i="8"/>
  <c r="J6194" i="8"/>
  <c r="J6195" i="8"/>
  <c r="J6196" i="8"/>
  <c r="J6197" i="8"/>
  <c r="J6198" i="8"/>
  <c r="J6199" i="8"/>
  <c r="J6200" i="8"/>
  <c r="J6201" i="8"/>
  <c r="J6202" i="8"/>
  <c r="J6203" i="8"/>
  <c r="J6204" i="8"/>
  <c r="J6205" i="8"/>
  <c r="J6206" i="8"/>
  <c r="J6207" i="8"/>
  <c r="J6208" i="8"/>
  <c r="J6209" i="8"/>
  <c r="J6210" i="8"/>
  <c r="J6211" i="8"/>
  <c r="J6212" i="8"/>
  <c r="J6213" i="8"/>
  <c r="J6214" i="8"/>
  <c r="J6215" i="8"/>
  <c r="J6216" i="8"/>
  <c r="J6217" i="8"/>
  <c r="J6218" i="8"/>
  <c r="J6219" i="8"/>
  <c r="J6220" i="8"/>
  <c r="J6221" i="8"/>
  <c r="J6222" i="8"/>
  <c r="J6223" i="8"/>
  <c r="J6224" i="8"/>
  <c r="J6225" i="8"/>
  <c r="J6227" i="8"/>
  <c r="J6228" i="8"/>
  <c r="J6229" i="8"/>
  <c r="J6230" i="8"/>
  <c r="J6231" i="8"/>
  <c r="J6232" i="8"/>
  <c r="J6233" i="8"/>
  <c r="J6234" i="8"/>
  <c r="J6235" i="8"/>
  <c r="J6236" i="8"/>
  <c r="J6237" i="8"/>
  <c r="J6238" i="8"/>
  <c r="J6239" i="8"/>
  <c r="J6240" i="8"/>
  <c r="J6241" i="8"/>
  <c r="J6243" i="8"/>
  <c r="J6245" i="8"/>
  <c r="J6246" i="8"/>
  <c r="J6247" i="8"/>
  <c r="J6248" i="8"/>
  <c r="J6249" i="8"/>
  <c r="J6250" i="8"/>
  <c r="J6251" i="8"/>
  <c r="J6252" i="8"/>
  <c r="J6253" i="8"/>
  <c r="J6254" i="8"/>
  <c r="J6255" i="8"/>
  <c r="J6256" i="8"/>
  <c r="J6257" i="8"/>
  <c r="J6258" i="8"/>
  <c r="J6259" i="8"/>
  <c r="J6261" i="8"/>
  <c r="J6262" i="8"/>
  <c r="J6263" i="8"/>
  <c r="J6264" i="8"/>
  <c r="J6265" i="8"/>
  <c r="J6266" i="8"/>
  <c r="J6267" i="8"/>
  <c r="J6268" i="8"/>
  <c r="J6269" i="8"/>
  <c r="J6270" i="8"/>
  <c r="J6271" i="8"/>
  <c r="J6272" i="8"/>
  <c r="J6273" i="8"/>
  <c r="J6274" i="8"/>
  <c r="J6275" i="8"/>
  <c r="J6276" i="8"/>
  <c r="J6277" i="8"/>
  <c r="J6278" i="8"/>
  <c r="J6279" i="8"/>
  <c r="J6280" i="8"/>
  <c r="J6281" i="8"/>
  <c r="J6282" i="8"/>
  <c r="J6283" i="8"/>
  <c r="J6284" i="8"/>
  <c r="J6285" i="8"/>
  <c r="J6286" i="8"/>
  <c r="J6287" i="8"/>
  <c r="J6288" i="8"/>
  <c r="J6289" i="8"/>
  <c r="J6290" i="8"/>
  <c r="J6291" i="8"/>
  <c r="J6292" i="8"/>
  <c r="J6293" i="8"/>
  <c r="J6294" i="8"/>
  <c r="J6295" i="8"/>
  <c r="J6296" i="8"/>
  <c r="J6297" i="8"/>
  <c r="J6298" i="8"/>
  <c r="J6299" i="8"/>
  <c r="J6300" i="8"/>
  <c r="J6301" i="8"/>
  <c r="J6302" i="8"/>
  <c r="J6303" i="8"/>
  <c r="J6304" i="8"/>
  <c r="J6305" i="8"/>
  <c r="J6306" i="8"/>
  <c r="J6307" i="8"/>
  <c r="J6308" i="8"/>
  <c r="J6309" i="8"/>
  <c r="J6310" i="8"/>
  <c r="J6311" i="8"/>
  <c r="J6312" i="8"/>
  <c r="J6313" i="8"/>
  <c r="J6314" i="8"/>
  <c r="J6315" i="8"/>
  <c r="J6316" i="8"/>
  <c r="J6317" i="8"/>
  <c r="J6318" i="8"/>
  <c r="J6319" i="8"/>
  <c r="J6320" i="8"/>
  <c r="J6321" i="8"/>
  <c r="J6322" i="8"/>
  <c r="J6323" i="8"/>
  <c r="J6324" i="8"/>
  <c r="J6326" i="8"/>
  <c r="J6327" i="8"/>
  <c r="J6328" i="8"/>
  <c r="J6329" i="8"/>
  <c r="J6330" i="8"/>
  <c r="J6331" i="8"/>
  <c r="J6332" i="8"/>
  <c r="J6333" i="8"/>
  <c r="J6334" i="8"/>
  <c r="J6335" i="8"/>
  <c r="J6336" i="8"/>
  <c r="J6337" i="8"/>
  <c r="J6338" i="8"/>
  <c r="J6339" i="8"/>
  <c r="J6340" i="8"/>
  <c r="J6342" i="8"/>
  <c r="J6344" i="8"/>
  <c r="J6345" i="8"/>
  <c r="J6346" i="8"/>
  <c r="J6347" i="8"/>
  <c r="J6348" i="8"/>
  <c r="J6349" i="8"/>
  <c r="J6350" i="8"/>
  <c r="J6351" i="8"/>
  <c r="J6352" i="8"/>
  <c r="J6353" i="8"/>
  <c r="J6354" i="8"/>
  <c r="J6355" i="8"/>
  <c r="J6356" i="8"/>
  <c r="J6357" i="8"/>
  <c r="J6358" i="8"/>
  <c r="J6360" i="8"/>
  <c r="J6363" i="8"/>
  <c r="J6364" i="8"/>
  <c r="J6365" i="8"/>
  <c r="J6366" i="8"/>
  <c r="J6367" i="8"/>
  <c r="J6368" i="8"/>
  <c r="J6369" i="8"/>
  <c r="J6370" i="8"/>
  <c r="J6371" i="8"/>
  <c r="J6372" i="8"/>
  <c r="J6373" i="8"/>
  <c r="J6374" i="8"/>
  <c r="J6375" i="8"/>
  <c r="J6376" i="8"/>
  <c r="J6377" i="8"/>
  <c r="J6379" i="8"/>
  <c r="J6382" i="8"/>
  <c r="J6383" i="8"/>
  <c r="J6384" i="8"/>
  <c r="J6385" i="8"/>
  <c r="J6386" i="8"/>
  <c r="J6387" i="8"/>
  <c r="J6388" i="8"/>
  <c r="J6389" i="8"/>
  <c r="J6390" i="8"/>
  <c r="J6391" i="8"/>
  <c r="J6392" i="8"/>
  <c r="J6393" i="8"/>
  <c r="J6394" i="8"/>
  <c r="J6398" i="8"/>
  <c r="J6399" i="8"/>
  <c r="J6400" i="8"/>
  <c r="J6401" i="8"/>
  <c r="J6402" i="8"/>
  <c r="J6403" i="8"/>
  <c r="J6404" i="8"/>
  <c r="J6405" i="8"/>
  <c r="J6406" i="8"/>
  <c r="J6407" i="8"/>
  <c r="J6408" i="8"/>
  <c r="J6409" i="8"/>
  <c r="J6410" i="8"/>
  <c r="J6411" i="8"/>
  <c r="J6412" i="8"/>
  <c r="J6413" i="8"/>
  <c r="J6414" i="8"/>
  <c r="J6415" i="8"/>
  <c r="J6416" i="8"/>
  <c r="J6417" i="8"/>
  <c r="J6418" i="8"/>
  <c r="J6419" i="8"/>
  <c r="J6420" i="8"/>
  <c r="J6421" i="8"/>
  <c r="J6422" i="8"/>
  <c r="J6423" i="8"/>
  <c r="J6424" i="8"/>
  <c r="J6425" i="8"/>
  <c r="J6426" i="8"/>
  <c r="J6427" i="8"/>
  <c r="J6428" i="8"/>
  <c r="J6429" i="8"/>
  <c r="J6430" i="8"/>
  <c r="J6431" i="8"/>
  <c r="J6432" i="8"/>
  <c r="J6433" i="8"/>
  <c r="J6434" i="8"/>
  <c r="J6435" i="8"/>
  <c r="J6436" i="8"/>
  <c r="J6437" i="8"/>
  <c r="J6438" i="8"/>
  <c r="J6439" i="8"/>
  <c r="J6440" i="8"/>
  <c r="J6441" i="8"/>
  <c r="J6442" i="8"/>
  <c r="J6443" i="8"/>
  <c r="J6444" i="8"/>
  <c r="J6445" i="8"/>
  <c r="J6446" i="8"/>
  <c r="J6447" i="8"/>
  <c r="J6448" i="8"/>
  <c r="J6449" i="8"/>
  <c r="J6450" i="8"/>
  <c r="J6451" i="8"/>
  <c r="J6452" i="8"/>
  <c r="J6453" i="8"/>
  <c r="J6454" i="8"/>
  <c r="J6455" i="8"/>
  <c r="J6456" i="8"/>
  <c r="J6457" i="8"/>
  <c r="J6458" i="8"/>
  <c r="J6459" i="8"/>
  <c r="J6460" i="8"/>
  <c r="J6461" i="8"/>
  <c r="J6462" i="8"/>
  <c r="J6463" i="8"/>
  <c r="J6464" i="8"/>
  <c r="J6465" i="8"/>
  <c r="J6466" i="8"/>
  <c r="J6467" i="8"/>
  <c r="J6468" i="8"/>
  <c r="J6469" i="8"/>
  <c r="J6470" i="8"/>
  <c r="J6471" i="8"/>
  <c r="J6472" i="8"/>
  <c r="J6473" i="8"/>
  <c r="J6474" i="8"/>
  <c r="J6475" i="8"/>
  <c r="J6476" i="8"/>
  <c r="J6477" i="8"/>
  <c r="J6478" i="8"/>
  <c r="J6479" i="8"/>
  <c r="J6480" i="8"/>
  <c r="J6481" i="8"/>
  <c r="J6482" i="8"/>
  <c r="J6483" i="8"/>
  <c r="J6484" i="8"/>
  <c r="J6485" i="8"/>
  <c r="J6486" i="8"/>
  <c r="J6487" i="8"/>
  <c r="J6488" i="8"/>
  <c r="J6489" i="8"/>
  <c r="J6490" i="8"/>
  <c r="J6491" i="8"/>
  <c r="J6492" i="8"/>
  <c r="J6493" i="8"/>
  <c r="J6494" i="8"/>
  <c r="J6495" i="8"/>
  <c r="J6496" i="8"/>
  <c r="J6497" i="8"/>
  <c r="J6498" i="8"/>
  <c r="J6499" i="8"/>
  <c r="J6500" i="8"/>
  <c r="J6501" i="8"/>
  <c r="J6502" i="8"/>
  <c r="J6503" i="8"/>
  <c r="J6504" i="8"/>
  <c r="J6505" i="8"/>
  <c r="J6506" i="8"/>
  <c r="J6507" i="8"/>
  <c r="J6508" i="8"/>
  <c r="J6509" i="8"/>
  <c r="J6510" i="8"/>
  <c r="J6511" i="8"/>
  <c r="J6512" i="8"/>
  <c r="J6513" i="8"/>
  <c r="J6514" i="8"/>
  <c r="J6515" i="8"/>
  <c r="J6516" i="8"/>
  <c r="J6517" i="8"/>
  <c r="J6518" i="8"/>
  <c r="J6519" i="8"/>
  <c r="J6520" i="8"/>
  <c r="J6521" i="8"/>
  <c r="J6522" i="8"/>
  <c r="J6523" i="8"/>
  <c r="J6524" i="8"/>
  <c r="J6525" i="8"/>
  <c r="J6526" i="8"/>
  <c r="J6527" i="8"/>
  <c r="J6528" i="8"/>
  <c r="J6529" i="8"/>
  <c r="J6530" i="8"/>
  <c r="J6531" i="8"/>
  <c r="J6532" i="8"/>
  <c r="J6533" i="8"/>
  <c r="J6534" i="8"/>
  <c r="J6535" i="8"/>
  <c r="J6536" i="8"/>
  <c r="J6537" i="8"/>
  <c r="J6538" i="8"/>
  <c r="J6539" i="8"/>
  <c r="J6540" i="8"/>
  <c r="J6541" i="8"/>
  <c r="J6542" i="8"/>
  <c r="J6543" i="8"/>
  <c r="J6544" i="8"/>
  <c r="J6545" i="8"/>
  <c r="J6546" i="8"/>
  <c r="J6547" i="8"/>
  <c r="J6548" i="8"/>
  <c r="J6549" i="8"/>
  <c r="J6550" i="8"/>
  <c r="J6551" i="8"/>
  <c r="J6552" i="8"/>
  <c r="J6553" i="8"/>
  <c r="J6554" i="8"/>
  <c r="J6555" i="8"/>
  <c r="J6556" i="8"/>
  <c r="J6557" i="8"/>
  <c r="J6558" i="8"/>
  <c r="J6559" i="8"/>
  <c r="J6560" i="8"/>
  <c r="J6561" i="8"/>
  <c r="J6562" i="8"/>
  <c r="J6563" i="8"/>
  <c r="J6564" i="8"/>
  <c r="J6565" i="8"/>
  <c r="J6566" i="8"/>
  <c r="J6567" i="8"/>
  <c r="J6568" i="8"/>
  <c r="J6569" i="8"/>
  <c r="J6570" i="8"/>
  <c r="J6571" i="8"/>
  <c r="J6572" i="8"/>
  <c r="J6573" i="8"/>
  <c r="J6574" i="8"/>
  <c r="J6575" i="8"/>
  <c r="J6576" i="8"/>
  <c r="J6577" i="8"/>
  <c r="J6578" i="8"/>
  <c r="J6579" i="8"/>
  <c r="J6580" i="8"/>
  <c r="J6581" i="8"/>
  <c r="J6582" i="8"/>
  <c r="J6583" i="8"/>
  <c r="J6584" i="8"/>
  <c r="J6585" i="8"/>
  <c r="J6586" i="8"/>
  <c r="J6587" i="8"/>
  <c r="J6588" i="8"/>
  <c r="J6589" i="8"/>
  <c r="J6590" i="8"/>
  <c r="J6591" i="8"/>
  <c r="J6592" i="8"/>
  <c r="J6593" i="8"/>
  <c r="J6594" i="8"/>
  <c r="J6595" i="8"/>
  <c r="J6596" i="8"/>
  <c r="J6597" i="8"/>
  <c r="J6598" i="8"/>
  <c r="J6599" i="8"/>
  <c r="J6600" i="8"/>
  <c r="J6601" i="8"/>
  <c r="J6602" i="8"/>
  <c r="J6603" i="8"/>
  <c r="J6604" i="8"/>
  <c r="J6605" i="8"/>
  <c r="J6606" i="8"/>
  <c r="J6607" i="8"/>
  <c r="J6608" i="8"/>
  <c r="J6609" i="8"/>
  <c r="J6610" i="8"/>
  <c r="J6611" i="8"/>
  <c r="J6612" i="8"/>
  <c r="J6613" i="8"/>
  <c r="J6614" i="8"/>
  <c r="J6615" i="8"/>
  <c r="J6616" i="8"/>
  <c r="J6617" i="8"/>
  <c r="J6618" i="8"/>
  <c r="J6619" i="8"/>
  <c r="J6620" i="8"/>
  <c r="J6621" i="8"/>
  <c r="J6622" i="8"/>
  <c r="J6623" i="8"/>
  <c r="J6624" i="8"/>
  <c r="J6625" i="8"/>
  <c r="J6626" i="8"/>
  <c r="J6627" i="8"/>
  <c r="J6628" i="8"/>
  <c r="J6629" i="8"/>
  <c r="J6630" i="8"/>
  <c r="J6631" i="8"/>
  <c r="J6632" i="8"/>
  <c r="J6633" i="8"/>
  <c r="J6634" i="8"/>
  <c r="J6635" i="8"/>
  <c r="J6636" i="8"/>
  <c r="J6637" i="8"/>
  <c r="J6638" i="8"/>
  <c r="J6639" i="8"/>
  <c r="J6640" i="8"/>
  <c r="J6641" i="8"/>
  <c r="J6642" i="8"/>
  <c r="J6643" i="8"/>
  <c r="J6644" i="8"/>
  <c r="J6645" i="8"/>
  <c r="J6646" i="8"/>
  <c r="J6647" i="8"/>
  <c r="J6648" i="8"/>
  <c r="J6649" i="8"/>
  <c r="J6650" i="8"/>
  <c r="J6651" i="8"/>
  <c r="J6652" i="8"/>
  <c r="J6653" i="8"/>
  <c r="J6654" i="8"/>
  <c r="J6655" i="8"/>
  <c r="J6656" i="8"/>
  <c r="J6657" i="8"/>
  <c r="J6658" i="8"/>
  <c r="J6659" i="8"/>
  <c r="J6660" i="8"/>
  <c r="J6661" i="8"/>
  <c r="J6662" i="8"/>
  <c r="J6663" i="8"/>
  <c r="J6664" i="8"/>
  <c r="J6665" i="8"/>
  <c r="J6666" i="8"/>
  <c r="J6667" i="8"/>
  <c r="J6668" i="8"/>
  <c r="J6669" i="8"/>
  <c r="J6670" i="8"/>
  <c r="J6671" i="8"/>
  <c r="J6672" i="8"/>
  <c r="J6673" i="8"/>
  <c r="J6674" i="8"/>
  <c r="J6675" i="8"/>
  <c r="J6676" i="8"/>
  <c r="J6677" i="8"/>
  <c r="J6678" i="8"/>
  <c r="J6679" i="8"/>
  <c r="J6680" i="8"/>
  <c r="J6681" i="8"/>
  <c r="J6682" i="8"/>
  <c r="J6683" i="8"/>
  <c r="J6684" i="8"/>
  <c r="J6685" i="8"/>
  <c r="J6686" i="8"/>
  <c r="J6687" i="8"/>
  <c r="J6688" i="8"/>
  <c r="J6689" i="8"/>
  <c r="J6690" i="8"/>
  <c r="J6691" i="8"/>
  <c r="J6692" i="8"/>
  <c r="J6693" i="8"/>
  <c r="J6694" i="8"/>
  <c r="J6695" i="8"/>
  <c r="J6696" i="8"/>
  <c r="J6697" i="8"/>
  <c r="J6698" i="8"/>
  <c r="J6699" i="8"/>
  <c r="J6700" i="8"/>
  <c r="J6701" i="8"/>
  <c r="J6702" i="8"/>
  <c r="J6703" i="8"/>
  <c r="J6704" i="8"/>
  <c r="J6705" i="8"/>
  <c r="J6706" i="8"/>
  <c r="J6707" i="8"/>
  <c r="J6708" i="8"/>
  <c r="J6709" i="8"/>
  <c r="J6710" i="8"/>
  <c r="J6711" i="8"/>
  <c r="J6712" i="8"/>
  <c r="J6713" i="8"/>
  <c r="J6714" i="8"/>
  <c r="J6715" i="8"/>
  <c r="J6716" i="8"/>
  <c r="J6717" i="8"/>
  <c r="J6718" i="8"/>
  <c r="J6719" i="8"/>
  <c r="J6720" i="8"/>
  <c r="J6721" i="8"/>
  <c r="J6722" i="8"/>
  <c r="J6723" i="8"/>
  <c r="J6724" i="8"/>
  <c r="J6725" i="8"/>
  <c r="J6726" i="8"/>
  <c r="J6727" i="8"/>
  <c r="J6728" i="8"/>
  <c r="J6729" i="8"/>
  <c r="J6730" i="8"/>
  <c r="J6731" i="8"/>
  <c r="J6732" i="8"/>
  <c r="J6733" i="8"/>
  <c r="J6734" i="8"/>
  <c r="J6735" i="8"/>
  <c r="J6736" i="8"/>
  <c r="J6737" i="8"/>
  <c r="J6738" i="8"/>
  <c r="J6739" i="8"/>
  <c r="J6740" i="8"/>
  <c r="J6741" i="8"/>
  <c r="J6742" i="8"/>
  <c r="J6743" i="8"/>
  <c r="J6744" i="8"/>
  <c r="J6745" i="8"/>
  <c r="J6746" i="8"/>
  <c r="J6747" i="8"/>
  <c r="J6748" i="8"/>
  <c r="J6749" i="8"/>
  <c r="J6750" i="8"/>
  <c r="J6751" i="8"/>
  <c r="J6752" i="8"/>
  <c r="J6753" i="8"/>
  <c r="J6754" i="8"/>
  <c r="J6755" i="8"/>
  <c r="J6756" i="8"/>
  <c r="J6757" i="8"/>
  <c r="J6758" i="8"/>
  <c r="J6759" i="8"/>
  <c r="J6760" i="8"/>
  <c r="J6761" i="8"/>
  <c r="J6762" i="8"/>
  <c r="J6763" i="8"/>
  <c r="J6764" i="8"/>
  <c r="J6765" i="8"/>
  <c r="J6766" i="8"/>
  <c r="J6767" i="8"/>
  <c r="J6768" i="8"/>
  <c r="J6769" i="8"/>
  <c r="J6770" i="8"/>
  <c r="J6771" i="8"/>
  <c r="J6772" i="8"/>
  <c r="J6773" i="8"/>
  <c r="J6774" i="8"/>
  <c r="J6775" i="8"/>
  <c r="J6776" i="8"/>
  <c r="J6777" i="8"/>
  <c r="J6778" i="8"/>
  <c r="J6779" i="8"/>
  <c r="J6780" i="8"/>
  <c r="J6781" i="8"/>
  <c r="J6782" i="8"/>
  <c r="J6783" i="8"/>
  <c r="J6784" i="8"/>
  <c r="J6785" i="8"/>
  <c r="J6786" i="8"/>
  <c r="J6787" i="8"/>
  <c r="J6788" i="8"/>
  <c r="J6789" i="8"/>
  <c r="J6790" i="8"/>
  <c r="J6791" i="8"/>
  <c r="J6792" i="8"/>
  <c r="J6793" i="8"/>
  <c r="J6794" i="8"/>
  <c r="J6795" i="8"/>
  <c r="J6796" i="8"/>
  <c r="J6797" i="8"/>
  <c r="J6798" i="8"/>
  <c r="J6799" i="8"/>
  <c r="J6800" i="8"/>
  <c r="J6801" i="8"/>
  <c r="J6802" i="8"/>
  <c r="J6804" i="8"/>
  <c r="J6805" i="8"/>
  <c r="J6806" i="8"/>
  <c r="J6807" i="8"/>
  <c r="J6808" i="8"/>
  <c r="J6809" i="8"/>
  <c r="J6810" i="8"/>
  <c r="J6811" i="8"/>
  <c r="J6812" i="8"/>
  <c r="J6813" i="8"/>
  <c r="J6814" i="8"/>
  <c r="J6815" i="8"/>
  <c r="J6816" i="8"/>
  <c r="J6817" i="8"/>
  <c r="J6818" i="8"/>
  <c r="J6820" i="8"/>
  <c r="J6822" i="8"/>
  <c r="J6823" i="8"/>
  <c r="J6824" i="8"/>
  <c r="J6825" i="8"/>
  <c r="J6826" i="8"/>
  <c r="J6827" i="8"/>
  <c r="J6828" i="8"/>
  <c r="J6829" i="8"/>
  <c r="J6830" i="8"/>
  <c r="J6831" i="8"/>
  <c r="J6832" i="8"/>
  <c r="J6833" i="8"/>
  <c r="J6834" i="8"/>
  <c r="J6835" i="8"/>
  <c r="J6836" i="8"/>
  <c r="J6838" i="8"/>
  <c r="J6839" i="8"/>
  <c r="J6840" i="8"/>
  <c r="J6841" i="8"/>
  <c r="J6842" i="8"/>
  <c r="J6843" i="8"/>
  <c r="J6844" i="8"/>
  <c r="J6845" i="8"/>
  <c r="J6846" i="8"/>
  <c r="J6847" i="8"/>
  <c r="J6848" i="8"/>
  <c r="J6849" i="8"/>
  <c r="J6850" i="8"/>
  <c r="J6851" i="8"/>
  <c r="J6852" i="8"/>
  <c r="J6853" i="8"/>
  <c r="J6854" i="8"/>
  <c r="J6855" i="8"/>
  <c r="J6856" i="8"/>
  <c r="J6857" i="8"/>
  <c r="J6858" i="8"/>
  <c r="J6860" i="8"/>
  <c r="J6861" i="8"/>
  <c r="J6862" i="8"/>
  <c r="J6863" i="8"/>
  <c r="J6864" i="8"/>
  <c r="J6865" i="8"/>
  <c r="J6866" i="8"/>
  <c r="J6867" i="8"/>
  <c r="J6868" i="8"/>
  <c r="J6869" i="8"/>
  <c r="J6870" i="8"/>
  <c r="J6871" i="8"/>
  <c r="J6872" i="8"/>
  <c r="J6873" i="8"/>
  <c r="J6874" i="8"/>
  <c r="J6876" i="8"/>
  <c r="J6881" i="8"/>
  <c r="J6882" i="8"/>
  <c r="J6883" i="8"/>
  <c r="J6884" i="8"/>
  <c r="J6885" i="8"/>
  <c r="J6886" i="8"/>
  <c r="J6887" i="8"/>
  <c r="J6888" i="8"/>
  <c r="J6889" i="8"/>
  <c r="J6890" i="8"/>
  <c r="J6891" i="8"/>
  <c r="J6892" i="8"/>
  <c r="J6893" i="8"/>
  <c r="J6894" i="8"/>
  <c r="J6895" i="8"/>
  <c r="J6896" i="8"/>
  <c r="J6897" i="8"/>
  <c r="J6898" i="8"/>
  <c r="J6899" i="8"/>
  <c r="J6900" i="8"/>
  <c r="J6901" i="8"/>
  <c r="J6902" i="8"/>
  <c r="J6903" i="8"/>
  <c r="J6904" i="8"/>
  <c r="J6905" i="8"/>
  <c r="J6906" i="8"/>
  <c r="J6907" i="8"/>
  <c r="J6908" i="8"/>
  <c r="J6909" i="8"/>
  <c r="J6910" i="8"/>
  <c r="J6911" i="8"/>
  <c r="J6912" i="8"/>
  <c r="J6913" i="8"/>
  <c r="J6914" i="8"/>
  <c r="J6915" i="8"/>
  <c r="J6916" i="8"/>
  <c r="J6917" i="8"/>
  <c r="J6918" i="8"/>
  <c r="J6919" i="8"/>
  <c r="J6920" i="8"/>
  <c r="J6921" i="8"/>
  <c r="J6922" i="8"/>
  <c r="J6923" i="8"/>
  <c r="J6924" i="8"/>
  <c r="J6925" i="8"/>
  <c r="J6926" i="8"/>
  <c r="J6927" i="8"/>
  <c r="J6928" i="8"/>
  <c r="J6929" i="8"/>
  <c r="J6930" i="8"/>
  <c r="J6931" i="8"/>
  <c r="J6932" i="8"/>
  <c r="J6933" i="8"/>
  <c r="J6934" i="8"/>
  <c r="J6935" i="8"/>
  <c r="J6936" i="8"/>
  <c r="J6937" i="8"/>
  <c r="J6938" i="8"/>
  <c r="J6939" i="8"/>
  <c r="J6940" i="8"/>
  <c r="J6942" i="8"/>
  <c r="J6943" i="8"/>
  <c r="J6944" i="8"/>
  <c r="J6945" i="8"/>
  <c r="J6946" i="8"/>
  <c r="J6947" i="8"/>
  <c r="J6948" i="8"/>
  <c r="J6949" i="8"/>
  <c r="J6950" i="8"/>
  <c r="J6951" i="8"/>
  <c r="J6952" i="8"/>
  <c r="J6954" i="8"/>
  <c r="J6955" i="8"/>
  <c r="J6956" i="8"/>
  <c r="J6957" i="8"/>
  <c r="J6959" i="8"/>
  <c r="J6961" i="8"/>
  <c r="J6962" i="8"/>
  <c r="J6963" i="8"/>
  <c r="J6964" i="8"/>
  <c r="J6965" i="8"/>
  <c r="J6966" i="8"/>
  <c r="J6967" i="8"/>
  <c r="J6968" i="8"/>
  <c r="J6969" i="8"/>
  <c r="J6970" i="8"/>
  <c r="J6972" i="8"/>
  <c r="J6973" i="8"/>
  <c r="J6974" i="8"/>
  <c r="J6975" i="8"/>
  <c r="J6977" i="8"/>
  <c r="J6980" i="8"/>
  <c r="J6981" i="8"/>
  <c r="J6982" i="8"/>
  <c r="J6983" i="8"/>
  <c r="J6984" i="8"/>
  <c r="J6985" i="8"/>
  <c r="J6986" i="8"/>
  <c r="J6987" i="8"/>
  <c r="J6988" i="8"/>
  <c r="J6989" i="8"/>
  <c r="J6991" i="8"/>
  <c r="J6992" i="8"/>
  <c r="J6993" i="8"/>
  <c r="J6994" i="8"/>
  <c r="J6996" i="8"/>
  <c r="J6999" i="8"/>
  <c r="J7000" i="8"/>
  <c r="J7001" i="8"/>
  <c r="J7002" i="8"/>
  <c r="J7003" i="8"/>
  <c r="J7004" i="8"/>
  <c r="J7005" i="8"/>
  <c r="J7006" i="8"/>
  <c r="J7007" i="8"/>
  <c r="J7008" i="8"/>
  <c r="J7010" i="8"/>
  <c r="J7011" i="8"/>
  <c r="J7012" i="8"/>
  <c r="J7013" i="8"/>
  <c r="J7015" i="8"/>
  <c r="J7016" i="8"/>
  <c r="J7017" i="8"/>
  <c r="J7018" i="8"/>
  <c r="J7019" i="8"/>
  <c r="J7020" i="8"/>
  <c r="J7021" i="8"/>
  <c r="J7022" i="8"/>
  <c r="J7023" i="8"/>
  <c r="J7024" i="8"/>
  <c r="J7025" i="8"/>
  <c r="J7026" i="8"/>
  <c r="J7027" i="8"/>
  <c r="J7028" i="8"/>
  <c r="J7029" i="8"/>
  <c r="J7030" i="8"/>
  <c r="J7031" i="8"/>
  <c r="J7032" i="8"/>
  <c r="J7033" i="8"/>
  <c r="J7034" i="8"/>
  <c r="J7035" i="8"/>
  <c r="J7036" i="8"/>
  <c r="J7037" i="8"/>
  <c r="J7038" i="8"/>
  <c r="J7039" i="8"/>
  <c r="J7040" i="8"/>
  <c r="J7041" i="8"/>
  <c r="J7042" i="8"/>
  <c r="J7043" i="8"/>
  <c r="J7044" i="8"/>
  <c r="J7045" i="8"/>
  <c r="J7046" i="8"/>
  <c r="J7047" i="8"/>
  <c r="J7048" i="8"/>
  <c r="J7049" i="8"/>
  <c r="J7050" i="8"/>
  <c r="J7051" i="8"/>
  <c r="J7052" i="8"/>
  <c r="J7053" i="8"/>
  <c r="J7054" i="8"/>
  <c r="J7055" i="8"/>
  <c r="J7056" i="8"/>
  <c r="J7057" i="8"/>
  <c r="J7058" i="8"/>
  <c r="J7059" i="8"/>
  <c r="J7060" i="8"/>
  <c r="J7061" i="8"/>
  <c r="J7062" i="8"/>
  <c r="J7063" i="8"/>
  <c r="J7064" i="8"/>
  <c r="J7065" i="8"/>
  <c r="J7066" i="8"/>
  <c r="J7067" i="8"/>
  <c r="J7068" i="8"/>
  <c r="J7069" i="8"/>
  <c r="J7070" i="8"/>
  <c r="J7071" i="8"/>
  <c r="J7072" i="8"/>
  <c r="J7073" i="8"/>
  <c r="J7074" i="8"/>
  <c r="J7075" i="8"/>
  <c r="J7076" i="8"/>
  <c r="J7077" i="8"/>
  <c r="J7078" i="8"/>
  <c r="J7079" i="8"/>
  <c r="J7080" i="8"/>
  <c r="J7081" i="8"/>
  <c r="J7082" i="8"/>
  <c r="J7083" i="8"/>
  <c r="J7084" i="8"/>
  <c r="J7085" i="8"/>
  <c r="J7086" i="8"/>
  <c r="J7087" i="8"/>
  <c r="J7088" i="8"/>
  <c r="J7089" i="8"/>
  <c r="J7090" i="8"/>
  <c r="J7091" i="8"/>
  <c r="J7092" i="8"/>
  <c r="J7093" i="8"/>
  <c r="J7094" i="8"/>
  <c r="J7095" i="8"/>
  <c r="J7096" i="8"/>
  <c r="J7097" i="8"/>
  <c r="J7098" i="8"/>
  <c r="J7099" i="8"/>
  <c r="J7100" i="8"/>
  <c r="J7101" i="8"/>
  <c r="J7102" i="8"/>
  <c r="J7103" i="8"/>
  <c r="J7104" i="8"/>
  <c r="J7105" i="8"/>
  <c r="J7106" i="8"/>
  <c r="J7107" i="8"/>
  <c r="J7108" i="8"/>
  <c r="J7109" i="8"/>
  <c r="J7110" i="8"/>
  <c r="J7111" i="8"/>
  <c r="J7112" i="8"/>
  <c r="J7113" i="8"/>
  <c r="J7114" i="8"/>
  <c r="J7115" i="8"/>
  <c r="J7116" i="8"/>
  <c r="J7117" i="8"/>
  <c r="J7118" i="8"/>
  <c r="J7119" i="8"/>
  <c r="J7120" i="8"/>
  <c r="J7121" i="8"/>
  <c r="J7122" i="8"/>
  <c r="J7123" i="8"/>
  <c r="J7124" i="8"/>
  <c r="J7125" i="8"/>
  <c r="J7126" i="8"/>
  <c r="J7127" i="8"/>
  <c r="J7128" i="8"/>
  <c r="J7129" i="8"/>
  <c r="J7130" i="8"/>
  <c r="J7131" i="8"/>
  <c r="J7132" i="8"/>
  <c r="J7133" i="8"/>
  <c r="J7134" i="8"/>
  <c r="J7135" i="8"/>
  <c r="J7136" i="8"/>
  <c r="J7137" i="8"/>
  <c r="J7138" i="8"/>
  <c r="J7139" i="8"/>
  <c r="J7140" i="8"/>
  <c r="J7141" i="8"/>
  <c r="J7142" i="8"/>
  <c r="J7143" i="8"/>
  <c r="J7144" i="8"/>
  <c r="J7145" i="8"/>
  <c r="J7146" i="8"/>
  <c r="J7147" i="8"/>
  <c r="J7148" i="8"/>
  <c r="J7149" i="8"/>
  <c r="J7150" i="8"/>
  <c r="J7151" i="8"/>
  <c r="J7152" i="8"/>
  <c r="J7153" i="8"/>
  <c r="J7154" i="8"/>
  <c r="J7155" i="8"/>
  <c r="J7156" i="8"/>
  <c r="J7157" i="8"/>
  <c r="J7158" i="8"/>
  <c r="J7159" i="8"/>
  <c r="J7160" i="8"/>
  <c r="J7161" i="8"/>
  <c r="J7162" i="8"/>
  <c r="J7163" i="8"/>
  <c r="J7164" i="8"/>
  <c r="J7165" i="8"/>
  <c r="J7166" i="8"/>
  <c r="J7167" i="8"/>
  <c r="J7168" i="8"/>
  <c r="J7169" i="8"/>
  <c r="J7170" i="8"/>
  <c r="J7171" i="8"/>
  <c r="J7172" i="8"/>
  <c r="J7173" i="8"/>
  <c r="J7174" i="8"/>
  <c r="J7175" i="8"/>
  <c r="J7176" i="8"/>
  <c r="J7177" i="8"/>
  <c r="J7178" i="8"/>
  <c r="J7179" i="8"/>
  <c r="J7180" i="8"/>
  <c r="J7181" i="8"/>
  <c r="J7182" i="8"/>
  <c r="J7183" i="8"/>
  <c r="J7184" i="8"/>
  <c r="J7185" i="8"/>
  <c r="J7186" i="8"/>
  <c r="J7187" i="8"/>
  <c r="J7188" i="8"/>
  <c r="J7189" i="8"/>
  <c r="J7190" i="8"/>
  <c r="J7191" i="8"/>
  <c r="J7192" i="8"/>
  <c r="J7193" i="8"/>
  <c r="J7194" i="8"/>
  <c r="J7195" i="8"/>
  <c r="J7196" i="8"/>
  <c r="J7197" i="8"/>
  <c r="J7198" i="8"/>
  <c r="J7199" i="8"/>
  <c r="J7200" i="8"/>
  <c r="J7201" i="8"/>
  <c r="J7202" i="8"/>
  <c r="J7203" i="8"/>
  <c r="J7204" i="8"/>
  <c r="J7205" i="8"/>
  <c r="J7206" i="8"/>
  <c r="J7207" i="8"/>
  <c r="J7208" i="8"/>
  <c r="J7209" i="8"/>
  <c r="J7210" i="8"/>
  <c r="J7211" i="8"/>
  <c r="J7212" i="8"/>
  <c r="J7213" i="8"/>
  <c r="J7214" i="8"/>
  <c r="J7215" i="8"/>
  <c r="J7216" i="8"/>
  <c r="J7217" i="8"/>
  <c r="J7218" i="8"/>
  <c r="J7219" i="8"/>
  <c r="J7220" i="8"/>
  <c r="J7221" i="8"/>
  <c r="J7222" i="8"/>
  <c r="J7223" i="8"/>
  <c r="J7224" i="8"/>
  <c r="J7225" i="8"/>
  <c r="J7226" i="8"/>
  <c r="J7227" i="8"/>
  <c r="J7228" i="8"/>
  <c r="J7229" i="8"/>
  <c r="J7230" i="8"/>
  <c r="J7231" i="8"/>
  <c r="J7232" i="8"/>
  <c r="J7233" i="8"/>
  <c r="J7234" i="8"/>
  <c r="J7235" i="8"/>
  <c r="J7236" i="8"/>
  <c r="J7237" i="8"/>
  <c r="J7238" i="8"/>
  <c r="J7239" i="8"/>
  <c r="J7240" i="8"/>
  <c r="J7241" i="8"/>
  <c r="J7242" i="8"/>
  <c r="J7243" i="8"/>
  <c r="J7244" i="8"/>
  <c r="J7245" i="8"/>
  <c r="J7246" i="8"/>
  <c r="J7247" i="8"/>
  <c r="J7248" i="8"/>
  <c r="J7249" i="8"/>
  <c r="J7250" i="8"/>
  <c r="J7251" i="8"/>
  <c r="J7252" i="8"/>
  <c r="J7253" i="8"/>
  <c r="J7254" i="8"/>
  <c r="J7255" i="8"/>
  <c r="J7256" i="8"/>
  <c r="J7257" i="8"/>
  <c r="J7258" i="8"/>
  <c r="J7259" i="8"/>
  <c r="J7260" i="8"/>
  <c r="J7261" i="8"/>
  <c r="J7262" i="8"/>
  <c r="J7263" i="8"/>
  <c r="J7264" i="8"/>
  <c r="J7265" i="8"/>
  <c r="J7266" i="8"/>
  <c r="J7267" i="8"/>
  <c r="J7268" i="8"/>
  <c r="J7269" i="8"/>
  <c r="J7270" i="8"/>
  <c r="J7271" i="8"/>
  <c r="J7272" i="8"/>
  <c r="J7273" i="8"/>
  <c r="J7274" i="8"/>
  <c r="J7275" i="8"/>
  <c r="J7276" i="8"/>
  <c r="J7277" i="8"/>
  <c r="J7278" i="8"/>
  <c r="J7279" i="8"/>
  <c r="J7280" i="8"/>
  <c r="J7281" i="8"/>
  <c r="J7282" i="8"/>
  <c r="J7283" i="8"/>
  <c r="J7284" i="8"/>
  <c r="J7285" i="8"/>
  <c r="J7286" i="8"/>
  <c r="J7287" i="8"/>
  <c r="J7288" i="8"/>
  <c r="J7289" i="8"/>
  <c r="J7290" i="8"/>
  <c r="J7291" i="8"/>
  <c r="J7292" i="8"/>
  <c r="J7293" i="8"/>
  <c r="J7294" i="8"/>
  <c r="J7295" i="8"/>
  <c r="J7296" i="8"/>
  <c r="J7297" i="8"/>
  <c r="J7298" i="8"/>
  <c r="J7299" i="8"/>
  <c r="J7300" i="8"/>
  <c r="J7301" i="8"/>
  <c r="J7302" i="8"/>
  <c r="J7303" i="8"/>
  <c r="J7304" i="8"/>
  <c r="J7305" i="8"/>
  <c r="J7306" i="8"/>
  <c r="J7307" i="8"/>
  <c r="J7308" i="8"/>
  <c r="J7309" i="8"/>
  <c r="J7310" i="8"/>
  <c r="J7311" i="8"/>
  <c r="J7312" i="8"/>
  <c r="J7313" i="8"/>
  <c r="J7314" i="8"/>
  <c r="J7315" i="8"/>
  <c r="J7316" i="8"/>
  <c r="J7317" i="8"/>
  <c r="J7318" i="8"/>
  <c r="J7319" i="8"/>
  <c r="J7320" i="8"/>
  <c r="J7321" i="8"/>
  <c r="J7322" i="8"/>
  <c r="J7323" i="8"/>
  <c r="J7324" i="8"/>
  <c r="J7325" i="8"/>
  <c r="J7326" i="8"/>
  <c r="J7327" i="8"/>
  <c r="J7328" i="8"/>
  <c r="J7329" i="8"/>
  <c r="J7330" i="8"/>
  <c r="J7331" i="8"/>
  <c r="J7332" i="8"/>
  <c r="J7333" i="8"/>
  <c r="J7334" i="8"/>
  <c r="J7335" i="8"/>
  <c r="J7336" i="8"/>
  <c r="J7337" i="8"/>
  <c r="J7338" i="8"/>
  <c r="J7339" i="8"/>
  <c r="J7340" i="8"/>
  <c r="J7341" i="8"/>
  <c r="J7342" i="8"/>
  <c r="J7343" i="8"/>
  <c r="J7344" i="8"/>
  <c r="J7345" i="8"/>
  <c r="J7346" i="8"/>
  <c r="J7348" i="8"/>
  <c r="J7349" i="8"/>
  <c r="J7350" i="8"/>
  <c r="J7351" i="8"/>
  <c r="J7352" i="8"/>
  <c r="J7353" i="8"/>
  <c r="J7354" i="8"/>
  <c r="J7355" i="8"/>
  <c r="J7356" i="8"/>
  <c r="J7357" i="8"/>
  <c r="J7358" i="8"/>
  <c r="J7359" i="8"/>
  <c r="J7360" i="8"/>
  <c r="J7361" i="8"/>
  <c r="J7362" i="8"/>
  <c r="J7364" i="8"/>
  <c r="J7365" i="8"/>
  <c r="J7366" i="8"/>
  <c r="J7367" i="8"/>
  <c r="J7368" i="8"/>
  <c r="J7369" i="8"/>
  <c r="J7370" i="8"/>
  <c r="J7371" i="8"/>
  <c r="J7372" i="8"/>
  <c r="J7374" i="8"/>
  <c r="J7375" i="8"/>
  <c r="J7376" i="8"/>
  <c r="J7377" i="8"/>
  <c r="J7378" i="8"/>
  <c r="J7379" i="8"/>
  <c r="J7380" i="8"/>
  <c r="J7381" i="8"/>
  <c r="J7382" i="8"/>
  <c r="J7383" i="8"/>
  <c r="J7384" i="8"/>
  <c r="J7385" i="8"/>
  <c r="J7386" i="8"/>
  <c r="J7387" i="8"/>
  <c r="J7388" i="8"/>
  <c r="J7390" i="8"/>
  <c r="J7392" i="8"/>
  <c r="J7393" i="8"/>
  <c r="J7394" i="8"/>
  <c r="J7395" i="8"/>
  <c r="J7396" i="8"/>
  <c r="J7397" i="8"/>
  <c r="J7398" i="8"/>
  <c r="J7399" i="8"/>
  <c r="J7400" i="8"/>
  <c r="J7401" i="8"/>
  <c r="J7402" i="8"/>
  <c r="J7403" i="8"/>
  <c r="J7404" i="8"/>
  <c r="J7405" i="8"/>
  <c r="J7406" i="8"/>
  <c r="J7408" i="8"/>
  <c r="J7409" i="8"/>
  <c r="J7411" i="8"/>
  <c r="J7412" i="8"/>
  <c r="J7413" i="8"/>
  <c r="J7414" i="8"/>
  <c r="J7415" i="8"/>
  <c r="J7416" i="8"/>
  <c r="J7417" i="8"/>
  <c r="J7418" i="8"/>
  <c r="J7419" i="8"/>
  <c r="J7420" i="8"/>
  <c r="J7421" i="8"/>
  <c r="J7422" i="8"/>
  <c r="J7423" i="8"/>
  <c r="J7424" i="8"/>
  <c r="J7425" i="8"/>
  <c r="J7427" i="8"/>
  <c r="J7428" i="8"/>
  <c r="J7430" i="8"/>
  <c r="J7431" i="8"/>
  <c r="J7432" i="8"/>
  <c r="J7433" i="8"/>
  <c r="J7434" i="8"/>
  <c r="J7435" i="8"/>
  <c r="J7436" i="8"/>
  <c r="J7437" i="8"/>
  <c r="J7438" i="8"/>
  <c r="J7439" i="8"/>
  <c r="J7440" i="8"/>
  <c r="J7441" i="8"/>
  <c r="J7442" i="8"/>
  <c r="J7443" i="8"/>
  <c r="J7444" i="8"/>
  <c r="J7446" i="8"/>
  <c r="J7447" i="8"/>
  <c r="J7452" i="8"/>
  <c r="J7453" i="8"/>
  <c r="J7454" i="8"/>
  <c r="J7455" i="8"/>
  <c r="J7456" i="8"/>
  <c r="J7457" i="8"/>
  <c r="J7458" i="8"/>
  <c r="J7459" i="8"/>
  <c r="J7460" i="8"/>
  <c r="J7461" i="8"/>
  <c r="J7462" i="8"/>
  <c r="J7463" i="8"/>
  <c r="J7464" i="8"/>
  <c r="J7465" i="8"/>
  <c r="J7466" i="8"/>
  <c r="J7467" i="8"/>
  <c r="J7468" i="8"/>
  <c r="J7469" i="8"/>
  <c r="J7470" i="8"/>
  <c r="J7471" i="8"/>
  <c r="J7472" i="8"/>
  <c r="J7473" i="8"/>
  <c r="J7474" i="8"/>
  <c r="J7475" i="8"/>
  <c r="J7476" i="8"/>
  <c r="J7477" i="8"/>
  <c r="J7478" i="8"/>
  <c r="J7479" i="8"/>
  <c r="J7480" i="8"/>
  <c r="J7481" i="8"/>
  <c r="J7482" i="8"/>
  <c r="J7483" i="8"/>
  <c r="J7484" i="8"/>
  <c r="J7485" i="8"/>
  <c r="J7486" i="8"/>
  <c r="J7487" i="8"/>
  <c r="J7488" i="8"/>
  <c r="J7489" i="8"/>
  <c r="J7490" i="8"/>
  <c r="J7491" i="8"/>
  <c r="J7492" i="8"/>
  <c r="J7493" i="8"/>
  <c r="J7494" i="8"/>
  <c r="J7495" i="8"/>
  <c r="J7496" i="8"/>
  <c r="J7497" i="8"/>
  <c r="J7498" i="8"/>
  <c r="J7499" i="8"/>
  <c r="J7500" i="8"/>
  <c r="J7501" i="8"/>
  <c r="J7502" i="8"/>
  <c r="J7503" i="8"/>
  <c r="J7504" i="8"/>
  <c r="J7505" i="8"/>
  <c r="J7506" i="8"/>
  <c r="J7507" i="8"/>
  <c r="J7508" i="8"/>
  <c r="J7509" i="8"/>
  <c r="J7510" i="8"/>
  <c r="J7511" i="8"/>
  <c r="J7515" i="8"/>
  <c r="J7516" i="8"/>
  <c r="J7517" i="8"/>
  <c r="J7518" i="8"/>
  <c r="J7519" i="8"/>
  <c r="J7520" i="8"/>
  <c r="J7521" i="8"/>
  <c r="J7522" i="8"/>
  <c r="J7523" i="8"/>
  <c r="J7524" i="8"/>
  <c r="J7525" i="8"/>
  <c r="J7526" i="8"/>
  <c r="J7527" i="8"/>
  <c r="J7528" i="8"/>
  <c r="J7533" i="8"/>
  <c r="J7534" i="8"/>
  <c r="J7535" i="8"/>
  <c r="J7536" i="8"/>
  <c r="J7537" i="8"/>
  <c r="J7538" i="8"/>
  <c r="J7539" i="8"/>
  <c r="J7540" i="8"/>
  <c r="J7541" i="8"/>
  <c r="J7542" i="8"/>
  <c r="J7543" i="8"/>
  <c r="J7544" i="8"/>
  <c r="J7545" i="8"/>
  <c r="J7546" i="8"/>
  <c r="J7549" i="8"/>
  <c r="J7552" i="8"/>
  <c r="J7553" i="8"/>
  <c r="J7554" i="8"/>
  <c r="J7555" i="8"/>
  <c r="J7556" i="8"/>
  <c r="J7557" i="8"/>
  <c r="J7558" i="8"/>
  <c r="J7559" i="8"/>
  <c r="J7560" i="8"/>
  <c r="J7561" i="8"/>
  <c r="J7562" i="8"/>
  <c r="J7563" i="8"/>
  <c r="J7564" i="8"/>
  <c r="J7565" i="8"/>
  <c r="J7568" i="8"/>
  <c r="J7571" i="8"/>
  <c r="J7572" i="8"/>
  <c r="J7573" i="8"/>
  <c r="J7574" i="8"/>
  <c r="J7575" i="8"/>
  <c r="J7576" i="8"/>
  <c r="J7577" i="8"/>
  <c r="J7578" i="8"/>
  <c r="J7579" i="8"/>
  <c r="J7580" i="8"/>
  <c r="J7581" i="8"/>
  <c r="J7582" i="8"/>
  <c r="J7583" i="8"/>
  <c r="J7584" i="8"/>
  <c r="J7587" i="8"/>
  <c r="J7588" i="8"/>
  <c r="J7589" i="8"/>
  <c r="J7590" i="8"/>
  <c r="J7591" i="8"/>
  <c r="J7592" i="8"/>
  <c r="J7593" i="8"/>
  <c r="J7594" i="8"/>
  <c r="J7595" i="8"/>
  <c r="J7596" i="8"/>
  <c r="J7597" i="8"/>
  <c r="J7598" i="8"/>
  <c r="J7599" i="8"/>
  <c r="J7600" i="8"/>
  <c r="J7601" i="8"/>
  <c r="J7602" i="8"/>
  <c r="J7603" i="8"/>
  <c r="J7604" i="8"/>
  <c r="J7605" i="8"/>
  <c r="J7606" i="8"/>
  <c r="J7607" i="8"/>
  <c r="J7608" i="8"/>
  <c r="J7609" i="8"/>
  <c r="J7610" i="8"/>
  <c r="J7611" i="8"/>
  <c r="J7612" i="8"/>
  <c r="J7613" i="8"/>
  <c r="J7614" i="8"/>
  <c r="J7615" i="8"/>
  <c r="J7616" i="8"/>
  <c r="J7617" i="8"/>
  <c r="J7618" i="8"/>
  <c r="J7619" i="8"/>
  <c r="J7620" i="8"/>
  <c r="J7621" i="8"/>
  <c r="J7622" i="8"/>
  <c r="J7623" i="8"/>
  <c r="J7624" i="8"/>
  <c r="J7625" i="8"/>
  <c r="J7626" i="8"/>
  <c r="J7627" i="8"/>
  <c r="J7628" i="8"/>
  <c r="J7629" i="8"/>
  <c r="J7630" i="8"/>
  <c r="J7631" i="8"/>
  <c r="J7632" i="8"/>
  <c r="J7633" i="8"/>
  <c r="J7634" i="8"/>
  <c r="J7635" i="8"/>
  <c r="J7636" i="8"/>
  <c r="J7637" i="8"/>
  <c r="J7638" i="8"/>
  <c r="J7639" i="8"/>
  <c r="J7640" i="8"/>
  <c r="J7641" i="8"/>
  <c r="J7642" i="8"/>
  <c r="J7643" i="8"/>
  <c r="J7644" i="8"/>
  <c r="J7645" i="8"/>
  <c r="J7646" i="8"/>
  <c r="J7647" i="8"/>
  <c r="J7648" i="8"/>
  <c r="J7649" i="8"/>
  <c r="J7650" i="8"/>
  <c r="J7651" i="8"/>
  <c r="J7652" i="8"/>
  <c r="J7653" i="8"/>
  <c r="J7654" i="8"/>
  <c r="J7655" i="8"/>
  <c r="J7656" i="8"/>
  <c r="J7657" i="8"/>
  <c r="J7658" i="8"/>
  <c r="J7659" i="8"/>
  <c r="J7660" i="8"/>
  <c r="J7661" i="8"/>
  <c r="J7662" i="8"/>
  <c r="J7663" i="8"/>
  <c r="J7664" i="8"/>
  <c r="J7665" i="8"/>
  <c r="J7666" i="8"/>
  <c r="J7667" i="8"/>
  <c r="J7668" i="8"/>
  <c r="J7669" i="8"/>
  <c r="J7670" i="8"/>
  <c r="J7671" i="8"/>
  <c r="J7672" i="8"/>
  <c r="J7673" i="8"/>
  <c r="J7674" i="8"/>
  <c r="J7675" i="8"/>
  <c r="J7676" i="8"/>
  <c r="J7677" i="8"/>
  <c r="J7678" i="8"/>
  <c r="J7679" i="8"/>
  <c r="J7680" i="8"/>
  <c r="J7681" i="8"/>
  <c r="J7682" i="8"/>
  <c r="J7683" i="8"/>
  <c r="J7684" i="8"/>
  <c r="J7685" i="8"/>
  <c r="J7686" i="8"/>
  <c r="J7687" i="8"/>
  <c r="J7688" i="8"/>
  <c r="J7689" i="8"/>
  <c r="J7690" i="8"/>
  <c r="J7691" i="8"/>
  <c r="J7692" i="8"/>
  <c r="J7693" i="8"/>
  <c r="J7694" i="8"/>
  <c r="J7695" i="8"/>
  <c r="J7696" i="8"/>
  <c r="J7697" i="8"/>
  <c r="J7698" i="8"/>
  <c r="J7699" i="8"/>
  <c r="J7700" i="8"/>
  <c r="J7701" i="8"/>
  <c r="J7702" i="8"/>
  <c r="J7703" i="8"/>
  <c r="J7704" i="8"/>
  <c r="J7705" i="8"/>
  <c r="J7706" i="8"/>
  <c r="J7707" i="8"/>
  <c r="J7708" i="8"/>
  <c r="J7709" i="8"/>
  <c r="J7710" i="8"/>
  <c r="J7711" i="8"/>
  <c r="J7712" i="8"/>
  <c r="J7713" i="8"/>
  <c r="J7714" i="8"/>
  <c r="J7715" i="8"/>
  <c r="J7716" i="8"/>
  <c r="J7717" i="8"/>
  <c r="J7718" i="8"/>
  <c r="J7719" i="8"/>
  <c r="J7720" i="8"/>
  <c r="J7721" i="8"/>
  <c r="J7722" i="8"/>
  <c r="J7723" i="8"/>
  <c r="J7724" i="8"/>
  <c r="J7725" i="8"/>
  <c r="J7726" i="8"/>
  <c r="J7727" i="8"/>
  <c r="J7728" i="8"/>
  <c r="J7729" i="8"/>
  <c r="J7730" i="8"/>
  <c r="J7731" i="8"/>
  <c r="J7732" i="8"/>
  <c r="J7733" i="8"/>
  <c r="J7734" i="8"/>
  <c r="J7735" i="8"/>
  <c r="J7736" i="8"/>
  <c r="J7737" i="8"/>
  <c r="J7738" i="8"/>
  <c r="J7739" i="8"/>
  <c r="J7740" i="8"/>
  <c r="J7741" i="8"/>
  <c r="J7742" i="8"/>
  <c r="J7743" i="8"/>
  <c r="J7744" i="8"/>
  <c r="J7745" i="8"/>
  <c r="J7746" i="8"/>
  <c r="J7747" i="8"/>
  <c r="J7748" i="8"/>
  <c r="J7749" i="8"/>
  <c r="J7750" i="8"/>
  <c r="J7751" i="8"/>
  <c r="J7752" i="8"/>
  <c r="J7753" i="8"/>
  <c r="J7754" i="8"/>
  <c r="J7755" i="8"/>
  <c r="J7756" i="8"/>
  <c r="J7757" i="8"/>
  <c r="J7758" i="8"/>
  <c r="J7759" i="8"/>
  <c r="J7760" i="8"/>
  <c r="J7761" i="8"/>
  <c r="J7762" i="8"/>
  <c r="J7763" i="8"/>
  <c r="J7764" i="8"/>
  <c r="J7765" i="8"/>
  <c r="J7766" i="8"/>
  <c r="J7767" i="8"/>
  <c r="J7768" i="8"/>
  <c r="J7769" i="8"/>
  <c r="J7770" i="8"/>
  <c r="J7771" i="8"/>
  <c r="J7772" i="8"/>
  <c r="J7773" i="8"/>
  <c r="J7774" i="8"/>
  <c r="J7775" i="8"/>
  <c r="J7776" i="8"/>
  <c r="J7777" i="8"/>
  <c r="J7778" i="8"/>
  <c r="J7779" i="8"/>
  <c r="J7780" i="8"/>
  <c r="J7781" i="8"/>
  <c r="J7782" i="8"/>
  <c r="J7783" i="8"/>
  <c r="J7784" i="8"/>
  <c r="J7785" i="8"/>
  <c r="J7786" i="8"/>
  <c r="J7787" i="8"/>
  <c r="J7788" i="8"/>
  <c r="J7789" i="8"/>
  <c r="J7790" i="8"/>
  <c r="J7791" i="8"/>
  <c r="J7792" i="8"/>
  <c r="J7793" i="8"/>
  <c r="J7794" i="8"/>
  <c r="J7795" i="8"/>
  <c r="J7796" i="8"/>
  <c r="J7797" i="8"/>
  <c r="J7798" i="8"/>
  <c r="J7799" i="8"/>
  <c r="J7800" i="8"/>
  <c r="J7801" i="8"/>
  <c r="J7802" i="8"/>
  <c r="J7803" i="8"/>
  <c r="J7804" i="8"/>
  <c r="J7805" i="8"/>
  <c r="J7806" i="8"/>
  <c r="J7807" i="8"/>
  <c r="J7808" i="8"/>
  <c r="J7809" i="8"/>
  <c r="J7810" i="8"/>
  <c r="J7811" i="8"/>
  <c r="J7812" i="8"/>
  <c r="J7813" i="8"/>
  <c r="J7814" i="8"/>
  <c r="J7815" i="8"/>
  <c r="J7816" i="8"/>
  <c r="J7817" i="8"/>
  <c r="J7818" i="8"/>
  <c r="J7819" i="8"/>
  <c r="J7820" i="8"/>
  <c r="J7821" i="8"/>
  <c r="J7822" i="8"/>
  <c r="J7823" i="8"/>
  <c r="J7824" i="8"/>
  <c r="J7825" i="8"/>
  <c r="J7826" i="8"/>
  <c r="J7827" i="8"/>
  <c r="J7832" i="8"/>
  <c r="J7833" i="8"/>
  <c r="J7834" i="8"/>
  <c r="J7835" i="8"/>
  <c r="J7836" i="8"/>
  <c r="J7837" i="8"/>
  <c r="J7838" i="8"/>
  <c r="J7839" i="8"/>
  <c r="J7840" i="8"/>
  <c r="J7841" i="8"/>
  <c r="J7842" i="8"/>
  <c r="J7843" i="8"/>
  <c r="J7844" i="8"/>
  <c r="J7845" i="8"/>
  <c r="J7846" i="8"/>
  <c r="J7847" i="8"/>
  <c r="J7848" i="8"/>
  <c r="J7849" i="8"/>
  <c r="J7850" i="8"/>
  <c r="J7851" i="8"/>
  <c r="J7852" i="8"/>
  <c r="J7853" i="8"/>
  <c r="J7854" i="8"/>
  <c r="J7855" i="8"/>
  <c r="J7856" i="8"/>
  <c r="J7857" i="8"/>
  <c r="J7858" i="8"/>
  <c r="J7859" i="8"/>
  <c r="J7860" i="8"/>
  <c r="J7861" i="8"/>
  <c r="J7862" i="8"/>
  <c r="J7863" i="8"/>
  <c r="J7864" i="8"/>
  <c r="J7865" i="8"/>
  <c r="J7866" i="8"/>
  <c r="J7867" i="8"/>
  <c r="J7868" i="8"/>
  <c r="J7869" i="8"/>
  <c r="J7870" i="8"/>
  <c r="J7871" i="8"/>
  <c r="J7872" i="8"/>
  <c r="J7873" i="8"/>
  <c r="J7874" i="8"/>
  <c r="J7875" i="8"/>
  <c r="J7876" i="8"/>
  <c r="J7877" i="8"/>
  <c r="J7878" i="8"/>
  <c r="J7879" i="8"/>
  <c r="J7880" i="8"/>
  <c r="J7881" i="8"/>
  <c r="J7882" i="8"/>
  <c r="J7883" i="8"/>
  <c r="J7884" i="8"/>
  <c r="J7885" i="8"/>
  <c r="J7886" i="8"/>
  <c r="J7887" i="8"/>
  <c r="J7888" i="8"/>
  <c r="J7889" i="8"/>
  <c r="J7890" i="8"/>
  <c r="J7891" i="8"/>
  <c r="J7894" i="8"/>
  <c r="J7895" i="8"/>
  <c r="J7896" i="8"/>
  <c r="J7897" i="8"/>
  <c r="J7898" i="8"/>
  <c r="J7899" i="8"/>
  <c r="J7900" i="8"/>
  <c r="J7901" i="8"/>
  <c r="J7902" i="8"/>
  <c r="J7903" i="8"/>
  <c r="J7904" i="8"/>
  <c r="J7905" i="8"/>
  <c r="J7906" i="8"/>
  <c r="J7907" i="8"/>
  <c r="J7908" i="8"/>
  <c r="J7912" i="8"/>
  <c r="J7913" i="8"/>
  <c r="J7914" i="8"/>
  <c r="J7915" i="8"/>
  <c r="J7916" i="8"/>
  <c r="J7917" i="8"/>
  <c r="J7918" i="8"/>
  <c r="J7919" i="8"/>
  <c r="J7920" i="8"/>
  <c r="J7921" i="8"/>
  <c r="J7922" i="8"/>
  <c r="J7923" i="8"/>
  <c r="J7924" i="8"/>
  <c r="J7925" i="8"/>
  <c r="J7926" i="8"/>
  <c r="J7928" i="8"/>
  <c r="J7929" i="8"/>
  <c r="J7930" i="8"/>
  <c r="J7931" i="8"/>
  <c r="J7932" i="8"/>
  <c r="J7933" i="8"/>
  <c r="J7934" i="8"/>
  <c r="J7935" i="8"/>
  <c r="J7936" i="8"/>
  <c r="J7937" i="8"/>
  <c r="J7938" i="8"/>
  <c r="J7939" i="8"/>
  <c r="J7940" i="8"/>
  <c r="J7941" i="8"/>
  <c r="J7942" i="8"/>
  <c r="J7943" i="8"/>
  <c r="J7944" i="8"/>
  <c r="J7945" i="8"/>
  <c r="J7946" i="8"/>
  <c r="J7947" i="8"/>
  <c r="J7948" i="8"/>
  <c r="J7949" i="8"/>
  <c r="J7950" i="8"/>
  <c r="J7951" i="8"/>
  <c r="J7952" i="8"/>
  <c r="J7953" i="8"/>
  <c r="J7954" i="8"/>
  <c r="J7955" i="8"/>
  <c r="J7956" i="8"/>
  <c r="J7957" i="8"/>
  <c r="J7958" i="8"/>
  <c r="J7959" i="8"/>
  <c r="J7960" i="8"/>
  <c r="J7961" i="8"/>
  <c r="J7962" i="8"/>
  <c r="J7963" i="8"/>
  <c r="J7964" i="8"/>
  <c r="J7965" i="8"/>
  <c r="J7966" i="8"/>
  <c r="J7967" i="8"/>
  <c r="J7968" i="8"/>
  <c r="J7969" i="8"/>
  <c r="J7970" i="8"/>
  <c r="J7971" i="8"/>
  <c r="J7972" i="8"/>
  <c r="J7973" i="8"/>
  <c r="J7974" i="8"/>
  <c r="J7975" i="8"/>
  <c r="J7976" i="8"/>
  <c r="J7977" i="8"/>
  <c r="J7978" i="8"/>
  <c r="J7979" i="8"/>
  <c r="J7980" i="8"/>
  <c r="J7981" i="8"/>
  <c r="J7982" i="8"/>
  <c r="J7983" i="8"/>
  <c r="J7984" i="8"/>
  <c r="J7985" i="8"/>
  <c r="J7986" i="8"/>
  <c r="J7987" i="8"/>
  <c r="J7988" i="8"/>
  <c r="J7989" i="8"/>
  <c r="J7990" i="8"/>
  <c r="J7991" i="8"/>
  <c r="J7993" i="8"/>
  <c r="J7994" i="8"/>
  <c r="J7995" i="8"/>
  <c r="J7996" i="8"/>
  <c r="J7997" i="8"/>
  <c r="J7998" i="8"/>
  <c r="J7999" i="8"/>
  <c r="J8000" i="8"/>
  <c r="J8001" i="8"/>
  <c r="J8002" i="8"/>
  <c r="J8003" i="8"/>
  <c r="J8004" i="8"/>
  <c r="J8005" i="8"/>
  <c r="J8006" i="8"/>
  <c r="J8007" i="8"/>
  <c r="J8009" i="8"/>
  <c r="J8011" i="8"/>
  <c r="J8012" i="8"/>
  <c r="J8013" i="8"/>
  <c r="J8014" i="8"/>
  <c r="J8015" i="8"/>
  <c r="J8016" i="8"/>
  <c r="J8017" i="8"/>
  <c r="J8018" i="8"/>
  <c r="J8019" i="8"/>
  <c r="J8020" i="8"/>
  <c r="J8021" i="8"/>
  <c r="J8022" i="8"/>
  <c r="J8023" i="8"/>
  <c r="J8024" i="8"/>
  <c r="J8025" i="8"/>
  <c r="J8027" i="8"/>
  <c r="J8028" i="8"/>
  <c r="J8029" i="8"/>
  <c r="J8030" i="8"/>
  <c r="J8031" i="8"/>
  <c r="J8032" i="8"/>
  <c r="J8033" i="8"/>
  <c r="J8034" i="8"/>
  <c r="J8035" i="8"/>
  <c r="J8036" i="8"/>
  <c r="J8037" i="8"/>
  <c r="J8038" i="8"/>
  <c r="J8039" i="8"/>
  <c r="J8040" i="8"/>
  <c r="J8041" i="8"/>
  <c r="J8042" i="8"/>
  <c r="J8043" i="8"/>
  <c r="J8044" i="8"/>
  <c r="J8045" i="8"/>
  <c r="J8046" i="8"/>
  <c r="J8047" i="8"/>
  <c r="J8048" i="8"/>
  <c r="J8049" i="8"/>
  <c r="J8050" i="8"/>
  <c r="J8051" i="8"/>
  <c r="J8052" i="8"/>
  <c r="J8053" i="8"/>
  <c r="J8054" i="8"/>
  <c r="J8055" i="8"/>
  <c r="J8056" i="8"/>
  <c r="J8057" i="8"/>
  <c r="J8058" i="8"/>
  <c r="J8059" i="8"/>
  <c r="J8060" i="8"/>
  <c r="J8061" i="8"/>
  <c r="J8062" i="8"/>
  <c r="J8063" i="8"/>
  <c r="J8064" i="8"/>
  <c r="J8065" i="8"/>
  <c r="J8066" i="8"/>
  <c r="J8067" i="8"/>
  <c r="J8068" i="8"/>
  <c r="J8069" i="8"/>
  <c r="J8070" i="8"/>
  <c r="J8071" i="8"/>
  <c r="J8072" i="8"/>
  <c r="J8073" i="8"/>
  <c r="J8074" i="8"/>
  <c r="J8075" i="8"/>
  <c r="J8076" i="8"/>
  <c r="J8077" i="8"/>
  <c r="J8078" i="8"/>
  <c r="J8079" i="8"/>
  <c r="J8080" i="8"/>
  <c r="J8081" i="8"/>
  <c r="J8082" i="8"/>
  <c r="J8083" i="8"/>
  <c r="J8084" i="8"/>
  <c r="J8085" i="8"/>
  <c r="J8086" i="8"/>
  <c r="J8087" i="8"/>
  <c r="J8088" i="8"/>
  <c r="J8089" i="8"/>
  <c r="J8090" i="8"/>
  <c r="J8092" i="8"/>
  <c r="J8093" i="8"/>
  <c r="J8094" i="8"/>
  <c r="J8095" i="8"/>
  <c r="J8096" i="8"/>
  <c r="J8097" i="8"/>
  <c r="J8098" i="8"/>
  <c r="J8099" i="8"/>
  <c r="J8100" i="8"/>
  <c r="J8101" i="8"/>
  <c r="J8102" i="8"/>
  <c r="J8103" i="8"/>
  <c r="J8104" i="8"/>
  <c r="J8105" i="8"/>
  <c r="J8106" i="8"/>
  <c r="J8108" i="8"/>
  <c r="J8110" i="8"/>
  <c r="J8111" i="8"/>
  <c r="J8112" i="8"/>
  <c r="J8113" i="8"/>
  <c r="J8114" i="8"/>
  <c r="J8115" i="8"/>
  <c r="J8116" i="8"/>
  <c r="J8117" i="8"/>
  <c r="J8118" i="8"/>
  <c r="J8119" i="8"/>
  <c r="J8120" i="8"/>
  <c r="J8121" i="8"/>
  <c r="J8122" i="8"/>
  <c r="J8123" i="8"/>
  <c r="J8124" i="8"/>
  <c r="J8126" i="8"/>
  <c r="J8129" i="8"/>
  <c r="J8130" i="8"/>
  <c r="J8131" i="8"/>
  <c r="J8132" i="8"/>
  <c r="J8133" i="8"/>
  <c r="J8134" i="8"/>
  <c r="J8135" i="8"/>
  <c r="J8136" i="8"/>
  <c r="J8137" i="8"/>
  <c r="J8138" i="8"/>
  <c r="J8139" i="8"/>
  <c r="J8140" i="8"/>
  <c r="J8141" i="8"/>
  <c r="J8142" i="8"/>
  <c r="J8143" i="8"/>
  <c r="J8145" i="8"/>
  <c r="J8148" i="8"/>
  <c r="J8149" i="8"/>
  <c r="J8150" i="8"/>
  <c r="J8151" i="8"/>
  <c r="J8152" i="8"/>
  <c r="J8153" i="8"/>
  <c r="J8154" i="8"/>
  <c r="J8155" i="8"/>
  <c r="J8156" i="8"/>
  <c r="J8157" i="8"/>
  <c r="J8158" i="8"/>
  <c r="J8159" i="8"/>
  <c r="J8160" i="8"/>
  <c r="J8161" i="8"/>
  <c r="J8162" i="8"/>
  <c r="J8164" i="8"/>
  <c r="J8165" i="8"/>
  <c r="J8166" i="8"/>
  <c r="J8167" i="8"/>
  <c r="J8168" i="8"/>
  <c r="J8169" i="8"/>
  <c r="J8170" i="8"/>
  <c r="J8171" i="8"/>
  <c r="J8172" i="8"/>
  <c r="J8173" i="8"/>
  <c r="J8174" i="8"/>
  <c r="J8175" i="8"/>
  <c r="J8176" i="8"/>
  <c r="J8177" i="8"/>
  <c r="J8178" i="8"/>
  <c r="J8179" i="8"/>
  <c r="J8181" i="8"/>
  <c r="J8182" i="8"/>
  <c r="J8183" i="8"/>
  <c r="J8184" i="8"/>
  <c r="J8185" i="8"/>
  <c r="J8186" i="8"/>
  <c r="J8187" i="8"/>
  <c r="J8188" i="8"/>
  <c r="J8189" i="8"/>
  <c r="J8190" i="8"/>
  <c r="J8191" i="8"/>
  <c r="J8192" i="8"/>
  <c r="J8193" i="8"/>
  <c r="J8194" i="8"/>
  <c r="J8195" i="8"/>
  <c r="J8197" i="8"/>
  <c r="J8199" i="8"/>
  <c r="J8200" i="8"/>
  <c r="J8201" i="8"/>
  <c r="J8202" i="8"/>
  <c r="J8203" i="8"/>
  <c r="J8204" i="8"/>
  <c r="J8205" i="8"/>
  <c r="J8206" i="8"/>
  <c r="J8207" i="8"/>
  <c r="J8208" i="8"/>
  <c r="J8209" i="8"/>
  <c r="J8210" i="8"/>
  <c r="J8211" i="8"/>
  <c r="J8212" i="8"/>
  <c r="J8213" i="8"/>
  <c r="J8215" i="8"/>
  <c r="J8216" i="8"/>
  <c r="J8217" i="8"/>
  <c r="J8218" i="8"/>
  <c r="J8219" i="8"/>
  <c r="J8220" i="8"/>
  <c r="J8221" i="8"/>
  <c r="J8222" i="8"/>
  <c r="J8223" i="8"/>
  <c r="J8224" i="8"/>
  <c r="J8225" i="8"/>
  <c r="J8226" i="8"/>
  <c r="J8227" i="8"/>
  <c r="J8228" i="8"/>
  <c r="J8230" i="8"/>
  <c r="J8231" i="8"/>
  <c r="J8232" i="8"/>
  <c r="J8233" i="8"/>
  <c r="J8234" i="8"/>
  <c r="J8235" i="8"/>
  <c r="J8236" i="8"/>
  <c r="J8237" i="8"/>
  <c r="J8238" i="8"/>
  <c r="J8239" i="8"/>
  <c r="J8240" i="8"/>
  <c r="J8241" i="8"/>
  <c r="J8242" i="8"/>
  <c r="J8243" i="8"/>
  <c r="J8244" i="8"/>
  <c r="J8246" i="8"/>
  <c r="J8248" i="8"/>
  <c r="J8249" i="8"/>
  <c r="J8250" i="8"/>
  <c r="J8251" i="8"/>
  <c r="J8252" i="8"/>
  <c r="J8253" i="8"/>
  <c r="J8254" i="8"/>
  <c r="J8255" i="8"/>
  <c r="J8256" i="8"/>
  <c r="J8257" i="8"/>
  <c r="J8258" i="8"/>
  <c r="J8259" i="8"/>
  <c r="J8260" i="8"/>
  <c r="J8261" i="8"/>
  <c r="J8262" i="8"/>
  <c r="J8264" i="8"/>
  <c r="J8265" i="8"/>
  <c r="J8267" i="8"/>
  <c r="J8268" i="8"/>
  <c r="J8269" i="8"/>
  <c r="J8270" i="8"/>
  <c r="J8271" i="8"/>
  <c r="J8272" i="8"/>
  <c r="J8273" i="8"/>
  <c r="J8274" i="8"/>
  <c r="J8275" i="8"/>
  <c r="J8276" i="8"/>
  <c r="J8277" i="8"/>
  <c r="J8278" i="8"/>
  <c r="J8279" i="8"/>
  <c r="J8280" i="8"/>
  <c r="J8281" i="8"/>
  <c r="J8283" i="8"/>
  <c r="J8284" i="8"/>
  <c r="J8285" i="8"/>
  <c r="J8286" i="8"/>
  <c r="J8287" i="8"/>
  <c r="J8288" i="8"/>
  <c r="J8289" i="8"/>
  <c r="J8290" i="8"/>
  <c r="J8291" i="8"/>
  <c r="J8292" i="8"/>
  <c r="J8293" i="8"/>
  <c r="J8294" i="8"/>
  <c r="J8295" i="8"/>
  <c r="J8296" i="8"/>
  <c r="J8297" i="8"/>
  <c r="J8298" i="8"/>
  <c r="J8299" i="8"/>
  <c r="J8300" i="8"/>
  <c r="J8301" i="8"/>
  <c r="J8302" i="8"/>
  <c r="J8303" i="8"/>
  <c r="J8304" i="8"/>
  <c r="J8305" i="8"/>
  <c r="J8306" i="8"/>
  <c r="J8307" i="8"/>
  <c r="J8308" i="8"/>
  <c r="J8309" i="8"/>
  <c r="J8310" i="8"/>
  <c r="J8311" i="8"/>
  <c r="J8312" i="8"/>
  <c r="J8313" i="8"/>
  <c r="J8314" i="8"/>
  <c r="J8315" i="8"/>
  <c r="J8316" i="8"/>
  <c r="J8317" i="8"/>
  <c r="J8318" i="8"/>
  <c r="J8319" i="8"/>
  <c r="J8320" i="8"/>
  <c r="J8321" i="8"/>
  <c r="J8322" i="8"/>
  <c r="J8323" i="8"/>
  <c r="J8324" i="8"/>
  <c r="J8325" i="8"/>
  <c r="J8326" i="8"/>
  <c r="J8327" i="8"/>
  <c r="J8328" i="8"/>
  <c r="J8329" i="8"/>
  <c r="J8330" i="8"/>
  <c r="J8331" i="8"/>
  <c r="J8332" i="8"/>
  <c r="J8333" i="8"/>
  <c r="J8334" i="8"/>
  <c r="J8335" i="8"/>
  <c r="J8336" i="8"/>
  <c r="J8337" i="8"/>
  <c r="J8338" i="8"/>
  <c r="J8339" i="8"/>
  <c r="J8340" i="8"/>
  <c r="J8341" i="8"/>
  <c r="J8342" i="8"/>
  <c r="J8343" i="8"/>
  <c r="J8344" i="8"/>
  <c r="J8345" i="8"/>
  <c r="J8346" i="8"/>
  <c r="J8347" i="8"/>
  <c r="J8348" i="8"/>
  <c r="J8350" i="8"/>
  <c r="J8351" i="8"/>
  <c r="J8352" i="8"/>
  <c r="J8353" i="8"/>
  <c r="J8354" i="8"/>
  <c r="J8355" i="8"/>
  <c r="J8356" i="8"/>
  <c r="J8357" i="8"/>
  <c r="J8358" i="8"/>
  <c r="J8359" i="8"/>
  <c r="J8360" i="8"/>
  <c r="J8361" i="8"/>
  <c r="J8362" i="8"/>
  <c r="J8363" i="8"/>
  <c r="J8364" i="8"/>
  <c r="J8366" i="8"/>
  <c r="J8368" i="8"/>
  <c r="J8369" i="8"/>
  <c r="J8370" i="8"/>
  <c r="J8371" i="8"/>
  <c r="J8372" i="8"/>
  <c r="J8373" i="8"/>
  <c r="J8374" i="8"/>
  <c r="J8375" i="8"/>
  <c r="J8376" i="8"/>
  <c r="J8377" i="8"/>
  <c r="J8378" i="8"/>
  <c r="J8379" i="8"/>
  <c r="J8380" i="8"/>
  <c r="J8381" i="8"/>
  <c r="J8382" i="8"/>
  <c r="J8384" i="8"/>
  <c r="J8385" i="8"/>
  <c r="J8387" i="8"/>
  <c r="J8388" i="8"/>
  <c r="J8389" i="8"/>
  <c r="J8390" i="8"/>
  <c r="J8391" i="8"/>
  <c r="J8392" i="8"/>
  <c r="J8393" i="8"/>
  <c r="J8394" i="8"/>
  <c r="J8395" i="8"/>
  <c r="J8396" i="8"/>
  <c r="J8397" i="8"/>
  <c r="J8398" i="8"/>
  <c r="J8399" i="8"/>
  <c r="J8400" i="8"/>
  <c r="J8401" i="8"/>
  <c r="J8403" i="8"/>
  <c r="J8404" i="8"/>
  <c r="J8406" i="8"/>
  <c r="J8407" i="8"/>
  <c r="J8408" i="8"/>
  <c r="J8409" i="8"/>
  <c r="J8410" i="8"/>
  <c r="J8411" i="8"/>
  <c r="J8412" i="8"/>
  <c r="J8413" i="8"/>
  <c r="J8414" i="8"/>
  <c r="J8415" i="8"/>
  <c r="J8416" i="8"/>
  <c r="J8417" i="8"/>
  <c r="J8418" i="8"/>
  <c r="J8419" i="8"/>
  <c r="J8420" i="8"/>
  <c r="J8422" i="8"/>
  <c r="J8423" i="8"/>
  <c r="J8527" i="8"/>
  <c r="J8528" i="8"/>
  <c r="J8529" i="8"/>
  <c r="J8530" i="8"/>
  <c r="J8531" i="8"/>
  <c r="J8532" i="8"/>
  <c r="J8533" i="8"/>
  <c r="J8534" i="8"/>
  <c r="J8535" i="8"/>
  <c r="J8536" i="8"/>
  <c r="J8537" i="8"/>
  <c r="J8538" i="8"/>
  <c r="J8539" i="8"/>
  <c r="J8540" i="8"/>
  <c r="J8541" i="8"/>
  <c r="J8542" i="8"/>
  <c r="J8543" i="8"/>
  <c r="J8544" i="8"/>
  <c r="J8545" i="8"/>
  <c r="J8546" i="8"/>
  <c r="J8547" i="8"/>
  <c r="J8548" i="8"/>
  <c r="J8549" i="8"/>
  <c r="J8550" i="8"/>
  <c r="J8551" i="8"/>
  <c r="J8552" i="8"/>
  <c r="J8553" i="8"/>
  <c r="J8554" i="8"/>
  <c r="J8555" i="8"/>
  <c r="J8556" i="8"/>
  <c r="J8557" i="8"/>
  <c r="J8558" i="8"/>
  <c r="J8559" i="8"/>
  <c r="J8560" i="8"/>
  <c r="J8561" i="8"/>
  <c r="J8562" i="8"/>
  <c r="J8563" i="8"/>
  <c r="J8564" i="8"/>
  <c r="J8565" i="8"/>
  <c r="J8566" i="8"/>
  <c r="J8567" i="8"/>
  <c r="J8568" i="8"/>
  <c r="J8569" i="8"/>
  <c r="J8570" i="8"/>
  <c r="J8571" i="8"/>
  <c r="J8572" i="8"/>
  <c r="J8573" i="8"/>
  <c r="J8574" i="8"/>
  <c r="J8575" i="8"/>
  <c r="J8576" i="8"/>
  <c r="J8577" i="8"/>
  <c r="J8578" i="8"/>
  <c r="J8579" i="8"/>
  <c r="J8580" i="8"/>
  <c r="J8581" i="8"/>
  <c r="J8582" i="8"/>
  <c r="J8583" i="8"/>
  <c r="J8584" i="8"/>
  <c r="J8585" i="8"/>
  <c r="J8586" i="8"/>
  <c r="J8588" i="8"/>
  <c r="J8589" i="8"/>
  <c r="J8590" i="8"/>
  <c r="J8591" i="8"/>
  <c r="J8592" i="8"/>
  <c r="J8593" i="8"/>
  <c r="J8594" i="8"/>
  <c r="J8595" i="8"/>
  <c r="J8596" i="8"/>
  <c r="J8597" i="8"/>
  <c r="J8598" i="8"/>
  <c r="J8599" i="8"/>
  <c r="J8600" i="8"/>
  <c r="J8601" i="8"/>
  <c r="J8602" i="8"/>
  <c r="J8603" i="8"/>
  <c r="J8606" i="8"/>
  <c r="J8607" i="8"/>
  <c r="J8608" i="8"/>
  <c r="J8609" i="8"/>
  <c r="J8610" i="8"/>
  <c r="J8611" i="8"/>
  <c r="J8612" i="8"/>
  <c r="J8613" i="8"/>
  <c r="J8614" i="8"/>
  <c r="J8615" i="8"/>
  <c r="J8616" i="8"/>
  <c r="J8617" i="8"/>
  <c r="J8618" i="8"/>
  <c r="J8619" i="8"/>
  <c r="J8620" i="8"/>
  <c r="J8621" i="8"/>
  <c r="J8623" i="8"/>
  <c r="J8624" i="8"/>
  <c r="J8625" i="8"/>
  <c r="J8626" i="8"/>
  <c r="J8627" i="8"/>
  <c r="J8628" i="8"/>
  <c r="J8629" i="8"/>
  <c r="J8630" i="8"/>
  <c r="J8631" i="8"/>
  <c r="J8632" i="8"/>
  <c r="J8633" i="8"/>
  <c r="J8634" i="8"/>
  <c r="J8635" i="8"/>
  <c r="J8636" i="8"/>
  <c r="J8637" i="8"/>
  <c r="J8638" i="8"/>
  <c r="J8639" i="8"/>
  <c r="J8640" i="8"/>
  <c r="J8641" i="8"/>
  <c r="J8642" i="8"/>
  <c r="J8643" i="8"/>
  <c r="J8644" i="8"/>
  <c r="J8645" i="8"/>
  <c r="J8646" i="8"/>
  <c r="J8647" i="8"/>
  <c r="J8648" i="8"/>
  <c r="J8649" i="8"/>
  <c r="J8650" i="8"/>
  <c r="J8651" i="8"/>
  <c r="J8652" i="8"/>
  <c r="J8653" i="8"/>
  <c r="J8654" i="8"/>
  <c r="J8655" i="8"/>
  <c r="J8656" i="8"/>
  <c r="J8657" i="8"/>
  <c r="J8658" i="8"/>
  <c r="J8659" i="8"/>
  <c r="J8660" i="8"/>
  <c r="J8661" i="8"/>
  <c r="J8662" i="8"/>
  <c r="J8663" i="8"/>
  <c r="J8664" i="8"/>
  <c r="J8665" i="8"/>
  <c r="J8666" i="8"/>
  <c r="J8667" i="8"/>
  <c r="J8668" i="8"/>
  <c r="J8669" i="8"/>
  <c r="J8670" i="8"/>
  <c r="J8671" i="8"/>
  <c r="J8672" i="8"/>
  <c r="J8673" i="8"/>
  <c r="J8674" i="8"/>
  <c r="J8675" i="8"/>
  <c r="J8676" i="8"/>
  <c r="J8677" i="8"/>
  <c r="J8678" i="8"/>
  <c r="J8679" i="8"/>
  <c r="J8680" i="8"/>
  <c r="J8681" i="8"/>
  <c r="J8682" i="8"/>
  <c r="J8683" i="8"/>
  <c r="J8684" i="8"/>
  <c r="J8685" i="8"/>
  <c r="J8686" i="8"/>
  <c r="J8688" i="8"/>
  <c r="J8689" i="8"/>
  <c r="J8690" i="8"/>
  <c r="J8691" i="8"/>
  <c r="J8692" i="8"/>
  <c r="J8693" i="8"/>
  <c r="J8694" i="8"/>
  <c r="J8695" i="8"/>
  <c r="J8696" i="8"/>
  <c r="J8697" i="8"/>
  <c r="J8698" i="8"/>
  <c r="J8699" i="8"/>
  <c r="J8700" i="8"/>
  <c r="J8701" i="8"/>
  <c r="J8702" i="8"/>
  <c r="J8704" i="8"/>
  <c r="J8706" i="8"/>
  <c r="J8707" i="8"/>
  <c r="J8708" i="8"/>
  <c r="J8709" i="8"/>
  <c r="J8710" i="8"/>
  <c r="J8711" i="8"/>
  <c r="J8712" i="8"/>
  <c r="J8713" i="8"/>
  <c r="J8714" i="8"/>
  <c r="J8715" i="8"/>
  <c r="J8716" i="8"/>
  <c r="J8717" i="8"/>
  <c r="J8718" i="8"/>
  <c r="J8719" i="8"/>
  <c r="J8720" i="8"/>
  <c r="J8722" i="8"/>
  <c r="J8725" i="8"/>
  <c r="J8726" i="8"/>
  <c r="J8727" i="8"/>
  <c r="J8728" i="8"/>
  <c r="J8729" i="8"/>
  <c r="J8730" i="8"/>
  <c r="J8731" i="8"/>
  <c r="J8732" i="8"/>
  <c r="J8733" i="8"/>
  <c r="J8734" i="8"/>
  <c r="J8735" i="8"/>
  <c r="J8736" i="8"/>
  <c r="J8737" i="8"/>
  <c r="J8738" i="8"/>
  <c r="J8739" i="8"/>
  <c r="J8740" i="8"/>
  <c r="J8741" i="8"/>
  <c r="J8742" i="8"/>
  <c r="J8743" i="8"/>
  <c r="J8744" i="8"/>
  <c r="J8745" i="8"/>
  <c r="J8746" i="8"/>
  <c r="J8747" i="8"/>
  <c r="J8748" i="8"/>
  <c r="J8749" i="8"/>
  <c r="J8750" i="8"/>
  <c r="J8751" i="8"/>
  <c r="J8752" i="8"/>
  <c r="J8753" i="8"/>
  <c r="J8754" i="8"/>
  <c r="J8755" i="8"/>
  <c r="J8756" i="8"/>
  <c r="J8757" i="8"/>
  <c r="J8758" i="8"/>
  <c r="J8759" i="8"/>
  <c r="J8760" i="8"/>
  <c r="J8761" i="8"/>
  <c r="J8762" i="8"/>
  <c r="J8763" i="8"/>
  <c r="J8764" i="8"/>
  <c r="J8765" i="8"/>
  <c r="J8766" i="8"/>
  <c r="J8767" i="8"/>
  <c r="J8768" i="8"/>
  <c r="J8769" i="8"/>
  <c r="J8770" i="8"/>
  <c r="J8771" i="8"/>
  <c r="J8772" i="8"/>
  <c r="J8773" i="8"/>
  <c r="J8774" i="8"/>
  <c r="J8775" i="8"/>
  <c r="J8776" i="8"/>
  <c r="J8777" i="8"/>
  <c r="J8778" i="8"/>
  <c r="J8779" i="8"/>
  <c r="J8780" i="8"/>
  <c r="J8781" i="8"/>
  <c r="J8782" i="8"/>
  <c r="J8783" i="8"/>
  <c r="J8784" i="8"/>
  <c r="J8787" i="8"/>
  <c r="J8788" i="8"/>
  <c r="J8789" i="8"/>
  <c r="J8790" i="8"/>
  <c r="J8791" i="8"/>
  <c r="J8792" i="8"/>
  <c r="J8793" i="8"/>
  <c r="J8794" i="8"/>
  <c r="J8795" i="8"/>
  <c r="J8796" i="8"/>
  <c r="J8797" i="8"/>
  <c r="J8798" i="8"/>
  <c r="J8799" i="8"/>
  <c r="J8800" i="8"/>
  <c r="J8801" i="8"/>
  <c r="J8805" i="8"/>
  <c r="J8806" i="8"/>
  <c r="J8807" i="8"/>
  <c r="J8808" i="8"/>
  <c r="J8809" i="8"/>
  <c r="J8810" i="8"/>
  <c r="J8811" i="8"/>
  <c r="J8812" i="8"/>
  <c r="J8813" i="8"/>
  <c r="J8814" i="8"/>
  <c r="J8815" i="8"/>
  <c r="J8816" i="8"/>
  <c r="J8817" i="8"/>
  <c r="J8818" i="8"/>
  <c r="J8819" i="8"/>
  <c r="J8824" i="8"/>
  <c r="J8825" i="8"/>
  <c r="J8826" i="8"/>
  <c r="J8827" i="8"/>
  <c r="J8828" i="8"/>
  <c r="J8829" i="8"/>
  <c r="J8830" i="8"/>
  <c r="J8831" i="8"/>
  <c r="J8832" i="8"/>
  <c r="J8833" i="8"/>
  <c r="J8834" i="8"/>
  <c r="J8835" i="8"/>
  <c r="J8836" i="8"/>
  <c r="J8837" i="8"/>
  <c r="J8838" i="8"/>
  <c r="J8840" i="8"/>
  <c r="J8843" i="8"/>
  <c r="J8844" i="8"/>
  <c r="J8845" i="8"/>
  <c r="J8846" i="8"/>
  <c r="J8847" i="8"/>
  <c r="J8848" i="8"/>
  <c r="J8849" i="8"/>
  <c r="J8850" i="8"/>
  <c r="J8851" i="8"/>
  <c r="J8852" i="8"/>
  <c r="J8853" i="8"/>
  <c r="J8854" i="8"/>
  <c r="J8855" i="8"/>
  <c r="J8856" i="8"/>
  <c r="J8857" i="8"/>
  <c r="J8859" i="8"/>
  <c r="J8860" i="8"/>
  <c r="J8865" i="8"/>
  <c r="J8866" i="8"/>
  <c r="J8867" i="8"/>
  <c r="J8868" i="8"/>
  <c r="J8869" i="8"/>
  <c r="J8870" i="8"/>
  <c r="J8871" i="8"/>
  <c r="J8872" i="8"/>
  <c r="J8873" i="8"/>
  <c r="J8874" i="8"/>
  <c r="J8875" i="8"/>
  <c r="J8877" i="8"/>
  <c r="J8878" i="8"/>
  <c r="J8879" i="8"/>
  <c r="J8880" i="8"/>
  <c r="J8881" i="8"/>
  <c r="J8882" i="8"/>
  <c r="J8883" i="8"/>
  <c r="J8884" i="8"/>
  <c r="J8885" i="8"/>
  <c r="J8886" i="8"/>
  <c r="J8887" i="8"/>
  <c r="J8888" i="8"/>
  <c r="J8889" i="8"/>
  <c r="J8890" i="8"/>
  <c r="J8891" i="8"/>
  <c r="J8892" i="8"/>
  <c r="J8893" i="8"/>
  <c r="J8894" i="8"/>
  <c r="J8895" i="8"/>
  <c r="J8896" i="8"/>
  <c r="J8897" i="8"/>
  <c r="J8898" i="8"/>
  <c r="J8899" i="8"/>
  <c r="J8900" i="8"/>
  <c r="J8901" i="8"/>
  <c r="J8902" i="8"/>
  <c r="J8903" i="8"/>
  <c r="J8904" i="8"/>
  <c r="J8905" i="8"/>
  <c r="J8906" i="8"/>
  <c r="J8907" i="8"/>
  <c r="J8908" i="8"/>
  <c r="J8909" i="8"/>
  <c r="J8910" i="8"/>
  <c r="J8911" i="8"/>
  <c r="J8912" i="8"/>
  <c r="J8913" i="8"/>
  <c r="J8914" i="8"/>
  <c r="J8915" i="8"/>
  <c r="J8916" i="8"/>
  <c r="J8917" i="8"/>
  <c r="J8918" i="8"/>
  <c r="J8919" i="8"/>
  <c r="J8920" i="8"/>
  <c r="J8921" i="8"/>
  <c r="J8922" i="8"/>
  <c r="J8923" i="8"/>
  <c r="J8924" i="8"/>
  <c r="J8927" i="8"/>
  <c r="J8928" i="8"/>
  <c r="J8929" i="8"/>
  <c r="J8930" i="8"/>
  <c r="J8931" i="8"/>
  <c r="J8932" i="8"/>
  <c r="J8933" i="8"/>
  <c r="J8934" i="8"/>
  <c r="J8935" i="8"/>
  <c r="J8936" i="8"/>
  <c r="J8937" i="8"/>
  <c r="J8938" i="8"/>
  <c r="J8939" i="8"/>
  <c r="J8945" i="8"/>
  <c r="J8946" i="8"/>
  <c r="J8947" i="8"/>
  <c r="J8948" i="8"/>
  <c r="J8949" i="8"/>
  <c r="J8950" i="8"/>
  <c r="J8951" i="8"/>
  <c r="J8952" i="8"/>
  <c r="J8953" i="8"/>
  <c r="J8954" i="8"/>
  <c r="J8955" i="8"/>
  <c r="J8956" i="8"/>
  <c r="J8957" i="8"/>
  <c r="J8961" i="8"/>
  <c r="J8964" i="8"/>
  <c r="J8965" i="8"/>
  <c r="J8966" i="8"/>
  <c r="J8967" i="8"/>
  <c r="J8968" i="8"/>
  <c r="J8969" i="8"/>
  <c r="J8970" i="8"/>
  <c r="J8971" i="8"/>
  <c r="J8972" i="8"/>
  <c r="J8973" i="8"/>
  <c r="J8974" i="8"/>
  <c r="J8975" i="8"/>
  <c r="J8976" i="8"/>
  <c r="J8977" i="8"/>
  <c r="J8978" i="8"/>
  <c r="J8979" i="8"/>
  <c r="J8980" i="8"/>
  <c r="J8981" i="8"/>
  <c r="J8982" i="8"/>
  <c r="J8983" i="8"/>
  <c r="J8984" i="8"/>
  <c r="J8985" i="8"/>
  <c r="J8986" i="8"/>
  <c r="J8987" i="8"/>
  <c r="J8988" i="8"/>
  <c r="J8989" i="8"/>
  <c r="J8990" i="8"/>
  <c r="J8991" i="8"/>
  <c r="J8992" i="8"/>
  <c r="J8993" i="8"/>
  <c r="J8994" i="8"/>
  <c r="J8995" i="8"/>
  <c r="J8996" i="8"/>
  <c r="J8997" i="8"/>
  <c r="J8998" i="8"/>
  <c r="J8999" i="8"/>
  <c r="J9000" i="8"/>
  <c r="J9001" i="8"/>
  <c r="J9002" i="8"/>
  <c r="J9003" i="8"/>
  <c r="J9004" i="8"/>
  <c r="J9005" i="8"/>
  <c r="J9006" i="8"/>
  <c r="J9007" i="8"/>
  <c r="J9008" i="8"/>
  <c r="J9009" i="8"/>
  <c r="J9010" i="8"/>
  <c r="J9011" i="8"/>
  <c r="J9012" i="8"/>
  <c r="J9013" i="8"/>
  <c r="J9014" i="8"/>
  <c r="J9015" i="8"/>
  <c r="J9016" i="8"/>
  <c r="J9017" i="8"/>
  <c r="J9018" i="8"/>
  <c r="J9019" i="8"/>
  <c r="J9020" i="8"/>
  <c r="J9021" i="8"/>
  <c r="J9022" i="8"/>
  <c r="J9023" i="8"/>
  <c r="J9026" i="8"/>
  <c r="J9027" i="8"/>
  <c r="J9029" i="8"/>
  <c r="J9030" i="8"/>
  <c r="J9031" i="8"/>
  <c r="J9032" i="8"/>
  <c r="J9033" i="8"/>
  <c r="J9034" i="8"/>
  <c r="J9035" i="8"/>
  <c r="J9036" i="8"/>
  <c r="J9037" i="8"/>
  <c r="J9038" i="8"/>
  <c r="J9039" i="8"/>
  <c r="J9044" i="8"/>
  <c r="J9045" i="8"/>
  <c r="J9047" i="8"/>
  <c r="J9048" i="8"/>
  <c r="J9049" i="8"/>
  <c r="J9050" i="8"/>
  <c r="J9051" i="8"/>
  <c r="J9052" i="8"/>
  <c r="J9053" i="8"/>
  <c r="J9054" i="8"/>
  <c r="J9055" i="8"/>
  <c r="J9056" i="8"/>
  <c r="J9057" i="8"/>
  <c r="J9060" i="8"/>
  <c r="J9063" i="8"/>
  <c r="J9064" i="8"/>
  <c r="J9065" i="8"/>
  <c r="J9066" i="8"/>
  <c r="J9067" i="8"/>
  <c r="J9068" i="8"/>
  <c r="J9069" i="8"/>
  <c r="J9070" i="8"/>
  <c r="J9071" i="8"/>
  <c r="J9072" i="8"/>
  <c r="J9073" i="8"/>
  <c r="J9074" i="8"/>
  <c r="J9075" i="8"/>
  <c r="J9076" i="8"/>
  <c r="J9077" i="8"/>
  <c r="J9078" i="8"/>
  <c r="J9079" i="8"/>
  <c r="J9080" i="8"/>
  <c r="J9081" i="8"/>
  <c r="J9082" i="8"/>
  <c r="J9083" i="8"/>
  <c r="J9084" i="8"/>
  <c r="J9085" i="8"/>
  <c r="J9086" i="8"/>
  <c r="J9087" i="8"/>
  <c r="J9088" i="8"/>
  <c r="J9089" i="8"/>
  <c r="J9090" i="8"/>
  <c r="J9091" i="8"/>
  <c r="J9092" i="8"/>
  <c r="J9093" i="8"/>
  <c r="J9094" i="8"/>
  <c r="J9095" i="8"/>
  <c r="J9096" i="8"/>
  <c r="J9097" i="8"/>
  <c r="J9098" i="8"/>
  <c r="J9099" i="8"/>
  <c r="J9100" i="8"/>
  <c r="J9101" i="8"/>
  <c r="J9102" i="8"/>
  <c r="J9103" i="8"/>
  <c r="J9104" i="8"/>
  <c r="J9105" i="8"/>
  <c r="J9106" i="8"/>
  <c r="J9107" i="8"/>
  <c r="J9108" i="8"/>
  <c r="J9109" i="8"/>
  <c r="J9110" i="8"/>
  <c r="J9111" i="8"/>
  <c r="J9112" i="8"/>
  <c r="J9113" i="8"/>
  <c r="J9114" i="8"/>
  <c r="J9115" i="8"/>
  <c r="J9116" i="8"/>
  <c r="J9117" i="8"/>
  <c r="J9118" i="8"/>
  <c r="J9119" i="8"/>
  <c r="J9120" i="8"/>
  <c r="J9121" i="8"/>
  <c r="J9122" i="8"/>
  <c r="J9125" i="8"/>
  <c r="J9126" i="8"/>
  <c r="J9127" i="8"/>
  <c r="J9128" i="8"/>
  <c r="J9129" i="8"/>
  <c r="J9130" i="8"/>
  <c r="J9131" i="8"/>
  <c r="J9132" i="8"/>
  <c r="J9133" i="8"/>
  <c r="J9134" i="8"/>
  <c r="J9135" i="8"/>
  <c r="J9136" i="8"/>
  <c r="J9137" i="8"/>
  <c r="J9138" i="8"/>
  <c r="J9143" i="8"/>
  <c r="J9144" i="8"/>
  <c r="J9145" i="8"/>
  <c r="J9146" i="8"/>
  <c r="J9147" i="8"/>
  <c r="J9148" i="8"/>
  <c r="J9149" i="8"/>
  <c r="J9150" i="8"/>
  <c r="J9151" i="8"/>
  <c r="J9152" i="8"/>
  <c r="J9153" i="8"/>
  <c r="J9154" i="8"/>
  <c r="J9155" i="8"/>
  <c r="J9156" i="8"/>
  <c r="J9159" i="8"/>
  <c r="J9160" i="8"/>
  <c r="J9161" i="8"/>
  <c r="J9162" i="8"/>
  <c r="J9163" i="8"/>
  <c r="J9164" i="8"/>
  <c r="J9165" i="8"/>
  <c r="J9166" i="8"/>
  <c r="J9167" i="8"/>
  <c r="J9168" i="8"/>
  <c r="J9169" i="8"/>
  <c r="J9170" i="8"/>
  <c r="J9171" i="8"/>
  <c r="J9172" i="8"/>
  <c r="J9173" i="8"/>
  <c r="J9174" i="8"/>
  <c r="J9175" i="8"/>
  <c r="J9176" i="8"/>
  <c r="J9177" i="8"/>
  <c r="J9178" i="8"/>
  <c r="J9179" i="8"/>
  <c r="J9180" i="8"/>
  <c r="J9181" i="8"/>
  <c r="J9182" i="8"/>
  <c r="J9183" i="8"/>
  <c r="J9184" i="8"/>
  <c r="J9185" i="8"/>
  <c r="J9186" i="8"/>
  <c r="J9187" i="8"/>
  <c r="J9188" i="8"/>
  <c r="J9189" i="8"/>
  <c r="J9190" i="8"/>
  <c r="J9191" i="8"/>
  <c r="J9192" i="8"/>
  <c r="J9193" i="8"/>
  <c r="J9194" i="8"/>
  <c r="J9195" i="8"/>
  <c r="J9196" i="8"/>
  <c r="J9197" i="8"/>
  <c r="J9198" i="8"/>
  <c r="J9199" i="8"/>
  <c r="J9200" i="8"/>
  <c r="J9201" i="8"/>
  <c r="J9202" i="8"/>
  <c r="J9203" i="8"/>
  <c r="J9204" i="8"/>
  <c r="J9205" i="8"/>
  <c r="J9206" i="8"/>
  <c r="J9207" i="8"/>
  <c r="J9208" i="8"/>
  <c r="J9209" i="8"/>
  <c r="J9210" i="8"/>
  <c r="J9211" i="8"/>
  <c r="J9212" i="8"/>
  <c r="J9213" i="8"/>
  <c r="J9214" i="8"/>
  <c r="J9215" i="8"/>
  <c r="J9216" i="8"/>
  <c r="J9217" i="8"/>
  <c r="J9218" i="8"/>
  <c r="J9219" i="8"/>
  <c r="J9220" i="8"/>
  <c r="J9221" i="8"/>
  <c r="J9222" i="8"/>
  <c r="J9224" i="8"/>
  <c r="J9225" i="8"/>
  <c r="J9226" i="8"/>
  <c r="J9227" i="8"/>
  <c r="J9228" i="8"/>
  <c r="J9229" i="8"/>
  <c r="J9230" i="8"/>
  <c r="J9231" i="8"/>
  <c r="J9232" i="8"/>
  <c r="J9233" i="8"/>
  <c r="J9234" i="8"/>
  <c r="J9235" i="8"/>
  <c r="J9236" i="8"/>
  <c r="J9237" i="8"/>
  <c r="J9238" i="8"/>
  <c r="J9240" i="8"/>
  <c r="J9242" i="8"/>
  <c r="J9243" i="8"/>
  <c r="J9244" i="8"/>
  <c r="J9245" i="8"/>
  <c r="J9246" i="8"/>
  <c r="J9247" i="8"/>
  <c r="J9248" i="8"/>
  <c r="J9249" i="8"/>
  <c r="J9250" i="8"/>
  <c r="J9251" i="8"/>
  <c r="J9252" i="8"/>
  <c r="J9253" i="8"/>
  <c r="J9254" i="8"/>
  <c r="J9255" i="8"/>
  <c r="J9256" i="8"/>
  <c r="J9258" i="8"/>
  <c r="J9259" i="8"/>
  <c r="J9260" i="8"/>
  <c r="J9261" i="8"/>
  <c r="J9262" i="8"/>
  <c r="J9263" i="8"/>
  <c r="J9264" i="8"/>
  <c r="J9265" i="8"/>
  <c r="J9266" i="8"/>
  <c r="J9267" i="8"/>
  <c r="J9268" i="8"/>
  <c r="J9269" i="8"/>
  <c r="J9270" i="8"/>
  <c r="J9271" i="8"/>
  <c r="J9272" i="8"/>
  <c r="J9273" i="8"/>
  <c r="J9274" i="8"/>
  <c r="J9275" i="8"/>
  <c r="J9276" i="8"/>
  <c r="J9277" i="8"/>
  <c r="J9278" i="8"/>
  <c r="J9279" i="8"/>
  <c r="J9280" i="8"/>
  <c r="J9281" i="8"/>
  <c r="J9282" i="8"/>
  <c r="J9283" i="8"/>
  <c r="J9284" i="8"/>
  <c r="J9285" i="8"/>
  <c r="J9286" i="8"/>
  <c r="J9287" i="8"/>
  <c r="J9288" i="8"/>
  <c r="J9289" i="8"/>
  <c r="J9290" i="8"/>
  <c r="J9291" i="8"/>
  <c r="J9292" i="8"/>
  <c r="J9293" i="8"/>
  <c r="J9294" i="8"/>
  <c r="J9295" i="8"/>
  <c r="J9296" i="8"/>
  <c r="J9297" i="8"/>
  <c r="J9298" i="8"/>
  <c r="J9299" i="8"/>
  <c r="J9300" i="8"/>
  <c r="J9301" i="8"/>
  <c r="J9302" i="8"/>
  <c r="J9303" i="8"/>
  <c r="J9304" i="8"/>
  <c r="J9305" i="8"/>
  <c r="J9306" i="8"/>
  <c r="J9307" i="8"/>
  <c r="J9308" i="8"/>
  <c r="J9309" i="8"/>
  <c r="J9310" i="8"/>
  <c r="J9311" i="8"/>
  <c r="J9312" i="8"/>
  <c r="J9313" i="8"/>
  <c r="J9314" i="8"/>
  <c r="J9315" i="8"/>
  <c r="J9316" i="8"/>
  <c r="J9317" i="8"/>
  <c r="J9318" i="8"/>
  <c r="J9319" i="8"/>
  <c r="J9320" i="8"/>
  <c r="J9321" i="8"/>
  <c r="J9323" i="8"/>
  <c r="J9324" i="8"/>
  <c r="J9325" i="8"/>
  <c r="J9326" i="8"/>
  <c r="J9327" i="8"/>
  <c r="J9328" i="8"/>
  <c r="J9329" i="8"/>
  <c r="J9330" i="8"/>
  <c r="J9331" i="8"/>
  <c r="J9332" i="8"/>
  <c r="J9333" i="8"/>
  <c r="J9334" i="8"/>
  <c r="J9335" i="8"/>
  <c r="J9336" i="8"/>
  <c r="J9337" i="8"/>
  <c r="J9339" i="8"/>
  <c r="J9341" i="8"/>
  <c r="J9342" i="8"/>
  <c r="J9343" i="8"/>
  <c r="J9344" i="8"/>
  <c r="J9345" i="8"/>
  <c r="J9346" i="8"/>
  <c r="J9347" i="8"/>
  <c r="J9348" i="8"/>
  <c r="J9349" i="8"/>
  <c r="J9350" i="8"/>
  <c r="J9351" i="8"/>
  <c r="J9352" i="8"/>
  <c r="J9353" i="8"/>
  <c r="J9354" i="8"/>
  <c r="J9355" i="8"/>
  <c r="J9357" i="8"/>
  <c r="J9358" i="8"/>
  <c r="J9359" i="8"/>
  <c r="J9360" i="8"/>
  <c r="J9361" i="8"/>
  <c r="J9362" i="8"/>
  <c r="J9363" i="8"/>
  <c r="J9364" i="8"/>
  <c r="J9365" i="8"/>
  <c r="J9366" i="8"/>
  <c r="J9367" i="8"/>
  <c r="J9368" i="8"/>
  <c r="J9369" i="8"/>
  <c r="J9370" i="8"/>
  <c r="J9371" i="8"/>
  <c r="J9372" i="8"/>
  <c r="J9373" i="8"/>
  <c r="J9374" i="8"/>
  <c r="J9375" i="8"/>
  <c r="J9376" i="8"/>
  <c r="J9377" i="8"/>
  <c r="J9378" i="8"/>
  <c r="J9379" i="8"/>
  <c r="J9380" i="8"/>
  <c r="J9381" i="8"/>
  <c r="J9382" i="8"/>
  <c r="J9383" i="8"/>
  <c r="J9384" i="8"/>
  <c r="J9385" i="8"/>
  <c r="J9386" i="8"/>
  <c r="J9387" i="8"/>
  <c r="J9388" i="8"/>
  <c r="J9389" i="8"/>
  <c r="J9390" i="8"/>
  <c r="J9391" i="8"/>
  <c r="J9392" i="8"/>
  <c r="J9393" i="8"/>
  <c r="J9394" i="8"/>
  <c r="J9395" i="8"/>
  <c r="J9396" i="8"/>
  <c r="J9397" i="8"/>
  <c r="J9398" i="8"/>
  <c r="J9399" i="8"/>
  <c r="J9400" i="8"/>
  <c r="J9401" i="8"/>
  <c r="J9402" i="8"/>
  <c r="J9403" i="8"/>
  <c r="J9404" i="8"/>
  <c r="J9405" i="8"/>
  <c r="J9406" i="8"/>
  <c r="J9407" i="8"/>
  <c r="J9408" i="8"/>
  <c r="J9409" i="8"/>
  <c r="J9410" i="8"/>
  <c r="J9411" i="8"/>
  <c r="J9412" i="8"/>
  <c r="J9413" i="8"/>
  <c r="J9414" i="8"/>
  <c r="J9415" i="8"/>
  <c r="J9416" i="8"/>
  <c r="J9417" i="8"/>
  <c r="J9418" i="8"/>
  <c r="J9419" i="8"/>
  <c r="J9420" i="8"/>
  <c r="J9422" i="8"/>
  <c r="J9423" i="8"/>
  <c r="J9424" i="8"/>
  <c r="J9425" i="8"/>
  <c r="J9426" i="8"/>
  <c r="J9427" i="8"/>
  <c r="J9428" i="8"/>
  <c r="J9429" i="8"/>
  <c r="J9430" i="8"/>
  <c r="J9431" i="8"/>
  <c r="J9432" i="8"/>
  <c r="J9433" i="8"/>
  <c r="J9434" i="8"/>
  <c r="J9435" i="8"/>
  <c r="J9436" i="8"/>
  <c r="J9438" i="8"/>
  <c r="J9440" i="8"/>
  <c r="J9441" i="8"/>
  <c r="J9442" i="8"/>
  <c r="J9443" i="8"/>
  <c r="J9444" i="8"/>
  <c r="J9445" i="8"/>
  <c r="J9446" i="8"/>
  <c r="J9447" i="8"/>
  <c r="J9448" i="8"/>
  <c r="J9449" i="8"/>
  <c r="J9450" i="8"/>
  <c r="J9451" i="8"/>
  <c r="J9452" i="8"/>
  <c r="J9453" i="8"/>
  <c r="J9454" i="8"/>
  <c r="J9456" i="8"/>
  <c r="J9457" i="8"/>
  <c r="J9458" i="8"/>
  <c r="J9459" i="8"/>
  <c r="J9460" i="8"/>
  <c r="J9461" i="8"/>
  <c r="J9462" i="8"/>
  <c r="J9463" i="8"/>
  <c r="J9464" i="8"/>
  <c r="J9465" i="8"/>
  <c r="J9466" i="8"/>
  <c r="J9467" i="8"/>
  <c r="J9468" i="8"/>
  <c r="J9469" i="8"/>
  <c r="J9470" i="8"/>
  <c r="J9471" i="8"/>
  <c r="J9472" i="8"/>
  <c r="J9473" i="8"/>
  <c r="J9474" i="8"/>
  <c r="J9475" i="8"/>
  <c r="J9476" i="8"/>
  <c r="J9477" i="8"/>
  <c r="J9478" i="8"/>
  <c r="J9479" i="8"/>
  <c r="J9480" i="8"/>
  <c r="J9481" i="8"/>
  <c r="J9482" i="8"/>
  <c r="J9483" i="8"/>
  <c r="J9484" i="8"/>
  <c r="J9485" i="8"/>
  <c r="J9486" i="8"/>
  <c r="J9487" i="8"/>
  <c r="J9488" i="8"/>
  <c r="J9489" i="8"/>
  <c r="J9490" i="8"/>
  <c r="J9491" i="8"/>
  <c r="J9492" i="8"/>
  <c r="J9493" i="8"/>
  <c r="J9494" i="8"/>
  <c r="J9495" i="8"/>
  <c r="J9496" i="8"/>
  <c r="J9497" i="8"/>
  <c r="J9498" i="8"/>
  <c r="J9499" i="8"/>
  <c r="J9500" i="8"/>
  <c r="J9501" i="8"/>
  <c r="J9502" i="8"/>
  <c r="J9503" i="8"/>
  <c r="J9504" i="8"/>
  <c r="J9505" i="8"/>
  <c r="J9506" i="8"/>
  <c r="J9507" i="8"/>
  <c r="J9508" i="8"/>
  <c r="J9509" i="8"/>
  <c r="J9510" i="8"/>
  <c r="J9511" i="8"/>
  <c r="J9512" i="8"/>
  <c r="J9513" i="8"/>
  <c r="J9514" i="8"/>
  <c r="J9515" i="8"/>
  <c r="J9516" i="8"/>
  <c r="J9517" i="8"/>
  <c r="J9518" i="8"/>
  <c r="J9519" i="8"/>
  <c r="J9521" i="8"/>
  <c r="J9522" i="8"/>
  <c r="J9523" i="8"/>
  <c r="J9524" i="8"/>
  <c r="J9525" i="8"/>
  <c r="J9526" i="8"/>
  <c r="J9527" i="8"/>
  <c r="J9528" i="8"/>
  <c r="J9529" i="8"/>
  <c r="J9530" i="8"/>
  <c r="J9531" i="8"/>
  <c r="J9532" i="8"/>
  <c r="J9533" i="8"/>
  <c r="J9534" i="8"/>
  <c r="J9535" i="8"/>
  <c r="J9537" i="8"/>
  <c r="J9539" i="8"/>
  <c r="J9540" i="8"/>
  <c r="J9541" i="8"/>
  <c r="J9542" i="8"/>
  <c r="J9543" i="8"/>
  <c r="J9544" i="8"/>
  <c r="J9545" i="8"/>
  <c r="J9546" i="8"/>
  <c r="J9547" i="8"/>
  <c r="J9548" i="8"/>
  <c r="J9549" i="8"/>
  <c r="J9550" i="8"/>
  <c r="J9551" i="8"/>
  <c r="J9552" i="8"/>
  <c r="J9553" i="8"/>
  <c r="J9555" i="8"/>
  <c r="J9558" i="8"/>
  <c r="J9559" i="8"/>
  <c r="J9561" i="8"/>
  <c r="J9562" i="8"/>
  <c r="J9563" i="8"/>
  <c r="J9564" i="8"/>
  <c r="J9565" i="8"/>
  <c r="J9566" i="8"/>
  <c r="J9567" i="8"/>
  <c r="J9568" i="8"/>
  <c r="J9569" i="8"/>
  <c r="J9570" i="8"/>
  <c r="J9571" i="8"/>
  <c r="J9574" i="8"/>
  <c r="J9577" i="8"/>
  <c r="J9578" i="8"/>
  <c r="J9580" i="8"/>
  <c r="J9581" i="8"/>
  <c r="J9582" i="8"/>
  <c r="J9583" i="8"/>
  <c r="J9584" i="8"/>
  <c r="J9585" i="8"/>
  <c r="J9586" i="8"/>
  <c r="J9587" i="8"/>
  <c r="J9588" i="8"/>
  <c r="J9589" i="8"/>
  <c r="J9590" i="8"/>
  <c r="J9593" i="8"/>
  <c r="J9594" i="8"/>
  <c r="J9595" i="8"/>
  <c r="J9596" i="8"/>
  <c r="J9597" i="8"/>
  <c r="J9598" i="8"/>
  <c r="J9599" i="8"/>
  <c r="J9600" i="8"/>
  <c r="J9601" i="8"/>
  <c r="J9602" i="8"/>
  <c r="J9603" i="8"/>
  <c r="J9604" i="8"/>
  <c r="J9605" i="8"/>
  <c r="J9606" i="8"/>
  <c r="J9607" i="8"/>
  <c r="J9608" i="8"/>
  <c r="J9609" i="8"/>
  <c r="J9610" i="8"/>
  <c r="J9611" i="8"/>
  <c r="J9612" i="8"/>
  <c r="J9613" i="8"/>
  <c r="J9614" i="8"/>
  <c r="J9615" i="8"/>
  <c r="J9616" i="8"/>
  <c r="J9617" i="8"/>
  <c r="J9618" i="8"/>
  <c r="J9619" i="8"/>
  <c r="J9620" i="8"/>
  <c r="J9621" i="8"/>
  <c r="J9622" i="8"/>
  <c r="J9623" i="8"/>
  <c r="J9624" i="8"/>
  <c r="J9625" i="8"/>
  <c r="J9626" i="8"/>
  <c r="J9627" i="8"/>
  <c r="J9628" i="8"/>
  <c r="J9629" i="8"/>
  <c r="J9630" i="8"/>
  <c r="J9631" i="8"/>
  <c r="J9632" i="8"/>
  <c r="J9633" i="8"/>
  <c r="J9634" i="8"/>
  <c r="J9635" i="8"/>
  <c r="J9636" i="8"/>
  <c r="J9637" i="8"/>
  <c r="J9638" i="8"/>
  <c r="J9639" i="8"/>
  <c r="J9640" i="8"/>
  <c r="J9641" i="8"/>
  <c r="J9642" i="8"/>
  <c r="J9643" i="8"/>
  <c r="J9644" i="8"/>
  <c r="J9645" i="8"/>
  <c r="J9646" i="8"/>
  <c r="J9647" i="8"/>
  <c r="J9648" i="8"/>
  <c r="J9649" i="8"/>
  <c r="J9650" i="8"/>
  <c r="J9651" i="8"/>
  <c r="J9652" i="8"/>
  <c r="J9653" i="8"/>
  <c r="J9654" i="8"/>
  <c r="J9655" i="8"/>
  <c r="J9656" i="8"/>
  <c r="J9657" i="8"/>
  <c r="J9658" i="8"/>
  <c r="J9659" i="8"/>
  <c r="J9661" i="8"/>
  <c r="J9662" i="8"/>
  <c r="J9663" i="8"/>
  <c r="J9664" i="8"/>
  <c r="J9665" i="8"/>
  <c r="J9666" i="8"/>
  <c r="J9667" i="8"/>
  <c r="J9668" i="8"/>
  <c r="J9669" i="8"/>
  <c r="J9670" i="8"/>
  <c r="J9671" i="8"/>
  <c r="J9672" i="8"/>
  <c r="J9673" i="8"/>
  <c r="J9674" i="8"/>
  <c r="J9675" i="8"/>
  <c r="J9677" i="8"/>
  <c r="J9679" i="8"/>
  <c r="J9680" i="8"/>
  <c r="J9681" i="8"/>
  <c r="J9682" i="8"/>
  <c r="J9683" i="8"/>
  <c r="J9684" i="8"/>
  <c r="J9685" i="8"/>
  <c r="J9686" i="8"/>
  <c r="J9687" i="8"/>
  <c r="J9688" i="8"/>
  <c r="J9689" i="8"/>
  <c r="J9690" i="8"/>
  <c r="J9691" i="8"/>
  <c r="J9692" i="8"/>
  <c r="J9693" i="8"/>
  <c r="J9695" i="8"/>
  <c r="J9696" i="8"/>
  <c r="J9697" i="8"/>
  <c r="J9698" i="8"/>
  <c r="J9699" i="8"/>
  <c r="J9700" i="8"/>
  <c r="J9701" i="8"/>
  <c r="J9702" i="8"/>
  <c r="J9703" i="8"/>
  <c r="J9704" i="8"/>
  <c r="J9705" i="8"/>
  <c r="J9706" i="8"/>
  <c r="J9707" i="8"/>
  <c r="J9708" i="8"/>
  <c r="J9709" i="8"/>
  <c r="J9710" i="8"/>
  <c r="J9711" i="8"/>
  <c r="J9712" i="8"/>
  <c r="J9713" i="8"/>
  <c r="J9714" i="8"/>
  <c r="J9715" i="8"/>
  <c r="J9716" i="8"/>
  <c r="J9717" i="8"/>
  <c r="J9718" i="8"/>
  <c r="J9719" i="8"/>
  <c r="J9720" i="8"/>
  <c r="J9721" i="8"/>
  <c r="J9722" i="8"/>
  <c r="J9723" i="8"/>
  <c r="J9724" i="8"/>
  <c r="J9725" i="8"/>
  <c r="J9726" i="8"/>
  <c r="J9727" i="8"/>
  <c r="J9728" i="8"/>
  <c r="J9729" i="8"/>
  <c r="J9730" i="8"/>
  <c r="J9731" i="8"/>
  <c r="J9732" i="8"/>
  <c r="J9733" i="8"/>
  <c r="J9734" i="8"/>
  <c r="J9735" i="8"/>
  <c r="J9736" i="8"/>
  <c r="J9737" i="8"/>
  <c r="J9738" i="8"/>
  <c r="J9739" i="8"/>
  <c r="J9740" i="8"/>
  <c r="J9741" i="8"/>
  <c r="J9742" i="8"/>
  <c r="J9743" i="8"/>
  <c r="J9744" i="8"/>
  <c r="J9745" i="8"/>
  <c r="J9746" i="8"/>
  <c r="J9747" i="8"/>
  <c r="J9748" i="8"/>
  <c r="J9749" i="8"/>
  <c r="J9750" i="8"/>
  <c r="J9751" i="8"/>
  <c r="J9752" i="8"/>
  <c r="J9753" i="8"/>
  <c r="J9754" i="8"/>
  <c r="J9755" i="8"/>
  <c r="J9756" i="8"/>
  <c r="J9757" i="8"/>
  <c r="J9758" i="8"/>
  <c r="J9760" i="8"/>
  <c r="J9761" i="8"/>
  <c r="J9762" i="8"/>
  <c r="J9763" i="8"/>
  <c r="J9764" i="8"/>
  <c r="J9765" i="8"/>
  <c r="J9766" i="8"/>
  <c r="J9767" i="8"/>
  <c r="J9768" i="8"/>
  <c r="J9769" i="8"/>
  <c r="J9770" i="8"/>
  <c r="J9771" i="8"/>
  <c r="J9772" i="8"/>
  <c r="J9773" i="8"/>
  <c r="J9774" i="8"/>
  <c r="J9776" i="8"/>
  <c r="J9778" i="8"/>
  <c r="J9779" i="8"/>
  <c r="J9780" i="8"/>
  <c r="J9781" i="8"/>
  <c r="J9782" i="8"/>
  <c r="J9783" i="8"/>
  <c r="J9784" i="8"/>
  <c r="J9785" i="8"/>
  <c r="J9786" i="8"/>
  <c r="J9787" i="8"/>
  <c r="J9788" i="8"/>
  <c r="J9789" i="8"/>
  <c r="J9790" i="8"/>
  <c r="J9791" i="8"/>
  <c r="J9792" i="8"/>
  <c r="J9794" i="8"/>
  <c r="J9795" i="8"/>
  <c r="J9796" i="8"/>
  <c r="J9797" i="8"/>
  <c r="J9798" i="8"/>
  <c r="J9799" i="8"/>
  <c r="J9800" i="8"/>
  <c r="J9801" i="8"/>
  <c r="J9802" i="8"/>
  <c r="J9803" i="8"/>
  <c r="J9804" i="8"/>
  <c r="J9805" i="8"/>
  <c r="J9806" i="8"/>
  <c r="J9807" i="8"/>
  <c r="J9808" i="8"/>
  <c r="J9809" i="8"/>
  <c r="J9810" i="8"/>
  <c r="J9811" i="8"/>
  <c r="J9812" i="8"/>
  <c r="J9813" i="8"/>
  <c r="J9814" i="8"/>
  <c r="J9815" i="8"/>
  <c r="J9816" i="8"/>
  <c r="J9817" i="8"/>
  <c r="J9818" i="8"/>
  <c r="J9819" i="8"/>
  <c r="J9820" i="8"/>
  <c r="J9821" i="8"/>
  <c r="J9822" i="8"/>
  <c r="J9823" i="8"/>
  <c r="J9824" i="8"/>
  <c r="J9825" i="8"/>
  <c r="J9826" i="8"/>
  <c r="J9827" i="8"/>
  <c r="J9828" i="8"/>
  <c r="J9829" i="8"/>
  <c r="J9830" i="8"/>
  <c r="J9831" i="8"/>
  <c r="J9832" i="8"/>
  <c r="J9833" i="8"/>
  <c r="J9834" i="8"/>
  <c r="J9835" i="8"/>
  <c r="J9836" i="8"/>
  <c r="J9837" i="8"/>
  <c r="J9838" i="8"/>
  <c r="J9839" i="8"/>
  <c r="J9840" i="8"/>
  <c r="J9841" i="8"/>
  <c r="J9842" i="8"/>
  <c r="J9843" i="8"/>
  <c r="J9844" i="8"/>
  <c r="J9845" i="8"/>
  <c r="J9846" i="8"/>
  <c r="J9847" i="8"/>
  <c r="J9848" i="8"/>
  <c r="J9849" i="8"/>
  <c r="J9850" i="8"/>
  <c r="J9851" i="8"/>
  <c r="J9852" i="8"/>
  <c r="J9853" i="8"/>
  <c r="J9854" i="8"/>
  <c r="J9855" i="8"/>
  <c r="J9856" i="8"/>
  <c r="J9857" i="8"/>
  <c r="J9859" i="8"/>
  <c r="J9860" i="8"/>
  <c r="J9861" i="8"/>
  <c r="J9862" i="8"/>
  <c r="J9863" i="8"/>
  <c r="J9864" i="8"/>
  <c r="J9865" i="8"/>
  <c r="J9866" i="8"/>
  <c r="J9867" i="8"/>
  <c r="J9868" i="8"/>
  <c r="J9869" i="8"/>
  <c r="J9870" i="8"/>
  <c r="J9871" i="8"/>
  <c r="J9872" i="8"/>
  <c r="J9873" i="8"/>
  <c r="J9875" i="8"/>
  <c r="J9877" i="8"/>
  <c r="J9878" i="8"/>
  <c r="J9879" i="8"/>
  <c r="J9880" i="8"/>
  <c r="J9881" i="8"/>
  <c r="J9882" i="8"/>
  <c r="J9883" i="8"/>
  <c r="J9884" i="8"/>
  <c r="J9885" i="8"/>
  <c r="J9886" i="8"/>
  <c r="J9887" i="8"/>
  <c r="J9888" i="8"/>
  <c r="J9889" i="8"/>
  <c r="J9890" i="8"/>
  <c r="J9891" i="8"/>
  <c r="J9893" i="8"/>
  <c r="J9894" i="8"/>
  <c r="J9896" i="8"/>
  <c r="J9897" i="8"/>
  <c r="J9898" i="8"/>
  <c r="J9899" i="8"/>
  <c r="J9900" i="8"/>
  <c r="J9901" i="8"/>
  <c r="J9902" i="8"/>
  <c r="J9903" i="8"/>
  <c r="J9904" i="8"/>
  <c r="J9905" i="8"/>
  <c r="J9906" i="8"/>
  <c r="J9907" i="8"/>
  <c r="J9908" i="8"/>
  <c r="J9909" i="8"/>
  <c r="J9910" i="8"/>
  <c r="J9912" i="8"/>
  <c r="J9913" i="8"/>
  <c r="J9915" i="8"/>
  <c r="J9916" i="8"/>
  <c r="J9917" i="8"/>
  <c r="J9918" i="8"/>
  <c r="J9919" i="8"/>
  <c r="J9920" i="8"/>
  <c r="J9921" i="8"/>
  <c r="J9922" i="8"/>
  <c r="J9923" i="8"/>
  <c r="J9924" i="8"/>
  <c r="J9925" i="8"/>
  <c r="J9926" i="8"/>
  <c r="J9927" i="8"/>
  <c r="J9928" i="8"/>
  <c r="J9929" i="8"/>
  <c r="J9931" i="8"/>
  <c r="J10651" i="8"/>
  <c r="J10652" i="8"/>
  <c r="J10653" i="8"/>
  <c r="J10654" i="8"/>
  <c r="J10655" i="8"/>
  <c r="J10656" i="8"/>
  <c r="J10657" i="8"/>
  <c r="J10658" i="8"/>
  <c r="J10659" i="8"/>
  <c r="J10660" i="8"/>
  <c r="J10661" i="8"/>
  <c r="J10662" i="8"/>
  <c r="J10663" i="8"/>
  <c r="J10664" i="8"/>
  <c r="J10665" i="8"/>
  <c r="J10666" i="8"/>
  <c r="J10667" i="8"/>
  <c r="J10668" i="8"/>
  <c r="J10669" i="8"/>
  <c r="J10670" i="8"/>
  <c r="J10671" i="8"/>
  <c r="J10672" i="8"/>
  <c r="J10673" i="8"/>
  <c r="J10674" i="8"/>
  <c r="J10675" i="8"/>
  <c r="J10676" i="8"/>
  <c r="J10677" i="8"/>
  <c r="J10678" i="8"/>
  <c r="J10679" i="8"/>
  <c r="J10680" i="8"/>
  <c r="J10681" i="8"/>
  <c r="J10682" i="8"/>
  <c r="J10683" i="8"/>
  <c r="J10684" i="8"/>
  <c r="J10685" i="8"/>
  <c r="J10686" i="8"/>
  <c r="J10687" i="8"/>
  <c r="J10688" i="8"/>
  <c r="J10689" i="8"/>
  <c r="J10690" i="8"/>
  <c r="J10691" i="8"/>
  <c r="J10692" i="8"/>
  <c r="J10693" i="8"/>
  <c r="J10694" i="8"/>
  <c r="J10695" i="8"/>
  <c r="J10696" i="8"/>
  <c r="J10697" i="8"/>
  <c r="J10698" i="8"/>
  <c r="J10699" i="8"/>
  <c r="J10700" i="8"/>
  <c r="J10701" i="8"/>
  <c r="J10702" i="8"/>
  <c r="J10703" i="8"/>
  <c r="J10704" i="8"/>
  <c r="J10705" i="8"/>
  <c r="J10706" i="8"/>
  <c r="J10707" i="8"/>
  <c r="J10708" i="8"/>
  <c r="J10709" i="8"/>
  <c r="J10710" i="8"/>
  <c r="J10713" i="8"/>
  <c r="J10714" i="8"/>
  <c r="J10715" i="8"/>
  <c r="J10716" i="8"/>
  <c r="J10717" i="8"/>
  <c r="J10718" i="8"/>
  <c r="J10719" i="8"/>
  <c r="J10720" i="8"/>
  <c r="J10721" i="8"/>
  <c r="J10722" i="8"/>
  <c r="J10723" i="8"/>
  <c r="J10724" i="8"/>
  <c r="J10725" i="8"/>
  <c r="J10726" i="8"/>
  <c r="J10727" i="8"/>
  <c r="J10731" i="8"/>
  <c r="J10732" i="8"/>
  <c r="J10733" i="8"/>
  <c r="J10734" i="8"/>
  <c r="J10735" i="8"/>
  <c r="J10736" i="8"/>
  <c r="J10737" i="8"/>
  <c r="J10738" i="8"/>
  <c r="J10739" i="8"/>
  <c r="J10740" i="8"/>
  <c r="J10741" i="8"/>
  <c r="J10742" i="8"/>
  <c r="J10743" i="8"/>
  <c r="J10744" i="8"/>
  <c r="J10745" i="8"/>
  <c r="J10747" i="8"/>
  <c r="J10748" i="8"/>
  <c r="J10749" i="8"/>
  <c r="J10750" i="8"/>
  <c r="J10751" i="8"/>
  <c r="J10752" i="8"/>
  <c r="J10753" i="8"/>
  <c r="J10754" i="8"/>
  <c r="J10755" i="8"/>
  <c r="J10756" i="8"/>
  <c r="J10757" i="8"/>
  <c r="J10758" i="8"/>
  <c r="J10759" i="8"/>
  <c r="J10760" i="8"/>
  <c r="J10761" i="8"/>
  <c r="J10762" i="8"/>
  <c r="J10763" i="8"/>
  <c r="J10764" i="8"/>
  <c r="J10765" i="8"/>
  <c r="J10766" i="8"/>
  <c r="J10767" i="8"/>
  <c r="J10768" i="8"/>
  <c r="J10769" i="8"/>
  <c r="J10770" i="8"/>
  <c r="J10771" i="8"/>
  <c r="J10772" i="8"/>
  <c r="J10773" i="8"/>
  <c r="J10774" i="8"/>
  <c r="J10775" i="8"/>
  <c r="J10776" i="8"/>
  <c r="J10777" i="8"/>
  <c r="J10778" i="8"/>
  <c r="J10779" i="8"/>
  <c r="J10780" i="8"/>
  <c r="J10781" i="8"/>
  <c r="J10782" i="8"/>
  <c r="J10783" i="8"/>
  <c r="J10784" i="8"/>
  <c r="J10785" i="8"/>
  <c r="J10786" i="8"/>
  <c r="J10787" i="8"/>
  <c r="J10788" i="8"/>
  <c r="J10789" i="8"/>
  <c r="J10790" i="8"/>
  <c r="J10791" i="8"/>
  <c r="J10792" i="8"/>
  <c r="J10793" i="8"/>
  <c r="J10794" i="8"/>
  <c r="J10795" i="8"/>
  <c r="J10796" i="8"/>
  <c r="J10797" i="8"/>
  <c r="J10798" i="8"/>
  <c r="J10799" i="8"/>
  <c r="J10800" i="8"/>
  <c r="J10801" i="8"/>
  <c r="J10802" i="8"/>
  <c r="J10803" i="8"/>
  <c r="J10804" i="8"/>
  <c r="J10805" i="8"/>
  <c r="J10806" i="8"/>
  <c r="J10807" i="8"/>
  <c r="J10808" i="8"/>
  <c r="J10809" i="8"/>
  <c r="J10810" i="8"/>
  <c r="J10812" i="8"/>
  <c r="J10813" i="8"/>
  <c r="J10814" i="8"/>
  <c r="J10815" i="8"/>
  <c r="J10816" i="8"/>
  <c r="J10817" i="8"/>
  <c r="J10818" i="8"/>
  <c r="J10819" i="8"/>
  <c r="J10820" i="8"/>
  <c r="J10821" i="8"/>
  <c r="J10822" i="8"/>
  <c r="J10823" i="8"/>
  <c r="J10824" i="8"/>
  <c r="J10825" i="8"/>
  <c r="J10826" i="8"/>
  <c r="J10828" i="8"/>
  <c r="J10830" i="8"/>
  <c r="J10831" i="8"/>
  <c r="J10832" i="8"/>
  <c r="J10833" i="8"/>
  <c r="J10834" i="8"/>
  <c r="J10835" i="8"/>
  <c r="J10836" i="8"/>
  <c r="J10837" i="8"/>
  <c r="J10838" i="8"/>
  <c r="J10839" i="8"/>
  <c r="J10840" i="8"/>
  <c r="J10841" i="8"/>
  <c r="J10842" i="8"/>
  <c r="J10843" i="8"/>
  <c r="J10844" i="8"/>
  <c r="J10846" i="8"/>
  <c r="J10849" i="8"/>
  <c r="J10850" i="8"/>
  <c r="J10851" i="8"/>
  <c r="J10852" i="8"/>
  <c r="J10853" i="8"/>
  <c r="J10854" i="8"/>
  <c r="J10855" i="8"/>
  <c r="J10856" i="8"/>
  <c r="J10857" i="8"/>
  <c r="J10858" i="8"/>
  <c r="J10859" i="8"/>
  <c r="J10860" i="8"/>
  <c r="J10861" i="8"/>
  <c r="J10862" i="8"/>
  <c r="J10863" i="8"/>
  <c r="J10864" i="8"/>
  <c r="J10865" i="8"/>
  <c r="J10866" i="8"/>
  <c r="J10867" i="8"/>
  <c r="J10868" i="8"/>
  <c r="J10869" i="8"/>
  <c r="J10870" i="8"/>
  <c r="J10871" i="8"/>
  <c r="J10872" i="8"/>
  <c r="J10873" i="8"/>
  <c r="J10874" i="8"/>
  <c r="J10875" i="8"/>
  <c r="J10876" i="8"/>
  <c r="J10877" i="8"/>
  <c r="J10878" i="8"/>
  <c r="J10879" i="8"/>
  <c r="J10880" i="8"/>
  <c r="J10881" i="8"/>
  <c r="J10882" i="8"/>
  <c r="J10883" i="8"/>
  <c r="J10884" i="8"/>
  <c r="J10885" i="8"/>
  <c r="J10886" i="8"/>
  <c r="J10887" i="8"/>
  <c r="J10888" i="8"/>
  <c r="J10889" i="8"/>
  <c r="J10890" i="8"/>
  <c r="J10891" i="8"/>
  <c r="J10892" i="8"/>
  <c r="J10893" i="8"/>
  <c r="J10894" i="8"/>
  <c r="J10895" i="8"/>
  <c r="J10896" i="8"/>
  <c r="J10897" i="8"/>
  <c r="J10898" i="8"/>
  <c r="J10899" i="8"/>
  <c r="J10900" i="8"/>
  <c r="J10901" i="8"/>
  <c r="J10902" i="8"/>
  <c r="J10903" i="8"/>
  <c r="J10904" i="8"/>
  <c r="J10905" i="8"/>
  <c r="J10906" i="8"/>
  <c r="J10907" i="8"/>
  <c r="J10908" i="8"/>
  <c r="J10911" i="8"/>
  <c r="J10912" i="8"/>
  <c r="J10913" i="8"/>
  <c r="J10914" i="8"/>
  <c r="J10915" i="8"/>
  <c r="J10916" i="8"/>
  <c r="J10917" i="8"/>
  <c r="J10918" i="8"/>
  <c r="J10919" i="8"/>
  <c r="J10920" i="8"/>
  <c r="J10921" i="8"/>
  <c r="J10922" i="8"/>
  <c r="J10923" i="8"/>
  <c r="J10924" i="8"/>
  <c r="J10925" i="8"/>
  <c r="J10929" i="8"/>
  <c r="J10930" i="8"/>
  <c r="J10931" i="8"/>
  <c r="J10932" i="8"/>
  <c r="J10933" i="8"/>
  <c r="J10934" i="8"/>
  <c r="J10935" i="8"/>
  <c r="J10936" i="8"/>
  <c r="J10937" i="8"/>
  <c r="J10938" i="8"/>
  <c r="J10939" i="8"/>
  <c r="J10940" i="8"/>
  <c r="J10941" i="8"/>
  <c r="J10942" i="8"/>
  <c r="J10943" i="8"/>
  <c r="J10945" i="8"/>
  <c r="J10946" i="8"/>
  <c r="J10949" i="8"/>
  <c r="J10950" i="8"/>
  <c r="J10951" i="8"/>
  <c r="J10952" i="8"/>
  <c r="J10953" i="8"/>
  <c r="J10954" i="8"/>
  <c r="J10955" i="8"/>
  <c r="J10956" i="8"/>
  <c r="J10957" i="8"/>
  <c r="J10958" i="8"/>
  <c r="J10959" i="8"/>
  <c r="J10960" i="8"/>
  <c r="J10961" i="8"/>
  <c r="J10962" i="8"/>
  <c r="J10963" i="8"/>
  <c r="J11069" i="8"/>
  <c r="J11070" i="8"/>
  <c r="J11071" i="8"/>
  <c r="J11072" i="8"/>
  <c r="J11073" i="8"/>
  <c r="J11074" i="8"/>
  <c r="J11075" i="8"/>
  <c r="J11076" i="8"/>
  <c r="J11077" i="8"/>
  <c r="J11078" i="8"/>
  <c r="J11079" i="8"/>
  <c r="J11080" i="8"/>
  <c r="J11081" i="8"/>
  <c r="J11082" i="8"/>
  <c r="J11083" i="8"/>
  <c r="J11084" i="8"/>
  <c r="J11085" i="8"/>
  <c r="J11086" i="8"/>
  <c r="J11087" i="8"/>
  <c r="J11088" i="8"/>
  <c r="J11089" i="8"/>
  <c r="J11090" i="8"/>
  <c r="J11091" i="8"/>
  <c r="J11092" i="8"/>
  <c r="J11093" i="8"/>
  <c r="J11094" i="8"/>
  <c r="J11095" i="8"/>
  <c r="J11096" i="8"/>
  <c r="J11097" i="8"/>
  <c r="J11098" i="8"/>
  <c r="J11099" i="8"/>
  <c r="J11100" i="8"/>
  <c r="J11101" i="8"/>
  <c r="J11102" i="8"/>
  <c r="J11103" i="8"/>
  <c r="J11104" i="8"/>
  <c r="J11105" i="8"/>
  <c r="J11106" i="8"/>
  <c r="J11107" i="8"/>
  <c r="J11108" i="8"/>
  <c r="J11109" i="8"/>
  <c r="J11110" i="8"/>
  <c r="J11111" i="8"/>
  <c r="J11112" i="8"/>
  <c r="J11113" i="8"/>
  <c r="J11114" i="8"/>
  <c r="J11115" i="8"/>
  <c r="J11116" i="8"/>
  <c r="J11117" i="8"/>
  <c r="J11118" i="8"/>
  <c r="J11119" i="8"/>
  <c r="J11120" i="8"/>
  <c r="J11121" i="8"/>
  <c r="J11122" i="8"/>
  <c r="J11123" i="8"/>
  <c r="J11124" i="8"/>
  <c r="J11125" i="8"/>
  <c r="J11126" i="8"/>
  <c r="J11127" i="8"/>
  <c r="J11128" i="8"/>
  <c r="J11131" i="8"/>
  <c r="J11132" i="8"/>
  <c r="J11133" i="8"/>
  <c r="J11134" i="8"/>
  <c r="J11135" i="8"/>
  <c r="J11136" i="8"/>
  <c r="J11137" i="8"/>
  <c r="J11138" i="8"/>
  <c r="J11139" i="8"/>
  <c r="J11140" i="8"/>
  <c r="J11141" i="8"/>
  <c r="J11142" i="8"/>
  <c r="J11143" i="8"/>
  <c r="J11144" i="8"/>
  <c r="J11149" i="8"/>
  <c r="J11150" i="8"/>
  <c r="J11151" i="8"/>
  <c r="J11152" i="8"/>
  <c r="J11153" i="8"/>
  <c r="J11154" i="8"/>
  <c r="J11155" i="8"/>
  <c r="J11156" i="8"/>
  <c r="J11157" i="8"/>
  <c r="J11158" i="8"/>
  <c r="J11159" i="8"/>
  <c r="J11160" i="8"/>
  <c r="J11161" i="8"/>
  <c r="J11162" i="8"/>
  <c r="J11165" i="8"/>
  <c r="J11166" i="8"/>
  <c r="J11167" i="8"/>
  <c r="J11168" i="8"/>
  <c r="J11169" i="8"/>
  <c r="J11170" i="8"/>
  <c r="J11171" i="8"/>
  <c r="J11172" i="8"/>
  <c r="J11173" i="8"/>
  <c r="J11174" i="8"/>
  <c r="J11175" i="8"/>
  <c r="J11176" i="8"/>
  <c r="J11177" i="8"/>
  <c r="J11178" i="8"/>
  <c r="J11179" i="8"/>
  <c r="J11180" i="8"/>
  <c r="J11181" i="8"/>
  <c r="J11182" i="8"/>
  <c r="J11183" i="8"/>
  <c r="J11184" i="8"/>
  <c r="J11185" i="8"/>
  <c r="J11186" i="8"/>
  <c r="J11187" i="8"/>
  <c r="J11188" i="8"/>
  <c r="J11189" i="8"/>
  <c r="J11190" i="8"/>
  <c r="J11191" i="8"/>
  <c r="J11192" i="8"/>
  <c r="J11193" i="8"/>
  <c r="J11194" i="8"/>
  <c r="J11195" i="8"/>
  <c r="J11196" i="8"/>
  <c r="J11197" i="8"/>
  <c r="J11198" i="8"/>
  <c r="J11199" i="8"/>
  <c r="J11200" i="8"/>
  <c r="J11201" i="8"/>
  <c r="J11202" i="8"/>
  <c r="J11203" i="8"/>
  <c r="J11204" i="8"/>
  <c r="J11205" i="8"/>
  <c r="J11206" i="8"/>
  <c r="J11207" i="8"/>
  <c r="J11208" i="8"/>
  <c r="J11209" i="8"/>
  <c r="J11210" i="8"/>
  <c r="J11211" i="8"/>
  <c r="J11212" i="8"/>
  <c r="J11213" i="8"/>
  <c r="J11214" i="8"/>
  <c r="J11215" i="8"/>
  <c r="J11216" i="8"/>
  <c r="J11217" i="8"/>
  <c r="J11218" i="8"/>
  <c r="J11219" i="8"/>
  <c r="J11220" i="8"/>
  <c r="J11221" i="8"/>
  <c r="J11222" i="8"/>
  <c r="J11223" i="8"/>
  <c r="J11224" i="8"/>
  <c r="J11225" i="8"/>
  <c r="J11226" i="8"/>
  <c r="J11227" i="8"/>
  <c r="J11228" i="8"/>
  <c r="J11230" i="8"/>
  <c r="J11231" i="8"/>
  <c r="J11232" i="8"/>
  <c r="J11233" i="8"/>
  <c r="J11234" i="8"/>
  <c r="J11235" i="8"/>
  <c r="J11236" i="8"/>
  <c r="J11237" i="8"/>
  <c r="J11238" i="8"/>
  <c r="J11239" i="8"/>
  <c r="J11240" i="8"/>
  <c r="J11241" i="8"/>
  <c r="J11242" i="8"/>
  <c r="J11243" i="8"/>
  <c r="J11244" i="8"/>
  <c r="J11246" i="8"/>
  <c r="J11248" i="8"/>
  <c r="J11249" i="8"/>
  <c r="J11250" i="8"/>
  <c r="J11251" i="8"/>
  <c r="J11252" i="8"/>
  <c r="J11253" i="8"/>
  <c r="J11254" i="8"/>
  <c r="J11255" i="8"/>
  <c r="J11256" i="8"/>
  <c r="J11257" i="8"/>
  <c r="J11258" i="8"/>
  <c r="J11259" i="8"/>
  <c r="J11260" i="8"/>
  <c r="J11261" i="8"/>
  <c r="J11262" i="8"/>
  <c r="J11264" i="8"/>
  <c r="J11265" i="8"/>
  <c r="J11266" i="8"/>
  <c r="J11267" i="8"/>
  <c r="J11268" i="8"/>
  <c r="J11269" i="8"/>
  <c r="J11270" i="8"/>
  <c r="J11271" i="8"/>
  <c r="J11272" i="8"/>
  <c r="J11273" i="8"/>
  <c r="J11274" i="8"/>
  <c r="J11275" i="8"/>
  <c r="J11276" i="8"/>
  <c r="J11277" i="8"/>
  <c r="J11278" i="8"/>
  <c r="J11279" i="8"/>
  <c r="J11280" i="8"/>
  <c r="J11281" i="8"/>
  <c r="J11282" i="8"/>
  <c r="J11283" i="8"/>
  <c r="J11284" i="8"/>
  <c r="J11285" i="8"/>
  <c r="J11286" i="8"/>
  <c r="J11287" i="8"/>
  <c r="J11288" i="8"/>
  <c r="J11289" i="8"/>
  <c r="J11290" i="8"/>
  <c r="J11291" i="8"/>
  <c r="J11292" i="8"/>
  <c r="J11293" i="8"/>
  <c r="J11294" i="8"/>
  <c r="J11295" i="8"/>
  <c r="J11296" i="8"/>
  <c r="J11297" i="8"/>
  <c r="J11298" i="8"/>
  <c r="J11299" i="8"/>
  <c r="J11300" i="8"/>
  <c r="J11301" i="8"/>
  <c r="J11302" i="8"/>
  <c r="J11303" i="8"/>
  <c r="J11304" i="8"/>
  <c r="J11305" i="8"/>
  <c r="J11306" i="8"/>
  <c r="J11307" i="8"/>
  <c r="J11308" i="8"/>
  <c r="J11309" i="8"/>
  <c r="J11310" i="8"/>
  <c r="J11311" i="8"/>
  <c r="J11312" i="8"/>
  <c r="J11313" i="8"/>
  <c r="J11314" i="8"/>
  <c r="J11315" i="8"/>
  <c r="J11316" i="8"/>
  <c r="J11317" i="8"/>
  <c r="J11318" i="8"/>
  <c r="J11319" i="8"/>
  <c r="J11320" i="8"/>
  <c r="J11321" i="8"/>
  <c r="J11322" i="8"/>
  <c r="J11323" i="8"/>
  <c r="J11324" i="8"/>
  <c r="J11325" i="8"/>
  <c r="J11326" i="8"/>
  <c r="J11327" i="8"/>
  <c r="J11329" i="8"/>
  <c r="J11330" i="8"/>
  <c r="J11331" i="8"/>
  <c r="J11332" i="8"/>
  <c r="J11333" i="8"/>
  <c r="J11334" i="8"/>
  <c r="J11335" i="8"/>
  <c r="J11336" i="8"/>
  <c r="J11337" i="8"/>
  <c r="J11338" i="8"/>
  <c r="J11339" i="8"/>
  <c r="J11340" i="8"/>
  <c r="J11341" i="8"/>
  <c r="J11342" i="8"/>
  <c r="J11343" i="8"/>
  <c r="J11345" i="8"/>
  <c r="J11347" i="8"/>
  <c r="J11348" i="8"/>
  <c r="J11349" i="8"/>
  <c r="J11350" i="8"/>
  <c r="J11351" i="8"/>
  <c r="J11352" i="8"/>
  <c r="J11353" i="8"/>
  <c r="J11354" i="8"/>
  <c r="J11355" i="8"/>
  <c r="J11356" i="8"/>
  <c r="J11357" i="8"/>
  <c r="J11358" i="8"/>
  <c r="J11359" i="8"/>
  <c r="J11360" i="8"/>
  <c r="J11361" i="8"/>
  <c r="J11363" i="8"/>
  <c r="J11364" i="8"/>
  <c r="J11365" i="8"/>
  <c r="J11366" i="8"/>
  <c r="J11367" i="8"/>
  <c r="J11368" i="8"/>
  <c r="J11369" i="8"/>
  <c r="J11370" i="8"/>
  <c r="J11371" i="8"/>
  <c r="J11372" i="8"/>
  <c r="J11373" i="8"/>
  <c r="J11374" i="8"/>
  <c r="J11375" i="8"/>
  <c r="J11376" i="8"/>
  <c r="J11377" i="8"/>
  <c r="J11378" i="8"/>
  <c r="J11379" i="8"/>
  <c r="J11380" i="8"/>
  <c r="J11381" i="8"/>
  <c r="J11382" i="8"/>
  <c r="J11383" i="8"/>
  <c r="J11384" i="8"/>
  <c r="J11385" i="8"/>
  <c r="J11386" i="8"/>
  <c r="J11387" i="8"/>
  <c r="J11388" i="8"/>
  <c r="J11389" i="8"/>
  <c r="J11390" i="8"/>
  <c r="J11391" i="8"/>
  <c r="J11392" i="8"/>
  <c r="J11393" i="8"/>
  <c r="J11394" i="8"/>
  <c r="J11395" i="8"/>
  <c r="J11396" i="8"/>
  <c r="J11397" i="8"/>
  <c r="J11398" i="8"/>
  <c r="J11399" i="8"/>
  <c r="J11400" i="8"/>
  <c r="J11401" i="8"/>
  <c r="J11402" i="8"/>
  <c r="J11403" i="8"/>
  <c r="J11404" i="8"/>
  <c r="J11405" i="8"/>
  <c r="J11406" i="8"/>
  <c r="J11407" i="8"/>
  <c r="J11408" i="8"/>
  <c r="J11409" i="8"/>
  <c r="J11410" i="8"/>
  <c r="J11411" i="8"/>
  <c r="J11412" i="8"/>
  <c r="J11413" i="8"/>
  <c r="J11414" i="8"/>
  <c r="J11415" i="8"/>
  <c r="J11416" i="8"/>
  <c r="J11417" i="8"/>
  <c r="J11418" i="8"/>
  <c r="J11419" i="8"/>
  <c r="J11420" i="8"/>
  <c r="J11421" i="8"/>
  <c r="J11422" i="8"/>
  <c r="J11423" i="8"/>
  <c r="J11424" i="8"/>
  <c r="J11425" i="8"/>
  <c r="J11426" i="8"/>
  <c r="J11428" i="8"/>
  <c r="J11429" i="8"/>
  <c r="J11430" i="8"/>
  <c r="J11431" i="8"/>
  <c r="J11432" i="8"/>
  <c r="J11433" i="8"/>
  <c r="J11434" i="8"/>
  <c r="J11435" i="8"/>
  <c r="J11436" i="8"/>
  <c r="J11437" i="8"/>
  <c r="J11438" i="8"/>
  <c r="J11439" i="8"/>
  <c r="J11440" i="8"/>
  <c r="J11441" i="8"/>
  <c r="J11442" i="8"/>
  <c r="J11444" i="8"/>
  <c r="J11446" i="8"/>
  <c r="J11447" i="8"/>
  <c r="J11448" i="8"/>
  <c r="J11449" i="8"/>
  <c r="J11450" i="8"/>
  <c r="J11451" i="8"/>
  <c r="J11452" i="8"/>
  <c r="J11453" i="8"/>
  <c r="J11454" i="8"/>
  <c r="J11455" i="8"/>
  <c r="J11456" i="8"/>
  <c r="J11457" i="8"/>
  <c r="J11458" i="8"/>
  <c r="J11459" i="8"/>
  <c r="J11460" i="8"/>
  <c r="J11465" i="8"/>
  <c r="J11466" i="8"/>
  <c r="J11467" i="8"/>
  <c r="J11468" i="8"/>
  <c r="J11469" i="8"/>
  <c r="J11470" i="8"/>
  <c r="J11471" i="8"/>
  <c r="J11472" i="8"/>
  <c r="J11473" i="8"/>
  <c r="J11474" i="8"/>
  <c r="J11475" i="8"/>
  <c r="J11476" i="8"/>
  <c r="J11477" i="8"/>
  <c r="J11478" i="8"/>
  <c r="J11484" i="8"/>
  <c r="J11485" i="8"/>
  <c r="J11486" i="8"/>
  <c r="J11487" i="8"/>
  <c r="J11488" i="8"/>
  <c r="J11489" i="8"/>
  <c r="J11490" i="8"/>
  <c r="J11491" i="8"/>
  <c r="J11492" i="8"/>
  <c r="J11493" i="8"/>
  <c r="J11494" i="8"/>
  <c r="J11495" i="8"/>
  <c r="J11496" i="8"/>
  <c r="J11497" i="8"/>
  <c r="J11500" i="8"/>
  <c r="J11501" i="8"/>
  <c r="J11502" i="8"/>
  <c r="J11503" i="8"/>
  <c r="J11504" i="8"/>
  <c r="J11505" i="8"/>
  <c r="J11506" i="8"/>
  <c r="J11507" i="8"/>
  <c r="J11508" i="8"/>
  <c r="J11509" i="8"/>
  <c r="J11510" i="8"/>
  <c r="J11511" i="8"/>
  <c r="J11512" i="8"/>
  <c r="J11513" i="8"/>
  <c r="J11514" i="8"/>
  <c r="J11515" i="8"/>
  <c r="J11516" i="8"/>
  <c r="J11517" i="8"/>
  <c r="J11518" i="8"/>
  <c r="J11519" i="8"/>
  <c r="J11520" i="8"/>
  <c r="J11521" i="8"/>
  <c r="J11522" i="8"/>
  <c r="J11523" i="8"/>
  <c r="J11524" i="8"/>
  <c r="J11525" i="8"/>
  <c r="J11526" i="8"/>
  <c r="J11527" i="8"/>
  <c r="J11528" i="8"/>
  <c r="J11529" i="8"/>
  <c r="J11530" i="8"/>
  <c r="J11531" i="8"/>
  <c r="J11532" i="8"/>
  <c r="J11533" i="8"/>
  <c r="J11534" i="8"/>
  <c r="J11535" i="8"/>
  <c r="J11536" i="8"/>
  <c r="J11537" i="8"/>
  <c r="J11538" i="8"/>
  <c r="J11539" i="8"/>
  <c r="J11540" i="8"/>
  <c r="J11541" i="8"/>
  <c r="J11542" i="8"/>
  <c r="J11543" i="8"/>
  <c r="J11544" i="8"/>
  <c r="J11545" i="8"/>
  <c r="J11546" i="8"/>
  <c r="J11547" i="8"/>
  <c r="J11548" i="8"/>
  <c r="J11549" i="8"/>
  <c r="J11550" i="8"/>
  <c r="J11551" i="8"/>
  <c r="J11552" i="8"/>
  <c r="J11553" i="8"/>
  <c r="J11554" i="8"/>
  <c r="J11555" i="8"/>
  <c r="J11556" i="8"/>
  <c r="J11557" i="8"/>
  <c r="J11558" i="8"/>
  <c r="J11559" i="8"/>
  <c r="J11560" i="8"/>
  <c r="J11561" i="8"/>
  <c r="J11562" i="8"/>
  <c r="J11563" i="8"/>
  <c r="J11564" i="8"/>
  <c r="J11565" i="8"/>
  <c r="J11566" i="8"/>
  <c r="J11568" i="8"/>
  <c r="J11569" i="8"/>
  <c r="J11570" i="8"/>
  <c r="J11571" i="8"/>
  <c r="J11572" i="8"/>
  <c r="J11573" i="8"/>
  <c r="J11574" i="8"/>
  <c r="J11575" i="8"/>
  <c r="J11576" i="8"/>
  <c r="J11577" i="8"/>
  <c r="J11578" i="8"/>
  <c r="J11579" i="8"/>
  <c r="J11580" i="8"/>
  <c r="J11581" i="8"/>
  <c r="J11582" i="8"/>
  <c r="J11584" i="8"/>
  <c r="J11586" i="8"/>
  <c r="J11587" i="8"/>
  <c r="J11588" i="8"/>
  <c r="J11589" i="8"/>
  <c r="J11590" i="8"/>
  <c r="J11591" i="8"/>
  <c r="J11592" i="8"/>
  <c r="J11593" i="8"/>
  <c r="J11594" i="8"/>
  <c r="J11595" i="8"/>
  <c r="J11596" i="8"/>
  <c r="J11597" i="8"/>
  <c r="J11598" i="8"/>
  <c r="J11599" i="8"/>
  <c r="J11600" i="8"/>
  <c r="J11602" i="8"/>
  <c r="J11603" i="8"/>
  <c r="J11604" i="8"/>
  <c r="J11605" i="8"/>
  <c r="J11606" i="8"/>
  <c r="J11607" i="8"/>
  <c r="J11608" i="8"/>
  <c r="J11609" i="8"/>
  <c r="J11610" i="8"/>
  <c r="J11611" i="8"/>
  <c r="J11612" i="8"/>
  <c r="J11613" i="8"/>
  <c r="J11614" i="8"/>
  <c r="J11615" i="8"/>
  <c r="J11616" i="8"/>
  <c r="J11617" i="8"/>
  <c r="J11618" i="8"/>
  <c r="J11619" i="8"/>
  <c r="J11620" i="8"/>
  <c r="J11621" i="8"/>
  <c r="J11622" i="8"/>
  <c r="J11623" i="8"/>
  <c r="J11624" i="8"/>
  <c r="J11625" i="8"/>
  <c r="J11626" i="8"/>
  <c r="J11627" i="8"/>
  <c r="J11628" i="8"/>
  <c r="J11629" i="8"/>
  <c r="J11630" i="8"/>
  <c r="J11631" i="8"/>
  <c r="J11632" i="8"/>
  <c r="J11633" i="8"/>
  <c r="J11634" i="8"/>
  <c r="J11635" i="8"/>
  <c r="J11636" i="8"/>
  <c r="J11637" i="8"/>
  <c r="J11638" i="8"/>
  <c r="J11639" i="8"/>
  <c r="J11640" i="8"/>
  <c r="J11641" i="8"/>
  <c r="J11642" i="8"/>
  <c r="J11643" i="8"/>
  <c r="J11644" i="8"/>
  <c r="J11645" i="8"/>
  <c r="J11646" i="8"/>
  <c r="J11647" i="8"/>
  <c r="J11648" i="8"/>
  <c r="J11649" i="8"/>
  <c r="J11650" i="8"/>
  <c r="J11651" i="8"/>
  <c r="J11652" i="8"/>
  <c r="J11653" i="8"/>
  <c r="J11654" i="8"/>
  <c r="J11655" i="8"/>
  <c r="J11656" i="8"/>
  <c r="J11657" i="8"/>
  <c r="J11658" i="8"/>
  <c r="J11659" i="8"/>
  <c r="J11660" i="8"/>
  <c r="J11661" i="8"/>
  <c r="J11662" i="8"/>
  <c r="J11663" i="8"/>
  <c r="J11664" i="8"/>
  <c r="J11665" i="8"/>
  <c r="J11667" i="8"/>
  <c r="J11668" i="8"/>
  <c r="J11669" i="8"/>
  <c r="J11670" i="8"/>
  <c r="J11671" i="8"/>
  <c r="J11672" i="8"/>
  <c r="J11673" i="8"/>
  <c r="J11674" i="8"/>
  <c r="J11675" i="8"/>
  <c r="J11676" i="8"/>
  <c r="J11677" i="8"/>
  <c r="J11678" i="8"/>
  <c r="J11679" i="8"/>
  <c r="J11680" i="8"/>
  <c r="J11681" i="8"/>
  <c r="J11683" i="8"/>
  <c r="J11685" i="8"/>
  <c r="J11686" i="8"/>
  <c r="J11687" i="8"/>
  <c r="J11688" i="8"/>
  <c r="J11689" i="8"/>
  <c r="J11690" i="8"/>
  <c r="J11691" i="8"/>
  <c r="J11692" i="8"/>
  <c r="J11693" i="8"/>
  <c r="J11694" i="8"/>
  <c r="J11695" i="8"/>
  <c r="J11696" i="8"/>
  <c r="J11697" i="8"/>
  <c r="J11698" i="8"/>
  <c r="J11699" i="8"/>
  <c r="J11701" i="8"/>
  <c r="J11702" i="8"/>
  <c r="J11703" i="8"/>
  <c r="J11704" i="8"/>
  <c r="J11705" i="8"/>
  <c r="J11706" i="8"/>
  <c r="J11707" i="8"/>
  <c r="J11708" i="8"/>
  <c r="J11709" i="8"/>
  <c r="J11710" i="8"/>
  <c r="J11711" i="8"/>
  <c r="J11712" i="8"/>
  <c r="J11713" i="8"/>
  <c r="J11714" i="8"/>
  <c r="J11715" i="8"/>
  <c r="J11716" i="8"/>
  <c r="J11717" i="8"/>
  <c r="J11718" i="8"/>
  <c r="J11719" i="8"/>
  <c r="J11720" i="8"/>
  <c r="J11721" i="8"/>
  <c r="J11722" i="8"/>
  <c r="J11723" i="8"/>
  <c r="J11724" i="8"/>
  <c r="J11725" i="8"/>
  <c r="J11726" i="8"/>
  <c r="J11727" i="8"/>
  <c r="J11728" i="8"/>
  <c r="J11729" i="8"/>
  <c r="J11730" i="8"/>
  <c r="J11731" i="8"/>
  <c r="J11732" i="8"/>
  <c r="J11733" i="8"/>
  <c r="J11734" i="8"/>
  <c r="J11735" i="8"/>
  <c r="J11736" i="8"/>
  <c r="J11737" i="8"/>
  <c r="J11738" i="8"/>
  <c r="J11739" i="8"/>
  <c r="J11740" i="8"/>
  <c r="J11741" i="8"/>
  <c r="J11742" i="8"/>
  <c r="J11743" i="8"/>
  <c r="J11744" i="8"/>
  <c r="J11745" i="8"/>
  <c r="J11746" i="8"/>
  <c r="J11747" i="8"/>
  <c r="J11748" i="8"/>
  <c r="J11749" i="8"/>
  <c r="J11750" i="8"/>
  <c r="J11751" i="8"/>
  <c r="J11752" i="8"/>
  <c r="J11753" i="8"/>
  <c r="J11754" i="8"/>
  <c r="J11755" i="8"/>
  <c r="J11756" i="8"/>
  <c r="J11757" i="8"/>
  <c r="J11758" i="8"/>
  <c r="J11759" i="8"/>
  <c r="J11760" i="8"/>
  <c r="J11761" i="8"/>
  <c r="J11762" i="8"/>
  <c r="J11763" i="8"/>
  <c r="J11764" i="8"/>
  <c r="J11766" i="8"/>
  <c r="J11767" i="8"/>
  <c r="J11768" i="8"/>
  <c r="J11769" i="8"/>
  <c r="J11770" i="8"/>
  <c r="J11771" i="8"/>
  <c r="J11772" i="8"/>
  <c r="J11773" i="8"/>
  <c r="J11774" i="8"/>
  <c r="J11775" i="8"/>
  <c r="J11776" i="8"/>
  <c r="J11777" i="8"/>
  <c r="J11778" i="8"/>
  <c r="J11779" i="8"/>
  <c r="J11780" i="8"/>
  <c r="J11782" i="8"/>
  <c r="J11784" i="8"/>
  <c r="J11785" i="8"/>
  <c r="J11786" i="8"/>
  <c r="J11787" i="8"/>
  <c r="J11788" i="8"/>
  <c r="J11789" i="8"/>
  <c r="J11790" i="8"/>
  <c r="J11791" i="8"/>
  <c r="J11792" i="8"/>
  <c r="J11793" i="8"/>
  <c r="J11794" i="8"/>
  <c r="J11795" i="8"/>
  <c r="J11796" i="8"/>
  <c r="J11797" i="8"/>
  <c r="J11798" i="8"/>
  <c r="J11800" i="8"/>
  <c r="J11801" i="8"/>
  <c r="J11802" i="8"/>
  <c r="J11803" i="8"/>
  <c r="J11804" i="8"/>
  <c r="J11805" i="8"/>
  <c r="J11806" i="8"/>
  <c r="J11807" i="8"/>
  <c r="J11808" i="8"/>
  <c r="J11809" i="8"/>
  <c r="J11810" i="8"/>
  <c r="J11811" i="8"/>
  <c r="J11812" i="8"/>
  <c r="J11813" i="8"/>
  <c r="J11814" i="8"/>
  <c r="J11815" i="8"/>
  <c r="J11816" i="8"/>
  <c r="J11817" i="8"/>
  <c r="J11818" i="8"/>
  <c r="J11819" i="8"/>
  <c r="J11820" i="8"/>
  <c r="J11821" i="8"/>
  <c r="J11822" i="8"/>
  <c r="J11823" i="8"/>
  <c r="J11824" i="8"/>
  <c r="J11825" i="8"/>
  <c r="J11826" i="8"/>
  <c r="J11827" i="8"/>
  <c r="J11828" i="8"/>
  <c r="J11829" i="8"/>
  <c r="J11830" i="8"/>
  <c r="J11831" i="8"/>
  <c r="J11832" i="8"/>
  <c r="J11833" i="8"/>
  <c r="J11834" i="8"/>
  <c r="J11835" i="8"/>
  <c r="J11836" i="8"/>
  <c r="J11837" i="8"/>
  <c r="J11838" i="8"/>
  <c r="J11839" i="8"/>
  <c r="J11840" i="8"/>
  <c r="J11841" i="8"/>
  <c r="J11842" i="8"/>
  <c r="J11843" i="8"/>
  <c r="J11844" i="8"/>
  <c r="J11845" i="8"/>
  <c r="J11846" i="8"/>
  <c r="J11847" i="8"/>
  <c r="J11848" i="8"/>
  <c r="J11849" i="8"/>
  <c r="J11850" i="8"/>
  <c r="J11851" i="8"/>
  <c r="J11852" i="8"/>
  <c r="J11853" i="8"/>
  <c r="J11854" i="8"/>
  <c r="J11855" i="8"/>
  <c r="J11856" i="8"/>
  <c r="J11857" i="8"/>
  <c r="J11858" i="8"/>
  <c r="J11859" i="8"/>
  <c r="J11860" i="8"/>
  <c r="J11861" i="8"/>
  <c r="J11862" i="8"/>
  <c r="J11863" i="8"/>
  <c r="J11865" i="8"/>
  <c r="J11866" i="8"/>
  <c r="J11867" i="8"/>
  <c r="J11868" i="8"/>
  <c r="J11869" i="8"/>
  <c r="J11870" i="8"/>
  <c r="J11871" i="8"/>
  <c r="J11872" i="8"/>
  <c r="J11873" i="8"/>
  <c r="J11874" i="8"/>
  <c r="J11875" i="8"/>
  <c r="J11876" i="8"/>
  <c r="J11877" i="8"/>
  <c r="J11878" i="8"/>
  <c r="J11879" i="8"/>
  <c r="J11881" i="8"/>
  <c r="J11883" i="8"/>
  <c r="J11884" i="8"/>
  <c r="J11885" i="8"/>
  <c r="J11886" i="8"/>
  <c r="J11887" i="8"/>
  <c r="J11888" i="8"/>
  <c r="J11889" i="8"/>
  <c r="J11890" i="8"/>
  <c r="J11891" i="8"/>
  <c r="J11892" i="8"/>
  <c r="J11893" i="8"/>
  <c r="J11894" i="8"/>
  <c r="J11895" i="8"/>
  <c r="J11896" i="8"/>
  <c r="J11897" i="8"/>
  <c r="J11899" i="8"/>
  <c r="J11900" i="8"/>
  <c r="J11905" i="8"/>
  <c r="J11906" i="8"/>
  <c r="J11908" i="8"/>
  <c r="J11909" i="8"/>
  <c r="J11910" i="8"/>
  <c r="J11911" i="8"/>
  <c r="J11912" i="8"/>
  <c r="J11913" i="8"/>
  <c r="J11914" i="8"/>
  <c r="J11915" i="8"/>
  <c r="J11916" i="8"/>
  <c r="J11917" i="8"/>
  <c r="J11918" i="8"/>
  <c r="J11919" i="8"/>
  <c r="J11920" i="8"/>
  <c r="J11921" i="8"/>
  <c r="J11922" i="8"/>
  <c r="J11923" i="8"/>
  <c r="J11924" i="8"/>
  <c r="J11925" i="8"/>
  <c r="J11926" i="8"/>
  <c r="J11927" i="8"/>
  <c r="J11928" i="8"/>
  <c r="J11929" i="8"/>
  <c r="J11930" i="8"/>
  <c r="J11931" i="8"/>
  <c r="J11932" i="8"/>
  <c r="J11933" i="8"/>
  <c r="J11934" i="8"/>
  <c r="J11935" i="8"/>
  <c r="J11936" i="8"/>
  <c r="J11937" i="8"/>
  <c r="J11938" i="8"/>
  <c r="J11939" i="8"/>
  <c r="J11940" i="8"/>
  <c r="J11942" i="8"/>
  <c r="J11943" i="8"/>
  <c r="J11944" i="8"/>
  <c r="J11945" i="8"/>
  <c r="J11946" i="8"/>
  <c r="J11947" i="8"/>
  <c r="J11948" i="8"/>
  <c r="J11949" i="8"/>
  <c r="J11950" i="8"/>
  <c r="J11951" i="8"/>
  <c r="J11952" i="8"/>
  <c r="J11953" i="8"/>
  <c r="J11954" i="8"/>
  <c r="J11955" i="8"/>
  <c r="J11956" i="8"/>
  <c r="J11957" i="8"/>
  <c r="J11958" i="8"/>
  <c r="J11959" i="8"/>
  <c r="J11960" i="8"/>
  <c r="J11961" i="8"/>
  <c r="J11962" i="8"/>
  <c r="J11963" i="8"/>
  <c r="J11964" i="8"/>
  <c r="J11967" i="8"/>
  <c r="J11968" i="8"/>
  <c r="J11970" i="8"/>
  <c r="J11971" i="8"/>
  <c r="J11972" i="8"/>
  <c r="J11973" i="8"/>
  <c r="J11974" i="8"/>
  <c r="J11975" i="8"/>
  <c r="J11976" i="8"/>
  <c r="J11977" i="8"/>
  <c r="J11978" i="8"/>
  <c r="J11979" i="8"/>
  <c r="J11980" i="8"/>
  <c r="J11981" i="8"/>
  <c r="J11985" i="8"/>
  <c r="J11986" i="8"/>
  <c r="J11988" i="8"/>
  <c r="J11989" i="8"/>
  <c r="J11990" i="8"/>
  <c r="J11991" i="8"/>
  <c r="J11992" i="8"/>
  <c r="J11993" i="8"/>
  <c r="J11994" i="8"/>
  <c r="J11995" i="8"/>
  <c r="J11996" i="8"/>
  <c r="J11997" i="8"/>
  <c r="J11998" i="8"/>
  <c r="J11999" i="8"/>
  <c r="J12103" i="8"/>
  <c r="J12104" i="8"/>
  <c r="J12106" i="8"/>
  <c r="J12107" i="8"/>
  <c r="J12108" i="8"/>
  <c r="J12109" i="8"/>
  <c r="J12110" i="8"/>
  <c r="J12111" i="8"/>
  <c r="J12112" i="8"/>
  <c r="J12113" i="8"/>
  <c r="J12114" i="8"/>
  <c r="J12115" i="8"/>
  <c r="J12116" i="8"/>
  <c r="J12117" i="8"/>
  <c r="J12122" i="8"/>
  <c r="J12123" i="8"/>
  <c r="J12125" i="8"/>
  <c r="J12126" i="8"/>
  <c r="J12127" i="8"/>
  <c r="J12128" i="8"/>
  <c r="J12129" i="8"/>
  <c r="J12130" i="8"/>
  <c r="J12131" i="8"/>
  <c r="J12132" i="8"/>
  <c r="J12133" i="8"/>
  <c r="J12134" i="8"/>
  <c r="J12135" i="8"/>
  <c r="J12136" i="8"/>
  <c r="J14267" i="8"/>
  <c r="J14268" i="8"/>
  <c r="J14269" i="8"/>
  <c r="J14270" i="8"/>
  <c r="J14272" i="8"/>
  <c r="J14273" i="8"/>
  <c r="J14274" i="8"/>
  <c r="J14281" i="8"/>
  <c r="J14282" i="8"/>
  <c r="J14283" i="8"/>
  <c r="J14284" i="8"/>
  <c r="J14285" i="8"/>
  <c r="J14286" i="8"/>
  <c r="J14287" i="8"/>
  <c r="J14288" i="8"/>
  <c r="J14289" i="8"/>
  <c r="J14290" i="8"/>
  <c r="J14291" i="8"/>
  <c r="J14292" i="8"/>
  <c r="J14293" i="8"/>
  <c r="J14294" i="8"/>
  <c r="J14295" i="8"/>
  <c r="J14296" i="8"/>
  <c r="J14297" i="8"/>
  <c r="J14298" i="8"/>
  <c r="J14299" i="8"/>
  <c r="J14300" i="8"/>
  <c r="J14301" i="8"/>
  <c r="J14302" i="8"/>
  <c r="J14303" i="8"/>
  <c r="J14304" i="8"/>
  <c r="J14305" i="8"/>
  <c r="J14306" i="8"/>
  <c r="J14307" i="8"/>
  <c r="J14308" i="8"/>
  <c r="J14309" i="8"/>
  <c r="J14310" i="8"/>
  <c r="J14311" i="8"/>
  <c r="J14314" i="8"/>
  <c r="J14315" i="8"/>
  <c r="J14316" i="8"/>
  <c r="J14317" i="8"/>
  <c r="J14318" i="8"/>
  <c r="J14319" i="8"/>
  <c r="J14320" i="8"/>
  <c r="J14321" i="8"/>
  <c r="J14322" i="8"/>
  <c r="J14323" i="8"/>
  <c r="J14324" i="8"/>
  <c r="J14325" i="8"/>
  <c r="J14326" i="8"/>
  <c r="J14328" i="8"/>
  <c r="J14329" i="8"/>
  <c r="J14330" i="8"/>
  <c r="J14331" i="8"/>
  <c r="J14332" i="8"/>
  <c r="J14333" i="8"/>
  <c r="J14334" i="8"/>
  <c r="J14335" i="8"/>
  <c r="J14336" i="8"/>
  <c r="J14337" i="8"/>
  <c r="J14338" i="8"/>
  <c r="J14339" i="8"/>
  <c r="J14340" i="8"/>
  <c r="J14341" i="8"/>
  <c r="J14342" i="8"/>
  <c r="J14343" i="8"/>
  <c r="J14344" i="8"/>
  <c r="J14346" i="8"/>
  <c r="J14347" i="8"/>
  <c r="J14352" i="8"/>
  <c r="J14353" i="8"/>
  <c r="J14354" i="8"/>
  <c r="J14355" i="8"/>
  <c r="J14356" i="8"/>
  <c r="J14357" i="8"/>
  <c r="J14358" i="8"/>
  <c r="J14359" i="8"/>
  <c r="J14360" i="8"/>
  <c r="J14364" i="8"/>
  <c r="J14365" i="8"/>
  <c r="J14367" i="8"/>
  <c r="J14368" i="8"/>
  <c r="J14370" i="8"/>
  <c r="J14371" i="8"/>
  <c r="J14372" i="8"/>
  <c r="J14373" i="8"/>
  <c r="J14374" i="8"/>
  <c r="J14375" i="8"/>
  <c r="J14376" i="8"/>
  <c r="J14377" i="8"/>
  <c r="J14378" i="8"/>
  <c r="J14380" i="8"/>
  <c r="J14381" i="8"/>
  <c r="J14382" i="8"/>
  <c r="J14383" i="8"/>
  <c r="J14384" i="8"/>
  <c r="J14385" i="8"/>
  <c r="J14386" i="8"/>
  <c r="J14387" i="8"/>
  <c r="J14388" i="8"/>
  <c r="J14389" i="8"/>
  <c r="J14390" i="8"/>
  <c r="J14391" i="8"/>
  <c r="J14392" i="8"/>
  <c r="J14393" i="8"/>
  <c r="J14394" i="8"/>
  <c r="J14395" i="8"/>
  <c r="J14396" i="8"/>
  <c r="J14397" i="8"/>
  <c r="J14398" i="8"/>
  <c r="J14399" i="8"/>
  <c r="J14400" i="8"/>
  <c r="J14401" i="8"/>
  <c r="J14402" i="8"/>
  <c r="J14403" i="8"/>
  <c r="J14404" i="8"/>
  <c r="J14405" i="8"/>
  <c r="J14406" i="8"/>
  <c r="J14407" i="8"/>
  <c r="J14408" i="8"/>
  <c r="J14409" i="8"/>
  <c r="J14410" i="8"/>
  <c r="J14411" i="8"/>
  <c r="J14412" i="8"/>
  <c r="J14413" i="8"/>
  <c r="J14414" i="8"/>
  <c r="J14415" i="8"/>
  <c r="J14416" i="8"/>
  <c r="J14417" i="8"/>
  <c r="J14418" i="8"/>
  <c r="J14419" i="8"/>
  <c r="J14420" i="8"/>
  <c r="J14421" i="8"/>
  <c r="J14422" i="8"/>
  <c r="J14423" i="8"/>
  <c r="J14424" i="8"/>
  <c r="J14425" i="8"/>
  <c r="J14426" i="8"/>
  <c r="J14427" i="8"/>
  <c r="J14428" i="8"/>
  <c r="J14429" i="8"/>
  <c r="J14430" i="8"/>
  <c r="J14431" i="8"/>
  <c r="J14432" i="8"/>
  <c r="J14433" i="8"/>
  <c r="J14434" i="8"/>
  <c r="J14435" i="8"/>
  <c r="J14436" i="8"/>
  <c r="J14437" i="8"/>
  <c r="J14438" i="8"/>
  <c r="J14439" i="8"/>
  <c r="J14440" i="8"/>
  <c r="J14441" i="8"/>
  <c r="J14442" i="8"/>
  <c r="J14443" i="8"/>
  <c r="J14444" i="8"/>
  <c r="J14445" i="8"/>
  <c r="J14446" i="8"/>
  <c r="J14447" i="8"/>
  <c r="J14448" i="8"/>
  <c r="J14449" i="8"/>
  <c r="J14450" i="8"/>
  <c r="J14451" i="8"/>
  <c r="J14452" i="8"/>
  <c r="J14453" i="8"/>
  <c r="J14454" i="8"/>
  <c r="J14455" i="8"/>
  <c r="J14456" i="8"/>
  <c r="J14457" i="8"/>
  <c r="J14458" i="8"/>
  <c r="J14459" i="8"/>
  <c r="J14460" i="8"/>
  <c r="J14461" i="8"/>
  <c r="J14462" i="8"/>
  <c r="J14463" i="8"/>
  <c r="J14464" i="8"/>
  <c r="J14465" i="8"/>
  <c r="J14466" i="8"/>
  <c r="J14467" i="8"/>
  <c r="J14468" i="8"/>
  <c r="J14469" i="8"/>
  <c r="J14470" i="8"/>
  <c r="J14471" i="8"/>
  <c r="J14472" i="8"/>
  <c r="J14473" i="8"/>
  <c r="J14474" i="8"/>
  <c r="J14475" i="8"/>
  <c r="J14476" i="8"/>
  <c r="J14477" i="8"/>
  <c r="J14478" i="8"/>
  <c r="J14479" i="8"/>
  <c r="J14480" i="8"/>
  <c r="J14481" i="8"/>
  <c r="J14482" i="8"/>
  <c r="J14483" i="8"/>
  <c r="J14484" i="8"/>
  <c r="J14485" i="8"/>
  <c r="J14486" i="8"/>
  <c r="J14487" i="8"/>
  <c r="J14488" i="8"/>
  <c r="J14489" i="8"/>
  <c r="J14490" i="8"/>
  <c r="J14491" i="8"/>
  <c r="J14492" i="8"/>
  <c r="J14493" i="8"/>
  <c r="J14494" i="8"/>
  <c r="J14495" i="8"/>
  <c r="J14496" i="8"/>
  <c r="J14498" i="8"/>
  <c r="J14499" i="8"/>
  <c r="J14501" i="8"/>
  <c r="J14502" i="8"/>
  <c r="J14503" i="8"/>
  <c r="J14504" i="8"/>
  <c r="J14505" i="8"/>
  <c r="J14506" i="8"/>
  <c r="J14507" i="8"/>
  <c r="J14508" i="8"/>
  <c r="J14509" i="8"/>
  <c r="J14510" i="8"/>
  <c r="J14511" i="8"/>
  <c r="J14512" i="8"/>
  <c r="J14513" i="8"/>
  <c r="J14514" i="8"/>
  <c r="J14515" i="8"/>
  <c r="J14517" i="8"/>
  <c r="J14619" i="8"/>
  <c r="J14620" i="8"/>
  <c r="J14625" i="8"/>
  <c r="J14626" i="8"/>
  <c r="J14627" i="8"/>
  <c r="J14628" i="8"/>
  <c r="J14629" i="8"/>
  <c r="J14630" i="8"/>
  <c r="J14631" i="8"/>
  <c r="J14632" i="8"/>
  <c r="J14633" i="8"/>
  <c r="J14635" i="8"/>
  <c r="J14638" i="8"/>
  <c r="J14639" i="8"/>
  <c r="J14641" i="8"/>
  <c r="J14642" i="8"/>
  <c r="J14644" i="8"/>
  <c r="J14645" i="8"/>
  <c r="J14646" i="8"/>
  <c r="J14647" i="8"/>
  <c r="J14648" i="8"/>
  <c r="J14649" i="8"/>
  <c r="J14650" i="8"/>
  <c r="J14651" i="8"/>
  <c r="J14652" i="8"/>
  <c r="J14654" i="8"/>
  <c r="J14655" i="8"/>
  <c r="J14656" i="8"/>
  <c r="J14657" i="8"/>
  <c r="J14658" i="8"/>
  <c r="J14659" i="8"/>
  <c r="J14660" i="8"/>
  <c r="J14661" i="8"/>
  <c r="J14662" i="8"/>
  <c r="J14663" i="8"/>
  <c r="J14664" i="8"/>
  <c r="J14665" i="8"/>
  <c r="J14666" i="8"/>
  <c r="J14667" i="8"/>
  <c r="J14668" i="8"/>
  <c r="J14669" i="8"/>
  <c r="J14675" i="8"/>
  <c r="J14676" i="8"/>
  <c r="J14677" i="8"/>
  <c r="J14678" i="8"/>
  <c r="J14679" i="8"/>
  <c r="J14680" i="8"/>
  <c r="J14681" i="8"/>
  <c r="J14682" i="8"/>
  <c r="J14683" i="8"/>
  <c r="J14684" i="8"/>
  <c r="J14685" i="8"/>
  <c r="J14686" i="8"/>
  <c r="J14687" i="8"/>
  <c r="J14688" i="8"/>
  <c r="J14689" i="8"/>
  <c r="J14690" i="8"/>
  <c r="J14691" i="8"/>
  <c r="J14692" i="8"/>
  <c r="J14693" i="8"/>
  <c r="J14694" i="8"/>
  <c r="J14695" i="8"/>
  <c r="J14696" i="8"/>
  <c r="J14697" i="8"/>
  <c r="J14698" i="8"/>
  <c r="J14699" i="8"/>
  <c r="J14700" i="8"/>
  <c r="J14701" i="8"/>
  <c r="J14702" i="8"/>
  <c r="J14703" i="8"/>
  <c r="J14704" i="8"/>
  <c r="J14705" i="8"/>
  <c r="J14706" i="8"/>
  <c r="J14707" i="8"/>
  <c r="J14708" i="8"/>
  <c r="J14709" i="8"/>
  <c r="J14710" i="8"/>
  <c r="J14711" i="8"/>
  <c r="J14712" i="8"/>
  <c r="J14713" i="8"/>
  <c r="J14714" i="8"/>
  <c r="J14715" i="8"/>
  <c r="J14716" i="8"/>
  <c r="J14717" i="8"/>
  <c r="J14718" i="8"/>
  <c r="J14719" i="8"/>
  <c r="J14720" i="8"/>
  <c r="J14721" i="8"/>
  <c r="J14722" i="8"/>
  <c r="J14723" i="8"/>
  <c r="J14724" i="8"/>
  <c r="J14725" i="8"/>
  <c r="J14726" i="8"/>
  <c r="J14727" i="8"/>
  <c r="J14728" i="8"/>
  <c r="J14729" i="8"/>
  <c r="J14730" i="8"/>
  <c r="J14731" i="8"/>
  <c r="J14732" i="8"/>
  <c r="J14733" i="8"/>
  <c r="J14734" i="8"/>
  <c r="J14736" i="8"/>
  <c r="J14737" i="8"/>
  <c r="J14738" i="8"/>
  <c r="J14739" i="8"/>
  <c r="J14740" i="8"/>
  <c r="J14741" i="8"/>
  <c r="J14742" i="8"/>
  <c r="J14743" i="8"/>
  <c r="J14744" i="8"/>
  <c r="J14745" i="8"/>
  <c r="J14746" i="8"/>
  <c r="J14747" i="8"/>
  <c r="J14748" i="8"/>
  <c r="J14749" i="8"/>
  <c r="J14751" i="8"/>
  <c r="J14755" i="8"/>
  <c r="J14756" i="8"/>
  <c r="J14757" i="8"/>
  <c r="J14758" i="8"/>
  <c r="J14759" i="8"/>
  <c r="J14760" i="8"/>
  <c r="J14761" i="8"/>
  <c r="J14762" i="8"/>
  <c r="J14763" i="8"/>
  <c r="J14764" i="8"/>
  <c r="J14765" i="8"/>
  <c r="J14766" i="8"/>
  <c r="J14767" i="8"/>
  <c r="J14769" i="8"/>
  <c r="J14771" i="8"/>
  <c r="J14774" i="8"/>
  <c r="J14775" i="8"/>
  <c r="J14776" i="8"/>
  <c r="J14777" i="8"/>
  <c r="J14778" i="8"/>
  <c r="J14779" i="8"/>
  <c r="J14780" i="8"/>
  <c r="J14781" i="8"/>
  <c r="J14782" i="8"/>
  <c r="J14783" i="8"/>
  <c r="J14784" i="8"/>
  <c r="J14785" i="8"/>
  <c r="J14786" i="8"/>
  <c r="J14787" i="8"/>
  <c r="J14788" i="8"/>
  <c r="J14789" i="8"/>
  <c r="J14790" i="8"/>
  <c r="J14791" i="8"/>
  <c r="J14792" i="8"/>
  <c r="J14793" i="8"/>
  <c r="J14794" i="8"/>
  <c r="J14795" i="8"/>
  <c r="J14796" i="8"/>
  <c r="J14797" i="8"/>
  <c r="J14798" i="8"/>
  <c r="J14799" i="8"/>
  <c r="J14800" i="8"/>
  <c r="J14801" i="8"/>
  <c r="J14802" i="8"/>
  <c r="J14803" i="8"/>
  <c r="J14804" i="8"/>
  <c r="J14805" i="8"/>
  <c r="J14806" i="8"/>
  <c r="J14807" i="8"/>
  <c r="J14808" i="8"/>
  <c r="J14809" i="8"/>
  <c r="J14810" i="8"/>
  <c r="J14811" i="8"/>
  <c r="J14812" i="8"/>
  <c r="J14813" i="8"/>
  <c r="J14814" i="8"/>
  <c r="J14815" i="8"/>
  <c r="J14816" i="8"/>
  <c r="J14817" i="8"/>
  <c r="J14818" i="8"/>
  <c r="J14819" i="8"/>
  <c r="J14820" i="8"/>
  <c r="J14821" i="8"/>
  <c r="J14822" i="8"/>
  <c r="J14823" i="8"/>
  <c r="J14824" i="8"/>
  <c r="J14825" i="8"/>
  <c r="J14826" i="8"/>
  <c r="J14827" i="8"/>
  <c r="J14828" i="8"/>
  <c r="J14829" i="8"/>
  <c r="J14830" i="8"/>
  <c r="J14831" i="8"/>
  <c r="J14832" i="8"/>
  <c r="J14833" i="8"/>
  <c r="J14836" i="8"/>
  <c r="J14837" i="8"/>
  <c r="J14838" i="8"/>
  <c r="J14839" i="8"/>
  <c r="J14840" i="8"/>
  <c r="J14841" i="8"/>
  <c r="J14842" i="8"/>
  <c r="J14843" i="8"/>
  <c r="J14844" i="8"/>
  <c r="J14845" i="8"/>
  <c r="J14846" i="8"/>
  <c r="J14847" i="8"/>
  <c r="J14848" i="8"/>
  <c r="J14849" i="8"/>
  <c r="J14850" i="8"/>
  <c r="J14854" i="8"/>
  <c r="J14855" i="8"/>
  <c r="J14856" i="8"/>
  <c r="J14857" i="8"/>
  <c r="J14858" i="8"/>
  <c r="J14859" i="8"/>
  <c r="J14860" i="8"/>
  <c r="J14861" i="8"/>
  <c r="J14862" i="8"/>
  <c r="J14863" i="8"/>
  <c r="J14864" i="8"/>
  <c r="J14865" i="8"/>
  <c r="J14866" i="8"/>
  <c r="J14867" i="8"/>
  <c r="J14868" i="8"/>
  <c r="J14870" i="8"/>
  <c r="J14873" i="8"/>
  <c r="J14874" i="8"/>
  <c r="J14875" i="8"/>
  <c r="J14876" i="8"/>
  <c r="J14877" i="8"/>
  <c r="J14878" i="8"/>
  <c r="J14879" i="8"/>
  <c r="J14880" i="8"/>
  <c r="J14881" i="8"/>
  <c r="J14882" i="8"/>
  <c r="J14883" i="8"/>
  <c r="J14884" i="8"/>
  <c r="J14885" i="8"/>
  <c r="J14886" i="8"/>
  <c r="J14887" i="8"/>
  <c r="J14888" i="8"/>
  <c r="J14889" i="8"/>
  <c r="J14890" i="8"/>
  <c r="J14891" i="8"/>
  <c r="J14892" i="8"/>
  <c r="J14893" i="8"/>
  <c r="J14894" i="8"/>
  <c r="J14895" i="8"/>
  <c r="J14896" i="8"/>
  <c r="J14897" i="8"/>
  <c r="J14898" i="8"/>
  <c r="J14899" i="8"/>
  <c r="J14900" i="8"/>
  <c r="J14901" i="8"/>
  <c r="J14902" i="8"/>
  <c r="J14903" i="8"/>
  <c r="J14904" i="8"/>
  <c r="J14905" i="8"/>
  <c r="J14906" i="8"/>
  <c r="J14907" i="8"/>
  <c r="J14908" i="8"/>
  <c r="J14909" i="8"/>
  <c r="J14910" i="8"/>
  <c r="J14911" i="8"/>
  <c r="J14912" i="8"/>
  <c r="J14913" i="8"/>
  <c r="J14914" i="8"/>
  <c r="J14915" i="8"/>
  <c r="J14916" i="8"/>
  <c r="J14917" i="8"/>
  <c r="J14918" i="8"/>
  <c r="J14935" i="8"/>
  <c r="J14936" i="8"/>
  <c r="J14937" i="8"/>
  <c r="J14938" i="8"/>
  <c r="J14939" i="8"/>
  <c r="J14940" i="8"/>
  <c r="J14941" i="8"/>
  <c r="J14942" i="8"/>
  <c r="J14943" i="8"/>
  <c r="J14944" i="8"/>
  <c r="J14945" i="8"/>
  <c r="J14946" i="8"/>
  <c r="J14947" i="8"/>
  <c r="J14948" i="8"/>
  <c r="J14949" i="8"/>
  <c r="J14953" i="8"/>
  <c r="J14954" i="8"/>
  <c r="J14955" i="8"/>
  <c r="J14956" i="8"/>
  <c r="J14957" i="8"/>
  <c r="J14958" i="8"/>
  <c r="J14959" i="8"/>
  <c r="J14960" i="8"/>
  <c r="J14961" i="8"/>
  <c r="J14962" i="8"/>
  <c r="J14963" i="8"/>
  <c r="J14964" i="8"/>
  <c r="J14965" i="8"/>
  <c r="J14966" i="8"/>
  <c r="J14967" i="8"/>
  <c r="J14969" i="8"/>
  <c r="J14972" i="8"/>
  <c r="J14973" i="8"/>
  <c r="J14974" i="8"/>
  <c r="J14975" i="8"/>
  <c r="J14976" i="8"/>
  <c r="J14977" i="8"/>
  <c r="J14978" i="8"/>
  <c r="J14979" i="8"/>
  <c r="J14980" i="8"/>
  <c r="J14981" i="8"/>
  <c r="J14982" i="8"/>
  <c r="J15034" i="8"/>
  <c r="J15035" i="8"/>
  <c r="J15036" i="8"/>
  <c r="J15037" i="8"/>
  <c r="J15038" i="8"/>
  <c r="J15039" i="8"/>
  <c r="J15040" i="8"/>
  <c r="J15041" i="8"/>
  <c r="J15042" i="8"/>
  <c r="J15043" i="8"/>
  <c r="J15044" i="8"/>
  <c r="J15045" i="8"/>
  <c r="J15046" i="8"/>
  <c r="J15047" i="8"/>
  <c r="J15048" i="8"/>
  <c r="J15052" i="8"/>
  <c r="J15053" i="8"/>
  <c r="J15054" i="8"/>
  <c r="J15055" i="8"/>
  <c r="J15056" i="8"/>
  <c r="J15057" i="8"/>
  <c r="J15058" i="8"/>
  <c r="J15059" i="8"/>
  <c r="J15060" i="8"/>
  <c r="J15061" i="8"/>
  <c r="J15062" i="8"/>
  <c r="J15063" i="8"/>
  <c r="J15064" i="8"/>
  <c r="J15065" i="8"/>
  <c r="J15066" i="8"/>
  <c r="J15269" i="8"/>
  <c r="J15270" i="8"/>
  <c r="J15271" i="8"/>
  <c r="J15272" i="8"/>
  <c r="J15273" i="8"/>
  <c r="J15274" i="8"/>
  <c r="J15275" i="8"/>
  <c r="J15276" i="8"/>
  <c r="J15278" i="8"/>
  <c r="J15279" i="8"/>
  <c r="J15281" i="8"/>
  <c r="J15282" i="8"/>
  <c r="J15283" i="8"/>
  <c r="J15284" i="8"/>
  <c r="J15285" i="8"/>
  <c r="J15286" i="8"/>
  <c r="J15287" i="8"/>
  <c r="J15288" i="8"/>
  <c r="J15289" i="8"/>
  <c r="J15290" i="8"/>
  <c r="J15291" i="8"/>
  <c r="J15292" i="8"/>
  <c r="J15293" i="8"/>
  <c r="J15294" i="8"/>
  <c r="J15295" i="8"/>
  <c r="J15296" i="8"/>
  <c r="J15297" i="8"/>
  <c r="J15298" i="8"/>
  <c r="J15299" i="8"/>
  <c r="J15300" i="8"/>
  <c r="J15301" i="8"/>
  <c r="J15302" i="8"/>
  <c r="J15303" i="8"/>
  <c r="J15304" i="8"/>
  <c r="J15305" i="8"/>
  <c r="J15306" i="8"/>
  <c r="J15307" i="8"/>
  <c r="J15308" i="8"/>
  <c r="J15309" i="8"/>
  <c r="J15310" i="8"/>
  <c r="J15311" i="8"/>
  <c r="J15312" i="8"/>
  <c r="J15313" i="8"/>
  <c r="J15314" i="8"/>
  <c r="J15315" i="8"/>
  <c r="J15316" i="8"/>
  <c r="J15317" i="8"/>
  <c r="J15318" i="8"/>
  <c r="J15319" i="8"/>
  <c r="J15320" i="8"/>
  <c r="J15321" i="8"/>
  <c r="J15322" i="8"/>
  <c r="J15323" i="8"/>
  <c r="J15324" i="8"/>
  <c r="J15325" i="8"/>
  <c r="J15326" i="8"/>
  <c r="J15327" i="8"/>
  <c r="J15328" i="8"/>
  <c r="J15331" i="8"/>
  <c r="J15332" i="8"/>
  <c r="J15333" i="8"/>
  <c r="J15334" i="8"/>
  <c r="J15335" i="8"/>
  <c r="J15336" i="8"/>
  <c r="J15337" i="8"/>
  <c r="J15338" i="8"/>
  <c r="J15339" i="8"/>
  <c r="J15340" i="8"/>
  <c r="J15341" i="8"/>
  <c r="J15342" i="8"/>
  <c r="J15343" i="8"/>
  <c r="J15344" i="8"/>
  <c r="J15345" i="8"/>
  <c r="J15349" i="8"/>
  <c r="J15350" i="8"/>
  <c r="J15351" i="8"/>
  <c r="J15352" i="8"/>
  <c r="J15353" i="8"/>
  <c r="J15354" i="8"/>
  <c r="J15355" i="8"/>
  <c r="J15356" i="8"/>
  <c r="J15357" i="8"/>
  <c r="J15358" i="8"/>
  <c r="J15359" i="8"/>
  <c r="J15360" i="8"/>
  <c r="J15361" i="8"/>
  <c r="J15362" i="8"/>
  <c r="J15363" i="8"/>
  <c r="J15368" i="8"/>
  <c r="J15369" i="8"/>
  <c r="J15370" i="8"/>
  <c r="J15371" i="8"/>
  <c r="J15372" i="8"/>
  <c r="J15373" i="8"/>
  <c r="J15374" i="8"/>
  <c r="J15375" i="8"/>
  <c r="J15376" i="8"/>
  <c r="J15377" i="8"/>
  <c r="J15378" i="8"/>
  <c r="J15379" i="8"/>
  <c r="J15380" i="8"/>
  <c r="J15381" i="8"/>
  <c r="J15382" i="8"/>
  <c r="J15383" i="8"/>
  <c r="J15384" i="8"/>
  <c r="J15385" i="8"/>
  <c r="J15386" i="8"/>
  <c r="J15387" i="8"/>
  <c r="J15388" i="8"/>
  <c r="J15389" i="8"/>
  <c r="J15390" i="8"/>
  <c r="J15391" i="8"/>
  <c r="J15392" i="8"/>
  <c r="J15393" i="8"/>
  <c r="J15394" i="8"/>
  <c r="J15395" i="8"/>
  <c r="J15396" i="8"/>
  <c r="J15397" i="8"/>
  <c r="J15398" i="8"/>
  <c r="J15399" i="8"/>
  <c r="J15400" i="8"/>
  <c r="J15401" i="8"/>
  <c r="J15402" i="8"/>
  <c r="J15403" i="8"/>
  <c r="J15404" i="8"/>
  <c r="J15405" i="8"/>
  <c r="J15406" i="8"/>
  <c r="J15407" i="8"/>
  <c r="J15408" i="8"/>
  <c r="J15409" i="8"/>
  <c r="J15410" i="8"/>
  <c r="J15411" i="8"/>
  <c r="J15412" i="8"/>
  <c r="J15413" i="8"/>
  <c r="J15414" i="8"/>
  <c r="J15415" i="8"/>
  <c r="J15416" i="8"/>
  <c r="J15417" i="8"/>
  <c r="J15418" i="8"/>
  <c r="J15419" i="8"/>
  <c r="J15420" i="8"/>
  <c r="J15421" i="8"/>
  <c r="J15422" i="8"/>
  <c r="J15423" i="8"/>
  <c r="J15424" i="8"/>
  <c r="J15425" i="8"/>
  <c r="J15426" i="8"/>
  <c r="J15427" i="8"/>
  <c r="J15430" i="8"/>
  <c r="J15431" i="8"/>
  <c r="J15432" i="8"/>
  <c r="J15433" i="8"/>
  <c r="J15434" i="8"/>
  <c r="J15435" i="8"/>
  <c r="J15436" i="8"/>
  <c r="J15437" i="8"/>
  <c r="J15438" i="8"/>
  <c r="J15439" i="8"/>
  <c r="J15440" i="8"/>
  <c r="J15441" i="8"/>
  <c r="J15442" i="8"/>
  <c r="J15443" i="8"/>
  <c r="J15444" i="8"/>
  <c r="J15448" i="8"/>
  <c r="J15449" i="8"/>
  <c r="J15450" i="8"/>
  <c r="J15451" i="8"/>
  <c r="J15452" i="8"/>
  <c r="J15453" i="8"/>
  <c r="J15454" i="8"/>
  <c r="J15455" i="8"/>
  <c r="J15456" i="8"/>
  <c r="J15457" i="8"/>
  <c r="J15458" i="8"/>
  <c r="J15459" i="8"/>
  <c r="J15460" i="8"/>
  <c r="J15461" i="8"/>
  <c r="J15462" i="8"/>
  <c r="J15464" i="8"/>
  <c r="J15466" i="8"/>
  <c r="J15467" i="8"/>
  <c r="J15468" i="8"/>
  <c r="J15469" i="8"/>
  <c r="J15470" i="8"/>
  <c r="J15471" i="8"/>
  <c r="J15472" i="8"/>
  <c r="J15473" i="8"/>
  <c r="J15474" i="8"/>
  <c r="J15475" i="8"/>
  <c r="J15476" i="8"/>
  <c r="J15477" i="8"/>
  <c r="J15478" i="8"/>
  <c r="J15479" i="8"/>
  <c r="J15480" i="8"/>
  <c r="J15481" i="8"/>
  <c r="J15482" i="8"/>
  <c r="J15483" i="8"/>
  <c r="J15484" i="8"/>
  <c r="J15485" i="8"/>
  <c r="J15486" i="8"/>
  <c r="J15487" i="8"/>
  <c r="J15488" i="8"/>
  <c r="J15489" i="8"/>
  <c r="J15490" i="8"/>
  <c r="J15491" i="8"/>
  <c r="J15492" i="8"/>
  <c r="J15493" i="8"/>
  <c r="J15494" i="8"/>
  <c r="J15495" i="8"/>
  <c r="J15496" i="8"/>
  <c r="J15497" i="8"/>
  <c r="J15498" i="8"/>
  <c r="J15499" i="8"/>
  <c r="J15500" i="8"/>
  <c r="J15501" i="8"/>
  <c r="J15502" i="8"/>
  <c r="J15503" i="8"/>
  <c r="J15506" i="8"/>
  <c r="J15507" i="8"/>
  <c r="J15508" i="8"/>
  <c r="J15509" i="8"/>
  <c r="J15510" i="8"/>
  <c r="J15511" i="8"/>
  <c r="J15512" i="8"/>
  <c r="J15513" i="8"/>
  <c r="J15514" i="8"/>
  <c r="J15515" i="8"/>
  <c r="J15516" i="8"/>
  <c r="J15517" i="8"/>
  <c r="J15518" i="8"/>
  <c r="J15519" i="8"/>
  <c r="J15520" i="8"/>
  <c r="J15521" i="8"/>
  <c r="J15522" i="8"/>
  <c r="J15523" i="8"/>
  <c r="J15524" i="8"/>
  <c r="J15525" i="8"/>
  <c r="J15526" i="8"/>
  <c r="J15527" i="8"/>
  <c r="J15528" i="8"/>
  <c r="J15529" i="8"/>
  <c r="J15530" i="8"/>
  <c r="J15531" i="8"/>
  <c r="J15532" i="8"/>
  <c r="J15533" i="8"/>
  <c r="J15534" i="8"/>
  <c r="J15535" i="8"/>
  <c r="J15536" i="8"/>
  <c r="J15537" i="8"/>
  <c r="J15538" i="8"/>
  <c r="J15539" i="8"/>
  <c r="J15540" i="8"/>
  <c r="J15541" i="8"/>
  <c r="J15542" i="8"/>
  <c r="J15543" i="8"/>
  <c r="J15544" i="8"/>
  <c r="J15545" i="8"/>
  <c r="J15546" i="8"/>
  <c r="J15547" i="8"/>
  <c r="J15548" i="8"/>
  <c r="J15549" i="8"/>
  <c r="J15550" i="8"/>
  <c r="J15551" i="8"/>
  <c r="J15552" i="8"/>
  <c r="J15553" i="8"/>
  <c r="J15554" i="8"/>
  <c r="J15555" i="8"/>
  <c r="J15556" i="8"/>
  <c r="J15557" i="8"/>
  <c r="J15558" i="8"/>
  <c r="J15559" i="8"/>
  <c r="J15560" i="8"/>
  <c r="J15561" i="8"/>
  <c r="J15562" i="8"/>
  <c r="J15563" i="8"/>
  <c r="J15564" i="8"/>
  <c r="J15565" i="8"/>
  <c r="J15567" i="8"/>
  <c r="J15568" i="8"/>
  <c r="J15569" i="8"/>
  <c r="J15570" i="8"/>
  <c r="J15571" i="8"/>
  <c r="J15572" i="8"/>
  <c r="J15573" i="8"/>
  <c r="J15574" i="8"/>
  <c r="J15575" i="8"/>
  <c r="J15576" i="8"/>
  <c r="J15577" i="8"/>
  <c r="J15578" i="8"/>
  <c r="J15579" i="8"/>
  <c r="J15580" i="8"/>
  <c r="J15581" i="8"/>
  <c r="J15582" i="8"/>
  <c r="J15585" i="8"/>
  <c r="J15586" i="8"/>
  <c r="J15587" i="8"/>
  <c r="J15588" i="8"/>
  <c r="J15589" i="8"/>
  <c r="J15590" i="8"/>
  <c r="J15591" i="8"/>
  <c r="J15592" i="8"/>
  <c r="J15593" i="8"/>
  <c r="J15594" i="8"/>
  <c r="J15595" i="8"/>
  <c r="J15596" i="8"/>
  <c r="J15597" i="8"/>
  <c r="J15598" i="8"/>
  <c r="J15599" i="8"/>
  <c r="J15600" i="8"/>
  <c r="J15605" i="8"/>
  <c r="J15606" i="8"/>
  <c r="J15607" i="8"/>
  <c r="J15608" i="8"/>
  <c r="J15609" i="8"/>
  <c r="J15610" i="8"/>
  <c r="J15611" i="8"/>
  <c r="J15612" i="8"/>
  <c r="J15613" i="8"/>
  <c r="J15614" i="8"/>
  <c r="J15615" i="8"/>
  <c r="J15616" i="8"/>
  <c r="J15617" i="8"/>
  <c r="J15618" i="8"/>
  <c r="J15619" i="8"/>
  <c r="J15620" i="8"/>
  <c r="J15621" i="8"/>
  <c r="J15622" i="8"/>
  <c r="J15623" i="8"/>
  <c r="J15624" i="8"/>
  <c r="J15625" i="8"/>
  <c r="J15626" i="8"/>
  <c r="J15627" i="8"/>
  <c r="J15628" i="8"/>
  <c r="J15629" i="8"/>
  <c r="J15630" i="8"/>
  <c r="J15631" i="8"/>
  <c r="J15632" i="8"/>
  <c r="J15633" i="8"/>
  <c r="J15634" i="8"/>
  <c r="J15635" i="8"/>
  <c r="J15636" i="8"/>
  <c r="J15637" i="8"/>
  <c r="J15638" i="8"/>
  <c r="J15639" i="8"/>
  <c r="J15640" i="8"/>
  <c r="J15641" i="8"/>
  <c r="J15642" i="8"/>
  <c r="J15643" i="8"/>
  <c r="J15644" i="8"/>
  <c r="J15645" i="8"/>
  <c r="J15646" i="8"/>
  <c r="J15647" i="8"/>
  <c r="J15648" i="8"/>
  <c r="J15649" i="8"/>
  <c r="J15650" i="8"/>
  <c r="J15651" i="8"/>
  <c r="J15652" i="8"/>
  <c r="J15653" i="8"/>
  <c r="J15654" i="8"/>
  <c r="J15655" i="8"/>
  <c r="J15656" i="8"/>
  <c r="J15657" i="8"/>
  <c r="J15658" i="8"/>
  <c r="J15659" i="8"/>
  <c r="J15660" i="8"/>
  <c r="J15661" i="8"/>
  <c r="J15662" i="8"/>
  <c r="J15663" i="8"/>
  <c r="J15664" i="8"/>
  <c r="J15667" i="8"/>
  <c r="J15668" i="8"/>
  <c r="J15669" i="8"/>
  <c r="J15670" i="8"/>
  <c r="J15671" i="8"/>
  <c r="J15672" i="8"/>
  <c r="J15673" i="8"/>
  <c r="J15674" i="8"/>
  <c r="J15675" i="8"/>
  <c r="J15676" i="8"/>
  <c r="J15677" i="8"/>
  <c r="J15678" i="8"/>
  <c r="J15679" i="8"/>
  <c r="J15680" i="8"/>
  <c r="J15681" i="8"/>
  <c r="J15685" i="8"/>
  <c r="J15686" i="8"/>
  <c r="J15687" i="8"/>
  <c r="J15688" i="8"/>
  <c r="J15689" i="8"/>
  <c r="J15690" i="8"/>
  <c r="J15691" i="8"/>
  <c r="J15692" i="8"/>
  <c r="J15693" i="8"/>
  <c r="J15694" i="8"/>
  <c r="J15695" i="8"/>
  <c r="J15696" i="8"/>
  <c r="J15697" i="8"/>
  <c r="J15698" i="8"/>
  <c r="J15699" i="8"/>
  <c r="J15704" i="8"/>
  <c r="J15705" i="8"/>
  <c r="J15706" i="8"/>
  <c r="J15707" i="8"/>
  <c r="J15708" i="8"/>
  <c r="J15709" i="8"/>
  <c r="J15710" i="8"/>
  <c r="J15711" i="8"/>
  <c r="J15712" i="8"/>
  <c r="J15713" i="8"/>
  <c r="J15714" i="8"/>
  <c r="J15715" i="8"/>
  <c r="J15716" i="8"/>
  <c r="J15717" i="8"/>
  <c r="J15718" i="8"/>
  <c r="J15719" i="8"/>
  <c r="J15720" i="8"/>
  <c r="J15721" i="8"/>
  <c r="J15722" i="8"/>
  <c r="J15723" i="8"/>
  <c r="J15724" i="8"/>
  <c r="J15725" i="8"/>
  <c r="J15726" i="8"/>
  <c r="J15727" i="8"/>
  <c r="J15728" i="8"/>
  <c r="J15729" i="8"/>
  <c r="J15730" i="8"/>
  <c r="J15731" i="8"/>
  <c r="J15732" i="8"/>
  <c r="J15733" i="8"/>
  <c r="J15734" i="8"/>
  <c r="J15735" i="8"/>
  <c r="J15736" i="8"/>
  <c r="J15737" i="8"/>
  <c r="J15738" i="8"/>
  <c r="J15739" i="8"/>
  <c r="J15740" i="8"/>
  <c r="J15741" i="8"/>
  <c r="J15742" i="8"/>
  <c r="J15743" i="8"/>
  <c r="J15744" i="8"/>
  <c r="J15745" i="8"/>
  <c r="J15746" i="8"/>
  <c r="J15747" i="8"/>
  <c r="J15748" i="8"/>
  <c r="J15749" i="8"/>
  <c r="J15750" i="8"/>
  <c r="J15751" i="8"/>
  <c r="J15752" i="8"/>
  <c r="J15753" i="8"/>
  <c r="J15754" i="8"/>
  <c r="J15755" i="8"/>
  <c r="J15756" i="8"/>
  <c r="J15757" i="8"/>
  <c r="J15758" i="8"/>
  <c r="J15759" i="8"/>
  <c r="J15760" i="8"/>
  <c r="J15761" i="8"/>
  <c r="J15762" i="8"/>
  <c r="J15763" i="8"/>
  <c r="J15766" i="8"/>
  <c r="J15767" i="8"/>
  <c r="J15768" i="8"/>
  <c r="J15769" i="8"/>
  <c r="J15770" i="8"/>
  <c r="J15771" i="8"/>
  <c r="J15772" i="8"/>
  <c r="J15773" i="8"/>
  <c r="J15774" i="8"/>
  <c r="J15775" i="8"/>
  <c r="J15776" i="8"/>
  <c r="J15777" i="8"/>
  <c r="J15778" i="8"/>
  <c r="J15779" i="8"/>
  <c r="J15780" i="8"/>
  <c r="J15784" i="8"/>
  <c r="J15785" i="8"/>
  <c r="J15786" i="8"/>
  <c r="J15787" i="8"/>
  <c r="J15788" i="8"/>
  <c r="J15789" i="8"/>
  <c r="J15790" i="8"/>
  <c r="J15791" i="8"/>
  <c r="J15792" i="8"/>
  <c r="J15793" i="8"/>
  <c r="J15794" i="8"/>
  <c r="J15795" i="8"/>
  <c r="J15796" i="8"/>
  <c r="J15797" i="8"/>
  <c r="J15798" i="8"/>
  <c r="J15803" i="8"/>
  <c r="J15804" i="8"/>
  <c r="J15805" i="8"/>
  <c r="J15806" i="8"/>
  <c r="J15807" i="8"/>
  <c r="J15808" i="8"/>
  <c r="J15809" i="8"/>
  <c r="J15810" i="8"/>
  <c r="J15811" i="8"/>
  <c r="J15812" i="8"/>
  <c r="J15813" i="8"/>
  <c r="J15814" i="8"/>
  <c r="J15815" i="8"/>
  <c r="J15816" i="8"/>
  <c r="J15817" i="8"/>
  <c r="J15818" i="8"/>
  <c r="J15819" i="8"/>
  <c r="J15820" i="8"/>
  <c r="J15821" i="8"/>
  <c r="J15822" i="8"/>
  <c r="J15823" i="8"/>
  <c r="J15824" i="8"/>
  <c r="J15825" i="8"/>
  <c r="J15826" i="8"/>
  <c r="J15827" i="8"/>
  <c r="J15828" i="8"/>
  <c r="J15829" i="8"/>
  <c r="J15830" i="8"/>
  <c r="J15831" i="8"/>
  <c r="J15832" i="8"/>
  <c r="J15833" i="8"/>
  <c r="J15834" i="8"/>
  <c r="J15835" i="8"/>
  <c r="J15836" i="8"/>
  <c r="J15837" i="8"/>
  <c r="J15838" i="8"/>
  <c r="J15839" i="8"/>
  <c r="J15840" i="8"/>
  <c r="J15841" i="8"/>
  <c r="J15842" i="8"/>
  <c r="J15843" i="8"/>
  <c r="J15844" i="8"/>
  <c r="J15845" i="8"/>
  <c r="J15846" i="8"/>
  <c r="J15847" i="8"/>
  <c r="J15848" i="8"/>
  <c r="J15849" i="8"/>
  <c r="J15850" i="8"/>
  <c r="J15851" i="8"/>
  <c r="J15852" i="8"/>
  <c r="J15853" i="8"/>
  <c r="J15854" i="8"/>
  <c r="J15855" i="8"/>
  <c r="J15856" i="8"/>
  <c r="J15857" i="8"/>
  <c r="J15858" i="8"/>
  <c r="J15859" i="8"/>
  <c r="J15860" i="8"/>
  <c r="J15861" i="8"/>
  <c r="J15862" i="8"/>
  <c r="J15865" i="8"/>
  <c r="J15866" i="8"/>
  <c r="J15867" i="8"/>
  <c r="J15868" i="8"/>
  <c r="J15869" i="8"/>
  <c r="J15870" i="8"/>
  <c r="J15871" i="8"/>
  <c r="J15872" i="8"/>
  <c r="J15873" i="8"/>
  <c r="J15874" i="8"/>
  <c r="J15875" i="8"/>
  <c r="J15876" i="8"/>
  <c r="J15877" i="8"/>
  <c r="J15878" i="8"/>
  <c r="J15879" i="8"/>
  <c r="J15883" i="8"/>
  <c r="J15884" i="8"/>
  <c r="J15885" i="8"/>
  <c r="J15886" i="8"/>
  <c r="J15887" i="8"/>
  <c r="J15888" i="8"/>
  <c r="J15889" i="8"/>
  <c r="J15890" i="8"/>
  <c r="J15891" i="8"/>
  <c r="J15892" i="8"/>
  <c r="J15893" i="8"/>
  <c r="J15894" i="8"/>
  <c r="J15895" i="8"/>
  <c r="J15896" i="8"/>
  <c r="J15897" i="8"/>
  <c r="J15899" i="8"/>
  <c r="J15900" i="8"/>
  <c r="J15901" i="8"/>
  <c r="J15902" i="8"/>
  <c r="J15903" i="8"/>
  <c r="J15904" i="8"/>
  <c r="J15905" i="8"/>
  <c r="J15906" i="8"/>
  <c r="J15907" i="8"/>
  <c r="J15908" i="8"/>
  <c r="J15909" i="8"/>
  <c r="J15910" i="8"/>
  <c r="J15911" i="8"/>
  <c r="J15912" i="8"/>
  <c r="J15913" i="8"/>
  <c r="J15914" i="8"/>
  <c r="J15915" i="8"/>
  <c r="J15916" i="8"/>
  <c r="J15917" i="8"/>
  <c r="J15918" i="8"/>
  <c r="J15919" i="8"/>
  <c r="J15920" i="8"/>
  <c r="J15921" i="8"/>
  <c r="J15922" i="8"/>
  <c r="J15923" i="8"/>
  <c r="J15924" i="8"/>
  <c r="J15925" i="8"/>
  <c r="J15926" i="8"/>
  <c r="J15927" i="8"/>
  <c r="J15928" i="8"/>
  <c r="J15929" i="8"/>
  <c r="J15930" i="8"/>
  <c r="J15931" i="8"/>
  <c r="J15932" i="8"/>
  <c r="J15933" i="8"/>
  <c r="J15934" i="8"/>
  <c r="J15935" i="8"/>
  <c r="J15936" i="8"/>
  <c r="J15937" i="8"/>
  <c r="J15938" i="8"/>
  <c r="J15939" i="8"/>
  <c r="J15940" i="8"/>
  <c r="J15941" i="8"/>
  <c r="J15942" i="8"/>
  <c r="J15943" i="8"/>
  <c r="J15944" i="8"/>
  <c r="J15945" i="8"/>
  <c r="J15946" i="8"/>
  <c r="J15947" i="8"/>
  <c r="J15948" i="8"/>
  <c r="J15949" i="8"/>
  <c r="J15950" i="8"/>
  <c r="J15951" i="8"/>
  <c r="J15952" i="8"/>
  <c r="J15953" i="8"/>
  <c r="J15954" i="8"/>
  <c r="J15955" i="8"/>
  <c r="J15956" i="8"/>
  <c r="J15957" i="8"/>
  <c r="J15958" i="8"/>
  <c r="J15959" i="8"/>
  <c r="J15960" i="8"/>
  <c r="J15961" i="8"/>
  <c r="J15962" i="8"/>
  <c r="J15964" i="8"/>
  <c r="J15965" i="8"/>
  <c r="J15966" i="8"/>
  <c r="J15967" i="8"/>
  <c r="J15968" i="8"/>
  <c r="J15969" i="8"/>
  <c r="J15970" i="8"/>
  <c r="J15971" i="8"/>
  <c r="J15972" i="8"/>
  <c r="J15973" i="8"/>
  <c r="J15974" i="8"/>
  <c r="J15975" i="8"/>
  <c r="J15976" i="8"/>
  <c r="J15977" i="8"/>
  <c r="J15978" i="8"/>
  <c r="J15980" i="8"/>
  <c r="J15982" i="8"/>
  <c r="J15983" i="8"/>
  <c r="J15984" i="8"/>
  <c r="J15985" i="8"/>
  <c r="J15986" i="8"/>
  <c r="J15987" i="8"/>
  <c r="J15988" i="8"/>
  <c r="J15989" i="8"/>
  <c r="J15990" i="8"/>
  <c r="J15991" i="8"/>
  <c r="J15992" i="8"/>
  <c r="J15993" i="8"/>
  <c r="J15994" i="8"/>
  <c r="J15995" i="8"/>
  <c r="J15996" i="8"/>
  <c r="J15998" i="8"/>
  <c r="J15999" i="8"/>
  <c r="J16000" i="8"/>
  <c r="J16001" i="8"/>
  <c r="J16002" i="8"/>
  <c r="J16003" i="8"/>
  <c r="J16004" i="8"/>
  <c r="J16005" i="8"/>
  <c r="J16006" i="8"/>
  <c r="J16007" i="8"/>
  <c r="J16008" i="8"/>
  <c r="J16009" i="8"/>
  <c r="J16010" i="8"/>
  <c r="J16011" i="8"/>
  <c r="J16012" i="8"/>
  <c r="J16013" i="8"/>
  <c r="J16014" i="8"/>
  <c r="J16015" i="8"/>
  <c r="J16016" i="8"/>
  <c r="J16017" i="8"/>
  <c r="J16018" i="8"/>
  <c r="J16019" i="8"/>
  <c r="J16020" i="8"/>
  <c r="J16021" i="8"/>
  <c r="J16022" i="8"/>
  <c r="J16023" i="8"/>
  <c r="J16024" i="8"/>
  <c r="J16025" i="8"/>
  <c r="J16026" i="8"/>
  <c r="J16027" i="8"/>
  <c r="J16028" i="8"/>
  <c r="J16029" i="8"/>
  <c r="J16030" i="8"/>
  <c r="J16031" i="8"/>
  <c r="J16032" i="8"/>
  <c r="J16033" i="8"/>
  <c r="J16034" i="8"/>
  <c r="J16035" i="8"/>
  <c r="J16036" i="8"/>
  <c r="J16037" i="8"/>
  <c r="J16038" i="8"/>
  <c r="J16039" i="8"/>
  <c r="J16040" i="8"/>
  <c r="J16041" i="8"/>
  <c r="J16042" i="8"/>
  <c r="J16043" i="8"/>
  <c r="J16044" i="8"/>
  <c r="J16045" i="8"/>
  <c r="J16046" i="8"/>
  <c r="J16047" i="8"/>
  <c r="J16048" i="8"/>
  <c r="J16049" i="8"/>
  <c r="J16050" i="8"/>
  <c r="J16051" i="8"/>
  <c r="J16052" i="8"/>
  <c r="J16053" i="8"/>
  <c r="J16054" i="8"/>
  <c r="J16055" i="8"/>
  <c r="J16056" i="8"/>
  <c r="J16057" i="8"/>
  <c r="J16058" i="8"/>
  <c r="J16059" i="8"/>
  <c r="J16060" i="8"/>
  <c r="J16061" i="8"/>
  <c r="J16063" i="8"/>
  <c r="J16064" i="8"/>
  <c r="J16065" i="8"/>
  <c r="J16066" i="8"/>
  <c r="J16067" i="8"/>
  <c r="J16068" i="8"/>
  <c r="J16069" i="8"/>
  <c r="J16070" i="8"/>
  <c r="J16071" i="8"/>
  <c r="J16072" i="8"/>
  <c r="J16073" i="8"/>
  <c r="J16074" i="8"/>
  <c r="J16075" i="8"/>
  <c r="J16076" i="8"/>
  <c r="J16077" i="8"/>
  <c r="J16079" i="8"/>
  <c r="J16081" i="8"/>
  <c r="J16082" i="8"/>
  <c r="J16083" i="8"/>
  <c r="J16084" i="8"/>
  <c r="J16085" i="8"/>
  <c r="J16086" i="8"/>
  <c r="J16087" i="8"/>
  <c r="J16088" i="8"/>
  <c r="J16089" i="8"/>
  <c r="J16090" i="8"/>
  <c r="J16091" i="8"/>
  <c r="J16092" i="8"/>
  <c r="J16093" i="8"/>
  <c r="J16094" i="8"/>
  <c r="J16095" i="8"/>
  <c r="J16100" i="8"/>
  <c r="J16101" i="8"/>
  <c r="J16102" i="8"/>
  <c r="J16103" i="8"/>
  <c r="J16104" i="8"/>
  <c r="J16105" i="8"/>
  <c r="J16106" i="8"/>
  <c r="J16107" i="8"/>
  <c r="J16108" i="8"/>
  <c r="J16109" i="8"/>
  <c r="J16110" i="8"/>
  <c r="J16111" i="8"/>
  <c r="J16112" i="8"/>
  <c r="J16113" i="8"/>
  <c r="J16114" i="8"/>
  <c r="J16115" i="8"/>
  <c r="J16116" i="8"/>
  <c r="J16117" i="8"/>
  <c r="J16118" i="8"/>
  <c r="J16119" i="8"/>
  <c r="J16120" i="8"/>
  <c r="J16121" i="8"/>
  <c r="J16122" i="8"/>
  <c r="J16123" i="8"/>
  <c r="J16124" i="8"/>
  <c r="J16125" i="8"/>
  <c r="J16126" i="8"/>
  <c r="J16127" i="8"/>
  <c r="J16128" i="8"/>
  <c r="J16129" i="8"/>
  <c r="J16130" i="8"/>
  <c r="J16131" i="8"/>
  <c r="J16132" i="8"/>
  <c r="J16133" i="8"/>
  <c r="J16134" i="8"/>
  <c r="J16135" i="8"/>
  <c r="J16136" i="8"/>
  <c r="J16137" i="8"/>
  <c r="J16138" i="8"/>
  <c r="J16139" i="8"/>
  <c r="J16140" i="8"/>
  <c r="J16141" i="8"/>
  <c r="J16142" i="8"/>
  <c r="J16143" i="8"/>
  <c r="J16144" i="8"/>
  <c r="J16145" i="8"/>
  <c r="J16146" i="8"/>
  <c r="J16147" i="8"/>
  <c r="J16148" i="8"/>
  <c r="J16149" i="8"/>
  <c r="J16150" i="8"/>
  <c r="J16151" i="8"/>
  <c r="J16152" i="8"/>
  <c r="J16153" i="8"/>
  <c r="J16154" i="8"/>
  <c r="J16155" i="8"/>
  <c r="J16156" i="8"/>
  <c r="J16157" i="8"/>
  <c r="J16158" i="8"/>
  <c r="J16159" i="8"/>
  <c r="J16162" i="8"/>
  <c r="J16163" i="8"/>
  <c r="J16164" i="8"/>
  <c r="J16165" i="8"/>
  <c r="J16166" i="8"/>
  <c r="J16167" i="8"/>
  <c r="J16168" i="8"/>
  <c r="J16169" i="8"/>
  <c r="J16170" i="8"/>
  <c r="J16171" i="8"/>
  <c r="J16172" i="8"/>
  <c r="J16173" i="8"/>
  <c r="J16174" i="8"/>
  <c r="J16175" i="8"/>
  <c r="J16176" i="8"/>
  <c r="J16180" i="8"/>
  <c r="J16181" i="8"/>
  <c r="J16182" i="8"/>
  <c r="J16183" i="8"/>
  <c r="J16184" i="8"/>
  <c r="J16185" i="8"/>
  <c r="J16186" i="8"/>
  <c r="J16187" i="8"/>
  <c r="J16188" i="8"/>
  <c r="J16189" i="8"/>
  <c r="J16190" i="8"/>
  <c r="J16191" i="8"/>
  <c r="J16192" i="8"/>
  <c r="J16193" i="8"/>
  <c r="J16194" i="8"/>
  <c r="J16199" i="8"/>
  <c r="J16200" i="8"/>
  <c r="J16201" i="8"/>
  <c r="J16202" i="8"/>
  <c r="J16203" i="8"/>
  <c r="J16204" i="8"/>
  <c r="J16205" i="8"/>
  <c r="J16206" i="8"/>
  <c r="J16207" i="8"/>
  <c r="J16208" i="8"/>
  <c r="J16209" i="8"/>
  <c r="J16210" i="8"/>
  <c r="J16211" i="8"/>
  <c r="J16212" i="8"/>
  <c r="J16213" i="8"/>
  <c r="J16214" i="8"/>
  <c r="J16215" i="8"/>
  <c r="J16216" i="8"/>
  <c r="J16217" i="8"/>
  <c r="J16218" i="8"/>
  <c r="J16219" i="8"/>
  <c r="J16220" i="8"/>
  <c r="J16221" i="8"/>
  <c r="J16222" i="8"/>
  <c r="J16223" i="8"/>
  <c r="J16224" i="8"/>
  <c r="J16225" i="8"/>
  <c r="J16226" i="8"/>
  <c r="J16227" i="8"/>
  <c r="J16228" i="8"/>
  <c r="J16229" i="8"/>
  <c r="J16230" i="8"/>
  <c r="J16231" i="8"/>
  <c r="J16232" i="8"/>
  <c r="J16233" i="8"/>
  <c r="J16234" i="8"/>
  <c r="J16235" i="8"/>
  <c r="J16236" i="8"/>
  <c r="J16237" i="8"/>
  <c r="J16238" i="8"/>
  <c r="J16239" i="8"/>
  <c r="J16240" i="8"/>
  <c r="J16241" i="8"/>
  <c r="J16242" i="8"/>
  <c r="J16243" i="8"/>
  <c r="J16244" i="8"/>
  <c r="J16245" i="8"/>
  <c r="J16246" i="8"/>
  <c r="J16247" i="8"/>
  <c r="J16248" i="8"/>
  <c r="J16249" i="8"/>
  <c r="J16250" i="8"/>
  <c r="J16251" i="8"/>
  <c r="J16252" i="8"/>
  <c r="J16253" i="8"/>
  <c r="J16254" i="8"/>
  <c r="J16255" i="8"/>
  <c r="J16256" i="8"/>
  <c r="J16257" i="8"/>
  <c r="J16258" i="8"/>
  <c r="J16261" i="8"/>
  <c r="J16262" i="8"/>
  <c r="J16263" i="8"/>
  <c r="J16264" i="8"/>
  <c r="J16265" i="8"/>
  <c r="J16267" i="8"/>
  <c r="J16268" i="8"/>
  <c r="J16269" i="8"/>
  <c r="J16270" i="8"/>
  <c r="J16271" i="8"/>
  <c r="J16272" i="8"/>
  <c r="J16273" i="8"/>
  <c r="J16274" i="8"/>
  <c r="J16275" i="8"/>
  <c r="J16279" i="8"/>
  <c r="J16280" i="8"/>
  <c r="J16281" i="8"/>
  <c r="J16282" i="8"/>
  <c r="J16283" i="8"/>
  <c r="J16285" i="8"/>
  <c r="J16286" i="8"/>
  <c r="J16287" i="8"/>
  <c r="J16288" i="8"/>
  <c r="J16289" i="8"/>
  <c r="J16290" i="8"/>
  <c r="J16291" i="8"/>
  <c r="J16292" i="8"/>
  <c r="J16293" i="8"/>
  <c r="J16295" i="8"/>
  <c r="J16298" i="8"/>
  <c r="J16299" i="8"/>
  <c r="J16300" i="8"/>
  <c r="J16301" i="8"/>
  <c r="J16302" i="8"/>
  <c r="J16303" i="8"/>
  <c r="J16304" i="8"/>
  <c r="J16305" i="8"/>
  <c r="J16306" i="8"/>
  <c r="J16307" i="8"/>
  <c r="J16308" i="8"/>
  <c r="J16309" i="8"/>
  <c r="J16310" i="8"/>
  <c r="J16311" i="8"/>
  <c r="J16312" i="8"/>
  <c r="J16313" i="8"/>
  <c r="J16314" i="8"/>
  <c r="J16315" i="8"/>
  <c r="J16316" i="8"/>
  <c r="J16317" i="8"/>
  <c r="J16318" i="8"/>
  <c r="J16319" i="8"/>
  <c r="J16320" i="8"/>
  <c r="J16321" i="8"/>
  <c r="J16322" i="8"/>
  <c r="J16323" i="8"/>
  <c r="J16324" i="8"/>
  <c r="J16325" i="8"/>
  <c r="J16326" i="8"/>
  <c r="J16327" i="8"/>
  <c r="J16328" i="8"/>
  <c r="J16329" i="8"/>
  <c r="J16330" i="8"/>
  <c r="J16331" i="8"/>
  <c r="J16332" i="8"/>
  <c r="J16333" i="8"/>
  <c r="J16334" i="8"/>
  <c r="J16335" i="8"/>
  <c r="J16336" i="8"/>
  <c r="J16337" i="8"/>
  <c r="J16338" i="8"/>
  <c r="J16339" i="8"/>
  <c r="J16340" i="8"/>
  <c r="J16341" i="8"/>
  <c r="J16342" i="8"/>
  <c r="J16343" i="8"/>
  <c r="J16344" i="8"/>
  <c r="J16345" i="8"/>
  <c r="J16346" i="8"/>
  <c r="J16347" i="8"/>
  <c r="J16348" i="8"/>
  <c r="J16349" i="8"/>
  <c r="J16350" i="8"/>
  <c r="J16351" i="8"/>
  <c r="J16352" i="8"/>
  <c r="J16353" i="8"/>
  <c r="J16354" i="8"/>
  <c r="J16355" i="8"/>
  <c r="J16356" i="8"/>
  <c r="J16357" i="8"/>
  <c r="J16358" i="8"/>
  <c r="J16360" i="8"/>
  <c r="J16361" i="8"/>
  <c r="J16362" i="8"/>
  <c r="J16363" i="8"/>
  <c r="J16364" i="8"/>
  <c r="J16365" i="8"/>
  <c r="J16366" i="8"/>
  <c r="J16367" i="8"/>
  <c r="J16368" i="8"/>
  <c r="J16369" i="8"/>
  <c r="J16370" i="8"/>
  <c r="J16371" i="8"/>
  <c r="J16372" i="8"/>
  <c r="J16373" i="8"/>
  <c r="J16374" i="8"/>
  <c r="J16376" i="8"/>
  <c r="J16378" i="8"/>
  <c r="J16379" i="8"/>
  <c r="J16380" i="8"/>
  <c r="J16381" i="8"/>
  <c r="J16382" i="8"/>
  <c r="J16383" i="8"/>
  <c r="J16384" i="8"/>
  <c r="J16385" i="8"/>
  <c r="J16386" i="8"/>
  <c r="J16387" i="8"/>
  <c r="J16388" i="8"/>
  <c r="J16389" i="8"/>
  <c r="J16390" i="8"/>
  <c r="J16391" i="8"/>
  <c r="J16392" i="8"/>
  <c r="J16394" i="8"/>
  <c r="J16395" i="8"/>
  <c r="J16396" i="8"/>
  <c r="J16397" i="8"/>
  <c r="J16398" i="8"/>
  <c r="J16399" i="8"/>
  <c r="J16400" i="8"/>
  <c r="J16401" i="8"/>
  <c r="J16402" i="8"/>
  <c r="J16403" i="8"/>
  <c r="J16404" i="8"/>
  <c r="J16405" i="8"/>
  <c r="J16406" i="8"/>
  <c r="J16407" i="8"/>
  <c r="J16408" i="8"/>
  <c r="J16409" i="8"/>
  <c r="J16410" i="8"/>
  <c r="J16411" i="8"/>
  <c r="J16412" i="8"/>
  <c r="J16413" i="8"/>
  <c r="J16414" i="8"/>
  <c r="J16415" i="8"/>
  <c r="J16416" i="8"/>
  <c r="J16417" i="8"/>
  <c r="J16418" i="8"/>
  <c r="J16419" i="8"/>
  <c r="J16420" i="8"/>
  <c r="J16421" i="8"/>
  <c r="J16422" i="8"/>
  <c r="J16423" i="8"/>
  <c r="J16424" i="8"/>
  <c r="J16425" i="8"/>
  <c r="J16426" i="8"/>
  <c r="J16427" i="8"/>
  <c r="J16428" i="8"/>
  <c r="J16429" i="8"/>
  <c r="J16430" i="8"/>
  <c r="J16431" i="8"/>
  <c r="J16432" i="8"/>
  <c r="J16433" i="8"/>
  <c r="J16436" i="8"/>
  <c r="J16437" i="8"/>
  <c r="J16438" i="8"/>
  <c r="J16439" i="8"/>
  <c r="J16440" i="8"/>
  <c r="J16442" i="8"/>
  <c r="J16443" i="8"/>
  <c r="J16444" i="8"/>
  <c r="J16445" i="8"/>
  <c r="J16446" i="8"/>
  <c r="J16447" i="8"/>
  <c r="J16448" i="8"/>
  <c r="J16449" i="8"/>
  <c r="J16450" i="8"/>
  <c r="J16452" i="8"/>
  <c r="J16453" i="8"/>
  <c r="J16454" i="8"/>
  <c r="J16455" i="8"/>
  <c r="J16456" i="8"/>
  <c r="J16457" i="8"/>
  <c r="J16458" i="8"/>
  <c r="J16461" i="8"/>
  <c r="J16462" i="8"/>
  <c r="J16463" i="8"/>
  <c r="J16464" i="8"/>
  <c r="J16465" i="8"/>
  <c r="J16467" i="8"/>
  <c r="J16468" i="8"/>
  <c r="J16469" i="8"/>
  <c r="J16470" i="8"/>
  <c r="J16471" i="8"/>
  <c r="J16472" i="8"/>
  <c r="J16473" i="8"/>
  <c r="J16474" i="8"/>
  <c r="J16475" i="8"/>
  <c r="J16477" i="8"/>
  <c r="J16478" i="8"/>
  <c r="J16479" i="8"/>
  <c r="J16480" i="8"/>
  <c r="J16481" i="8"/>
  <c r="J16482" i="8"/>
  <c r="J16483" i="8"/>
  <c r="J16484" i="8"/>
  <c r="J16485" i="8"/>
  <c r="J16486" i="8"/>
  <c r="J16487" i="8"/>
  <c r="J16488" i="8"/>
  <c r="J16489" i="8"/>
  <c r="J16490" i="8"/>
  <c r="J16491" i="8"/>
  <c r="J16492" i="8"/>
  <c r="J16493" i="8"/>
  <c r="J16494" i="8"/>
  <c r="J16495" i="8"/>
  <c r="J16496" i="8"/>
  <c r="J16497" i="8"/>
  <c r="J16498" i="8"/>
  <c r="J16499" i="8"/>
  <c r="J16500" i="8"/>
  <c r="J16501" i="8"/>
  <c r="J16502" i="8"/>
  <c r="J16503" i="8"/>
  <c r="J16504" i="8"/>
  <c r="J16505" i="8"/>
  <c r="J16506" i="8"/>
  <c r="J16507" i="8"/>
  <c r="J16508" i="8"/>
  <c r="J16509" i="8"/>
  <c r="J16510" i="8"/>
  <c r="J16511" i="8"/>
  <c r="J16512" i="8"/>
  <c r="J16513" i="8"/>
  <c r="J16514" i="8"/>
  <c r="J16515" i="8"/>
  <c r="J16516" i="8"/>
  <c r="J16517" i="8"/>
  <c r="J16518" i="8"/>
  <c r="J16519" i="8"/>
  <c r="J16520" i="8"/>
  <c r="J16521" i="8"/>
  <c r="J16522" i="8"/>
  <c r="J16523" i="8"/>
  <c r="J16524" i="8"/>
  <c r="J16525" i="8"/>
  <c r="J16526" i="8"/>
  <c r="J16527" i="8"/>
  <c r="J16528" i="8"/>
  <c r="J16529" i="8"/>
  <c r="J16530" i="8"/>
  <c r="J16531" i="8"/>
  <c r="J16532" i="8"/>
  <c r="J16533" i="8"/>
  <c r="J16534" i="8"/>
  <c r="J16535" i="8"/>
  <c r="J16536" i="8"/>
  <c r="J16537" i="8"/>
  <c r="J16538" i="8"/>
  <c r="J16539" i="8"/>
  <c r="J16540" i="8"/>
  <c r="J16541" i="8"/>
  <c r="J16542" i="8"/>
  <c r="J16543" i="8"/>
  <c r="J16544" i="8"/>
  <c r="J16545" i="8"/>
  <c r="J16546" i="8"/>
  <c r="J16547" i="8"/>
  <c r="J16548" i="8"/>
  <c r="J16549" i="8"/>
  <c r="J16550" i="8"/>
  <c r="J16551" i="8"/>
  <c r="J16552" i="8"/>
  <c r="J16553" i="8"/>
  <c r="J16554" i="8"/>
  <c r="J16555" i="8"/>
  <c r="J16556" i="8"/>
  <c r="J16557" i="8"/>
  <c r="J16558" i="8"/>
  <c r="J16559" i="8"/>
  <c r="J16560" i="8"/>
  <c r="J16561" i="8"/>
  <c r="J16562" i="8"/>
  <c r="J16563" i="8"/>
  <c r="J16564" i="8"/>
  <c r="J16565" i="8"/>
  <c r="J16566" i="8"/>
  <c r="J16567" i="8"/>
  <c r="J16568" i="8"/>
  <c r="J16569" i="8"/>
  <c r="J16570" i="8"/>
  <c r="J16571" i="8"/>
  <c r="J16572" i="8"/>
  <c r="J16573" i="8"/>
  <c r="J16574" i="8"/>
  <c r="J16575" i="8"/>
  <c r="J16576" i="8"/>
  <c r="J16577" i="8"/>
  <c r="J16578" i="8"/>
  <c r="J16579" i="8"/>
  <c r="J16580" i="8"/>
  <c r="J16581" i="8"/>
  <c r="J16582" i="8"/>
  <c r="J16583" i="8"/>
  <c r="J16584" i="8"/>
  <c r="J16585" i="8"/>
  <c r="J16586" i="8"/>
  <c r="J16587" i="8"/>
  <c r="J16588" i="8"/>
  <c r="J16589" i="8"/>
  <c r="J16590" i="8"/>
  <c r="J16591" i="8"/>
  <c r="J16592" i="8"/>
  <c r="J16593" i="8"/>
  <c r="J16594" i="8"/>
  <c r="J16595" i="8"/>
  <c r="J16596" i="8"/>
  <c r="J16597" i="8"/>
  <c r="J16598" i="8"/>
  <c r="J16599" i="8"/>
  <c r="J16600" i="8"/>
  <c r="J16601" i="8"/>
  <c r="J16602" i="8"/>
  <c r="J16603" i="8"/>
  <c r="J16604" i="8"/>
  <c r="J16605" i="8"/>
  <c r="J16606" i="8"/>
  <c r="J16607" i="8"/>
  <c r="J16608" i="8"/>
  <c r="J16609" i="8"/>
  <c r="J16610" i="8"/>
  <c r="J16611" i="8"/>
  <c r="J16612" i="8"/>
  <c r="J16613" i="8"/>
  <c r="J16614" i="8"/>
  <c r="J16615" i="8"/>
  <c r="J16616" i="8"/>
  <c r="J16617" i="8"/>
  <c r="J16618" i="8"/>
  <c r="J16619" i="8"/>
  <c r="J16620" i="8"/>
  <c r="J16621" i="8"/>
  <c r="J16622" i="8"/>
  <c r="J16623" i="8"/>
  <c r="J16624" i="8"/>
  <c r="J16625" i="8"/>
  <c r="J16626" i="8"/>
  <c r="J16627" i="8"/>
  <c r="J16628" i="8"/>
  <c r="J16629" i="8"/>
  <c r="J16630" i="8"/>
  <c r="J16631" i="8"/>
  <c r="J16632" i="8"/>
  <c r="J16633" i="8"/>
  <c r="J16634" i="8"/>
  <c r="J16635" i="8"/>
  <c r="J16636" i="8"/>
  <c r="J16637" i="8"/>
  <c r="J16638" i="8"/>
  <c r="J16639" i="8"/>
  <c r="J16640" i="8"/>
  <c r="J16641" i="8"/>
  <c r="J16642" i="8"/>
  <c r="J16643" i="8"/>
  <c r="J16644" i="8"/>
  <c r="J16645" i="8"/>
  <c r="J16646" i="8"/>
  <c r="J16647" i="8"/>
  <c r="J16648" i="8"/>
  <c r="J16649" i="8"/>
  <c r="J16650" i="8"/>
  <c r="J16651" i="8"/>
  <c r="J16652" i="8"/>
  <c r="J16653" i="8"/>
  <c r="J16654" i="8"/>
  <c r="J16655" i="8"/>
  <c r="J16656" i="8"/>
  <c r="J16657" i="8"/>
  <c r="J16658" i="8"/>
  <c r="J16659" i="8"/>
  <c r="J16660" i="8"/>
  <c r="J16661" i="8"/>
  <c r="J16662" i="8"/>
  <c r="J16663" i="8"/>
  <c r="J16664" i="8"/>
  <c r="J16665" i="8"/>
  <c r="J16666" i="8"/>
  <c r="J16667" i="8"/>
  <c r="J16668" i="8"/>
  <c r="J16669" i="8"/>
  <c r="J16670" i="8"/>
  <c r="J16671" i="8"/>
  <c r="J16672" i="8"/>
  <c r="J16673" i="8"/>
  <c r="J16674" i="8"/>
  <c r="J16675" i="8"/>
  <c r="J16676" i="8"/>
  <c r="J16677" i="8"/>
  <c r="J16678" i="8"/>
  <c r="J16679" i="8"/>
  <c r="J16680" i="8"/>
  <c r="J16681" i="8"/>
  <c r="J16682" i="8"/>
  <c r="J16683" i="8"/>
  <c r="J16684" i="8"/>
  <c r="J16685" i="8"/>
  <c r="J16686" i="8"/>
  <c r="J16687" i="8"/>
  <c r="J16688" i="8"/>
  <c r="J16689" i="8"/>
  <c r="J16690" i="8"/>
  <c r="J16691" i="8"/>
  <c r="J16692" i="8"/>
  <c r="J16693" i="8"/>
  <c r="J16694" i="8"/>
  <c r="J16695" i="8"/>
  <c r="J16696" i="8"/>
  <c r="J16697" i="8"/>
  <c r="J16698" i="8"/>
  <c r="J16699" i="8"/>
  <c r="J16700" i="8"/>
  <c r="J16701" i="8"/>
  <c r="J16702" i="8"/>
  <c r="J16703" i="8"/>
  <c r="J16704" i="8"/>
  <c r="J16705" i="8"/>
  <c r="J16706" i="8"/>
  <c r="J16707" i="8"/>
  <c r="J16708" i="8"/>
  <c r="J16709" i="8"/>
  <c r="J16710" i="8"/>
  <c r="J16711" i="8"/>
  <c r="J16712" i="8"/>
  <c r="J16713" i="8"/>
  <c r="J16714" i="8"/>
  <c r="J16715" i="8"/>
  <c r="J16716" i="8"/>
  <c r="J16717" i="8"/>
  <c r="J16718" i="8"/>
  <c r="J16719" i="8"/>
  <c r="J16720" i="8"/>
  <c r="J16721" i="8"/>
  <c r="J16722" i="8"/>
  <c r="J16723" i="8"/>
  <c r="J16724" i="8"/>
  <c r="J16725" i="8"/>
  <c r="J16726" i="8"/>
  <c r="J16727" i="8"/>
  <c r="J16728" i="8"/>
  <c r="J16729" i="8"/>
  <c r="J16730" i="8"/>
  <c r="J16731" i="8"/>
  <c r="J16732" i="8"/>
  <c r="J16733" i="8"/>
  <c r="J16734" i="8"/>
  <c r="J16735" i="8"/>
  <c r="J16736" i="8"/>
  <c r="J16737" i="8"/>
  <c r="J16738" i="8"/>
  <c r="J16739" i="8"/>
  <c r="J16740" i="8"/>
  <c r="J16741" i="8"/>
  <c r="J16742" i="8"/>
  <c r="J16743" i="8"/>
  <c r="J16744" i="8"/>
  <c r="J16745" i="8"/>
  <c r="J16746" i="8"/>
  <c r="J16747" i="8"/>
  <c r="J16748" i="8"/>
  <c r="J16749" i="8"/>
  <c r="J16750" i="8"/>
  <c r="J16751" i="8"/>
  <c r="J16752" i="8"/>
  <c r="J16753" i="8"/>
  <c r="J16754" i="8"/>
  <c r="J16755" i="8"/>
  <c r="J16756" i="8"/>
  <c r="J16757" i="8"/>
  <c r="J16758" i="8"/>
  <c r="J16759" i="8"/>
  <c r="J16760" i="8"/>
  <c r="J16761" i="8"/>
  <c r="J16762" i="8"/>
  <c r="J16763" i="8"/>
  <c r="J16764" i="8"/>
  <c r="J16765" i="8"/>
  <c r="J16766" i="8"/>
  <c r="J16767" i="8"/>
  <c r="J16768" i="8"/>
  <c r="J16769" i="8"/>
  <c r="J16770" i="8"/>
  <c r="J16771" i="8"/>
  <c r="J16772" i="8"/>
  <c r="J16773" i="8"/>
  <c r="J16774" i="8"/>
  <c r="J16775" i="8"/>
  <c r="J16776" i="8"/>
  <c r="J16777" i="8"/>
  <c r="J16778" i="8"/>
  <c r="J16779" i="8"/>
  <c r="J16780" i="8"/>
  <c r="J16781" i="8"/>
  <c r="J16782" i="8"/>
  <c r="J16783" i="8"/>
  <c r="J16784" i="8"/>
  <c r="J16785" i="8"/>
  <c r="J16786" i="8"/>
  <c r="J16787" i="8"/>
  <c r="J16788" i="8"/>
  <c r="J16789" i="8"/>
  <c r="J16790" i="8"/>
  <c r="J16791" i="8"/>
  <c r="J16792" i="8"/>
  <c r="J16793" i="8"/>
  <c r="J16794" i="8"/>
  <c r="J16795" i="8"/>
  <c r="J16796" i="8"/>
  <c r="J16797" i="8"/>
  <c r="J16798" i="8"/>
  <c r="J16799" i="8"/>
  <c r="J16800" i="8"/>
  <c r="J16801" i="8"/>
  <c r="J16802" i="8"/>
  <c r="J16803" i="8"/>
  <c r="J16804" i="8"/>
  <c r="J16805" i="8"/>
  <c r="J16806" i="8"/>
  <c r="J16807" i="8"/>
  <c r="J16808" i="8"/>
  <c r="J16809" i="8"/>
  <c r="J16810" i="8"/>
  <c r="J16811" i="8"/>
  <c r="J16812" i="8"/>
  <c r="J16813" i="8"/>
  <c r="J16814" i="8"/>
  <c r="J16815" i="8"/>
  <c r="J16816" i="8"/>
  <c r="J16817" i="8"/>
  <c r="J16818" i="8"/>
  <c r="J16819" i="8"/>
  <c r="J16820" i="8"/>
  <c r="J16821" i="8"/>
  <c r="J16822" i="8"/>
  <c r="J16823" i="8"/>
  <c r="J16824" i="8"/>
  <c r="J16825" i="8"/>
  <c r="J16826" i="8"/>
  <c r="J16827" i="8"/>
  <c r="J16828" i="8"/>
  <c r="J16829" i="8"/>
  <c r="J16830" i="8"/>
  <c r="J16831" i="8"/>
  <c r="J16832" i="8"/>
  <c r="J16833" i="8"/>
  <c r="J16834" i="8"/>
  <c r="J16835" i="8"/>
  <c r="J16836" i="8"/>
  <c r="J16837" i="8"/>
  <c r="J16838" i="8"/>
  <c r="J16839" i="8"/>
  <c r="J16840" i="8"/>
  <c r="J16841" i="8"/>
  <c r="J16842" i="8"/>
  <c r="J16843" i="8"/>
  <c r="J16844" i="8"/>
  <c r="J16845" i="8"/>
  <c r="J16846" i="8"/>
  <c r="J16847" i="8"/>
  <c r="J16848" i="8"/>
  <c r="J16849" i="8"/>
  <c r="J16850" i="8"/>
  <c r="J16851" i="8"/>
  <c r="J16852" i="8"/>
  <c r="J16853" i="8"/>
  <c r="J16854" i="8"/>
  <c r="J16855" i="8"/>
  <c r="J16856" i="8"/>
  <c r="J16857" i="8"/>
  <c r="J16858" i="8"/>
  <c r="J16859" i="8"/>
  <c r="J16860" i="8"/>
  <c r="J16861" i="8"/>
  <c r="J16862" i="8"/>
  <c r="J16863" i="8"/>
  <c r="J16864" i="8"/>
  <c r="J16865" i="8"/>
  <c r="J16866" i="8"/>
  <c r="J16867" i="8"/>
  <c r="J16868" i="8"/>
  <c r="J16869" i="8"/>
  <c r="J16870" i="8"/>
  <c r="J16871" i="8"/>
  <c r="J16872" i="8"/>
  <c r="J16873" i="8"/>
  <c r="J16874" i="8"/>
  <c r="J16875" i="8"/>
  <c r="J16876" i="8"/>
  <c r="J16877" i="8"/>
  <c r="J16878" i="8"/>
  <c r="J16879" i="8"/>
  <c r="J16880" i="8"/>
  <c r="J16881" i="8"/>
  <c r="J16882" i="8"/>
  <c r="J16883" i="8"/>
  <c r="J16884" i="8"/>
  <c r="J16885" i="8"/>
  <c r="J16886" i="8"/>
  <c r="J16887" i="8"/>
  <c r="J16888" i="8"/>
  <c r="J16889" i="8"/>
  <c r="J16890" i="8"/>
  <c r="J16891" i="8"/>
  <c r="J16892" i="8"/>
  <c r="J16893" i="8"/>
  <c r="J16894" i="8"/>
  <c r="J16895" i="8"/>
  <c r="J16896" i="8"/>
  <c r="J16897" i="8"/>
  <c r="J16898" i="8"/>
  <c r="J16899" i="8"/>
  <c r="J16900" i="8"/>
  <c r="J16901" i="8"/>
  <c r="J16902" i="8"/>
  <c r="J16903" i="8"/>
  <c r="J16904" i="8"/>
  <c r="J16905" i="8"/>
  <c r="J16906" i="8"/>
  <c r="J16907" i="8"/>
  <c r="J16908" i="8"/>
  <c r="J16909" i="8"/>
  <c r="J16910" i="8"/>
  <c r="J16911" i="8"/>
  <c r="J16912" i="8"/>
  <c r="J16913" i="8"/>
  <c r="J16914" i="8"/>
  <c r="J16915" i="8"/>
  <c r="J16916" i="8"/>
  <c r="J16917" i="8"/>
  <c r="J16918" i="8"/>
  <c r="J16919" i="8"/>
  <c r="J16920" i="8"/>
  <c r="J16921" i="8"/>
  <c r="J16922" i="8"/>
  <c r="J16923" i="8"/>
  <c r="J16924" i="8"/>
  <c r="J16925" i="8"/>
  <c r="J16926" i="8"/>
  <c r="J16927" i="8"/>
  <c r="J16928" i="8"/>
  <c r="J16929" i="8"/>
  <c r="J16930" i="8"/>
  <c r="J16931" i="8"/>
  <c r="J16932" i="8"/>
  <c r="J16933" i="8"/>
  <c r="J16934" i="8"/>
  <c r="J16935" i="8"/>
  <c r="J16936" i="8"/>
  <c r="J16937" i="8"/>
  <c r="J16938" i="8"/>
  <c r="J16939" i="8"/>
  <c r="J16940" i="8"/>
  <c r="J16941" i="8"/>
  <c r="J16942" i="8"/>
  <c r="J16943" i="8"/>
  <c r="J16944" i="8"/>
  <c r="J16945" i="8"/>
  <c r="J16946" i="8"/>
  <c r="J16947" i="8"/>
  <c r="J16948" i="8"/>
  <c r="J16949" i="8"/>
  <c r="J16950" i="8"/>
  <c r="J16951" i="8"/>
  <c r="J16952" i="8"/>
  <c r="J16953" i="8"/>
  <c r="J16954" i="8"/>
  <c r="J16955" i="8"/>
  <c r="J16956" i="8"/>
  <c r="J16957" i="8"/>
  <c r="J16958" i="8"/>
  <c r="J16959" i="8"/>
  <c r="J16960" i="8"/>
  <c r="J16961" i="8"/>
  <c r="J16962" i="8"/>
  <c r="J16963" i="8"/>
  <c r="J16964" i="8"/>
  <c r="J16965" i="8"/>
  <c r="J16966" i="8"/>
  <c r="J16967" i="8"/>
  <c r="J16968" i="8"/>
  <c r="J16969" i="8"/>
  <c r="J16970" i="8"/>
  <c r="J16971" i="8"/>
  <c r="J16972" i="8"/>
  <c r="J16973" i="8"/>
  <c r="J16974" i="8"/>
  <c r="J16975" i="8"/>
  <c r="J16976" i="8"/>
  <c r="J16977" i="8"/>
  <c r="J16978" i="8"/>
  <c r="J16979" i="8"/>
  <c r="J16980" i="8"/>
  <c r="J16981" i="8"/>
  <c r="J16982" i="8"/>
  <c r="J16983" i="8"/>
  <c r="J16984" i="8"/>
  <c r="J16985" i="8"/>
  <c r="J16986" i="8"/>
  <c r="J16987" i="8"/>
  <c r="J16988" i="8"/>
  <c r="J16989" i="8"/>
  <c r="J16990" i="8"/>
  <c r="J16991" i="8"/>
  <c r="J16992" i="8"/>
  <c r="J16993" i="8"/>
  <c r="J16994" i="8"/>
  <c r="J16995" i="8"/>
  <c r="J16996" i="8"/>
  <c r="J16997" i="8"/>
  <c r="J16998" i="8"/>
  <c r="J16999" i="8"/>
  <c r="J17000" i="8"/>
  <c r="J17001" i="8"/>
  <c r="J17002" i="8"/>
  <c r="J17003" i="8"/>
  <c r="J17004" i="8"/>
  <c r="J17005" i="8"/>
  <c r="J17006" i="8"/>
  <c r="J17007" i="8"/>
  <c r="J17008" i="8"/>
  <c r="J17009" i="8"/>
  <c r="J17010" i="8"/>
  <c r="J17011" i="8"/>
  <c r="J17012" i="8"/>
  <c r="J17013" i="8"/>
  <c r="J17014" i="8"/>
  <c r="J17015" i="8"/>
  <c r="J17016" i="8"/>
  <c r="J17017" i="8"/>
  <c r="J17018" i="8"/>
  <c r="J17019" i="8"/>
  <c r="J17020" i="8"/>
  <c r="J17021" i="8"/>
  <c r="J17022" i="8"/>
  <c r="J17023" i="8"/>
  <c r="J17024" i="8"/>
  <c r="J17025" i="8"/>
  <c r="J17026" i="8"/>
  <c r="J17027" i="8"/>
  <c r="J17028" i="8"/>
  <c r="J17029" i="8"/>
  <c r="J17030" i="8"/>
  <c r="J17031" i="8"/>
  <c r="J17032" i="8"/>
  <c r="J17033" i="8"/>
  <c r="J17034" i="8"/>
  <c r="J17035" i="8"/>
  <c r="J17036" i="8"/>
  <c r="J17037" i="8"/>
  <c r="J17038" i="8"/>
  <c r="J17039" i="8"/>
  <c r="J17040" i="8"/>
  <c r="J17041" i="8"/>
  <c r="J17042" i="8"/>
  <c r="J17043" i="8"/>
  <c r="J17044" i="8"/>
  <c r="J17045" i="8"/>
  <c r="J17046" i="8"/>
  <c r="J17047" i="8"/>
  <c r="J17048" i="8"/>
  <c r="J17049" i="8"/>
  <c r="J17050" i="8"/>
  <c r="J17051" i="8"/>
  <c r="J17052" i="8"/>
  <c r="J17053" i="8"/>
  <c r="J17054" i="8"/>
  <c r="J17055" i="8"/>
  <c r="J17056" i="8"/>
  <c r="J17057" i="8"/>
  <c r="J17058" i="8"/>
  <c r="J17060" i="8"/>
  <c r="J17061" i="8"/>
  <c r="J17062" i="8"/>
  <c r="J17063" i="8"/>
  <c r="J17064" i="8"/>
  <c r="J17065" i="8"/>
  <c r="J17066" i="8"/>
  <c r="J17067" i="8"/>
  <c r="J17068" i="8"/>
  <c r="J17069" i="8"/>
  <c r="J17070" i="8"/>
  <c r="J17071" i="8"/>
  <c r="J17072" i="8"/>
  <c r="J17073" i="8"/>
  <c r="J17074" i="8"/>
  <c r="J17076" i="8"/>
  <c r="J17078" i="8"/>
  <c r="J17079" i="8"/>
  <c r="J17080" i="8"/>
  <c r="J17081" i="8"/>
  <c r="J17082" i="8"/>
  <c r="J17083" i="8"/>
  <c r="J17084" i="8"/>
  <c r="J17085" i="8"/>
  <c r="J17086" i="8"/>
  <c r="J17087" i="8"/>
  <c r="J17088" i="8"/>
  <c r="J17089" i="8"/>
  <c r="J17090" i="8"/>
  <c r="J17091" i="8"/>
  <c r="J17092" i="8"/>
  <c r="J17094" i="8"/>
  <c r="J17095" i="8"/>
  <c r="J17096" i="8"/>
  <c r="J17097" i="8"/>
  <c r="J17098" i="8"/>
  <c r="J17099" i="8"/>
  <c r="J17100" i="8"/>
  <c r="J17101" i="8"/>
  <c r="J17102" i="8"/>
  <c r="J17103" i="8"/>
  <c r="J17104" i="8"/>
  <c r="J17105" i="8"/>
  <c r="J17106" i="8"/>
  <c r="J17107" i="8"/>
  <c r="J17108" i="8"/>
  <c r="J17109" i="8"/>
  <c r="J17110" i="8"/>
  <c r="J17111" i="8"/>
  <c r="J17112" i="8"/>
  <c r="J17113" i="8"/>
  <c r="J17114" i="8"/>
  <c r="J17115" i="8"/>
  <c r="J17116" i="8"/>
  <c r="J17117" i="8"/>
  <c r="J17118" i="8"/>
  <c r="J17119" i="8"/>
  <c r="J17120" i="8"/>
  <c r="J17121" i="8"/>
  <c r="J17122" i="8"/>
  <c r="J17123" i="8"/>
  <c r="J17124" i="8"/>
  <c r="J17125" i="8"/>
  <c r="J17126" i="8"/>
  <c r="J17127" i="8"/>
  <c r="J17128" i="8"/>
  <c r="J17129" i="8"/>
  <c r="J17130" i="8"/>
  <c r="J17131" i="8"/>
  <c r="J17132" i="8"/>
  <c r="J17133" i="8"/>
  <c r="J17134" i="8"/>
  <c r="J17135" i="8"/>
  <c r="J17136" i="8"/>
  <c r="J17137" i="8"/>
  <c r="J17138" i="8"/>
  <c r="J17139" i="8"/>
  <c r="J17140" i="8"/>
  <c r="J17141" i="8"/>
  <c r="J17142" i="8"/>
  <c r="J17143" i="8"/>
  <c r="J17144" i="8"/>
  <c r="J17145" i="8"/>
  <c r="J17146" i="8"/>
  <c r="J17147" i="8"/>
  <c r="J17148" i="8"/>
  <c r="J17149" i="8"/>
  <c r="J17150" i="8"/>
  <c r="J17151" i="8"/>
  <c r="J17152" i="8"/>
  <c r="J17153" i="8"/>
  <c r="J17154" i="8"/>
  <c r="J17155" i="8"/>
  <c r="J17156" i="8"/>
  <c r="J17157" i="8"/>
  <c r="J17158" i="8"/>
  <c r="J17160" i="8"/>
  <c r="J17161" i="8"/>
  <c r="J17162" i="8"/>
  <c r="J17163" i="8"/>
  <c r="J17164" i="8"/>
  <c r="J17165" i="8"/>
  <c r="J17166" i="8"/>
  <c r="J17167" i="8"/>
  <c r="J17168" i="8"/>
  <c r="J17169" i="8"/>
  <c r="J17170" i="8"/>
  <c r="J17171" i="8"/>
  <c r="J17172" i="8"/>
  <c r="J17173" i="8"/>
  <c r="J17174" i="8"/>
  <c r="J17176" i="8"/>
  <c r="J17178" i="8"/>
  <c r="J17179" i="8"/>
  <c r="J17180" i="8"/>
  <c r="J17181" i="8"/>
  <c r="J17182" i="8"/>
  <c r="J17183" i="8"/>
  <c r="J17184" i="8"/>
  <c r="J17185" i="8"/>
  <c r="J17186" i="8"/>
  <c r="J17187" i="8"/>
  <c r="J17188" i="8"/>
  <c r="J17189" i="8"/>
  <c r="J17190" i="8"/>
  <c r="J17191" i="8"/>
  <c r="J17192" i="8"/>
  <c r="J17194" i="8"/>
  <c r="J17195" i="8"/>
  <c r="J17197" i="8"/>
  <c r="J17198" i="8"/>
  <c r="J17199" i="8"/>
  <c r="J17200" i="8"/>
  <c r="J17201" i="8"/>
  <c r="J17202" i="8"/>
  <c r="J17203" i="8"/>
  <c r="J17204" i="8"/>
  <c r="J17205" i="8"/>
  <c r="J17206" i="8"/>
  <c r="J17207" i="8"/>
  <c r="J17208" i="8"/>
  <c r="J17209" i="8"/>
  <c r="J17210" i="8"/>
  <c r="J17211" i="8"/>
  <c r="J17213" i="8"/>
  <c r="J17214" i="8"/>
  <c r="J17216" i="8"/>
  <c r="J17217" i="8"/>
  <c r="J17218" i="8"/>
  <c r="J17219" i="8"/>
  <c r="J17220" i="8"/>
  <c r="J17221" i="8"/>
  <c r="J17222" i="8"/>
  <c r="J17223" i="8"/>
  <c r="J17224" i="8"/>
  <c r="J17225" i="8"/>
  <c r="J17226" i="8"/>
  <c r="J17227" i="8"/>
  <c r="J17228" i="8"/>
  <c r="J17229" i="8"/>
  <c r="J17230" i="8"/>
  <c r="J17232" i="8"/>
  <c r="J17233" i="8"/>
  <c r="J17234" i="8"/>
  <c r="J17235" i="8"/>
  <c r="J17236" i="8"/>
  <c r="J17237" i="8"/>
  <c r="J17238" i="8"/>
  <c r="J17239" i="8"/>
  <c r="J17240" i="8"/>
  <c r="J17241" i="8"/>
  <c r="J17242" i="8"/>
  <c r="J17243" i="8"/>
  <c r="J17244" i="8"/>
  <c r="J17245" i="8"/>
  <c r="J17246" i="8"/>
  <c r="J17247" i="8"/>
  <c r="J17248" i="8"/>
  <c r="J17249" i="8"/>
  <c r="J17250" i="8"/>
  <c r="J17251" i="8"/>
  <c r="J17252" i="8"/>
  <c r="J17253" i="8"/>
  <c r="J17254" i="8"/>
  <c r="J17255" i="8"/>
  <c r="J17256" i="8"/>
  <c r="J17257" i="8"/>
  <c r="J17258" i="8"/>
  <c r="J17259" i="8"/>
  <c r="J17260" i="8"/>
  <c r="J17261" i="8"/>
  <c r="J17262" i="8"/>
  <c r="J17263" i="8"/>
  <c r="J17264" i="8"/>
  <c r="J17265" i="8"/>
  <c r="J17266" i="8"/>
  <c r="J17267" i="8"/>
  <c r="J17268" i="8"/>
  <c r="J17269" i="8"/>
  <c r="J17270" i="8"/>
  <c r="J17271" i="8"/>
  <c r="J17272" i="8"/>
  <c r="J17273" i="8"/>
  <c r="J17274" i="8"/>
  <c r="J17275" i="8"/>
  <c r="J17276" i="8"/>
  <c r="J17277" i="8"/>
  <c r="J17278" i="8"/>
  <c r="J17279" i="8"/>
  <c r="J17280" i="8"/>
  <c r="J17281" i="8"/>
  <c r="J17282" i="8"/>
  <c r="J17283" i="8"/>
  <c r="J17284" i="8"/>
  <c r="J17285" i="8"/>
  <c r="J17286" i="8"/>
  <c r="J17287" i="8"/>
  <c r="J17288" i="8"/>
  <c r="J17289" i="8"/>
  <c r="J17290" i="8"/>
  <c r="J17291" i="8"/>
  <c r="J17292" i="8"/>
  <c r="J17293" i="8"/>
  <c r="J17294" i="8"/>
  <c r="J17295" i="8"/>
  <c r="J17296" i="8"/>
  <c r="J17297" i="8"/>
  <c r="J17298" i="8"/>
  <c r="J17300" i="8"/>
  <c r="J17301" i="8"/>
  <c r="J17302" i="8"/>
  <c r="J17303" i="8"/>
  <c r="J17304" i="8"/>
  <c r="J17305" i="8"/>
  <c r="J17306" i="8"/>
  <c r="J17307" i="8"/>
  <c r="J17308" i="8"/>
  <c r="J17309" i="8"/>
  <c r="J17310" i="8"/>
  <c r="J17311" i="8"/>
  <c r="J17312" i="8"/>
  <c r="J17313" i="8"/>
  <c r="J17314" i="8"/>
  <c r="J17316" i="8"/>
  <c r="J17318" i="8"/>
  <c r="J17319" i="8"/>
  <c r="J17320" i="8"/>
  <c r="J17321" i="8"/>
  <c r="J17322" i="8"/>
  <c r="J17323" i="8"/>
  <c r="J17324" i="8"/>
  <c r="J17325" i="8"/>
  <c r="J17326" i="8"/>
  <c r="J17327" i="8"/>
  <c r="J17328" i="8"/>
  <c r="J17329" i="8"/>
  <c r="J17330" i="8"/>
  <c r="J17331" i="8"/>
  <c r="J17332" i="8"/>
  <c r="J17334" i="8"/>
  <c r="J17335" i="8"/>
  <c r="J17336" i="8"/>
  <c r="J17337" i="8"/>
  <c r="J17338" i="8"/>
  <c r="J17339" i="8"/>
  <c r="J17340" i="8"/>
  <c r="J17341" i="8"/>
  <c r="J17342" i="8"/>
  <c r="J17343" i="8"/>
  <c r="J17344" i="8"/>
  <c r="J17345" i="8"/>
  <c r="J17346" i="8"/>
  <c r="J17347" i="8"/>
  <c r="J17348" i="8"/>
  <c r="J17349" i="8"/>
  <c r="J17350" i="8"/>
  <c r="J17351" i="8"/>
  <c r="J17352" i="8"/>
  <c r="J17353" i="8"/>
  <c r="J17354" i="8"/>
  <c r="J17355" i="8"/>
  <c r="J17356" i="8"/>
  <c r="J17357" i="8"/>
  <c r="J17358" i="8"/>
  <c r="J17359" i="8"/>
  <c r="J17360" i="8"/>
  <c r="J17361" i="8"/>
  <c r="J17362" i="8"/>
  <c r="J17363" i="8"/>
  <c r="J17364" i="8"/>
  <c r="J17365" i="8"/>
  <c r="J17366" i="8"/>
  <c r="J17367" i="8"/>
  <c r="J17368" i="8"/>
  <c r="J17369" i="8"/>
  <c r="J17370" i="8"/>
  <c r="J17371" i="8"/>
  <c r="J17372" i="8"/>
  <c r="J17373" i="8"/>
  <c r="J17374" i="8"/>
  <c r="J17375" i="8"/>
  <c r="J17376" i="8"/>
  <c r="J17377" i="8"/>
  <c r="J17378" i="8"/>
  <c r="J17379" i="8"/>
  <c r="J17380" i="8"/>
  <c r="J17381" i="8"/>
  <c r="J17382" i="8"/>
  <c r="J17383" i="8"/>
  <c r="J17384" i="8"/>
  <c r="J17385" i="8"/>
  <c r="J17386" i="8"/>
  <c r="J17387" i="8"/>
  <c r="J17388" i="8"/>
  <c r="J17389" i="8"/>
  <c r="J17390" i="8"/>
  <c r="J17391" i="8"/>
  <c r="J17392" i="8"/>
  <c r="J17393" i="8"/>
  <c r="J17394" i="8"/>
  <c r="J17395" i="8"/>
  <c r="J17396" i="8"/>
  <c r="J17397" i="8"/>
  <c r="J17399" i="8"/>
  <c r="J17400" i="8"/>
  <c r="J17401" i="8"/>
  <c r="J17402" i="8"/>
  <c r="J17403" i="8"/>
  <c r="J17404" i="8"/>
  <c r="J17405" i="8"/>
  <c r="J17406" i="8"/>
  <c r="J17407" i="8"/>
  <c r="J17408" i="8"/>
  <c r="J17409" i="8"/>
  <c r="J17410" i="8"/>
  <c r="J17411" i="8"/>
  <c r="J17412" i="8"/>
  <c r="J17413" i="8"/>
  <c r="J17415" i="8"/>
  <c r="J17417" i="8"/>
  <c r="J17418" i="8"/>
  <c r="J17419" i="8"/>
  <c r="J17420" i="8"/>
  <c r="J17421" i="8"/>
  <c r="J17422" i="8"/>
  <c r="J17423" i="8"/>
  <c r="J17424" i="8"/>
  <c r="J17425" i="8"/>
  <c r="J17426" i="8"/>
  <c r="J17427" i="8"/>
  <c r="J17428" i="8"/>
  <c r="J17429" i="8"/>
  <c r="J17430" i="8"/>
  <c r="J17431" i="8"/>
  <c r="J17433" i="8"/>
  <c r="J17434" i="8"/>
  <c r="J17435" i="8"/>
  <c r="J17436" i="8"/>
  <c r="J17437" i="8"/>
  <c r="J17438" i="8"/>
  <c r="J17439" i="8"/>
  <c r="J17440" i="8"/>
  <c r="J17441" i="8"/>
  <c r="J17442" i="8"/>
  <c r="J17443" i="8"/>
  <c r="J17444" i="8"/>
  <c r="J17445" i="8"/>
  <c r="J17446" i="8"/>
  <c r="J17447" i="8"/>
  <c r="J17448" i="8"/>
  <c r="J17449" i="8"/>
  <c r="J17450" i="8"/>
  <c r="J17451" i="8"/>
  <c r="J17452" i="8"/>
  <c r="J17453" i="8"/>
  <c r="J17454" i="8"/>
  <c r="J17455" i="8"/>
  <c r="J17456" i="8"/>
  <c r="J17457" i="8"/>
  <c r="J17458" i="8"/>
  <c r="J17459" i="8"/>
  <c r="J17460" i="8"/>
  <c r="J17461" i="8"/>
  <c r="J17462" i="8"/>
  <c r="J17463" i="8"/>
  <c r="J17464" i="8"/>
  <c r="J17465" i="8"/>
  <c r="J17466" i="8"/>
  <c r="J17467" i="8"/>
  <c r="J17468" i="8"/>
  <c r="J17469" i="8"/>
  <c r="J17470" i="8"/>
  <c r="J17471" i="8"/>
  <c r="J17472" i="8"/>
  <c r="J17473" i="8"/>
  <c r="J17474" i="8"/>
  <c r="J17475" i="8"/>
  <c r="J17476" i="8"/>
  <c r="J17477" i="8"/>
  <c r="J17478" i="8"/>
  <c r="J17479" i="8"/>
  <c r="J17480" i="8"/>
  <c r="J17481" i="8"/>
  <c r="J17482" i="8"/>
  <c r="J17483" i="8"/>
  <c r="J17484" i="8"/>
  <c r="J17485" i="8"/>
  <c r="J17486" i="8"/>
  <c r="J17487" i="8"/>
  <c r="J17488" i="8"/>
  <c r="J17489" i="8"/>
  <c r="J17490" i="8"/>
  <c r="J17491" i="8"/>
  <c r="J17492" i="8"/>
  <c r="J17493" i="8"/>
  <c r="J17494" i="8"/>
  <c r="J17495" i="8"/>
  <c r="J17496" i="8"/>
  <c r="J17498" i="8"/>
  <c r="J17499" i="8"/>
  <c r="J17500" i="8"/>
  <c r="J17501" i="8"/>
  <c r="J17502" i="8"/>
  <c r="J17503" i="8"/>
  <c r="J17504" i="8"/>
  <c r="J17505" i="8"/>
  <c r="J17506" i="8"/>
  <c r="J17507" i="8"/>
  <c r="J17508" i="8"/>
  <c r="J17509" i="8"/>
  <c r="J17510" i="8"/>
  <c r="J17511" i="8"/>
  <c r="J17512" i="8"/>
  <c r="J17514" i="8"/>
  <c r="J17516" i="8"/>
  <c r="J17517" i="8"/>
  <c r="J17518" i="8"/>
  <c r="J17519" i="8"/>
  <c r="J17520" i="8"/>
  <c r="J17521" i="8"/>
  <c r="J17522" i="8"/>
  <c r="J17523" i="8"/>
  <c r="J17524" i="8"/>
  <c r="J17525" i="8"/>
  <c r="J17526" i="8"/>
  <c r="J17527" i="8"/>
  <c r="J17528" i="8"/>
  <c r="J17529" i="8"/>
  <c r="J17530" i="8"/>
  <c r="J17532" i="8"/>
  <c r="J17533" i="8"/>
  <c r="J17534" i="8"/>
  <c r="J17535" i="8"/>
  <c r="J17536" i="8"/>
  <c r="J17537" i="8"/>
  <c r="J17538" i="8"/>
  <c r="J17539" i="8"/>
  <c r="J17540" i="8"/>
  <c r="J17541" i="8"/>
  <c r="J17542" i="8"/>
  <c r="J17543" i="8"/>
  <c r="J17544" i="8"/>
  <c r="J17545" i="8"/>
  <c r="J17546" i="8"/>
  <c r="J17547" i="8"/>
  <c r="J17548" i="8"/>
  <c r="J17549" i="8"/>
  <c r="J17550" i="8"/>
  <c r="J17551" i="8"/>
  <c r="J17552" i="8"/>
  <c r="J17553" i="8"/>
  <c r="J17554" i="8"/>
  <c r="J17555" i="8"/>
  <c r="J17556" i="8"/>
  <c r="J17557" i="8"/>
  <c r="J17558" i="8"/>
  <c r="J17559" i="8"/>
  <c r="J17560" i="8"/>
  <c r="J17561" i="8"/>
  <c r="J17562" i="8"/>
  <c r="J17563" i="8"/>
  <c r="J17564" i="8"/>
  <c r="J17565" i="8"/>
  <c r="J17566" i="8"/>
  <c r="J17567" i="8"/>
  <c r="J17568" i="8"/>
  <c r="J17569" i="8"/>
  <c r="J17570" i="8"/>
  <c r="J17571" i="8"/>
  <c r="J17572" i="8"/>
  <c r="J17573" i="8"/>
  <c r="J17574" i="8"/>
  <c r="J17575" i="8"/>
  <c r="J17576" i="8"/>
  <c r="J17577" i="8"/>
  <c r="J17578" i="8"/>
  <c r="J17579" i="8"/>
  <c r="J17580" i="8"/>
  <c r="J17581" i="8"/>
  <c r="J17582" i="8"/>
  <c r="J17583" i="8"/>
  <c r="J17584" i="8"/>
  <c r="J17585" i="8"/>
  <c r="J17586" i="8"/>
  <c r="J17587" i="8"/>
  <c r="J17588" i="8"/>
  <c r="J17589" i="8"/>
  <c r="J17590" i="8"/>
  <c r="J17591" i="8"/>
  <c r="J17592" i="8"/>
  <c r="J17593" i="8"/>
  <c r="J17594" i="8"/>
  <c r="J17595" i="8"/>
  <c r="J17597" i="8"/>
  <c r="J17598" i="8"/>
  <c r="J17599" i="8"/>
  <c r="J17600" i="8"/>
  <c r="J17601" i="8"/>
  <c r="J17602" i="8"/>
  <c r="J17603" i="8"/>
  <c r="J17604" i="8"/>
  <c r="J17605" i="8"/>
  <c r="J17606" i="8"/>
  <c r="J17607" i="8"/>
  <c r="J17608" i="8"/>
  <c r="J17609" i="8"/>
  <c r="J17610" i="8"/>
  <c r="J17611" i="8"/>
  <c r="J17613" i="8"/>
  <c r="J17615" i="8"/>
  <c r="J17616" i="8"/>
  <c r="J17617" i="8"/>
  <c r="J17618" i="8"/>
  <c r="J17619" i="8"/>
  <c r="J17620" i="8"/>
  <c r="J17621" i="8"/>
  <c r="J17622" i="8"/>
  <c r="J17623" i="8"/>
  <c r="J17624" i="8"/>
  <c r="J17625" i="8"/>
  <c r="J17626" i="8"/>
  <c r="J17627" i="8"/>
  <c r="J17628" i="8"/>
  <c r="J17629" i="8"/>
  <c r="J17631" i="8"/>
  <c r="J17632" i="8"/>
  <c r="J17633" i="8"/>
  <c r="J17634" i="8"/>
  <c r="J17635" i="8"/>
  <c r="J17636" i="8"/>
  <c r="J17637" i="8"/>
  <c r="J17638" i="8"/>
  <c r="J17639" i="8"/>
  <c r="J17640" i="8"/>
  <c r="J17641" i="8"/>
  <c r="J17642" i="8"/>
  <c r="J17643" i="8"/>
  <c r="J17644" i="8"/>
  <c r="J17645" i="8"/>
  <c r="J17646" i="8"/>
  <c r="J17647" i="8"/>
  <c r="J17648" i="8"/>
  <c r="J17649" i="8"/>
  <c r="J17650" i="8"/>
  <c r="J17651" i="8"/>
  <c r="J17652" i="8"/>
  <c r="J17653" i="8"/>
  <c r="J17654" i="8"/>
  <c r="J17655" i="8"/>
  <c r="J17656" i="8"/>
  <c r="J17657" i="8"/>
  <c r="J17658" i="8"/>
  <c r="J17659" i="8"/>
  <c r="J17660" i="8"/>
  <c r="J17661" i="8"/>
  <c r="J17662" i="8"/>
  <c r="J17663" i="8"/>
  <c r="J17664" i="8"/>
  <c r="J17665" i="8"/>
  <c r="J17666" i="8"/>
  <c r="J17667" i="8"/>
  <c r="J17668" i="8"/>
  <c r="J17669" i="8"/>
  <c r="J17670" i="8"/>
  <c r="J17671" i="8"/>
  <c r="J17672" i="8"/>
  <c r="J17673" i="8"/>
  <c r="J17674" i="8"/>
  <c r="J17675" i="8"/>
  <c r="J17676" i="8"/>
  <c r="J17677" i="8"/>
  <c r="J17678" i="8"/>
  <c r="J17679" i="8"/>
  <c r="J17680" i="8"/>
  <c r="J17681" i="8"/>
  <c r="J17682" i="8"/>
  <c r="J17683" i="8"/>
  <c r="J17684" i="8"/>
  <c r="J17685" i="8"/>
  <c r="J17686" i="8"/>
  <c r="J17687" i="8"/>
  <c r="J17688" i="8"/>
  <c r="J17689" i="8"/>
  <c r="J17690" i="8"/>
  <c r="J17691" i="8"/>
  <c r="J17692" i="8"/>
  <c r="J17693" i="8"/>
  <c r="J17694" i="8"/>
  <c r="J17696" i="8"/>
  <c r="J17697" i="8"/>
  <c r="J17698" i="8"/>
  <c r="J17699" i="8"/>
  <c r="J17700" i="8"/>
  <c r="J17701" i="8"/>
  <c r="J17702" i="8"/>
  <c r="J17703" i="8"/>
  <c r="J17704" i="8"/>
  <c r="J17705" i="8"/>
  <c r="J17706" i="8"/>
  <c r="J17707" i="8"/>
  <c r="J17708" i="8"/>
  <c r="J17709" i="8"/>
  <c r="J17710" i="8"/>
  <c r="J17712" i="8"/>
  <c r="J17714" i="8"/>
  <c r="J17715" i="8"/>
  <c r="J17716" i="8"/>
  <c r="J17717" i="8"/>
  <c r="J17718" i="8"/>
  <c r="J17719" i="8"/>
  <c r="J17720" i="8"/>
  <c r="J17721" i="8"/>
  <c r="J17722" i="8"/>
  <c r="J17723" i="8"/>
  <c r="J17724" i="8"/>
  <c r="J17725" i="8"/>
  <c r="J17726" i="8"/>
  <c r="J17727" i="8"/>
  <c r="J17728" i="8"/>
  <c r="J17730" i="8"/>
  <c r="J17731" i="8"/>
  <c r="J17733" i="8"/>
  <c r="J17734" i="8"/>
  <c r="J17735" i="8"/>
  <c r="J17736" i="8"/>
  <c r="J17737" i="8"/>
  <c r="J17738" i="8"/>
  <c r="J17739" i="8"/>
  <c r="J17740" i="8"/>
  <c r="J17741" i="8"/>
  <c r="J17742" i="8"/>
  <c r="J17743" i="8"/>
  <c r="J17744" i="8"/>
  <c r="J17745" i="8"/>
  <c r="J17746" i="8"/>
  <c r="J17747" i="8"/>
  <c r="J17749" i="8"/>
  <c r="J17750" i="8"/>
  <c r="J17752" i="8"/>
  <c r="J17753" i="8"/>
  <c r="J17754" i="8"/>
  <c r="J17755" i="8"/>
  <c r="J17756" i="8"/>
  <c r="J17757" i="8"/>
  <c r="J17758" i="8"/>
  <c r="J17759" i="8"/>
  <c r="J17760" i="8"/>
  <c r="J17761" i="8"/>
  <c r="J17762" i="8"/>
  <c r="J17763" i="8"/>
  <c r="J17764" i="8"/>
  <c r="J17765" i="8"/>
  <c r="J17766" i="8"/>
  <c r="J17768" i="8"/>
  <c r="J17769" i="8"/>
  <c r="J17770" i="8"/>
  <c r="J17771" i="8"/>
  <c r="J17772" i="8"/>
  <c r="J17773" i="8"/>
  <c r="J17774" i="8"/>
  <c r="J17775" i="8"/>
  <c r="J17776" i="8"/>
  <c r="J17777" i="8"/>
  <c r="J17778" i="8"/>
  <c r="J17779" i="8"/>
  <c r="J17780" i="8"/>
  <c r="J17781" i="8"/>
  <c r="J17782" i="8"/>
  <c r="J17783" i="8"/>
  <c r="J17784" i="8"/>
  <c r="J17785" i="8"/>
  <c r="J17786" i="8"/>
  <c r="J17787" i="8"/>
  <c r="J17788" i="8"/>
  <c r="J17789" i="8"/>
  <c r="J17790" i="8"/>
  <c r="J17791" i="8"/>
  <c r="J17792" i="8"/>
  <c r="J17793" i="8"/>
  <c r="J17794" i="8"/>
  <c r="J17795" i="8"/>
  <c r="J17796" i="8"/>
  <c r="J17797" i="8"/>
  <c r="J17798" i="8"/>
  <c r="J17799" i="8"/>
  <c r="J17800" i="8"/>
  <c r="J17801" i="8"/>
  <c r="J17802" i="8"/>
  <c r="J17803" i="8"/>
  <c r="J17804" i="8"/>
  <c r="J17805" i="8"/>
  <c r="J17806" i="8"/>
  <c r="J17807" i="8"/>
  <c r="J17808" i="8"/>
  <c r="J17809" i="8"/>
  <c r="J17810" i="8"/>
  <c r="J17811" i="8"/>
  <c r="J17812" i="8"/>
  <c r="J17813" i="8"/>
  <c r="J17814" i="8"/>
  <c r="J17815" i="8"/>
  <c r="J17816" i="8"/>
  <c r="J17817" i="8"/>
  <c r="J17818" i="8"/>
  <c r="J17819" i="8"/>
  <c r="J17820" i="8"/>
  <c r="J17821" i="8"/>
  <c r="J17822" i="8"/>
  <c r="J17823" i="8"/>
  <c r="J17824" i="8"/>
  <c r="J17825" i="8"/>
  <c r="J17826" i="8"/>
  <c r="J17827" i="8"/>
  <c r="J17828" i="8"/>
  <c r="J17829" i="8"/>
  <c r="J17830" i="8"/>
  <c r="J17831" i="8"/>
  <c r="J17832" i="8"/>
  <c r="J17833" i="8"/>
  <c r="J17835" i="8"/>
  <c r="J17836" i="8"/>
  <c r="J17837" i="8"/>
  <c r="J17838" i="8"/>
  <c r="J17839" i="8"/>
  <c r="J17840" i="8"/>
  <c r="J17841" i="8"/>
  <c r="J17842" i="8"/>
  <c r="J17843" i="8"/>
  <c r="J17844" i="8"/>
  <c r="J17845" i="8"/>
  <c r="J17846" i="8"/>
  <c r="J17847" i="8"/>
  <c r="J17848" i="8"/>
  <c r="J17849" i="8"/>
  <c r="J17851" i="8"/>
  <c r="J17853" i="8"/>
  <c r="J17854" i="8"/>
  <c r="J17855" i="8"/>
  <c r="J17856" i="8"/>
  <c r="J17857" i="8"/>
  <c r="J17858" i="8"/>
  <c r="J17859" i="8"/>
  <c r="J17860" i="8"/>
  <c r="J17861" i="8"/>
  <c r="J17862" i="8"/>
  <c r="J17863" i="8"/>
  <c r="J17864" i="8"/>
  <c r="J17865" i="8"/>
  <c r="J17866" i="8"/>
  <c r="J17867" i="8"/>
  <c r="J17869" i="8"/>
  <c r="J17870" i="8"/>
  <c r="J17871" i="8"/>
  <c r="J17872" i="8"/>
  <c r="J17873" i="8"/>
  <c r="J17874" i="8"/>
  <c r="J17875" i="8"/>
  <c r="J17876" i="8"/>
  <c r="J17877" i="8"/>
  <c r="J17878" i="8"/>
  <c r="J17879" i="8"/>
  <c r="J17880" i="8"/>
  <c r="J17881" i="8"/>
  <c r="J17882" i="8"/>
  <c r="J17883" i="8"/>
  <c r="J17884" i="8"/>
  <c r="J17885" i="8"/>
  <c r="J17886" i="8"/>
  <c r="J17887" i="8"/>
  <c r="J17888" i="8"/>
  <c r="J17889" i="8"/>
  <c r="J17890" i="8"/>
  <c r="J17891" i="8"/>
  <c r="J17892" i="8"/>
  <c r="J17893" i="8"/>
  <c r="J17894" i="8"/>
  <c r="J17895" i="8"/>
  <c r="J17896" i="8"/>
  <c r="J17897" i="8"/>
  <c r="J17898" i="8"/>
  <c r="J17899" i="8"/>
  <c r="J17900" i="8"/>
  <c r="J17901" i="8"/>
  <c r="J17902" i="8"/>
  <c r="J17903" i="8"/>
  <c r="J17904" i="8"/>
  <c r="J17905" i="8"/>
  <c r="J17906" i="8"/>
  <c r="J17907" i="8"/>
  <c r="J17908" i="8"/>
  <c r="J17909" i="8"/>
  <c r="J17910" i="8"/>
  <c r="J17911" i="8"/>
  <c r="J17912" i="8"/>
  <c r="J17913" i="8"/>
  <c r="J17914" i="8"/>
  <c r="J17915" i="8"/>
  <c r="J17916" i="8"/>
  <c r="J17917" i="8"/>
  <c r="J17918" i="8"/>
  <c r="J17919" i="8"/>
  <c r="J17920" i="8"/>
  <c r="J17921" i="8"/>
  <c r="J17922" i="8"/>
  <c r="J17923" i="8"/>
  <c r="J17924" i="8"/>
  <c r="J17925" i="8"/>
  <c r="J17926" i="8"/>
  <c r="J17927" i="8"/>
  <c r="J17928" i="8"/>
  <c r="J17929" i="8"/>
  <c r="J17930" i="8"/>
  <c r="J17931" i="8"/>
  <c r="J17932" i="8"/>
  <c r="J17934" i="8"/>
  <c r="J17935" i="8"/>
  <c r="J17936" i="8"/>
  <c r="J17937" i="8"/>
  <c r="J17938" i="8"/>
  <c r="J17939" i="8"/>
  <c r="J17940" i="8"/>
  <c r="J17941" i="8"/>
  <c r="J17942" i="8"/>
  <c r="J17943" i="8"/>
  <c r="J17944" i="8"/>
  <c r="J17945" i="8"/>
  <c r="J17946" i="8"/>
  <c r="J17947" i="8"/>
  <c r="J17948" i="8"/>
  <c r="J17950" i="8"/>
  <c r="J17952" i="8"/>
  <c r="J17953" i="8"/>
  <c r="J17954" i="8"/>
  <c r="J17955" i="8"/>
  <c r="J17956" i="8"/>
  <c r="J17957" i="8"/>
  <c r="J17958" i="8"/>
  <c r="J17959" i="8"/>
  <c r="J17960" i="8"/>
  <c r="J17961" i="8"/>
  <c r="J17962" i="8"/>
  <c r="J17963" i="8"/>
  <c r="J17964" i="8"/>
  <c r="J17965" i="8"/>
  <c r="J17966" i="8"/>
  <c r="J17968" i="8"/>
  <c r="J17969" i="8"/>
  <c r="J17971" i="8"/>
  <c r="J17972" i="8"/>
  <c r="J17973" i="8"/>
  <c r="J17974" i="8"/>
  <c r="J17975" i="8"/>
  <c r="J17976" i="8"/>
  <c r="J17977" i="8"/>
  <c r="J17978" i="8"/>
  <c r="J17979" i="8"/>
  <c r="J17980" i="8"/>
  <c r="J17981" i="8"/>
  <c r="J17982" i="8"/>
  <c r="J17983" i="8"/>
  <c r="J17984" i="8"/>
  <c r="J17985" i="8"/>
  <c r="J17987" i="8"/>
  <c r="J17988" i="8"/>
  <c r="J17990" i="8"/>
  <c r="J17991" i="8"/>
  <c r="J17992" i="8"/>
  <c r="J17993" i="8"/>
  <c r="J17994" i="8"/>
  <c r="J17995" i="8"/>
  <c r="J17996" i="8"/>
  <c r="J17997" i="8"/>
  <c r="J17998" i="8"/>
  <c r="J17999" i="8"/>
  <c r="J18000" i="8"/>
  <c r="J18001" i="8"/>
  <c r="J18002" i="8"/>
  <c r="J18003" i="8"/>
  <c r="J18004" i="8"/>
  <c r="J18006" i="8"/>
  <c r="J18007" i="8"/>
  <c r="J18010" i="8"/>
  <c r="J18011" i="8"/>
  <c r="J18013" i="8"/>
  <c r="J18014" i="8"/>
  <c r="J18016" i="8"/>
  <c r="J18017" i="8"/>
  <c r="J18018" i="8"/>
  <c r="J18019" i="8"/>
  <c r="J18020" i="8"/>
  <c r="J18022" i="8"/>
  <c r="J18023" i="8"/>
  <c r="J18024" i="8"/>
  <c r="J18026" i="8"/>
  <c r="J18031" i="8"/>
  <c r="J18032" i="8"/>
  <c r="J18033" i="8"/>
  <c r="J18034" i="8"/>
  <c r="J18035" i="8"/>
  <c r="J18036" i="8"/>
  <c r="J18037" i="8"/>
  <c r="J18038" i="8"/>
  <c r="J18039" i="8"/>
  <c r="J18040" i="8"/>
  <c r="J18041" i="8"/>
  <c r="J18042" i="8"/>
  <c r="J18043" i="8"/>
  <c r="J18044" i="8"/>
  <c r="J18045" i="8"/>
  <c r="J18046" i="8"/>
  <c r="J18047" i="8"/>
  <c r="J18048" i="8"/>
  <c r="J18049" i="8"/>
  <c r="J18050" i="8"/>
  <c r="J18051" i="8"/>
  <c r="J18052" i="8"/>
  <c r="J18053" i="8"/>
  <c r="J18054" i="8"/>
  <c r="J18055" i="8"/>
  <c r="J18056" i="8"/>
  <c r="J18057" i="8"/>
  <c r="J18058" i="8"/>
  <c r="J18059" i="8"/>
  <c r="J18060" i="8"/>
  <c r="J18061" i="8"/>
  <c r="J18062" i="8"/>
  <c r="J18063" i="8"/>
  <c r="J18064" i="8"/>
  <c r="J18065" i="8"/>
  <c r="J18066" i="8"/>
  <c r="J18067" i="8"/>
  <c r="J18068" i="8"/>
  <c r="J18069" i="8"/>
  <c r="J18070" i="8"/>
  <c r="J18071" i="8"/>
  <c r="J18072" i="8"/>
  <c r="J18073" i="8"/>
  <c r="J18074" i="8"/>
  <c r="J18075" i="8"/>
  <c r="J18076" i="8"/>
  <c r="J18077" i="8"/>
  <c r="J18078" i="8"/>
  <c r="J18079" i="8"/>
  <c r="J18080" i="8"/>
  <c r="J18081" i="8"/>
  <c r="J18082" i="8"/>
  <c r="J18083" i="8"/>
  <c r="J18084" i="8"/>
  <c r="J18085" i="8"/>
  <c r="J18086" i="8"/>
  <c r="J18087" i="8"/>
  <c r="J18088" i="8"/>
  <c r="J18089" i="8"/>
  <c r="J18090" i="8"/>
  <c r="J18093" i="8"/>
  <c r="J18094" i="8"/>
  <c r="J18095" i="8"/>
  <c r="J18096" i="8"/>
  <c r="J18097" i="8"/>
  <c r="J18098" i="8"/>
  <c r="J18099" i="8"/>
  <c r="J18100" i="8"/>
  <c r="J18101" i="8"/>
  <c r="J18102" i="8"/>
  <c r="J18103" i="8"/>
  <c r="J18104" i="8"/>
  <c r="J18105" i="8"/>
  <c r="J18106" i="8"/>
  <c r="J18107" i="8"/>
  <c r="J18111" i="8"/>
  <c r="J18112" i="8"/>
  <c r="J18113" i="8"/>
  <c r="J18114" i="8"/>
  <c r="J18115" i="8"/>
  <c r="J18116" i="8"/>
  <c r="J18117" i="8"/>
  <c r="J18118" i="8"/>
  <c r="J18119" i="8"/>
  <c r="J18120" i="8"/>
  <c r="J18121" i="8"/>
  <c r="J18122" i="8"/>
  <c r="J18123" i="8"/>
  <c r="J18124" i="8"/>
  <c r="J18125" i="8"/>
  <c r="J18127" i="8"/>
  <c r="J18130" i="8"/>
  <c r="J18131" i="8"/>
  <c r="J18132" i="8"/>
  <c r="J18133" i="8"/>
  <c r="J18134" i="8"/>
  <c r="J18135" i="8"/>
  <c r="J18136" i="8"/>
  <c r="J18137" i="8"/>
  <c r="J18138" i="8"/>
  <c r="J18139" i="8"/>
  <c r="J18140" i="8"/>
  <c r="J18141" i="8"/>
  <c r="J18142" i="8"/>
  <c r="J18143" i="8"/>
  <c r="J18144" i="8"/>
  <c r="J18150" i="8"/>
  <c r="J18151" i="8"/>
  <c r="J18152" i="8"/>
  <c r="J18153" i="8"/>
  <c r="J18154" i="8"/>
  <c r="J18155" i="8"/>
  <c r="J18156" i="8"/>
  <c r="J18157" i="8"/>
  <c r="J18158" i="8"/>
  <c r="J18159" i="8"/>
  <c r="J18160" i="8"/>
  <c r="J18161" i="8"/>
  <c r="J18162" i="8"/>
  <c r="J18163" i="8"/>
  <c r="J18165" i="8"/>
  <c r="J18168" i="8"/>
  <c r="J18169" i="8"/>
  <c r="J18170" i="8"/>
  <c r="J18171" i="8"/>
  <c r="J18172" i="8"/>
  <c r="J18173" i="8"/>
  <c r="J18174" i="8"/>
  <c r="J18175" i="8"/>
  <c r="J18176" i="8"/>
  <c r="J18177" i="8"/>
  <c r="J18178" i="8"/>
  <c r="J18179" i="8"/>
  <c r="J18180" i="8"/>
  <c r="J18181" i="8"/>
  <c r="J18182" i="8"/>
  <c r="J18184" i="8"/>
  <c r="J18188" i="8"/>
  <c r="J18189" i="8"/>
  <c r="J18191" i="8"/>
  <c r="J18192" i="8"/>
  <c r="J18194" i="8"/>
  <c r="J18195" i="8"/>
  <c r="J18196" i="8"/>
  <c r="J18197" i="8"/>
  <c r="J18198" i="8"/>
  <c r="J18202"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6" i="8"/>
  <c r="J47" i="8"/>
  <c r="J48" i="8"/>
  <c r="J49" i="8"/>
  <c r="J50" i="8"/>
  <c r="J51" i="8"/>
  <c r="J52" i="8"/>
  <c r="J53" i="8"/>
  <c r="J54" i="8"/>
  <c r="J55" i="8"/>
  <c r="J56" i="8"/>
  <c r="J57" i="8"/>
  <c r="J58" i="8"/>
  <c r="J59" i="8"/>
  <c r="J60" i="8"/>
  <c r="J61" i="8"/>
  <c r="J62" i="8"/>
  <c r="J63" i="8"/>
  <c r="J64" i="8"/>
  <c r="J65" i="8"/>
  <c r="J66" i="8"/>
  <c r="J67" i="8"/>
  <c r="J68" i="8"/>
  <c r="J69" i="8"/>
  <c r="J70" i="8"/>
  <c r="J71" i="8"/>
  <c r="J74" i="8"/>
  <c r="J75" i="8"/>
  <c r="J76" i="8"/>
  <c r="J77" i="8"/>
  <c r="J78" i="8"/>
  <c r="J79" i="8"/>
  <c r="J80" i="8"/>
  <c r="J81" i="8"/>
  <c r="J82" i="8"/>
  <c r="J83" i="8"/>
  <c r="J84" i="8"/>
  <c r="J85" i="8"/>
  <c r="J86" i="8"/>
  <c r="J87" i="8"/>
  <c r="J88" i="8"/>
  <c r="J92" i="8"/>
  <c r="J93" i="8"/>
  <c r="J94" i="8"/>
  <c r="J95" i="8"/>
  <c r="J96" i="8"/>
  <c r="J97" i="8"/>
  <c r="J98" i="8"/>
  <c r="J99" i="8"/>
  <c r="J100" i="8"/>
  <c r="J101" i="8"/>
  <c r="J102" i="8"/>
  <c r="J103" i="8"/>
  <c r="J104" i="8"/>
  <c r="J105" i="8"/>
  <c r="J106" i="8"/>
  <c r="G11" i="3"/>
  <c r="G13" i="3"/>
  <c r="G14" i="3"/>
  <c r="G15" i="3"/>
  <c r="G16" i="3"/>
  <c r="G17" i="3"/>
  <c r="G18" i="3"/>
  <c r="G19" i="3"/>
  <c r="G20" i="3"/>
  <c r="G21" i="3"/>
  <c r="G22" i="3"/>
  <c r="G24" i="3"/>
  <c r="G25" i="3"/>
  <c r="G26" i="3"/>
  <c r="G27" i="3"/>
  <c r="G28" i="3"/>
  <c r="G29" i="3"/>
  <c r="G30" i="3"/>
  <c r="G31" i="3"/>
  <c r="G32" i="3"/>
  <c r="G34" i="3"/>
  <c r="G36" i="3"/>
  <c r="G37" i="3"/>
  <c r="G38" i="3"/>
  <c r="G39" i="3"/>
  <c r="G40" i="3"/>
  <c r="G41" i="3"/>
  <c r="G43" i="3"/>
  <c r="G48" i="3"/>
  <c r="G53" i="3"/>
  <c r="G54" i="3"/>
  <c r="G55" i="3"/>
  <c r="G56" i="3"/>
  <c r="G57" i="3"/>
  <c r="G58" i="3"/>
  <c r="G59" i="3"/>
  <c r="G60" i="3"/>
  <c r="G61" i="3"/>
  <c r="G62" i="3"/>
  <c r="G63" i="3"/>
  <c r="G67" i="3"/>
  <c r="G69" i="3"/>
  <c r="G71" i="3"/>
  <c r="G74" i="3"/>
  <c r="G82" i="3"/>
  <c r="G85" i="3"/>
  <c r="H549" i="8"/>
  <c r="F8" i="3" l="1"/>
  <c r="F102" i="3" s="1"/>
  <c r="F103" i="3" s="1"/>
  <c r="D19" i="6"/>
  <c r="I465" i="8"/>
  <c r="I2444" i="8"/>
  <c r="I3475" i="8"/>
  <c r="I4771" i="8"/>
  <c r="I4755" i="8"/>
  <c r="I5618" i="8"/>
  <c r="D128" i="6"/>
  <c r="I6018" i="8"/>
  <c r="I6021" i="8" s="1"/>
  <c r="I7911" i="8"/>
  <c r="E132" i="7"/>
  <c r="I8960" i="8"/>
  <c r="I9142" i="8"/>
  <c r="I9158" i="8"/>
  <c r="I3115" i="8"/>
  <c r="I3378" i="8"/>
  <c r="I3971" i="8"/>
  <c r="E347" i="7"/>
  <c r="I4331" i="8"/>
  <c r="I4870" i="8"/>
  <c r="I4854" i="8"/>
  <c r="I6161" i="8"/>
  <c r="I6362" i="8"/>
  <c r="E179" i="7"/>
  <c r="E177" i="7" s="1"/>
  <c r="I8622" i="8"/>
  <c r="E133" i="7"/>
  <c r="I9043" i="8"/>
  <c r="I89" i="8"/>
  <c r="I547" i="8"/>
  <c r="I3013" i="8"/>
  <c r="I3788" i="8"/>
  <c r="I4431" i="8"/>
  <c r="D16" i="6"/>
  <c r="D7" i="6" s="1"/>
  <c r="H354" i="7"/>
  <c r="G51" i="5"/>
  <c r="G50" i="5" s="1"/>
  <c r="G7" i="5" s="1"/>
  <c r="G88" i="5" s="1"/>
  <c r="G16" i="6"/>
  <c r="G7" i="6" s="1"/>
  <c r="I5082" i="8"/>
  <c r="I6960" i="8"/>
  <c r="I8942" i="8"/>
  <c r="L14770" i="8"/>
  <c r="G91" i="6"/>
  <c r="L12105" i="8"/>
  <c r="G114" i="6"/>
  <c r="G113" i="6" s="1"/>
  <c r="L16294" i="8"/>
  <c r="H133" i="7"/>
  <c r="E46" i="7"/>
  <c r="I10746" i="8"/>
  <c r="I10948" i="8" s="1"/>
  <c r="L1955" i="8"/>
  <c r="I1955" i="8"/>
  <c r="L2434" i="8"/>
  <c r="H348" i="7"/>
  <c r="H346" i="7" s="1"/>
  <c r="L4442" i="8"/>
  <c r="I4951" i="8"/>
  <c r="L4969" i="8"/>
  <c r="E38" i="7"/>
  <c r="I14869" i="8"/>
  <c r="I14853" i="8"/>
  <c r="L9573" i="8"/>
  <c r="H131" i="7"/>
  <c r="E44" i="7"/>
  <c r="I14653" i="8"/>
  <c r="D122" i="6"/>
  <c r="I1874" i="8"/>
  <c r="I5317" i="8"/>
  <c r="E468" i="7" s="1"/>
  <c r="E467" i="7" s="1"/>
  <c r="L3129" i="8"/>
  <c r="H199" i="7" s="1"/>
  <c r="H197" i="7" s="1"/>
  <c r="I3131" i="8"/>
  <c r="I7532" i="8"/>
  <c r="I7548" i="8"/>
  <c r="I7551" i="8" s="1"/>
  <c r="I7567" i="8" s="1"/>
  <c r="I7570" i="8" s="1"/>
  <c r="D31" i="6" s="1"/>
  <c r="I4173" i="8"/>
  <c r="I3590" i="8"/>
  <c r="H14754" i="8"/>
  <c r="J14754" i="8" s="1"/>
  <c r="H4188" i="8"/>
  <c r="J4188" i="8" s="1"/>
  <c r="H4070" i="8"/>
  <c r="J4070" i="8" s="1"/>
  <c r="H3971" i="8"/>
  <c r="H1873" i="8"/>
  <c r="J1873" i="8" s="1"/>
  <c r="C18" i="5"/>
  <c r="E18" i="5" s="1"/>
  <c r="C20" i="5"/>
  <c r="E20" i="5" s="1"/>
  <c r="C21" i="5"/>
  <c r="E21" i="5" s="1"/>
  <c r="K4941" i="8"/>
  <c r="K4439" i="8"/>
  <c r="K4442" i="8" s="1"/>
  <c r="K4437" i="8"/>
  <c r="K3129" i="8"/>
  <c r="K4187" i="8" s="1"/>
  <c r="K3111" i="8"/>
  <c r="K3131" i="8" s="1"/>
  <c r="K1854" i="8"/>
  <c r="H449" i="8"/>
  <c r="D227" i="4"/>
  <c r="K16393" i="8"/>
  <c r="H16377" i="8"/>
  <c r="K16375" i="8"/>
  <c r="H16359" i="8"/>
  <c r="K16294" i="8"/>
  <c r="H16278" i="8"/>
  <c r="K16276" i="8"/>
  <c r="H16260" i="8"/>
  <c r="H3115" i="8"/>
  <c r="J3115" i="8" s="1"/>
  <c r="D37" i="4"/>
  <c r="K1973" i="8"/>
  <c r="K1954" i="8"/>
  <c r="H11966" i="8"/>
  <c r="J11966" i="8" s="1"/>
  <c r="H1858" i="8"/>
  <c r="J1858" i="8" s="1"/>
  <c r="D218" i="4"/>
  <c r="D73" i="4"/>
  <c r="H2422" i="8"/>
  <c r="H18201" i="8"/>
  <c r="J18201" i="8" s="1"/>
  <c r="H4068" i="8"/>
  <c r="J4068" i="8" s="1"/>
  <c r="H4442" i="8"/>
  <c r="J4442" i="8" s="1"/>
  <c r="H4439" i="8"/>
  <c r="J4439" i="8" s="1"/>
  <c r="E36" i="7" l="1"/>
  <c r="H16276" i="8"/>
  <c r="J16276" i="8" s="1"/>
  <c r="J16260" i="8"/>
  <c r="H2440" i="8"/>
  <c r="J2422" i="8"/>
  <c r="E202" i="7"/>
  <c r="I10964" i="8"/>
  <c r="I16435" i="8"/>
  <c r="L4987" i="8"/>
  <c r="H532" i="7"/>
  <c r="L2444" i="8"/>
  <c r="I1957" i="8"/>
  <c r="E383" i="7"/>
  <c r="E382" i="7" s="1"/>
  <c r="D110" i="6"/>
  <c r="D95" i="6" s="1"/>
  <c r="I5098" i="8"/>
  <c r="L6395" i="8"/>
  <c r="L6397" i="8" s="1"/>
  <c r="I91" i="8"/>
  <c r="E353" i="7"/>
  <c r="E315" i="7"/>
  <c r="E314" i="7" s="1"/>
  <c r="I6037" i="8"/>
  <c r="H16294" i="8"/>
  <c r="J16294" i="8" s="1"/>
  <c r="J16278" i="8"/>
  <c r="I4953" i="8"/>
  <c r="L1972" i="8"/>
  <c r="L16441" i="8"/>
  <c r="L12118" i="8"/>
  <c r="I6976" i="8"/>
  <c r="I6979" i="8" s="1"/>
  <c r="J6960" i="8"/>
  <c r="E204" i="7"/>
  <c r="I6396" i="8"/>
  <c r="I549" i="8"/>
  <c r="J549" i="8" s="1"/>
  <c r="I565" i="8"/>
  <c r="I9059" i="8"/>
  <c r="I8823" i="8"/>
  <c r="E283" i="7"/>
  <c r="E282" i="7" s="1"/>
  <c r="D123" i="6"/>
  <c r="D120" i="6" s="1"/>
  <c r="I6378" i="8"/>
  <c r="J3971" i="8"/>
  <c r="I3987" i="8"/>
  <c r="E200" i="7"/>
  <c r="E134" i="7"/>
  <c r="E131" i="7" s="1"/>
  <c r="I9557" i="8"/>
  <c r="I7927" i="8"/>
  <c r="E416" i="7"/>
  <c r="E414" i="7" s="1"/>
  <c r="I5634" i="8"/>
  <c r="I3491" i="8"/>
  <c r="E532" i="7"/>
  <c r="D25" i="6"/>
  <c r="D17" i="6" s="1"/>
  <c r="I5534" i="8"/>
  <c r="I5518" i="8"/>
  <c r="L3131" i="8"/>
  <c r="L4187" i="8"/>
  <c r="G90" i="6" s="1"/>
  <c r="G88" i="6" s="1"/>
  <c r="K1872" i="8"/>
  <c r="I7586" i="8"/>
  <c r="E523" i="7" s="1"/>
  <c r="H16375" i="8"/>
  <c r="J16375" i="8" s="1"/>
  <c r="J16359" i="8"/>
  <c r="H16393" i="8"/>
  <c r="J16393" i="8" s="1"/>
  <c r="J16377" i="8"/>
  <c r="I4189" i="8"/>
  <c r="H682" i="8"/>
  <c r="J449" i="8"/>
  <c r="H8604" i="8"/>
  <c r="J8604" i="8" s="1"/>
  <c r="K736" i="8"/>
  <c r="K717" i="8"/>
  <c r="K547" i="8"/>
  <c r="K565" i="8" s="1"/>
  <c r="F209" i="4"/>
  <c r="E209" i="4"/>
  <c r="D209" i="4"/>
  <c r="D239" i="4"/>
  <c r="E239" i="4"/>
  <c r="F239" i="4"/>
  <c r="E200" i="4"/>
  <c r="F200" i="4" s="1"/>
  <c r="D200" i="4"/>
  <c r="F275" i="4"/>
  <c r="E275" i="4"/>
  <c r="D275" i="4"/>
  <c r="F266" i="4"/>
  <c r="E266" i="4"/>
  <c r="D266" i="4"/>
  <c r="F257" i="4"/>
  <c r="E257" i="4"/>
  <c r="D257" i="4"/>
  <c r="F248" i="4"/>
  <c r="E248" i="4"/>
  <c r="D248" i="4"/>
  <c r="E201" i="7" l="1"/>
  <c r="I5835" i="8"/>
  <c r="I682" i="8"/>
  <c r="I698" i="8" s="1"/>
  <c r="I701" i="8" s="1"/>
  <c r="I717" i="8" s="1"/>
  <c r="I720" i="8" s="1"/>
  <c r="I736" i="8" s="1"/>
  <c r="I6995" i="8"/>
  <c r="I6998" i="8" s="1"/>
  <c r="L12124" i="8"/>
  <c r="I107" i="8"/>
  <c r="I5200" i="8"/>
  <c r="E528" i="7"/>
  <c r="I1973" i="8"/>
  <c r="I2998" i="8"/>
  <c r="I3014" i="8" s="1"/>
  <c r="G25" i="6"/>
  <c r="I16451" i="8"/>
  <c r="I16460" i="8"/>
  <c r="I16476" i="8" s="1"/>
  <c r="J682" i="8"/>
  <c r="D90" i="6"/>
  <c r="D88" i="6" s="1"/>
  <c r="I8128" i="8"/>
  <c r="I9573" i="8"/>
  <c r="I9576" i="8" s="1"/>
  <c r="E206" i="7"/>
  <c r="I8842" i="8"/>
  <c r="I8839" i="8"/>
  <c r="I18021" i="8"/>
  <c r="L16451" i="8"/>
  <c r="L16466" i="8"/>
  <c r="G30" i="6"/>
  <c r="L1973" i="8"/>
  <c r="E354" i="7"/>
  <c r="E346" i="7" s="1"/>
  <c r="I4969" i="8"/>
  <c r="I4981" i="8"/>
  <c r="L4997" i="8"/>
  <c r="I11483" i="8"/>
  <c r="H3013" i="8"/>
  <c r="J2440" i="8"/>
  <c r="I6381" i="8"/>
  <c r="L4189" i="8"/>
  <c r="K1874" i="8"/>
  <c r="E191" i="4"/>
  <c r="D191" i="4"/>
  <c r="E182" i="4"/>
  <c r="D182" i="4"/>
  <c r="E173" i="4"/>
  <c r="D173" i="4"/>
  <c r="E164" i="4"/>
  <c r="D164" i="4"/>
  <c r="E155" i="4"/>
  <c r="D155" i="4"/>
  <c r="E146" i="4"/>
  <c r="D146" i="4"/>
  <c r="H93" i="3"/>
  <c r="H95" i="3"/>
  <c r="H98" i="3"/>
  <c r="H99" i="3"/>
  <c r="H101" i="3"/>
  <c r="H80" i="3"/>
  <c r="H81" i="3"/>
  <c r="H75" i="3"/>
  <c r="H61" i="3"/>
  <c r="I61" i="3" s="1"/>
  <c r="H62" i="3"/>
  <c r="I62" i="3" s="1"/>
  <c r="H63" i="3"/>
  <c r="I63" i="3" s="1"/>
  <c r="H35" i="3"/>
  <c r="H34" i="3"/>
  <c r="H31" i="3"/>
  <c r="H32" i="3"/>
  <c r="H12" i="3"/>
  <c r="I4997" i="8" l="1"/>
  <c r="H528" i="7"/>
  <c r="H521" i="7" s="1"/>
  <c r="D87" i="6"/>
  <c r="D81" i="6" s="1"/>
  <c r="I8858" i="8"/>
  <c r="I8144" i="8"/>
  <c r="G17" i="6"/>
  <c r="G142" i="6" s="1"/>
  <c r="H6396" i="8"/>
  <c r="J3013" i="8"/>
  <c r="I11499" i="8"/>
  <c r="L16476" i="8"/>
  <c r="I18199" i="8"/>
  <c r="D70" i="6"/>
  <c r="I9592" i="8"/>
  <c r="L3004" i="8"/>
  <c r="L3014" i="8" s="1"/>
  <c r="I5216" i="8"/>
  <c r="I308" i="8"/>
  <c r="L12137" i="8"/>
  <c r="H415" i="7"/>
  <c r="H414" i="7" s="1"/>
  <c r="L18190" i="8"/>
  <c r="L18012" i="8"/>
  <c r="D40" i="6"/>
  <c r="D34" i="6" s="1"/>
  <c r="I7014" i="8"/>
  <c r="E199" i="7" s="1"/>
  <c r="E197" i="7" s="1"/>
  <c r="I5851" i="8"/>
  <c r="H79" i="3"/>
  <c r="I6397" i="8"/>
  <c r="L18015" i="8"/>
  <c r="K14621" i="8"/>
  <c r="K14361" i="8"/>
  <c r="H3344" i="8"/>
  <c r="J3344" i="8" s="1"/>
  <c r="H547" i="8"/>
  <c r="K4086" i="8"/>
  <c r="H4086" i="8"/>
  <c r="J4086" i="8" s="1"/>
  <c r="K4068" i="8"/>
  <c r="I324" i="8" l="1"/>
  <c r="D46" i="5"/>
  <c r="D41" i="5" s="1"/>
  <c r="D7" i="5" s="1"/>
  <c r="D88" i="5" s="1"/>
  <c r="H18021" i="8"/>
  <c r="J6396" i="8"/>
  <c r="H565" i="8"/>
  <c r="J547" i="8"/>
  <c r="I8147" i="8"/>
  <c r="H602" i="7"/>
  <c r="L18025" i="8"/>
  <c r="L18193" i="8"/>
  <c r="L18203" i="8" s="1"/>
  <c r="H3131" i="8"/>
  <c r="J3131" i="8" s="1"/>
  <c r="K3113" i="8"/>
  <c r="H3113" i="8"/>
  <c r="J3113" i="8" s="1"/>
  <c r="K4189" i="8"/>
  <c r="K3987" i="8"/>
  <c r="K3969" i="8"/>
  <c r="H3969" i="8"/>
  <c r="K3888" i="8"/>
  <c r="H3872" i="8"/>
  <c r="J3872" i="8" s="1"/>
  <c r="K3870" i="8"/>
  <c r="H3854" i="8"/>
  <c r="K3788" i="8"/>
  <c r="H3772" i="8"/>
  <c r="K3770" i="8"/>
  <c r="H3754" i="8"/>
  <c r="K3689" i="8"/>
  <c r="H3673" i="8"/>
  <c r="K3671" i="8"/>
  <c r="H3655" i="8"/>
  <c r="H3671" i="8" s="1"/>
  <c r="K3590" i="8"/>
  <c r="H3574" i="8"/>
  <c r="J3574" i="8" s="1"/>
  <c r="K3572" i="8"/>
  <c r="H3556" i="8"/>
  <c r="K3491" i="8"/>
  <c r="H3475" i="8"/>
  <c r="K3378" i="8"/>
  <c r="K3473" i="8"/>
  <c r="H3457" i="8"/>
  <c r="K3360" i="8"/>
  <c r="H3360" i="8"/>
  <c r="K16195" i="8"/>
  <c r="H16179" i="8"/>
  <c r="J16179" i="8" s="1"/>
  <c r="K16177" i="8"/>
  <c r="H16161" i="8"/>
  <c r="K16096" i="8"/>
  <c r="H16080" i="8"/>
  <c r="K16078" i="8"/>
  <c r="H16062" i="8"/>
  <c r="K15997" i="8"/>
  <c r="H15981" i="8"/>
  <c r="K15979" i="8"/>
  <c r="H15963" i="8"/>
  <c r="K15898" i="8"/>
  <c r="H15882" i="8"/>
  <c r="K15880" i="8"/>
  <c r="H15864" i="8"/>
  <c r="K15799" i="8"/>
  <c r="H15783" i="8"/>
  <c r="K15781" i="8"/>
  <c r="H15765" i="8"/>
  <c r="K15700" i="8"/>
  <c r="H15684" i="8"/>
  <c r="K15682" i="8"/>
  <c r="H15666" i="8"/>
  <c r="H3491" i="8" l="1"/>
  <c r="J3491" i="8" s="1"/>
  <c r="J3475" i="8"/>
  <c r="H3572" i="8"/>
  <c r="J3572" i="8" s="1"/>
  <c r="J3556" i="8"/>
  <c r="H3770" i="8"/>
  <c r="J3770" i="8" s="1"/>
  <c r="J3754" i="8"/>
  <c r="H3788" i="8"/>
  <c r="J3788" i="8" s="1"/>
  <c r="J3772" i="8"/>
  <c r="H3870" i="8"/>
  <c r="J3870" i="8" s="1"/>
  <c r="J3854" i="8"/>
  <c r="H3987" i="8"/>
  <c r="J3987" i="8" s="1"/>
  <c r="J3969" i="8"/>
  <c r="J565" i="8"/>
  <c r="H18199" i="8"/>
  <c r="J18199" i="8" s="1"/>
  <c r="J18021" i="8"/>
  <c r="I327" i="8"/>
  <c r="H15682" i="8"/>
  <c r="J15682" i="8" s="1"/>
  <c r="J15666" i="8"/>
  <c r="H15700" i="8"/>
  <c r="J15700" i="8" s="1"/>
  <c r="J15684" i="8"/>
  <c r="H15781" i="8"/>
  <c r="J15781" i="8" s="1"/>
  <c r="J15765" i="8"/>
  <c r="H15799" i="8"/>
  <c r="J15799" i="8" s="1"/>
  <c r="J15783" i="8"/>
  <c r="H15880" i="8"/>
  <c r="J15880" i="8" s="1"/>
  <c r="J15864" i="8"/>
  <c r="H15898" i="8"/>
  <c r="J15898" i="8" s="1"/>
  <c r="J15882" i="8"/>
  <c r="H15979" i="8"/>
  <c r="J15979" i="8" s="1"/>
  <c r="J15963" i="8"/>
  <c r="H15997" i="8"/>
  <c r="J15997" i="8" s="1"/>
  <c r="J15981" i="8"/>
  <c r="H16078" i="8"/>
  <c r="J16078" i="8" s="1"/>
  <c r="J16062" i="8"/>
  <c r="H16096" i="8"/>
  <c r="J16096" i="8" s="1"/>
  <c r="J16080" i="8"/>
  <c r="H16177" i="8"/>
  <c r="J16177" i="8" s="1"/>
  <c r="J16161" i="8"/>
  <c r="H3362" i="8"/>
  <c r="J3360" i="8"/>
  <c r="H3473" i="8"/>
  <c r="J3473" i="8" s="1"/>
  <c r="J3457" i="8"/>
  <c r="E160" i="7"/>
  <c r="E158" i="7" s="1"/>
  <c r="D46" i="6"/>
  <c r="D41" i="6" s="1"/>
  <c r="D142" i="6" s="1"/>
  <c r="I8163" i="8"/>
  <c r="I18009" i="8"/>
  <c r="H3888" i="8"/>
  <c r="J3888" i="8" s="1"/>
  <c r="H4173" i="8"/>
  <c r="J4173" i="8" s="1"/>
  <c r="H16195" i="8"/>
  <c r="J16195" i="8" s="1"/>
  <c r="H3689" i="8"/>
  <c r="H3590" i="8"/>
  <c r="J3590" i="8" s="1"/>
  <c r="K14615" i="8"/>
  <c r="I18025" i="8" l="1"/>
  <c r="H4189" i="8"/>
  <c r="J4189" i="8" s="1"/>
  <c r="I343" i="8"/>
  <c r="H3378" i="8"/>
  <c r="J3378" i="8" s="1"/>
  <c r="J3362" i="8"/>
  <c r="K15601" i="8"/>
  <c r="H15601" i="8"/>
  <c r="J15601" i="8" s="1"/>
  <c r="K15583" i="8"/>
  <c r="H15583" i="8"/>
  <c r="J15583" i="8" s="1"/>
  <c r="K6037" i="8"/>
  <c r="I346" i="8" l="1"/>
  <c r="I362" i="8"/>
  <c r="K14640" i="8"/>
  <c r="H14599" i="8"/>
  <c r="H14615" i="8" s="1"/>
  <c r="H14581" i="8"/>
  <c r="H14597" i="8" s="1"/>
  <c r="K2416" i="8"/>
  <c r="K2434" i="8" l="1"/>
  <c r="E522" i="7"/>
  <c r="E521" i="7" s="1"/>
  <c r="E602" i="7" s="1"/>
  <c r="I18187" i="8"/>
  <c r="I18203" i="8" s="1"/>
  <c r="K2444" i="8"/>
  <c r="K14597" i="8"/>
  <c r="K16451" i="8"/>
  <c r="K15463" i="8"/>
  <c r="H15447" i="8"/>
  <c r="J15447" i="8" s="1"/>
  <c r="K15445" i="8"/>
  <c r="H15429" i="8"/>
  <c r="K15364" i="8"/>
  <c r="H15348" i="8"/>
  <c r="K15346" i="8"/>
  <c r="H15330" i="8"/>
  <c r="K15265" i="8"/>
  <c r="H15249" i="8"/>
  <c r="H15265" i="8" s="1"/>
  <c r="K15247" i="8"/>
  <c r="H15231" i="8"/>
  <c r="H15247" i="8" s="1"/>
  <c r="K15166" i="8"/>
  <c r="H15150" i="8"/>
  <c r="H15166" i="8" s="1"/>
  <c r="K15148" i="8"/>
  <c r="H15132" i="8"/>
  <c r="H15148" i="8" s="1"/>
  <c r="K15067" i="8"/>
  <c r="H15051" i="8"/>
  <c r="K15049" i="8"/>
  <c r="H15033" i="8"/>
  <c r="K14968" i="8"/>
  <c r="H14952" i="8"/>
  <c r="J14952" i="8" s="1"/>
  <c r="K14950" i="8"/>
  <c r="H14934" i="8"/>
  <c r="K14869" i="8"/>
  <c r="H14853" i="8"/>
  <c r="K14851" i="8"/>
  <c r="H14835" i="8"/>
  <c r="K14770" i="8"/>
  <c r="K14752" i="8"/>
  <c r="H17059" i="8"/>
  <c r="J17059" i="8" s="1"/>
  <c r="K17075" i="8"/>
  <c r="K17093" i="8"/>
  <c r="K5851" i="8"/>
  <c r="K5832" i="8"/>
  <c r="H5816" i="8"/>
  <c r="K5814" i="8"/>
  <c r="H5798" i="8"/>
  <c r="K5733" i="8"/>
  <c r="H5717" i="8"/>
  <c r="K5715" i="8"/>
  <c r="H5699" i="8"/>
  <c r="K5634" i="8"/>
  <c r="H5618" i="8"/>
  <c r="K5616" i="8"/>
  <c r="H5600" i="8"/>
  <c r="H5984" i="8"/>
  <c r="H6000" i="8" s="1"/>
  <c r="J6000" i="8" s="1"/>
  <c r="K6000" i="8"/>
  <c r="H6002" i="8"/>
  <c r="K6018" i="8"/>
  <c r="H6127" i="8"/>
  <c r="J6127" i="8" s="1"/>
  <c r="K6143" i="8"/>
  <c r="H6145" i="8"/>
  <c r="J6145" i="8" s="1"/>
  <c r="K6161" i="8"/>
  <c r="H5616" i="8" l="1"/>
  <c r="J5616" i="8" s="1"/>
  <c r="J5600" i="8"/>
  <c r="H5634" i="8"/>
  <c r="J5634" i="8" s="1"/>
  <c r="J5618" i="8"/>
  <c r="H5715" i="8"/>
  <c r="J5715" i="8" s="1"/>
  <c r="J5699" i="8"/>
  <c r="H5733" i="8"/>
  <c r="J5733" i="8" s="1"/>
  <c r="J5717" i="8"/>
  <c r="H5814" i="8"/>
  <c r="J5814" i="8" s="1"/>
  <c r="J5798" i="8"/>
  <c r="H5832" i="8"/>
  <c r="J5832" i="8" s="1"/>
  <c r="J5816" i="8"/>
  <c r="H14851" i="8"/>
  <c r="J14851" i="8" s="1"/>
  <c r="J14835" i="8"/>
  <c r="H14869" i="8"/>
  <c r="J14869" i="8" s="1"/>
  <c r="J14853" i="8"/>
  <c r="H14950" i="8"/>
  <c r="J14950" i="8" s="1"/>
  <c r="J14934" i="8"/>
  <c r="H15049" i="8"/>
  <c r="J15049" i="8" s="1"/>
  <c r="J15033" i="8"/>
  <c r="H15067" i="8"/>
  <c r="J15067" i="8" s="1"/>
  <c r="J15051" i="8"/>
  <c r="H15346" i="8"/>
  <c r="J15346" i="8" s="1"/>
  <c r="J15330" i="8"/>
  <c r="H15364" i="8"/>
  <c r="J15364" i="8" s="1"/>
  <c r="J15348" i="8"/>
  <c r="H15445" i="8"/>
  <c r="J15445" i="8" s="1"/>
  <c r="J15429" i="8"/>
  <c r="K16466" i="8"/>
  <c r="K16476" i="8" s="1"/>
  <c r="K3004" i="8"/>
  <c r="H6018" i="8"/>
  <c r="J6018" i="8" s="1"/>
  <c r="J6002" i="8"/>
  <c r="K3014" i="8"/>
  <c r="H15463" i="8"/>
  <c r="J15463" i="8" s="1"/>
  <c r="H16435" i="8"/>
  <c r="J16435" i="8" s="1"/>
  <c r="H14968" i="8"/>
  <c r="J14968" i="8" s="1"/>
  <c r="K14634" i="8"/>
  <c r="K14643" i="8"/>
  <c r="H6021" i="8"/>
  <c r="J6021" i="8" s="1"/>
  <c r="H6161" i="8"/>
  <c r="J6161" i="8" s="1"/>
  <c r="H6143" i="8"/>
  <c r="J6143" i="8" s="1"/>
  <c r="H5835" i="8"/>
  <c r="J5835" i="8" s="1"/>
  <c r="K7014" i="8"/>
  <c r="K6995" i="8"/>
  <c r="K6976" i="8"/>
  <c r="H6976" i="8"/>
  <c r="J6976" i="8" s="1"/>
  <c r="K6958" i="8"/>
  <c r="H6958" i="8"/>
  <c r="J6958" i="8" s="1"/>
  <c r="K14653" i="8" l="1"/>
  <c r="H6037" i="8"/>
  <c r="J6037" i="8" s="1"/>
  <c r="H17075" i="8"/>
  <c r="J17075" i="8" s="1"/>
  <c r="H17077" i="8"/>
  <c r="J17077" i="8" s="1"/>
  <c r="H5851" i="8"/>
  <c r="J5851" i="8" s="1"/>
  <c r="H6979" i="8"/>
  <c r="J6979" i="8" s="1"/>
  <c r="H6998" i="8"/>
  <c r="J6998" i="8" s="1"/>
  <c r="H17093" i="8" l="1"/>
  <c r="J17093" i="8" s="1"/>
  <c r="H7014" i="8"/>
  <c r="H6995" i="8"/>
  <c r="J6995" i="8" s="1"/>
  <c r="J7014" i="8" l="1"/>
  <c r="C40" i="6"/>
  <c r="H14752" i="8"/>
  <c r="J14752" i="8" s="1"/>
  <c r="H14770" i="8"/>
  <c r="H16460" i="8" l="1"/>
  <c r="J16460" i="8" s="1"/>
  <c r="J14770" i="8"/>
  <c r="H16451" i="8"/>
  <c r="J16451" i="8" s="1"/>
  <c r="H4297" i="8"/>
  <c r="J4297" i="8" s="1"/>
  <c r="K4313" i="8"/>
  <c r="H4315" i="8"/>
  <c r="J4315" i="8" s="1"/>
  <c r="K4331" i="8"/>
  <c r="H4397" i="8"/>
  <c r="J4397" i="8" s="1"/>
  <c r="K4413" i="8"/>
  <c r="H4415" i="8"/>
  <c r="J4415" i="8" s="1"/>
  <c r="H16476" i="8" l="1"/>
  <c r="J16476" i="8" s="1"/>
  <c r="H4413" i="8"/>
  <c r="J4413" i="8" s="1"/>
  <c r="H4331" i="8"/>
  <c r="J4331" i="8" s="1"/>
  <c r="H4313" i="8"/>
  <c r="J4313" i="8" s="1"/>
  <c r="K11969" i="8" l="1"/>
  <c r="K11982" i="8" l="1"/>
  <c r="C353" i="7"/>
  <c r="K11987" i="8" l="1"/>
  <c r="H4953" i="8"/>
  <c r="K4951" i="8"/>
  <c r="H4935" i="8"/>
  <c r="K4870" i="8"/>
  <c r="H4854" i="8"/>
  <c r="K4852" i="8"/>
  <c r="H4836" i="8"/>
  <c r="K4771" i="8"/>
  <c r="H4755" i="8"/>
  <c r="K4753" i="8"/>
  <c r="H4737" i="8"/>
  <c r="H1717" i="8"/>
  <c r="K1733" i="8"/>
  <c r="H1735" i="8"/>
  <c r="K1751" i="8"/>
  <c r="K1770" i="8"/>
  <c r="K4959" i="8" l="1"/>
  <c r="H4753" i="8"/>
  <c r="J4753" i="8" s="1"/>
  <c r="J4737" i="8"/>
  <c r="H4771" i="8"/>
  <c r="J4771" i="8" s="1"/>
  <c r="J4755" i="8"/>
  <c r="H4852" i="8"/>
  <c r="J4852" i="8" s="1"/>
  <c r="J4836" i="8"/>
  <c r="H4870" i="8"/>
  <c r="J4870" i="8" s="1"/>
  <c r="J4854" i="8"/>
  <c r="H4951" i="8"/>
  <c r="J4951" i="8" s="1"/>
  <c r="J4935" i="8"/>
  <c r="H4969" i="8"/>
  <c r="J4969" i="8" s="1"/>
  <c r="J4953" i="8"/>
  <c r="K12105" i="8"/>
  <c r="K12000" i="8"/>
  <c r="K4969" i="8"/>
  <c r="H1751" i="8"/>
  <c r="H1733" i="8"/>
  <c r="K4987" i="8" l="1"/>
  <c r="H4638" i="8"/>
  <c r="J4638" i="8" s="1"/>
  <c r="K4654" i="8"/>
  <c r="H4656" i="8"/>
  <c r="K4672" i="8"/>
  <c r="H4981" i="8" l="1"/>
  <c r="J4981" i="8" s="1"/>
  <c r="J4656" i="8"/>
  <c r="K4997" i="8"/>
  <c r="H4654" i="8"/>
  <c r="J4654" i="8" s="1"/>
  <c r="H4672" i="8"/>
  <c r="J4672" i="8" s="1"/>
  <c r="H91" i="8"/>
  <c r="H73" i="8"/>
  <c r="J73" i="8" s="1"/>
  <c r="H308" i="8" l="1"/>
  <c r="J91" i="8"/>
  <c r="K6395" i="8"/>
  <c r="K18015" i="8" s="1"/>
  <c r="K311" i="8"/>
  <c r="D66" i="7"/>
  <c r="F66" i="7" s="1"/>
  <c r="G66" i="7"/>
  <c r="J66" i="7" s="1"/>
  <c r="C85" i="5"/>
  <c r="G537" i="7"/>
  <c r="J537" i="7" s="1"/>
  <c r="G536" i="7"/>
  <c r="J536" i="7" s="1"/>
  <c r="D538" i="7"/>
  <c r="F538" i="7" s="1"/>
  <c r="K18193" i="8" l="1"/>
  <c r="H324" i="8"/>
  <c r="J308" i="8"/>
  <c r="C139" i="6"/>
  <c r="E139" i="6" s="1"/>
  <c r="D537" i="7"/>
  <c r="F537" i="7" s="1"/>
  <c r="D539" i="7"/>
  <c r="F539" i="7" s="1"/>
  <c r="D540" i="7"/>
  <c r="F540" i="7" s="1"/>
  <c r="D541" i="7"/>
  <c r="F541" i="7" s="1"/>
  <c r="H327" i="8" l="1"/>
  <c r="J324" i="8"/>
  <c r="K13745" i="8"/>
  <c r="H13729" i="8"/>
  <c r="H13745" i="8" s="1"/>
  <c r="K13727" i="8"/>
  <c r="H13711" i="8"/>
  <c r="H13727" i="8" s="1"/>
  <c r="K13646" i="8"/>
  <c r="H13630" i="8"/>
  <c r="H13646" i="8" s="1"/>
  <c r="K13628" i="8"/>
  <c r="H13612" i="8"/>
  <c r="H13628" i="8" s="1"/>
  <c r="K13547" i="8"/>
  <c r="H13531" i="8"/>
  <c r="H13547" i="8" s="1"/>
  <c r="K13529" i="8"/>
  <c r="H13513" i="8"/>
  <c r="H13529" i="8" s="1"/>
  <c r="K13448" i="8"/>
  <c r="H13432" i="8"/>
  <c r="H13448" i="8" s="1"/>
  <c r="K13430" i="8"/>
  <c r="H13414" i="8"/>
  <c r="H13430" i="8" s="1"/>
  <c r="K13349" i="8"/>
  <c r="H13333" i="8"/>
  <c r="H13349" i="8" s="1"/>
  <c r="K13331" i="8"/>
  <c r="H13315" i="8"/>
  <c r="H13331" i="8" s="1"/>
  <c r="K13250" i="8"/>
  <c r="H13234" i="8"/>
  <c r="H13250" i="8" s="1"/>
  <c r="K13232" i="8"/>
  <c r="H13216" i="8"/>
  <c r="H13232" i="8" s="1"/>
  <c r="K13151" i="8"/>
  <c r="H13135" i="8"/>
  <c r="H13151" i="8" s="1"/>
  <c r="K13133" i="8"/>
  <c r="H13117" i="8"/>
  <c r="H13133" i="8" s="1"/>
  <c r="H9998" i="8"/>
  <c r="K8858" i="8"/>
  <c r="H8489" i="8"/>
  <c r="H8349" i="8"/>
  <c r="J8349" i="8" s="1"/>
  <c r="K8421" i="8"/>
  <c r="K8163" i="8"/>
  <c r="H8109" i="8"/>
  <c r="J8109" i="8" s="1"/>
  <c r="H8091" i="8"/>
  <c r="J8091" i="8" s="1"/>
  <c r="H8010" i="8"/>
  <c r="J8010" i="8" s="1"/>
  <c r="H7992" i="8"/>
  <c r="J7992" i="8" s="1"/>
  <c r="H7911" i="8"/>
  <c r="J7911" i="8" s="1"/>
  <c r="H7893" i="8"/>
  <c r="J7893" i="8" s="1"/>
  <c r="K8282" i="8"/>
  <c r="K8263" i="8"/>
  <c r="H8247" i="8"/>
  <c r="K8245" i="8"/>
  <c r="H8229" i="8"/>
  <c r="K8214" i="8"/>
  <c r="H8198" i="8"/>
  <c r="K8196" i="8"/>
  <c r="H8180" i="8"/>
  <c r="H979" i="8"/>
  <c r="H995" i="8" s="1"/>
  <c r="H961" i="8"/>
  <c r="H977" i="8" s="1"/>
  <c r="K995" i="8"/>
  <c r="K977" i="8"/>
  <c r="H8196" i="8" l="1"/>
  <c r="J8196" i="8" s="1"/>
  <c r="J8180" i="8"/>
  <c r="H8214" i="8"/>
  <c r="J8214" i="8" s="1"/>
  <c r="J8198" i="8"/>
  <c r="H8245" i="8"/>
  <c r="J8245" i="8" s="1"/>
  <c r="J8229" i="8"/>
  <c r="H8263" i="8"/>
  <c r="J8263" i="8" s="1"/>
  <c r="J8247" i="8"/>
  <c r="H343" i="8"/>
  <c r="J327" i="8"/>
  <c r="H8266" i="8"/>
  <c r="H8128" i="8"/>
  <c r="D10" i="4"/>
  <c r="E137" i="4"/>
  <c r="D137" i="4"/>
  <c r="E127" i="4"/>
  <c r="F127" i="4" s="1"/>
  <c r="D127" i="4"/>
  <c r="E118" i="4"/>
  <c r="D118" i="4"/>
  <c r="E109" i="4"/>
  <c r="F109" i="4" s="1"/>
  <c r="D109" i="4"/>
  <c r="E100" i="4"/>
  <c r="F100" i="4" s="1"/>
  <c r="D100" i="4"/>
  <c r="E91" i="4"/>
  <c r="F91" i="4" s="1"/>
  <c r="D91" i="4"/>
  <c r="E82" i="4"/>
  <c r="D82" i="4"/>
  <c r="E73" i="4"/>
  <c r="F73" i="4" s="1"/>
  <c r="E64" i="4"/>
  <c r="D64" i="4"/>
  <c r="E55" i="4"/>
  <c r="D55" i="4"/>
  <c r="E46" i="4"/>
  <c r="D46" i="4"/>
  <c r="E37" i="4"/>
  <c r="D28" i="4"/>
  <c r="E28" i="4"/>
  <c r="E19" i="4"/>
  <c r="E10" i="4"/>
  <c r="D19" i="4"/>
  <c r="F55" i="4" l="1"/>
  <c r="F118" i="4"/>
  <c r="F28" i="4"/>
  <c r="F46" i="4"/>
  <c r="F10" i="4"/>
  <c r="E9" i="4"/>
  <c r="F19" i="4"/>
  <c r="F137" i="4"/>
  <c r="H8147" i="8"/>
  <c r="J8128" i="8"/>
  <c r="F64" i="4"/>
  <c r="H8282" i="8"/>
  <c r="J8282" i="8" s="1"/>
  <c r="J8266" i="8"/>
  <c r="H346" i="8"/>
  <c r="J343" i="8"/>
  <c r="D9" i="4"/>
  <c r="K9554" i="8"/>
  <c r="H9538" i="8"/>
  <c r="K9536" i="8"/>
  <c r="H9520" i="8"/>
  <c r="K9455" i="8"/>
  <c r="H9439" i="8"/>
  <c r="K9437" i="8"/>
  <c r="H9421" i="8"/>
  <c r="H930" i="8"/>
  <c r="H912" i="8"/>
  <c r="C108" i="7"/>
  <c r="C109" i="7"/>
  <c r="C107" i="7"/>
  <c r="K1652" i="8"/>
  <c r="H1636" i="8"/>
  <c r="H1652" i="8" s="1"/>
  <c r="K1634" i="8"/>
  <c r="H1618" i="8"/>
  <c r="H1634" i="8" s="1"/>
  <c r="J2293" i="8"/>
  <c r="H7514" i="8"/>
  <c r="J7514" i="8" s="1"/>
  <c r="H2270" i="8"/>
  <c r="J2270" i="8" s="1"/>
  <c r="H2252" i="8"/>
  <c r="J2252" i="8" s="1"/>
  <c r="F58" i="5"/>
  <c r="F59" i="5"/>
  <c r="F60" i="5"/>
  <c r="F61" i="5"/>
  <c r="F62" i="5"/>
  <c r="F63" i="5"/>
  <c r="C59" i="5"/>
  <c r="C60" i="5"/>
  <c r="C61" i="5"/>
  <c r="C62" i="5"/>
  <c r="E62" i="5" s="1"/>
  <c r="C63" i="5"/>
  <c r="E63" i="5" s="1"/>
  <c r="C58" i="5"/>
  <c r="H89" i="8"/>
  <c r="J89" i="8" s="1"/>
  <c r="H289" i="8"/>
  <c r="H190" i="8"/>
  <c r="H17177" i="8"/>
  <c r="J17177" i="8" s="1"/>
  <c r="H6343" i="8"/>
  <c r="J6343" i="8" s="1"/>
  <c r="H6244" i="8"/>
  <c r="J6244" i="8" s="1"/>
  <c r="H14206" i="8"/>
  <c r="H13968" i="8"/>
  <c r="H13036" i="8"/>
  <c r="H12798" i="8"/>
  <c r="H12560" i="8"/>
  <c r="H12321" i="8"/>
  <c r="H12083" i="8"/>
  <c r="H11882" i="8"/>
  <c r="J11882" i="8" s="1"/>
  <c r="H11783" i="8"/>
  <c r="J11783" i="8" s="1"/>
  <c r="H11684" i="8"/>
  <c r="J11684" i="8" s="1"/>
  <c r="H11445" i="8"/>
  <c r="J11445" i="8" s="1"/>
  <c r="H11346" i="8"/>
  <c r="J11346" i="8" s="1"/>
  <c r="H11247" i="8"/>
  <c r="J11247" i="8" s="1"/>
  <c r="H9876" i="8"/>
  <c r="J9876" i="8" s="1"/>
  <c r="H9340" i="8"/>
  <c r="J9340" i="8" s="1"/>
  <c r="H9241" i="8"/>
  <c r="J9241" i="8" s="1"/>
  <c r="H9142" i="8"/>
  <c r="J9142" i="8" s="1"/>
  <c r="H6821" i="8"/>
  <c r="J6821" i="8" s="1"/>
  <c r="H5181" i="8"/>
  <c r="J5181" i="8" s="1"/>
  <c r="H8804" i="8"/>
  <c r="J8804" i="8" s="1"/>
  <c r="H1022" i="8"/>
  <c r="H1041" i="8" s="1"/>
  <c r="H18110" i="8"/>
  <c r="H17951" i="8"/>
  <c r="J17951" i="8" s="1"/>
  <c r="H17852" i="8"/>
  <c r="J17852" i="8" s="1"/>
  <c r="H17713" i="8"/>
  <c r="J17713" i="8" s="1"/>
  <c r="H17614" i="8"/>
  <c r="J17614" i="8" s="1"/>
  <c r="H17515" i="8"/>
  <c r="J17515" i="8" s="1"/>
  <c r="H17416" i="8"/>
  <c r="J17416" i="8" s="1"/>
  <c r="H17317" i="8"/>
  <c r="J17317" i="8" s="1"/>
  <c r="H14363" i="8"/>
  <c r="H14107" i="8"/>
  <c r="H13869" i="8"/>
  <c r="H12937" i="8"/>
  <c r="H12699" i="8"/>
  <c r="H12461" i="8"/>
  <c r="H12222" i="8"/>
  <c r="H11984" i="8"/>
  <c r="J11984" i="8" s="1"/>
  <c r="H11585" i="8"/>
  <c r="J11585" i="8" s="1"/>
  <c r="H11148" i="8"/>
  <c r="J11148" i="8" s="1"/>
  <c r="H11049" i="8"/>
  <c r="H10730" i="8"/>
  <c r="J10730" i="8" s="1"/>
  <c r="H10631" i="8"/>
  <c r="H10532" i="8"/>
  <c r="H10433" i="8"/>
  <c r="H10334" i="8"/>
  <c r="H10235" i="8"/>
  <c r="H10115" i="8"/>
  <c r="H10016" i="8"/>
  <c r="H9777" i="8"/>
  <c r="J9777" i="8" s="1"/>
  <c r="H9678" i="8"/>
  <c r="J9678" i="8" s="1"/>
  <c r="H9043" i="8"/>
  <c r="J9043" i="8" s="1"/>
  <c r="H8944" i="8"/>
  <c r="J8944" i="8" s="1"/>
  <c r="H1957" i="8"/>
  <c r="J1957" i="8" s="1"/>
  <c r="H7532" i="8"/>
  <c r="H2180" i="8"/>
  <c r="J2180" i="8" s="1"/>
  <c r="H2133" i="8"/>
  <c r="J2133" i="8" s="1"/>
  <c r="H8367" i="8"/>
  <c r="H8705" i="8"/>
  <c r="J8705" i="8" s="1"/>
  <c r="H8507" i="8"/>
  <c r="H1537" i="8"/>
  <c r="H1438" i="8"/>
  <c r="H1339" i="8"/>
  <c r="H1241" i="8"/>
  <c r="H1142" i="8"/>
  <c r="H822" i="8"/>
  <c r="J822" i="8" s="1"/>
  <c r="H107" i="8"/>
  <c r="J107" i="8" s="1"/>
  <c r="H10928" i="8"/>
  <c r="J10928" i="8" s="1"/>
  <c r="H10829" i="8"/>
  <c r="J10829" i="8" s="1"/>
  <c r="H7391" i="8"/>
  <c r="J7391" i="8" s="1"/>
  <c r="H2225" i="8"/>
  <c r="J2225" i="8" s="1"/>
  <c r="H5499" i="8"/>
  <c r="J5499" i="8" s="1"/>
  <c r="H5400" i="8"/>
  <c r="J5400" i="8" s="1"/>
  <c r="H5301" i="8"/>
  <c r="J5301" i="8" s="1"/>
  <c r="H5082" i="8"/>
  <c r="J5082" i="8" s="1"/>
  <c r="H1223" i="8"/>
  <c r="H1124" i="8"/>
  <c r="H804" i="8"/>
  <c r="J804" i="8" s="1"/>
  <c r="H698" i="8"/>
  <c r="J698" i="8" s="1"/>
  <c r="H271" i="8"/>
  <c r="H172" i="8"/>
  <c r="H18092" i="8"/>
  <c r="H17933" i="8"/>
  <c r="J17933" i="8" s="1"/>
  <c r="H17834" i="8"/>
  <c r="J17834" i="8" s="1"/>
  <c r="H17695" i="8"/>
  <c r="J17695" i="8" s="1"/>
  <c r="H17596" i="8"/>
  <c r="J17596" i="8" s="1"/>
  <c r="H17497" i="8"/>
  <c r="J17497" i="8" s="1"/>
  <c r="H17398" i="8"/>
  <c r="J17398" i="8" s="1"/>
  <c r="H17299" i="8"/>
  <c r="J17299" i="8" s="1"/>
  <c r="H17159" i="8"/>
  <c r="J17159" i="8" s="1"/>
  <c r="H6325" i="8"/>
  <c r="J6325" i="8" s="1"/>
  <c r="H6226" i="8"/>
  <c r="J6226" i="8" s="1"/>
  <c r="H14345" i="8"/>
  <c r="J14345" i="8" s="1"/>
  <c r="H14188" i="8"/>
  <c r="H14089" i="8"/>
  <c r="H13950" i="8"/>
  <c r="H13851" i="8"/>
  <c r="H13018" i="8"/>
  <c r="H12919" i="8"/>
  <c r="H12780" i="8"/>
  <c r="H12681" i="8"/>
  <c r="H12542" i="8"/>
  <c r="H12443" i="8"/>
  <c r="H12303" i="8"/>
  <c r="H12204" i="8"/>
  <c r="H12065" i="8"/>
  <c r="H11864" i="8"/>
  <c r="J11864" i="8" s="1"/>
  <c r="H11765" i="8"/>
  <c r="J11765" i="8" s="1"/>
  <c r="H11666" i="8"/>
  <c r="J11666" i="8" s="1"/>
  <c r="H11567" i="8"/>
  <c r="J11567" i="8" s="1"/>
  <c r="H11427" i="8"/>
  <c r="J11427" i="8" s="1"/>
  <c r="H11328" i="8"/>
  <c r="J11328" i="8" s="1"/>
  <c r="H11229" i="8"/>
  <c r="J11229" i="8" s="1"/>
  <c r="H11130" i="8"/>
  <c r="J11130" i="8" s="1"/>
  <c r="H11031" i="8"/>
  <c r="H10910" i="8"/>
  <c r="J10910" i="8" s="1"/>
  <c r="H10811" i="8"/>
  <c r="J10811" i="8" s="1"/>
  <c r="H10712" i="8"/>
  <c r="J10712" i="8" s="1"/>
  <c r="H10613" i="8"/>
  <c r="H10514" i="8"/>
  <c r="H10415" i="8"/>
  <c r="H10316" i="8"/>
  <c r="H10217" i="8"/>
  <c r="H10097" i="8"/>
  <c r="H9858" i="8"/>
  <c r="J9858" i="8" s="1"/>
  <c r="H9759" i="8"/>
  <c r="J9759" i="8" s="1"/>
  <c r="H9660" i="8"/>
  <c r="J9660" i="8" s="1"/>
  <c r="H9322" i="8"/>
  <c r="J9322" i="8" s="1"/>
  <c r="H9223" i="8"/>
  <c r="J9223" i="8" s="1"/>
  <c r="H9124" i="8"/>
  <c r="J9124" i="8" s="1"/>
  <c r="H9025" i="8"/>
  <c r="J9025" i="8" s="1"/>
  <c r="H8926" i="8"/>
  <c r="J8926" i="8" s="1"/>
  <c r="H6803" i="8"/>
  <c r="J6803" i="8" s="1"/>
  <c r="H1939" i="8"/>
  <c r="H7373" i="8"/>
  <c r="J7373" i="8" s="1"/>
  <c r="H2207" i="8"/>
  <c r="J2207" i="8" s="1"/>
  <c r="H2162" i="8"/>
  <c r="J2162" i="8" s="1"/>
  <c r="H2115" i="8"/>
  <c r="J2115" i="8" s="1"/>
  <c r="H5481" i="8"/>
  <c r="J5481" i="8" s="1"/>
  <c r="H5382" i="8"/>
  <c r="J5382" i="8" s="1"/>
  <c r="H5283" i="8"/>
  <c r="J5283" i="8" s="1"/>
  <c r="H5163" i="8"/>
  <c r="J5163" i="8" s="1"/>
  <c r="H5064" i="8"/>
  <c r="J5064" i="8" s="1"/>
  <c r="H8786" i="8"/>
  <c r="J8786" i="8" s="1"/>
  <c r="H8687" i="8"/>
  <c r="J8687" i="8" s="1"/>
  <c r="H1519" i="8"/>
  <c r="H1420" i="8"/>
  <c r="H1321" i="8"/>
  <c r="H1004" i="8"/>
  <c r="G249" i="7"/>
  <c r="G248" i="7"/>
  <c r="G247" i="7"/>
  <c r="G246" i="7"/>
  <c r="G245" i="7"/>
  <c r="G244" i="7"/>
  <c r="G243" i="7"/>
  <c r="G242" i="7"/>
  <c r="G241" i="7"/>
  <c r="G240" i="7"/>
  <c r="G239" i="7"/>
  <c r="G238" i="7"/>
  <c r="G237" i="7"/>
  <c r="G236" i="7"/>
  <c r="G235" i="7"/>
  <c r="G234" i="7"/>
  <c r="G233" i="7"/>
  <c r="G232" i="7"/>
  <c r="G231" i="7"/>
  <c r="G230" i="7"/>
  <c r="G229" i="7"/>
  <c r="G228" i="7"/>
  <c r="G227" i="7"/>
  <c r="G226" i="7"/>
  <c r="G225" i="7"/>
  <c r="G224" i="7"/>
  <c r="G223" i="7"/>
  <c r="G222" i="7"/>
  <c r="G221" i="7"/>
  <c r="G220" i="7"/>
  <c r="G219" i="7"/>
  <c r="G218" i="7"/>
  <c r="G217" i="7"/>
  <c r="G216" i="7"/>
  <c r="G215" i="7"/>
  <c r="G214" i="7"/>
  <c r="G213" i="7"/>
  <c r="G212" i="7"/>
  <c r="G211" i="7"/>
  <c r="G210" i="7"/>
  <c r="G209" i="7"/>
  <c r="G208" i="7"/>
  <c r="G207" i="7"/>
  <c r="G206" i="7"/>
  <c r="G205" i="7"/>
  <c r="G204" i="7"/>
  <c r="G203" i="7"/>
  <c r="G281" i="7"/>
  <c r="J281" i="7" s="1"/>
  <c r="G280" i="7"/>
  <c r="J280" i="7" s="1"/>
  <c r="G279" i="7"/>
  <c r="J279" i="7" s="1"/>
  <c r="G278" i="7"/>
  <c r="J278" i="7" s="1"/>
  <c r="G277" i="7"/>
  <c r="J277" i="7" s="1"/>
  <c r="G276" i="7"/>
  <c r="J276" i="7" s="1"/>
  <c r="G275" i="7"/>
  <c r="J275" i="7" s="1"/>
  <c r="G274" i="7"/>
  <c r="J274" i="7" s="1"/>
  <c r="G273" i="7"/>
  <c r="J273" i="7" s="1"/>
  <c r="G272" i="7"/>
  <c r="J272" i="7" s="1"/>
  <c r="G271" i="7"/>
  <c r="J271" i="7" s="1"/>
  <c r="G270" i="7"/>
  <c r="J270" i="7" s="1"/>
  <c r="G269" i="7"/>
  <c r="J269" i="7" s="1"/>
  <c r="G268" i="7"/>
  <c r="J268" i="7" s="1"/>
  <c r="G267" i="7"/>
  <c r="J267" i="7" s="1"/>
  <c r="G266" i="7"/>
  <c r="J266" i="7" s="1"/>
  <c r="G265" i="7"/>
  <c r="J265" i="7" s="1"/>
  <c r="G264" i="7"/>
  <c r="J264" i="7" s="1"/>
  <c r="G263" i="7"/>
  <c r="J263" i="7" s="1"/>
  <c r="G262" i="7"/>
  <c r="J262" i="7" s="1"/>
  <c r="G261" i="7"/>
  <c r="J261" i="7" s="1"/>
  <c r="G260" i="7"/>
  <c r="J260" i="7" s="1"/>
  <c r="G259" i="7"/>
  <c r="J259" i="7" s="1"/>
  <c r="G255" i="7"/>
  <c r="J255" i="7" s="1"/>
  <c r="G313" i="7"/>
  <c r="G312" i="7"/>
  <c r="G311" i="7"/>
  <c r="G310" i="7"/>
  <c r="G309" i="7"/>
  <c r="G308" i="7"/>
  <c r="G307" i="7"/>
  <c r="G306" i="7"/>
  <c r="G305" i="7"/>
  <c r="G304" i="7"/>
  <c r="G303" i="7"/>
  <c r="G302" i="7"/>
  <c r="G301" i="7"/>
  <c r="G300" i="7"/>
  <c r="G299" i="7"/>
  <c r="G298" i="7"/>
  <c r="G297" i="7"/>
  <c r="G296" i="7"/>
  <c r="G295" i="7"/>
  <c r="G294" i="7"/>
  <c r="G293" i="7"/>
  <c r="G292" i="7"/>
  <c r="G291" i="7"/>
  <c r="G290" i="7"/>
  <c r="G289" i="7"/>
  <c r="G288" i="7"/>
  <c r="G287" i="7"/>
  <c r="G286" i="7"/>
  <c r="G345" i="7"/>
  <c r="J345" i="7" s="1"/>
  <c r="G344" i="7"/>
  <c r="J344" i="7" s="1"/>
  <c r="G343" i="7"/>
  <c r="J343" i="7" s="1"/>
  <c r="G342" i="7"/>
  <c r="J342" i="7" s="1"/>
  <c r="G341" i="7"/>
  <c r="J341" i="7" s="1"/>
  <c r="G340" i="7"/>
  <c r="J340" i="7" s="1"/>
  <c r="G339" i="7"/>
  <c r="J339" i="7" s="1"/>
  <c r="G338" i="7"/>
  <c r="J338" i="7" s="1"/>
  <c r="G337" i="7"/>
  <c r="J337" i="7" s="1"/>
  <c r="G336" i="7"/>
  <c r="J336" i="7" s="1"/>
  <c r="G335" i="7"/>
  <c r="J335" i="7" s="1"/>
  <c r="G334" i="7"/>
  <c r="J334" i="7" s="1"/>
  <c r="G333" i="7"/>
  <c r="J333" i="7" s="1"/>
  <c r="G332" i="7"/>
  <c r="J332" i="7" s="1"/>
  <c r="G331" i="7"/>
  <c r="J331" i="7" s="1"/>
  <c r="G330" i="7"/>
  <c r="J330" i="7" s="1"/>
  <c r="G329" i="7"/>
  <c r="J329" i="7" s="1"/>
  <c r="G328" i="7"/>
  <c r="J328" i="7" s="1"/>
  <c r="G327" i="7"/>
  <c r="J327" i="7" s="1"/>
  <c r="G326" i="7"/>
  <c r="J326" i="7" s="1"/>
  <c r="G325" i="7"/>
  <c r="J325" i="7" s="1"/>
  <c r="G324" i="7"/>
  <c r="J324" i="7" s="1"/>
  <c r="G323" i="7"/>
  <c r="J323" i="7" s="1"/>
  <c r="G322" i="7"/>
  <c r="J322" i="7" s="1"/>
  <c r="G321" i="7"/>
  <c r="J321" i="7" s="1"/>
  <c r="G320" i="7"/>
  <c r="J320" i="7" s="1"/>
  <c r="G319" i="7"/>
  <c r="J319" i="7" s="1"/>
  <c r="G318" i="7"/>
  <c r="J318" i="7" s="1"/>
  <c r="G381" i="7"/>
  <c r="J381" i="7" s="1"/>
  <c r="G380" i="7"/>
  <c r="J380" i="7" s="1"/>
  <c r="G379" i="7"/>
  <c r="J379" i="7" s="1"/>
  <c r="G378" i="7"/>
  <c r="J378" i="7" s="1"/>
  <c r="G377" i="7"/>
  <c r="J377" i="7" s="1"/>
  <c r="G376" i="7"/>
  <c r="J376" i="7" s="1"/>
  <c r="G375" i="7"/>
  <c r="J375" i="7" s="1"/>
  <c r="G374" i="7"/>
  <c r="J374" i="7" s="1"/>
  <c r="G373" i="7"/>
  <c r="J373" i="7" s="1"/>
  <c r="G372" i="7"/>
  <c r="J372" i="7" s="1"/>
  <c r="G371" i="7"/>
  <c r="J371" i="7" s="1"/>
  <c r="G370" i="7"/>
  <c r="J370" i="7" s="1"/>
  <c r="G369" i="7"/>
  <c r="J369" i="7" s="1"/>
  <c r="G368" i="7"/>
  <c r="J368" i="7" s="1"/>
  <c r="G367" i="7"/>
  <c r="J367" i="7" s="1"/>
  <c r="G366" i="7"/>
  <c r="J366" i="7" s="1"/>
  <c r="G365" i="7"/>
  <c r="J365" i="7" s="1"/>
  <c r="G364" i="7"/>
  <c r="J364" i="7" s="1"/>
  <c r="G363" i="7"/>
  <c r="J363" i="7" s="1"/>
  <c r="G362" i="7"/>
  <c r="J362" i="7" s="1"/>
  <c r="G361" i="7"/>
  <c r="J361" i="7" s="1"/>
  <c r="G360" i="7"/>
  <c r="J360" i="7" s="1"/>
  <c r="G359" i="7"/>
  <c r="J359" i="7" s="1"/>
  <c r="G358" i="7"/>
  <c r="J358" i="7" s="1"/>
  <c r="G357" i="7"/>
  <c r="J357" i="7" s="1"/>
  <c r="G356" i="7"/>
  <c r="J356" i="7" s="1"/>
  <c r="G355" i="7"/>
  <c r="J355" i="7" s="1"/>
  <c r="G354" i="7"/>
  <c r="J354" i="7" s="1"/>
  <c r="G353" i="7"/>
  <c r="G352" i="7"/>
  <c r="G413" i="7"/>
  <c r="J413" i="7" s="1"/>
  <c r="G412" i="7"/>
  <c r="J412" i="7" s="1"/>
  <c r="G411" i="7"/>
  <c r="J411" i="7" s="1"/>
  <c r="G410" i="7"/>
  <c r="J410" i="7" s="1"/>
  <c r="G409" i="7"/>
  <c r="J409" i="7" s="1"/>
  <c r="G408" i="7"/>
  <c r="J408" i="7" s="1"/>
  <c r="G407" i="7"/>
  <c r="J407" i="7" s="1"/>
  <c r="G406" i="7"/>
  <c r="J406" i="7" s="1"/>
  <c r="G405" i="7"/>
  <c r="J405" i="7" s="1"/>
  <c r="G404" i="7"/>
  <c r="J404" i="7" s="1"/>
  <c r="G403" i="7"/>
  <c r="J403" i="7" s="1"/>
  <c r="G402" i="7"/>
  <c r="J402" i="7" s="1"/>
  <c r="G401" i="7"/>
  <c r="J401" i="7" s="1"/>
  <c r="G400" i="7"/>
  <c r="J400" i="7" s="1"/>
  <c r="G399" i="7"/>
  <c r="J399" i="7" s="1"/>
  <c r="G398" i="7"/>
  <c r="J398" i="7" s="1"/>
  <c r="G397" i="7"/>
  <c r="J397" i="7" s="1"/>
  <c r="G396" i="7"/>
  <c r="J396" i="7" s="1"/>
  <c r="G395" i="7"/>
  <c r="J395" i="7" s="1"/>
  <c r="G394" i="7"/>
  <c r="J394" i="7" s="1"/>
  <c r="G393" i="7"/>
  <c r="J393" i="7" s="1"/>
  <c r="G392" i="7"/>
  <c r="J392" i="7" s="1"/>
  <c r="G391" i="7"/>
  <c r="J391" i="7" s="1"/>
  <c r="G390" i="7"/>
  <c r="J390" i="7" s="1"/>
  <c r="G389" i="7"/>
  <c r="J389" i="7" s="1"/>
  <c r="G388" i="7"/>
  <c r="J388" i="7" s="1"/>
  <c r="G387" i="7"/>
  <c r="J387" i="7" s="1"/>
  <c r="G386" i="7"/>
  <c r="J386" i="7" s="1"/>
  <c r="G385" i="7"/>
  <c r="J385" i="7" s="1"/>
  <c r="G466" i="7"/>
  <c r="G465" i="7"/>
  <c r="G464" i="7"/>
  <c r="G463" i="7"/>
  <c r="G462" i="7"/>
  <c r="G461" i="7"/>
  <c r="G460" i="7"/>
  <c r="G459" i="7"/>
  <c r="G458" i="7"/>
  <c r="G457" i="7"/>
  <c r="G456" i="7"/>
  <c r="G455" i="7"/>
  <c r="G454" i="7"/>
  <c r="G453" i="7"/>
  <c r="G452" i="7"/>
  <c r="G451" i="7"/>
  <c r="G450" i="7"/>
  <c r="G449" i="7"/>
  <c r="G448" i="7"/>
  <c r="G447" i="7"/>
  <c r="G446" i="7"/>
  <c r="G445" i="7"/>
  <c r="G444" i="7"/>
  <c r="G443" i="7"/>
  <c r="G442" i="7"/>
  <c r="G441" i="7"/>
  <c r="G440" i="7"/>
  <c r="G439" i="7"/>
  <c r="G438" i="7"/>
  <c r="G437" i="7"/>
  <c r="G436" i="7"/>
  <c r="G435" i="7"/>
  <c r="G434" i="7"/>
  <c r="G433" i="7"/>
  <c r="G432" i="7"/>
  <c r="G431" i="7"/>
  <c r="G430" i="7"/>
  <c r="G429" i="7"/>
  <c r="G428" i="7"/>
  <c r="G427" i="7"/>
  <c r="G426" i="7"/>
  <c r="G425" i="7"/>
  <c r="G424" i="7"/>
  <c r="G520" i="7"/>
  <c r="J520" i="7" s="1"/>
  <c r="G519" i="7"/>
  <c r="J519" i="7" s="1"/>
  <c r="G518" i="7"/>
  <c r="J518" i="7" s="1"/>
  <c r="G517" i="7"/>
  <c r="J517" i="7" s="1"/>
  <c r="G516" i="7"/>
  <c r="J516" i="7" s="1"/>
  <c r="G515" i="7"/>
  <c r="J515" i="7" s="1"/>
  <c r="G514" i="7"/>
  <c r="J514" i="7" s="1"/>
  <c r="G513" i="7"/>
  <c r="J513" i="7" s="1"/>
  <c r="G512" i="7"/>
  <c r="J512" i="7" s="1"/>
  <c r="G511" i="7"/>
  <c r="J511" i="7" s="1"/>
  <c r="G510" i="7"/>
  <c r="J510" i="7" s="1"/>
  <c r="G509" i="7"/>
  <c r="J509" i="7" s="1"/>
  <c r="G508" i="7"/>
  <c r="J508" i="7" s="1"/>
  <c r="G507" i="7"/>
  <c r="J507" i="7" s="1"/>
  <c r="G506" i="7"/>
  <c r="J506" i="7" s="1"/>
  <c r="G505" i="7"/>
  <c r="J505" i="7" s="1"/>
  <c r="G504" i="7"/>
  <c r="J504" i="7" s="1"/>
  <c r="G503" i="7"/>
  <c r="J503" i="7" s="1"/>
  <c r="G502" i="7"/>
  <c r="J502" i="7" s="1"/>
  <c r="G501" i="7"/>
  <c r="J501" i="7" s="1"/>
  <c r="G500" i="7"/>
  <c r="J500" i="7" s="1"/>
  <c r="G499" i="7"/>
  <c r="J499" i="7" s="1"/>
  <c r="G498" i="7"/>
  <c r="J498" i="7" s="1"/>
  <c r="G497" i="7"/>
  <c r="J497" i="7" s="1"/>
  <c r="G496" i="7"/>
  <c r="J496" i="7" s="1"/>
  <c r="G495" i="7"/>
  <c r="J495" i="7" s="1"/>
  <c r="G494" i="7"/>
  <c r="J494" i="7" s="1"/>
  <c r="G493" i="7"/>
  <c r="J493" i="7" s="1"/>
  <c r="G492" i="7"/>
  <c r="J492" i="7" s="1"/>
  <c r="G491" i="7"/>
  <c r="J491" i="7" s="1"/>
  <c r="G490" i="7"/>
  <c r="J490" i="7" s="1"/>
  <c r="G489" i="7"/>
  <c r="J489" i="7" s="1"/>
  <c r="G488" i="7"/>
  <c r="J488" i="7" s="1"/>
  <c r="G487" i="7"/>
  <c r="J487" i="7" s="1"/>
  <c r="G486" i="7"/>
  <c r="J486" i="7" s="1"/>
  <c r="G485" i="7"/>
  <c r="J485" i="7" s="1"/>
  <c r="G484" i="7"/>
  <c r="J484" i="7" s="1"/>
  <c r="G483" i="7"/>
  <c r="J483" i="7" s="1"/>
  <c r="G482" i="7"/>
  <c r="J482" i="7" s="1"/>
  <c r="G481" i="7"/>
  <c r="J481" i="7" s="1"/>
  <c r="G480" i="7"/>
  <c r="J480" i="7" s="1"/>
  <c r="G479" i="7"/>
  <c r="J479" i="7" s="1"/>
  <c r="G478" i="7"/>
  <c r="J478" i="7" s="1"/>
  <c r="G477" i="7"/>
  <c r="J477" i="7" s="1"/>
  <c r="G476" i="7"/>
  <c r="J476" i="7" s="1"/>
  <c r="G475" i="7"/>
  <c r="J475" i="7" s="1"/>
  <c r="G474" i="7"/>
  <c r="J474" i="7" s="1"/>
  <c r="G473" i="7"/>
  <c r="J473" i="7" s="1"/>
  <c r="G472" i="7"/>
  <c r="J472" i="7" s="1"/>
  <c r="G471" i="7"/>
  <c r="J471" i="7" s="1"/>
  <c r="G601" i="7"/>
  <c r="J601" i="7" s="1"/>
  <c r="G600" i="7"/>
  <c r="J600" i="7" s="1"/>
  <c r="G599" i="7"/>
  <c r="J599" i="7" s="1"/>
  <c r="G598" i="7"/>
  <c r="J598" i="7" s="1"/>
  <c r="G597" i="7"/>
  <c r="J597" i="7" s="1"/>
  <c r="G596" i="7"/>
  <c r="J596" i="7" s="1"/>
  <c r="G595" i="7"/>
  <c r="J595" i="7" s="1"/>
  <c r="G594" i="7"/>
  <c r="J594" i="7" s="1"/>
  <c r="G593" i="7"/>
  <c r="J593" i="7" s="1"/>
  <c r="G592" i="7"/>
  <c r="J592" i="7" s="1"/>
  <c r="G591" i="7"/>
  <c r="J591" i="7" s="1"/>
  <c r="G590" i="7"/>
  <c r="J590" i="7" s="1"/>
  <c r="G589" i="7"/>
  <c r="J589" i="7" s="1"/>
  <c r="G588" i="7"/>
  <c r="J588" i="7" s="1"/>
  <c r="G587" i="7"/>
  <c r="J587" i="7" s="1"/>
  <c r="G586" i="7"/>
  <c r="J586" i="7" s="1"/>
  <c r="G585" i="7"/>
  <c r="J585" i="7" s="1"/>
  <c r="G584" i="7"/>
  <c r="J584" i="7" s="1"/>
  <c r="G583" i="7"/>
  <c r="J583" i="7" s="1"/>
  <c r="G582" i="7"/>
  <c r="J582" i="7" s="1"/>
  <c r="G581" i="7"/>
  <c r="J581" i="7" s="1"/>
  <c r="G580" i="7"/>
  <c r="J580" i="7" s="1"/>
  <c r="G579" i="7"/>
  <c r="J579" i="7" s="1"/>
  <c r="G578" i="7"/>
  <c r="J578" i="7" s="1"/>
  <c r="G577" i="7"/>
  <c r="J577" i="7" s="1"/>
  <c r="G576" i="7"/>
  <c r="J576" i="7" s="1"/>
  <c r="G575" i="7"/>
  <c r="J575" i="7" s="1"/>
  <c r="G574" i="7"/>
  <c r="J574" i="7" s="1"/>
  <c r="G573" i="7"/>
  <c r="J573" i="7" s="1"/>
  <c r="G572" i="7"/>
  <c r="J572" i="7" s="1"/>
  <c r="G571" i="7"/>
  <c r="J571" i="7" s="1"/>
  <c r="G570" i="7"/>
  <c r="J570" i="7" s="1"/>
  <c r="G569" i="7"/>
  <c r="J569" i="7" s="1"/>
  <c r="G568" i="7"/>
  <c r="J568" i="7" s="1"/>
  <c r="G567" i="7"/>
  <c r="J567" i="7" s="1"/>
  <c r="G566" i="7"/>
  <c r="J566" i="7" s="1"/>
  <c r="G565" i="7"/>
  <c r="J565" i="7" s="1"/>
  <c r="G564" i="7"/>
  <c r="J564" i="7" s="1"/>
  <c r="G563" i="7"/>
  <c r="J563" i="7" s="1"/>
  <c r="G562" i="7"/>
  <c r="J562" i="7" s="1"/>
  <c r="G561" i="7"/>
  <c r="J561" i="7" s="1"/>
  <c r="G560" i="7"/>
  <c r="J560" i="7" s="1"/>
  <c r="G559" i="7"/>
  <c r="J559" i="7" s="1"/>
  <c r="G558" i="7"/>
  <c r="J558" i="7" s="1"/>
  <c r="G557" i="7"/>
  <c r="J557" i="7" s="1"/>
  <c r="G556" i="7"/>
  <c r="J556" i="7" s="1"/>
  <c r="G555" i="7"/>
  <c r="J555" i="7" s="1"/>
  <c r="G554" i="7"/>
  <c r="J554" i="7" s="1"/>
  <c r="G553" i="7"/>
  <c r="J553" i="7" s="1"/>
  <c r="G552" i="7"/>
  <c r="J552" i="7" s="1"/>
  <c r="G551" i="7"/>
  <c r="J551" i="7" s="1"/>
  <c r="G550" i="7"/>
  <c r="J550" i="7" s="1"/>
  <c r="G549" i="7"/>
  <c r="J549" i="7" s="1"/>
  <c r="G548" i="7"/>
  <c r="J548" i="7" s="1"/>
  <c r="G547" i="7"/>
  <c r="J547" i="7" s="1"/>
  <c r="G546" i="7"/>
  <c r="J546" i="7" s="1"/>
  <c r="G545" i="7"/>
  <c r="J545" i="7" s="1"/>
  <c r="G544" i="7"/>
  <c r="J544" i="7" s="1"/>
  <c r="G543" i="7"/>
  <c r="J543" i="7" s="1"/>
  <c r="G542" i="7"/>
  <c r="J542" i="7" s="1"/>
  <c r="G541" i="7"/>
  <c r="J541" i="7" s="1"/>
  <c r="G540" i="7"/>
  <c r="J540" i="7" s="1"/>
  <c r="G539" i="7"/>
  <c r="J539" i="7" s="1"/>
  <c r="G538" i="7"/>
  <c r="J538" i="7" s="1"/>
  <c r="G535" i="7"/>
  <c r="J535" i="7" s="1"/>
  <c r="D601" i="7"/>
  <c r="F601" i="7" s="1"/>
  <c r="D600" i="7"/>
  <c r="F600" i="7" s="1"/>
  <c r="D599" i="7"/>
  <c r="F599" i="7" s="1"/>
  <c r="D598" i="7"/>
  <c r="F598" i="7" s="1"/>
  <c r="D597" i="7"/>
  <c r="F597" i="7" s="1"/>
  <c r="D596" i="7"/>
  <c r="F596" i="7" s="1"/>
  <c r="D595" i="7"/>
  <c r="F595" i="7" s="1"/>
  <c r="D594" i="7"/>
  <c r="F594" i="7" s="1"/>
  <c r="D593" i="7"/>
  <c r="F593" i="7" s="1"/>
  <c r="D592" i="7"/>
  <c r="F592" i="7" s="1"/>
  <c r="D591" i="7"/>
  <c r="F591" i="7" s="1"/>
  <c r="D590" i="7"/>
  <c r="F590" i="7" s="1"/>
  <c r="D589" i="7"/>
  <c r="F589" i="7" s="1"/>
  <c r="D588" i="7"/>
  <c r="F588" i="7" s="1"/>
  <c r="D587" i="7"/>
  <c r="F587" i="7" s="1"/>
  <c r="D586" i="7"/>
  <c r="F586" i="7" s="1"/>
  <c r="D585" i="7"/>
  <c r="F585" i="7" s="1"/>
  <c r="D584" i="7"/>
  <c r="F584" i="7" s="1"/>
  <c r="D583" i="7"/>
  <c r="F583" i="7" s="1"/>
  <c r="D582" i="7"/>
  <c r="F582" i="7" s="1"/>
  <c r="D581" i="7"/>
  <c r="F581" i="7" s="1"/>
  <c r="D580" i="7"/>
  <c r="F580" i="7" s="1"/>
  <c r="D579" i="7"/>
  <c r="F579" i="7" s="1"/>
  <c r="D578" i="7"/>
  <c r="F578" i="7" s="1"/>
  <c r="D577" i="7"/>
  <c r="F577" i="7" s="1"/>
  <c r="D576" i="7"/>
  <c r="F576" i="7" s="1"/>
  <c r="D575" i="7"/>
  <c r="F575" i="7" s="1"/>
  <c r="D574" i="7"/>
  <c r="F574" i="7" s="1"/>
  <c r="D573" i="7"/>
  <c r="F573" i="7" s="1"/>
  <c r="D572" i="7"/>
  <c r="F572" i="7" s="1"/>
  <c r="D571" i="7"/>
  <c r="F571" i="7" s="1"/>
  <c r="D570" i="7"/>
  <c r="F570" i="7" s="1"/>
  <c r="D569" i="7"/>
  <c r="F569" i="7" s="1"/>
  <c r="D568" i="7"/>
  <c r="F568" i="7" s="1"/>
  <c r="D567" i="7"/>
  <c r="F567" i="7" s="1"/>
  <c r="D566" i="7"/>
  <c r="F566" i="7" s="1"/>
  <c r="D565" i="7"/>
  <c r="F565" i="7" s="1"/>
  <c r="D564" i="7"/>
  <c r="F564" i="7" s="1"/>
  <c r="D563" i="7"/>
  <c r="F563" i="7" s="1"/>
  <c r="D562" i="7"/>
  <c r="F562" i="7" s="1"/>
  <c r="D561" i="7"/>
  <c r="F561" i="7" s="1"/>
  <c r="D560" i="7"/>
  <c r="F560" i="7" s="1"/>
  <c r="D559" i="7"/>
  <c r="F559" i="7" s="1"/>
  <c r="D558" i="7"/>
  <c r="F558" i="7" s="1"/>
  <c r="D557" i="7"/>
  <c r="F557" i="7" s="1"/>
  <c r="D556" i="7"/>
  <c r="F556" i="7" s="1"/>
  <c r="D555" i="7"/>
  <c r="F555" i="7" s="1"/>
  <c r="D554" i="7"/>
  <c r="F554" i="7" s="1"/>
  <c r="D553" i="7"/>
  <c r="F553" i="7" s="1"/>
  <c r="D552" i="7"/>
  <c r="F552" i="7" s="1"/>
  <c r="D551" i="7"/>
  <c r="F551" i="7" s="1"/>
  <c r="D550" i="7"/>
  <c r="F550" i="7" s="1"/>
  <c r="D549" i="7"/>
  <c r="F549" i="7" s="1"/>
  <c r="D548" i="7"/>
  <c r="F548" i="7" s="1"/>
  <c r="D547" i="7"/>
  <c r="F547" i="7" s="1"/>
  <c r="D546" i="7"/>
  <c r="F546" i="7" s="1"/>
  <c r="D545" i="7"/>
  <c r="F545" i="7" s="1"/>
  <c r="D544" i="7"/>
  <c r="F544" i="7" s="1"/>
  <c r="D543" i="7"/>
  <c r="F543" i="7" s="1"/>
  <c r="D542" i="7"/>
  <c r="F542" i="7" s="1"/>
  <c r="D536" i="7"/>
  <c r="F536" i="7" s="1"/>
  <c r="D535" i="7"/>
  <c r="F535" i="7" s="1"/>
  <c r="D520" i="7"/>
  <c r="F520" i="7" s="1"/>
  <c r="D519" i="7"/>
  <c r="F519" i="7" s="1"/>
  <c r="D518" i="7"/>
  <c r="F518" i="7" s="1"/>
  <c r="D517" i="7"/>
  <c r="F517" i="7" s="1"/>
  <c r="D516" i="7"/>
  <c r="F516" i="7" s="1"/>
  <c r="D515" i="7"/>
  <c r="F515" i="7" s="1"/>
  <c r="D514" i="7"/>
  <c r="F514" i="7" s="1"/>
  <c r="D513" i="7"/>
  <c r="F513" i="7" s="1"/>
  <c r="D512" i="7"/>
  <c r="F512" i="7" s="1"/>
  <c r="D511" i="7"/>
  <c r="F511" i="7" s="1"/>
  <c r="D510" i="7"/>
  <c r="F510" i="7" s="1"/>
  <c r="D509" i="7"/>
  <c r="F509" i="7" s="1"/>
  <c r="D508" i="7"/>
  <c r="F508" i="7" s="1"/>
  <c r="D507" i="7"/>
  <c r="F507" i="7" s="1"/>
  <c r="D506" i="7"/>
  <c r="F506" i="7" s="1"/>
  <c r="D505" i="7"/>
  <c r="F505" i="7" s="1"/>
  <c r="D504" i="7"/>
  <c r="F504" i="7" s="1"/>
  <c r="D503" i="7"/>
  <c r="F503" i="7" s="1"/>
  <c r="D502" i="7"/>
  <c r="F502" i="7" s="1"/>
  <c r="D501" i="7"/>
  <c r="F501" i="7" s="1"/>
  <c r="D500" i="7"/>
  <c r="F500" i="7" s="1"/>
  <c r="D499" i="7"/>
  <c r="F499" i="7" s="1"/>
  <c r="D498" i="7"/>
  <c r="F498" i="7" s="1"/>
  <c r="D497" i="7"/>
  <c r="F497" i="7" s="1"/>
  <c r="D496" i="7"/>
  <c r="F496" i="7" s="1"/>
  <c r="D495" i="7"/>
  <c r="F495" i="7" s="1"/>
  <c r="D494" i="7"/>
  <c r="F494" i="7" s="1"/>
  <c r="D493" i="7"/>
  <c r="F493" i="7" s="1"/>
  <c r="D492" i="7"/>
  <c r="F492" i="7" s="1"/>
  <c r="D491" i="7"/>
  <c r="F491" i="7" s="1"/>
  <c r="D490" i="7"/>
  <c r="F490" i="7" s="1"/>
  <c r="D489" i="7"/>
  <c r="F489" i="7" s="1"/>
  <c r="D488" i="7"/>
  <c r="F488" i="7" s="1"/>
  <c r="D487" i="7"/>
  <c r="F487" i="7" s="1"/>
  <c r="D486" i="7"/>
  <c r="F486" i="7" s="1"/>
  <c r="D485" i="7"/>
  <c r="F485" i="7" s="1"/>
  <c r="D484" i="7"/>
  <c r="F484" i="7" s="1"/>
  <c r="D483" i="7"/>
  <c r="F483" i="7" s="1"/>
  <c r="D482" i="7"/>
  <c r="F482" i="7" s="1"/>
  <c r="D481" i="7"/>
  <c r="F481" i="7" s="1"/>
  <c r="D480" i="7"/>
  <c r="F480" i="7" s="1"/>
  <c r="D479" i="7"/>
  <c r="F479" i="7" s="1"/>
  <c r="D478" i="7"/>
  <c r="F478" i="7" s="1"/>
  <c r="D477" i="7"/>
  <c r="F477" i="7" s="1"/>
  <c r="D476" i="7"/>
  <c r="F476" i="7" s="1"/>
  <c r="D475" i="7"/>
  <c r="F475" i="7" s="1"/>
  <c r="D474" i="7"/>
  <c r="F474" i="7" s="1"/>
  <c r="D473" i="7"/>
  <c r="F473" i="7" s="1"/>
  <c r="D472" i="7"/>
  <c r="F472" i="7" s="1"/>
  <c r="D471" i="7"/>
  <c r="F471" i="7" s="1"/>
  <c r="D466" i="7"/>
  <c r="F466" i="7" s="1"/>
  <c r="D465" i="7"/>
  <c r="F465" i="7" s="1"/>
  <c r="D464" i="7"/>
  <c r="F464" i="7" s="1"/>
  <c r="D463" i="7"/>
  <c r="F463" i="7" s="1"/>
  <c r="D462" i="7"/>
  <c r="F462" i="7" s="1"/>
  <c r="D461" i="7"/>
  <c r="F461" i="7" s="1"/>
  <c r="D460" i="7"/>
  <c r="F460" i="7" s="1"/>
  <c r="D459" i="7"/>
  <c r="F459" i="7" s="1"/>
  <c r="D458" i="7"/>
  <c r="F458" i="7" s="1"/>
  <c r="D457" i="7"/>
  <c r="F457" i="7" s="1"/>
  <c r="D456" i="7"/>
  <c r="F456" i="7" s="1"/>
  <c r="D455" i="7"/>
  <c r="F455" i="7" s="1"/>
  <c r="D454" i="7"/>
  <c r="F454" i="7" s="1"/>
  <c r="D453" i="7"/>
  <c r="F453" i="7" s="1"/>
  <c r="D452" i="7"/>
  <c r="F452" i="7" s="1"/>
  <c r="D451" i="7"/>
  <c r="F451" i="7" s="1"/>
  <c r="D450" i="7"/>
  <c r="F450" i="7" s="1"/>
  <c r="D449" i="7"/>
  <c r="F449" i="7" s="1"/>
  <c r="D448" i="7"/>
  <c r="F448" i="7" s="1"/>
  <c r="D447" i="7"/>
  <c r="F447" i="7" s="1"/>
  <c r="D446" i="7"/>
  <c r="F446" i="7" s="1"/>
  <c r="D445" i="7"/>
  <c r="F445" i="7" s="1"/>
  <c r="D444" i="7"/>
  <c r="F444" i="7" s="1"/>
  <c r="D443" i="7"/>
  <c r="F443" i="7" s="1"/>
  <c r="D442" i="7"/>
  <c r="F442" i="7" s="1"/>
  <c r="D441" i="7"/>
  <c r="F441" i="7" s="1"/>
  <c r="D440" i="7"/>
  <c r="F440" i="7" s="1"/>
  <c r="D439" i="7"/>
  <c r="F439" i="7" s="1"/>
  <c r="D438" i="7"/>
  <c r="F438" i="7" s="1"/>
  <c r="D437" i="7"/>
  <c r="F437" i="7" s="1"/>
  <c r="D436" i="7"/>
  <c r="F436" i="7" s="1"/>
  <c r="D435" i="7"/>
  <c r="F435" i="7" s="1"/>
  <c r="D434" i="7"/>
  <c r="F434" i="7" s="1"/>
  <c r="D433" i="7"/>
  <c r="F433" i="7" s="1"/>
  <c r="D432" i="7"/>
  <c r="F432" i="7" s="1"/>
  <c r="D431" i="7"/>
  <c r="F431" i="7" s="1"/>
  <c r="D430" i="7"/>
  <c r="F430" i="7" s="1"/>
  <c r="D429" i="7"/>
  <c r="F429" i="7" s="1"/>
  <c r="D428" i="7"/>
  <c r="F428" i="7" s="1"/>
  <c r="D427" i="7"/>
  <c r="F427" i="7" s="1"/>
  <c r="D426" i="7"/>
  <c r="F426" i="7" s="1"/>
  <c r="D425" i="7"/>
  <c r="F425" i="7" s="1"/>
  <c r="D424" i="7"/>
  <c r="F424" i="7" s="1"/>
  <c r="D385" i="7"/>
  <c r="F385" i="7" s="1"/>
  <c r="D413" i="7"/>
  <c r="F413" i="7" s="1"/>
  <c r="D412" i="7"/>
  <c r="F412" i="7" s="1"/>
  <c r="D411" i="7"/>
  <c r="F411" i="7" s="1"/>
  <c r="D410" i="7"/>
  <c r="F410" i="7" s="1"/>
  <c r="D409" i="7"/>
  <c r="F409" i="7" s="1"/>
  <c r="D408" i="7"/>
  <c r="F408" i="7" s="1"/>
  <c r="D407" i="7"/>
  <c r="F407" i="7" s="1"/>
  <c r="D406" i="7"/>
  <c r="F406" i="7" s="1"/>
  <c r="D405" i="7"/>
  <c r="F405" i="7" s="1"/>
  <c r="D404" i="7"/>
  <c r="F404" i="7" s="1"/>
  <c r="D403" i="7"/>
  <c r="F403" i="7" s="1"/>
  <c r="D402" i="7"/>
  <c r="F402" i="7" s="1"/>
  <c r="D401" i="7"/>
  <c r="F401" i="7" s="1"/>
  <c r="D400" i="7"/>
  <c r="F400" i="7" s="1"/>
  <c r="D399" i="7"/>
  <c r="F399" i="7" s="1"/>
  <c r="D398" i="7"/>
  <c r="F398" i="7" s="1"/>
  <c r="D397" i="7"/>
  <c r="F397" i="7" s="1"/>
  <c r="D396" i="7"/>
  <c r="F396" i="7" s="1"/>
  <c r="D395" i="7"/>
  <c r="F395" i="7" s="1"/>
  <c r="D394" i="7"/>
  <c r="F394" i="7" s="1"/>
  <c r="D393" i="7"/>
  <c r="F393" i="7" s="1"/>
  <c r="D392" i="7"/>
  <c r="F392" i="7" s="1"/>
  <c r="D391" i="7"/>
  <c r="F391" i="7" s="1"/>
  <c r="D390" i="7"/>
  <c r="F390" i="7" s="1"/>
  <c r="D389" i="7"/>
  <c r="F389" i="7" s="1"/>
  <c r="D388" i="7"/>
  <c r="F388" i="7" s="1"/>
  <c r="D387" i="7"/>
  <c r="F387" i="7" s="1"/>
  <c r="D386" i="7"/>
  <c r="F386" i="7" s="1"/>
  <c r="D381" i="7"/>
  <c r="F381" i="7" s="1"/>
  <c r="D380" i="7"/>
  <c r="F380" i="7" s="1"/>
  <c r="D379" i="7"/>
  <c r="F379" i="7" s="1"/>
  <c r="D378" i="7"/>
  <c r="F378" i="7" s="1"/>
  <c r="D377" i="7"/>
  <c r="F377" i="7" s="1"/>
  <c r="D376" i="7"/>
  <c r="F376" i="7" s="1"/>
  <c r="D375" i="7"/>
  <c r="F375" i="7" s="1"/>
  <c r="D374" i="7"/>
  <c r="F374" i="7" s="1"/>
  <c r="D373" i="7"/>
  <c r="F373" i="7" s="1"/>
  <c r="D372" i="7"/>
  <c r="F372" i="7" s="1"/>
  <c r="D371" i="7"/>
  <c r="F371" i="7" s="1"/>
  <c r="D370" i="7"/>
  <c r="F370" i="7" s="1"/>
  <c r="D369" i="7"/>
  <c r="F369" i="7" s="1"/>
  <c r="D368" i="7"/>
  <c r="F368" i="7" s="1"/>
  <c r="D367" i="7"/>
  <c r="F367" i="7" s="1"/>
  <c r="D366" i="7"/>
  <c r="F366" i="7" s="1"/>
  <c r="D365" i="7"/>
  <c r="F365" i="7" s="1"/>
  <c r="D364" i="7"/>
  <c r="F364" i="7" s="1"/>
  <c r="D363" i="7"/>
  <c r="F363" i="7" s="1"/>
  <c r="D362" i="7"/>
  <c r="F362" i="7" s="1"/>
  <c r="D361" i="7"/>
  <c r="F361" i="7" s="1"/>
  <c r="D360" i="7"/>
  <c r="F360" i="7" s="1"/>
  <c r="D359" i="7"/>
  <c r="F359" i="7" s="1"/>
  <c r="D358" i="7"/>
  <c r="F358" i="7" s="1"/>
  <c r="D357" i="7"/>
  <c r="F357" i="7" s="1"/>
  <c r="D356" i="7"/>
  <c r="F356" i="7" s="1"/>
  <c r="D354" i="7"/>
  <c r="F354" i="7" s="1"/>
  <c r="D353" i="7"/>
  <c r="F353" i="7" s="1"/>
  <c r="D345" i="7"/>
  <c r="F345" i="7" s="1"/>
  <c r="D344" i="7"/>
  <c r="F344" i="7" s="1"/>
  <c r="D343" i="7"/>
  <c r="F343" i="7" s="1"/>
  <c r="D342" i="7"/>
  <c r="F342" i="7" s="1"/>
  <c r="D341" i="7"/>
  <c r="F341" i="7" s="1"/>
  <c r="D340" i="7"/>
  <c r="F340" i="7" s="1"/>
  <c r="D339" i="7"/>
  <c r="F339" i="7" s="1"/>
  <c r="D338" i="7"/>
  <c r="F338" i="7" s="1"/>
  <c r="D337" i="7"/>
  <c r="F337" i="7" s="1"/>
  <c r="D336" i="7"/>
  <c r="F336" i="7" s="1"/>
  <c r="D335" i="7"/>
  <c r="F335" i="7" s="1"/>
  <c r="D334" i="7"/>
  <c r="F334" i="7" s="1"/>
  <c r="D333" i="7"/>
  <c r="F333" i="7" s="1"/>
  <c r="D332" i="7"/>
  <c r="F332" i="7" s="1"/>
  <c r="D331" i="7"/>
  <c r="F331" i="7" s="1"/>
  <c r="D330" i="7"/>
  <c r="F330" i="7" s="1"/>
  <c r="D329" i="7"/>
  <c r="F329" i="7" s="1"/>
  <c r="D328" i="7"/>
  <c r="F328" i="7" s="1"/>
  <c r="D327" i="7"/>
  <c r="F327" i="7" s="1"/>
  <c r="D326" i="7"/>
  <c r="F326" i="7" s="1"/>
  <c r="D325" i="7"/>
  <c r="F325" i="7" s="1"/>
  <c r="D324" i="7"/>
  <c r="F324" i="7" s="1"/>
  <c r="D323" i="7"/>
  <c r="F323" i="7" s="1"/>
  <c r="D322" i="7"/>
  <c r="F322" i="7" s="1"/>
  <c r="D321" i="7"/>
  <c r="F321" i="7" s="1"/>
  <c r="D320" i="7"/>
  <c r="F320" i="7" s="1"/>
  <c r="D319" i="7"/>
  <c r="F319" i="7" s="1"/>
  <c r="D318" i="7"/>
  <c r="F318" i="7" s="1"/>
  <c r="D313" i="7"/>
  <c r="F313" i="7" s="1"/>
  <c r="D312" i="7"/>
  <c r="F312" i="7" s="1"/>
  <c r="D311" i="7"/>
  <c r="F311" i="7" s="1"/>
  <c r="D310" i="7"/>
  <c r="F310" i="7" s="1"/>
  <c r="D309" i="7"/>
  <c r="F309" i="7" s="1"/>
  <c r="D308" i="7"/>
  <c r="F308" i="7" s="1"/>
  <c r="D307" i="7"/>
  <c r="F307" i="7" s="1"/>
  <c r="D306" i="7"/>
  <c r="F306" i="7" s="1"/>
  <c r="D305" i="7"/>
  <c r="F305" i="7" s="1"/>
  <c r="D304" i="7"/>
  <c r="F304" i="7" s="1"/>
  <c r="D303" i="7"/>
  <c r="F303" i="7" s="1"/>
  <c r="D302" i="7"/>
  <c r="F302" i="7" s="1"/>
  <c r="D301" i="7"/>
  <c r="F301" i="7" s="1"/>
  <c r="D300" i="7"/>
  <c r="F300" i="7" s="1"/>
  <c r="D299" i="7"/>
  <c r="F299" i="7" s="1"/>
  <c r="D298" i="7"/>
  <c r="F298" i="7" s="1"/>
  <c r="D297" i="7"/>
  <c r="F297" i="7" s="1"/>
  <c r="D296" i="7"/>
  <c r="F296" i="7" s="1"/>
  <c r="D295" i="7"/>
  <c r="F295" i="7" s="1"/>
  <c r="D294" i="7"/>
  <c r="F294" i="7" s="1"/>
  <c r="D293" i="7"/>
  <c r="F293" i="7" s="1"/>
  <c r="D292" i="7"/>
  <c r="F292" i="7" s="1"/>
  <c r="D291" i="7"/>
  <c r="F291" i="7" s="1"/>
  <c r="D290" i="7"/>
  <c r="F290" i="7" s="1"/>
  <c r="D289" i="7"/>
  <c r="F289" i="7" s="1"/>
  <c r="D288" i="7"/>
  <c r="F288" i="7" s="1"/>
  <c r="D287" i="7"/>
  <c r="F287" i="7" s="1"/>
  <c r="D286" i="7"/>
  <c r="F286" i="7" s="1"/>
  <c r="D281" i="7"/>
  <c r="F281" i="7" s="1"/>
  <c r="D280" i="7"/>
  <c r="F280" i="7" s="1"/>
  <c r="D279" i="7"/>
  <c r="F279" i="7" s="1"/>
  <c r="D278" i="7"/>
  <c r="F278" i="7" s="1"/>
  <c r="D277" i="7"/>
  <c r="F277" i="7" s="1"/>
  <c r="D276" i="7"/>
  <c r="F276" i="7" s="1"/>
  <c r="D275" i="7"/>
  <c r="F275" i="7" s="1"/>
  <c r="D274" i="7"/>
  <c r="F274" i="7" s="1"/>
  <c r="D273" i="7"/>
  <c r="F273" i="7" s="1"/>
  <c r="D272" i="7"/>
  <c r="F272" i="7" s="1"/>
  <c r="D271" i="7"/>
  <c r="F271" i="7" s="1"/>
  <c r="D270" i="7"/>
  <c r="F270" i="7" s="1"/>
  <c r="D269" i="7"/>
  <c r="F269" i="7" s="1"/>
  <c r="D268" i="7"/>
  <c r="F268" i="7" s="1"/>
  <c r="D267" i="7"/>
  <c r="F267" i="7" s="1"/>
  <c r="D266" i="7"/>
  <c r="F266" i="7" s="1"/>
  <c r="D265" i="7"/>
  <c r="F265" i="7" s="1"/>
  <c r="D264" i="7"/>
  <c r="F264" i="7" s="1"/>
  <c r="D263" i="7"/>
  <c r="F263" i="7" s="1"/>
  <c r="D262" i="7"/>
  <c r="F262" i="7" s="1"/>
  <c r="D261" i="7"/>
  <c r="F261" i="7" s="1"/>
  <c r="D260" i="7"/>
  <c r="F260" i="7" s="1"/>
  <c r="D259" i="7"/>
  <c r="F259" i="7" s="1"/>
  <c r="D258" i="7"/>
  <c r="F258" i="7" s="1"/>
  <c r="D256" i="7"/>
  <c r="F256" i="7" s="1"/>
  <c r="D255" i="7"/>
  <c r="F255" i="7" s="1"/>
  <c r="D254" i="7"/>
  <c r="F254" i="7" s="1"/>
  <c r="D248" i="7"/>
  <c r="F248" i="7" s="1"/>
  <c r="D247" i="7"/>
  <c r="F247" i="7" s="1"/>
  <c r="D246" i="7"/>
  <c r="F246" i="7" s="1"/>
  <c r="D245" i="7"/>
  <c r="F245" i="7" s="1"/>
  <c r="D244" i="7"/>
  <c r="F244" i="7" s="1"/>
  <c r="D243" i="7"/>
  <c r="F243" i="7" s="1"/>
  <c r="D242" i="7"/>
  <c r="F242" i="7" s="1"/>
  <c r="D241" i="7"/>
  <c r="F241" i="7" s="1"/>
  <c r="D240" i="7"/>
  <c r="F240" i="7" s="1"/>
  <c r="D239" i="7"/>
  <c r="F239" i="7" s="1"/>
  <c r="D238" i="7"/>
  <c r="F238" i="7" s="1"/>
  <c r="D237" i="7"/>
  <c r="F237" i="7" s="1"/>
  <c r="D236" i="7"/>
  <c r="F236" i="7" s="1"/>
  <c r="D235" i="7"/>
  <c r="F235" i="7" s="1"/>
  <c r="D234" i="7"/>
  <c r="F234" i="7" s="1"/>
  <c r="D233" i="7"/>
  <c r="F233" i="7" s="1"/>
  <c r="D232" i="7"/>
  <c r="F232" i="7" s="1"/>
  <c r="D231" i="7"/>
  <c r="F231" i="7" s="1"/>
  <c r="D230" i="7"/>
  <c r="F230" i="7" s="1"/>
  <c r="D229" i="7"/>
  <c r="F229" i="7" s="1"/>
  <c r="D228" i="7"/>
  <c r="F228" i="7" s="1"/>
  <c r="D227" i="7"/>
  <c r="F227" i="7" s="1"/>
  <c r="D226" i="7"/>
  <c r="F226" i="7" s="1"/>
  <c r="D225" i="7"/>
  <c r="F225" i="7" s="1"/>
  <c r="D224" i="7"/>
  <c r="F224" i="7" s="1"/>
  <c r="D223" i="7"/>
  <c r="F223" i="7" s="1"/>
  <c r="D222" i="7"/>
  <c r="F222" i="7" s="1"/>
  <c r="D221" i="7"/>
  <c r="F221" i="7" s="1"/>
  <c r="D220" i="7"/>
  <c r="F220" i="7" s="1"/>
  <c r="D219" i="7"/>
  <c r="F219" i="7" s="1"/>
  <c r="D218" i="7"/>
  <c r="F218" i="7" s="1"/>
  <c r="D217" i="7"/>
  <c r="F217" i="7" s="1"/>
  <c r="D216" i="7"/>
  <c r="F216" i="7" s="1"/>
  <c r="D215" i="7"/>
  <c r="F215" i="7" s="1"/>
  <c r="D214" i="7"/>
  <c r="F214" i="7" s="1"/>
  <c r="D213" i="7"/>
  <c r="F213" i="7" s="1"/>
  <c r="D212" i="7"/>
  <c r="F212" i="7" s="1"/>
  <c r="D211" i="7"/>
  <c r="F211" i="7" s="1"/>
  <c r="D210" i="7"/>
  <c r="F210" i="7" s="1"/>
  <c r="D209" i="7"/>
  <c r="F209" i="7" s="1"/>
  <c r="D207" i="7"/>
  <c r="F207" i="7" s="1"/>
  <c r="D206" i="7"/>
  <c r="F206" i="7" s="1"/>
  <c r="D205" i="7"/>
  <c r="F205" i="7" s="1"/>
  <c r="D204" i="7"/>
  <c r="F204" i="7" s="1"/>
  <c r="D203" i="7"/>
  <c r="G196" i="7"/>
  <c r="J196" i="7" s="1"/>
  <c r="G195" i="7"/>
  <c r="J195" i="7" s="1"/>
  <c r="G194" i="7"/>
  <c r="J194" i="7" s="1"/>
  <c r="G193" i="7"/>
  <c r="J193" i="7" s="1"/>
  <c r="G192" i="7"/>
  <c r="J192" i="7" s="1"/>
  <c r="G191" i="7"/>
  <c r="J191" i="7" s="1"/>
  <c r="G190" i="7"/>
  <c r="J190" i="7" s="1"/>
  <c r="G189" i="7"/>
  <c r="J189" i="7" s="1"/>
  <c r="G188" i="7"/>
  <c r="J188" i="7" s="1"/>
  <c r="G187" i="7"/>
  <c r="J187" i="7" s="1"/>
  <c r="G185" i="7"/>
  <c r="J185" i="7" s="1"/>
  <c r="G184" i="7"/>
  <c r="J184" i="7" s="1"/>
  <c r="G183" i="7"/>
  <c r="J183" i="7" s="1"/>
  <c r="D196" i="7"/>
  <c r="F196" i="7" s="1"/>
  <c r="D195" i="7"/>
  <c r="F195" i="7" s="1"/>
  <c r="D194" i="7"/>
  <c r="F194" i="7" s="1"/>
  <c r="D193" i="7"/>
  <c r="F193" i="7" s="1"/>
  <c r="D192" i="7"/>
  <c r="F192" i="7" s="1"/>
  <c r="D191" i="7"/>
  <c r="F191" i="7" s="1"/>
  <c r="D190" i="7"/>
  <c r="F190" i="7" s="1"/>
  <c r="D189" i="7"/>
  <c r="F189" i="7" s="1"/>
  <c r="D188" i="7"/>
  <c r="F188" i="7" s="1"/>
  <c r="D187" i="7"/>
  <c r="F187" i="7" s="1"/>
  <c r="D185" i="7"/>
  <c r="F185" i="7" s="1"/>
  <c r="D184" i="7"/>
  <c r="F184" i="7" s="1"/>
  <c r="D183" i="7"/>
  <c r="F183" i="7" s="1"/>
  <c r="C18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471"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17"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384"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52"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16"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284" i="7"/>
  <c r="C253" i="7"/>
  <c r="C254" i="7"/>
  <c r="C255" i="7"/>
  <c r="C256" i="7"/>
  <c r="C259" i="7"/>
  <c r="C260" i="7"/>
  <c r="C261" i="7"/>
  <c r="C262" i="7"/>
  <c r="C263" i="7"/>
  <c r="C264" i="7"/>
  <c r="C265" i="7"/>
  <c r="C266" i="7"/>
  <c r="C267" i="7"/>
  <c r="C268" i="7"/>
  <c r="C269" i="7"/>
  <c r="C270" i="7"/>
  <c r="C271" i="7"/>
  <c r="C272" i="7"/>
  <c r="C273" i="7"/>
  <c r="C274" i="7"/>
  <c r="C275" i="7"/>
  <c r="C276" i="7"/>
  <c r="C277" i="7"/>
  <c r="C278" i="7"/>
  <c r="C279" i="7"/>
  <c r="C280" i="7"/>
  <c r="C281" i="7"/>
  <c r="C252" i="7"/>
  <c r="C201" i="7"/>
  <c r="C202" i="7"/>
  <c r="C203" i="7"/>
  <c r="C204" i="7"/>
  <c r="C205" i="7"/>
  <c r="C206" i="7"/>
  <c r="C207"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00" i="7"/>
  <c r="C183" i="7"/>
  <c r="C184" i="7"/>
  <c r="C185" i="7"/>
  <c r="C186" i="7"/>
  <c r="C187" i="7"/>
  <c r="C188" i="7"/>
  <c r="C189" i="7"/>
  <c r="C190" i="7"/>
  <c r="C191" i="7"/>
  <c r="C192" i="7"/>
  <c r="C193" i="7"/>
  <c r="C194" i="7"/>
  <c r="C195" i="7"/>
  <c r="C196" i="7"/>
  <c r="C162" i="7"/>
  <c r="C163" i="7"/>
  <c r="C164" i="7"/>
  <c r="C165" i="7"/>
  <c r="C166" i="7"/>
  <c r="C167" i="7"/>
  <c r="C168" i="7"/>
  <c r="C169" i="7"/>
  <c r="C170" i="7"/>
  <c r="C171" i="7"/>
  <c r="C172" i="7"/>
  <c r="C173" i="7"/>
  <c r="C174" i="7"/>
  <c r="C175" i="7"/>
  <c r="C176" i="7"/>
  <c r="G176" i="7"/>
  <c r="G175" i="7"/>
  <c r="G174" i="7"/>
  <c r="G173" i="7"/>
  <c r="G172" i="7"/>
  <c r="G171" i="7"/>
  <c r="G170" i="7"/>
  <c r="G169" i="7"/>
  <c r="G168" i="7"/>
  <c r="G167" i="7"/>
  <c r="G166" i="7"/>
  <c r="G165" i="7"/>
  <c r="G164" i="7"/>
  <c r="G163" i="7"/>
  <c r="G162" i="7"/>
  <c r="D176" i="7"/>
  <c r="F176" i="7" s="1"/>
  <c r="D175" i="7"/>
  <c r="F175" i="7" s="1"/>
  <c r="D174" i="7"/>
  <c r="F174" i="7" s="1"/>
  <c r="D173" i="7"/>
  <c r="F173" i="7" s="1"/>
  <c r="D172" i="7"/>
  <c r="F172" i="7" s="1"/>
  <c r="D171" i="7"/>
  <c r="F171" i="7" s="1"/>
  <c r="D170" i="7"/>
  <c r="F170" i="7" s="1"/>
  <c r="D169" i="7"/>
  <c r="F169" i="7" s="1"/>
  <c r="D168" i="7"/>
  <c r="F168" i="7" s="1"/>
  <c r="D167" i="7"/>
  <c r="F167" i="7" s="1"/>
  <c r="D166" i="7"/>
  <c r="F166" i="7" s="1"/>
  <c r="D165" i="7"/>
  <c r="F165" i="7" s="1"/>
  <c r="D164" i="7"/>
  <c r="F164" i="7" s="1"/>
  <c r="D162" i="7"/>
  <c r="F162" i="7" s="1"/>
  <c r="D163" i="7"/>
  <c r="F163" i="7" s="1"/>
  <c r="C161" i="7"/>
  <c r="G157" i="7"/>
  <c r="G156" i="7"/>
  <c r="G155" i="7"/>
  <c r="G154" i="7"/>
  <c r="G153" i="7"/>
  <c r="G152" i="7"/>
  <c r="G151" i="7"/>
  <c r="G150" i="7"/>
  <c r="G149" i="7"/>
  <c r="G148" i="7"/>
  <c r="G147" i="7"/>
  <c r="G146" i="7"/>
  <c r="G145" i="7"/>
  <c r="G144" i="7"/>
  <c r="G143" i="7"/>
  <c r="G142" i="7"/>
  <c r="G141" i="7"/>
  <c r="G140" i="7"/>
  <c r="G139" i="7"/>
  <c r="G138" i="7"/>
  <c r="D157" i="7"/>
  <c r="F157" i="7" s="1"/>
  <c r="D156" i="7"/>
  <c r="F156" i="7" s="1"/>
  <c r="D155" i="7"/>
  <c r="F155" i="7" s="1"/>
  <c r="D154" i="7"/>
  <c r="F154" i="7" s="1"/>
  <c r="D153" i="7"/>
  <c r="F153" i="7" s="1"/>
  <c r="D152" i="7"/>
  <c r="F152" i="7" s="1"/>
  <c r="D151" i="7"/>
  <c r="F151" i="7" s="1"/>
  <c r="D150" i="7"/>
  <c r="F150" i="7" s="1"/>
  <c r="D149" i="7"/>
  <c r="F149" i="7" s="1"/>
  <c r="D148" i="7"/>
  <c r="F148" i="7" s="1"/>
  <c r="D147" i="7"/>
  <c r="F147" i="7" s="1"/>
  <c r="D146" i="7"/>
  <c r="F146" i="7" s="1"/>
  <c r="D145" i="7"/>
  <c r="F145" i="7" s="1"/>
  <c r="D144" i="7"/>
  <c r="F144" i="7" s="1"/>
  <c r="D143" i="7"/>
  <c r="F143" i="7" s="1"/>
  <c r="D142" i="7"/>
  <c r="F142" i="7" s="1"/>
  <c r="D141" i="7"/>
  <c r="F141" i="7" s="1"/>
  <c r="D140" i="7"/>
  <c r="F140" i="7" s="1"/>
  <c r="D139" i="7"/>
  <c r="F139" i="7" s="1"/>
  <c r="C135" i="7"/>
  <c r="C136" i="7"/>
  <c r="C137" i="7"/>
  <c r="C138" i="7"/>
  <c r="C139" i="7"/>
  <c r="C140" i="7"/>
  <c r="C141" i="7"/>
  <c r="C142" i="7"/>
  <c r="C143" i="7"/>
  <c r="C144" i="7"/>
  <c r="C145" i="7"/>
  <c r="C146" i="7"/>
  <c r="C147" i="7"/>
  <c r="C148" i="7"/>
  <c r="C149" i="7"/>
  <c r="C150" i="7"/>
  <c r="C151" i="7"/>
  <c r="C152" i="7"/>
  <c r="C153" i="7"/>
  <c r="C154" i="7"/>
  <c r="C155" i="7"/>
  <c r="C156" i="7"/>
  <c r="C157" i="7"/>
  <c r="C134" i="7"/>
  <c r="G130" i="7"/>
  <c r="J130" i="7" s="1"/>
  <c r="G129" i="7"/>
  <c r="J129" i="7" s="1"/>
  <c r="G128" i="7"/>
  <c r="J128" i="7" s="1"/>
  <c r="G127" i="7"/>
  <c r="J127" i="7" s="1"/>
  <c r="G126" i="7"/>
  <c r="J126" i="7" s="1"/>
  <c r="G125" i="7"/>
  <c r="J125" i="7" s="1"/>
  <c r="G124" i="7"/>
  <c r="J124" i="7" s="1"/>
  <c r="G123" i="7"/>
  <c r="J123" i="7" s="1"/>
  <c r="G122" i="7"/>
  <c r="J122" i="7" s="1"/>
  <c r="G121" i="7"/>
  <c r="J121" i="7" s="1"/>
  <c r="G120" i="7"/>
  <c r="J120" i="7" s="1"/>
  <c r="G119" i="7"/>
  <c r="J119" i="7" s="1"/>
  <c r="G118" i="7"/>
  <c r="J118" i="7" s="1"/>
  <c r="G117" i="7"/>
  <c r="J117" i="7" s="1"/>
  <c r="G116" i="7"/>
  <c r="J116" i="7" s="1"/>
  <c r="G115" i="7"/>
  <c r="J115" i="7" s="1"/>
  <c r="G114" i="7"/>
  <c r="J114" i="7" s="1"/>
  <c r="G113" i="7"/>
  <c r="J113" i="7" s="1"/>
  <c r="G112" i="7"/>
  <c r="J112" i="7" s="1"/>
  <c r="G111" i="7"/>
  <c r="J111" i="7" s="1"/>
  <c r="G110" i="7"/>
  <c r="J110" i="7" s="1"/>
  <c r="G109" i="7"/>
  <c r="J109" i="7" s="1"/>
  <c r="G108" i="7"/>
  <c r="J108" i="7" s="1"/>
  <c r="G107" i="7"/>
  <c r="J107" i="7" s="1"/>
  <c r="D130" i="7"/>
  <c r="F130" i="7" s="1"/>
  <c r="D129" i="7"/>
  <c r="F129" i="7" s="1"/>
  <c r="D128" i="7"/>
  <c r="F128" i="7" s="1"/>
  <c r="D127" i="7"/>
  <c r="F127" i="7" s="1"/>
  <c r="D126" i="7"/>
  <c r="F126" i="7" s="1"/>
  <c r="D125" i="7"/>
  <c r="F125" i="7" s="1"/>
  <c r="D124" i="7"/>
  <c r="F124" i="7" s="1"/>
  <c r="D123" i="7"/>
  <c r="F123" i="7" s="1"/>
  <c r="D122" i="7"/>
  <c r="F122" i="7" s="1"/>
  <c r="D121" i="7"/>
  <c r="F121" i="7" s="1"/>
  <c r="D120" i="7"/>
  <c r="F120" i="7" s="1"/>
  <c r="D119" i="7"/>
  <c r="F119" i="7" s="1"/>
  <c r="D118" i="7"/>
  <c r="F118" i="7" s="1"/>
  <c r="D117" i="7"/>
  <c r="F117" i="7" s="1"/>
  <c r="D116" i="7"/>
  <c r="F116" i="7" s="1"/>
  <c r="D115" i="7"/>
  <c r="F115" i="7" s="1"/>
  <c r="D114" i="7"/>
  <c r="F114" i="7" s="1"/>
  <c r="D113" i="7"/>
  <c r="F113" i="7" s="1"/>
  <c r="D112" i="7"/>
  <c r="F112" i="7" s="1"/>
  <c r="D111" i="7"/>
  <c r="F111" i="7" s="1"/>
  <c r="D110" i="7"/>
  <c r="F110" i="7" s="1"/>
  <c r="D109" i="7"/>
  <c r="F109" i="7" s="1"/>
  <c r="D108" i="7"/>
  <c r="F108" i="7" s="1"/>
  <c r="C51" i="7"/>
  <c r="D51" i="7"/>
  <c r="F51" i="7" s="1"/>
  <c r="G51" i="7"/>
  <c r="G100" i="7"/>
  <c r="J100" i="7" s="1"/>
  <c r="G99" i="7"/>
  <c r="J99" i="7" s="1"/>
  <c r="G98" i="7"/>
  <c r="J98" i="7" s="1"/>
  <c r="G97" i="7"/>
  <c r="J97" i="7" s="1"/>
  <c r="G96" i="7"/>
  <c r="J96" i="7" s="1"/>
  <c r="G95" i="7"/>
  <c r="J95" i="7" s="1"/>
  <c r="G94" i="7"/>
  <c r="J94" i="7" s="1"/>
  <c r="G93" i="7"/>
  <c r="J93" i="7" s="1"/>
  <c r="G92" i="7"/>
  <c r="J92" i="7" s="1"/>
  <c r="G91" i="7"/>
  <c r="J91" i="7" s="1"/>
  <c r="G90" i="7"/>
  <c r="J90" i="7" s="1"/>
  <c r="G89" i="7"/>
  <c r="J89" i="7" s="1"/>
  <c r="G88" i="7"/>
  <c r="J88" i="7" s="1"/>
  <c r="G87" i="7"/>
  <c r="J87" i="7" s="1"/>
  <c r="G86" i="7"/>
  <c r="J86" i="7" s="1"/>
  <c r="G85" i="7"/>
  <c r="J85" i="7" s="1"/>
  <c r="G84" i="7"/>
  <c r="J84" i="7" s="1"/>
  <c r="G83" i="7"/>
  <c r="J83" i="7" s="1"/>
  <c r="G82" i="7"/>
  <c r="J82" i="7" s="1"/>
  <c r="G81" i="7"/>
  <c r="J81" i="7" s="1"/>
  <c r="G80" i="7"/>
  <c r="J80" i="7" s="1"/>
  <c r="G79" i="7"/>
  <c r="J79" i="7" s="1"/>
  <c r="G78" i="7"/>
  <c r="J78" i="7" s="1"/>
  <c r="G77" i="7"/>
  <c r="J77" i="7" s="1"/>
  <c r="G76" i="7"/>
  <c r="J76" i="7" s="1"/>
  <c r="G75" i="7"/>
  <c r="J75" i="7" s="1"/>
  <c r="G74" i="7"/>
  <c r="J74" i="7" s="1"/>
  <c r="G73" i="7"/>
  <c r="J73" i="7" s="1"/>
  <c r="G72" i="7"/>
  <c r="J72" i="7" s="1"/>
  <c r="G71" i="7"/>
  <c r="J71" i="7" s="1"/>
  <c r="G70" i="7"/>
  <c r="J70" i="7" s="1"/>
  <c r="G69" i="7"/>
  <c r="J69" i="7" s="1"/>
  <c r="G68" i="7"/>
  <c r="J68" i="7" s="1"/>
  <c r="G67" i="7"/>
  <c r="J67" i="7" s="1"/>
  <c r="G65" i="7"/>
  <c r="J65" i="7" s="1"/>
  <c r="G64" i="7"/>
  <c r="J64" i="7" s="1"/>
  <c r="G63" i="7"/>
  <c r="J63" i="7" s="1"/>
  <c r="G62" i="7"/>
  <c r="J62" i="7" s="1"/>
  <c r="G61" i="7"/>
  <c r="J61" i="7" s="1"/>
  <c r="G60" i="7"/>
  <c r="J60" i="7" s="1"/>
  <c r="G59" i="7"/>
  <c r="G58" i="7"/>
  <c r="J58" i="7" s="1"/>
  <c r="G57" i="7"/>
  <c r="G56" i="7"/>
  <c r="G55" i="7"/>
  <c r="G54" i="7"/>
  <c r="G53" i="7"/>
  <c r="G52" i="7"/>
  <c r="D100" i="7"/>
  <c r="F100" i="7" s="1"/>
  <c r="D99" i="7"/>
  <c r="F99" i="7" s="1"/>
  <c r="D98" i="7"/>
  <c r="F98" i="7" s="1"/>
  <c r="D97" i="7"/>
  <c r="F97" i="7" s="1"/>
  <c r="D96" i="7"/>
  <c r="F96" i="7" s="1"/>
  <c r="D95" i="7"/>
  <c r="F95" i="7" s="1"/>
  <c r="D94" i="7"/>
  <c r="F94" i="7" s="1"/>
  <c r="D93" i="7"/>
  <c r="F93" i="7" s="1"/>
  <c r="D92" i="7"/>
  <c r="F92" i="7" s="1"/>
  <c r="D91" i="7"/>
  <c r="F91" i="7" s="1"/>
  <c r="D90" i="7"/>
  <c r="F90" i="7" s="1"/>
  <c r="D89" i="7"/>
  <c r="F89" i="7" s="1"/>
  <c r="D88" i="7"/>
  <c r="F88" i="7" s="1"/>
  <c r="D87" i="7"/>
  <c r="F87" i="7" s="1"/>
  <c r="D86" i="7"/>
  <c r="F86" i="7" s="1"/>
  <c r="D85" i="7"/>
  <c r="F85" i="7" s="1"/>
  <c r="D84" i="7"/>
  <c r="F84" i="7" s="1"/>
  <c r="D83" i="7"/>
  <c r="F83" i="7" s="1"/>
  <c r="D81" i="7"/>
  <c r="F81" i="7" s="1"/>
  <c r="D82" i="7"/>
  <c r="F82" i="7" s="1"/>
  <c r="D80" i="7"/>
  <c r="F80" i="7" s="1"/>
  <c r="D79" i="7"/>
  <c r="F79" i="7" s="1"/>
  <c r="D78" i="7"/>
  <c r="F78" i="7" s="1"/>
  <c r="D77" i="7"/>
  <c r="F77" i="7" s="1"/>
  <c r="D76" i="7"/>
  <c r="F76" i="7" s="1"/>
  <c r="D75" i="7"/>
  <c r="F75" i="7" s="1"/>
  <c r="D74" i="7"/>
  <c r="F74" i="7" s="1"/>
  <c r="D73" i="7"/>
  <c r="F73" i="7" s="1"/>
  <c r="D72" i="7"/>
  <c r="F72" i="7" s="1"/>
  <c r="D71" i="7"/>
  <c r="F71" i="7" s="1"/>
  <c r="D70" i="7"/>
  <c r="F70" i="7" s="1"/>
  <c r="D69" i="7"/>
  <c r="F69" i="7" s="1"/>
  <c r="D68" i="7"/>
  <c r="F68" i="7" s="1"/>
  <c r="D67" i="7"/>
  <c r="F67" i="7" s="1"/>
  <c r="D65" i="7"/>
  <c r="F65" i="7" s="1"/>
  <c r="D64" i="7"/>
  <c r="F64" i="7" s="1"/>
  <c r="D63" i="7"/>
  <c r="F63" i="7" s="1"/>
  <c r="D62" i="7"/>
  <c r="F62" i="7" s="1"/>
  <c r="D61" i="7"/>
  <c r="F61" i="7" s="1"/>
  <c r="D60" i="7"/>
  <c r="F60" i="7" s="1"/>
  <c r="D59" i="7"/>
  <c r="D58" i="7"/>
  <c r="F58" i="7" s="1"/>
  <c r="D57" i="7"/>
  <c r="F57" i="7" s="1"/>
  <c r="D56" i="7"/>
  <c r="F56" i="7" s="1"/>
  <c r="D55" i="7"/>
  <c r="F55" i="7" s="1"/>
  <c r="D54" i="7"/>
  <c r="F54" i="7" s="1"/>
  <c r="D53" i="7"/>
  <c r="F53" i="7" s="1"/>
  <c r="D52" i="7"/>
  <c r="F52" i="7" s="1"/>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H1955" i="8" l="1"/>
  <c r="J1955" i="8" s="1"/>
  <c r="J1939" i="8"/>
  <c r="H8386" i="8"/>
  <c r="J8367" i="8"/>
  <c r="H9437" i="8"/>
  <c r="J9437" i="8" s="1"/>
  <c r="J9421" i="8"/>
  <c r="H9455" i="8"/>
  <c r="J9455" i="8" s="1"/>
  <c r="J9439" i="8"/>
  <c r="H9536" i="8"/>
  <c r="J9536" i="8" s="1"/>
  <c r="J9520" i="8"/>
  <c r="H9554" i="8"/>
  <c r="J9538" i="8"/>
  <c r="H362" i="8"/>
  <c r="J362" i="8" s="1"/>
  <c r="J346" i="8"/>
  <c r="F9" i="4"/>
  <c r="H8163" i="8"/>
  <c r="J8163" i="8" s="1"/>
  <c r="J8147" i="8"/>
  <c r="H14618" i="8"/>
  <c r="J14618" i="8" s="1"/>
  <c r="J14363" i="8"/>
  <c r="H18108" i="8"/>
  <c r="J18108" i="8" s="1"/>
  <c r="J18092" i="8"/>
  <c r="H18126" i="8"/>
  <c r="J18110" i="8"/>
  <c r="H7570" i="8"/>
  <c r="J7570" i="8" s="1"/>
  <c r="J7532" i="8"/>
  <c r="H2998" i="8"/>
  <c r="J2998" i="8" s="1"/>
  <c r="H1976" i="8"/>
  <c r="J1976" i="8" s="1"/>
  <c r="H1754" i="8"/>
  <c r="H8823" i="8"/>
  <c r="H9557" i="8"/>
  <c r="J9557" i="8" s="1"/>
  <c r="H13749" i="8"/>
  <c r="H13768" i="8" s="1"/>
  <c r="D107" i="7"/>
  <c r="F107" i="7" s="1"/>
  <c r="H1057" i="8"/>
  <c r="H10948" i="8"/>
  <c r="J10948" i="8" s="1"/>
  <c r="H6362" i="8"/>
  <c r="J6362" i="8" s="1"/>
  <c r="C57" i="5"/>
  <c r="E57" i="5" s="1"/>
  <c r="H8842" i="8" l="1"/>
  <c r="J8842" i="8" s="1"/>
  <c r="J8823" i="8"/>
  <c r="D138" i="7"/>
  <c r="F138" i="7" s="1"/>
  <c r="J9554" i="8"/>
  <c r="H8405" i="8"/>
  <c r="J8405" i="8" s="1"/>
  <c r="J8386" i="8"/>
  <c r="H18129" i="8"/>
  <c r="J18129" i="8" s="1"/>
  <c r="J18126" i="8"/>
  <c r="H1770" i="8"/>
  <c r="H8858" i="8"/>
  <c r="J8858" i="8" s="1"/>
  <c r="G35" i="7"/>
  <c r="G34" i="7"/>
  <c r="G33" i="7"/>
  <c r="G32" i="7"/>
  <c r="G31" i="7"/>
  <c r="G30" i="7"/>
  <c r="G29" i="7"/>
  <c r="G28" i="7"/>
  <c r="G27" i="7"/>
  <c r="G26" i="7"/>
  <c r="G25" i="7"/>
  <c r="G24" i="7"/>
  <c r="G23" i="7"/>
  <c r="G22" i="7"/>
  <c r="G21" i="7"/>
  <c r="G20" i="7"/>
  <c r="G19" i="7"/>
  <c r="G18" i="7"/>
  <c r="G17" i="7"/>
  <c r="G16" i="7"/>
  <c r="G15" i="7"/>
  <c r="G14" i="7"/>
  <c r="G13" i="7"/>
  <c r="D35" i="7"/>
  <c r="D34" i="7"/>
  <c r="D33" i="7"/>
  <c r="D32" i="7"/>
  <c r="D31" i="7"/>
  <c r="D30" i="7"/>
  <c r="D29" i="7"/>
  <c r="D28" i="7"/>
  <c r="C28" i="7"/>
  <c r="C29" i="7"/>
  <c r="C30" i="7"/>
  <c r="C31" i="7"/>
  <c r="C32" i="7"/>
  <c r="C33" i="7"/>
  <c r="C34" i="7"/>
  <c r="C35" i="7"/>
  <c r="D27" i="7"/>
  <c r="D26" i="7"/>
  <c r="D25" i="7"/>
  <c r="D24" i="7"/>
  <c r="D23" i="7"/>
  <c r="D22" i="7"/>
  <c r="D21" i="7"/>
  <c r="D20" i="7"/>
  <c r="D19" i="7"/>
  <c r="D18" i="7"/>
  <c r="D17" i="7"/>
  <c r="D16" i="7"/>
  <c r="D15" i="7"/>
  <c r="D14" i="7"/>
  <c r="D13" i="7"/>
  <c r="C13" i="7"/>
  <c r="C14" i="7"/>
  <c r="C15" i="7"/>
  <c r="C16" i="7"/>
  <c r="C17" i="7"/>
  <c r="C18" i="7"/>
  <c r="C19" i="7"/>
  <c r="C20" i="7"/>
  <c r="C21" i="7"/>
  <c r="C22" i="7"/>
  <c r="C23" i="7"/>
  <c r="C24" i="7"/>
  <c r="C25" i="7"/>
  <c r="C26" i="7"/>
  <c r="C27" i="7"/>
  <c r="C12" i="7"/>
  <c r="C44" i="5"/>
  <c r="E44" i="5" s="1"/>
  <c r="C96" i="6"/>
  <c r="E96" i="6" s="1"/>
  <c r="C53" i="5"/>
  <c r="E53" i="5" s="1"/>
  <c r="F56" i="5"/>
  <c r="C86" i="5"/>
  <c r="G106" i="7"/>
  <c r="J106" i="7" s="1"/>
  <c r="D106" i="7"/>
  <c r="F106" i="7" s="1"/>
  <c r="D180" i="7"/>
  <c r="F180" i="7" s="1"/>
  <c r="G180" i="7"/>
  <c r="G416" i="7"/>
  <c r="D416" i="7"/>
  <c r="F416" i="7" s="1"/>
  <c r="G49" i="7"/>
  <c r="G48" i="7"/>
  <c r="G43" i="7"/>
  <c r="G41" i="7"/>
  <c r="G40" i="7"/>
  <c r="G39" i="7"/>
  <c r="D49" i="7"/>
  <c r="F49" i="7" s="1"/>
  <c r="D48" i="7"/>
  <c r="F48" i="7" s="1"/>
  <c r="D43" i="7"/>
  <c r="F43" i="7" s="1"/>
  <c r="D41" i="7"/>
  <c r="F41" i="7" s="1"/>
  <c r="D40" i="7"/>
  <c r="F40" i="7" s="1"/>
  <c r="D39" i="7"/>
  <c r="F39" i="7" s="1"/>
  <c r="H17" i="7" l="1"/>
  <c r="H21" i="7"/>
  <c r="H29" i="7"/>
  <c r="H33" i="7"/>
  <c r="H18" i="7"/>
  <c r="H16" i="7"/>
  <c r="H20" i="7"/>
  <c r="H23" i="7"/>
  <c r="H27" i="7"/>
  <c r="H24" i="7"/>
  <c r="H32" i="7"/>
  <c r="H19" i="7"/>
  <c r="H28" i="7"/>
  <c r="H26" i="7"/>
  <c r="H22" i="7"/>
  <c r="H14" i="7"/>
  <c r="H13" i="7"/>
  <c r="H25" i="7"/>
  <c r="H15" i="7"/>
  <c r="H34" i="7"/>
  <c r="H30" i="7"/>
  <c r="H35" i="7"/>
  <c r="H31" i="7"/>
  <c r="K18183" i="8" l="1"/>
  <c r="K18145" i="8"/>
  <c r="H17967" i="8"/>
  <c r="J17967" i="8" s="1"/>
  <c r="H17949" i="8"/>
  <c r="J17949" i="8" s="1"/>
  <c r="H17850" i="8"/>
  <c r="J17850" i="8" s="1"/>
  <c r="H17729" i="8"/>
  <c r="J17729" i="8" s="1"/>
  <c r="H17711" i="8"/>
  <c r="J17711" i="8" s="1"/>
  <c r="H17612" i="8"/>
  <c r="J17612" i="8" s="1"/>
  <c r="H17531" i="8"/>
  <c r="J17531" i="8" s="1"/>
  <c r="H17513" i="8"/>
  <c r="J17513" i="8" s="1"/>
  <c r="H17432" i="8"/>
  <c r="J17432" i="8" s="1"/>
  <c r="H17414" i="8"/>
  <c r="J17414" i="8" s="1"/>
  <c r="H17333" i="8"/>
  <c r="J17333" i="8" s="1"/>
  <c r="H17315" i="8"/>
  <c r="J17315" i="8" s="1"/>
  <c r="H17175" i="8"/>
  <c r="J17175" i="8" s="1"/>
  <c r="K17231" i="8"/>
  <c r="K17212" i="8"/>
  <c r="K17315" i="8"/>
  <c r="K17193" i="8"/>
  <c r="K17175" i="8"/>
  <c r="D315" i="7"/>
  <c r="F315" i="7" s="1"/>
  <c r="K6397" i="8"/>
  <c r="H6341" i="8"/>
  <c r="J6341" i="8" s="1"/>
  <c r="K6260" i="8"/>
  <c r="G284" i="7" s="1"/>
  <c r="H6260" i="8"/>
  <c r="K6242" i="8"/>
  <c r="H6242" i="8"/>
  <c r="J6242" i="8" s="1"/>
  <c r="G283" i="7"/>
  <c r="D283" i="7"/>
  <c r="F283" i="7" s="1"/>
  <c r="K14516" i="8"/>
  <c r="K14497" i="8"/>
  <c r="G252" i="7"/>
  <c r="J252" i="7" s="1"/>
  <c r="H2426" i="8"/>
  <c r="J2426" i="8" s="1"/>
  <c r="H14379" i="8"/>
  <c r="H14361" i="8"/>
  <c r="J14361" i="8" s="1"/>
  <c r="K14222" i="8"/>
  <c r="G423" i="7" s="1"/>
  <c r="H14222" i="8"/>
  <c r="K14204" i="8"/>
  <c r="H14204" i="8"/>
  <c r="H14123" i="8"/>
  <c r="K14105" i="8"/>
  <c r="H14105" i="8"/>
  <c r="K13984" i="8"/>
  <c r="G422" i="7" s="1"/>
  <c r="K13966" i="8"/>
  <c r="H13966" i="8"/>
  <c r="H13867" i="8"/>
  <c r="K13784" i="8"/>
  <c r="K13765" i="8"/>
  <c r="K13052" i="8"/>
  <c r="G421" i="7" s="1"/>
  <c r="K13034" i="8"/>
  <c r="K12953" i="8"/>
  <c r="H12953" i="8"/>
  <c r="H12935" i="8"/>
  <c r="K12814" i="8"/>
  <c r="G420" i="7" s="1"/>
  <c r="H12814" i="8"/>
  <c r="D420" i="7" s="1"/>
  <c r="F420" i="7" s="1"/>
  <c r="K12796" i="8"/>
  <c r="H12796" i="8"/>
  <c r="H12715" i="8"/>
  <c r="H12697" i="8"/>
  <c r="K12614" i="8"/>
  <c r="K12595" i="8"/>
  <c r="K12576" i="8"/>
  <c r="G419" i="7" s="1"/>
  <c r="H12576" i="8"/>
  <c r="D419" i="7" s="1"/>
  <c r="F419" i="7" s="1"/>
  <c r="K12558" i="8"/>
  <c r="H12558" i="8"/>
  <c r="K12477" i="8"/>
  <c r="H12477" i="8"/>
  <c r="H12459" i="8"/>
  <c r="K12356" i="8"/>
  <c r="K12337" i="8"/>
  <c r="G418" i="7" s="1"/>
  <c r="K12319" i="8"/>
  <c r="K12238" i="8"/>
  <c r="H12238" i="8"/>
  <c r="H12220" i="8"/>
  <c r="K12118" i="8"/>
  <c r="K12099" i="8"/>
  <c r="G417" i="7" s="1"/>
  <c r="K12081" i="8"/>
  <c r="H12081" i="8"/>
  <c r="H12000" i="8"/>
  <c r="J12000" i="8" s="1"/>
  <c r="H11982" i="8"/>
  <c r="J11982" i="8" s="1"/>
  <c r="K11898" i="8"/>
  <c r="H11898" i="8"/>
  <c r="J11898" i="8" s="1"/>
  <c r="K11880" i="8"/>
  <c r="H11880" i="8"/>
  <c r="J11880" i="8" s="1"/>
  <c r="K11799" i="8"/>
  <c r="H11799" i="8"/>
  <c r="J11799" i="8" s="1"/>
  <c r="K11781" i="8"/>
  <c r="H11781" i="8"/>
  <c r="J11781" i="8" s="1"/>
  <c r="K11700" i="8"/>
  <c r="H11700" i="8"/>
  <c r="J11700" i="8" s="1"/>
  <c r="K11682" i="8"/>
  <c r="H11682" i="8"/>
  <c r="J11682" i="8" s="1"/>
  <c r="H11601" i="8"/>
  <c r="J11601" i="8" s="1"/>
  <c r="H11583" i="8"/>
  <c r="J11583" i="8" s="1"/>
  <c r="K10150" i="8"/>
  <c r="K11480" i="8"/>
  <c r="K11461" i="8"/>
  <c r="H11461" i="8"/>
  <c r="K11443" i="8"/>
  <c r="H11443" i="8"/>
  <c r="J11443" i="8" s="1"/>
  <c r="K11362" i="8"/>
  <c r="H11362" i="8"/>
  <c r="J11362" i="8" s="1"/>
  <c r="K11344" i="8"/>
  <c r="H11344" i="8"/>
  <c r="J11344" i="8" s="1"/>
  <c r="K11263" i="8"/>
  <c r="H11263" i="8"/>
  <c r="J11263" i="8" s="1"/>
  <c r="K11245" i="8"/>
  <c r="H11245" i="8"/>
  <c r="J11245" i="8" s="1"/>
  <c r="K11164" i="8"/>
  <c r="K11146" i="8"/>
  <c r="H11146" i="8"/>
  <c r="J11146" i="8" s="1"/>
  <c r="H11065" i="8"/>
  <c r="K11047" i="8"/>
  <c r="H11047" i="8"/>
  <c r="H10944" i="8"/>
  <c r="H10845" i="8"/>
  <c r="H10827" i="8"/>
  <c r="J10827" i="8" s="1"/>
  <c r="H10746" i="8"/>
  <c r="H10647" i="8"/>
  <c r="D45" i="7" s="1"/>
  <c r="F45" i="7" s="1"/>
  <c r="H10629" i="8"/>
  <c r="H10548" i="8"/>
  <c r="D44" i="7" s="1"/>
  <c r="F44" i="7" s="1"/>
  <c r="H10530" i="8"/>
  <c r="H10449" i="8"/>
  <c r="D42" i="7" s="1"/>
  <c r="F42" i="7" s="1"/>
  <c r="H10431" i="8"/>
  <c r="H10350" i="8"/>
  <c r="D38" i="7" s="1"/>
  <c r="F38" i="7" s="1"/>
  <c r="K10332" i="8"/>
  <c r="H10332" i="8"/>
  <c r="K10251" i="8"/>
  <c r="G37" i="7" s="1"/>
  <c r="H10251" i="8"/>
  <c r="D37" i="7" s="1"/>
  <c r="F37" i="7" s="1"/>
  <c r="H10233" i="8"/>
  <c r="H10113" i="8"/>
  <c r="H10032" i="8"/>
  <c r="H9874" i="8"/>
  <c r="J9874" i="8" s="1"/>
  <c r="H9793" i="8"/>
  <c r="J9793" i="8" s="1"/>
  <c r="H9694" i="8"/>
  <c r="J9694" i="8" s="1"/>
  <c r="H9356" i="8"/>
  <c r="H9257" i="8"/>
  <c r="H9158" i="8"/>
  <c r="K6837" i="8"/>
  <c r="G534" i="7" s="1"/>
  <c r="J534" i="7" s="1"/>
  <c r="H6837" i="8"/>
  <c r="H7586" i="8"/>
  <c r="J7586" i="8" s="1"/>
  <c r="D135" i="7" l="1"/>
  <c r="F135" i="7" s="1"/>
  <c r="J9257" i="8"/>
  <c r="D534" i="7"/>
  <c r="F534" i="7" s="1"/>
  <c r="J6837" i="8"/>
  <c r="D136" i="7"/>
  <c r="F136" i="7" s="1"/>
  <c r="J9356" i="8"/>
  <c r="D46" i="7"/>
  <c r="F46" i="7" s="1"/>
  <c r="J10746" i="8"/>
  <c r="D47" i="7"/>
  <c r="F47" i="7" s="1"/>
  <c r="J10845" i="8"/>
  <c r="D202" i="7"/>
  <c r="F202" i="7" s="1"/>
  <c r="J11461" i="8"/>
  <c r="D50" i="7"/>
  <c r="F50" i="7" s="1"/>
  <c r="J10944" i="8"/>
  <c r="K12124" i="8"/>
  <c r="K12137" i="8" s="1"/>
  <c r="D284" i="7"/>
  <c r="F284" i="7" s="1"/>
  <c r="J6260" i="8"/>
  <c r="D251" i="7"/>
  <c r="F251" i="7" s="1"/>
  <c r="J14379" i="8"/>
  <c r="D134" i="7"/>
  <c r="F134" i="7" s="1"/>
  <c r="J9158" i="8"/>
  <c r="G200" i="7"/>
  <c r="G201" i="7"/>
  <c r="G202" i="7"/>
  <c r="G317" i="7"/>
  <c r="J317" i="7" s="1"/>
  <c r="G316" i="7"/>
  <c r="J316" i="7" s="1"/>
  <c r="D316" i="7"/>
  <c r="F316" i="7" s="1"/>
  <c r="D201" i="7"/>
  <c r="F201" i="7" s="1"/>
  <c r="D200" i="7"/>
  <c r="F200" i="7" s="1"/>
  <c r="D36" i="7"/>
  <c r="F36" i="7" s="1"/>
  <c r="H6378" i="8"/>
  <c r="J6378" i="8" s="1"/>
  <c r="H12340" i="8"/>
  <c r="H12359" i="8" s="1"/>
  <c r="H12375" i="8" s="1"/>
  <c r="H13765" i="8"/>
  <c r="H10134" i="8"/>
  <c r="H10150" i="8" s="1"/>
  <c r="H12102" i="8"/>
  <c r="H13052" i="8"/>
  <c r="D421" i="7" s="1"/>
  <c r="F421" i="7" s="1"/>
  <c r="H14500" i="8"/>
  <c r="J14500" i="8" s="1"/>
  <c r="H17196" i="8"/>
  <c r="H6859" i="8"/>
  <c r="J6859" i="8" s="1"/>
  <c r="H10131" i="8"/>
  <c r="D11" i="7" s="1"/>
  <c r="H12099" i="8"/>
  <c r="D417" i="7" s="1"/>
  <c r="F417" i="7" s="1"/>
  <c r="H12337" i="8"/>
  <c r="D418" i="7" s="1"/>
  <c r="F418" i="7" s="1"/>
  <c r="H13984" i="8"/>
  <c r="D422" i="7" s="1"/>
  <c r="F422" i="7" s="1"/>
  <c r="H14225" i="8"/>
  <c r="H2444" i="8"/>
  <c r="J2444" i="8" s="1"/>
  <c r="H17193" i="8"/>
  <c r="H17970" i="8"/>
  <c r="H9895" i="8"/>
  <c r="H17868" i="8"/>
  <c r="J17868" i="8" s="1"/>
  <c r="H12579" i="8"/>
  <c r="H12817" i="8"/>
  <c r="H12836" i="8" s="1"/>
  <c r="H17732" i="8"/>
  <c r="J17732" i="8" s="1"/>
  <c r="H9576" i="8"/>
  <c r="J9576" i="8" s="1"/>
  <c r="H9892" i="8"/>
  <c r="H11464" i="8"/>
  <c r="H7551" i="8"/>
  <c r="J7551" i="8" s="1"/>
  <c r="H2286" i="8"/>
  <c r="H2268" i="8"/>
  <c r="J2268" i="8" s="1"/>
  <c r="K2268" i="8"/>
  <c r="K2223" i="8"/>
  <c r="H2223" i="8"/>
  <c r="J2223" i="8" s="1"/>
  <c r="H2196" i="8"/>
  <c r="K2178" i="8"/>
  <c r="H2178" i="8"/>
  <c r="J2178" i="8" s="1"/>
  <c r="H2149" i="8"/>
  <c r="H1874" i="8"/>
  <c r="J1874" i="8" s="1"/>
  <c r="H5497" i="8"/>
  <c r="J5497" i="8" s="1"/>
  <c r="H5416" i="8"/>
  <c r="H5398" i="8"/>
  <c r="J5398" i="8" s="1"/>
  <c r="H5317" i="8"/>
  <c r="K5299" i="8"/>
  <c r="H5299" i="8"/>
  <c r="J5299" i="8" s="1"/>
  <c r="K5216" i="8"/>
  <c r="H5197" i="8"/>
  <c r="H5080" i="8"/>
  <c r="J5080" i="8" s="1"/>
  <c r="D347" i="7"/>
  <c r="F347" i="7" s="1"/>
  <c r="H8820" i="8"/>
  <c r="H8703" i="8"/>
  <c r="J8703" i="8" s="1"/>
  <c r="H8523" i="8"/>
  <c r="D178" i="7" s="1"/>
  <c r="F178" i="7" s="1"/>
  <c r="K8144" i="8"/>
  <c r="H8107" i="8"/>
  <c r="J8107" i="8" s="1"/>
  <c r="H8026" i="8"/>
  <c r="J8026" i="8" s="1"/>
  <c r="H8008" i="8"/>
  <c r="J8008" i="8" s="1"/>
  <c r="H7927" i="8"/>
  <c r="H7909" i="8"/>
  <c r="J7909" i="8" s="1"/>
  <c r="K1553" i="8"/>
  <c r="H1553" i="8"/>
  <c r="K1535" i="8"/>
  <c r="H1535" i="8"/>
  <c r="K1454" i="8"/>
  <c r="G105" i="7" s="1"/>
  <c r="J105" i="7" s="1"/>
  <c r="K1436" i="8"/>
  <c r="H1436" i="8"/>
  <c r="K1355" i="8"/>
  <c r="G104" i="7" s="1"/>
  <c r="J104" i="7" s="1"/>
  <c r="H1355" i="8"/>
  <c r="D104" i="7" s="1"/>
  <c r="F104" i="7" s="1"/>
  <c r="K1337" i="8"/>
  <c r="H1337" i="8"/>
  <c r="K1257" i="8"/>
  <c r="G103" i="7" s="1"/>
  <c r="J103" i="7" s="1"/>
  <c r="H1257" i="8"/>
  <c r="D103" i="7" s="1"/>
  <c r="F103" i="7" s="1"/>
  <c r="K1239" i="8"/>
  <c r="H1239" i="8"/>
  <c r="H1158" i="8"/>
  <c r="D102" i="7" s="1"/>
  <c r="F102" i="7" s="1"/>
  <c r="K1140" i="8"/>
  <c r="H1140" i="8"/>
  <c r="K1057" i="8"/>
  <c r="K1038" i="8"/>
  <c r="G12" i="7" s="1"/>
  <c r="K1020" i="8"/>
  <c r="H1020" i="8"/>
  <c r="H946" i="8"/>
  <c r="D10" i="7" s="1"/>
  <c r="H928" i="8"/>
  <c r="H841" i="8"/>
  <c r="J841" i="8" s="1"/>
  <c r="H465" i="8"/>
  <c r="J465" i="8" s="1"/>
  <c r="H447" i="8"/>
  <c r="J447" i="8" s="1"/>
  <c r="K447" i="8"/>
  <c r="K188" i="8"/>
  <c r="K89" i="8"/>
  <c r="D384" i="7" l="1"/>
  <c r="F384" i="7" s="1"/>
  <c r="J5197" i="8"/>
  <c r="D468" i="7"/>
  <c r="F468" i="7" s="1"/>
  <c r="J5317" i="8"/>
  <c r="D469" i="7"/>
  <c r="F469" i="7" s="1"/>
  <c r="J5416" i="8"/>
  <c r="D527" i="7"/>
  <c r="F527" i="7" s="1"/>
  <c r="J2196" i="8"/>
  <c r="D137" i="7"/>
  <c r="F137" i="7" s="1"/>
  <c r="J9892" i="8"/>
  <c r="H9914" i="8"/>
  <c r="J9914" i="8" s="1"/>
  <c r="J9895" i="8"/>
  <c r="D317" i="7"/>
  <c r="F317" i="7" s="1"/>
  <c r="J17193" i="8"/>
  <c r="D524" i="7"/>
  <c r="F524" i="7" s="1"/>
  <c r="J2149" i="8"/>
  <c r="D530" i="7"/>
  <c r="F530" i="7" s="1"/>
  <c r="J2286" i="8"/>
  <c r="H11480" i="8"/>
  <c r="J11480" i="8" s="1"/>
  <c r="J11464" i="8"/>
  <c r="H17986" i="8"/>
  <c r="J17986" i="8" s="1"/>
  <c r="J17970" i="8"/>
  <c r="H12121" i="8"/>
  <c r="J12102" i="8"/>
  <c r="K18012" i="8"/>
  <c r="K18025" i="8" s="1"/>
  <c r="D159" i="7"/>
  <c r="F159" i="7" s="1"/>
  <c r="J7927" i="8"/>
  <c r="H17215" i="8"/>
  <c r="J17196" i="8"/>
  <c r="D160" i="7"/>
  <c r="F160" i="7" s="1"/>
  <c r="H14516" i="8"/>
  <c r="J14516" i="8" s="1"/>
  <c r="H8421" i="8"/>
  <c r="J8421" i="8" s="1"/>
  <c r="D423" i="7"/>
  <c r="F423" i="7" s="1"/>
  <c r="D250" i="7"/>
  <c r="H12356" i="8"/>
  <c r="B609" i="7"/>
  <c r="H14497" i="8"/>
  <c r="J14497" i="8" s="1"/>
  <c r="H13784" i="8"/>
  <c r="H12118" i="8"/>
  <c r="J12118" i="8" s="1"/>
  <c r="H17989" i="8"/>
  <c r="H17212" i="8"/>
  <c r="J17212" i="8" s="1"/>
  <c r="H11483" i="8"/>
  <c r="J11483" i="8" s="1"/>
  <c r="H17748" i="8"/>
  <c r="J17748" i="8" s="1"/>
  <c r="H17751" i="8"/>
  <c r="H14244" i="8"/>
  <c r="H14260" i="8" s="1"/>
  <c r="H14241" i="8"/>
  <c r="H12595" i="8"/>
  <c r="H12598" i="8"/>
  <c r="H12614" i="8" s="1"/>
  <c r="H701" i="8"/>
  <c r="J701" i="8" s="1"/>
  <c r="H8839" i="8"/>
  <c r="J8839" i="8" s="1"/>
  <c r="H1038" i="8"/>
  <c r="D12" i="7" s="1"/>
  <c r="D9" i="7" s="1"/>
  <c r="H4431" i="8"/>
  <c r="J4431" i="8" s="1"/>
  <c r="H857" i="8"/>
  <c r="J857" i="8" s="1"/>
  <c r="H860" i="8"/>
  <c r="H2241" i="8"/>
  <c r="H1454" i="8"/>
  <c r="D105" i="7" s="1"/>
  <c r="H8721" i="8"/>
  <c r="C75" i="5"/>
  <c r="F141" i="6"/>
  <c r="H141" i="6" s="1"/>
  <c r="F140" i="6"/>
  <c r="H140" i="6" s="1"/>
  <c r="F139" i="6"/>
  <c r="H139" i="6" s="1"/>
  <c r="F138" i="6"/>
  <c r="H138" i="6" s="1"/>
  <c r="F137" i="6"/>
  <c r="H137" i="6" s="1"/>
  <c r="F136" i="6"/>
  <c r="H136" i="6" s="1"/>
  <c r="F135" i="6"/>
  <c r="H135" i="6" s="1"/>
  <c r="F134" i="6"/>
  <c r="H134" i="6" s="1"/>
  <c r="F133" i="6"/>
  <c r="H133" i="6" s="1"/>
  <c r="F132" i="6"/>
  <c r="H132" i="6" s="1"/>
  <c r="F131" i="6"/>
  <c r="H131" i="6" s="1"/>
  <c r="F130" i="6"/>
  <c r="H130" i="6" s="1"/>
  <c r="F129" i="6"/>
  <c r="H129" i="6" s="1"/>
  <c r="F127" i="6"/>
  <c r="F126" i="6"/>
  <c r="F125" i="6"/>
  <c r="F124" i="6"/>
  <c r="F121" i="6"/>
  <c r="H121" i="6" s="1"/>
  <c r="F119" i="6"/>
  <c r="F118" i="6"/>
  <c r="H118" i="6" s="1"/>
  <c r="F117" i="6"/>
  <c r="H117" i="6" s="1"/>
  <c r="F112" i="6"/>
  <c r="H112" i="6" s="1"/>
  <c r="F111" i="6"/>
  <c r="H111" i="6" s="1"/>
  <c r="F109" i="6"/>
  <c r="F107" i="6"/>
  <c r="F106" i="6"/>
  <c r="F105" i="6"/>
  <c r="F104" i="6"/>
  <c r="F103" i="6"/>
  <c r="F102" i="6"/>
  <c r="F101" i="6"/>
  <c r="F100" i="6"/>
  <c r="F99" i="6"/>
  <c r="F98" i="6"/>
  <c r="F97" i="6"/>
  <c r="F96" i="6"/>
  <c r="F93" i="6"/>
  <c r="F89" i="6"/>
  <c r="H89" i="6" s="1"/>
  <c r="F84" i="6"/>
  <c r="F83" i="6"/>
  <c r="F80" i="6"/>
  <c r="H80" i="6" s="1"/>
  <c r="F79" i="6"/>
  <c r="H79" i="6" s="1"/>
  <c r="F78" i="6"/>
  <c r="H78" i="6" s="1"/>
  <c r="F77" i="6"/>
  <c r="H77" i="6" s="1"/>
  <c r="F76" i="6"/>
  <c r="H76" i="6" s="1"/>
  <c r="F75" i="6"/>
  <c r="H75" i="6" s="1"/>
  <c r="F74" i="6"/>
  <c r="H74" i="6" s="1"/>
  <c r="F73" i="6"/>
  <c r="H73" i="6" s="1"/>
  <c r="F72" i="6"/>
  <c r="H72" i="6" s="1"/>
  <c r="F71" i="6"/>
  <c r="H71" i="6" s="1"/>
  <c r="F69" i="6"/>
  <c r="H69" i="6" s="1"/>
  <c r="F68" i="6"/>
  <c r="H68" i="6" s="1"/>
  <c r="F67" i="6"/>
  <c r="H67" i="6" s="1"/>
  <c r="F66" i="6"/>
  <c r="H66" i="6" s="1"/>
  <c r="F65" i="6"/>
  <c r="H65" i="6" s="1"/>
  <c r="F64" i="6"/>
  <c r="H64" i="6" s="1"/>
  <c r="F63" i="6"/>
  <c r="H63" i="6" s="1"/>
  <c r="F62" i="6"/>
  <c r="H62" i="6" s="1"/>
  <c r="F60" i="6"/>
  <c r="H60" i="6" s="1"/>
  <c r="F59" i="6"/>
  <c r="H59" i="6" s="1"/>
  <c r="F58" i="6"/>
  <c r="H58" i="6" s="1"/>
  <c r="F57" i="6"/>
  <c r="H57" i="6" s="1"/>
  <c r="F56" i="6"/>
  <c r="H56" i="6" s="1"/>
  <c r="F55" i="6"/>
  <c r="H55" i="6" s="1"/>
  <c r="F54" i="6"/>
  <c r="H54" i="6" s="1"/>
  <c r="F53" i="6"/>
  <c r="H53" i="6" s="1"/>
  <c r="F52" i="6"/>
  <c r="H52" i="6" s="1"/>
  <c r="F51" i="6"/>
  <c r="H51" i="6" s="1"/>
  <c r="F50" i="6"/>
  <c r="H50" i="6" s="1"/>
  <c r="F49" i="6"/>
  <c r="H49" i="6" s="1"/>
  <c r="F48" i="6"/>
  <c r="H48" i="6" s="1"/>
  <c r="F47" i="6"/>
  <c r="H47" i="6" s="1"/>
  <c r="F45" i="6"/>
  <c r="H45" i="6" s="1"/>
  <c r="F44" i="6"/>
  <c r="H44" i="6" s="1"/>
  <c r="F42" i="6"/>
  <c r="H42" i="6" s="1"/>
  <c r="F40" i="6"/>
  <c r="F39" i="6"/>
  <c r="H39" i="6" s="1"/>
  <c r="F38" i="6"/>
  <c r="H38" i="6" s="1"/>
  <c r="F36" i="6"/>
  <c r="H36" i="6" s="1"/>
  <c r="F35" i="6"/>
  <c r="H35" i="6" s="1"/>
  <c r="F33" i="6"/>
  <c r="H33" i="6" s="1"/>
  <c r="F29" i="6"/>
  <c r="H29" i="6" s="1"/>
  <c r="F28" i="6"/>
  <c r="H28" i="6" s="1"/>
  <c r="F27" i="6"/>
  <c r="H27" i="6" s="1"/>
  <c r="F26" i="6"/>
  <c r="H26" i="6" s="1"/>
  <c r="F24" i="6"/>
  <c r="H24" i="6" s="1"/>
  <c r="F23" i="6"/>
  <c r="H23" i="6" s="1"/>
  <c r="F22" i="6"/>
  <c r="H22" i="6" s="1"/>
  <c r="F21" i="6"/>
  <c r="H21" i="6" s="1"/>
  <c r="F15" i="6"/>
  <c r="H15" i="6" s="1"/>
  <c r="F13" i="6"/>
  <c r="H13" i="6" s="1"/>
  <c r="F12" i="6"/>
  <c r="H12" i="6" s="1"/>
  <c r="F10" i="6"/>
  <c r="H10" i="6" s="1"/>
  <c r="F9" i="6"/>
  <c r="H9" i="6" s="1"/>
  <c r="F8" i="6"/>
  <c r="H8" i="6" s="1"/>
  <c r="C141" i="6"/>
  <c r="E141" i="6" s="1"/>
  <c r="C140" i="6"/>
  <c r="E140" i="6" s="1"/>
  <c r="C138" i="6"/>
  <c r="E138" i="6" s="1"/>
  <c r="C137" i="6"/>
  <c r="E137" i="6" s="1"/>
  <c r="C136" i="6"/>
  <c r="E136" i="6" s="1"/>
  <c r="C135" i="6"/>
  <c r="E135" i="6" s="1"/>
  <c r="C134" i="6"/>
  <c r="E134" i="6" s="1"/>
  <c r="C133" i="6"/>
  <c r="E133" i="6" s="1"/>
  <c r="C132" i="6"/>
  <c r="E132" i="6" s="1"/>
  <c r="C131" i="6"/>
  <c r="E131" i="6" s="1"/>
  <c r="C130" i="6"/>
  <c r="E130" i="6" s="1"/>
  <c r="C129" i="6"/>
  <c r="E129" i="6" s="1"/>
  <c r="C127" i="6"/>
  <c r="E127" i="6" s="1"/>
  <c r="C126" i="6"/>
  <c r="E126" i="6" s="1"/>
  <c r="C125" i="6"/>
  <c r="E125" i="6" s="1"/>
  <c r="C124" i="6"/>
  <c r="E124" i="6" s="1"/>
  <c r="C121" i="6"/>
  <c r="E121" i="6" s="1"/>
  <c r="C119" i="6"/>
  <c r="E119" i="6" s="1"/>
  <c r="C118" i="6"/>
  <c r="E118" i="6" s="1"/>
  <c r="C117" i="6"/>
  <c r="E117" i="6" s="1"/>
  <c r="C112" i="6"/>
  <c r="E112" i="6" s="1"/>
  <c r="C111" i="6"/>
  <c r="E111" i="6" s="1"/>
  <c r="C109" i="6"/>
  <c r="E109" i="6" s="1"/>
  <c r="C107" i="6"/>
  <c r="E107" i="6" s="1"/>
  <c r="C106" i="6"/>
  <c r="E106" i="6" s="1"/>
  <c r="C105" i="6"/>
  <c r="E105" i="6" s="1"/>
  <c r="C104" i="6"/>
  <c r="E104" i="6" s="1"/>
  <c r="C103" i="6"/>
  <c r="E103" i="6" s="1"/>
  <c r="C102" i="6"/>
  <c r="E102" i="6" s="1"/>
  <c r="C101" i="6"/>
  <c r="E101" i="6" s="1"/>
  <c r="C100" i="6"/>
  <c r="E100" i="6" s="1"/>
  <c r="C99" i="6"/>
  <c r="E99" i="6" s="1"/>
  <c r="C98" i="6"/>
  <c r="E98" i="6" s="1"/>
  <c r="C97" i="6"/>
  <c r="E97" i="6" s="1"/>
  <c r="C93" i="6"/>
  <c r="E93" i="6" s="1"/>
  <c r="C89" i="6"/>
  <c r="E89" i="6" s="1"/>
  <c r="C84" i="6"/>
  <c r="E84" i="6" s="1"/>
  <c r="C83" i="6"/>
  <c r="E83" i="6" s="1"/>
  <c r="C80" i="6"/>
  <c r="E80" i="6" s="1"/>
  <c r="C79" i="6"/>
  <c r="E79" i="6" s="1"/>
  <c r="C78" i="6"/>
  <c r="E78" i="6" s="1"/>
  <c r="C77" i="6"/>
  <c r="E77" i="6" s="1"/>
  <c r="C76" i="6"/>
  <c r="E76" i="6" s="1"/>
  <c r="C75" i="6"/>
  <c r="E75" i="6" s="1"/>
  <c r="C74" i="6"/>
  <c r="E74" i="6" s="1"/>
  <c r="C73" i="6"/>
  <c r="E73" i="6" s="1"/>
  <c r="C72" i="6"/>
  <c r="E72" i="6" s="1"/>
  <c r="C71" i="6"/>
  <c r="E71" i="6" s="1"/>
  <c r="C69" i="6"/>
  <c r="E69" i="6" s="1"/>
  <c r="C68" i="6"/>
  <c r="E68" i="6" s="1"/>
  <c r="C67" i="6"/>
  <c r="E67" i="6" s="1"/>
  <c r="C66" i="6"/>
  <c r="E66" i="6" s="1"/>
  <c r="C65" i="6"/>
  <c r="E65" i="6" s="1"/>
  <c r="C64" i="6"/>
  <c r="E64" i="6" s="1"/>
  <c r="C63" i="6"/>
  <c r="E63" i="6" s="1"/>
  <c r="C62" i="6"/>
  <c r="E62" i="6" s="1"/>
  <c r="C60" i="6"/>
  <c r="E60" i="6" s="1"/>
  <c r="C59" i="6"/>
  <c r="E59" i="6" s="1"/>
  <c r="C58" i="6"/>
  <c r="E58" i="6" s="1"/>
  <c r="C57" i="6"/>
  <c r="E57" i="6" s="1"/>
  <c r="C56" i="6"/>
  <c r="E56" i="6" s="1"/>
  <c r="C55" i="6"/>
  <c r="E55" i="6" s="1"/>
  <c r="C54" i="6"/>
  <c r="E54" i="6" s="1"/>
  <c r="C53" i="6"/>
  <c r="E53" i="6" s="1"/>
  <c r="C52" i="6"/>
  <c r="E52" i="6" s="1"/>
  <c r="C51" i="6"/>
  <c r="E51" i="6" s="1"/>
  <c r="C50" i="6"/>
  <c r="E50" i="6" s="1"/>
  <c r="C49" i="6"/>
  <c r="E49" i="6" s="1"/>
  <c r="C48" i="6"/>
  <c r="E48" i="6" s="1"/>
  <c r="C47" i="6"/>
  <c r="E47" i="6" s="1"/>
  <c r="C45" i="6"/>
  <c r="E45" i="6" s="1"/>
  <c r="C44" i="6"/>
  <c r="E44" i="6" s="1"/>
  <c r="C42" i="6"/>
  <c r="E42" i="6" s="1"/>
  <c r="E40" i="6"/>
  <c r="C39" i="6"/>
  <c r="E39" i="6" s="1"/>
  <c r="C38" i="6"/>
  <c r="E38" i="6" s="1"/>
  <c r="C36" i="6"/>
  <c r="E36" i="6" s="1"/>
  <c r="C35" i="6"/>
  <c r="E35" i="6" s="1"/>
  <c r="C33" i="6"/>
  <c r="E33" i="6" s="1"/>
  <c r="C29" i="6"/>
  <c r="E29" i="6" s="1"/>
  <c r="C28" i="6"/>
  <c r="E28" i="6" s="1"/>
  <c r="C27" i="6"/>
  <c r="E27" i="6" s="1"/>
  <c r="C26" i="6"/>
  <c r="E26" i="6" s="1"/>
  <c r="C24" i="6"/>
  <c r="E24" i="6" s="1"/>
  <c r="C23" i="6"/>
  <c r="E23" i="6" s="1"/>
  <c r="C22" i="6"/>
  <c r="E22" i="6" s="1"/>
  <c r="C21" i="6"/>
  <c r="E21" i="6" s="1"/>
  <c r="C15" i="6"/>
  <c r="E15" i="6" s="1"/>
  <c r="C13" i="6"/>
  <c r="E13" i="6" s="1"/>
  <c r="C12" i="6"/>
  <c r="E12" i="6" s="1"/>
  <c r="C11" i="6"/>
  <c r="E11" i="6" s="1"/>
  <c r="C10" i="6"/>
  <c r="E10" i="6" s="1"/>
  <c r="C9" i="6"/>
  <c r="E9" i="6" s="1"/>
  <c r="C8" i="6"/>
  <c r="E8" i="6" s="1"/>
  <c r="C81" i="5"/>
  <c r="C80" i="5" s="1"/>
  <c r="F87" i="5"/>
  <c r="F84" i="5"/>
  <c r="F85" i="5"/>
  <c r="F83" i="5"/>
  <c r="F81" i="5"/>
  <c r="F80" i="5" s="1"/>
  <c r="F78" i="5"/>
  <c r="F79" i="5"/>
  <c r="F77" i="5"/>
  <c r="F73" i="5"/>
  <c r="F74" i="5"/>
  <c r="F72" i="5"/>
  <c r="F67" i="5"/>
  <c r="H67" i="5" s="1"/>
  <c r="F68" i="5"/>
  <c r="F69" i="5"/>
  <c r="F70" i="5"/>
  <c r="H70" i="5" s="1"/>
  <c r="F66" i="5"/>
  <c r="H66" i="5" s="1"/>
  <c r="F57" i="5"/>
  <c r="F52" i="5"/>
  <c r="H52" i="5" s="1"/>
  <c r="F53" i="5"/>
  <c r="F54" i="5"/>
  <c r="F55" i="5"/>
  <c r="F51" i="5"/>
  <c r="H51" i="5" s="1"/>
  <c r="F49" i="5"/>
  <c r="H49" i="5" s="1"/>
  <c r="F43" i="5"/>
  <c r="F44" i="5"/>
  <c r="F45" i="5"/>
  <c r="F46" i="5"/>
  <c r="F47" i="5"/>
  <c r="F42" i="5"/>
  <c r="F37" i="5"/>
  <c r="F38" i="5"/>
  <c r="F39" i="5"/>
  <c r="F40" i="5"/>
  <c r="F36" i="5"/>
  <c r="F32" i="5"/>
  <c r="F33" i="5"/>
  <c r="F34" i="5"/>
  <c r="F31" i="5"/>
  <c r="F26" i="5"/>
  <c r="F27" i="5"/>
  <c r="F28" i="5"/>
  <c r="F29" i="5"/>
  <c r="F25" i="5"/>
  <c r="F23" i="5"/>
  <c r="H23" i="5" s="1"/>
  <c r="F19" i="5"/>
  <c r="H19" i="5" s="1"/>
  <c r="F20" i="5"/>
  <c r="H20" i="5" s="1"/>
  <c r="F21" i="5"/>
  <c r="H21" i="5" s="1"/>
  <c r="F22" i="5"/>
  <c r="H22" i="5" s="1"/>
  <c r="F18" i="5"/>
  <c r="H18" i="5" s="1"/>
  <c r="F10" i="5"/>
  <c r="H10" i="5" s="1"/>
  <c r="F11" i="5"/>
  <c r="H11" i="5" s="1"/>
  <c r="F12" i="5"/>
  <c r="H12" i="5" s="1"/>
  <c r="F13" i="5"/>
  <c r="H13" i="5" s="1"/>
  <c r="F14" i="5"/>
  <c r="F15" i="5"/>
  <c r="F16" i="5"/>
  <c r="F9" i="5"/>
  <c r="H9" i="5" s="1"/>
  <c r="C87" i="5"/>
  <c r="I60" i="16" s="1"/>
  <c r="C84" i="5"/>
  <c r="C83" i="5"/>
  <c r="C78" i="5"/>
  <c r="C79" i="5"/>
  <c r="C77" i="5"/>
  <c r="E77" i="5" s="1"/>
  <c r="C73" i="5"/>
  <c r="C74" i="5"/>
  <c r="C72" i="5"/>
  <c r="C67" i="5"/>
  <c r="E67" i="5" s="1"/>
  <c r="C68" i="5"/>
  <c r="C69" i="5"/>
  <c r="C70" i="5"/>
  <c r="E70" i="5" s="1"/>
  <c r="C66" i="5"/>
  <c r="E66" i="5" s="1"/>
  <c r="C52" i="5"/>
  <c r="E52" i="5" s="1"/>
  <c r="C54" i="5"/>
  <c r="E54" i="5" s="1"/>
  <c r="C55" i="5"/>
  <c r="E55" i="5" s="1"/>
  <c r="C56" i="5"/>
  <c r="C51" i="5"/>
  <c r="E51" i="5" s="1"/>
  <c r="C49" i="5"/>
  <c r="E49" i="5" s="1"/>
  <c r="C43" i="5"/>
  <c r="C45" i="5"/>
  <c r="E45" i="5" s="1"/>
  <c r="C46" i="5"/>
  <c r="E46" i="5" s="1"/>
  <c r="C47" i="5"/>
  <c r="E47" i="5" s="1"/>
  <c r="C42" i="5"/>
  <c r="C37" i="5"/>
  <c r="C38" i="5"/>
  <c r="C39" i="5"/>
  <c r="C40" i="5"/>
  <c r="C36" i="5"/>
  <c r="E36" i="5" s="1"/>
  <c r="C32" i="5"/>
  <c r="C33" i="5"/>
  <c r="C34" i="5"/>
  <c r="C31" i="5"/>
  <c r="C26" i="5"/>
  <c r="C27" i="5"/>
  <c r="C28" i="5"/>
  <c r="C29" i="5"/>
  <c r="C25" i="5"/>
  <c r="C19" i="5"/>
  <c r="E19" i="5" s="1"/>
  <c r="C10" i="5"/>
  <c r="E10" i="5" s="1"/>
  <c r="C11" i="5"/>
  <c r="E11" i="5" s="1"/>
  <c r="C12" i="5"/>
  <c r="E12" i="5" s="1"/>
  <c r="C13" i="5"/>
  <c r="E13" i="5" s="1"/>
  <c r="C14" i="5"/>
  <c r="E14" i="5" s="1"/>
  <c r="C15" i="5"/>
  <c r="C16" i="5"/>
  <c r="K6378" i="8"/>
  <c r="G315" i="7"/>
  <c r="G314" i="7" s="1"/>
  <c r="F128" i="6"/>
  <c r="C128" i="6"/>
  <c r="E128" i="6" s="1"/>
  <c r="K6341" i="8"/>
  <c r="K6359" i="8" s="1"/>
  <c r="G285" i="7" s="1"/>
  <c r="G282" i="7" s="1"/>
  <c r="H6359" i="8"/>
  <c r="K2426" i="8"/>
  <c r="C123" i="6"/>
  <c r="E123" i="6" s="1"/>
  <c r="K14379" i="8"/>
  <c r="C122" i="6"/>
  <c r="E122" i="6" s="1"/>
  <c r="K18164" i="8"/>
  <c r="K18126" i="8"/>
  <c r="G526" i="7" s="1"/>
  <c r="J526" i="7" s="1"/>
  <c r="K18108" i="8"/>
  <c r="K18005" i="8"/>
  <c r="K17767" i="8"/>
  <c r="K17986" i="8"/>
  <c r="K17967" i="8"/>
  <c r="K17949" i="8"/>
  <c r="K17868" i="8"/>
  <c r="K17850" i="8"/>
  <c r="K17630" i="8"/>
  <c r="H17630" i="8"/>
  <c r="K17612" i="8"/>
  <c r="K17432" i="8"/>
  <c r="K17414" i="8"/>
  <c r="K17748" i="8"/>
  <c r="K17729" i="8"/>
  <c r="K17711" i="8"/>
  <c r="K17531" i="8"/>
  <c r="K17513" i="8"/>
  <c r="K17333" i="8"/>
  <c r="K14260" i="8"/>
  <c r="K14241" i="8"/>
  <c r="K14123" i="8"/>
  <c r="K14022" i="8"/>
  <c r="K14003" i="8"/>
  <c r="K13885" i="8"/>
  <c r="K13867" i="8"/>
  <c r="H13034" i="8"/>
  <c r="K12935" i="8"/>
  <c r="K12852" i="8"/>
  <c r="H12852" i="8"/>
  <c r="K12833" i="8"/>
  <c r="H12833" i="8"/>
  <c r="K12715" i="8"/>
  <c r="K12697" i="8"/>
  <c r="K12459" i="8"/>
  <c r="K12375" i="8"/>
  <c r="H12319" i="8"/>
  <c r="K12220" i="8"/>
  <c r="D314" i="7" l="1"/>
  <c r="D350" i="7"/>
  <c r="F350" i="7" s="1"/>
  <c r="J17630" i="8"/>
  <c r="G251" i="7"/>
  <c r="G250" i="7" s="1"/>
  <c r="J250" i="7" s="1"/>
  <c r="D181" i="7"/>
  <c r="F181" i="7" s="1"/>
  <c r="J8721" i="8"/>
  <c r="D529" i="7"/>
  <c r="F529" i="7" s="1"/>
  <c r="J2241" i="8"/>
  <c r="K18190" i="8"/>
  <c r="G350" i="7"/>
  <c r="J350" i="7" s="1"/>
  <c r="D285" i="7"/>
  <c r="F285" i="7" s="1"/>
  <c r="J6359" i="8"/>
  <c r="H879" i="8"/>
  <c r="J879" i="8" s="1"/>
  <c r="J860" i="8"/>
  <c r="H17767" i="8"/>
  <c r="J17767" i="8" s="1"/>
  <c r="J17751" i="8"/>
  <c r="H18005" i="8"/>
  <c r="J18005" i="8" s="1"/>
  <c r="J17989" i="8"/>
  <c r="H12137" i="8"/>
  <c r="J12137" i="8" s="1"/>
  <c r="J12121" i="8"/>
  <c r="H17231" i="8"/>
  <c r="J17231" i="8" s="1"/>
  <c r="J17215" i="8"/>
  <c r="J251" i="7"/>
  <c r="D101" i="7"/>
  <c r="F101" i="7" s="1"/>
  <c r="F105" i="7"/>
  <c r="B615" i="7"/>
  <c r="F250" i="7"/>
  <c r="B617" i="7"/>
  <c r="F314" i="7"/>
  <c r="C17" i="5"/>
  <c r="E17" i="5" s="1"/>
  <c r="H720" i="8"/>
  <c r="H717" i="8"/>
  <c r="J717" i="8" s="1"/>
  <c r="H14634" i="8"/>
  <c r="J14634" i="8" s="1"/>
  <c r="H14637" i="8"/>
  <c r="J14637" i="8" s="1"/>
  <c r="H4997" i="8"/>
  <c r="J4997" i="8" s="1"/>
  <c r="D349" i="7"/>
  <c r="F349" i="7" s="1"/>
  <c r="D348" i="7"/>
  <c r="F348" i="7" s="1"/>
  <c r="G199" i="7"/>
  <c r="J199" i="7" s="1"/>
  <c r="D282" i="7"/>
  <c r="F24" i="5"/>
  <c r="B608" i="7"/>
  <c r="B610" i="7"/>
  <c r="F82" i="5"/>
  <c r="F8" i="5"/>
  <c r="H8" i="5" s="1"/>
  <c r="F17" i="5"/>
  <c r="H17" i="5" s="1"/>
  <c r="F30" i="5"/>
  <c r="C8" i="5"/>
  <c r="E8" i="5" s="1"/>
  <c r="C41" i="5"/>
  <c r="E41" i="5" s="1"/>
  <c r="C82" i="5"/>
  <c r="C65" i="5"/>
  <c r="E65" i="5" s="1"/>
  <c r="C76" i="5"/>
  <c r="E76" i="5" s="1"/>
  <c r="C30" i="5"/>
  <c r="C50" i="5"/>
  <c r="E50" i="5" s="1"/>
  <c r="C120" i="6"/>
  <c r="E120" i="6" s="1"/>
  <c r="C35" i="5"/>
  <c r="E35" i="5" s="1"/>
  <c r="C24" i="5"/>
  <c r="C71" i="5"/>
  <c r="I67" i="16"/>
  <c r="F123" i="6"/>
  <c r="H11499" i="8"/>
  <c r="J11499" i="8" s="1"/>
  <c r="D526" i="7"/>
  <c r="F526" i="7" s="1"/>
  <c r="H13885" i="8"/>
  <c r="D415" i="7" s="1"/>
  <c r="F415" i="7" s="1"/>
  <c r="H13987" i="8"/>
  <c r="F122" i="6"/>
  <c r="H122" i="6" s="1"/>
  <c r="K11601" i="8"/>
  <c r="G415" i="7" s="1"/>
  <c r="K11583" i="8"/>
  <c r="C115" i="6"/>
  <c r="E115" i="6" s="1"/>
  <c r="K5534" i="8"/>
  <c r="K5515" i="8"/>
  <c r="G470" i="7" s="1"/>
  <c r="J470" i="7" s="1"/>
  <c r="K5497" i="8"/>
  <c r="K5416" i="8"/>
  <c r="G469" i="7" s="1"/>
  <c r="J469" i="7" s="1"/>
  <c r="K5398" i="8"/>
  <c r="K5317" i="8"/>
  <c r="G468" i="7" s="1"/>
  <c r="F114" i="6"/>
  <c r="H114" i="6" s="1"/>
  <c r="C114" i="6"/>
  <c r="E114" i="6" s="1"/>
  <c r="K11499" i="8"/>
  <c r="H11164" i="8"/>
  <c r="K11065" i="8"/>
  <c r="K10964" i="8"/>
  <c r="H10964" i="8"/>
  <c r="J10964" i="8" s="1"/>
  <c r="K10944" i="8"/>
  <c r="G50" i="7" s="1"/>
  <c r="K10926" i="8"/>
  <c r="H10926" i="8"/>
  <c r="K10845" i="8"/>
  <c r="G47" i="7" s="1"/>
  <c r="K10827" i="8"/>
  <c r="K10746" i="8"/>
  <c r="G46" i="7" s="1"/>
  <c r="K10728" i="8"/>
  <c r="F92" i="6" s="1"/>
  <c r="H10728" i="8"/>
  <c r="K10647" i="8"/>
  <c r="G45" i="7" s="1"/>
  <c r="K10629" i="8"/>
  <c r="K10548" i="8"/>
  <c r="G44" i="7" s="1"/>
  <c r="K10530" i="8"/>
  <c r="K10449" i="8"/>
  <c r="G42" i="7" s="1"/>
  <c r="K10431" i="8"/>
  <c r="K10350" i="8"/>
  <c r="G38" i="7" s="1"/>
  <c r="F82" i="6"/>
  <c r="C82" i="6"/>
  <c r="E82" i="6" s="1"/>
  <c r="K10233" i="8"/>
  <c r="F91" i="6" s="1"/>
  <c r="C91" i="6"/>
  <c r="E91" i="6" s="1"/>
  <c r="K10131" i="8"/>
  <c r="G11" i="7" s="1"/>
  <c r="K10113" i="8"/>
  <c r="K10032" i="8"/>
  <c r="K10014" i="8"/>
  <c r="H10014" i="8"/>
  <c r="K9911" i="8"/>
  <c r="H9911" i="8"/>
  <c r="J9911" i="8" s="1"/>
  <c r="K9573" i="8"/>
  <c r="H9573" i="8"/>
  <c r="J9573" i="8" s="1"/>
  <c r="K9793" i="8"/>
  <c r="K9775" i="8"/>
  <c r="H9775" i="8"/>
  <c r="J9775" i="8" s="1"/>
  <c r="H9059" i="8"/>
  <c r="H9041" i="8"/>
  <c r="J9041" i="8" s="1"/>
  <c r="K9930" i="8"/>
  <c r="H9930" i="8"/>
  <c r="J9930" i="8" s="1"/>
  <c r="K9892" i="8"/>
  <c r="K9874" i="8"/>
  <c r="K9694" i="8"/>
  <c r="K9676" i="8"/>
  <c r="H9676" i="8"/>
  <c r="J9676" i="8" s="1"/>
  <c r="K9356" i="8"/>
  <c r="G136" i="7" s="1"/>
  <c r="K9338" i="8"/>
  <c r="H9338" i="8"/>
  <c r="J9338" i="8" s="1"/>
  <c r="K9257" i="8"/>
  <c r="G135" i="7" s="1"/>
  <c r="K9239" i="8"/>
  <c r="H9239" i="8"/>
  <c r="J9239" i="8" s="1"/>
  <c r="K9140" i="8"/>
  <c r="H9140" i="8"/>
  <c r="J9140" i="8" s="1"/>
  <c r="K8942" i="8"/>
  <c r="H8942" i="8"/>
  <c r="J8942" i="8" s="1"/>
  <c r="K1992" i="8"/>
  <c r="H1992" i="8"/>
  <c r="J1992" i="8" s="1"/>
  <c r="K6819" i="8"/>
  <c r="H6819" i="8"/>
  <c r="J6819" i="8" s="1"/>
  <c r="K1955" i="8"/>
  <c r="K7530" i="8"/>
  <c r="H7530" i="8"/>
  <c r="J7530" i="8" s="1"/>
  <c r="K7567" i="8"/>
  <c r="H7567" i="8"/>
  <c r="J7567" i="8" s="1"/>
  <c r="K7426" i="8"/>
  <c r="K7389" i="8"/>
  <c r="K2309" i="8"/>
  <c r="F20" i="6" s="1"/>
  <c r="F116" i="6"/>
  <c r="H116" i="6" s="1"/>
  <c r="K2131" i="8"/>
  <c r="H2131" i="8"/>
  <c r="K1856" i="8"/>
  <c r="H1856" i="8"/>
  <c r="K5179" i="8"/>
  <c r="F108" i="6" s="1"/>
  <c r="K5080" i="8"/>
  <c r="F110" i="6" s="1"/>
  <c r="C110" i="6"/>
  <c r="E110" i="6" s="1"/>
  <c r="F14" i="6"/>
  <c r="H14" i="6" s="1"/>
  <c r="C14" i="6"/>
  <c r="E14" i="6" s="1"/>
  <c r="K8365" i="8"/>
  <c r="H8365" i="8"/>
  <c r="K8802" i="8"/>
  <c r="H8802" i="8"/>
  <c r="J8802" i="8" s="1"/>
  <c r="K8703" i="8"/>
  <c r="C85" i="6"/>
  <c r="E85" i="6" s="1"/>
  <c r="K8604" i="8"/>
  <c r="K8505" i="8"/>
  <c r="H8505" i="8"/>
  <c r="K8107" i="8"/>
  <c r="K8008" i="8"/>
  <c r="K7909" i="8"/>
  <c r="K1158" i="8"/>
  <c r="G102" i="7" s="1"/>
  <c r="F43" i="6"/>
  <c r="H43" i="6" s="1"/>
  <c r="C43" i="6"/>
  <c r="E43" i="6" s="1"/>
  <c r="K946" i="8"/>
  <c r="G10" i="7" s="1"/>
  <c r="K928" i="8"/>
  <c r="K838" i="8"/>
  <c r="G525" i="7" s="1"/>
  <c r="H838" i="8"/>
  <c r="K820" i="8"/>
  <c r="H820" i="8"/>
  <c r="J820" i="8" s="1"/>
  <c r="K465" i="8"/>
  <c r="F19" i="6"/>
  <c r="C19" i="6"/>
  <c r="E19" i="6" s="1"/>
  <c r="K362" i="8"/>
  <c r="K343" i="8"/>
  <c r="K324" i="8"/>
  <c r="K287" i="8"/>
  <c r="K305" i="8" s="1"/>
  <c r="G533" i="7" s="1"/>
  <c r="J533" i="7" s="1"/>
  <c r="H287" i="8"/>
  <c r="H305" i="8" s="1"/>
  <c r="D533" i="7" s="1"/>
  <c r="F533" i="7" s="1"/>
  <c r="K206" i="8"/>
  <c r="G532" i="7" s="1"/>
  <c r="J532" i="7" s="1"/>
  <c r="H188" i="8"/>
  <c r="K107" i="8"/>
  <c r="C61" i="6" l="1"/>
  <c r="E61" i="6" s="1"/>
  <c r="J8365" i="8"/>
  <c r="F32" i="6"/>
  <c r="H32" i="6" s="1"/>
  <c r="G137" i="7"/>
  <c r="C92" i="6"/>
  <c r="E92" i="6" s="1"/>
  <c r="J10728" i="8"/>
  <c r="D525" i="7"/>
  <c r="F525" i="7" s="1"/>
  <c r="J838" i="8"/>
  <c r="F85" i="6"/>
  <c r="C32" i="6"/>
  <c r="E32" i="6" s="1"/>
  <c r="J2131" i="8"/>
  <c r="C94" i="6"/>
  <c r="E94" i="6" s="1"/>
  <c r="J10926" i="8"/>
  <c r="K18203" i="8"/>
  <c r="G101" i="7"/>
  <c r="J101" i="7" s="1"/>
  <c r="J102" i="7"/>
  <c r="G414" i="7"/>
  <c r="J414" i="7" s="1"/>
  <c r="J415" i="7"/>
  <c r="B616" i="7"/>
  <c r="F282" i="7"/>
  <c r="F25" i="6"/>
  <c r="H25" i="6" s="1"/>
  <c r="D199" i="7"/>
  <c r="F199" i="7" s="1"/>
  <c r="J11164" i="8"/>
  <c r="D133" i="7"/>
  <c r="F133" i="7" s="1"/>
  <c r="J9059" i="8"/>
  <c r="C25" i="6"/>
  <c r="E25" i="6" s="1"/>
  <c r="J1856" i="8"/>
  <c r="H736" i="8"/>
  <c r="J736" i="8" s="1"/>
  <c r="J720" i="8"/>
  <c r="C64" i="5"/>
  <c r="E64" i="5" s="1"/>
  <c r="H14653" i="8"/>
  <c r="J14653" i="8" s="1"/>
  <c r="C87" i="6"/>
  <c r="E87" i="6" s="1"/>
  <c r="F87" i="6"/>
  <c r="G133" i="7"/>
  <c r="J133" i="7" s="1"/>
  <c r="G9" i="7"/>
  <c r="F18" i="6"/>
  <c r="G36" i="7"/>
  <c r="J36" i="7" s="1"/>
  <c r="D414" i="7"/>
  <c r="F95" i="6"/>
  <c r="F120" i="6"/>
  <c r="H120" i="6" s="1"/>
  <c r="G467" i="7"/>
  <c r="F94" i="6"/>
  <c r="C30" i="6"/>
  <c r="E30" i="6" s="1"/>
  <c r="F30" i="6"/>
  <c r="H30" i="6" s="1"/>
  <c r="H14006" i="8"/>
  <c r="H14003" i="8"/>
  <c r="H18148" i="8"/>
  <c r="H18145" i="8"/>
  <c r="J18145" i="8" s="1"/>
  <c r="H5518" i="8"/>
  <c r="H5515" i="8"/>
  <c r="C86" i="6"/>
  <c r="E86" i="6" s="1"/>
  <c r="F86" i="6"/>
  <c r="F61" i="6"/>
  <c r="H61" i="6" s="1"/>
  <c r="F31" i="6"/>
  <c r="F115" i="6"/>
  <c r="H115" i="6" s="1"/>
  <c r="C70" i="6"/>
  <c r="E70" i="6" s="1"/>
  <c r="F70" i="6"/>
  <c r="H70" i="6" s="1"/>
  <c r="F37" i="6"/>
  <c r="F34" i="6" s="1"/>
  <c r="C46" i="6"/>
  <c r="E46" i="6" s="1"/>
  <c r="F46" i="6"/>
  <c r="C18" i="6"/>
  <c r="E18" i="6" s="1"/>
  <c r="F90" i="6"/>
  <c r="H90" i="6" s="1"/>
  <c r="F16" i="6"/>
  <c r="H16" i="6" s="1"/>
  <c r="H5179" i="8"/>
  <c r="K9592" i="8"/>
  <c r="H9592" i="8"/>
  <c r="J9592" i="8" s="1"/>
  <c r="K9158" i="8"/>
  <c r="G161" i="7" s="1"/>
  <c r="K8960" i="8"/>
  <c r="G132" i="7" s="1"/>
  <c r="H8960" i="8"/>
  <c r="K7548" i="8"/>
  <c r="G523" i="7" s="1"/>
  <c r="K7586" i="8"/>
  <c r="K6875" i="8"/>
  <c r="H6875" i="8"/>
  <c r="J6875" i="8" s="1"/>
  <c r="H1973" i="8"/>
  <c r="J1973" i="8" s="1"/>
  <c r="H14022" i="8"/>
  <c r="H18167" i="8"/>
  <c r="H7548" i="8"/>
  <c r="K7445" i="8"/>
  <c r="K7407" i="8"/>
  <c r="G522" i="7" s="1"/>
  <c r="J522" i="7" s="1"/>
  <c r="H7407" i="8"/>
  <c r="H7410" i="8"/>
  <c r="K7363" i="8"/>
  <c r="K5197" i="8"/>
  <c r="G384" i="7" s="1"/>
  <c r="J384" i="7" s="1"/>
  <c r="K5098" i="8"/>
  <c r="G383" i="7" s="1"/>
  <c r="D351" i="7"/>
  <c r="F351" i="7" s="1"/>
  <c r="G351" i="7"/>
  <c r="K4431" i="8"/>
  <c r="G347" i="7"/>
  <c r="K8402" i="8"/>
  <c r="H8383" i="8"/>
  <c r="K8383" i="8"/>
  <c r="K8839" i="8"/>
  <c r="K8820" i="8"/>
  <c r="K8721" i="8"/>
  <c r="K8622" i="8"/>
  <c r="G179" i="7" s="1"/>
  <c r="H8622" i="8"/>
  <c r="K8523" i="8"/>
  <c r="G178" i="7" s="1"/>
  <c r="K8125" i="8"/>
  <c r="K8026" i="8"/>
  <c r="K7927" i="8"/>
  <c r="G159" i="7" s="1"/>
  <c r="K2327" i="8"/>
  <c r="G531" i="7" s="1"/>
  <c r="K2286" i="8"/>
  <c r="K2241" i="8"/>
  <c r="K2196" i="8"/>
  <c r="K2149" i="8"/>
  <c r="K895" i="8"/>
  <c r="K876" i="8"/>
  <c r="K857" i="8"/>
  <c r="K698" i="8"/>
  <c r="H206" i="8"/>
  <c r="D532" i="7" s="1"/>
  <c r="F532" i="7" s="1"/>
  <c r="H76" i="3"/>
  <c r="H45" i="3"/>
  <c r="E100" i="3"/>
  <c r="E97" i="3"/>
  <c r="E94" i="3"/>
  <c r="E91" i="3"/>
  <c r="E88" i="3"/>
  <c r="I88" i="3" s="1"/>
  <c r="E83" i="3"/>
  <c r="E79" i="3"/>
  <c r="E76" i="3"/>
  <c r="E73" i="3"/>
  <c r="E64" i="3"/>
  <c r="I64" i="3" s="1"/>
  <c r="E52" i="3"/>
  <c r="E47" i="3"/>
  <c r="I47" i="3" s="1"/>
  <c r="E45" i="3"/>
  <c r="E42" i="3"/>
  <c r="E33" i="3"/>
  <c r="E23" i="3"/>
  <c r="E10" i="3"/>
  <c r="G198" i="7"/>
  <c r="H8125" i="8"/>
  <c r="H5200" i="8"/>
  <c r="H5098" i="8"/>
  <c r="H8402" i="8"/>
  <c r="J8402" i="8" s="1"/>
  <c r="H895" i="8"/>
  <c r="J895" i="8" s="1"/>
  <c r="H8144" i="8"/>
  <c r="J8144" i="8" s="1"/>
  <c r="C116" i="6"/>
  <c r="E116" i="6" s="1"/>
  <c r="H876" i="8"/>
  <c r="J876" i="8" s="1"/>
  <c r="H9" i="7"/>
  <c r="H11" i="7"/>
  <c r="H12" i="7"/>
  <c r="H10" i="7"/>
  <c r="C16" i="6"/>
  <c r="E16" i="6" s="1"/>
  <c r="H7389" i="8"/>
  <c r="F86" i="5"/>
  <c r="F76" i="5"/>
  <c r="F65" i="5"/>
  <c r="H65" i="5" s="1"/>
  <c r="F50" i="5"/>
  <c r="H50" i="5" s="1"/>
  <c r="F48" i="5"/>
  <c r="H48" i="5" s="1"/>
  <c r="F41" i="5"/>
  <c r="D100" i="3"/>
  <c r="D97" i="3"/>
  <c r="D83" i="3"/>
  <c r="G83" i="3" s="1"/>
  <c r="D94" i="3"/>
  <c r="D91" i="3"/>
  <c r="D88" i="3"/>
  <c r="D79" i="3"/>
  <c r="G79" i="3" s="1"/>
  <c r="D76" i="3"/>
  <c r="D73" i="3"/>
  <c r="G73" i="3" s="1"/>
  <c r="D64" i="3"/>
  <c r="G64" i="3" s="1"/>
  <c r="D52" i="3"/>
  <c r="G52" i="3" s="1"/>
  <c r="D47" i="3"/>
  <c r="G47" i="3" s="1"/>
  <c r="D45" i="3"/>
  <c r="D42" i="3"/>
  <c r="G42" i="3" s="1"/>
  <c r="D33" i="3"/>
  <c r="G33" i="3" s="1"/>
  <c r="D23" i="3"/>
  <c r="G23" i="3" s="1"/>
  <c r="D10" i="3"/>
  <c r="G10" i="3" s="1"/>
  <c r="I64" i="16"/>
  <c r="C37" i="6"/>
  <c r="E37" i="6" s="1"/>
  <c r="F35" i="5"/>
  <c r="F71" i="5"/>
  <c r="C48" i="5"/>
  <c r="E48" i="5" s="1"/>
  <c r="I68" i="16"/>
  <c r="H2309" i="8"/>
  <c r="H2311" i="8" s="1"/>
  <c r="J2311" i="8" s="1"/>
  <c r="C90" i="6"/>
  <c r="E90" i="6" s="1"/>
  <c r="H94" i="3" l="1"/>
  <c r="G527" i="7"/>
  <c r="J527" i="7" s="1"/>
  <c r="G530" i="7"/>
  <c r="J530" i="7" s="1"/>
  <c r="D522" i="7"/>
  <c r="F522" i="7" s="1"/>
  <c r="J7407" i="8"/>
  <c r="C108" i="6"/>
  <c r="E108" i="6" s="1"/>
  <c r="J5179" i="8"/>
  <c r="H2327" i="8"/>
  <c r="H6381" i="8"/>
  <c r="J6381" i="8" s="1"/>
  <c r="J5200" i="8"/>
  <c r="G524" i="7"/>
  <c r="G529" i="7"/>
  <c r="J529" i="7" s="1"/>
  <c r="H7429" i="8"/>
  <c r="J7429" i="8" s="1"/>
  <c r="J7410" i="8"/>
  <c r="H5534" i="8"/>
  <c r="J5534" i="8" s="1"/>
  <c r="J5518" i="8"/>
  <c r="C31" i="6"/>
  <c r="E31" i="6" s="1"/>
  <c r="J7389" i="8"/>
  <c r="D383" i="7"/>
  <c r="F383" i="7" s="1"/>
  <c r="J5098" i="8"/>
  <c r="D161" i="7"/>
  <c r="F161" i="7" s="1"/>
  <c r="J8125" i="8"/>
  <c r="D179" i="7"/>
  <c r="F179" i="7" s="1"/>
  <c r="J8622" i="8"/>
  <c r="G181" i="7"/>
  <c r="D198" i="7"/>
  <c r="F198" i="7" s="1"/>
  <c r="J8383" i="8"/>
  <c r="D470" i="7"/>
  <c r="F470" i="7" s="1"/>
  <c r="J5515" i="8"/>
  <c r="D158" i="7"/>
  <c r="F158" i="7" s="1"/>
  <c r="G197" i="7"/>
  <c r="J197" i="7" s="1"/>
  <c r="J198" i="7"/>
  <c r="D197" i="7"/>
  <c r="F197" i="7" s="1"/>
  <c r="D467" i="7"/>
  <c r="B620" i="7"/>
  <c r="F414" i="7"/>
  <c r="H51" i="3"/>
  <c r="D132" i="7"/>
  <c r="J8960" i="8"/>
  <c r="H18164" i="8"/>
  <c r="J18164" i="8" s="1"/>
  <c r="J18148" i="8"/>
  <c r="H18183" i="8"/>
  <c r="J18183" i="8" s="1"/>
  <c r="J18167" i="8"/>
  <c r="D523" i="7"/>
  <c r="F523" i="7" s="1"/>
  <c r="J7548" i="8"/>
  <c r="C20" i="6"/>
  <c r="E20" i="6" s="1"/>
  <c r="J2309" i="8"/>
  <c r="D531" i="7"/>
  <c r="F531" i="7" s="1"/>
  <c r="J2327" i="8"/>
  <c r="C88" i="6"/>
  <c r="E88" i="6" s="1"/>
  <c r="H97" i="3"/>
  <c r="E96" i="3"/>
  <c r="I65" i="16"/>
  <c r="I69" i="16" s="1"/>
  <c r="H100" i="3"/>
  <c r="H5216" i="8"/>
  <c r="J5216" i="8" s="1"/>
  <c r="H18009" i="8"/>
  <c r="E51" i="3"/>
  <c r="D51" i="3"/>
  <c r="G51" i="3" s="1"/>
  <c r="D9" i="3"/>
  <c r="G9" i="3" s="1"/>
  <c r="D44" i="3"/>
  <c r="G44" i="3" s="1"/>
  <c r="D90" i="3"/>
  <c r="G160" i="7"/>
  <c r="G158" i="7" s="1"/>
  <c r="C41" i="6"/>
  <c r="E41" i="6" s="1"/>
  <c r="C81" i="6"/>
  <c r="E81" i="6" s="1"/>
  <c r="G134" i="7"/>
  <c r="G131" i="7" s="1"/>
  <c r="J131" i="7" s="1"/>
  <c r="F81" i="6"/>
  <c r="G182" i="7"/>
  <c r="G186" i="7"/>
  <c r="J186" i="7" s="1"/>
  <c r="D528" i="7"/>
  <c r="F528" i="7" s="1"/>
  <c r="G382" i="7"/>
  <c r="G528" i="7"/>
  <c r="J528" i="7" s="1"/>
  <c r="F88" i="6"/>
  <c r="H88" i="6" s="1"/>
  <c r="G349" i="7"/>
  <c r="J349" i="7" s="1"/>
  <c r="F113" i="6"/>
  <c r="H113" i="6" s="1"/>
  <c r="F17" i="6"/>
  <c r="H17" i="6" s="1"/>
  <c r="E9" i="3"/>
  <c r="E44" i="3"/>
  <c r="I44" i="3" s="1"/>
  <c r="E90" i="3"/>
  <c r="D96" i="3"/>
  <c r="H7426" i="8"/>
  <c r="J7426" i="8" s="1"/>
  <c r="F41" i="6"/>
  <c r="H41" i="6" s="1"/>
  <c r="C113" i="6"/>
  <c r="E113" i="6" s="1"/>
  <c r="H7445" i="8"/>
  <c r="J7445" i="8" s="1"/>
  <c r="H7347" i="8"/>
  <c r="J7347" i="8" s="1"/>
  <c r="F88" i="5"/>
  <c r="H88" i="5" s="1"/>
  <c r="C7" i="6"/>
  <c r="E7" i="6" s="1"/>
  <c r="C34" i="6"/>
  <c r="E34" i="6" s="1"/>
  <c r="C7" i="5"/>
  <c r="F7" i="5"/>
  <c r="H7" i="5" s="1"/>
  <c r="F64" i="5"/>
  <c r="H64" i="5" s="1"/>
  <c r="D382" i="7"/>
  <c r="F382" i="7" s="1"/>
  <c r="B614" i="7"/>
  <c r="B612" i="7"/>
  <c r="D346" i="7"/>
  <c r="F346" i="7" s="1"/>
  <c r="C95" i="6"/>
  <c r="E95" i="6" s="1"/>
  <c r="D177" i="7" l="1"/>
  <c r="H96" i="3"/>
  <c r="H8" i="3"/>
  <c r="H102" i="3" s="1"/>
  <c r="H103" i="3" s="1"/>
  <c r="I51" i="3"/>
  <c r="D131" i="7"/>
  <c r="F132" i="7"/>
  <c r="B621" i="7"/>
  <c r="F467" i="7"/>
  <c r="C88" i="5"/>
  <c r="E88" i="5" s="1"/>
  <c r="E7" i="5"/>
  <c r="C17" i="6"/>
  <c r="E17" i="6" s="1"/>
  <c r="D521" i="7"/>
  <c r="F521" i="7" s="1"/>
  <c r="H18187" i="8"/>
  <c r="J18187" i="8" s="1"/>
  <c r="J18009" i="8"/>
  <c r="G348" i="7"/>
  <c r="J348" i="7" s="1"/>
  <c r="F11" i="6"/>
  <c r="H11" i="6" s="1"/>
  <c r="D8" i="3"/>
  <c r="G8" i="3" s="1"/>
  <c r="H3014" i="8"/>
  <c r="J3014" i="8" s="1"/>
  <c r="E8" i="3"/>
  <c r="I8" i="3" s="1"/>
  <c r="G177" i="7"/>
  <c r="G521" i="7"/>
  <c r="J521" i="7" s="1"/>
  <c r="H7363" i="8"/>
  <c r="J7363" i="8" s="1"/>
  <c r="B619" i="7"/>
  <c r="B618" i="7"/>
  <c r="B622" i="7"/>
  <c r="D602" i="7"/>
  <c r="F602" i="7" s="1"/>
  <c r="C142" i="6"/>
  <c r="E142" i="6" s="1"/>
  <c r="F177" i="7" l="1"/>
  <c r="B613" i="7"/>
  <c r="B611" i="7"/>
  <c r="F131" i="7"/>
  <c r="G346" i="7"/>
  <c r="J346" i="7" s="1"/>
  <c r="F7" i="6"/>
  <c r="D103" i="3"/>
  <c r="I62" i="16"/>
  <c r="D102" i="3"/>
  <c r="G102" i="3" s="1"/>
  <c r="H6397" i="8"/>
  <c r="E103" i="3"/>
  <c r="I103" i="3" s="1"/>
  <c r="E102" i="3"/>
  <c r="I102" i="3" s="1"/>
  <c r="G602" i="7"/>
  <c r="J602" i="7" s="1"/>
  <c r="E15" i="7"/>
  <c r="E28" i="7"/>
  <c r="E33" i="7"/>
  <c r="E32" i="7"/>
  <c r="E25" i="7"/>
  <c r="E12" i="7"/>
  <c r="E30" i="7"/>
  <c r="E26" i="7"/>
  <c r="E29" i="7"/>
  <c r="E27" i="7"/>
  <c r="E11" i="7"/>
  <c r="E24" i="7"/>
  <c r="E19" i="7"/>
  <c r="E16" i="7"/>
  <c r="E20" i="7"/>
  <c r="E14" i="7"/>
  <c r="E31" i="7"/>
  <c r="E18" i="7"/>
  <c r="E22" i="7"/>
  <c r="E21" i="7"/>
  <c r="E9" i="7"/>
  <c r="E35" i="7"/>
  <c r="E13" i="7"/>
  <c r="E23" i="7"/>
  <c r="E17" i="7"/>
  <c r="E10" i="7"/>
  <c r="E34" i="7"/>
  <c r="F142" i="6" l="1"/>
  <c r="H142" i="6" s="1"/>
  <c r="H7" i="6"/>
  <c r="G103" i="3"/>
  <c r="H18025" i="8"/>
  <c r="J18025" i="8" s="1"/>
  <c r="J6397" i="8"/>
  <c r="H18203" i="8"/>
  <c r="J18203" i="8" s="1"/>
  <c r="J5984" i="8" l="1"/>
</calcChain>
</file>

<file path=xl/sharedStrings.xml><?xml version="1.0" encoding="utf-8"?>
<sst xmlns="http://schemas.openxmlformats.org/spreadsheetml/2006/main" count="27776" uniqueCount="5443">
  <si>
    <t>А.</t>
  </si>
  <si>
    <t>РАЧУН ПРИХОДА И ПРИМАЊА</t>
  </si>
  <si>
    <t>Економска класификација</t>
  </si>
  <si>
    <t>Укупни приходи и примања остварени по основу продаје нефинансијске имовине</t>
  </si>
  <si>
    <t>7 + 8</t>
  </si>
  <si>
    <t>Укупни расходи и издаци за набавку нефинансијске имовине</t>
  </si>
  <si>
    <t>4 + 5</t>
  </si>
  <si>
    <t>Буџетски суфицит/дефицит</t>
  </si>
  <si>
    <t>(7+8) - (4+5)</t>
  </si>
  <si>
    <t xml:space="preserve">Укупан фискални суфицит/дефицит </t>
  </si>
  <si>
    <t>Б.</t>
  </si>
  <si>
    <t xml:space="preserve"> РАЧУН ФИНАНСИРАЊА</t>
  </si>
  <si>
    <t>Примања од задуживања</t>
  </si>
  <si>
    <t>Издаци за отплату главнице дуга</t>
  </si>
  <si>
    <t>Нето финансирање</t>
  </si>
  <si>
    <t>1.</t>
  </si>
  <si>
    <t>2.</t>
  </si>
  <si>
    <t>3.</t>
  </si>
  <si>
    <t>4.</t>
  </si>
  <si>
    <t>5.</t>
  </si>
  <si>
    <t>6.</t>
  </si>
  <si>
    <t>Р.бр.</t>
  </si>
  <si>
    <t>ОПИС</t>
  </si>
  <si>
    <t>Шифра економске класификације</t>
  </si>
  <si>
    <t>Средства из буџета</t>
  </si>
  <si>
    <t>I</t>
  </si>
  <si>
    <t>УКУПНИ ПРИХОДИ И ПРИМАЊА ОД ПРОДАЈЕ НЕФИНАНСИЈСКЕ ИМОВИНЕ</t>
  </si>
  <si>
    <t>7+8</t>
  </si>
  <si>
    <t>Порески приходи</t>
  </si>
  <si>
    <t>1.1.</t>
  </si>
  <si>
    <t>Порез на доходак, добит и капиталне добитке (осим самодоприноса)</t>
  </si>
  <si>
    <t>1.2.</t>
  </si>
  <si>
    <t>Самодопринос</t>
  </si>
  <si>
    <t>1.3.</t>
  </si>
  <si>
    <t>Порез на имовину</t>
  </si>
  <si>
    <t>1.6.</t>
  </si>
  <si>
    <t>Остали порески приходи</t>
  </si>
  <si>
    <t xml:space="preserve">Непорески приходи </t>
  </si>
  <si>
    <t>2.1</t>
  </si>
  <si>
    <t>Накнада за коришћење природних добара</t>
  </si>
  <si>
    <t>2.2</t>
  </si>
  <si>
    <t>Накнада за коришћење шумског и пољопривредног земљишта</t>
  </si>
  <si>
    <t>Накнада за коришћење грађевинског земљишта</t>
  </si>
  <si>
    <t>Накнада за коришћење природног лековитог фактора</t>
  </si>
  <si>
    <t>2.3</t>
  </si>
  <si>
    <t>Приход од имовине који припада имаоцима полисе осигурања</t>
  </si>
  <si>
    <t>2.4</t>
  </si>
  <si>
    <t>Накнада за обавезни здравствени преглед биља</t>
  </si>
  <si>
    <t>2.5</t>
  </si>
  <si>
    <t>Накнада за уређивање грађевинског земљишта</t>
  </si>
  <si>
    <t>2.6</t>
  </si>
  <si>
    <t>Приходи настали продајом услуга корисника средстава буџета јединице локлане самоуправе чије је пружање уговорено са физичким и правним лицима</t>
  </si>
  <si>
    <t>Остали непорески приходи</t>
  </si>
  <si>
    <t>Донације</t>
  </si>
  <si>
    <t>731+732</t>
  </si>
  <si>
    <t>Трансфери</t>
  </si>
  <si>
    <t>Меморандумске ставке за рефундацију расхода</t>
  </si>
  <si>
    <t>Примања од продаје нефинансијске имовине</t>
  </si>
  <si>
    <t>II</t>
  </si>
  <si>
    <t>УКУПНИ РАСХОДИ И ИЗДАЦИ ЗА НАБАВКУ НЕФИНАНСИЈСКЕ ИМОВИНЕ</t>
  </si>
  <si>
    <t>4+5</t>
  </si>
  <si>
    <t>Текући расходи</t>
  </si>
  <si>
    <t>4 - 463</t>
  </si>
  <si>
    <t>Расходи за запослене</t>
  </si>
  <si>
    <t>Коришћење роба и услуга</t>
  </si>
  <si>
    <t>Употреба основних средстава</t>
  </si>
  <si>
    <t>1.4.</t>
  </si>
  <si>
    <t>Отплата камата</t>
  </si>
  <si>
    <t>1.5.</t>
  </si>
  <si>
    <t>Субвенције</t>
  </si>
  <si>
    <t>Социјална заштита из буџета</t>
  </si>
  <si>
    <t>1.7.</t>
  </si>
  <si>
    <t>Остали расходи</t>
  </si>
  <si>
    <t>48+49</t>
  </si>
  <si>
    <t>Издаци за набавку нефинансијске имовине</t>
  </si>
  <si>
    <t>Издаци за набавку финансијске имовине (осим 6211)</t>
  </si>
  <si>
    <t>III</t>
  </si>
  <si>
    <t>ПРИМАЊА ОД ПРОДАЈЕ ФИНАНСИЈСКЕ ИМОВИНЕ И ЗАДУЖИВАЊА</t>
  </si>
  <si>
    <t>Задуживање</t>
  </si>
  <si>
    <t>Задуживање код домаћих кредитора</t>
  </si>
  <si>
    <t>Задуживање код страних кредитора</t>
  </si>
  <si>
    <t>Примања по основу отплате кредита и продаје финансијске имовине</t>
  </si>
  <si>
    <t>IV</t>
  </si>
  <si>
    <t>ОТПЛАТА ДУГА И НАБАВКА ФИНАНСИЈСКЕ ИМОВИНЕ</t>
  </si>
  <si>
    <t>Отплата дуга</t>
  </si>
  <si>
    <t>Отплата дуга домаћим кредиторима</t>
  </si>
  <si>
    <t>Отплата дуга страним кредиторима</t>
  </si>
  <si>
    <t>Отплата дуга по гаранцијама</t>
  </si>
  <si>
    <t>Набавка финансијске имовине</t>
  </si>
  <si>
    <t>V</t>
  </si>
  <si>
    <t>НЕРАСПОРЕЂЕНИ ВИШАК ПРИХОДА ИЗ РАНИЈИХ ГОДИНА</t>
  </si>
  <si>
    <t>2.7</t>
  </si>
  <si>
    <t>2.8</t>
  </si>
  <si>
    <t>ФУНКЦИОНАЛНА КЛАСИФИКАЦИЈА</t>
  </si>
  <si>
    <t>СОЦИЈАЛНА ЗАШТИТА</t>
  </si>
  <si>
    <t>Болест и инвалидност</t>
  </si>
  <si>
    <t>Старост</t>
  </si>
  <si>
    <t>Корисници породичне пензије</t>
  </si>
  <si>
    <t>Породица и деца</t>
  </si>
  <si>
    <t>Незапосленост</t>
  </si>
  <si>
    <t>Становање</t>
  </si>
  <si>
    <t>Социјална помоћ угроженом становништву, некласификована на другом месту</t>
  </si>
  <si>
    <r>
      <t xml:space="preserve">Социјална заштита - </t>
    </r>
    <r>
      <rPr>
        <sz val="7"/>
        <color rgb="FF000000"/>
        <rFont val="Times New Roman Italic"/>
      </rPr>
      <t xml:space="preserve"> </t>
    </r>
    <r>
      <rPr>
        <sz val="9"/>
        <color rgb="FF000000"/>
        <rFont val="Times New Roman Italic"/>
      </rPr>
      <t>истраживање и развој</t>
    </r>
  </si>
  <si>
    <t>Социјална заштита некласификована на другом месту</t>
  </si>
  <si>
    <t>ОПШТЕ ЈАВНЕ УСЛУГЕ</t>
  </si>
  <si>
    <t>Извршни и законодавни органи, финансијски и фискални послови и спољни послови</t>
  </si>
  <si>
    <t>Извршни и законодавни органи</t>
  </si>
  <si>
    <t>Финансијски и фискални послови</t>
  </si>
  <si>
    <t>Спољни послови</t>
  </si>
  <si>
    <t>Економска помоћ иностранству</t>
  </si>
  <si>
    <t>Економска помоћ земљама у развоју и земљама у транзицији</t>
  </si>
  <si>
    <t>Економска помоћ преко међународних организација</t>
  </si>
  <si>
    <t>Опште услуге</t>
  </si>
  <si>
    <t>Опште кадровске услуге</t>
  </si>
  <si>
    <t>Опште услуге планирања и статистике</t>
  </si>
  <si>
    <t>Остале опште услуге</t>
  </si>
  <si>
    <t>Основно истраживање</t>
  </si>
  <si>
    <r>
      <t xml:space="preserve">Опште јавне услуге - </t>
    </r>
    <r>
      <rPr>
        <sz val="7"/>
        <color rgb="FF000000"/>
        <rFont val="Times New Roman Italic"/>
      </rPr>
      <t xml:space="preserve"> </t>
    </r>
    <r>
      <rPr>
        <sz val="9"/>
        <color rgb="FF000000"/>
        <rFont val="Times New Roman Italic"/>
      </rPr>
      <t>истраживање и развој</t>
    </r>
  </si>
  <si>
    <t>Опште јавне услуге некласификоване на другом месту</t>
  </si>
  <si>
    <t>Трансакције јавног  дуга</t>
  </si>
  <si>
    <t>Трансфери општег карактера између различитих нивоа власти</t>
  </si>
  <si>
    <t>ОДБРАНА</t>
  </si>
  <si>
    <t>Војна одбрана</t>
  </si>
  <si>
    <t>Цивилна одбрана</t>
  </si>
  <si>
    <t>Војна помоћ иностранству</t>
  </si>
  <si>
    <r>
      <t>Одбрана</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</si>
  <si>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Одбрана некласификована на другом месту</t>
  </si>
  <si>
    <t>ЈАВНИ РЕД И БЕЗБЕДНОСТ</t>
  </si>
  <si>
    <t>Услуге полиције</t>
  </si>
  <si>
    <t>Услуге противпожарне заштите</t>
  </si>
  <si>
    <t>Судови</t>
  </si>
  <si>
    <t>Јавни ред и безбедност - истраживање и развој</t>
  </si>
  <si>
    <t>Јавни ред и безбедност  некласификован на другом месту</t>
  </si>
  <si>
    <t>ЕКОНОМСКИ ПОСЛОВИ</t>
  </si>
  <si>
    <t>Општи економски и комерцијални послови и послови по питању рада</t>
  </si>
  <si>
    <t>Општи економски и комерцијални послови</t>
  </si>
  <si>
    <t>Општи послови по питању рада</t>
  </si>
  <si>
    <t>Пољопривреда, шумарство, лов и риболов</t>
  </si>
  <si>
    <t>Пољопривреда</t>
  </si>
  <si>
    <t>Шумарство</t>
  </si>
  <si>
    <t>Лов и риболов</t>
  </si>
  <si>
    <t>Гориво и енергија</t>
  </si>
  <si>
    <t>Угаљ и остала чврста минерална горива</t>
  </si>
  <si>
    <t>Нафта и природни гас</t>
  </si>
  <si>
    <t>Нуклеарно гориво</t>
  </si>
  <si>
    <t>Остала горива</t>
  </si>
  <si>
    <t>Електрична енергија</t>
  </si>
  <si>
    <t>Остала енергија</t>
  </si>
  <si>
    <t>Рударство, производња и изградња</t>
  </si>
  <si>
    <t>Ископавање минералних ресурса, изузев минералних горива</t>
  </si>
  <si>
    <t>Производња</t>
  </si>
  <si>
    <t>Изградња</t>
  </si>
  <si>
    <t>Саобраћај</t>
  </si>
  <si>
    <t>Друмски саобраћај</t>
  </si>
  <si>
    <t>Водени саобраћај</t>
  </si>
  <si>
    <t>Железнички саобраћај</t>
  </si>
  <si>
    <t>Ваздушни саобраћај</t>
  </si>
  <si>
    <t>Цевоводи и други облици саобраћаја</t>
  </si>
  <si>
    <t>Комуникације</t>
  </si>
  <si>
    <t>Остале делатности</t>
  </si>
  <si>
    <t>Трговина, смештај и складиштење</t>
  </si>
  <si>
    <t>Хотели и ресторани</t>
  </si>
  <si>
    <t>Туризам</t>
  </si>
  <si>
    <t>Вишенаменски развојни пројекти</t>
  </si>
  <si>
    <r>
      <t xml:space="preserve">Економски послови - </t>
    </r>
    <r>
      <rPr>
        <sz val="7"/>
        <color rgb="FF000000"/>
        <rFont val="Times New Roman Italic"/>
      </rPr>
      <t xml:space="preserve"> </t>
    </r>
    <r>
      <rPr>
        <sz val="9"/>
        <color rgb="FF000000"/>
        <rFont val="Times New Roman Italic"/>
      </rPr>
      <t>истраживање и развој</t>
    </r>
  </si>
  <si>
    <t>Истраживање и развој - Општи економски и комерцијални послови и послови по питању рада</t>
  </si>
  <si>
    <t>Истраживање и развој - Пољопривреда, шумарство, лов и риболов</t>
  </si>
  <si>
    <t>Истраживање и развој - Гориво и енергија</t>
  </si>
  <si>
    <t>Истраживање и развој - Рударство, производња и изградња</t>
  </si>
  <si>
    <t>Истраживање и развој - Саобраћај</t>
  </si>
  <si>
    <t>Истраживање и развој - Комуникације</t>
  </si>
  <si>
    <t>Истраживање и развој - Остале делатности</t>
  </si>
  <si>
    <t>Економски послови некласификовани на другом месту</t>
  </si>
  <si>
    <t>ЗАШТИТА ЖИВОТНЕ СРЕДИНЕ</t>
  </si>
  <si>
    <t>Управљање отпадом</t>
  </si>
  <si>
    <t>Управљање отпадним водама</t>
  </si>
  <si>
    <t>Смањење загађености</t>
  </si>
  <si>
    <t>Заштита биљног и животињског света  и крајолика</t>
  </si>
  <si>
    <r>
      <t xml:space="preserve">Заштита животне средине - </t>
    </r>
    <r>
      <rPr>
        <sz val="7"/>
        <color rgb="FF000000"/>
        <rFont val="Times New Roman Italic"/>
      </rPr>
      <t xml:space="preserve"> </t>
    </r>
    <r>
      <rPr>
        <sz val="9"/>
        <color rgb="FF000000"/>
        <rFont val="Times New Roman Italic"/>
      </rPr>
      <t>истраживање и развој</t>
    </r>
  </si>
  <si>
    <t>Заштита животне средине некласификована на другом месту</t>
  </si>
  <si>
    <t>ПОСЛОВИ СТАНОВАЊА И  ЗАЈЕДНИЦЕ</t>
  </si>
  <si>
    <t>Стамбени развој</t>
  </si>
  <si>
    <t>Развој заједнице</t>
  </si>
  <si>
    <t>Водоснабдевање</t>
  </si>
  <si>
    <t>Улична расвета</t>
  </si>
  <si>
    <t>Послови становања и заједнице - истраживање и развој</t>
  </si>
  <si>
    <t>Послови становања и заједнице некласификовани на другом месту</t>
  </si>
  <si>
    <t>ЗДРАВСТВО</t>
  </si>
  <si>
    <t>Медицински производи, помагала и опрема</t>
  </si>
  <si>
    <t>Фармацеутски производи</t>
  </si>
  <si>
    <t>Остали медицински производи</t>
  </si>
  <si>
    <t>Терапеутска помагала и опрема</t>
  </si>
  <si>
    <t>Ванболничке услуге</t>
  </si>
  <si>
    <t>Опште медицинске услуге</t>
  </si>
  <si>
    <t>Специјализоване медицинске услуге</t>
  </si>
  <si>
    <t>Стоматолошке услуге</t>
  </si>
  <si>
    <t>Парамедицинске услуге</t>
  </si>
  <si>
    <t>Болничке услуге</t>
  </si>
  <si>
    <t>Опште болничке услуге</t>
  </si>
  <si>
    <t>Специјализоване болничке услуге</t>
  </si>
  <si>
    <t>Услуге медицинских центара и породилишта</t>
  </si>
  <si>
    <t>Услуге домова  за негу и опоравак</t>
  </si>
  <si>
    <t>Услуге јавног здравства</t>
  </si>
  <si>
    <r>
      <t xml:space="preserve">Здравство </t>
    </r>
    <r>
      <rPr>
        <sz val="7"/>
        <color rgb="FF000000"/>
        <rFont val="Times New Roman Italic"/>
      </rPr>
      <t xml:space="preserve"> </t>
    </r>
    <r>
      <rPr>
        <sz val="9"/>
        <color rgb="FF000000"/>
        <rFont val="Times New Roman Italic"/>
      </rPr>
      <t>истраживање и развој</t>
    </r>
  </si>
  <si>
    <t>Здравство некласификовано на другом месту</t>
  </si>
  <si>
    <t>РЕКРЕАЦИЈА, СПОРТ, КУЛТУРА И ВЕРЕ</t>
  </si>
  <si>
    <t>Услуге рекреације и спорта</t>
  </si>
  <si>
    <t>Услуге културе</t>
  </si>
  <si>
    <t>Услуге емитовања и штампања</t>
  </si>
  <si>
    <t>Верске  и остале услуге заједнице</t>
  </si>
  <si>
    <r>
      <t>Рекреација, спорт, култура и вере</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</si>
  <si>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Рекреација, спорт, култура и вере, некласификовано на другом месту</t>
  </si>
  <si>
    <t>ОБРАЗОВАЊЕ</t>
  </si>
  <si>
    <t>Предшколско и основно образовање</t>
  </si>
  <si>
    <t>Предшколско образовање</t>
  </si>
  <si>
    <t>Основно образовање</t>
  </si>
  <si>
    <t>Основно образовање са домом ученика</t>
  </si>
  <si>
    <t>Основно образовање са средњом школом</t>
  </si>
  <si>
    <t>Специјално основно образовање</t>
  </si>
  <si>
    <t>Основно образовање са средњом школом и домом ученика</t>
  </si>
  <si>
    <t>Средње образовање</t>
  </si>
  <si>
    <t>Ниже средње образовање</t>
  </si>
  <si>
    <t>Више средње образовање</t>
  </si>
  <si>
    <t>Средње образовање са домом ученика</t>
  </si>
  <si>
    <t>Више образовање</t>
  </si>
  <si>
    <t>Више образовање са студентским домом</t>
  </si>
  <si>
    <t>Високо образовање</t>
  </si>
  <si>
    <t>Високо образовање - први степен</t>
  </si>
  <si>
    <t>Високо образовање -  други степен</t>
  </si>
  <si>
    <t>Образовање које није дефинисано нивоом</t>
  </si>
  <si>
    <t>Помоћне услуге образовању</t>
  </si>
  <si>
    <r>
      <t xml:space="preserve">Образовање - </t>
    </r>
    <r>
      <rPr>
        <sz val="7"/>
        <color rgb="FF000000"/>
        <rFont val="Times New Roman Italic"/>
      </rPr>
      <t xml:space="preserve"> </t>
    </r>
    <r>
      <rPr>
        <sz val="9"/>
        <color rgb="FF000000"/>
        <rFont val="Times New Roman Italic"/>
      </rPr>
      <t>истраживање и развој</t>
    </r>
  </si>
  <si>
    <t>Образовање некласификовано на другом месту</t>
  </si>
  <si>
    <t>КЛАСИФИКАЦИЈА ПО ИЗВОРИМА ФИНАНСИРАЊА</t>
  </si>
  <si>
    <t>01</t>
  </si>
  <si>
    <t>Приходи из буџета</t>
  </si>
  <si>
    <t>02</t>
  </si>
  <si>
    <t>Трансфери између корисника на истом нивоу</t>
  </si>
  <si>
    <t>03</t>
  </si>
  <si>
    <t>Социјални доприноси</t>
  </si>
  <si>
    <t>04</t>
  </si>
  <si>
    <t>Сопствени приходи буџетских корисника</t>
  </si>
  <si>
    <t>05</t>
  </si>
  <si>
    <t>Донације од иностраних земаља</t>
  </si>
  <si>
    <t>06</t>
  </si>
  <si>
    <t>Донације од међународних организација</t>
  </si>
  <si>
    <t>07</t>
  </si>
  <si>
    <t>Донације од осталих нивоа власти</t>
  </si>
  <si>
    <t>08</t>
  </si>
  <si>
    <t>Донације од невладиних организација и појединаца</t>
  </si>
  <si>
    <t>09</t>
  </si>
  <si>
    <t>10</t>
  </si>
  <si>
    <t>Примања од домаћих задуживања</t>
  </si>
  <si>
    <t>11</t>
  </si>
  <si>
    <t>Примања од иностраних задуживања</t>
  </si>
  <si>
    <t>12</t>
  </si>
  <si>
    <t>Примања од отплате датих кредита и продаје финансијске имовине</t>
  </si>
  <si>
    <t>13</t>
  </si>
  <si>
    <t>Нераспоређени вишак прихода из ранијих година</t>
  </si>
  <si>
    <t>14</t>
  </si>
  <si>
    <t>Неутрошена средства од приватизације из претходних година</t>
  </si>
  <si>
    <t>15</t>
  </si>
  <si>
    <t>Неутрошена средства донација из претходних година</t>
  </si>
  <si>
    <t>16</t>
  </si>
  <si>
    <t>Родитељски динар за ваннаставне активности</t>
  </si>
  <si>
    <t>Опис</t>
  </si>
  <si>
    <t>ЕКОНОМСКА КЛАСИФИКАЦИЈА</t>
  </si>
  <si>
    <t xml:space="preserve">Нефинансијска имовина                                                                     </t>
  </si>
  <si>
    <t xml:space="preserve">Нефинансијска имовина у сталним средствима                                                                  </t>
  </si>
  <si>
    <t xml:space="preserve">Некретнине и опрема                                                                    </t>
  </si>
  <si>
    <t xml:space="preserve">Зграде и грађевински објекти                                                                   </t>
  </si>
  <si>
    <t xml:space="preserve">Стамбене зграде и станови                                                                   </t>
  </si>
  <si>
    <t xml:space="preserve">Стамбене зграде за јавне службенике                                                                  </t>
  </si>
  <si>
    <t xml:space="preserve">Стамбени простор за социјалне групе                                                                  </t>
  </si>
  <si>
    <t xml:space="preserve">Стамбени простор за избеглице                                                                   </t>
  </si>
  <si>
    <t xml:space="preserve">Остале стамбене зграде                                                                    </t>
  </si>
  <si>
    <t xml:space="preserve">Лизинг стамбених зграда и станова                                                                  </t>
  </si>
  <si>
    <t xml:space="preserve">Добити које су резултат промене вредности стамбених зграда и станова                                                             </t>
  </si>
  <si>
    <t xml:space="preserve">Друге промене у обиму стамбених зграда и станова                                                               </t>
  </si>
  <si>
    <t xml:space="preserve">Исправка вредности стамбених зграда и станова                                                                 </t>
  </si>
  <si>
    <t xml:space="preserve">Пословне зграде                                                                     </t>
  </si>
  <si>
    <t xml:space="preserve">Болнице, домови здравља и старачки домови                                                                 </t>
  </si>
  <si>
    <t xml:space="preserve">Остале пословне зграде                                                                    </t>
  </si>
  <si>
    <t xml:space="preserve">Лизинг пословних зграда                                                                    </t>
  </si>
  <si>
    <t xml:space="preserve">Добити које су резултат промене вредности пословних зграда                                                               </t>
  </si>
  <si>
    <t xml:space="preserve">Друге промене у обиму пословних зграда                                                                 </t>
  </si>
  <si>
    <t xml:space="preserve">Исправка вредности пословних зграда                                                                   </t>
  </si>
  <si>
    <t xml:space="preserve">Пословни простор и други објекти                                                                  </t>
  </si>
  <si>
    <t xml:space="preserve">Објекти за потребе образовања                                                                   </t>
  </si>
  <si>
    <t xml:space="preserve">Ресторани, одмаралишта                                                                     </t>
  </si>
  <si>
    <t xml:space="preserve">Складишта, силоси, гараже и сл.                                                                  </t>
  </si>
  <si>
    <t xml:space="preserve">Гранични прелази                                                                     </t>
  </si>
  <si>
    <t xml:space="preserve">Фабричке хале                                                                     </t>
  </si>
  <si>
    <t xml:space="preserve">Лизинг пословног простора и других објеката                                                                 </t>
  </si>
  <si>
    <t xml:space="preserve">Добити које су резултат промене вредности пословног простора и других објеката                                                            </t>
  </si>
  <si>
    <t xml:space="preserve">Друге промене у обиму пословног простора и других објеката                                                              </t>
  </si>
  <si>
    <t xml:space="preserve">Исправка вредности пословног простора и других објеката                                                                </t>
  </si>
  <si>
    <t xml:space="preserve">Саобраћајни објекти                                                                     </t>
  </si>
  <si>
    <t xml:space="preserve">Аутопутеви, мостови, надвожњаци и тунели                                                                  </t>
  </si>
  <si>
    <t xml:space="preserve">Пруге                                                                      </t>
  </si>
  <si>
    <t xml:space="preserve">Аеродромске писте                                                                     </t>
  </si>
  <si>
    <t xml:space="preserve">Остали саобраћајни објекти                                                                    </t>
  </si>
  <si>
    <t xml:space="preserve">Лизинг саобраћајних објеката                                                                    </t>
  </si>
  <si>
    <t xml:space="preserve">Добити које су резултат промене вредности саобраћајних објеката                                                               </t>
  </si>
  <si>
    <t xml:space="preserve">Друге промене у обиму саобраћајних објеката                                                                 </t>
  </si>
  <si>
    <t xml:space="preserve">Исправка вредности саобраћајних објеката                                                                   </t>
  </si>
  <si>
    <t xml:space="preserve">Водоводна инфраструктура                                                                     </t>
  </si>
  <si>
    <t xml:space="preserve">Водовод                                                                      </t>
  </si>
  <si>
    <t xml:space="preserve">Канализација                                                                      </t>
  </si>
  <si>
    <t xml:space="preserve">Луке                                                                      </t>
  </si>
  <si>
    <t xml:space="preserve">Бране                                                                      </t>
  </si>
  <si>
    <t xml:space="preserve">Остали облици водоводне инфраструктуре                                                                   </t>
  </si>
  <si>
    <t xml:space="preserve">Лизинг водоводне инфраструктуре                                                                    </t>
  </si>
  <si>
    <t xml:space="preserve">Добити које су резултат промене вредности водоводне инфраструктуре                                                               </t>
  </si>
  <si>
    <t xml:space="preserve">Друге промене у обиму водоводне инфраструктуре                                                                 </t>
  </si>
  <si>
    <t xml:space="preserve">Исправка вредности водоводне инфраструктуре                                                                   </t>
  </si>
  <si>
    <t xml:space="preserve">Остали објекти                                                                     </t>
  </si>
  <si>
    <t xml:space="preserve">Плиноводи                                                                      </t>
  </si>
  <si>
    <t xml:space="preserve">Комуникациони и електрични водови                                                                   </t>
  </si>
  <si>
    <t xml:space="preserve">Спортски и рекреациони објекти                                                                   </t>
  </si>
  <si>
    <t xml:space="preserve">Установе културе                                                                     </t>
  </si>
  <si>
    <t xml:space="preserve">Затвори                                                                      </t>
  </si>
  <si>
    <t xml:space="preserve">Лизинг осталих објеката                                                                    </t>
  </si>
  <si>
    <t xml:space="preserve">Добити које су резултат промене вредности осталих објеката                                                               </t>
  </si>
  <si>
    <t xml:space="preserve">Друге промене у обиму осталих објеката                                                                 </t>
  </si>
  <si>
    <t xml:space="preserve">Исправка вредности осталих објеката                                                                   </t>
  </si>
  <si>
    <t xml:space="preserve">Опрема                                                                      </t>
  </si>
  <si>
    <t xml:space="preserve">Опрема за саобраћај                                                                    </t>
  </si>
  <si>
    <t xml:space="preserve">Опрема за копнени саобраћај                                                                   </t>
  </si>
  <si>
    <t xml:space="preserve">Пловни објекти                                                                     </t>
  </si>
  <si>
    <t xml:space="preserve">Опрема за ваздушни саобраћај                                                                   </t>
  </si>
  <si>
    <t xml:space="preserve">Остала опрема за саобраћај                                                                   </t>
  </si>
  <si>
    <t xml:space="preserve">Лизинг опреме за саобраћај                                                                   </t>
  </si>
  <si>
    <t xml:space="preserve">Добити које су резултат промене вредности саобраћајне опреме                                                               </t>
  </si>
  <si>
    <t xml:space="preserve">Друге промене у обиму саобраћајне опреме                                                                 </t>
  </si>
  <si>
    <t xml:space="preserve">Исправка вредности саобраћајне опреме                                                                   </t>
  </si>
  <si>
    <t xml:space="preserve">Административна опрема                                                                     </t>
  </si>
  <si>
    <t xml:space="preserve">Канцеларијска опрема                                                                     </t>
  </si>
  <si>
    <t xml:space="preserve">Рачунарска опрема                                                                     </t>
  </si>
  <si>
    <t xml:space="preserve">Комуникациона опрема                                                                     </t>
  </si>
  <si>
    <t xml:space="preserve">Електронска и фотографска опрема                                                                   </t>
  </si>
  <si>
    <t xml:space="preserve">Опрема за домаћинство и угоститељство                                                                  </t>
  </si>
  <si>
    <t xml:space="preserve">Лизинг административне опреме                                                                    </t>
  </si>
  <si>
    <t xml:space="preserve">Добити које су резултат промене вредности административне опреме                                                               </t>
  </si>
  <si>
    <t xml:space="preserve">Друге промене у обиму административне опреме                                                                 </t>
  </si>
  <si>
    <t xml:space="preserve">Исправка вредности административне опреме                                                                   </t>
  </si>
  <si>
    <t xml:space="preserve">Опрема за пољопривреду                                                                    </t>
  </si>
  <si>
    <t xml:space="preserve">Лизинг опреме за пољопривреду                                                                   </t>
  </si>
  <si>
    <t xml:space="preserve">Добити које су резултат промене вредности пољопривредне опреме                                                               </t>
  </si>
  <si>
    <t xml:space="preserve">Друге промене у обиму пољопривредне опреме                                                                 </t>
  </si>
  <si>
    <t xml:space="preserve">Исправка  вредности пољопривредне опреме                                                                  </t>
  </si>
  <si>
    <t xml:space="preserve">Опрема за заштиту животне средине                                                                  </t>
  </si>
  <si>
    <t xml:space="preserve">Лизинг опреме за заштиту животне средине                                                                 </t>
  </si>
  <si>
    <t xml:space="preserve">Добити које су резултат промене вредности опреме за заштиту животне средине                                                            </t>
  </si>
  <si>
    <t xml:space="preserve">Друге промене у обиму опреме за заштиту животне средине                                                              </t>
  </si>
  <si>
    <t xml:space="preserve">Исправка вредности опреме за заштиту животне околине                                                                </t>
  </si>
  <si>
    <t xml:space="preserve">Медицинска и лабораторијска опрема                                                                   </t>
  </si>
  <si>
    <t xml:space="preserve">Медицинска опрема                                                                     </t>
  </si>
  <si>
    <t xml:space="preserve">Лабораторијска опрема                                                                     </t>
  </si>
  <si>
    <t xml:space="preserve">Мерни и контролни инструменти                                                                   </t>
  </si>
  <si>
    <t xml:space="preserve">Остала медицинска и лабораторијска опрема                                                                  </t>
  </si>
  <si>
    <t xml:space="preserve">Лизинг медицинске и лабораторијске опреме                                                                  </t>
  </si>
  <si>
    <t xml:space="preserve">Добити које су резултат промене вредности медицинске и лабораторијске опреме                                                             </t>
  </si>
  <si>
    <t xml:space="preserve">Друге промене у обиму медицинске и лабораторијске опреме                                                               </t>
  </si>
  <si>
    <t xml:space="preserve">Исправка вредности медицинске и лабораторијске опреме                                                                 </t>
  </si>
  <si>
    <t xml:space="preserve">Опрема за образовање, науку, културу и спорт                                                                </t>
  </si>
  <si>
    <t xml:space="preserve">Опрема за образовање                                                                    </t>
  </si>
  <si>
    <t xml:space="preserve">Опрема за науку                                                                    </t>
  </si>
  <si>
    <t xml:space="preserve">Опрема за културу                                                                    </t>
  </si>
  <si>
    <t xml:space="preserve">Опрема за спорт                                                                    </t>
  </si>
  <si>
    <t xml:space="preserve">Лизинг опреме за образовање, науку, културу и спорт                                                               </t>
  </si>
  <si>
    <t xml:space="preserve">Добити које су резултат промене вредности опреме за образовање, науку, културу и спорт                                                          </t>
  </si>
  <si>
    <t xml:space="preserve">Друге промене у обиму опреме за образовање, науку, културу и спорт                                                            </t>
  </si>
  <si>
    <t xml:space="preserve">Исправка вредности опреме за образовање, науку, културу и спорт                                                              </t>
  </si>
  <si>
    <t xml:space="preserve">Опрема за војску                                                                    </t>
  </si>
  <si>
    <t xml:space="preserve">Лизинг опреме за војску                                                                   </t>
  </si>
  <si>
    <t xml:space="preserve">Добити које су резултат промене вредности опреме за војску                                                              </t>
  </si>
  <si>
    <t xml:space="preserve">Друге промене у обиму опреме за војску                                                                </t>
  </si>
  <si>
    <t xml:space="preserve">Исправка вредности опреме за војску                                                                  </t>
  </si>
  <si>
    <t xml:space="preserve">Опрема за јавну безбедност                                                                   </t>
  </si>
  <si>
    <t xml:space="preserve">Лизинг опреме за јавну безбедност                                                                  </t>
  </si>
  <si>
    <t xml:space="preserve">Добити које су резултат промене вредности опреме за јавну безбедност                                                             </t>
  </si>
  <si>
    <t xml:space="preserve">Друге промене у обиму опреме зa јавну безбедност                                                               </t>
  </si>
  <si>
    <t xml:space="preserve">Исправка вредности опреме за јавну безбедност                                                                 </t>
  </si>
  <si>
    <t xml:space="preserve">Опрема за производњу, моторна, непокретна и немоторна опрема                                                               </t>
  </si>
  <si>
    <t xml:space="preserve">Производна опрема                                                                     </t>
  </si>
  <si>
    <t xml:space="preserve">Моторна опрема                                                                     </t>
  </si>
  <si>
    <t xml:space="preserve">Непокретна опрема                                                                     </t>
  </si>
  <si>
    <t xml:space="preserve">Немоторна опрема                                                                     </t>
  </si>
  <si>
    <t xml:space="preserve">Лизинг опреме за производњу, моторну, непокретну и немоторну опрему                                                              </t>
  </si>
  <si>
    <t xml:space="preserve">Добити које су резултат промене вредности опреме за производњу, моторне, непокретне и немоторне опреме                                                         </t>
  </si>
  <si>
    <t xml:space="preserve">Друге промене у обиму опреме за производњу, моторне, непокретне и немоторне опреме                                                           </t>
  </si>
  <si>
    <t xml:space="preserve">Исправка вредности опреме за производњу, моторне, непокретне и немоторне опреме                                                             </t>
  </si>
  <si>
    <t xml:space="preserve">Остале некретнине и опрема                                                                   </t>
  </si>
  <si>
    <t xml:space="preserve">Лизинг-Остале некретнине и опрема                                                                   </t>
  </si>
  <si>
    <t xml:space="preserve">Добити које су резултат промене вредности-остале некретнине и опрема                                                              </t>
  </si>
  <si>
    <t xml:space="preserve">Друге промене у обиму-остале некретнине и опрема                                                                </t>
  </si>
  <si>
    <t xml:space="preserve">Исправка вредности-остале некретнине и опрема                                                                  </t>
  </si>
  <si>
    <t xml:space="preserve">Култивисана имовина                                                                     </t>
  </si>
  <si>
    <t xml:space="preserve">Основно стадо                                                                     </t>
  </si>
  <si>
    <t xml:space="preserve">Вишегодишњи засади                                                                     </t>
  </si>
  <si>
    <t xml:space="preserve">Добити које су резултат промене вредности култивисане имовине                                                               </t>
  </si>
  <si>
    <t xml:space="preserve">Друге промене у обиму култивисане имовине                                                                 </t>
  </si>
  <si>
    <t xml:space="preserve">Исправка вредности култивисане имовине                                                                   </t>
  </si>
  <si>
    <t xml:space="preserve">Драгоцености                                                                      </t>
  </si>
  <si>
    <t xml:space="preserve">Злато                                                                      </t>
  </si>
  <si>
    <t xml:space="preserve">Сребро                                                                      </t>
  </si>
  <si>
    <t xml:space="preserve">Накит од племенитих метала                                                                   </t>
  </si>
  <si>
    <t xml:space="preserve">Антика и други предмети                                                                   </t>
  </si>
  <si>
    <t xml:space="preserve">Остале драгоцености                                                                     </t>
  </si>
  <si>
    <t xml:space="preserve">Добити које су резултат промене вредности драгоцености                                                                </t>
  </si>
  <si>
    <t xml:space="preserve">Друге промене у обиму драгоцености                                                                  </t>
  </si>
  <si>
    <t xml:space="preserve">Исправка вредности драгоцености                                                                    </t>
  </si>
  <si>
    <t xml:space="preserve">Природна имовина                                                                     </t>
  </si>
  <si>
    <t xml:space="preserve">Земљиште                                                                      </t>
  </si>
  <si>
    <t xml:space="preserve">Пољопривредно земљиште                                                                     </t>
  </si>
  <si>
    <t xml:space="preserve">Грађевинско земљиште                                                                     </t>
  </si>
  <si>
    <t xml:space="preserve">Земља која је испод зграда и објеката                                                                </t>
  </si>
  <si>
    <t xml:space="preserve">Спортски терени и придружена водена површина                                                                 </t>
  </si>
  <si>
    <t xml:space="preserve">Остало земљиште и придружена водена површина                                                                 </t>
  </si>
  <si>
    <t xml:space="preserve">Добити које су резултат промене вредности земљишта                                                                </t>
  </si>
  <si>
    <t xml:space="preserve">Друге промене у обиму земљишта                                                                  </t>
  </si>
  <si>
    <t xml:space="preserve">Исправка вредности земљишта                                                                    </t>
  </si>
  <si>
    <t xml:space="preserve">Подземна блага                                                                     </t>
  </si>
  <si>
    <t xml:space="preserve">Копови                                                                      </t>
  </si>
  <si>
    <t xml:space="preserve">Угаљ, нафта и природни гас                                                                  </t>
  </si>
  <si>
    <t xml:space="preserve">Минералне резерве метала                                                                    </t>
  </si>
  <si>
    <t xml:space="preserve">Добити које су резултат промене вредности подземних блага                                                               </t>
  </si>
  <si>
    <t xml:space="preserve">Друге промене у обиму подземних блага                                                                 </t>
  </si>
  <si>
    <t xml:space="preserve">Исправка вредности подземних блага                                                                   </t>
  </si>
  <si>
    <t xml:space="preserve">Шуме и воде                                                                    </t>
  </si>
  <si>
    <t xml:space="preserve">Шуме                                                                      </t>
  </si>
  <si>
    <t xml:space="preserve">Добити које су резултат промене вредности шума                                                                </t>
  </si>
  <si>
    <t xml:space="preserve">Друге промене у обиму шума                                                                  </t>
  </si>
  <si>
    <t xml:space="preserve">Трошење вредности шума                                                                    </t>
  </si>
  <si>
    <t xml:space="preserve">Воде                                                                      </t>
  </si>
  <si>
    <t xml:space="preserve">Добити које су резултат промене вредности воде                                                                </t>
  </si>
  <si>
    <t xml:space="preserve">Друге промене у обиму воде                                                                  </t>
  </si>
  <si>
    <t xml:space="preserve">Исправка вредности воде                                                                    </t>
  </si>
  <si>
    <t xml:space="preserve">Нефинансијска имовина у припреми и аванси                                                                 </t>
  </si>
  <si>
    <t xml:space="preserve">Нефинансијска имовина у припреми                                                                   </t>
  </si>
  <si>
    <t xml:space="preserve">Грађевински објекти у припреми                                                                   </t>
  </si>
  <si>
    <t xml:space="preserve">Стамбени грађевински објекти у припреми                                                                  </t>
  </si>
  <si>
    <t xml:space="preserve">Пословне зграде и други грађевински објекти у припреми                                                               </t>
  </si>
  <si>
    <t xml:space="preserve">Саобраћајни објекти у припреми                                                                   </t>
  </si>
  <si>
    <t xml:space="preserve">Водоводна инфраструктура у припреми                                                                   </t>
  </si>
  <si>
    <t xml:space="preserve">Други објекти у припреми                                                                   </t>
  </si>
  <si>
    <t xml:space="preserve">Опрема у припреми                                                                    </t>
  </si>
  <si>
    <t xml:space="preserve">Саобраћајна опрема у припреми                                                                   </t>
  </si>
  <si>
    <t xml:space="preserve">Административна опрема у припреми                                                                   </t>
  </si>
  <si>
    <t xml:space="preserve">Пољопривредна опрема у припреми                                                                   </t>
  </si>
  <si>
    <t xml:space="preserve">Опрема за заштиту животне средине у припреми                                                                </t>
  </si>
  <si>
    <t xml:space="preserve">Медицинска и лабораторијска опрема у припреми                                                                 </t>
  </si>
  <si>
    <t xml:space="preserve">Опрема за образовање, науку, културу и спорт у припреми                                                              </t>
  </si>
  <si>
    <t xml:space="preserve">Опрема за војску у припреми                                                                  </t>
  </si>
  <si>
    <t xml:space="preserve">Опрема за јавну безбедност у припреми                                                                 </t>
  </si>
  <si>
    <t xml:space="preserve">Опрема за производњу, моторна, непокретна и немоторна опрема у припреми                                                             </t>
  </si>
  <si>
    <t xml:space="preserve">Остале некретнине и опрема у припреми                                                                 </t>
  </si>
  <si>
    <t xml:space="preserve">Култивисана имовина у припреми                                                                   </t>
  </si>
  <si>
    <t xml:space="preserve">Драгоцености у припреми                                                                    </t>
  </si>
  <si>
    <t xml:space="preserve">Земљиште у припреми                                                                    </t>
  </si>
  <si>
    <t xml:space="preserve">Подземна блага у припреми                                                                   </t>
  </si>
  <si>
    <t xml:space="preserve">Шуме и воде у припреми                                                                  </t>
  </si>
  <si>
    <t xml:space="preserve">Шуме у припреми                                                                    </t>
  </si>
  <si>
    <t xml:space="preserve">Вода у припреми                                                                    </t>
  </si>
  <si>
    <t xml:space="preserve">Аванси за нефинансијску имовину                                                                   </t>
  </si>
  <si>
    <t xml:space="preserve">Аванси за грађевинске објекте                                                                   </t>
  </si>
  <si>
    <t xml:space="preserve">Аванси за стамбене објекте                                                                   </t>
  </si>
  <si>
    <t xml:space="preserve">Аванси за пословне зграде и друге објекте                                                                </t>
  </si>
  <si>
    <t xml:space="preserve">Аванси за саобраћајне објекте                                                                   </t>
  </si>
  <si>
    <t xml:space="preserve">Аванси за водоводну инфраструктуру                                                                   </t>
  </si>
  <si>
    <t xml:space="preserve">Аванси за друге објекте                                                                   </t>
  </si>
  <si>
    <t xml:space="preserve">Аванси за опрему                                                                    </t>
  </si>
  <si>
    <t xml:space="preserve">Аванси за саобраћајну опрему                                                                   </t>
  </si>
  <si>
    <t xml:space="preserve">Аванси за административну опрему                                                                   </t>
  </si>
  <si>
    <t xml:space="preserve">Аванси за пољопривредну опрему                                                                   </t>
  </si>
  <si>
    <t xml:space="preserve">Аванси за опрему за заштиту животне средине                                                                </t>
  </si>
  <si>
    <t xml:space="preserve">Аванси за медицинску и лабораторијску опрему                                                                 </t>
  </si>
  <si>
    <t xml:space="preserve">Аванси за опрему за образовање, науку, културу и спорт                                                              </t>
  </si>
  <si>
    <t xml:space="preserve">Аванси за опрему за војску                                                                  </t>
  </si>
  <si>
    <t xml:space="preserve">Аванси за опрему за јавну безбедност                                                                 </t>
  </si>
  <si>
    <t xml:space="preserve">Аванси за опрему за производњу, моторну, непокретну и немоторну опрему                                                             </t>
  </si>
  <si>
    <t xml:space="preserve">Аванси за остале некретнине и опрему                                                                 </t>
  </si>
  <si>
    <t xml:space="preserve">Аванси за култивисану имовину                                                                   </t>
  </si>
  <si>
    <t xml:space="preserve">Аванси за драгоцености                                                                    </t>
  </si>
  <si>
    <t xml:space="preserve">Аванси за земљиште                                                                    </t>
  </si>
  <si>
    <t xml:space="preserve">Аванси за подземна блага                                                                   </t>
  </si>
  <si>
    <t xml:space="preserve">Аванси за шуме и воде                                                                  </t>
  </si>
  <si>
    <t xml:space="preserve">Аванси за шуме                                                                    </t>
  </si>
  <si>
    <t xml:space="preserve">Аванси за воде                                                                    </t>
  </si>
  <si>
    <t xml:space="preserve">Нематеријална имовина                                                                     </t>
  </si>
  <si>
    <t xml:space="preserve">Компјутерски софтвер                                                                     </t>
  </si>
  <si>
    <t xml:space="preserve">Добити које су резултат промене компјутерског софтвера                                                                </t>
  </si>
  <si>
    <t xml:space="preserve">Друге промене у обиму компјутерског софтвера                                                                 </t>
  </si>
  <si>
    <t xml:space="preserve">Исправка вредности нематеријалних улагања у компјутерски софтвер                                                                </t>
  </si>
  <si>
    <t xml:space="preserve">Књижевна и уметничка дела                                                                   </t>
  </si>
  <si>
    <t xml:space="preserve">Добити које су резултат промене књижевних и уметничких дела                                                              </t>
  </si>
  <si>
    <t xml:space="preserve">Друге промене у обиму нематеријалних књижевних и уметничких дела                                                              </t>
  </si>
  <si>
    <t xml:space="preserve">Исправка вредности нематеријалних улагања у књижевна и уметничка дела                                                              </t>
  </si>
  <si>
    <t xml:space="preserve">Патенти                                                                      </t>
  </si>
  <si>
    <t xml:space="preserve">Добити које су резултат промене патената                                                                 </t>
  </si>
  <si>
    <t xml:space="preserve">Друге промене у обиму нематеријалних патената                                                                 </t>
  </si>
  <si>
    <t xml:space="preserve">Исправка вредности нематеријалних улагања у патенте                                                                 </t>
  </si>
  <si>
    <t xml:space="preserve">Goodwill                                                                      </t>
  </si>
  <si>
    <t xml:space="preserve">Добити које су резултат промене goodwill-а                                                                 </t>
  </si>
  <si>
    <t xml:space="preserve">Друге промене у обиму goodwill-а                                                                  </t>
  </si>
  <si>
    <t xml:space="preserve">Исправка вредности нематеријалних улагања у goodwill                                                                 </t>
  </si>
  <si>
    <t xml:space="preserve">Трошкови за развој                                                                    </t>
  </si>
  <si>
    <t xml:space="preserve">Добити које су резултат промене нематеријалних основних средстава                                                               </t>
  </si>
  <si>
    <t xml:space="preserve">Друге промене у обиму нематеријалних основних средстава                                                                </t>
  </si>
  <si>
    <t xml:space="preserve">Исправка вредности нематеријалних улагања у основна средства                                                                </t>
  </si>
  <si>
    <t xml:space="preserve">Остала нематеријална основна средства                                                                   </t>
  </si>
  <si>
    <t xml:space="preserve">Добити које су резултат промене осталих нематеријалних основних средстава                                                              </t>
  </si>
  <si>
    <t xml:space="preserve">Друге промене у обиму осталих нематеријалних основних средстава                                                               </t>
  </si>
  <si>
    <t xml:space="preserve">Исправка вредности нематеријалних улагања у остала нематеријална основна средстава                                                              </t>
  </si>
  <si>
    <t xml:space="preserve">Остала нематеријална имовина                                                                    </t>
  </si>
  <si>
    <t xml:space="preserve">Добити које су резултат промене остале нематеријалне имовине                                                               </t>
  </si>
  <si>
    <t xml:space="preserve">Друге промене у обиму остале нематеријалне имовине                                                                </t>
  </si>
  <si>
    <t xml:space="preserve">Исправка вредности  нематеријалних улагања у осталу нематеријалну имовину                                                              </t>
  </si>
  <si>
    <t xml:space="preserve">Нематеријална имовина у припреми                                                                   </t>
  </si>
  <si>
    <t xml:space="preserve">Аванси за нематеријалну имовину                                                                   </t>
  </si>
  <si>
    <t xml:space="preserve">Нефинансијска имовина у залихама                                                                   </t>
  </si>
  <si>
    <t xml:space="preserve">Залихе                                                                      </t>
  </si>
  <si>
    <t xml:space="preserve">Робне резерве                                                                     </t>
  </si>
  <si>
    <t xml:space="preserve">Добити које су резултат промене вредности робних резерви                                                               </t>
  </si>
  <si>
    <t xml:space="preserve">Друге промене у обиму робних резерви                                                                 </t>
  </si>
  <si>
    <t xml:space="preserve">Исправка вредности робних резерви                                                                   </t>
  </si>
  <si>
    <t xml:space="preserve">Залихе производње                                                                     </t>
  </si>
  <si>
    <t xml:space="preserve">Материјали                                                                      </t>
  </si>
  <si>
    <t xml:space="preserve">Недовршена производња                                                                     </t>
  </si>
  <si>
    <t xml:space="preserve">Готови производи                                                                     </t>
  </si>
  <si>
    <t xml:space="preserve">Роба за даљу продају                                                                   </t>
  </si>
  <si>
    <t xml:space="preserve">Роба за даљу продају у промету на велико                                                               </t>
  </si>
  <si>
    <t xml:space="preserve">Робa за даљу продају у промету на мало                                                               </t>
  </si>
  <si>
    <t xml:space="preserve">Укалкулисана разлика у цени робе за даљу продају                                                               </t>
  </si>
  <si>
    <t xml:space="preserve">Укалкулисани порез робе за даљу продају                                                                 </t>
  </si>
  <si>
    <t xml:space="preserve">Исправка вредности робе за даљу продају                                                                 </t>
  </si>
  <si>
    <t xml:space="preserve">Залихе ситног инвентара и потрошног материјала                                                                 </t>
  </si>
  <si>
    <t xml:space="preserve">Залихе ситног инвентара                                                                    </t>
  </si>
  <si>
    <t xml:space="preserve">Ситан инвентар у употреби                                                                   </t>
  </si>
  <si>
    <t xml:space="preserve">Исправка вредности ситног инвентара                                                                   </t>
  </si>
  <si>
    <t xml:space="preserve">Залихе потрошног материјала                                                                    </t>
  </si>
  <si>
    <t xml:space="preserve">Залихе материјала за сталне трошкове                                                                  </t>
  </si>
  <si>
    <t xml:space="preserve">Залихе материјала за грејање                                                                   </t>
  </si>
  <si>
    <t xml:space="preserve">Залихе материјала за поправке и одржавање                                                                 </t>
  </si>
  <si>
    <t xml:space="preserve">Залихе материјала за поправке зграда                                                                  </t>
  </si>
  <si>
    <t xml:space="preserve">Залихе материјала за поправке опреме                                                                  </t>
  </si>
  <si>
    <t xml:space="preserve">Залихе материјала у делатности                                                                   </t>
  </si>
  <si>
    <t xml:space="preserve">Залихе административног материјала                                                                    </t>
  </si>
  <si>
    <t xml:space="preserve">Залихе материјала за пољопривреду                                                                   </t>
  </si>
  <si>
    <t xml:space="preserve">Залихе материјала за образовање запослених                                                                  </t>
  </si>
  <si>
    <t xml:space="preserve">Залихе материјала за саобраћај                                                                   </t>
  </si>
  <si>
    <t xml:space="preserve">Залихе материјала за очување животне средине                                                                 </t>
  </si>
  <si>
    <t xml:space="preserve">Залихе материјала за образовање, науку, културу и спорт                                                               </t>
  </si>
  <si>
    <t xml:space="preserve">Залихе медицинског и лабораторијског материјала                                                                  </t>
  </si>
  <si>
    <t xml:space="preserve">Залихе материјала за домаћинство и угоститељство                                                                 </t>
  </si>
  <si>
    <t xml:space="preserve">Залихе материјала за посебне намене                                                                  </t>
  </si>
  <si>
    <t xml:space="preserve">Исправка вредности залиха потрошног материјала                                                                  </t>
  </si>
  <si>
    <t xml:space="preserve">Исправка вредности залиха материјала за сталне трошкове                                                                </t>
  </si>
  <si>
    <t xml:space="preserve">Исправка вредности залиха материјала за поправке и одржавање                                                               </t>
  </si>
  <si>
    <t xml:space="preserve">Исправка вредности залиха материјала делатности                                                                  </t>
  </si>
  <si>
    <t xml:space="preserve">Финансијска имовина                                                                     </t>
  </si>
  <si>
    <t xml:space="preserve">Дугорочна финансијска имовина                                                                    </t>
  </si>
  <si>
    <t xml:space="preserve">Дугорочна домаћа финансијска имовина                                                                   </t>
  </si>
  <si>
    <t xml:space="preserve">Дугорочне домаће хартије од вредности, изузев акција                                                                </t>
  </si>
  <si>
    <t xml:space="preserve">Набавка домаћих дугорочних хартија од вредности, изузев акција                                                               </t>
  </si>
  <si>
    <t xml:space="preserve">Исправка вредности дугорочних домаћих хартија од вредности, изузев акција                                                              </t>
  </si>
  <si>
    <t xml:space="preserve">Кредити осталим нивоима власти                                                                   </t>
  </si>
  <si>
    <t xml:space="preserve">Кредити нивоу републике                                                                    </t>
  </si>
  <si>
    <t xml:space="preserve">Кредити нивоу територијалних аутономија                                                                   </t>
  </si>
  <si>
    <t xml:space="preserve">Кредити нивоу градова                                                                    </t>
  </si>
  <si>
    <t xml:space="preserve">Кредити нивоу општина                                                                    </t>
  </si>
  <si>
    <t xml:space="preserve">Кредити организацијама обавезног социјалног осигурања                                                                  </t>
  </si>
  <si>
    <t xml:space="preserve">Кредити републичком фонду за здравствено осигурање                                                                 </t>
  </si>
  <si>
    <t xml:space="preserve">Кредити републичком фонду за пио                                                                  </t>
  </si>
  <si>
    <t xml:space="preserve">Кредити националној служби за запошљавање                                                                  </t>
  </si>
  <si>
    <t xml:space="preserve">Исправка вредности кредита осталим нивоима власти                                                                 </t>
  </si>
  <si>
    <t xml:space="preserve">Исправка вредности кредита нивоу републике                                                                  </t>
  </si>
  <si>
    <t xml:space="preserve">Исправка вредности кредита нивоу територијалних аутономија                                                                 </t>
  </si>
  <si>
    <t xml:space="preserve">Исправка вредности кредита нивоу градова                                                                  </t>
  </si>
  <si>
    <t xml:space="preserve">Исправка вредности кредита нивоу општина                                                                  </t>
  </si>
  <si>
    <t xml:space="preserve">Исправка вредности кредита организацијама обавезног социјалног осигурања                                                                </t>
  </si>
  <si>
    <t xml:space="preserve">Кредити домаћим јавним финансијским институцијама                                                                  </t>
  </si>
  <si>
    <t xml:space="preserve">Кредити народној банци србије                                                                   </t>
  </si>
  <si>
    <t xml:space="preserve">Кредити осталим домаћим јавним финансијским институцијама                                                                 </t>
  </si>
  <si>
    <t xml:space="preserve">Исправка вредности кредита домаћим јавним финансијским институцијама                                                                </t>
  </si>
  <si>
    <t xml:space="preserve">Исправка вредности кредита народној банци србије                                                                 </t>
  </si>
  <si>
    <t xml:space="preserve">Исправка вредности кредита осталим домаћим јавним финансијским институцијама                                                               </t>
  </si>
  <si>
    <t xml:space="preserve">Кредити домаћим  пословним банкама                                                                  </t>
  </si>
  <si>
    <t xml:space="preserve">Кредити домаћим пословним банкама                                                                   </t>
  </si>
  <si>
    <t xml:space="preserve">Исправка вредности кредита домаћим пословним банкама                                                                 </t>
  </si>
  <si>
    <t xml:space="preserve">Кредити домаћим јавним нефинансијским институцијама                                                                  </t>
  </si>
  <si>
    <t xml:space="preserve">Исправка вредности кредита домаћим јавним нефинансијским институцијама                                                                </t>
  </si>
  <si>
    <t xml:space="preserve">Кредити физичким лицима и домаћинствима у земљи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</si>
  <si>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</si>
  <si>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</si>
  <si>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студентима и ученицима у земљи                                                                 </t>
  </si>
  <si>
    <t xml:space="preserve">Исправка вредности кредита физичким лицима и домаћинствима у земљи                                                              </t>
  </si>
  <si>
    <t xml:space="preserve">Кредити домаћим невладиним организацијама                                                                   </t>
  </si>
  <si>
    <t xml:space="preserve">Кредити удружењима грађана у земљи                                                                  </t>
  </si>
  <si>
    <t xml:space="preserve">Кредити непрофитним организацијама у земљи                                                                  </t>
  </si>
  <si>
    <t xml:space="preserve">Исправка вредности кредита домаћим невладиним организацијама                                                                 </t>
  </si>
  <si>
    <t xml:space="preserve">Кредити домаћим нефинансијским приватним предузећима                                                                  </t>
  </si>
  <si>
    <t xml:space="preserve">Исправка вредности кредита домаћим нефинансијским приватним предузећима                                                                </t>
  </si>
  <si>
    <t xml:space="preserve">Домаће акције и остали капитал                                                                  </t>
  </si>
  <si>
    <t xml:space="preserve">Учешће капитала у домаћим јавним нефинансијским предузећима и институцијама                                                              </t>
  </si>
  <si>
    <t xml:space="preserve">Учешће капитала у домаћим јавним финансијским институцијама                                                                </t>
  </si>
  <si>
    <t xml:space="preserve">Учешће капитала у народној банци србије                                                                 </t>
  </si>
  <si>
    <t xml:space="preserve">Учешће капитала у осталим домаћим финансијским институцијама                                                                </t>
  </si>
  <si>
    <t xml:space="preserve">Учешће капитала у домаћим нефинансијским приватним предузећима                                                                </t>
  </si>
  <si>
    <t xml:space="preserve">Учешће капитала у домаћим пословним банкама                                                                 </t>
  </si>
  <si>
    <t xml:space="preserve">Исправка вредности домаћих акција и осталог капитала                                                                </t>
  </si>
  <si>
    <t xml:space="preserve">Исправка вредности учешћa капитала у домаћим јавним нефинансијским предузећима и институцијама                                                            </t>
  </si>
  <si>
    <t xml:space="preserve">Исправка вредности учешћа капитала у домаћим јавним финансијским институцијама                                                              </t>
  </si>
  <si>
    <t xml:space="preserve">Исправка вредности учешћа капитала у домаћим приватним нефинансијским предузећима                                                              </t>
  </si>
  <si>
    <t xml:space="preserve">Исправка вредности учешћа капитала у домаћим пословним банкама                                                               </t>
  </si>
  <si>
    <t xml:space="preserve">Дугорочна страна финансијска имовина                                                                   </t>
  </si>
  <si>
    <t xml:space="preserve">Дугорочне стране хартије од вредности, изузев акција                                                                </t>
  </si>
  <si>
    <t xml:space="preserve">Исправка вредности дугорочних страних хартија од вредности, изузев акција                                                              </t>
  </si>
  <si>
    <t xml:space="preserve">Кредити страним владама                                                                    </t>
  </si>
  <si>
    <t xml:space="preserve">Исправка вредности кредита датих страним владама                                                                 </t>
  </si>
  <si>
    <t xml:space="preserve">Кредити међународним организацијама                                                                    </t>
  </si>
  <si>
    <t xml:space="preserve">Исправка вредности кредита међународним организацијама                                                                  </t>
  </si>
  <si>
    <t xml:space="preserve">Кредити страним пословним банкама                                                                   </t>
  </si>
  <si>
    <t xml:space="preserve">Исправка вредности кредита страним пословним банкама                                                                 </t>
  </si>
  <si>
    <t xml:space="preserve">Кредити страним нефинансијским институцијама                                                                   </t>
  </si>
  <si>
    <t xml:space="preserve">Исправка вредности кредита страним нефинансијским институцијама                                                                 </t>
  </si>
  <si>
    <t xml:space="preserve">Кредити страним невладиним организацијама                                                                   </t>
  </si>
  <si>
    <t xml:space="preserve">Кредити страним удружењима грађана                                                                   </t>
  </si>
  <si>
    <t xml:space="preserve">Кредити страним непрофитним институцијама                                                                   </t>
  </si>
  <si>
    <t xml:space="preserve">Исправка вредности кредита страним невладиним организацијама                                                                 </t>
  </si>
  <si>
    <t xml:space="preserve">Стране акције и остали капитал                                                                  </t>
  </si>
  <si>
    <t xml:space="preserve">Учешће капитала у међународним финансијским институцијама                                                                 </t>
  </si>
  <si>
    <t xml:space="preserve">Учешће капитала у страним компанијама и нефинансијским институцијама                                                               </t>
  </si>
  <si>
    <t xml:space="preserve">Исправка вредности страних акција и осталог капитала                                                                </t>
  </si>
  <si>
    <t xml:space="preserve">Исправка вредности учешћa капитала у међународним финансијским институцијама                                                               </t>
  </si>
  <si>
    <t xml:space="preserve">Исправка вредности учешћа капитала у страним компанијама и нефинансијским институцијама                                                             </t>
  </si>
  <si>
    <t xml:space="preserve">Страни финансијски деривати                                                                    </t>
  </si>
  <si>
    <t xml:space="preserve">Новчана средства, племенити метали, хартије од вредности, потраживања и краткорочни пласмани                                                            </t>
  </si>
  <si>
    <t xml:space="preserve">Новчана средства, племенити метали, хартије од вредности                                                                </t>
  </si>
  <si>
    <t xml:space="preserve">Жиро и текући рачуни                                                                   </t>
  </si>
  <si>
    <t xml:space="preserve">Жиро рачуни                                                                     </t>
  </si>
  <si>
    <t xml:space="preserve">Текући рачуни                                                                     </t>
  </si>
  <si>
    <t xml:space="preserve">Прелазни рачун                                                                     </t>
  </si>
  <si>
    <t xml:space="preserve">Издвојена новчана средства и акредитиви                                                                  </t>
  </si>
  <si>
    <t xml:space="preserve">Издвојена новчана средства за инвестиције                                                                  </t>
  </si>
  <si>
    <t xml:space="preserve">Издвојена новчана средства за исплату чекова                                                                 </t>
  </si>
  <si>
    <t xml:space="preserve">Издвојена новчана средства за плаћање царина и осталих дажбина                                                              </t>
  </si>
  <si>
    <t xml:space="preserve">Издвојена средства за сталне резерве                                                                  </t>
  </si>
  <si>
    <t xml:space="preserve">Издвојена средства за посебне намене                                                                  </t>
  </si>
  <si>
    <t xml:space="preserve">Издвојена средства за стамбену изградњу                                                                  </t>
  </si>
  <si>
    <t xml:space="preserve">Неопозиви документарни акредитиви                                                                    </t>
  </si>
  <si>
    <t xml:space="preserve">Остали акредитиви                                                                     </t>
  </si>
  <si>
    <t xml:space="preserve">Остала издвојена средства                                                                    </t>
  </si>
  <si>
    <t xml:space="preserve">Благајна                                                                      </t>
  </si>
  <si>
    <t xml:space="preserve">Главна благајна                                                                     </t>
  </si>
  <si>
    <t xml:space="preserve">Помоћна благајна                                                                     </t>
  </si>
  <si>
    <t xml:space="preserve">Благајна поштанских марака                                                                    </t>
  </si>
  <si>
    <t xml:space="preserve">Благајна судских марака                                                                    </t>
  </si>
  <si>
    <t xml:space="preserve">Благајна бонова за гориво                                                                   </t>
  </si>
  <si>
    <t xml:space="preserve">Остале благајне                                                                     </t>
  </si>
  <si>
    <t xml:space="preserve">Девизни рачун                                                                     </t>
  </si>
  <si>
    <t xml:space="preserve">Девизни рачун код домаћих банака                                                                  </t>
  </si>
  <si>
    <t xml:space="preserve">Девизни рачун код банака у иностранству                                                                 </t>
  </si>
  <si>
    <t xml:space="preserve">Девизни рачун за улог страног лица                                                                 </t>
  </si>
  <si>
    <t xml:space="preserve">Остали девизни рачуни                                                                    </t>
  </si>
  <si>
    <t xml:space="preserve">Добити које су резултат промене вредности девизних рачуна                                                               </t>
  </si>
  <si>
    <t xml:space="preserve">Прелазни девизни рачун                                                                    </t>
  </si>
  <si>
    <t xml:space="preserve">Девизни акредитиви                                                                     </t>
  </si>
  <si>
    <t xml:space="preserve">Акредитиви за плаћање увоза робе                                                                  </t>
  </si>
  <si>
    <t xml:space="preserve">Акредитиви за плаћање услуга у иностранству                                                                 </t>
  </si>
  <si>
    <t xml:space="preserve">Остали девизни акредитиви                                                                    </t>
  </si>
  <si>
    <t xml:space="preserve">Добити које су резултат промене вредности девизних акредитива                                                               </t>
  </si>
  <si>
    <t xml:space="preserve">Девизна благајна                                                                     </t>
  </si>
  <si>
    <t xml:space="preserve">Главна девизна благајна                                                                    </t>
  </si>
  <si>
    <t xml:space="preserve">Девизна благајна мењачнице                                                                    </t>
  </si>
  <si>
    <t xml:space="preserve">Добити које су резултат промене вредности девизних средстава у благајни                                                             </t>
  </si>
  <si>
    <t xml:space="preserve">Остале девизне благајне                                                                    </t>
  </si>
  <si>
    <t xml:space="preserve">Остала новчана средства                                                                    </t>
  </si>
  <si>
    <t xml:space="preserve">Новчана средства депонована за неисплаћене зараде запослених                                                                </t>
  </si>
  <si>
    <t xml:space="preserve">Новчана средства за накнаде зарада за рефундирано боловање, војне вежбе и слично                                                           </t>
  </si>
  <si>
    <t xml:space="preserve">Новчана средства евидентног рачуна прихода буџетских корисника                                                                </t>
  </si>
  <si>
    <t xml:space="preserve">Новчана средства судског депозита                                                                   </t>
  </si>
  <si>
    <t xml:space="preserve">Новчана средства код банке за куповину девиза                                                                </t>
  </si>
  <si>
    <t xml:space="preserve">Новчана средства код банке од продаје девиза                                                                </t>
  </si>
  <si>
    <t xml:space="preserve">Новчана средства упутница код поште                                                                  </t>
  </si>
  <si>
    <t xml:space="preserve">Новчана средства упутница код управе за трезор                                                                </t>
  </si>
  <si>
    <t xml:space="preserve">Племенити метали                                                                     </t>
  </si>
  <si>
    <t xml:space="preserve">Монетарно злато                                                                     </t>
  </si>
  <si>
    <t xml:space="preserve">Специјална права вучења                                                                    </t>
  </si>
  <si>
    <t xml:space="preserve">Хартије од вредности                                                                    </t>
  </si>
  <si>
    <t xml:space="preserve">Чекови                                                                      </t>
  </si>
  <si>
    <t xml:space="preserve">Динарски чекови правних лица                                                                   </t>
  </si>
  <si>
    <t xml:space="preserve">Динарски чекови предузетника                                                                    </t>
  </si>
  <si>
    <t xml:space="preserve">Динарски чекови грађана                                                                    </t>
  </si>
  <si>
    <t xml:space="preserve">Остали динарски чекови                                                                    </t>
  </si>
  <si>
    <t xml:space="preserve">Чекови дати на наплату                                                                   </t>
  </si>
  <si>
    <t xml:space="preserve">Протестовани чекови                                                                     </t>
  </si>
  <si>
    <t xml:space="preserve">Чекови у страној валути                                                                   </t>
  </si>
  <si>
    <t xml:space="preserve">Остале хартије од вредности                                                                   </t>
  </si>
  <si>
    <t xml:space="preserve">Обвезнице                                                                      </t>
  </si>
  <si>
    <t xml:space="preserve">Менице                                                                      </t>
  </si>
  <si>
    <t xml:space="preserve">Исправка вредности                                                                     </t>
  </si>
  <si>
    <t xml:space="preserve">Исправка вредности чекова                                                                    </t>
  </si>
  <si>
    <t xml:space="preserve">Исправка вредности осталих хартија од вредности                                                                 </t>
  </si>
  <si>
    <t xml:space="preserve">Краткорочна потраживања                                                                     </t>
  </si>
  <si>
    <t xml:space="preserve">Потраживања по основу продаје и друга потраживања                                                                </t>
  </si>
  <si>
    <t xml:space="preserve">Купци у земљи                                                                    </t>
  </si>
  <si>
    <t xml:space="preserve">Потраживања од купаца                                                                    </t>
  </si>
  <si>
    <t xml:space="preserve">Потраживања за продату комисиону и консигнациону робу                                                                </t>
  </si>
  <si>
    <t xml:space="preserve">Спорна потраживања од купаца                                                                   </t>
  </si>
  <si>
    <t xml:space="preserve">Исправка вредности потраживања од купаца у земљи                                                                </t>
  </si>
  <si>
    <t xml:space="preserve">Купци у иностранству                                                                    </t>
  </si>
  <si>
    <t xml:space="preserve">Исправка вредности потраживања од купаца у иностранству                                                                </t>
  </si>
  <si>
    <t xml:space="preserve">Потраживања за камате и дивиденде                                                                  </t>
  </si>
  <si>
    <t xml:space="preserve">Потраживања за уговорене камате                                                                   </t>
  </si>
  <si>
    <t xml:space="preserve">Потраживања за затезне камате                                                                   </t>
  </si>
  <si>
    <t xml:space="preserve">Потраживања за дивиденде                                                                    </t>
  </si>
  <si>
    <t xml:space="preserve">Исправка вредности потраживања за камате и дивиденде                                                                </t>
  </si>
  <si>
    <t xml:space="preserve">Потраживања од запослених                                                                    </t>
  </si>
  <si>
    <t xml:space="preserve">Аконтације за службено путовање у земљи                                                                 </t>
  </si>
  <si>
    <t xml:space="preserve">Аконтације за службено путовање у иностранство                                                                 </t>
  </si>
  <si>
    <t xml:space="preserve">Потраживања по основу накнаде штете                                                                  </t>
  </si>
  <si>
    <t xml:space="preserve">Потраживања по основу мањкова                                                                   </t>
  </si>
  <si>
    <t xml:space="preserve">Потраживања по основу бензинских бонова                                                                  </t>
  </si>
  <si>
    <t xml:space="preserve">Потраживања за откупљене станове                                                                   </t>
  </si>
  <si>
    <t xml:space="preserve">Потраживања за стамбене кредите                                                                   </t>
  </si>
  <si>
    <t xml:space="preserve">Остала потраживања од запослених                                                                   </t>
  </si>
  <si>
    <t xml:space="preserve">Исправка вредности потраживања од запослених                                                                  </t>
  </si>
  <si>
    <t xml:space="preserve">Потраживања од других органа и организација                                                                 </t>
  </si>
  <si>
    <t xml:space="preserve">Потраживања од јавних прихода за мање дозначена средства                                                               </t>
  </si>
  <si>
    <t xml:space="preserve">Потраживања на основу субвенција и дотација                                                                 </t>
  </si>
  <si>
    <t xml:space="preserve">Потраживања за регресе, премије и компензације                                                                 </t>
  </si>
  <si>
    <t xml:space="preserve">Потраживања за повраћај царина и других дажбина                                                                </t>
  </si>
  <si>
    <t xml:space="preserve">Остала потраживања од државних органа и организација                                                                </t>
  </si>
  <si>
    <t xml:space="preserve">Потраживања за неосигурана лица                                                                   </t>
  </si>
  <si>
    <t xml:space="preserve">Спорна потраживања                                                                     </t>
  </si>
  <si>
    <t xml:space="preserve">Исправка вредности потраживања од других органа и организација                                                               </t>
  </si>
  <si>
    <t xml:space="preserve">Потраживања по основу преплаћених пореза и доприноса                                                                </t>
  </si>
  <si>
    <t xml:space="preserve">Потраживања за преплаћене порезе на промет производа и услуга                                                              </t>
  </si>
  <si>
    <t xml:space="preserve">Потраживања за преплаћене порезе на зараде и накнаде зарада                                                              </t>
  </si>
  <si>
    <t xml:space="preserve">Потраживања за преплаћене доприносе на зараде и накнаде зарада                                                              </t>
  </si>
  <si>
    <t xml:space="preserve">Потраживања за преплаћене остале порезе и доприносе                                                                </t>
  </si>
  <si>
    <t xml:space="preserve">Накнадно враћен порез на додату вредност купцима – страним држављанима                                                             </t>
  </si>
  <si>
    <t xml:space="preserve">Исправка вредности потраживања по основу преплаћених пореза и доприноса                                                              </t>
  </si>
  <si>
    <t xml:space="preserve">Остала потраживања                                                                     </t>
  </si>
  <si>
    <t xml:space="preserve">Потраживања по основу позајмице из сталне буџетске резерве                                                               </t>
  </si>
  <si>
    <t xml:space="preserve">Потраживања од фондова по основу исплаћених накнада запосленима                                                               </t>
  </si>
  <si>
    <t xml:space="preserve">Потраживања од осигуравајућих организација за накнаду штете                                                                </t>
  </si>
  <si>
    <t xml:space="preserve">Потраживања од других правних и физичких лица за накнаду штете                                                             </t>
  </si>
  <si>
    <t xml:space="preserve">Потраживања за доспеле отплате по дугорочним пласманима                                                                </t>
  </si>
  <si>
    <t xml:space="preserve">Депозити код судова за вештачење и за учешће на лицитацији                                                             </t>
  </si>
  <si>
    <t xml:space="preserve">Остала краткорочна потраживања                                                                    </t>
  </si>
  <si>
    <t xml:space="preserve">Исправка вредности осталих потраживања                                                                   </t>
  </si>
  <si>
    <t xml:space="preserve">Краткорочни пласмани                                                                     </t>
  </si>
  <si>
    <t xml:space="preserve">Краткорочни кредити                                                                     </t>
  </si>
  <si>
    <t xml:space="preserve">Краткорочни кредити дати у земљи                                                                  </t>
  </si>
  <si>
    <t xml:space="preserve">Кредити дати осталим нивоима власти                                                                  </t>
  </si>
  <si>
    <t xml:space="preserve">Кредити дати запосленима у складу са прописима                                                                </t>
  </si>
  <si>
    <t xml:space="preserve">Дати потрошачки кредити                                                                    </t>
  </si>
  <si>
    <t xml:space="preserve">Остали домаћи дати кредити                                                                   </t>
  </si>
  <si>
    <t xml:space="preserve">Краткорочни кредити дати у иностранству                                                                  </t>
  </si>
  <si>
    <t xml:space="preserve">Кредити дати страним владама                                                                   </t>
  </si>
  <si>
    <t xml:space="preserve">Кредити дати страним појединцима                                                                   </t>
  </si>
  <si>
    <t xml:space="preserve">Остали страни кредити                                                                    </t>
  </si>
  <si>
    <t xml:space="preserve">Исправка вредности краткорочних кредита                                                                   </t>
  </si>
  <si>
    <t xml:space="preserve">Дати аванси, депозити и кауције                                                                  </t>
  </si>
  <si>
    <t xml:space="preserve">Аванси за набавку материјала                                                                   </t>
  </si>
  <si>
    <t xml:space="preserve">Аванси за набавку робе                                                                   </t>
  </si>
  <si>
    <t xml:space="preserve">Аванси за обављање услуга                                                                   </t>
  </si>
  <si>
    <t xml:space="preserve">Аванси за остале потребе                                                                   </t>
  </si>
  <si>
    <t xml:space="preserve">Краткорочни депозити                                                                     </t>
  </si>
  <si>
    <t xml:space="preserve">Краткорочне кауције                                                                     </t>
  </si>
  <si>
    <t xml:space="preserve">Исправка вредности аванса, депозита и кауција                                                                 </t>
  </si>
  <si>
    <t xml:space="preserve">Хартије од вредности намењене продаји                                                                  </t>
  </si>
  <si>
    <t xml:space="preserve">Акције                                                                      </t>
  </si>
  <si>
    <t xml:space="preserve">Благајнички записи                                                                     </t>
  </si>
  <si>
    <t xml:space="preserve">Комерцијални записи                                                                     </t>
  </si>
  <si>
    <t xml:space="preserve">Државни записи и сертификати о депозиту                                                                 </t>
  </si>
  <si>
    <t xml:space="preserve">Финансијски деривати којима се тргује на берзи                                                                </t>
  </si>
  <si>
    <t xml:space="preserve">Остале краткорочне и дугорочне хартије од вредности намењене продаји                                                              </t>
  </si>
  <si>
    <t xml:space="preserve">Удео у капиталу другог правног лица                                                                 </t>
  </si>
  <si>
    <t xml:space="preserve">Исправка вредности хартија од вредности намењених продаји                                                                </t>
  </si>
  <si>
    <t xml:space="preserve">Остали краткорочни пласмани                                                                    </t>
  </si>
  <si>
    <t xml:space="preserve">Краткорочно орочена динарска средства                                                                   </t>
  </si>
  <si>
    <t xml:space="preserve">Краткорочно орочена девизна средства                                                                   </t>
  </si>
  <si>
    <t xml:space="preserve">Остали краткорочни пласмани у земљи                                                                  </t>
  </si>
  <si>
    <t xml:space="preserve">Остали краткорочни пласмани у иностранству                                                                  </t>
  </si>
  <si>
    <t xml:space="preserve">Спорни остали краткорочни пласмани                                                                   </t>
  </si>
  <si>
    <t xml:space="preserve">Порез на додату вредност                                                                   </t>
  </si>
  <si>
    <t xml:space="preserve">Порез на додату вредност у примљеним фактурама по општој стопи (осим плаћених аванса)                                                          </t>
  </si>
  <si>
    <t xml:space="preserve">Порез на додату вредност у примљеним фактурама по посебној стопи (осим плаћених аванса)                                                          </t>
  </si>
  <si>
    <t xml:space="preserve">Порез на додату вредност у датим авансима по општој стопи                                                             </t>
  </si>
  <si>
    <t xml:space="preserve">Порез на додату вредност у датим авансима по посебној стопи                                                             </t>
  </si>
  <si>
    <t xml:space="preserve">Порез на додату вредност плаћен при увозу добара по општој стопи                                                            </t>
  </si>
  <si>
    <t xml:space="preserve">Порез на додату вредност плаћен при увозу добара по посебној стопи                                                            </t>
  </si>
  <si>
    <t xml:space="preserve">Порез на додату вредност обрачунат на услуге иностраних лица                                                              </t>
  </si>
  <si>
    <t xml:space="preserve">Пдв надокнада плаћена пољопривреднику                                                                   </t>
  </si>
  <si>
    <t xml:space="preserve">Потраживање за више плаћени порез на додату вредност                                                               </t>
  </si>
  <si>
    <t xml:space="preserve">Исправка вредности осталих краткорочних пласмана                                                                  </t>
  </si>
  <si>
    <t xml:space="preserve">Активна временска разграничења                                                                    </t>
  </si>
  <si>
    <t xml:space="preserve">Разграничени расходи до једне године                                                                  </t>
  </si>
  <si>
    <t xml:space="preserve">Унапред плаћена премија осигурања                                                                   </t>
  </si>
  <si>
    <t xml:space="preserve">Унапред плаћена закупнина                                                                    </t>
  </si>
  <si>
    <t xml:space="preserve">Унапред плаћена претплата за стручне часописе и публикације                                                               </t>
  </si>
  <si>
    <t xml:space="preserve">Унапред плаћени расходи грејања                                                                   </t>
  </si>
  <si>
    <t xml:space="preserve">Остали унапред плаћени расходи                                                                   </t>
  </si>
  <si>
    <t xml:space="preserve">Обрачунати неплаћени расходи и издаци                                                                  </t>
  </si>
  <si>
    <t xml:space="preserve">Обрачунати неплаћени расходи                                                                    </t>
  </si>
  <si>
    <t xml:space="preserve">Обрачунати неплаћени издаци                                                                    </t>
  </si>
  <si>
    <t xml:space="preserve">Остала активна временска разграничења                                                                   </t>
  </si>
  <si>
    <t xml:space="preserve">Обрачунати приходи од камата које се односе на обрачунски период а доспевају за наплату у наредном периоду                                                      </t>
  </si>
  <si>
    <t xml:space="preserve">Обавезе                                                                      </t>
  </si>
  <si>
    <t xml:space="preserve">Дугорочне обавезе                                                                     </t>
  </si>
  <si>
    <t xml:space="preserve">Домаће дугорочне обавезе                                                                    </t>
  </si>
  <si>
    <t xml:space="preserve">Обавезе по основу емитованих хартија од вредности, изузев акција                                                              </t>
  </si>
  <si>
    <t xml:space="preserve">Обавезе по основу дугорочних кредита од осталих нивоа власти                                                              </t>
  </si>
  <si>
    <t xml:space="preserve">Обавезе по основу дугорочних кредита од нивоа републике                                                               </t>
  </si>
  <si>
    <t xml:space="preserve">Обавезе по основу дугорочних кредита од нивоа територијалних аутономија                                                              </t>
  </si>
  <si>
    <t xml:space="preserve">Обавезе по основу дугорочних кредита од нивоа градова                                                               </t>
  </si>
  <si>
    <t xml:space="preserve">Обавезе по основу дугорочних кредита од нивоа општина                                                               </t>
  </si>
  <si>
    <t xml:space="preserve">Обавезе по основу дугорочних кредита од организација обавезног социјалног осигурања                                                             </t>
  </si>
  <si>
    <t xml:space="preserve">Обавезе по основу дугорочних кредита од републичког фонда за здравствено осигурање                                                            </t>
  </si>
  <si>
    <t xml:space="preserve">Обавезе по основу дугорочних кредита од републичког фонда за пио                                                             </t>
  </si>
  <si>
    <t xml:space="preserve">Обавезе по основу дугорочних кредита од националне службе за запошљавање                                                             </t>
  </si>
  <si>
    <t xml:space="preserve">Обавезе по основу дугорочних кредита од домаћих јавних финансијских институција                                                             </t>
  </si>
  <si>
    <t xml:space="preserve">Обавезе по основу дугорочних кредита од нбс                                                                </t>
  </si>
  <si>
    <t xml:space="preserve">Обавезе по основу дугорочних кредита од осталих домаћих јавних финансијских институција                                                            </t>
  </si>
  <si>
    <t xml:space="preserve">Обавезе по основу дугорочних кредита од домаћих пословних банака                                                              </t>
  </si>
  <si>
    <t xml:space="preserve">Обавезе по основу дугорочних кредита од осталих домаћих кредитора                                                              </t>
  </si>
  <si>
    <t xml:space="preserve">Обавезе по основу дугорочних кредита од домаћинстава у земљи                                                              </t>
  </si>
  <si>
    <t xml:space="preserve">Дугорочне обавезе по основу домаћих финансијских деривата                                                                </t>
  </si>
  <si>
    <t xml:space="preserve">Дугорочне обавезе по основу домаћих меница                                                                 </t>
  </si>
  <si>
    <t xml:space="preserve">Дугорочне обавезе за финансијске лизинге                                                                  </t>
  </si>
  <si>
    <t xml:space="preserve">Дугорочне обавезе за финансијске лизинге за зграде и грађевинске објекте                                                             </t>
  </si>
  <si>
    <t xml:space="preserve">Дугорочне обавезе за финансијске лизинге за опрему                                                                </t>
  </si>
  <si>
    <t xml:space="preserve">Дугорочне обавезе за финансијске лизинге за осталу нефинансијску имовину                                                              </t>
  </si>
  <si>
    <t xml:space="preserve">Стране дугорочне обавезе                                                                    </t>
  </si>
  <si>
    <t xml:space="preserve">Дугорочне стране обавезе по основу емитованих хартија од вредности, изузев акција                                                            </t>
  </si>
  <si>
    <t xml:space="preserve">Обавезе по основу дугорочних кредита од страних влада                                                               </t>
  </si>
  <si>
    <t xml:space="preserve">Обавезе по основу дугорочних кредита од париског клуба                                                               </t>
  </si>
  <si>
    <t xml:space="preserve">Обавезе по основу дугорочних кредита од извозно увозних банака                                                              </t>
  </si>
  <si>
    <t xml:space="preserve">Обавезе по основу дугорочних кредита од осталих страних влада                                                              </t>
  </si>
  <si>
    <t xml:space="preserve">Обавезе по основу дугорочних кредита од мултилатералних институција                                                               </t>
  </si>
  <si>
    <t xml:space="preserve">Обавезе по основу дугорочних кредита од светске банке                                                               </t>
  </si>
  <si>
    <t xml:space="preserve">Обавезе по основу дугорочних кредита од ibrd                                                                </t>
  </si>
  <si>
    <t xml:space="preserve">Обавезе по основу дугорочних кредита од ebrd                                                                </t>
  </si>
  <si>
    <t xml:space="preserve">Обавезе по основу дугорочних кредита од eib                                                                </t>
  </si>
  <si>
    <t xml:space="preserve">Обавезе по основу дугорочних кредита од ceb                                                                </t>
  </si>
  <si>
    <t xml:space="preserve">Обавезе по основу дугорочних кредита од осталих мултилатералних институција                                                              </t>
  </si>
  <si>
    <t xml:space="preserve">Обавезе по основу дугорочних кредита од страних пословних банака                                                              </t>
  </si>
  <si>
    <t xml:space="preserve">Обавезе по основу дугорочних кредита од лондонског клуба                                                               </t>
  </si>
  <si>
    <t xml:space="preserve">Обавезе по основу дугорочних кредита од осталих страних пословних банака                                                             </t>
  </si>
  <si>
    <t xml:space="preserve">Обавезе по основу дугорочних кредита од осталих страних кредитора                                                              </t>
  </si>
  <si>
    <t xml:space="preserve">Дугорочне обавезе по основу страних финансијских деривата                                                                </t>
  </si>
  <si>
    <t xml:space="preserve">Дугорочне обавезе по основу гаранција                                                                  </t>
  </si>
  <si>
    <t xml:space="preserve">Краткорочне обавезе                                                                     </t>
  </si>
  <si>
    <t xml:space="preserve">Краткорочне домаће обавезе                                                                    </t>
  </si>
  <si>
    <t xml:space="preserve">Краткорочне домаће обавезе по основу емитованих хартија од вредности, изузев акција                                                            </t>
  </si>
  <si>
    <t xml:space="preserve">Обавезе по основу краткорочних кредита од осталих нивоа власти                                                              </t>
  </si>
  <si>
    <t xml:space="preserve">Обавезе по основу краткорочних кредита од нивоа републике                                                               </t>
  </si>
  <si>
    <t xml:space="preserve">Обавезе по основу краткорочних кредита од нивоа територијалних аутономија                                                              </t>
  </si>
  <si>
    <t xml:space="preserve">Обавезе по основу краткорочних кредита од нивоа градова                                                               </t>
  </si>
  <si>
    <t xml:space="preserve">Обавезе по основу краткорочних кредита од нивоа општина                                                               </t>
  </si>
  <si>
    <t xml:space="preserve">Обавезе по основу краткорочних кредита од организација обавезног социјалног осигурања                                                             </t>
  </si>
  <si>
    <t xml:space="preserve">Обавезе по основу краткорочних кредита од републичког фонда за здравствено осигурање                                                            </t>
  </si>
  <si>
    <t xml:space="preserve">Обавезе по основу краткорочних кредита од републичког фонда за пио                                                             </t>
  </si>
  <si>
    <t xml:space="preserve">Обавезе по основу краткорочних кредита од националне службе за запошљавање                                                             </t>
  </si>
  <si>
    <t xml:space="preserve">Обавезе по основу краткорочних кредита од домаћих јавних финансијских институција                                                             </t>
  </si>
  <si>
    <t xml:space="preserve">Обавезе по основу краткорочних кредита од нбс                                                                </t>
  </si>
  <si>
    <t xml:space="preserve">Обавезе по основу краткорочних кредита од осталих домаћих јавних финансијских институција                                                            </t>
  </si>
  <si>
    <t xml:space="preserve">Обавезе по основу краткорочних кредита од домаћих пословних банака                                                              </t>
  </si>
  <si>
    <t xml:space="preserve">Обавезе по основу краткорочних кредита од осталих домаћих кредитора                                                              </t>
  </si>
  <si>
    <t xml:space="preserve">Обавезе по основу краткорочних кредита од домаћинстава у земљи                                                              </t>
  </si>
  <si>
    <t xml:space="preserve">Краткорочне обавезе по основу домаћих финансијских деривата                                                                </t>
  </si>
  <si>
    <t xml:space="preserve">Краткорочне обавезе по основу домаћих меница                                                                 </t>
  </si>
  <si>
    <t xml:space="preserve">Краткорочне стране обавезе                                                                    </t>
  </si>
  <si>
    <t xml:space="preserve">Краткорочне стране обавезе по основу емитованих хартија од вредности, изузев акција                                                            </t>
  </si>
  <si>
    <t xml:space="preserve">Обавезе по основу краткорочних крeдита од страних влада                                                               </t>
  </si>
  <si>
    <t xml:space="preserve">Обавезе по основу краткорочних кредита од париског клуба                                                               </t>
  </si>
  <si>
    <t xml:space="preserve">Обавезе по основу краткорочних кредита од извозно - увозних банака                                                             </t>
  </si>
  <si>
    <t xml:space="preserve">Обавезе по основу краткорочних кредита од осталих страних влада                                                              </t>
  </si>
  <si>
    <t xml:space="preserve">Обавезе по основу краткорочних кредита од мултилатералних институција                                                               </t>
  </si>
  <si>
    <t xml:space="preserve">Обавезе по основу краткорочних кредита од светске банке                                                               </t>
  </si>
  <si>
    <t xml:space="preserve">Обавезе по основу краткорочних кредита од ibrd                                                                </t>
  </si>
  <si>
    <t xml:space="preserve">Обавезе по основу краткорочних кредита од ebrd                                                                </t>
  </si>
  <si>
    <t xml:space="preserve">Обавезе по основу краткорочних кредита од eib                                                                </t>
  </si>
  <si>
    <t xml:space="preserve">Обавезе по основу краткорочних кредита од ceb                                                                </t>
  </si>
  <si>
    <t xml:space="preserve">Обавезе по основу краткорочних кредита од осталих мултилатералних институција                                                              </t>
  </si>
  <si>
    <t xml:space="preserve">Обавезе по основу краткорочних кредита од страних пословних банака                                                              </t>
  </si>
  <si>
    <t xml:space="preserve">Обавезе по основу краткорочних кредита од лондонског клуба                                                               </t>
  </si>
  <si>
    <t xml:space="preserve">Обавезе по основу краткорочних кредита од осталих страних пословних банака                                                             </t>
  </si>
  <si>
    <t xml:space="preserve">Обавезе по основу краткорочних кредита од осталих страних кредитора                                                              </t>
  </si>
  <si>
    <t xml:space="preserve">Краткорочне обавезе по основу страних финансијских деривата                                                                </t>
  </si>
  <si>
    <t xml:space="preserve">Краткорочне обавезе по основу гаранција                                                                  </t>
  </si>
  <si>
    <t xml:space="preserve">Обавезе по основу расхода за запослене                                                                 </t>
  </si>
  <si>
    <t xml:space="preserve">Обавезе за плате и додатке                                                                  </t>
  </si>
  <si>
    <t xml:space="preserve">Обавезе за нето плате и додатке                                                                 </t>
  </si>
  <si>
    <t xml:space="preserve">Обавезе по основу пореза на плате и додатке                                                               </t>
  </si>
  <si>
    <t xml:space="preserve">Обавезе по основу доприноса за пензијско и инвалидско осигурање на плате и додатке                                                          </t>
  </si>
  <si>
    <t xml:space="preserve">Обавезе по основу доприноса за здравствено осигурање на плате и додатке                                                            </t>
  </si>
  <si>
    <t xml:space="preserve">Обавезе по основу доприноса за незапосленост на плате и додатке                                                             </t>
  </si>
  <si>
    <t xml:space="preserve">Обавезе по основу накнада запосленима                                                                  </t>
  </si>
  <si>
    <t xml:space="preserve">Обавезе по основу нето накнада запосленима                                                                 </t>
  </si>
  <si>
    <t xml:space="preserve">Обавезе по основу пореза за накнаде запосленима                                                                </t>
  </si>
  <si>
    <t xml:space="preserve">Обавезе по основу доприноса за пензијско и инвалидско осигурање за накнаде запосленима                                                           </t>
  </si>
  <si>
    <t xml:space="preserve">Обавезе по основу доприноса за здравствено осигурање за накнаде запосленима                                                             </t>
  </si>
  <si>
    <t xml:space="preserve">Обавезе по основу доприноса за незапосленост за накнаде запосленима                                                              </t>
  </si>
  <si>
    <t xml:space="preserve">Обавезе за награде и остале посебне расходе                                                                </t>
  </si>
  <si>
    <t xml:space="preserve">Обавезе по основу нето исплата награда и осталих посебних расхода                                                             </t>
  </si>
  <si>
    <t xml:space="preserve">Обавезе по основу пореза на награде и остале посебне расходе                                                             </t>
  </si>
  <si>
    <t xml:space="preserve">Обавезе по основу доприноса за пензијско и инвалидско осигурање за награде и остале посебне расходе                                                        </t>
  </si>
  <si>
    <t xml:space="preserve">Обавезе по основу доприноса за здравствено осигурање за награде и остале посебне расходе                                                          </t>
  </si>
  <si>
    <t xml:space="preserve">Обавезе по основу доприноса за случај незапослености за награде и остале посебне расходе                                                          </t>
  </si>
  <si>
    <t xml:space="preserve">Обавезе по основу социјалних доприноса на терет послодавца                                                               </t>
  </si>
  <si>
    <t xml:space="preserve">Обавезе по основу доприноса за пензијско и инвалидско осигурање на терет послодавца                                                           </t>
  </si>
  <si>
    <t xml:space="preserve">Обавезе по основу доприноса за здравствено осигурање на терет послодавца                                                             </t>
  </si>
  <si>
    <t xml:space="preserve">Обавезе по основу доприноса за случај незапослености на терет послодавца                                                             </t>
  </si>
  <si>
    <t xml:space="preserve">Обавезе по основу накнада у натури                                                                 </t>
  </si>
  <si>
    <t xml:space="preserve">Обавезе по основу нето накнада у натури                                                                </t>
  </si>
  <si>
    <t xml:space="preserve">Обавезе по основу пореза на накнаде у натури                                                               </t>
  </si>
  <si>
    <t xml:space="preserve">Обавезе по основу доприноса за пензијско и инвалидско осигурање за накнаде у натури                                                          </t>
  </si>
  <si>
    <t xml:space="preserve">Обавезе по основу доприноса за здравствено осигурање за накнаде у натури                                                            </t>
  </si>
  <si>
    <t xml:space="preserve">Обавезе по основу доприноса за случај незапослености за накнаде у натури                                                            </t>
  </si>
  <si>
    <t xml:space="preserve">Обавезе по основу социјалне помоћи запосленима                                                                 </t>
  </si>
  <si>
    <t xml:space="preserve">Обавезе по основу нето исплата социјалне помоћи запосленима                                                               </t>
  </si>
  <si>
    <t xml:space="preserve">Обавезе по основу нето накнада рефундације                                                                 </t>
  </si>
  <si>
    <t xml:space="preserve">Обавезе по основу нето накнада за породиљско одсуство                                                               </t>
  </si>
  <si>
    <t xml:space="preserve">Обавезе по основу нето накнада за боловање преко 30 дана                                                             </t>
  </si>
  <si>
    <t xml:space="preserve">Обавезе по основу нето накнада за инвалидност другог степена                                                              </t>
  </si>
  <si>
    <t xml:space="preserve">Обавезе по основу пореза на социјалну помоћ запосленима                                                               </t>
  </si>
  <si>
    <t xml:space="preserve">Обавезе по основу доприноса за пензијско и инвалидско осигурање за социјалну помоћ запосленима                                                          </t>
  </si>
  <si>
    <t xml:space="preserve">Обавезе по основу доприноса за здравствено осигурање за социјалну помоћ запосленима                                                            </t>
  </si>
  <si>
    <t xml:space="preserve">Обавезе по основу доприноса за случај незапослености за социјалну помоћ запосленима                                                            </t>
  </si>
  <si>
    <t xml:space="preserve">Службена путовања и услуге по уговору                                                                 </t>
  </si>
  <si>
    <t xml:space="preserve">Обавезе по основу нето исплата за службена путовања                                                               </t>
  </si>
  <si>
    <t xml:space="preserve">Обавезе по основу нето исплата за службена путовања  у земљи                                                            </t>
  </si>
  <si>
    <t xml:space="preserve">Обавезе по основу нето исплата за службена путовања  у иностранство                                                            </t>
  </si>
  <si>
    <t xml:space="preserve">Обавезе по основу пореза на исплате за службена путовања                                                              </t>
  </si>
  <si>
    <t xml:space="preserve">Обавезе по основу нето исплата за услуге по уговору                                                              </t>
  </si>
  <si>
    <t xml:space="preserve">Обавезе по основу пореза на исплате за услуге по уговору                                                             </t>
  </si>
  <si>
    <t xml:space="preserve">Обавезе по основу доприноса за пензијско и инвалидско осигурање за услуге по уговору                                                          </t>
  </si>
  <si>
    <t xml:space="preserve">Обавезе по основу доприноса за здравствено осигурање за услуге по уговору                                                            </t>
  </si>
  <si>
    <t xml:space="preserve">Обавезе по основу доприноса за случај незапослености за услуге по уговору                                                            </t>
  </si>
  <si>
    <t xml:space="preserve">Обавезе по основу посланичких додатака                                                                  </t>
  </si>
  <si>
    <t xml:space="preserve">Обавезе за нето исплаћени посланички додатак                                                                 </t>
  </si>
  <si>
    <t xml:space="preserve">Обавезе по основу пореза на исплаћени посланички додатак                                                               </t>
  </si>
  <si>
    <t xml:space="preserve">Обавезе по основу доприноса за пензијско и инвалидско осигурање за посланички додатак                                                           </t>
  </si>
  <si>
    <t xml:space="preserve">Обавезе по основу доприноса за здравствено осигурање за посланички додатак                                                             </t>
  </si>
  <si>
    <t xml:space="preserve">Обавезе по основу доприноса за случај незапослености за посланички додатак                                                             </t>
  </si>
  <si>
    <t xml:space="preserve">Обавезе по основу судијских  додатака                                                                 </t>
  </si>
  <si>
    <t xml:space="preserve">Обавезе за нето исплаћени судијски додатак                                                                 </t>
  </si>
  <si>
    <t xml:space="preserve">Обавезе по основу пореза на исплаћени судијски додатак                                                               </t>
  </si>
  <si>
    <t xml:space="preserve">Обавезе по основу доприноса за пензијско и инвалидско осигурање за судијски додатак                                                           </t>
  </si>
  <si>
    <t xml:space="preserve">Обавезе по основу доприноса за здравствено осигурање за судијски додатак                                                             </t>
  </si>
  <si>
    <t xml:space="preserve">Обавезе по основу доприноса за случај незапослености за судијски додатак                                                             </t>
  </si>
  <si>
    <t xml:space="preserve">Обавезе по основу осталих расхода, изузев расхода за запослене                                                              </t>
  </si>
  <si>
    <t xml:space="preserve">Обавезе по основу отплате камата и пратећих трошкова задуживања                                                              </t>
  </si>
  <si>
    <t xml:space="preserve">Обавезе по основу отплате домаћих камата                                                                 </t>
  </si>
  <si>
    <t xml:space="preserve">Обавезе по основу отплате камата на домаће хартије од вредности                                                             </t>
  </si>
  <si>
    <t xml:space="preserve">Обавезе по основу отплате камата на краткорочне домаће хартије од вредности                                                            </t>
  </si>
  <si>
    <t xml:space="preserve">Обавезе по основу отплате камата на дугорочне домаће хартије од вредности                                                            </t>
  </si>
  <si>
    <t xml:space="preserve">Обавезе по основу отплате камата осталим нивоима власти                                                               </t>
  </si>
  <si>
    <t xml:space="preserve">Обавезе по основу отплате камата нивоу републике                                                                </t>
  </si>
  <si>
    <t xml:space="preserve">Обавезе по основу отплате камата нивоу територијалних аутономија                                                               </t>
  </si>
  <si>
    <t xml:space="preserve">Обавезе по основу отплате камата нивоу градова                                                                </t>
  </si>
  <si>
    <t xml:space="preserve">Обавезе по основу отплате камата нивоу општина                                                                </t>
  </si>
  <si>
    <t xml:space="preserve">Обавезе по основу отплате камата организацијама обавезног социјалног осигурања                                                              </t>
  </si>
  <si>
    <t xml:space="preserve">Обавезе по основу отплате камата домаћим јавним финансијским институцијама                                                              </t>
  </si>
  <si>
    <t xml:space="preserve">Обавезе по основу отплате камата нбс                                                                 </t>
  </si>
  <si>
    <t xml:space="preserve">Обавезе по основу отплате камата осталим домаћим јавним финансијским институцијама                                                             </t>
  </si>
  <si>
    <t xml:space="preserve">Обавезе по основу отплате камата домаћим пословним банкама                                                               </t>
  </si>
  <si>
    <t xml:space="preserve">Обавезе по основу отплате камата осталим домаћим кредиторима                                                               </t>
  </si>
  <si>
    <t xml:space="preserve">Обавезе по основу отплате камата домаћинствима у земљи                                                               </t>
  </si>
  <si>
    <t xml:space="preserve">Обавезе по основу отплате камата на домаће финансијске деривате                                                              </t>
  </si>
  <si>
    <t xml:space="preserve">Обавезе по основу отплате камата на менице                                                                </t>
  </si>
  <si>
    <t xml:space="preserve">Обавезе по основу отплате страних камата                                                                 </t>
  </si>
  <si>
    <t xml:space="preserve">Обавезе по основу отплате камата на стране хартије од вредности                                                             </t>
  </si>
  <si>
    <t xml:space="preserve">Обавезе по основу отплате камата на краткорочне стране хартије од вредности                                                            </t>
  </si>
  <si>
    <t xml:space="preserve">Обавезе по основу отплате камата на дугорочне стране хартије од вредности                                                            </t>
  </si>
  <si>
    <t xml:space="preserve">Обавезе по основу отплате камата страним владама                                                                </t>
  </si>
  <si>
    <t xml:space="preserve">Обавезе по основу отплате камата париском клубу                                                                </t>
  </si>
  <si>
    <t xml:space="preserve">Обавезе по основу отплате камата извозно увозним банкама                                                               </t>
  </si>
  <si>
    <t xml:space="preserve">Обавезе по основу отплате камата осталим страним владама                                                               </t>
  </si>
  <si>
    <t xml:space="preserve">Обавезе по основу отплате камата мултилатералним институцијама                                                                </t>
  </si>
  <si>
    <t xml:space="preserve">Обавезе по основу отплате камата светској банци                                                                </t>
  </si>
  <si>
    <t xml:space="preserve">Обавезе по основу отплате камата ibrd                                                                 </t>
  </si>
  <si>
    <t xml:space="preserve">Обавезе по основу отплате камата ebrd                                                                 </t>
  </si>
  <si>
    <t xml:space="preserve">Обавезе по основу отплате камата eib                                                                 </t>
  </si>
  <si>
    <t xml:space="preserve">Обавезе по основу отплате камата ceb                                                                 </t>
  </si>
  <si>
    <t xml:space="preserve">Обавезе по основу отплате камата осталим мултилатералним институцијама                                                               </t>
  </si>
  <si>
    <t xml:space="preserve">Обавезе по основу отплате камата страним пословним банкама                                                               </t>
  </si>
  <si>
    <t xml:space="preserve">Обавезе по основу отплате камата лондонском клубу                                                                </t>
  </si>
  <si>
    <t xml:space="preserve">Обавезе по основу отплате камата осталим страним пословним банкама                                                              </t>
  </si>
  <si>
    <t xml:space="preserve">Обавезе по основу отплате камата осталим страним кредиторима                                                               </t>
  </si>
  <si>
    <t xml:space="preserve">Обавезе по основу отплате камата на стране финансијске деривате                                                              </t>
  </si>
  <si>
    <t xml:space="preserve">Обавезе по основу отплате камата по гаранцијама                                                                </t>
  </si>
  <si>
    <t xml:space="preserve">Обавезе по основу пратећих трошкова задуживања                                                                 </t>
  </si>
  <si>
    <t xml:space="preserve">Негативна курсна разлика                                                                    </t>
  </si>
  <si>
    <t xml:space="preserve">Затезне камате                                                                     </t>
  </si>
  <si>
    <t xml:space="preserve">Таксе везане за задуживање                                                                   </t>
  </si>
  <si>
    <t xml:space="preserve">Обавезе по основу субвенција                                                                   </t>
  </si>
  <si>
    <t xml:space="preserve">Обавезе по основу субвенција нефинансијским предузећима                                                                 </t>
  </si>
  <si>
    <t xml:space="preserve">Обавезе по основу текућих субвенција нефинансијским предузећима                                                                </t>
  </si>
  <si>
    <t xml:space="preserve">Обавезе по основу текућих субвенција јавном градском саобраћају                                                               </t>
  </si>
  <si>
    <t xml:space="preserve">Обавезе по основу текућих субвенција у јавном железничком саобраћају                                                              </t>
  </si>
  <si>
    <t xml:space="preserve">Обавезе по основу текућих субвенција водопривреди                                                                 </t>
  </si>
  <si>
    <t xml:space="preserve">Обавезе по основу текућих субвенција у пољопривреди                                                                </t>
  </si>
  <si>
    <t xml:space="preserve">Обавезе по основу текућих субвенција осталим јавним нефинансијским предузећима                                                              </t>
  </si>
  <si>
    <t xml:space="preserve">Обавеза по основу капиталних субвенција јавним нефинансијским предузећима                                                               </t>
  </si>
  <si>
    <t xml:space="preserve">Обавезе по основу капиталних субвенција јавном градском саобраћају                                                               </t>
  </si>
  <si>
    <t xml:space="preserve">Обавезе по основу капиталних субвенција у јавном железничком саобраћају                                                              </t>
  </si>
  <si>
    <t xml:space="preserve">Обавезе по основу капиталних субвенција водопривреди                                                                 </t>
  </si>
  <si>
    <t xml:space="preserve">Обавезе по основу капиталних субвенција у пољопривреди                                                                </t>
  </si>
  <si>
    <t xml:space="preserve">Обавезе по основу капиталних субвенција осталим јавним нефинансијским предузећима                                                              </t>
  </si>
  <si>
    <t xml:space="preserve">Обавезе по основу субвенција приватним финансијским предузећима                                                                </t>
  </si>
  <si>
    <t xml:space="preserve">Обавезе по основу текућих субвенција приватним финансијским предузећима                                                               </t>
  </si>
  <si>
    <t xml:space="preserve">Обавезе по основу текућих субвенција пословним и трговачким банкама                                                              </t>
  </si>
  <si>
    <t xml:space="preserve">Обавезе по основу текућих субвенција осталим приватним финансијским предузећима                                                              </t>
  </si>
  <si>
    <t xml:space="preserve">Обавезе по основу капиталних субвенција приватним финансијским предузећима                                                               </t>
  </si>
  <si>
    <t xml:space="preserve">Обавезе по основу капиталних субвенција пословним и трговачким банкама                                                              </t>
  </si>
  <si>
    <t xml:space="preserve">Обавезе по основу капиталних субвенција осталим приватним финансијским предузећима                                                              </t>
  </si>
  <si>
    <t xml:space="preserve">Обавезе по основу субвенција јавним финансијским установама                                                                </t>
  </si>
  <si>
    <t xml:space="preserve">Обавезе по основу текућих субвенција јавним финансијским установама                                                               </t>
  </si>
  <si>
    <t xml:space="preserve">Обавезе по основу текућих субвенција нбс                                                                 </t>
  </si>
  <si>
    <t xml:space="preserve">Обавезе по основу текућих субвенција осталим домаћим јавним финансијским установама                                                             </t>
  </si>
  <si>
    <t xml:space="preserve">Обавезе по основу капиталних субвенција јавним финансијским установама                                                               </t>
  </si>
  <si>
    <t xml:space="preserve">Обавезе по основу капиталних субвенција нбс                                                                 </t>
  </si>
  <si>
    <t xml:space="preserve">Обавезе по основу капиталних субвенција осталим домаћим јавним финансијским установама                                                             </t>
  </si>
  <si>
    <t xml:space="preserve">Обавезе по основу субвенција приватним предузећима                                                                 </t>
  </si>
  <si>
    <t xml:space="preserve">Обавезе по основу текућих субвенција приватним предузећима                                                                </t>
  </si>
  <si>
    <t xml:space="preserve">Обавезе по основу капиталних субвенција приватним предузећима                                                                </t>
  </si>
  <si>
    <t xml:space="preserve">Обавезе по основу донација, дотација и трансфера                                                                </t>
  </si>
  <si>
    <t xml:space="preserve">Обавезе по основу донација страним владама                                                                 </t>
  </si>
  <si>
    <t xml:space="preserve">Обавезе по основу текућих донација страним владама                                                                </t>
  </si>
  <si>
    <t xml:space="preserve">Обавезе по основу капиталних донација страним владама                                                                </t>
  </si>
  <si>
    <t xml:space="preserve">Обавезе по основу дотација међународним организацијама                                                                 </t>
  </si>
  <si>
    <t xml:space="preserve">Обавезе по основу текућих дотација међународним организацијама                                                                </t>
  </si>
  <si>
    <t xml:space="preserve">Обавезе по основу текућих дотација црвеном крсту                                                                </t>
  </si>
  <si>
    <t xml:space="preserve">Обавезе по основу текућих дотација за међународне чланарине                                                               </t>
  </si>
  <si>
    <t xml:space="preserve">Обавезе по основу текућих дотација осталим међународним организацијама                                                               </t>
  </si>
  <si>
    <t xml:space="preserve">Обавезе по основу капиталних дотација међународним организацијама                                                                </t>
  </si>
  <si>
    <t xml:space="preserve">Обавезе по основу капиталних дотација црвеном крсту                                                                </t>
  </si>
  <si>
    <t xml:space="preserve">Обавезе по основу капиталних дотација за међународне чланарине                                                               </t>
  </si>
  <si>
    <t xml:space="preserve">Обавезе по основу капиталних дотација осталим међународним организацијама                                                               </t>
  </si>
  <si>
    <t xml:space="preserve">Обавезе по основу трансфера осталим нивоима власти                                                                </t>
  </si>
  <si>
    <t xml:space="preserve">Обавезе по основу текућих трансфера осталим нивоима власти                                                               </t>
  </si>
  <si>
    <t xml:space="preserve">Обавезе по основу текућих трансфера нивоу републике                                                                </t>
  </si>
  <si>
    <t xml:space="preserve">Обавезе по основу текућих трансфера нивоу територијалних аутономија                                                               </t>
  </si>
  <si>
    <t xml:space="preserve">Обавезе по основу текућих трансфера нивоу градова                                                                </t>
  </si>
  <si>
    <t xml:space="preserve">Обавезе по основу текућих трансфера нивоу општина                                                                </t>
  </si>
  <si>
    <t xml:space="preserve">Обавезе по основу капиталних трансфера осталим нивоима власти                                                               </t>
  </si>
  <si>
    <t xml:space="preserve">Обавезе по основу капиталних трансфера нивоу републике                                                                </t>
  </si>
  <si>
    <t xml:space="preserve">Обавезе по основу капиталних трансфера нивоу територијалних аутономија                                                               </t>
  </si>
  <si>
    <t xml:space="preserve">Обавезе по основу капиталних трансфера нивоу градова                                                                </t>
  </si>
  <si>
    <t xml:space="preserve">Обавезе по основу капиталних трансфера нивоу општина                                                                </t>
  </si>
  <si>
    <t xml:space="preserve">Обавезе по основу дотација организацијама обавезног социјалног осигурања                                                               </t>
  </si>
  <si>
    <t xml:space="preserve">Обавезе по основу текућих дотација организацијама обавезног социјалног осигурања                                                              </t>
  </si>
  <si>
    <t xml:space="preserve">Обавезе по основу текућих дотација републичком фонду за здравствено осигурање                                                             </t>
  </si>
  <si>
    <t xml:space="preserve">Обавезе по основу текућих дотација републичком фонду за пио за осигуранике запослене                                                           </t>
  </si>
  <si>
    <t xml:space="preserve">Обавезе по основу текућих дотација републичком фонду за пио за осигуранике пољопривреднике                                                           </t>
  </si>
  <si>
    <t xml:space="preserve">Обавезе по основу текућих дотација републичком фонду за пио за осигуранике  самосталних делатности                                                         </t>
  </si>
  <si>
    <t xml:space="preserve">Обавезе по основу текућих дотација националној служби за запошљавање                                                              </t>
  </si>
  <si>
    <t xml:space="preserve">Обавезе по основу капиталних дотација организацијама обавезног социјалног осигурања                                                              </t>
  </si>
  <si>
    <t xml:space="preserve">Обавезе по основу капиталних дотација републичком фонду за здравствено осигурање                                                             </t>
  </si>
  <si>
    <t xml:space="preserve">Обавезе по основу капиталних дотација републичком фонду за пио                                                              </t>
  </si>
  <si>
    <t xml:space="preserve">Обавезе по основу капиталних дотација националној служби за запошљавање                                                              </t>
  </si>
  <si>
    <t xml:space="preserve">Обавезе за социјално осигурање                                                                   </t>
  </si>
  <si>
    <t xml:space="preserve">Обавезе по основу права из социјалног осигурања код организација обавезног социјалног осигурања                                                           </t>
  </si>
  <si>
    <t xml:space="preserve">Обавезе по основу социјалног осигурања које се исплаћује непосредно домаћинствима                                                             </t>
  </si>
  <si>
    <t xml:space="preserve">Обавезе по основу накнада зарада осигураницима услед привремене неспособности за рад                                                            </t>
  </si>
  <si>
    <t xml:space="preserve">Обавезе по основу права из пензијског осигурања                                                                </t>
  </si>
  <si>
    <t xml:space="preserve">Обавезе по основу накнада из инвалидског осигурања                                                                </t>
  </si>
  <si>
    <t xml:space="preserve">Обавезе по основу накнада које исплаћује национална служба за запошљавање                                                             </t>
  </si>
  <si>
    <t xml:space="preserve">Обавезе по основу осталих социјалних давања исплаћених непосредно домаћинствима                                                              </t>
  </si>
  <si>
    <t xml:space="preserve">Обавезе по основу права из социјалног осигурања исплаћених непосредно пружаоцима услуга                                                            </t>
  </si>
  <si>
    <t xml:space="preserve">Обавезе по основу трошкова здравствене заштите у земљи плаћених непосредно пружаоцима услуга                                                           </t>
  </si>
  <si>
    <t xml:space="preserve">Обавезе по основу услуга здравствене заштите у иностранству плаћених непосредно пружаоцима услуга                                                           </t>
  </si>
  <si>
    <t xml:space="preserve">Обавезе по основу бриге о пензионисаним лицима                                                                </t>
  </si>
  <si>
    <t xml:space="preserve">Обавезе по основу бриге о инвалидима                                                                 </t>
  </si>
  <si>
    <t xml:space="preserve">Обавезе по основу исплата послодавцима које врши национална служба за запошљавање                                                            </t>
  </si>
  <si>
    <t xml:space="preserve">Обавезе по основу пружања услуга обуке преко националне службе за запошљавање                                                            </t>
  </si>
  <si>
    <t xml:space="preserve">Обавезе по основу осталих права која се плаћају непосредно пружаоцима услуга                                                            </t>
  </si>
  <si>
    <t xml:space="preserve">Обавезе по основу дотација другим организацијама обавезног социјалног осигурања за доприносе за осигурање                                                          </t>
  </si>
  <si>
    <t xml:space="preserve">Обавезе по основу дотација републичком фонду за здравствено осигурање за доприносе за осигурање                                                          </t>
  </si>
  <si>
    <t xml:space="preserve">Обавезе по основу дотација републичком фонду за пио за осигуранике запослене за доприносе за осигурање                                                        </t>
  </si>
  <si>
    <t xml:space="preserve">Обавезе по основу дотација републичком фонду за пио за осигуранике пољопривреднике за доприносе за осигурање                                                        </t>
  </si>
  <si>
    <t xml:space="preserve">Обавезе по основу дотација републичком фонду за пио за осигуранике самосталних делатности за доприносе за осигурање                                                       </t>
  </si>
  <si>
    <t xml:space="preserve">Обавезе по основу дотација националној служби за запошљавање                                                               </t>
  </si>
  <si>
    <t xml:space="preserve">Обавезе по основу социјалне помоћи из буџета                                                                </t>
  </si>
  <si>
    <t xml:space="preserve">Обавезе по основу боловања и инвалиднина из буџета                                                               </t>
  </si>
  <si>
    <t xml:space="preserve">Боловање                                                                      </t>
  </si>
  <si>
    <t xml:space="preserve">Инвалиднине                                                                      </t>
  </si>
  <si>
    <t xml:space="preserve">Инвалиднине ратним инвалидима                                                                    </t>
  </si>
  <si>
    <t xml:space="preserve">Обавезе по основу накнада из буџета за породиљско боловање                                                              </t>
  </si>
  <si>
    <t xml:space="preserve">Обавезе по основу накнада из буџета за децу и породицу                                                             </t>
  </si>
  <si>
    <t xml:space="preserve">Обавезе по основу накнада из буџета за случај незапослености                                                              </t>
  </si>
  <si>
    <t xml:space="preserve">Обавезе по основу старосних и породичних пензија из буџета                                                              </t>
  </si>
  <si>
    <t xml:space="preserve">Обавезе по основу права из редовног пензијског осигурања из буџета                                                             </t>
  </si>
  <si>
    <t xml:space="preserve">Обавезе по основу права из коришћења породичних пензија, из буџета                                                             </t>
  </si>
  <si>
    <t xml:space="preserve">Обавезе по основу накнада из буџета за случај смрти                                                              </t>
  </si>
  <si>
    <t xml:space="preserve">Обавезе по основу накнада из буџета за образовање, културу, науку и спорт                                                           </t>
  </si>
  <si>
    <t xml:space="preserve">Обавезе по основу накнада за образовање                                                                 </t>
  </si>
  <si>
    <t xml:space="preserve">Обавезе по основу накнада за културу                                                                 </t>
  </si>
  <si>
    <t xml:space="preserve">Обавезе по основу накнада за науку                                                                 </t>
  </si>
  <si>
    <t xml:space="preserve">Обавезе по основу накнада за спорт                                                                 </t>
  </si>
  <si>
    <t xml:space="preserve">Обавезе по основу накнада из буџета за становање и живот                                                             </t>
  </si>
  <si>
    <t xml:space="preserve">Обавезе по основу осталих накнада из буџета                                                                </t>
  </si>
  <si>
    <t xml:space="preserve">Обавезе по основу накнада бившим политичким затвореницима                                                                </t>
  </si>
  <si>
    <t xml:space="preserve">Обавезе по основу накнада затвореницима                                                                  </t>
  </si>
  <si>
    <t xml:space="preserve">Обавезе по основу једнократне помоћи из буџета                                                                </t>
  </si>
  <si>
    <t xml:space="preserve">Обавезе за остале расходе                                                                   </t>
  </si>
  <si>
    <t xml:space="preserve">Обавезе по основу дотација невладиним организацијама                                                                 </t>
  </si>
  <si>
    <t xml:space="preserve">Обавезе по основу дотација непрофитним институцијама које пружају услуге домаћинствима                                                             </t>
  </si>
  <si>
    <t xml:space="preserve">Обавезе по основу неновчаних дотација непрофитним организацијама које пружају услуге домаћинствима                                                            </t>
  </si>
  <si>
    <t xml:space="preserve">Обавезе по основу дотација црвеном крсту србије                                                                </t>
  </si>
  <si>
    <t xml:space="preserve">Обавезе по основу дотација осталим непрофитним институцијама                                                                </t>
  </si>
  <si>
    <t xml:space="preserve">Обавезе по основу дотација спортским и омладинским организацијама                                                               </t>
  </si>
  <si>
    <t xml:space="preserve">Обавезе по основу дотација етничким заједницама и мањинама                                                               </t>
  </si>
  <si>
    <t xml:space="preserve">Обавезе по основу дотација верским заједницама                                                                 </t>
  </si>
  <si>
    <t xml:space="preserve">Обавезе по основу дотација осталим удружењима грађана и политичким странкама                                                             </t>
  </si>
  <si>
    <t xml:space="preserve">Обавезе по основу дотација привредној комори                                                                 </t>
  </si>
  <si>
    <t xml:space="preserve">Обавезе по основу дотација приватним и алтернативним школама                                                               </t>
  </si>
  <si>
    <t xml:space="preserve">Обавезе за остале порезе, обавезне таксе и казне                                                               </t>
  </si>
  <si>
    <t xml:space="preserve">Обавезе по основу осталих пореза                                                                  </t>
  </si>
  <si>
    <t xml:space="preserve">Обавезе по основу пореза на имовину                                                                 </t>
  </si>
  <si>
    <t xml:space="preserve">Обавезе по основу пореза на робе и услуге                                                               </t>
  </si>
  <si>
    <t xml:space="preserve">Обавезе по основу пореза на коришћење роба или обављање услуга                                                             </t>
  </si>
  <si>
    <t xml:space="preserve">Обавезе по основу пореза на међународну трговину                                                                </t>
  </si>
  <si>
    <t xml:space="preserve">Обавезе по основу других пореза                                                                  </t>
  </si>
  <si>
    <t xml:space="preserve">Обавезе по основу обавезних такси                                                                  </t>
  </si>
  <si>
    <t xml:space="preserve">Републичке таксе                                                                     </t>
  </si>
  <si>
    <t xml:space="preserve">Покрајинске таксе                                                                     </t>
  </si>
  <si>
    <t xml:space="preserve">Градске таксе                                                                     </t>
  </si>
  <si>
    <t xml:space="preserve">Општинске таксе                                                                     </t>
  </si>
  <si>
    <t xml:space="preserve">Судске таксе                                                                     </t>
  </si>
  <si>
    <t xml:space="preserve">Обавезе за новчане казне                                                                   </t>
  </si>
  <si>
    <t xml:space="preserve">Републичке казне                                                                     </t>
  </si>
  <si>
    <t xml:space="preserve">Покрајинске казне                                                                     </t>
  </si>
  <si>
    <t xml:space="preserve">Градске казне                                                                     </t>
  </si>
  <si>
    <t xml:space="preserve">Општинске казне                                                                     </t>
  </si>
  <si>
    <t xml:space="preserve">Обавезе за порез на додату вредност                                                                 </t>
  </si>
  <si>
    <t xml:space="preserve">Обавеза за порез на додату вредност по издатим фактурама по општој стопи (осим примљених аванса)                                                        </t>
  </si>
  <si>
    <t xml:space="preserve">Обавеза за порез на додату вредност по издатим фактурама по посебној стопи (осим примљених аванса)                                                        </t>
  </si>
  <si>
    <t xml:space="preserve">Обавеза за порез на додату вредност по примљеним авансима по општој стопи                                                           </t>
  </si>
  <si>
    <t xml:space="preserve">Обавеза за порез на додату вредност по примљеним авансима по посебној стопи                                                           </t>
  </si>
  <si>
    <t xml:space="preserve">Обавеза за порез на додату вредност по основу сопствене потрошње по општој стопи                                                          </t>
  </si>
  <si>
    <t xml:space="preserve">Обавеза за порез на додату вредност по основу сопствене потрошње по посебној стопи                                                          </t>
  </si>
  <si>
    <t xml:space="preserve">Обавеза за порез на додату вредност по основу продаје за готовину                                                            </t>
  </si>
  <si>
    <t xml:space="preserve">Обавеза по основу пдв надокнаде пољопривреднику                                                                 </t>
  </si>
  <si>
    <t xml:space="preserve">Обавеза за порез на додату вредност по основу разлике обрачунатог пореза на додату вредност и претходног пореза                                                      </t>
  </si>
  <si>
    <t xml:space="preserve">Обавезе по основу казни и пенала по решењима судова                                                              </t>
  </si>
  <si>
    <t xml:space="preserve">Обавезе по основу накнаде штете за повреде и штете услед елементарних непогода                                                           </t>
  </si>
  <si>
    <t xml:space="preserve">Обавезе по основу накнаде штете од дивљачи                                                                </t>
  </si>
  <si>
    <t xml:space="preserve">Обавезе по основу накнаде штете или повреда нанетих од стране државних органа                                                           </t>
  </si>
  <si>
    <t xml:space="preserve">Обавезе из пословања                                                                    </t>
  </si>
  <si>
    <t xml:space="preserve">Примљени аванси, депозити и кауције                                                                  </t>
  </si>
  <si>
    <t xml:space="preserve">Примљени аванси                                                                     </t>
  </si>
  <si>
    <t xml:space="preserve">Примљени депозити                                                                     </t>
  </si>
  <si>
    <t xml:space="preserve">Примљени судски депозити                                                                    </t>
  </si>
  <si>
    <t xml:space="preserve">Примљени остали депозити                                                                    </t>
  </si>
  <si>
    <t xml:space="preserve">Примљене кауције                                                                     </t>
  </si>
  <si>
    <t xml:space="preserve">Обавезе према добављачима                                                                    </t>
  </si>
  <si>
    <t xml:space="preserve">Добављачи у земљи                                                                    </t>
  </si>
  <si>
    <t xml:space="preserve">Добављачи у иностранству                                                                    </t>
  </si>
  <si>
    <t xml:space="preserve">Обавезе за издате чекове и обвезнице                                                                 </t>
  </si>
  <si>
    <t xml:space="preserve">Обавезе за издате чекове                                                                   </t>
  </si>
  <si>
    <t xml:space="preserve">Обавезе за издате обвезнице                                                                   </t>
  </si>
  <si>
    <t xml:space="preserve">Остале обавезе                                                                     </t>
  </si>
  <si>
    <t xml:space="preserve">Обавезе из односа буџета и буџетских корисника                                                                </t>
  </si>
  <si>
    <t xml:space="preserve">Обавезе према буџету                                                                    </t>
  </si>
  <si>
    <t xml:space="preserve">Обавезе према буџетским корисницима                                                                   </t>
  </si>
  <si>
    <t xml:space="preserve">Обавезе за преузете обавезе из односа буџета и буџетских корисника                                                             </t>
  </si>
  <si>
    <t xml:space="preserve">Oбавезе према  јавним предузећима                                                                  </t>
  </si>
  <si>
    <t xml:space="preserve">Остале обавезе буџета                                                                    </t>
  </si>
  <si>
    <t xml:space="preserve">Остале обавезе из пословања                                                                   </t>
  </si>
  <si>
    <t xml:space="preserve">Обавезе према запосленима                                                                    </t>
  </si>
  <si>
    <t xml:space="preserve">Обавезе по судским и административним забранама                                                                 </t>
  </si>
  <si>
    <t xml:space="preserve">Обавезе за синдикалне чланарине                                                                   </t>
  </si>
  <si>
    <t xml:space="preserve">Обавезе за неисплаћене плате                                                                   </t>
  </si>
  <si>
    <t xml:space="preserve">Обавезе према члановима управног и надзорног одбора и комисија                                                              </t>
  </si>
  <si>
    <t xml:space="preserve">Обавезе према члановима управног и надзорног одбора                                                                </t>
  </si>
  <si>
    <t xml:space="preserve">Обавезе према члановима комисија                                                                   </t>
  </si>
  <si>
    <t xml:space="preserve">Обавезе по упутницама                                                                    </t>
  </si>
  <si>
    <t xml:space="preserve">Обавезе за враћене упутнице                                                                   </t>
  </si>
  <si>
    <t xml:space="preserve">Пасивна временска разграничења                                                                    </t>
  </si>
  <si>
    <t xml:space="preserve">Разграничени приходи и примања                                                                   </t>
  </si>
  <si>
    <t xml:space="preserve">Разграничени приходи из донација                                                                   </t>
  </si>
  <si>
    <t xml:space="preserve">Разграничени остали приходи и примања                                                                  </t>
  </si>
  <si>
    <t xml:space="preserve">Разграничени плаћени расходи и издаци                                                                  </t>
  </si>
  <si>
    <t xml:space="preserve">Плаћени аванси                                                                     </t>
  </si>
  <si>
    <t xml:space="preserve">Плаћени аванси за набавку материјала                                                                  </t>
  </si>
  <si>
    <t xml:space="preserve">Плаћени аванси за нематеријална улагања и основна средства                                                               </t>
  </si>
  <si>
    <t xml:space="preserve">Плаћени аванси за куповину услуга                                                                  </t>
  </si>
  <si>
    <t xml:space="preserve">Аконтације за пословна путовања                                                                   </t>
  </si>
  <si>
    <t xml:space="preserve">Обрачунати ненаплаћени приходи и примања                                                                  </t>
  </si>
  <si>
    <t xml:space="preserve">Обрачунати ненаплаћени приходи                                                                    </t>
  </si>
  <si>
    <t xml:space="preserve">Обрачуната ненаплаћена примања из продаје нефинансијске имовине                                                                </t>
  </si>
  <si>
    <t xml:space="preserve">Остала пасивна временска разграничења                                                                   </t>
  </si>
  <si>
    <t xml:space="preserve">Обавезе фондова за исплаћене обавезе по основу накнада запосленима                                                              </t>
  </si>
  <si>
    <t xml:space="preserve">Капитал, утврђивање резултата пословања и ванбилансна евиденција                                                                </t>
  </si>
  <si>
    <t xml:space="preserve">Капитал                                                                      </t>
  </si>
  <si>
    <t xml:space="preserve">Основна средства                                                                     </t>
  </si>
  <si>
    <t xml:space="preserve">Природна богатства                                                                     </t>
  </si>
  <si>
    <t xml:space="preserve">Залихе робних резерви                                                                    </t>
  </si>
  <si>
    <t xml:space="preserve">Залихе материјала за производњу                                                                   </t>
  </si>
  <si>
    <t xml:space="preserve">Залихе недовршене производње                                                                    </t>
  </si>
  <si>
    <t xml:space="preserve">Залихе готових производа                                                                    </t>
  </si>
  <si>
    <t xml:space="preserve">Залихе робе за даљу продају                                                                  </t>
  </si>
  <si>
    <t xml:space="preserve">Исправка вредности сопствених извора нефинансијске имовине, у сталним средствима, за набавке из кредита                                                          </t>
  </si>
  <si>
    <t xml:space="preserve">Дугорочна финансијска  имовина у страним владама, компанијама, организацијама  и институцијама                                                           </t>
  </si>
  <si>
    <t xml:space="preserve">Остала финансијска имовина                                                                    </t>
  </si>
  <si>
    <t xml:space="preserve">Извори новчаних средстава                                                                    </t>
  </si>
  <si>
    <t xml:space="preserve">Примања од продаје финансијске имовине                                                                  </t>
  </si>
  <si>
    <t xml:space="preserve">Примања од отплате датих кредита                                                                  </t>
  </si>
  <si>
    <t xml:space="preserve">Примања од продаје стране валуте                                                                  </t>
  </si>
  <si>
    <t xml:space="preserve">Остали извори новчаних средстава                                                                   </t>
  </si>
  <si>
    <t xml:space="preserve">Утрошена средства текућих прихода и примања од продаје нефинансијске имовине                                                             </t>
  </si>
  <si>
    <t xml:space="preserve">Утрошена средства текућих прихода и примања од продаје нефинансијске имовине у току једне године                                                         </t>
  </si>
  <si>
    <t xml:space="preserve">Утрошена средства текућих прихода и примања од продаје нефинансијске имовине за отплату обавеза по кредитима                                                        </t>
  </si>
  <si>
    <t xml:space="preserve">Утрошена средства текућих прихода и примања од продаје нефинансијске имовине за набавку финансијске имовине                                                         </t>
  </si>
  <si>
    <t xml:space="preserve">Пренета неутрошена средства из ранијих година                                                                 </t>
  </si>
  <si>
    <t xml:space="preserve">Пренета неутрошена средства од приватизације                                                                  </t>
  </si>
  <si>
    <t xml:space="preserve">Пренета неутрошена средства за посебне намене                                                                 </t>
  </si>
  <si>
    <t xml:space="preserve">Пренета неутрошена средства за стамбену изградњу                                                                 </t>
  </si>
  <si>
    <t xml:space="preserve">Остали сопствени извори                                                                    </t>
  </si>
  <si>
    <t xml:space="preserve">Утврђивање резултата пословања                                                                    </t>
  </si>
  <si>
    <t xml:space="preserve">Обрачун прихода и примања и расхода и издатака пословања                                                              </t>
  </si>
  <si>
    <t xml:space="preserve">Вишак или мањак прихода и примања                                                                 </t>
  </si>
  <si>
    <t xml:space="preserve">Вишак прихода и примања– суфицит                                                                  </t>
  </si>
  <si>
    <t xml:space="preserve">Мањак прихода и примања– дефицит                                                                  </t>
  </si>
  <si>
    <t xml:space="preserve">Распоред вишка прихода и примања                                                                  </t>
  </si>
  <si>
    <t xml:space="preserve">Нераспоређени вишак прихода и примања или дефицит из ранијих година                                                             </t>
  </si>
  <si>
    <t xml:space="preserve">Нераспоређени вишак прихода и примања из ранијих година                                                               </t>
  </si>
  <si>
    <t xml:space="preserve">Дефицит из ранијих година                                                                   </t>
  </si>
  <si>
    <t xml:space="preserve">Добити које су резултат промене вредности                                                                 </t>
  </si>
  <si>
    <t xml:space="preserve">Добити које су резултат промене вредности пословних зграда и других објеката                                                            </t>
  </si>
  <si>
    <t xml:space="preserve">Добити које су резултат промене вредности опреме                                                                </t>
  </si>
  <si>
    <t xml:space="preserve">Добити који су резултат промене вредности култивисане имовине                                                               </t>
  </si>
  <si>
    <t xml:space="preserve">Добити које су резултат промене вредности природног богатства                                                               </t>
  </si>
  <si>
    <t xml:space="preserve">Добити које су резултат промене вредности природне имовине                                                               </t>
  </si>
  <si>
    <t xml:space="preserve">Добити које су резултат промене вредности нематеријалних основних средстава                                                              </t>
  </si>
  <si>
    <t xml:space="preserve">Добити које су резултат промене вредности залиха                                                                </t>
  </si>
  <si>
    <t xml:space="preserve">Друге промене у обиму                                                                   </t>
  </si>
  <si>
    <t xml:space="preserve">Друге промене у обиму пословних зграда и других објеката                                                              </t>
  </si>
  <si>
    <t xml:space="preserve">Друге промене у обиму опреме                                                                  </t>
  </si>
  <si>
    <t xml:space="preserve">Друге промене у обиму природних богатстава                                                                 </t>
  </si>
  <si>
    <t xml:space="preserve">Друге промене у обиму залиха                                                                  </t>
  </si>
  <si>
    <t xml:space="preserve">Ванбилансна евиденција                                                                     </t>
  </si>
  <si>
    <t xml:space="preserve">Ванбилансна актива                                                                     </t>
  </si>
  <si>
    <t xml:space="preserve">Основна средства у закупу                                                                   </t>
  </si>
  <si>
    <t xml:space="preserve">Примљена туђа роба и материјал                                                                  </t>
  </si>
  <si>
    <t xml:space="preserve">Примљена роба у јавном складишту                                                                  </t>
  </si>
  <si>
    <t xml:space="preserve">Примљена роба у комисион                                                                   </t>
  </si>
  <si>
    <t xml:space="preserve">Примљен материјал на обраду и дораду                                                                 </t>
  </si>
  <si>
    <t xml:space="preserve">Хартије од вредности ван промета                                                                  </t>
  </si>
  <si>
    <t xml:space="preserve">Авали и друге гаранције                                                                   </t>
  </si>
  <si>
    <t xml:space="preserve">Остала ванбилансна актива                                                                    </t>
  </si>
  <si>
    <t xml:space="preserve">Ванбилансна пасива                                                                     </t>
  </si>
  <si>
    <t xml:space="preserve">Обавезе за основна средства у закупу                                                                 </t>
  </si>
  <si>
    <t xml:space="preserve">Обавезе за примљену туђу робу и материјал                                                                </t>
  </si>
  <si>
    <t xml:space="preserve">Обавезе за робу у јавном складишту                                                                 </t>
  </si>
  <si>
    <t xml:space="preserve">Обавезе за робу у комисиону                                                                  </t>
  </si>
  <si>
    <t xml:space="preserve">Обавезе за материјале примљене на обраду и дораду                                                               </t>
  </si>
  <si>
    <t xml:space="preserve">Обавезе за хартије од вредности ван промета                                                                </t>
  </si>
  <si>
    <t xml:space="preserve">Обавезе за авале и остале гаранције                                                                 </t>
  </si>
  <si>
    <t xml:space="preserve">Остала ванбилансна пасива                                                                    </t>
  </si>
  <si>
    <t xml:space="preserve">Текући расходи                                                                     </t>
  </si>
  <si>
    <t xml:space="preserve">Расходи за запослене                                                                    </t>
  </si>
  <si>
    <t xml:space="preserve">Плате, додаци и накнаде запослених (зараде)                                                                 </t>
  </si>
  <si>
    <t xml:space="preserve">Плате, додаци и накнаде запослених                                                                  </t>
  </si>
  <si>
    <t xml:space="preserve">Плате по основу цене рада                                                                  </t>
  </si>
  <si>
    <t xml:space="preserve">Додатак за рад дужи од пуног радног времена                                                               </t>
  </si>
  <si>
    <t xml:space="preserve">Додатак за рад на дан државног и верског празника                                                              </t>
  </si>
  <si>
    <t xml:space="preserve">Додатак за рад ноћу                                                                   </t>
  </si>
  <si>
    <t xml:space="preserve">Додатак за време проведено на раду (минули рад)                                                               </t>
  </si>
  <si>
    <t xml:space="preserve">Теренски додатак                                                                     </t>
  </si>
  <si>
    <t xml:space="preserve">Накнада зараде за време привремене спречености за рад до 30 дана услед болести                                                          </t>
  </si>
  <si>
    <t xml:space="preserve">Накнада зараде за време одсуствовања са рада на дан празника који је нерадни дан, годишњег одмора, плаћеног одсуства, војне вежбе и одазивања на позив државног органа                                             </t>
  </si>
  <si>
    <t xml:space="preserve">Остали додаци и накнаде запосленима                                                                  </t>
  </si>
  <si>
    <t xml:space="preserve">Плате приправника                                                                     </t>
  </si>
  <si>
    <t xml:space="preserve">Плате приправника које плаћа послодавац                                                                  </t>
  </si>
  <si>
    <t xml:space="preserve">Плате приправника које плаћа национална служба за запошљавање                                                               </t>
  </si>
  <si>
    <t xml:space="preserve">Плате привремено запослених                                                                    </t>
  </si>
  <si>
    <t xml:space="preserve">Плате по основу судских пресуда                                                                  </t>
  </si>
  <si>
    <t xml:space="preserve">Накнада штете запослених                                                                    </t>
  </si>
  <si>
    <t xml:space="preserve">Накнада штете запосленом за неискоришћени годишњи одмор                                                                </t>
  </si>
  <si>
    <t xml:space="preserve">Остале накнаде штете запосленом                                                                   </t>
  </si>
  <si>
    <t xml:space="preserve">Остале исплате зарада за специјалне задатке или пројекте                                                               </t>
  </si>
  <si>
    <t xml:space="preserve">Социјални доприноси на терет послодавца                                                                  </t>
  </si>
  <si>
    <t xml:space="preserve">Допринос за пензијско и инвалидско осигурање                                                                 </t>
  </si>
  <si>
    <t xml:space="preserve">Допринос за добровољно пензијско и инвалидско осигурање                                                                </t>
  </si>
  <si>
    <t xml:space="preserve">Допринос за пензијско и инвалидско осигурање – за радни стаж који се рачуна са увећаним доприносом                                                       </t>
  </si>
  <si>
    <t xml:space="preserve">Допринос за здравствено осигурање                                                                   </t>
  </si>
  <si>
    <t xml:space="preserve">Допринос за добровољно здравствено осигурање                                                                  </t>
  </si>
  <si>
    <t xml:space="preserve">Допринос за незапосленост                                                                    </t>
  </si>
  <si>
    <t xml:space="preserve">Накнаде у натури                                                                    </t>
  </si>
  <si>
    <t xml:space="preserve">Оброци (храна)                                                                     </t>
  </si>
  <si>
    <t xml:space="preserve">Пиће                                                                      </t>
  </si>
  <si>
    <t xml:space="preserve">Остале накнаде у натури у смислу заштите здравља запослених                                                              </t>
  </si>
  <si>
    <t xml:space="preserve">Обезбеђивање стамбеног простора запосленима                                                                   </t>
  </si>
  <si>
    <t xml:space="preserve">Дуготрајна роба                                                                     </t>
  </si>
  <si>
    <t xml:space="preserve">Возила за приватне и пословне потребе                                                                 </t>
  </si>
  <si>
    <t xml:space="preserve">Остала дуготрајна роба                                                                    </t>
  </si>
  <si>
    <t xml:space="preserve">Роба и услуге које обезбеђује послодавац                                                                 </t>
  </si>
  <si>
    <t xml:space="preserve">Одмаралишта, спортски и рекреациони објекти                                                                  </t>
  </si>
  <si>
    <t xml:space="preserve">Поклони за децу запослених                                                                   </t>
  </si>
  <si>
    <t xml:space="preserve">Превоз на посао и са посла (маркица)                                                                </t>
  </si>
  <si>
    <t xml:space="preserve">Паркирање                                                                      </t>
  </si>
  <si>
    <t xml:space="preserve">Дечији вртић који плаћа послодавац                                                                  </t>
  </si>
  <si>
    <t xml:space="preserve">Износ разлике између редовне и снижене каматне стопе код давања кредита запосленима                                                           </t>
  </si>
  <si>
    <t xml:space="preserve">Социјална давања запосленима                                                                    </t>
  </si>
  <si>
    <t xml:space="preserve">Исплата накнада за време одсуствовања с посла на терет фондова                                                             </t>
  </si>
  <si>
    <t xml:space="preserve">Породиљско боловање                                                                     </t>
  </si>
  <si>
    <t xml:space="preserve">Боловање преко 30 дана                                                                   </t>
  </si>
  <si>
    <t xml:space="preserve">Инвалидност рада другог степена                                                                   </t>
  </si>
  <si>
    <t xml:space="preserve">Расходи за образовање деце запослених                                                                  </t>
  </si>
  <si>
    <t xml:space="preserve">Отпремнине и помоћи                                                                    </t>
  </si>
  <si>
    <t xml:space="preserve">Отпремнина приликом одласка у пензију                                                                  </t>
  </si>
  <si>
    <t xml:space="preserve">Отпремнина у случају отпуштања с посла                                                                 </t>
  </si>
  <si>
    <t xml:space="preserve">Помоћ у случају смрти запосленог или члана уже породице                                                              </t>
  </si>
  <si>
    <t xml:space="preserve">Помоћ у медицинском лечењу запосленог или чланова уже породице и друге помоћи запосленом                                                          </t>
  </si>
  <si>
    <t xml:space="preserve">Помоћ у медицинском лечењу запосленог или члана уже породице                                                              </t>
  </si>
  <si>
    <t xml:space="preserve">Помоћ у случају оштећења или уништења имовине                                                                </t>
  </si>
  <si>
    <t xml:space="preserve">Остале помоћи запосленим радницима                                                                   </t>
  </si>
  <si>
    <t xml:space="preserve">Накнаде трошкова за запослене                                                                   </t>
  </si>
  <si>
    <t xml:space="preserve">Накнаде трошкова за одвојен живот од породице                                                                </t>
  </si>
  <si>
    <t xml:space="preserve">Накнаде трошкова за превоз на посао и са посла                                                              </t>
  </si>
  <si>
    <t xml:space="preserve">Накнаде трошкова за смештај изабраних, постављених и именованих лица                                                              </t>
  </si>
  <si>
    <t xml:space="preserve">Накнаде за селидбене трошкове запослених                                                                  </t>
  </si>
  <si>
    <t xml:space="preserve">Остале накнаде трошкова запослених                                                                   </t>
  </si>
  <si>
    <t xml:space="preserve">Награде запосленима и остали посебни расходи                                                                 </t>
  </si>
  <si>
    <t xml:space="preserve">Награде запосленима                                                                     </t>
  </si>
  <si>
    <t xml:space="preserve">Јубиларне награде                                                                     </t>
  </si>
  <si>
    <t xml:space="preserve">Награде за посебне резултате рада                                                                  </t>
  </si>
  <si>
    <t xml:space="preserve">Остале награде запосленима                                                                    </t>
  </si>
  <si>
    <t xml:space="preserve">Бонуси                                                                      </t>
  </si>
  <si>
    <t xml:space="preserve">Бонуси за државне празнике                                                                   </t>
  </si>
  <si>
    <t xml:space="preserve">Накнаде члановима управних, надзорних одбора и комисија                                                                </t>
  </si>
  <si>
    <t xml:space="preserve">Накнаде члановима управних и надзорних одбора                                                                 </t>
  </si>
  <si>
    <t xml:space="preserve">Накнаде члановима комисија                                                                    </t>
  </si>
  <si>
    <t xml:space="preserve">Посланички додатак                                                                     </t>
  </si>
  <si>
    <t xml:space="preserve">Судијски додатак                                                                     </t>
  </si>
  <si>
    <t xml:space="preserve">Коришћење услуга и роба                                                                   </t>
  </si>
  <si>
    <t xml:space="preserve">Стални трошкови                                                                     </t>
  </si>
  <si>
    <t xml:space="preserve">Трошкови платног промета и банкарских услуга                                                                 </t>
  </si>
  <si>
    <t xml:space="preserve">Трошкови платног промета                                                                    </t>
  </si>
  <si>
    <t xml:space="preserve">Трошкови банкарских услуга                                                                    </t>
  </si>
  <si>
    <t xml:space="preserve">Енергетске услуге                                                                     </t>
  </si>
  <si>
    <t xml:space="preserve">Услуге за електричну енергију                                                                   </t>
  </si>
  <si>
    <t xml:space="preserve">Трошкови грејања                                                                     </t>
  </si>
  <si>
    <t xml:space="preserve">Природни гас                                                                     </t>
  </si>
  <si>
    <t xml:space="preserve">Угаљ                                                                      </t>
  </si>
  <si>
    <t xml:space="preserve">Дрво                                                                      </t>
  </si>
  <si>
    <t xml:space="preserve">Лож-Уље                                                                      </t>
  </si>
  <si>
    <t xml:space="preserve">Централно грејање                                                                     </t>
  </si>
  <si>
    <t xml:space="preserve">Комуналне услуге                                                                     </t>
  </si>
  <si>
    <t xml:space="preserve">Услуге водовода и канализације                                                                   </t>
  </si>
  <si>
    <t xml:space="preserve">Услуге редовног одржавања и старања                                                                  </t>
  </si>
  <si>
    <t xml:space="preserve">Дератизација                                                                      </t>
  </si>
  <si>
    <t xml:space="preserve">Димњачарске услуге                                                                     </t>
  </si>
  <si>
    <t xml:space="preserve">Услуга заштите имовине                                                                    </t>
  </si>
  <si>
    <t xml:space="preserve">Одвоз отпада                                                                     </t>
  </si>
  <si>
    <t xml:space="preserve">Услуге чишћења                                                                     </t>
  </si>
  <si>
    <t xml:space="preserve">Остале комуналне услуге                                                                    </t>
  </si>
  <si>
    <t xml:space="preserve">Допринос за коришћење градског земљишта и слично                                                                </t>
  </si>
  <si>
    <t xml:space="preserve">Допринос за коришћење вода                                                                   </t>
  </si>
  <si>
    <t xml:space="preserve">Услуге комуникација                                                                     </t>
  </si>
  <si>
    <t xml:space="preserve">Телефони                                                                      </t>
  </si>
  <si>
    <t xml:space="preserve">Телефон, телекс и телефакс                                                                   </t>
  </si>
  <si>
    <t xml:space="preserve">Интернет и слично                                                                    </t>
  </si>
  <si>
    <t xml:space="preserve">Претплата на пејџер                                                                    </t>
  </si>
  <si>
    <t xml:space="preserve">Услуге мобилног телефона                                                                    </t>
  </si>
  <si>
    <t xml:space="preserve">Остале услуге комуникације                                                                    </t>
  </si>
  <si>
    <t xml:space="preserve">Услуге поште и доставе                                                                   </t>
  </si>
  <si>
    <t xml:space="preserve">Пошта                                                                      </t>
  </si>
  <si>
    <t xml:space="preserve">Услуге доставе                                                                     </t>
  </si>
  <si>
    <t xml:space="preserve">Остале птт услуге                                                                    </t>
  </si>
  <si>
    <t xml:space="preserve">Трошкови осигурања                                                                     </t>
  </si>
  <si>
    <t xml:space="preserve">Осигурање имовине                                                                     </t>
  </si>
  <si>
    <t xml:space="preserve">Осигурање зграда                                                                     </t>
  </si>
  <si>
    <t xml:space="preserve">Осигурање возила                                                                     </t>
  </si>
  <si>
    <t xml:space="preserve">Осигурање опреме                                                                     </t>
  </si>
  <si>
    <t xml:space="preserve">Осигурање остале дугорочне имовине                                                                   </t>
  </si>
  <si>
    <t xml:space="preserve">Осигурање запослених                                                                     </t>
  </si>
  <si>
    <t xml:space="preserve">Осигурање запослених у случају несреће на раду                                                                </t>
  </si>
  <si>
    <t xml:space="preserve">Здравствено осигурање запослених                                                                    </t>
  </si>
  <si>
    <t xml:space="preserve">Осигурање од одговорности према трећим лицима                                                                 </t>
  </si>
  <si>
    <t xml:space="preserve">Закуп имовине и опреме                                                                   </t>
  </si>
  <si>
    <t xml:space="preserve">Закуп имовине                                                                     </t>
  </si>
  <si>
    <t xml:space="preserve">Закуп стамбеног простора                                                                    </t>
  </si>
  <si>
    <t xml:space="preserve">Закуп нестамбеног простора                                                                    </t>
  </si>
  <si>
    <t xml:space="preserve">Закуп осталог простора                                                                    </t>
  </si>
  <si>
    <t xml:space="preserve">Закуп опреме                                                                     </t>
  </si>
  <si>
    <t xml:space="preserve">Закуп опреме за саобраћај                                                                   </t>
  </si>
  <si>
    <t xml:space="preserve">Закуп административне опреме                                                                    </t>
  </si>
  <si>
    <t xml:space="preserve">Закуп опреме за пољопривреду                                                                   </t>
  </si>
  <si>
    <t xml:space="preserve">Закуп опреме за очување животне средине и науку                                                               </t>
  </si>
  <si>
    <t xml:space="preserve">Закуп медицинске и лабораторијске опреме                                                                  </t>
  </si>
  <si>
    <t xml:space="preserve">Закуп опреме за образовање, културу и спорт                                                                </t>
  </si>
  <si>
    <t xml:space="preserve">Закуп опреме за војску                                                                   </t>
  </si>
  <si>
    <t xml:space="preserve">Закуп опреме за јавну безбедност                                                                  </t>
  </si>
  <si>
    <t xml:space="preserve">Закуп опреме за производњу, моторна, непокретна и немоторна                                                               </t>
  </si>
  <si>
    <t xml:space="preserve">Остали трошкови                                                                     </t>
  </si>
  <si>
    <t xml:space="preserve">Радио – телевизијска претплата                                                                   </t>
  </si>
  <si>
    <t xml:space="preserve">Остали непоменути трошкови                                                                    </t>
  </si>
  <si>
    <t xml:space="preserve">Трошкови путовања                                                                     </t>
  </si>
  <si>
    <t xml:space="preserve">Трошкови службених путовања у земљи                                                                  </t>
  </si>
  <si>
    <t xml:space="preserve">Трошкови дневница (исхране) на службеном путу                                                                 </t>
  </si>
  <si>
    <t xml:space="preserve">Трошкови превоза на службеном путу у земљи (авион, аутобус, воз, и сл.)                                                           </t>
  </si>
  <si>
    <t xml:space="preserve">Трошкови смештаја на службеном путу                                                                  </t>
  </si>
  <si>
    <t xml:space="preserve">Остале услуге службеног превоза                                                                   </t>
  </si>
  <si>
    <t xml:space="preserve">Превоз у јавном саобраћају                                                                   </t>
  </si>
  <si>
    <t xml:space="preserve">Такси превоз                                                                     </t>
  </si>
  <si>
    <t xml:space="preserve">Превоз у граду по службеном послу                                                                 </t>
  </si>
  <si>
    <t xml:space="preserve">Накнада за употребу сопственог возила                                                                  </t>
  </si>
  <si>
    <t xml:space="preserve">Остали трошкови за пословна путовања у земљи                                                                </t>
  </si>
  <si>
    <t xml:space="preserve">Трошкови службених путовања у иностранство                                                                  </t>
  </si>
  <si>
    <t xml:space="preserve">Трошкови дневница за службени пут у иностранство                                                                </t>
  </si>
  <si>
    <t xml:space="preserve">Трошкови превоза за службени пут у иностранство (авион, аутобус, воз и сл.)                                                           </t>
  </si>
  <si>
    <t xml:space="preserve">Трошкови смештаја на службеном путу у иностранство                                                                </t>
  </si>
  <si>
    <t xml:space="preserve">Услуге превоза у јавном саобраћају                                                                  </t>
  </si>
  <si>
    <t xml:space="preserve">Остали трошкови за пословна путовања у иностранство                                                                </t>
  </si>
  <si>
    <t xml:space="preserve">Трошкови путовања у оквиру редовног рада                                                                 </t>
  </si>
  <si>
    <t xml:space="preserve">Дневница (исхрана) за путовање у оквиру редовног рада                                                               </t>
  </si>
  <si>
    <t xml:space="preserve">Трошкови путовања у оквиру редовног рада (авион, аутобус, воз)                                                              </t>
  </si>
  <si>
    <t xml:space="preserve">Трошкови смештаја на путовању у оквиру редовног рада                                                               </t>
  </si>
  <si>
    <t xml:space="preserve">Остале услуге путовања у оквиру редовног рада                                                                </t>
  </si>
  <si>
    <t xml:space="preserve">Превоз средствима јавног превоза                                                                   </t>
  </si>
  <si>
    <t xml:space="preserve">Накнада за превоз у граду по службеном послу                                                               </t>
  </si>
  <si>
    <t xml:space="preserve">Накнада за коришћење сопственог аутомобила                                                                  </t>
  </si>
  <si>
    <t xml:space="preserve">Остали трошкови превоза у оквиру редовног рада                                                                </t>
  </si>
  <si>
    <t xml:space="preserve">Трошкови путовања ученика                                                                    </t>
  </si>
  <si>
    <t xml:space="preserve">Превоз ученика                                                                     </t>
  </si>
  <si>
    <t xml:space="preserve">Трошкови путовања ученика који учествују на републичким и међународним такмичењима                                                             </t>
  </si>
  <si>
    <t xml:space="preserve">Остали трошкови транспорта                                                                    </t>
  </si>
  <si>
    <t xml:space="preserve">Трошкови селидбе и превоза                                                                   </t>
  </si>
  <si>
    <t xml:space="preserve">Услуге по уговору                                                                    </t>
  </si>
  <si>
    <t xml:space="preserve">Административне услуге                                                                     </t>
  </si>
  <si>
    <t xml:space="preserve">Услуге превођења                                                                     </t>
  </si>
  <si>
    <t xml:space="preserve">Секретарске услуге                                                                     </t>
  </si>
  <si>
    <t xml:space="preserve">Рачуноводствене услуге                                                                     </t>
  </si>
  <si>
    <t xml:space="preserve">Остале административне услуге                                                                    </t>
  </si>
  <si>
    <t xml:space="preserve">Компјутерске услуге                                                                     </t>
  </si>
  <si>
    <t xml:space="preserve">Услуге за израду и одржавање софтвера                                                                 </t>
  </si>
  <si>
    <t xml:space="preserve">Услуге за израду софтвера                                                                   </t>
  </si>
  <si>
    <t xml:space="preserve">Услуге за одржавање софтвера                                                                   </t>
  </si>
  <si>
    <t xml:space="preserve">Услуге одржавања рачунара                                                                    </t>
  </si>
  <si>
    <t xml:space="preserve">Остале компјутерске услуге                                                                    </t>
  </si>
  <si>
    <t xml:space="preserve">Услуге образовања и усавршавања запослених                                                                  </t>
  </si>
  <si>
    <t xml:space="preserve">Котизације                                                                      </t>
  </si>
  <si>
    <t xml:space="preserve">Котизација за семинаре                                                                    </t>
  </si>
  <si>
    <t xml:space="preserve">Котизација за стручна саветовања                                                                   </t>
  </si>
  <si>
    <t xml:space="preserve">Котизација за учествовање на сајмовима                                                                  </t>
  </si>
  <si>
    <t xml:space="preserve">Друге услуге образовања и усавршавања запослених                                                                 </t>
  </si>
  <si>
    <t xml:space="preserve">Издаци за стручне испите                                                                   </t>
  </si>
  <si>
    <t xml:space="preserve">Остали издаци за стручно образовање                                                                  </t>
  </si>
  <si>
    <t xml:space="preserve">Услуге информисања                                                                     </t>
  </si>
  <si>
    <t xml:space="preserve">Услуге штампања                                                                     </t>
  </si>
  <si>
    <t xml:space="preserve">Услуге штампања билтена                                                                    </t>
  </si>
  <si>
    <t xml:space="preserve">Услуге штампања часописа                                                                    </t>
  </si>
  <si>
    <t xml:space="preserve">Услуге штампања публикација                                                                    </t>
  </si>
  <si>
    <t xml:space="preserve">Остале услуге штампања                                                                    </t>
  </si>
  <si>
    <t xml:space="preserve">Услуге информисања јавности и односа са јавношћу                                                                </t>
  </si>
  <si>
    <t xml:space="preserve">Услуге информисања јавности                                                                    </t>
  </si>
  <si>
    <t xml:space="preserve">Односи са јавношћу                                                                    </t>
  </si>
  <si>
    <t xml:space="preserve">Услуге рекламе и пропаганде                                                                   </t>
  </si>
  <si>
    <t xml:space="preserve">Објављивање тендера и информативних огласа                                                                  </t>
  </si>
  <si>
    <t xml:space="preserve">Остале услуге рекламе и пропаганде                                                                  </t>
  </si>
  <si>
    <t xml:space="preserve">Медијске услуге                                                                     </t>
  </si>
  <si>
    <t xml:space="preserve">Медијске услуге радија и телевизије                                                                  </t>
  </si>
  <si>
    <t xml:space="preserve">Остале медијске услуге                                                                    </t>
  </si>
  <si>
    <t xml:space="preserve">Стручне услуге                                                                     </t>
  </si>
  <si>
    <t xml:space="preserve">Услуге ревизије                                                                     </t>
  </si>
  <si>
    <t xml:space="preserve">Адвокатске услуге                                                                     </t>
  </si>
  <si>
    <t xml:space="preserve">Правно заступање пред домаћим судовима                                                                  </t>
  </si>
  <si>
    <t xml:space="preserve">Правно заступање пред међународним судовима                                                                  </t>
  </si>
  <si>
    <t xml:space="preserve">Правне услуге                                                                     </t>
  </si>
  <si>
    <t xml:space="preserve">Услуге вештачења                                                                     </t>
  </si>
  <si>
    <t xml:space="preserve">Услуге поротника                                                                     </t>
  </si>
  <si>
    <t xml:space="preserve">Остале правне услуге                                                                    </t>
  </si>
  <si>
    <t xml:space="preserve">Финансијске услуге                                                                     </t>
  </si>
  <si>
    <t xml:space="preserve">Услуге финансијских саветника                                                                    </t>
  </si>
  <si>
    <t xml:space="preserve">Остале финансијске услуге                                                                    </t>
  </si>
  <si>
    <t xml:space="preserve">Остале стручне услуге                                                                    </t>
  </si>
  <si>
    <t xml:space="preserve">Услуге за домаћинство и угоститељство                                                                  </t>
  </si>
  <si>
    <t xml:space="preserve">Услуге за домаћинство                                                                    </t>
  </si>
  <si>
    <t xml:space="preserve">Прање веша                                                                     </t>
  </si>
  <si>
    <t xml:space="preserve">Хемијско чишћење                                                                     </t>
  </si>
  <si>
    <t xml:space="preserve">Угоститељске услуге                                                                     </t>
  </si>
  <si>
    <t xml:space="preserve">Репрезентација                                                                      </t>
  </si>
  <si>
    <t xml:space="preserve">Поклони                                                                      </t>
  </si>
  <si>
    <t xml:space="preserve">Остале опште услуге                                                                    </t>
  </si>
  <si>
    <t xml:space="preserve">Специјализоване услуге                                                                     </t>
  </si>
  <si>
    <t xml:space="preserve">Пољопривредне услуге                                                                     </t>
  </si>
  <si>
    <t xml:space="preserve">Услуге заштите животиња и биља                                                                  </t>
  </si>
  <si>
    <t xml:space="preserve">Услуге ветеринарског прегледа и вакцинације                                                                  </t>
  </si>
  <si>
    <t xml:space="preserve">Заштита биља                                                                     </t>
  </si>
  <si>
    <t xml:space="preserve">Испитивање узорака земљишта и вештачког ђубрива                                                                 </t>
  </si>
  <si>
    <t xml:space="preserve">Остале услуге заштите животиња и биља                                                                 </t>
  </si>
  <si>
    <t xml:space="preserve">Услуге образовања, културе и спорта                                                                  </t>
  </si>
  <si>
    <t xml:space="preserve">Услуге образовања                                                                     </t>
  </si>
  <si>
    <t xml:space="preserve">Образовање деце грађана који живе у иностранству                                                                </t>
  </si>
  <si>
    <t xml:space="preserve">Услуге предшколског образовања                                                                    </t>
  </si>
  <si>
    <t xml:space="preserve">Услуге културе                                                                     </t>
  </si>
  <si>
    <t xml:space="preserve">Услуге спорта                                                                     </t>
  </si>
  <si>
    <t xml:space="preserve">Медицинске услуге                                                                     </t>
  </si>
  <si>
    <t xml:space="preserve">Здравствена заштита по уговору                                                                   </t>
  </si>
  <si>
    <t xml:space="preserve">Здравствена заштита по конвенцији                                                                   </t>
  </si>
  <si>
    <t xml:space="preserve">Услуге јавног здравства – инспекција и анализа                                                                </t>
  </si>
  <si>
    <t xml:space="preserve">Лабораторијске услуге                                                                     </t>
  </si>
  <si>
    <t xml:space="preserve">Остале медицинске услуге                                                                    </t>
  </si>
  <si>
    <t xml:space="preserve">Услуге одржавања аутопутева                                                                    </t>
  </si>
  <si>
    <t xml:space="preserve">Услуге одржавања националних паркова и природних површина                                                                </t>
  </si>
  <si>
    <t xml:space="preserve">Услуге очувања животне средине, науке и геодетске услуге                                                               </t>
  </si>
  <si>
    <t xml:space="preserve">Услуге очувања животне средине                                                                   </t>
  </si>
  <si>
    <t xml:space="preserve">Услуге науке                                                                     </t>
  </si>
  <si>
    <t xml:space="preserve">Геодетске услуге                                                                     </t>
  </si>
  <si>
    <t xml:space="preserve">Остале специјализоване услуге                                                                    </t>
  </si>
  <si>
    <t xml:space="preserve">Текуће поправке и одржавање                                                                   </t>
  </si>
  <si>
    <t xml:space="preserve">Текуће поправке и одржавање зграда и објеката                                                                </t>
  </si>
  <si>
    <t xml:space="preserve">Текуће поправке и одржавање зграда                                                                  </t>
  </si>
  <si>
    <t xml:space="preserve">Зидарски радови                                                                     </t>
  </si>
  <si>
    <t xml:space="preserve">Столарски радови                                                                     </t>
  </si>
  <si>
    <t xml:space="preserve">Молерски радови                                                                     </t>
  </si>
  <si>
    <t xml:space="preserve">Радови на крову                                                                    </t>
  </si>
  <si>
    <t xml:space="preserve">Радови на водоводу и канализацији                                                                  </t>
  </si>
  <si>
    <t xml:space="preserve">Електричне инсталације                                                                     </t>
  </si>
  <si>
    <t xml:space="preserve">Радови на комуникацијским инсталацијама                                                                   </t>
  </si>
  <si>
    <t xml:space="preserve">Остале услуге и материјали за текуће поправке и одржавање зграда                                                             </t>
  </si>
  <si>
    <t xml:space="preserve">Текуће поправке и одржавање осталих објеката                                                                 </t>
  </si>
  <si>
    <t xml:space="preserve">Текуће поправке и одржавање опреме                                                                  </t>
  </si>
  <si>
    <t xml:space="preserve">Текуће поправке и одржавање опреме за саобраћај                                                                </t>
  </si>
  <si>
    <t xml:space="preserve">Механичке поправке                                                                     </t>
  </si>
  <si>
    <t xml:space="preserve">Поправке електричне и електронске опреме                                                                  </t>
  </si>
  <si>
    <t xml:space="preserve">Лимарски радови на возилима                                                                   </t>
  </si>
  <si>
    <t xml:space="preserve">Остале поправке и одржавање опреме за саобраћај                                                                </t>
  </si>
  <si>
    <t xml:space="preserve">Текуће поправке и одржавање административне опреме                                                                 </t>
  </si>
  <si>
    <t xml:space="preserve">Намештај                                                                      </t>
  </si>
  <si>
    <t xml:space="preserve">Опрема за комуникацију                                                                    </t>
  </si>
  <si>
    <t xml:space="preserve">Биротехничка опрема                                                                     </t>
  </si>
  <si>
    <t xml:space="preserve">Уградна опрема                                                                     </t>
  </si>
  <si>
    <t xml:space="preserve">Остале поправке и одржавање административне опреме                                                                 </t>
  </si>
  <si>
    <t xml:space="preserve">Текуће поправке и одржавање опреме за пољопривреду                                                                </t>
  </si>
  <si>
    <t xml:space="preserve">Текуће поправке и одржавање опреме за очување животне средине и науку                                                            </t>
  </si>
  <si>
    <t xml:space="preserve">Текуће поправке и одржавање опреме за очување животне средине                                                              </t>
  </si>
  <si>
    <t xml:space="preserve">Текуће поправке и одржавање опреме за науку                                                                </t>
  </si>
  <si>
    <t xml:space="preserve">Текуће поправке и одржавање медицинске и лабораторијске опреме                                                               </t>
  </si>
  <si>
    <t xml:space="preserve">Текуће поправке и одржавање медицинске опреме                                                                 </t>
  </si>
  <si>
    <t xml:space="preserve">Текуће поправке и одржавање лабораторијске опреме                                                                 </t>
  </si>
  <si>
    <t xml:space="preserve">Текуће поправке и одржавање мерних и контролних инструмената                                                               </t>
  </si>
  <si>
    <t xml:space="preserve">Текуће поправке и одржавање опреме за образовање, културу и спорт                                                             </t>
  </si>
  <si>
    <t xml:space="preserve">Текуће поправке и одржавање опреме за образовање                                                                </t>
  </si>
  <si>
    <t xml:space="preserve">Текуће поправке и одржавање опреме за културу                                                                </t>
  </si>
  <si>
    <t xml:space="preserve">Текуће поправке и одржавање опреме за спорт                                                                </t>
  </si>
  <si>
    <t xml:space="preserve">Текуће поправке и одржавање опреме за војску                                                                </t>
  </si>
  <si>
    <t xml:space="preserve">Текуће поправке и одржавање опреме за јавну безбедност                                                               </t>
  </si>
  <si>
    <t xml:space="preserve">Текуће поправке и одржавање производне, моторне, непокретне и немоторне опреме                                                             </t>
  </si>
  <si>
    <t xml:space="preserve">Материјал                                                                      </t>
  </si>
  <si>
    <t xml:space="preserve">Административни материјал                                                                     </t>
  </si>
  <si>
    <t xml:space="preserve">Канцеларијски материјал                                                                     </t>
  </si>
  <si>
    <t xml:space="preserve">Одећа, обућа и униформе                                                                   </t>
  </si>
  <si>
    <t xml:space="preserve">Расходи за радну униформу                                                                   </t>
  </si>
  <si>
    <t xml:space="preserve">Службена одећа                                                                     </t>
  </si>
  <si>
    <t xml:space="preserve">Униформе                                                                      </t>
  </si>
  <si>
    <t xml:space="preserve">Хтз опрема                                                                     </t>
  </si>
  <si>
    <t xml:space="preserve">Остали расходи за одећу, обућу и униформе                                                                </t>
  </si>
  <si>
    <t xml:space="preserve">Биодекорација                                                                      </t>
  </si>
  <si>
    <t xml:space="preserve">Цвеће и зеленило                                                                    </t>
  </si>
  <si>
    <t xml:space="preserve">Остали административни материјал                                                                    </t>
  </si>
  <si>
    <t xml:space="preserve">Материјали за пољопривреду                                                                    </t>
  </si>
  <si>
    <t xml:space="preserve">Храна за животиње                                                                    </t>
  </si>
  <si>
    <t xml:space="preserve">Стока за експерименте                                                                    </t>
  </si>
  <si>
    <t xml:space="preserve">Природна и вештачка ђубрива и слично                                                                 </t>
  </si>
  <si>
    <t xml:space="preserve">Семе                                                                      </t>
  </si>
  <si>
    <t xml:space="preserve">Биљке                                                                      </t>
  </si>
  <si>
    <t xml:space="preserve">Остали материјал за пољопривреду                                                                   </t>
  </si>
  <si>
    <t xml:space="preserve">Материјали за образовање и усавршавање запослених                                                                 </t>
  </si>
  <si>
    <t xml:space="preserve">Публикације, часописи и гласила                                                                   </t>
  </si>
  <si>
    <t xml:space="preserve">Стручна литература за редовне потребе запослених                                                                 </t>
  </si>
  <si>
    <t xml:space="preserve">Стручна литература за образовање запослених                                                                  </t>
  </si>
  <si>
    <t xml:space="preserve">Материјали за образовање                                                                    </t>
  </si>
  <si>
    <t xml:space="preserve">Материјали за саобраћај                                                                    </t>
  </si>
  <si>
    <t xml:space="preserve">Издаци за гориво                                                                    </t>
  </si>
  <si>
    <t xml:space="preserve">Бензин                                                                      </t>
  </si>
  <si>
    <t xml:space="preserve">Дизел гориво                                                                     </t>
  </si>
  <si>
    <t xml:space="preserve">Уља и мазива                                                                    </t>
  </si>
  <si>
    <t xml:space="preserve">Остали материјал за превозна средства                                                                  </t>
  </si>
  <si>
    <t xml:space="preserve">Материјали за очување животне средине и науку                                                                </t>
  </si>
  <si>
    <t xml:space="preserve">Материјали за метеоролошка мерења                                                                   </t>
  </si>
  <si>
    <t xml:space="preserve">Материјали за истраживање и развој                                                                  </t>
  </si>
  <si>
    <t xml:space="preserve">Материјали за тестирање ваздуха                                                                   </t>
  </si>
  <si>
    <t xml:space="preserve">Материјали за тестирање воде                                                                   </t>
  </si>
  <si>
    <t xml:space="preserve">Материјали за тестирање тла                                                                   </t>
  </si>
  <si>
    <t xml:space="preserve">Остали материјали за очување животне средине и науку                                                               </t>
  </si>
  <si>
    <t xml:space="preserve">Материјали за образовање, културу и спорт                                                                 </t>
  </si>
  <si>
    <t xml:space="preserve">Материјали за културу                                                                    </t>
  </si>
  <si>
    <t xml:space="preserve">Материјали за спорт                                                                    </t>
  </si>
  <si>
    <t xml:space="preserve">Медицински и лабораторијски материјали                                                                   </t>
  </si>
  <si>
    <t xml:space="preserve">Материјали за медицинске тестове                                                                   </t>
  </si>
  <si>
    <t xml:space="preserve">Материјали за лабораторијске тестове                                                                   </t>
  </si>
  <si>
    <t xml:space="preserve">Материјали за вакцинацију                                                                    </t>
  </si>
  <si>
    <t xml:space="preserve">Материјали за имунизацију                                                                    </t>
  </si>
  <si>
    <t xml:space="preserve">Лекови на рецепт                                                                    </t>
  </si>
  <si>
    <t xml:space="preserve">Ортопедски материјали                                                                     </t>
  </si>
  <si>
    <t xml:space="preserve">Остали медицински и лабораторијски материјали                                                                  </t>
  </si>
  <si>
    <t xml:space="preserve">Материјали за одржавање хигијене и угоститељство                                                                 </t>
  </si>
  <si>
    <t xml:space="preserve">Материјали за одржавање хигијене                                                                   </t>
  </si>
  <si>
    <t xml:space="preserve">Хемијска средства за чишћење                                                                   </t>
  </si>
  <si>
    <t xml:space="preserve">Инвентар за одржавање хигијене                                                                   </t>
  </si>
  <si>
    <t xml:space="preserve">Остали материјал за одржавање хигијене                                                                  </t>
  </si>
  <si>
    <t xml:space="preserve">Материјали за угоститељство                                                                    </t>
  </si>
  <si>
    <t xml:space="preserve">Храна                                                                      </t>
  </si>
  <si>
    <t xml:space="preserve">Пића                                                                      </t>
  </si>
  <si>
    <t xml:space="preserve">Намирнице за припремање хране                                                                   </t>
  </si>
  <si>
    <t xml:space="preserve">Остали материјали за угоститељство                                                                   </t>
  </si>
  <si>
    <t xml:space="preserve">Материјали за посебне намене                                                                   </t>
  </si>
  <si>
    <t xml:space="preserve">Потрошни материјал                                                                     </t>
  </si>
  <si>
    <t xml:space="preserve">Резервни делови                                                                     </t>
  </si>
  <si>
    <t xml:space="preserve">Алат и инвентар                                                                    </t>
  </si>
  <si>
    <t xml:space="preserve">Со за путеве                                                                    </t>
  </si>
  <si>
    <t xml:space="preserve">Остали материјали за посебне намене                                                                  </t>
  </si>
  <si>
    <t xml:space="preserve">Амортизација и употреба средстава за рад                                                                 </t>
  </si>
  <si>
    <t xml:space="preserve">Амортизација некретнина и опреме                                                                   </t>
  </si>
  <si>
    <t xml:space="preserve">Амортизација зграда и грађевинских објеката                                                                  </t>
  </si>
  <si>
    <t xml:space="preserve">Амортизација опреме                                                                     </t>
  </si>
  <si>
    <t xml:space="preserve">Амортизација осталих некретнина и опреме                                                                  </t>
  </si>
  <si>
    <t xml:space="preserve">Амортизација култивисане имовине                                                                    </t>
  </si>
  <si>
    <t/>
  </si>
  <si>
    <t xml:space="preserve">Употреба  драгоцености                                                                    </t>
  </si>
  <si>
    <t xml:space="preserve">Употреба драгоцености                                                                     </t>
  </si>
  <si>
    <t xml:space="preserve">Употреба природне имовине                                                                    </t>
  </si>
  <si>
    <t xml:space="preserve">Употреба земљишта                                                                     </t>
  </si>
  <si>
    <t xml:space="preserve">Употреба подземног блага                                                                    </t>
  </si>
  <si>
    <t xml:space="preserve">Употреба шума и вода                                                                   </t>
  </si>
  <si>
    <t xml:space="preserve">Употреба шума                                                                     </t>
  </si>
  <si>
    <t xml:space="preserve">Употреба вода                                                                     </t>
  </si>
  <si>
    <t xml:space="preserve">Амортизација нематеријалне имовине                                                                    </t>
  </si>
  <si>
    <t xml:space="preserve">Отплата камата и пратећи трошкови задуживања                                                                 </t>
  </si>
  <si>
    <t xml:space="preserve">Отплата  домаћих камата                                                                   </t>
  </si>
  <si>
    <t xml:space="preserve">Отплата камата на домаће хартије од вредности                                                                </t>
  </si>
  <si>
    <t xml:space="preserve">Отплата камата на домаће краткорочне хартије од вредности                                                               </t>
  </si>
  <si>
    <t xml:space="preserve">Отплата камата на домаће дугорочне хартије од вредности                                                               </t>
  </si>
  <si>
    <t xml:space="preserve">Отплата камата осталим нивоима власти                                                                  </t>
  </si>
  <si>
    <t xml:space="preserve">Отплата камата нивоу републике                                                                   </t>
  </si>
  <si>
    <t xml:space="preserve">Отплате камата нивоу територијалних аутономија                                                                  </t>
  </si>
  <si>
    <t xml:space="preserve">Отплата камата нивоу градова                                                                   </t>
  </si>
  <si>
    <t xml:space="preserve">Отплата камата нивоу општина                                                                   </t>
  </si>
  <si>
    <t xml:space="preserve">Отплата камата организацијама обавезног социјалног осигурања                                                                 </t>
  </si>
  <si>
    <t xml:space="preserve">Отплата камата републичком фонда за здравствено осигурање                                                                </t>
  </si>
  <si>
    <t xml:space="preserve">Отплата камата републичком фонду за пио                                                                 </t>
  </si>
  <si>
    <t xml:space="preserve">Отплата камата националној служби за запошљавање                                                                 </t>
  </si>
  <si>
    <t xml:space="preserve">Отплата камата домаћим јавним финансијским институцијама                                                                 </t>
  </si>
  <si>
    <t xml:space="preserve">Отплата камата нбс                                                                    </t>
  </si>
  <si>
    <t xml:space="preserve">Отплата камата осталим домаћим јавним финансијским институцијама                                                                </t>
  </si>
  <si>
    <t xml:space="preserve">Отплата камата домаћим пословним банкама                                                                  </t>
  </si>
  <si>
    <t xml:space="preserve">Отплата камата осталим домаћим кредиторима                                                                  </t>
  </si>
  <si>
    <t xml:space="preserve">Отплата камата домаћинствима у земљи                                                                  </t>
  </si>
  <si>
    <t xml:space="preserve">Отплата камата на домаће финансијске деривате                                                                 </t>
  </si>
  <si>
    <t xml:space="preserve">Отплата камата на домаће менице                                                                  </t>
  </si>
  <si>
    <t xml:space="preserve">Финансијске промене на финансијским лизинзима                                                                  </t>
  </si>
  <si>
    <t xml:space="preserve">Камате на куповине путем лизинга                                                                  </t>
  </si>
  <si>
    <t xml:space="preserve">Отплата страних камата                                                                    </t>
  </si>
  <si>
    <t xml:space="preserve">Отплата камата на хартије од вредности емитоване на иностраном финансијском тржишту                                                            </t>
  </si>
  <si>
    <t xml:space="preserve">Отплата камата на краткорочне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</si>
  <si>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</si>
  <si>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тржишту                                                            </t>
  </si>
  <si>
    <t xml:space="preserve">Отплата камата страним владама                                                                   </t>
  </si>
  <si>
    <t xml:space="preserve">Отплата камата париском клубу                                                                   </t>
  </si>
  <si>
    <t xml:space="preserve">Отплата камата страним увозно извозним банкама                                                                 </t>
  </si>
  <si>
    <t xml:space="preserve">Отплата камата осталим страним владама                                                                  </t>
  </si>
  <si>
    <t xml:space="preserve">Отплата камата мултилатералним институцијама                                                                   </t>
  </si>
  <si>
    <t xml:space="preserve">Отплата камата светској банци                                                                   </t>
  </si>
  <si>
    <t xml:space="preserve">Отплата камата ibrd                                                                    </t>
  </si>
  <si>
    <t xml:space="preserve">Отплата камата ebrd                                                                    </t>
  </si>
  <si>
    <t xml:space="preserve">Отплата камата eib                                                                    </t>
  </si>
  <si>
    <t xml:space="preserve">Отплата камата ceb                                                                    </t>
  </si>
  <si>
    <t xml:space="preserve">Отплата камата осталим мултилатералним институцијама                                                                  </t>
  </si>
  <si>
    <t xml:space="preserve">Отплата камата страним пословним банкама                                                                  </t>
  </si>
  <si>
    <t xml:space="preserve">Отплата камата лондонском клубу                                                                   </t>
  </si>
  <si>
    <t xml:space="preserve">Отплата камата осталим страним пословним банкама                                                                 </t>
  </si>
  <si>
    <t xml:space="preserve">Отплата камата осталим страним кредиторима                                                                  </t>
  </si>
  <si>
    <t xml:space="preserve">Отплата камата на стране финансијске деривате                                                                 </t>
  </si>
  <si>
    <t xml:space="preserve">Отплата камата по гаранцијама                                                                   </t>
  </si>
  <si>
    <t xml:space="preserve">Пратећи трошкови задуживања                                                                    </t>
  </si>
  <si>
    <t xml:space="preserve">Негативне курсне разлике                                                                    </t>
  </si>
  <si>
    <t xml:space="preserve">Казне за кашњење                                                                    </t>
  </si>
  <si>
    <t xml:space="preserve">Казне по решењу правосудних органа                                                                  </t>
  </si>
  <si>
    <t xml:space="preserve">Остале казне                                                                     </t>
  </si>
  <si>
    <t xml:space="preserve">Таксе које проистичу из задуживања                                                                  </t>
  </si>
  <si>
    <t xml:space="preserve">Субвенције                                                                      </t>
  </si>
  <si>
    <t xml:space="preserve">Субвенције јавним нефинансијским предузећима и организацијама                                                                 </t>
  </si>
  <si>
    <t xml:space="preserve">Текуће субвенције јавним нефинансијским предузећима и организацијама                                                                </t>
  </si>
  <si>
    <t xml:space="preserve">Текуће субвенције јавном градском саобраћају                                                                  </t>
  </si>
  <si>
    <t xml:space="preserve">Текуће субвенције  јавном железничком саобраћају                                                                 </t>
  </si>
  <si>
    <t xml:space="preserve">Текуће субвенције јавном железничком саобраћају за исплату зарада                                                               </t>
  </si>
  <si>
    <t xml:space="preserve">Текуће субвенције јавном железничком саобраћају за отплату камата                                                               </t>
  </si>
  <si>
    <t xml:space="preserve">Остале текуће субвенције  јавном железничком саобраћају                                                                </t>
  </si>
  <si>
    <t xml:space="preserve">Текуће субвенције за водопривреду                                                                   </t>
  </si>
  <si>
    <t xml:space="preserve">Текуће субвенције за пољопривреду                                                                   </t>
  </si>
  <si>
    <t xml:space="preserve">Текуће субвенције осталим јавним нефинансијским предузећима и организацијама                                                               </t>
  </si>
  <si>
    <t xml:space="preserve">Капиталне субвенције јавним нефинансијским предузећима и организацијама                                                                </t>
  </si>
  <si>
    <t xml:space="preserve">Капиталне субвенције јавном градском саобраћају                                                                  </t>
  </si>
  <si>
    <t xml:space="preserve">Капиталне субвенције јавном железничком саобраћају                                                                  </t>
  </si>
  <si>
    <t xml:space="preserve">Капиталне субвенције  јавном железничком саобраћају                                                                 </t>
  </si>
  <si>
    <t xml:space="preserve">Капиталне субвенције за водопривреду                                                                   </t>
  </si>
  <si>
    <t xml:space="preserve">Капиталне субвенције за пољопривреду                                                                   </t>
  </si>
  <si>
    <t xml:space="preserve">Капиталне субвенције осталим јавним нефинансијским предузећима и организацијама                                                               </t>
  </si>
  <si>
    <t xml:space="preserve">Субвенције приватним финансијским институцијама                                                                   </t>
  </si>
  <si>
    <t xml:space="preserve">Текуће субвенције приватним финансијским институцијама                                                                  </t>
  </si>
  <si>
    <t xml:space="preserve">Текуће субвенције пословним и трговачким банкама                                                                 </t>
  </si>
  <si>
    <t xml:space="preserve">Текуће субвенције осталим финансијским институцијама                                                                  </t>
  </si>
  <si>
    <t xml:space="preserve">Капиталне субвенције приватним финансијским институцијама                                                                  </t>
  </si>
  <si>
    <t xml:space="preserve">Капиталне субвенције пословним и трговачким банкама                                                                 </t>
  </si>
  <si>
    <t xml:space="preserve">Капиталне субвенције осталим финансијским институцијама                                                                  </t>
  </si>
  <si>
    <t xml:space="preserve">Субвенције јавним финансијским институцијама                                                                   </t>
  </si>
  <si>
    <t xml:space="preserve">Текуће субвенције јавним финансијским институцијама                                                                  </t>
  </si>
  <si>
    <t xml:space="preserve">Текуће субвенције  нбс                                                                   </t>
  </si>
  <si>
    <t xml:space="preserve">Текуће субвенције нбс                                                                    </t>
  </si>
  <si>
    <t xml:space="preserve">Текуће субвенције осталим јавним финансијским институцијама                                                                 </t>
  </si>
  <si>
    <t xml:space="preserve">Капиталне субвенције јавним финансијским институцијама                                                                  </t>
  </si>
  <si>
    <t xml:space="preserve">Капиталне субвенције нбс                                                                    </t>
  </si>
  <si>
    <t xml:space="preserve">Капиталне субвенције осталим јавним финансијским институцијама                                                                 </t>
  </si>
  <si>
    <t xml:space="preserve">Субвенције приватним предузећима                                                                    </t>
  </si>
  <si>
    <t xml:space="preserve">Текуће субвенције приватним предузећима                                                                   </t>
  </si>
  <si>
    <t xml:space="preserve">Капиталне субвенције приватним предузећима                                                                   </t>
  </si>
  <si>
    <t xml:space="preserve">Донације, дотације и трансфери                                                                   </t>
  </si>
  <si>
    <t xml:space="preserve">Донације страним владама                                                                    </t>
  </si>
  <si>
    <t xml:space="preserve">Текуће донације страним владама                                                                   </t>
  </si>
  <si>
    <t xml:space="preserve">Капиталне донације страним владама                                                                   </t>
  </si>
  <si>
    <t xml:space="preserve">Дотације међународним организацијама                                                                    </t>
  </si>
  <si>
    <t xml:space="preserve">Текуће дотације међународним организацијама                                                                   </t>
  </si>
  <si>
    <t xml:space="preserve">Текуће дотације међународном црвеном крсту                                                                  </t>
  </si>
  <si>
    <t xml:space="preserve">Текуће дотације за међународне чланарине                                                                  </t>
  </si>
  <si>
    <t xml:space="preserve">Остале текуће дотације  међународним организацијама                                                                 </t>
  </si>
  <si>
    <t xml:space="preserve">Остале текуће дотације међународним организацијама                                                                  </t>
  </si>
  <si>
    <t xml:space="preserve">Капиталне дотације међународним организацијама                                                                   </t>
  </si>
  <si>
    <t xml:space="preserve">Капиталне дотације међународном црвеном крсту                                                                  </t>
  </si>
  <si>
    <t xml:space="preserve">Остале капиталне дотације међународним организацијама                                                                  </t>
  </si>
  <si>
    <t xml:space="preserve">Трансфери осталим нивоима власти                                                                   </t>
  </si>
  <si>
    <t xml:space="preserve">Текући трансфери осталим нивоима власти                                                                  </t>
  </si>
  <si>
    <t xml:space="preserve">Текући трансфери нивоу републике                                                                   </t>
  </si>
  <si>
    <t xml:space="preserve">Текући трансфери нивоу територијалних аутономија                                                                  </t>
  </si>
  <si>
    <t xml:space="preserve">Текући трансфери за ап војводина                                                                  </t>
  </si>
  <si>
    <t xml:space="preserve">Текући трансфери за југ србије и ап косово и метохија                                                             </t>
  </si>
  <si>
    <t xml:space="preserve">Текући трансфери нивоу градова                                                                   </t>
  </si>
  <si>
    <t xml:space="preserve">Наменски трансфери нивоу градова                                                                   </t>
  </si>
  <si>
    <t xml:space="preserve">Ненаменски трансфери нивоу градова                                                                   </t>
  </si>
  <si>
    <t xml:space="preserve">Текући трансфери нивоу општина                                                                   </t>
  </si>
  <si>
    <t xml:space="preserve">Наменски трансфери нивоу општина                                                                   </t>
  </si>
  <si>
    <t xml:space="preserve">Ненаменски трансфери нивоу општина                                                                   </t>
  </si>
  <si>
    <t xml:space="preserve">Капитални трансфери осталим нивоима власти                                                                  </t>
  </si>
  <si>
    <t xml:space="preserve">Капитални трансфери нивоу републике                                                                   </t>
  </si>
  <si>
    <t xml:space="preserve">Капитални трансфери нивоу територијалних аутономија                                                                  </t>
  </si>
  <si>
    <t xml:space="preserve">Капитални трансфери за ап војводина                                                                  </t>
  </si>
  <si>
    <t xml:space="preserve">Капитални трансфери за југ србије и косово и метохију                                                              </t>
  </si>
  <si>
    <t xml:space="preserve">Капитални трансфери нивоу градова                                                                   </t>
  </si>
  <si>
    <t xml:space="preserve">Капитални трансфери нивоу општина                                                                   </t>
  </si>
  <si>
    <t xml:space="preserve">Дотације организацијама обавезног социјалног осигурања                                                                  </t>
  </si>
  <si>
    <t xml:space="preserve">Текуће дотације организацијама обавезног социјалног осигурања                                                                 </t>
  </si>
  <si>
    <t xml:space="preserve">Текуће дотације републичком фонду за здравствено осигурање                                                                </t>
  </si>
  <si>
    <t xml:space="preserve">Текуће дотације здравственим установама за инвестиције и инвестиционо одржавање                                                              </t>
  </si>
  <si>
    <t xml:space="preserve">Текуће дотације здравственим установама за набавку медицинске и друге опреме                                                             </t>
  </si>
  <si>
    <t xml:space="preserve">Текуће дотације републичком фонду за пио запослених                                                                </t>
  </si>
  <si>
    <t xml:space="preserve">Текуће дотације републичком фонду за пио за осигуранике запослене                                                              </t>
  </si>
  <si>
    <t xml:space="preserve">Текуће дотације републичком фонду за пио пољопривредника                                                                </t>
  </si>
  <si>
    <t xml:space="preserve">Текуће дотације републичком фонду за пио за осигуранике пољопривреднике                                                              </t>
  </si>
  <si>
    <t xml:space="preserve">Текуће дотације републичком фонду за пио самосталних делатности                                                               </t>
  </si>
  <si>
    <t xml:space="preserve">Текуће дотације републичком фонду за пио за осигуранике самосталних делатности                                                             </t>
  </si>
  <si>
    <t xml:space="preserve">Текуће дотације националној служби за запошљавање                                                                 </t>
  </si>
  <si>
    <t xml:space="preserve">Капиталне дотације организацијама обавезног социјалног осигурања                                                                 </t>
  </si>
  <si>
    <t xml:space="preserve">Капиталне дотације републичком фонду за здравствено осигурање                                                                </t>
  </si>
  <si>
    <t xml:space="preserve">Капиталне дотације здравственим установама за инвестиције и инвестиционо одржавање                                                              </t>
  </si>
  <si>
    <t xml:space="preserve">Капиталне дотације здравственим установама за набавку медицинске и друге опреме                                                             </t>
  </si>
  <si>
    <t xml:space="preserve">Капиталне дотације републичком фонду за пио                                                                 </t>
  </si>
  <si>
    <t xml:space="preserve">Капиталне дотације националној служби за запошљавање                                                                 </t>
  </si>
  <si>
    <t xml:space="preserve">Остале дотације и трансфери                                                                   </t>
  </si>
  <si>
    <t xml:space="preserve">Остале текуће дотације и трансфери                                                                  </t>
  </si>
  <si>
    <t xml:space="preserve">Остале текуће дотације по закону                                                                  </t>
  </si>
  <si>
    <t xml:space="preserve">Остале капиталне дотације и трансфери                                                                  </t>
  </si>
  <si>
    <t xml:space="preserve">Социјално осигурање и социјална заштита                                                                  </t>
  </si>
  <si>
    <t xml:space="preserve">Права из социјалног осигурања (организације обавезног социјалног осигурања)                                                               </t>
  </si>
  <si>
    <t xml:space="preserve">Права из социјалног осигурања која се исплаћују непосредно домаћинствима                                                              </t>
  </si>
  <si>
    <t xml:space="preserve">Накнаде зарада осигураницима услед привремене неспособности за рад                                                               </t>
  </si>
  <si>
    <t xml:space="preserve">Накнаде зарада у току привремене неспособности за рад проузроковане повредом на раду или професионалном болешћу                                                        </t>
  </si>
  <si>
    <t xml:space="preserve">Накнаде зарада у току привремене неспособности за рад проузроковане болешћу                                                             </t>
  </si>
  <si>
    <t xml:space="preserve">Накнаде зарада у току привремене неспособности за рад услед карантина, неге и сл.                                                          </t>
  </si>
  <si>
    <t xml:space="preserve">Накнаде за продужену негу детета у складу са законом                                                              </t>
  </si>
  <si>
    <t xml:space="preserve">Права из пензијског осигурања                                                                   </t>
  </si>
  <si>
    <t xml:space="preserve">Основне пензије                                                                     </t>
  </si>
  <si>
    <t xml:space="preserve">Пензије по уредби                                                                    </t>
  </si>
  <si>
    <t xml:space="preserve">Иностране пензије                                                                     </t>
  </si>
  <si>
    <t xml:space="preserve">Нега и помоћ пензионера                                                                   </t>
  </si>
  <si>
    <t xml:space="preserve">Телесно оштећење пензионера                                                                    </t>
  </si>
  <si>
    <t xml:space="preserve">Остала права из пензијског осигурања у складу са законом                                                              </t>
  </si>
  <si>
    <t xml:space="preserve">Накнаде из инвалидског осигурања                                                                   </t>
  </si>
  <si>
    <t xml:space="preserve">Накнада за скраћено радно време за инвалиде ii категорије                                                              </t>
  </si>
  <si>
    <t xml:space="preserve">Накнада за инвалиде i и ii категорије                                                                </t>
  </si>
  <si>
    <t xml:space="preserve">Збирна накнада за инвалиде ii категорије                                                                 </t>
  </si>
  <si>
    <t xml:space="preserve">Привремена накнада зараде од дана настајања инвалидности до запошљавања на друго одговарајуће радно место                                                         </t>
  </si>
  <si>
    <t xml:space="preserve">Накнаде за телесно оштећење                                                                   </t>
  </si>
  <si>
    <t xml:space="preserve">Накнаде за инвалиде iii категорије                                                                  </t>
  </si>
  <si>
    <t xml:space="preserve">Нега и помоћ осигураника                                                                   </t>
  </si>
  <si>
    <t xml:space="preserve">Накнаде за друго одговарајуће радно место – остала права из инвалидског осигурања                                                           </t>
  </si>
  <si>
    <t xml:space="preserve">Исплате националне службе за запошљавање                                                                  </t>
  </si>
  <si>
    <t xml:space="preserve">Накнаде за случај незапослености                                                                   </t>
  </si>
  <si>
    <t xml:space="preserve">Накнаде зарада                                                                     </t>
  </si>
  <si>
    <t xml:space="preserve">Средства за обуку и едукацију                                                                  </t>
  </si>
  <si>
    <t xml:space="preserve">Једнократна помоћ                                                                     </t>
  </si>
  <si>
    <t xml:space="preserve">Остале исплате националне службе за запошљавање директно домаћинствима                                                               </t>
  </si>
  <si>
    <t xml:space="preserve">Остала социјална давања непосредно домаћинствима                                                                  </t>
  </si>
  <si>
    <t xml:space="preserve">Исплате дневница и путних трошкова за путовања у земљи                                                              </t>
  </si>
  <si>
    <t xml:space="preserve">Исплате дневница и путних трошкова за путовања у иностранству                                                              </t>
  </si>
  <si>
    <t xml:space="preserve">Погребни трошкови                                                                     </t>
  </si>
  <si>
    <t xml:space="preserve">Накнаде за становање                                                                    </t>
  </si>
  <si>
    <t xml:space="preserve">Услуге рехабилитације и рекреације                                                                   </t>
  </si>
  <si>
    <t xml:space="preserve">Остала права исплаћена непосредно домаћинствима                                                                  </t>
  </si>
  <si>
    <t xml:space="preserve">Права из социјалног осигурања која се исплаћују непосредно пружаоцима услуга                                                             </t>
  </si>
  <si>
    <t xml:space="preserve">Трошкови здравствене заштите у земљи плаћени непосредно пружаоцима услуга                                                              </t>
  </si>
  <si>
    <t xml:space="preserve">Услуге болница, поликлиника и амбуланти                                                                  </t>
  </si>
  <si>
    <t xml:space="preserve">Услуге дијализе                                                                     </t>
  </si>
  <si>
    <t xml:space="preserve">Фармацеутске услуге и материјали                                                                   </t>
  </si>
  <si>
    <t xml:space="preserve">Стоматолошке услуге                                                                     </t>
  </si>
  <si>
    <t xml:space="preserve">Болничке услуге                                                                     </t>
  </si>
  <si>
    <t xml:space="preserve">Помагала и направе                                                                    </t>
  </si>
  <si>
    <t xml:space="preserve">Услуге које пружају установе социјалне заштите                                                                 </t>
  </si>
  <si>
    <t xml:space="preserve">Остале услуге здравствене заштите у земљи                                                                 </t>
  </si>
  <si>
    <t xml:space="preserve">Услуге здравствене заштите у иностранству плаћене непосредно пружаоцима услуга                                                              </t>
  </si>
  <si>
    <t xml:space="preserve">Здравствена заштита по принципу реципроцитета                                                                  </t>
  </si>
  <si>
    <t xml:space="preserve">Здравствена заштита осигураника који живе у иностранству                                                                </t>
  </si>
  <si>
    <t xml:space="preserve">Трошкови слања осигураних лица на лечење у иностранство                                                               </t>
  </si>
  <si>
    <t xml:space="preserve">Остали трошкови здравствене заштите у иностранству                                                                 </t>
  </si>
  <si>
    <t xml:space="preserve">Брига о пензионисаним лицима                                                                   </t>
  </si>
  <si>
    <t xml:space="preserve">Трошкови смештаја пензионера у домове за старе                                                                </t>
  </si>
  <si>
    <t xml:space="preserve">Трошкови дневног смештаја, помоћи у кући и заштићеног становања                                                              </t>
  </si>
  <si>
    <t xml:space="preserve">Брига о инвалидима                                                                    </t>
  </si>
  <si>
    <t xml:space="preserve">Трошкови смештаја деце инвалида                                                                   </t>
  </si>
  <si>
    <t xml:space="preserve">Трошкови образовања деце инвалида                                                                   </t>
  </si>
  <si>
    <t xml:space="preserve">Трошкови за заштитне радионице                                                                   </t>
  </si>
  <si>
    <t xml:space="preserve">Исплате послодавцима које врши национална служба за запошљавање за запошљавање лица са евиденције                                                          </t>
  </si>
  <si>
    <t xml:space="preserve">Учешће у финансирању зарада лица са евиденција која запошљавају фирме                                                             </t>
  </si>
  <si>
    <t xml:space="preserve">Једнократна помоћ фирмама које запошљавају лица са евиденција                                                               </t>
  </si>
  <si>
    <t xml:space="preserve">Средства за целокупни износ зарада фирмама које запошљавају лица са евиденције                                                            </t>
  </si>
  <si>
    <t xml:space="preserve">Услуге обуке преко националне службе за запошљавање                                                                </t>
  </si>
  <si>
    <t xml:space="preserve">Опште услуге обуке                                                                    </t>
  </si>
  <si>
    <t xml:space="preserve">Услуге преквалификације                                                                     </t>
  </si>
  <si>
    <t xml:space="preserve">Специјализована обука                                                                     </t>
  </si>
  <si>
    <t xml:space="preserve">Остала права која се плаћају директно пружаоцима услуга                                                               </t>
  </si>
  <si>
    <t xml:space="preserve">Услуге хитне помоћи                                                                    </t>
  </si>
  <si>
    <t xml:space="preserve">Остала права из социјалног осигурања која се исплаћују непосредно пружаоцима услуга                                                            </t>
  </si>
  <si>
    <t xml:space="preserve">Трансфери другим организацијама обавезног социјалног осигурања за доприносе за осигурање                                                             </t>
  </si>
  <si>
    <t xml:space="preserve">Трансфери републичком фонду за здравствено осигурање за доприносе за осигурање                                                             </t>
  </si>
  <si>
    <t xml:space="preserve">Трансфери за здравствено осигурање инвалида ii и iii категорије                                                              </t>
  </si>
  <si>
    <t xml:space="preserve">Трансфери републичком фонду за здравствено осигурање за накнаде зарада од дана инвалидности до дана правоснажности решења                                                       </t>
  </si>
  <si>
    <t xml:space="preserve">Трансфери републичком фонду за здравствено осигурање за доприносе за осигурање незапослених лица                                                           </t>
  </si>
  <si>
    <t xml:space="preserve">Трансфери републичком фонду за здравствено осигурање за доприносе за осигурање незапослених лица – продужено осигурање                                                        </t>
  </si>
  <si>
    <t xml:space="preserve">Трансфери републичком фонду за пио за осигуранике запослене за доприносе за осигурање                                                           </t>
  </si>
  <si>
    <t xml:space="preserve">Трансфери републичком фонду за пио за осигуранике запослене  за доприносе за осигурање незапослених                                                         </t>
  </si>
  <si>
    <t xml:space="preserve">Трансфери републичком фонду за пио за осигуранике запослене   за доприносе за осигурање незапослених – продужено осигурање                                                     </t>
  </si>
  <si>
    <t xml:space="preserve">Трансфери републичком фонду за пио за осигуранике пољопривредника за доприносе за осигурање                                                           </t>
  </si>
  <si>
    <t xml:space="preserve">Трансфери републичком фонду за пио за осигуранике за осигуранике пољопривреднике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</si>
  <si>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</si>
  <si>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</si>
  <si>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незапослених                                                         </t>
  </si>
  <si>
    <t xml:space="preserve">Трансфери републичком фонду за пио за осигуранике самосталних делатности за доприносе за осигурање незапослених – продужено осигурање                                                      </t>
  </si>
  <si>
    <t xml:space="preserve">Трансфери националној служби за запошљавање за доприносе за осигурање                                                              </t>
  </si>
  <si>
    <t xml:space="preserve">Накнаде за социјалну заштиту из буџета                                                                 </t>
  </si>
  <si>
    <t xml:space="preserve">Накнаде из буџета у случају болести и инвалидности                                                               </t>
  </si>
  <si>
    <t xml:space="preserve">Накнаде за боловање                                                                    </t>
  </si>
  <si>
    <t xml:space="preserve">Накнаде за инвалидност                                                                    </t>
  </si>
  <si>
    <t xml:space="preserve">Накнаде ратним инвалидима                                                                    </t>
  </si>
  <si>
    <t xml:space="preserve">Накнаде ратним војним инвалидима                                                                   </t>
  </si>
  <si>
    <t xml:space="preserve">Накнаде ратним цивилним инвалидима                                                                   </t>
  </si>
  <si>
    <t xml:space="preserve">Накнаде из буџета за породиљско одсуство                                                                 </t>
  </si>
  <si>
    <t xml:space="preserve">Накнаде из буџета за децу и породицу                                                                </t>
  </si>
  <si>
    <t xml:space="preserve">Накнаде из буџета за случај незапослености                                                                 </t>
  </si>
  <si>
    <t xml:space="preserve">Старосне и породичне пензије из буџета                                                                 </t>
  </si>
  <si>
    <t xml:space="preserve">Старосне пензије                                                                     </t>
  </si>
  <si>
    <t xml:space="preserve">Породичне пензије                                                                     </t>
  </si>
  <si>
    <t xml:space="preserve">Накнаде из буџета у случају смрти                                                                 </t>
  </si>
  <si>
    <t xml:space="preserve">Накнаде из буџета за образовање, културу, науку и спорт                                                              </t>
  </si>
  <si>
    <t xml:space="preserve">Накнаде из буџета за образовање                                                                  </t>
  </si>
  <si>
    <t xml:space="preserve">Академске награде                                                                     </t>
  </si>
  <si>
    <t xml:space="preserve">Студентске награде                                                                     </t>
  </si>
  <si>
    <t xml:space="preserve">Ученичке награде                                                                     </t>
  </si>
  <si>
    <t xml:space="preserve">Студентске стипендије                                                                     </t>
  </si>
  <si>
    <t xml:space="preserve">Ученичке стипендије                                                                     </t>
  </si>
  <si>
    <t xml:space="preserve">Исхрана и смештај студената                                                                   </t>
  </si>
  <si>
    <t xml:space="preserve">Исхрана и смештај ученика                                                                   </t>
  </si>
  <si>
    <t xml:space="preserve">Остале накнаде за образовање                                                                   </t>
  </si>
  <si>
    <t xml:space="preserve">Накнаде из буџета за културу                                                                  </t>
  </si>
  <si>
    <t xml:space="preserve">Накнаде из буџета за спорт                                                                  </t>
  </si>
  <si>
    <t xml:space="preserve">Спортске награде                                                                     </t>
  </si>
  <si>
    <t xml:space="preserve">Спортске стипендије                                                                     </t>
  </si>
  <si>
    <t xml:space="preserve">Накнаде из буџета за науку                                                                  </t>
  </si>
  <si>
    <t xml:space="preserve">Накнаде за образовање и усавршавање научноистраживачких кадрова                                                                </t>
  </si>
  <si>
    <t xml:space="preserve">Накнаде из буџета за становање и живот                                                                </t>
  </si>
  <si>
    <t xml:space="preserve">Остале накнаде из буџета                                                                   </t>
  </si>
  <si>
    <t xml:space="preserve">Исплате бившим политичким затвореницима                                                                   </t>
  </si>
  <si>
    <t xml:space="preserve">Исплате лицима лишених слободе                                                                   </t>
  </si>
  <si>
    <t xml:space="preserve">Исплате осуђеницима                                                                     </t>
  </si>
  <si>
    <t xml:space="preserve">Накнада трошкова на име остваривања права лица лишених слободе                                                              </t>
  </si>
  <si>
    <t xml:space="preserve">Остали расходи                                                                     </t>
  </si>
  <si>
    <t xml:space="preserve">Дотације невладиним организацијама                                                                    </t>
  </si>
  <si>
    <t xml:space="preserve">Дотације непрофитним организацијама које пружају помоћ домаћинствима                                                                </t>
  </si>
  <si>
    <t xml:space="preserve">Дотације непрофитним здравственим организацијама                                                                   </t>
  </si>
  <si>
    <t xml:space="preserve">Дотације непрофитним здравственим организацијама за лечење особа лишених слободе                                                              </t>
  </si>
  <si>
    <t xml:space="preserve">Дотације непрофитним здравственим организацијама за лечење особа непознатог пребивалишта                                                              </t>
  </si>
  <si>
    <t xml:space="preserve">Дотације у натури непрофитним организацијама које пружају услуге домаћинствима                                                              </t>
  </si>
  <si>
    <t xml:space="preserve">Дотације добротворним организацијама у храни, одећи, ћебадима и лековима за домаћинства                                                            </t>
  </si>
  <si>
    <t xml:space="preserve">Дотације црвеном крсту србије                                                                   </t>
  </si>
  <si>
    <t xml:space="preserve">Дотације осталим непрофитним институцијама                                                                   </t>
  </si>
  <si>
    <t xml:space="preserve">Дотације спортским омладинским организацијама                                                                   </t>
  </si>
  <si>
    <t xml:space="preserve">Дотације етничким заједницама и мањинама                                                                  </t>
  </si>
  <si>
    <t xml:space="preserve">Дотације верским заједницама                                                                    </t>
  </si>
  <si>
    <t xml:space="preserve">Дотације осталим удружењима грађана и политичким странкама                                                                </t>
  </si>
  <si>
    <t xml:space="preserve">Дотације осталим удружењима грађана                                                                   </t>
  </si>
  <si>
    <t xml:space="preserve">Дотације политичким странкама                                                                    </t>
  </si>
  <si>
    <t xml:space="preserve">Дотације привредним коморама                                                                    </t>
  </si>
  <si>
    <t xml:space="preserve">Дотације приватним и алтернативним школама                                                                  </t>
  </si>
  <si>
    <t xml:space="preserve">Дотације приватним и алтернативним основним школама                                                                 </t>
  </si>
  <si>
    <t xml:space="preserve">Дотације приватним и алтернативним средњим школама                                                                 </t>
  </si>
  <si>
    <t xml:space="preserve">Дотације осталим приватним и алтернативним школама                                                                 </t>
  </si>
  <si>
    <t xml:space="preserve">Порези, обавезне таксе, казне и пенали                                                                 </t>
  </si>
  <si>
    <t xml:space="preserve">Остали порези                                                                     </t>
  </si>
  <si>
    <t xml:space="preserve">Порези на имовину                                                                    </t>
  </si>
  <si>
    <t xml:space="preserve">Стални порез на имовину                                                                   </t>
  </si>
  <si>
    <t xml:space="preserve">Порез на финансијске трансакције                                                                   </t>
  </si>
  <si>
    <t xml:space="preserve">Порез на робе и услуге                                                                  </t>
  </si>
  <si>
    <t xml:space="preserve">Порез на робу                                                                    </t>
  </si>
  <si>
    <t xml:space="preserve">Порез на услуге                                                                    </t>
  </si>
  <si>
    <t xml:space="preserve">Акцизе                                                                      </t>
  </si>
  <si>
    <t xml:space="preserve">Порез на коришћење роба или обављање активности                                                                </t>
  </si>
  <si>
    <t xml:space="preserve">Регистрација возила                                                                     </t>
  </si>
  <si>
    <t xml:space="preserve">Порез на мобилне телефоне                                                                   </t>
  </si>
  <si>
    <t xml:space="preserve">Порези на међународну трговину                                                                   </t>
  </si>
  <si>
    <t xml:space="preserve">Царине                                                                      </t>
  </si>
  <si>
    <t xml:space="preserve">Обавезне таксе                                                                     </t>
  </si>
  <si>
    <t xml:space="preserve">Новчане казне и пенали                                                                   </t>
  </si>
  <si>
    <t xml:space="preserve">Републичке казне и пенали                                                                   </t>
  </si>
  <si>
    <t xml:space="preserve">Пенали                                                                      </t>
  </si>
  <si>
    <t xml:space="preserve">Новчане казне и пенали по решењу судова                                                                </t>
  </si>
  <si>
    <t xml:space="preserve">Накнада штете за повреде или штету насталу услед елементарних непогода или других природних узрока                                                         </t>
  </si>
  <si>
    <t xml:space="preserve">Накнада штете за повреде или штету насталу услед елементарних непогода                                                             </t>
  </si>
  <si>
    <t xml:space="preserve">Накнада штете од дивљачи                                                                   </t>
  </si>
  <si>
    <t xml:space="preserve">Накнада штете за повреде или штету нанету од стране државних органа                                                            </t>
  </si>
  <si>
    <t xml:space="preserve">Накнада штете неоправдано осуђених лица                                                                  </t>
  </si>
  <si>
    <t xml:space="preserve">Остале накнаде штете                                                                    </t>
  </si>
  <si>
    <t xml:space="preserve">Расходи који се финансирају из средстава за реализацију националног инвестиционог плана                                                            </t>
  </si>
  <si>
    <t xml:space="preserve">Административни трансфери из буџета, од директних буџетских корисника индиректним буџетским корисницима или између буџетских корисника на истом нивоу  и средства резерве                                                 </t>
  </si>
  <si>
    <t xml:space="preserve">Допринос за случај незапослености                                                                   </t>
  </si>
  <si>
    <t xml:space="preserve">Исплата накнада за време одсуствовања с посла                                                                </t>
  </si>
  <si>
    <t xml:space="preserve">Материјал за пољопривреду                                                                    </t>
  </si>
  <si>
    <t xml:space="preserve">Материјал за образовање и усавршавање запослених                                                                 </t>
  </si>
  <si>
    <t xml:space="preserve">Материјал за саобраћај                                                                    </t>
  </si>
  <si>
    <t xml:space="preserve">Материјал за очување животне средине и науку                                                                </t>
  </si>
  <si>
    <t xml:space="preserve">Материјал за образовање, културу и спорт                                                                 </t>
  </si>
  <si>
    <t xml:space="preserve">Материјал за одржавање хигијене и угоститељство                                                                 </t>
  </si>
  <si>
    <t xml:space="preserve">Материјал за посебне намене                                                                   </t>
  </si>
  <si>
    <t xml:space="preserve">Отплата домаћих камата                                                                    </t>
  </si>
  <si>
    <t xml:space="preserve">Отплата камата пословним банкама                                                                   </t>
  </si>
  <si>
    <t xml:space="preserve">Отплата камата осталим кредиторима                                                                   </t>
  </si>
  <si>
    <t xml:space="preserve">Отплата камата домаћинствима                                                                    </t>
  </si>
  <si>
    <t xml:space="preserve">Отплата камата на менице                                                                   </t>
  </si>
  <si>
    <t xml:space="preserve">Права из социјалног осигурања                                                                   </t>
  </si>
  <si>
    <t xml:space="preserve">Накнаде из буџета за случај  незапослености                                                                </t>
  </si>
  <si>
    <t xml:space="preserve">Остале накнаде за социјалну заштиту из буџета                                                                </t>
  </si>
  <si>
    <t xml:space="preserve">Порези, обавезне таксе и казне                                                                  </t>
  </si>
  <si>
    <t xml:space="preserve">Издаци за нефинансијску имовину                                                                   </t>
  </si>
  <si>
    <t xml:space="preserve">Куповина зграда и објеката                                                                   </t>
  </si>
  <si>
    <t xml:space="preserve">Изградња зграда и објеката                                                                   </t>
  </si>
  <si>
    <t xml:space="preserve">Капитално одржавање зграда и објеката                                                                  </t>
  </si>
  <si>
    <t xml:space="preserve">Пројектно планирање                                                                     </t>
  </si>
  <si>
    <t xml:space="preserve">Машине и опрема                                                                    </t>
  </si>
  <si>
    <t xml:space="preserve">Залихе материјала                                                                     </t>
  </si>
  <si>
    <t xml:space="preserve">Рудна богатства                                                                     </t>
  </si>
  <si>
    <t xml:space="preserve">Издаци за отплату главнице и набавку финансијске имовине                                                               </t>
  </si>
  <si>
    <t xml:space="preserve">Отплата главнице                                                                     </t>
  </si>
  <si>
    <t xml:space="preserve">Отплате главнице домаћим кредиторима                                                                   </t>
  </si>
  <si>
    <t xml:space="preserve">Отплата главнице на домаће хартије од вредности, изузев акција                                                              </t>
  </si>
  <si>
    <t xml:space="preserve">Отплата главнице осталим нивоима власти                                                                  </t>
  </si>
  <si>
    <t xml:space="preserve">Отплата главнице домаћим јавним финансијским институцијама                                                                 </t>
  </si>
  <si>
    <t xml:space="preserve">Отплата главнице домаћим пословним банкама                                                                  </t>
  </si>
  <si>
    <t xml:space="preserve">Отплата главнице осталим домаћим кредиторима                                                                  </t>
  </si>
  <si>
    <t xml:space="preserve">Отплата главнице домаћинствима у земљи                                                                  </t>
  </si>
  <si>
    <t xml:space="preserve">Отплата главнице на домаће финансијске деривате                                                                 </t>
  </si>
  <si>
    <t xml:space="preserve">Отплата домаћих меница                                                                    </t>
  </si>
  <si>
    <t xml:space="preserve">Исправка унутрашњег дуга                                                                    </t>
  </si>
  <si>
    <t xml:space="preserve">Отплата главнице страним кредиторима                                                                   </t>
  </si>
  <si>
    <t xml:space="preserve">Отплата главнице на хартије од вредности, изузев акција, емитоване на иностраном финансијском тржишту                                                          </t>
  </si>
  <si>
    <t xml:space="preserve">Отплата главнице страним владама                                                                   </t>
  </si>
  <si>
    <t xml:space="preserve">Отплата главнице мултилатералним институцијама                                                                   </t>
  </si>
  <si>
    <t xml:space="preserve">Отплате главнице страним пословним банкама                                                                  </t>
  </si>
  <si>
    <t xml:space="preserve">Отплате главнице осталим страним кредиторима                                                                  </t>
  </si>
  <si>
    <t xml:space="preserve">Отплата главнице на стране финансијске деривате                                                                 </t>
  </si>
  <si>
    <t xml:space="preserve">Исправка спољног дуга                                                                    </t>
  </si>
  <si>
    <t xml:space="preserve">Отплата главнице по гаранцијама                                                                   </t>
  </si>
  <si>
    <t xml:space="preserve">Отплата главнице за финансијски лизинг                                                                  </t>
  </si>
  <si>
    <t xml:space="preserve">Набавка финансијске имовине                                                                    </t>
  </si>
  <si>
    <t xml:space="preserve">Набавка домаће финансијске имовине                                                                   </t>
  </si>
  <si>
    <t xml:space="preserve">Набавка домаћих хартија од вредности, изузев акција                                                                </t>
  </si>
  <si>
    <t xml:space="preserve">Кредити домаћим невладиним организацијама у земљи                                                                 </t>
  </si>
  <si>
    <t xml:space="preserve">Набавка домаћих акција и осталог капитала                                                                 </t>
  </si>
  <si>
    <t xml:space="preserve">Набавка стране финансијске имовине                                                                   </t>
  </si>
  <si>
    <t xml:space="preserve">Набавка страних хартија од вредности, изузев акција                                                                </t>
  </si>
  <si>
    <t xml:space="preserve">Набавка страних акција и осталог капитала                                                                 </t>
  </si>
  <si>
    <t xml:space="preserve">Куповина стране валуте                                                                    </t>
  </si>
  <si>
    <t xml:space="preserve">Средства резерве                                                                     </t>
  </si>
  <si>
    <t xml:space="preserve">Стална резерва                                                                     </t>
  </si>
  <si>
    <t xml:space="preserve">Текућа резерва                                                                     </t>
  </si>
  <si>
    <t xml:space="preserve">Куповина стамбеног простора                                                                    </t>
  </si>
  <si>
    <t xml:space="preserve">Куповина стамбеног простора за јавне службенике                                                                 </t>
  </si>
  <si>
    <t xml:space="preserve">Куповина стамбеног простора за социјалне групе                                                                 </t>
  </si>
  <si>
    <t xml:space="preserve">Куповина стамбеног простора за избеглице                                                                  </t>
  </si>
  <si>
    <t xml:space="preserve">Куповина осталог стамбеног простора                                                                   </t>
  </si>
  <si>
    <t xml:space="preserve">Лизинг стамбеног простора                                                                    </t>
  </si>
  <si>
    <t xml:space="preserve">Куповина пословних зграда и пословног простора                                                                 </t>
  </si>
  <si>
    <t xml:space="preserve">Куповина канцеларијских зграда и осталог простора                                                                 </t>
  </si>
  <si>
    <t xml:space="preserve">Куповина болница, домова здравља и старачких домова                                                                </t>
  </si>
  <si>
    <t xml:space="preserve">Куповина објеката за потребе образовања                                                                  </t>
  </si>
  <si>
    <t xml:space="preserve">Куповина ресторана                                                                     </t>
  </si>
  <si>
    <t xml:space="preserve">Куповина одмаралишта                                                                     </t>
  </si>
  <si>
    <t xml:space="preserve">Куповина складишта, силоса, гаража и сл.                                                                 </t>
  </si>
  <si>
    <t xml:space="preserve">Куповина фабричких хала                                                                    </t>
  </si>
  <si>
    <t xml:space="preserve">Лизинг пословних зграда и пословног простора                                                                 </t>
  </si>
  <si>
    <t xml:space="preserve">Куповина осталих објеката                                                                    </t>
  </si>
  <si>
    <t xml:space="preserve">Куповина отворених спортских и рекреационих објеката                                                                 </t>
  </si>
  <si>
    <t xml:space="preserve">Куповина установа културе                                                                    </t>
  </si>
  <si>
    <t xml:space="preserve">Куповина затвора                                                                     </t>
  </si>
  <si>
    <t xml:space="preserve">Изградња стамбеног простора                                                                    </t>
  </si>
  <si>
    <t xml:space="preserve">Изградња стамбеног простора за јавне службенике                                                                 </t>
  </si>
  <si>
    <t xml:space="preserve">Изградња стамбеног простора за социјалне групе                                                                 </t>
  </si>
  <si>
    <t xml:space="preserve">Изградња стамбеног простора за избеглице                                                                  </t>
  </si>
  <si>
    <t xml:space="preserve">Изградња осталих стамбених простора                                                                   </t>
  </si>
  <si>
    <t xml:space="preserve">Изградња пословних зграда и пословног простора                                                                 </t>
  </si>
  <si>
    <t xml:space="preserve">Канцеларијске зграде и пословни простор                                                                  </t>
  </si>
  <si>
    <t xml:space="preserve">Ресторани                                                                      </t>
  </si>
  <si>
    <t xml:space="preserve">Одмаралишта                                                                      </t>
  </si>
  <si>
    <t xml:space="preserve">Складишта, силоси, гараже и слично                                                                  </t>
  </si>
  <si>
    <t xml:space="preserve">Изградња саобраћајних објеката                                                                    </t>
  </si>
  <si>
    <t xml:space="preserve">Аутопутеви, путеви, мостови, надвожњаци и тунели                                                                 </t>
  </si>
  <si>
    <t xml:space="preserve">Изградња водоводне инфраструктуре                                                                    </t>
  </si>
  <si>
    <t xml:space="preserve">Изградња осталих објеката                                                                    </t>
  </si>
  <si>
    <t xml:space="preserve">Плиновод и плинарски радови                                                                   </t>
  </si>
  <si>
    <t xml:space="preserve">Отворени спортски и рекреациони објекти                                                                  </t>
  </si>
  <si>
    <t xml:space="preserve">Изградња система за наводњавање                                                                   </t>
  </si>
  <si>
    <t xml:space="preserve">Капитално одржавање стамбених простора                                                                   </t>
  </si>
  <si>
    <t xml:space="preserve">Капитално одржавање стамбеног простора за јавне службенике                                                                </t>
  </si>
  <si>
    <t xml:space="preserve">Капитално одржавање стамбеног простора за социјалне групе                                                                </t>
  </si>
  <si>
    <t xml:space="preserve">Капитално одржавање стамбеног простора за избеглице                                                                 </t>
  </si>
  <si>
    <t xml:space="preserve">Капитално одржавање другог стамбеног простора                                                                  </t>
  </si>
  <si>
    <t xml:space="preserve">Капитално одржавање пословних зграда и пословног простора                                                                </t>
  </si>
  <si>
    <t xml:space="preserve">Капитално одржавање болница, домова здравља и старачких домова                                                               </t>
  </si>
  <si>
    <t xml:space="preserve">Капитално одржавање објеката за потребе образовања                                                                 </t>
  </si>
  <si>
    <t xml:space="preserve">Капитално одржавање ресторана                                                                    </t>
  </si>
  <si>
    <t xml:space="preserve">Капитално одржавање одмаралишта                                                                    </t>
  </si>
  <si>
    <t xml:space="preserve">Капитално одржавање складишта, силоса, гаража и сл.                                                                </t>
  </si>
  <si>
    <t xml:space="preserve">Капитално одржавање граничних прелаза                                                                   </t>
  </si>
  <si>
    <t xml:space="preserve">Капитално одржавање фабричких хала                                                                   </t>
  </si>
  <si>
    <t xml:space="preserve">Капитално одржавање саобраћајних објеката                                                                   </t>
  </si>
  <si>
    <t xml:space="preserve">Капитално одржавање аутопутева, путева, мостова, надвожњака и тунела                                                               </t>
  </si>
  <si>
    <t xml:space="preserve">Капитално одржавање пруга                                                                    </t>
  </si>
  <si>
    <t xml:space="preserve">Капитално одржавање аеродромских писта                                                                   </t>
  </si>
  <si>
    <t xml:space="preserve">Капитално одржавање водоводне инфраструктуре                                                                   </t>
  </si>
  <si>
    <t xml:space="preserve">Капитално одржавање водовода                                                                    </t>
  </si>
  <si>
    <t xml:space="preserve">Капитално одржавање канализације                                                                    </t>
  </si>
  <si>
    <t xml:space="preserve">Капитално одржавање лука                                                                    </t>
  </si>
  <si>
    <t xml:space="preserve">Капитално одржавање брана                                                                    </t>
  </si>
  <si>
    <t xml:space="preserve">Капитално одржавање осталих објеката                                                                   </t>
  </si>
  <si>
    <t xml:space="preserve">Капитално одржавање плиновода и плинарских радова                                                                 </t>
  </si>
  <si>
    <t xml:space="preserve">Капитално одржавање комуникационих и електричних водова                                                                 </t>
  </si>
  <si>
    <t xml:space="preserve">Капитално одржавање отворених спортских и рекреационих објеката                                                                </t>
  </si>
  <si>
    <t xml:space="preserve">Капитално одржавање установа културе                                                                   </t>
  </si>
  <si>
    <t xml:space="preserve">Капитално одржавање затвора                                                                    </t>
  </si>
  <si>
    <t xml:space="preserve">Капитално одржавање и реконструкција система за наводњавање                                                                </t>
  </si>
  <si>
    <t xml:space="preserve">Планирање и праћење пројекта                                                                   </t>
  </si>
  <si>
    <t xml:space="preserve">Процене изводљивости                                                                     </t>
  </si>
  <si>
    <t xml:space="preserve">Идејни пројекат                                                                     </t>
  </si>
  <si>
    <t xml:space="preserve">Стручна оцена и коментари                                                                   </t>
  </si>
  <si>
    <t xml:space="preserve">Пројектна документација                                                                     </t>
  </si>
  <si>
    <t xml:space="preserve">Аутомобили                                                                      </t>
  </si>
  <si>
    <t xml:space="preserve">Трактори                                                                      </t>
  </si>
  <si>
    <t xml:space="preserve">Комбији                                                                      </t>
  </si>
  <si>
    <t xml:space="preserve">Камиони                                                                      </t>
  </si>
  <si>
    <t xml:space="preserve">Теренска возила                                                                     </t>
  </si>
  <si>
    <t xml:space="preserve">Мотоцикли                                                                      </t>
  </si>
  <si>
    <t xml:space="preserve">Бицикли                                                                      </t>
  </si>
  <si>
    <t xml:space="preserve">Бродови и чамци                                                                    </t>
  </si>
  <si>
    <t xml:space="preserve">Трајекти                                                                      </t>
  </si>
  <si>
    <t xml:space="preserve">Хеликоптери                                                                      </t>
  </si>
  <si>
    <t xml:space="preserve">Авиони                                                                      </t>
  </si>
  <si>
    <t xml:space="preserve">Писаће машине                                                                     </t>
  </si>
  <si>
    <t xml:space="preserve">Штампачи                                                                      </t>
  </si>
  <si>
    <t xml:space="preserve">Мреже                                                                      </t>
  </si>
  <si>
    <t xml:space="preserve">Телефонске централе с припадајућим инсталацијама и апаратима                                                                </t>
  </si>
  <si>
    <t xml:space="preserve">Мобилни телефони                                                                     </t>
  </si>
  <si>
    <t xml:space="preserve">Електронска опрема                                                                     </t>
  </si>
  <si>
    <t xml:space="preserve">Фотографска опрема                                                                     </t>
  </si>
  <si>
    <t xml:space="preserve">Опрема за домаћинство                                                                    </t>
  </si>
  <si>
    <t xml:space="preserve">Опрема за угоститељство                                                                    </t>
  </si>
  <si>
    <t xml:space="preserve">Пољопривредна опрема                                                                     </t>
  </si>
  <si>
    <t xml:space="preserve">Лизинг пољопривредне опреме                                                                    </t>
  </si>
  <si>
    <t xml:space="preserve">Лизинг опремe за војску                                                                   </t>
  </si>
  <si>
    <t xml:space="preserve">Лизинг опремe за јавну безбедност                                                                  </t>
  </si>
  <si>
    <t xml:space="preserve">Опрема за производњу                                                                    </t>
  </si>
  <si>
    <t xml:space="preserve">Уграђена опрема                                                                     </t>
  </si>
  <si>
    <t xml:space="preserve">Монтирана опрема                                                                     </t>
  </si>
  <si>
    <t xml:space="preserve">Механичка опрема                                                                     </t>
  </si>
  <si>
    <t xml:space="preserve">Немоторизовани алати                                                                     </t>
  </si>
  <si>
    <t xml:space="preserve">Лизинг опреме за производњу, моторна, непокретна и немоторна опрема                                                              </t>
  </si>
  <si>
    <t xml:space="preserve">Лизинг остале некретнине и опрема                                                                  </t>
  </si>
  <si>
    <t xml:space="preserve">Стока                                                                      </t>
  </si>
  <si>
    <t xml:space="preserve">Говеда                                                                      </t>
  </si>
  <si>
    <t xml:space="preserve">Коњи                                                                      </t>
  </si>
  <si>
    <t xml:space="preserve">Магарци, муле, мазге                                                                    </t>
  </si>
  <si>
    <t xml:space="preserve">Свиње                                                                      </t>
  </si>
  <si>
    <t xml:space="preserve">Овце и козе                                                                    </t>
  </si>
  <si>
    <t xml:space="preserve">Живина                                                                      </t>
  </si>
  <si>
    <t xml:space="preserve">Рибе                                                                      </t>
  </si>
  <si>
    <t xml:space="preserve">Пчелињаци                                                                      </t>
  </si>
  <si>
    <t xml:space="preserve">Остала стока                                                                     </t>
  </si>
  <si>
    <t xml:space="preserve">Књиге у библиотеци                                                                    </t>
  </si>
  <si>
    <t xml:space="preserve">Музејски експонати и споменици културе                                                                  </t>
  </si>
  <si>
    <t xml:space="preserve">Визуелна уметност                                                                     </t>
  </si>
  <si>
    <t xml:space="preserve">Скулптуре                                                                      </t>
  </si>
  <si>
    <t xml:space="preserve">Архивска грађа                                                                     </t>
  </si>
  <si>
    <t xml:space="preserve">Природне реткости                                                                     </t>
  </si>
  <si>
    <t xml:space="preserve">Остала књижевна и уметничка дела                                                                  </t>
  </si>
  <si>
    <t xml:space="preserve">Издаци за патенте и технологију, техничку и технолошку документацију                                                              </t>
  </si>
  <si>
    <t xml:space="preserve">Лиценце                                                                      </t>
  </si>
  <si>
    <t xml:space="preserve">Концесије                                                                      </t>
  </si>
  <si>
    <t xml:space="preserve">Заштитни знак, индустријска заштитна права, занатска и слична права                                                              </t>
  </si>
  <si>
    <t xml:space="preserve">Остала заштићена права и интелектуална својина (компјутерски програми, трајна ауторска права и слично)                                                          </t>
  </si>
  <si>
    <t xml:space="preserve">Права кориштења имовине у туђем власништву                                                                 </t>
  </si>
  <si>
    <t xml:space="preserve">Прикључак за телефонске линије                                                                   </t>
  </si>
  <si>
    <t xml:space="preserve">Набавка земљишта                                                                     </t>
  </si>
  <si>
    <t xml:space="preserve">Набавка пољопривредног земљишта                                                                    </t>
  </si>
  <si>
    <t xml:space="preserve">Набавка грађевинског земљишта                                                                    </t>
  </si>
  <si>
    <t xml:space="preserve">Набавка земљишта које се налази испод зграда и објеката                                                              </t>
  </si>
  <si>
    <t xml:space="preserve">Набавка спортских терена и придружених водених површина                                                                </t>
  </si>
  <si>
    <t xml:space="preserve">Набавка другог земљишта и придружених водених површина                                                                </t>
  </si>
  <si>
    <t xml:space="preserve">Побољшања земљишта                                                                     </t>
  </si>
  <si>
    <t xml:space="preserve">Побољшања пољопривредног земљишта                                                                    </t>
  </si>
  <si>
    <t xml:space="preserve">Побољшања грађевинског земљишта                                                                    </t>
  </si>
  <si>
    <t xml:space="preserve">Побољшања земљишта које се налази испод зграда и објеката                                                              </t>
  </si>
  <si>
    <t xml:space="preserve">Побољшања спортских терена и придружене водене површине                                                                </t>
  </si>
  <si>
    <t xml:space="preserve">Побољшања другог земљишта и придружене водене површине                                                                </t>
  </si>
  <si>
    <t xml:space="preserve">Набавка угља, нафте и природног гаса                                                                 </t>
  </si>
  <si>
    <t xml:space="preserve">Набавка минералних резерви метала                                                                   </t>
  </si>
  <si>
    <t xml:space="preserve">Побољшања копова                                                                     </t>
  </si>
  <si>
    <t xml:space="preserve">Побољшање копова                                                                     </t>
  </si>
  <si>
    <t xml:space="preserve">Побољшања угља, нафте и природног гаса                                                                 </t>
  </si>
  <si>
    <t xml:space="preserve">Побољшање металних минералних резерви                                                                   </t>
  </si>
  <si>
    <t xml:space="preserve">Набавка шума                                                                     </t>
  </si>
  <si>
    <t xml:space="preserve">Побољшања шуме                                                                     </t>
  </si>
  <si>
    <t xml:space="preserve">Побољшања шума                                                                     </t>
  </si>
  <si>
    <t xml:space="preserve">Набавка воде                                                                     </t>
  </si>
  <si>
    <t xml:space="preserve">Побољшања воде                                                                     </t>
  </si>
  <si>
    <t xml:space="preserve">Нефинансијска имовина која се финансира из средстава за реализацију националног инвестиционог плана                                                           </t>
  </si>
  <si>
    <t xml:space="preserve">Нефинансијска имовина која се финансира из средстава за реализацију националног инвестиционог плана на територији ап војводине                                                       </t>
  </si>
  <si>
    <t xml:space="preserve">Отплата главнице домаћим кредиторима                                                                   </t>
  </si>
  <si>
    <t xml:space="preserve">Отплата главнице на домаће краткорочне хартије од вредности, изузев акција                                                             </t>
  </si>
  <si>
    <t xml:space="preserve">Отплата главнице на домаће дугорочне хартије од вредности, изузев акција                                                             </t>
  </si>
  <si>
    <t xml:space="preserve">Дисконти на домаће дугорочне хартије од вредности, изузев акција                                                              </t>
  </si>
  <si>
    <t xml:space="preserve">Отплата главнице нивоу републике                                                                   </t>
  </si>
  <si>
    <t xml:space="preserve">Отплата главнице нивоу територијалних аутономија                                                                  </t>
  </si>
  <si>
    <t xml:space="preserve">Отплата главнице нивоу градова                                                                   </t>
  </si>
  <si>
    <t xml:space="preserve">Отплата главнице нивоу општина                                                                   </t>
  </si>
  <si>
    <t xml:space="preserve">Отплата главнице организацијама обавезног социјалног осигурања                                                                 </t>
  </si>
  <si>
    <t xml:space="preserve">Отплата главнице републичком фонду за здравствено осигурање                                                                </t>
  </si>
  <si>
    <t xml:space="preserve">Отплата главнице републичком фонду за пио                                                                 </t>
  </si>
  <si>
    <t xml:space="preserve">Отплата главнице националној служби за запошљавање                                                                 </t>
  </si>
  <si>
    <t xml:space="preserve">Отплата главнице нбс                                                                    </t>
  </si>
  <si>
    <t xml:space="preserve">Отплата главнице осталим домаћим јавним финансијским институцијама                                                                </t>
  </si>
  <si>
    <t xml:space="preserve">Исправка унутрашњег дуга од осталих нивоа власти за средства отплаћена у току фискалне године                                                         </t>
  </si>
  <si>
    <t xml:space="preserve">Исправка унутрашњег дуга од осталих домаћих кредитора за средства отплаћена у току фискалне године                                                         </t>
  </si>
  <si>
    <t xml:space="preserve">Отплата главнице на краткорочне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</si>
  <si>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</si>
  <si>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</si>
  <si>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Дисконти на дугорочне хартије од вредности, изузев акција, емитоване на иностраном финансијском тржишту                                                          </t>
  </si>
  <si>
    <t xml:space="preserve">Отплата главнице париском клубу                                                                   </t>
  </si>
  <si>
    <t xml:space="preserve">Отплата главнице страним извозно увозним банкама                                                                 </t>
  </si>
  <si>
    <t xml:space="preserve">Отплата главнице осталим страним владама                                                                  </t>
  </si>
  <si>
    <t xml:space="preserve">Отплата главнице светској банци                                                                   </t>
  </si>
  <si>
    <t xml:space="preserve">Отплата главнице ibrd                                                                    </t>
  </si>
  <si>
    <t xml:space="preserve">Отплата главнице ebrd                                                                    </t>
  </si>
  <si>
    <t xml:space="preserve">Отплата главнице eib                                                                    </t>
  </si>
  <si>
    <t xml:space="preserve">Отплата главнице ceb                                                                    </t>
  </si>
  <si>
    <t xml:space="preserve">Отплата главнице осталим мултилатералним институцијама                                                                  </t>
  </si>
  <si>
    <t xml:space="preserve">Отплата главнице страним пословним банкама                                                                  </t>
  </si>
  <si>
    <t xml:space="preserve">Отплата главнице лондонском клубу                                                                   </t>
  </si>
  <si>
    <t xml:space="preserve">Отплата главнице осталим страним пословним банкама                                                                 </t>
  </si>
  <si>
    <t xml:space="preserve">Отплата главнице осталим страним кредиторима                                                                  </t>
  </si>
  <si>
    <t xml:space="preserve">Исправка спољног дуга за средства отплаћена у фискалној години                                                              </t>
  </si>
  <si>
    <t xml:space="preserve">Отплата главнице зa финансијски лизинг                                                                  </t>
  </si>
  <si>
    <t xml:space="preserve">Набавка домаћих краткорочних хартија од вредности, изузев акција                                                               </t>
  </si>
  <si>
    <t xml:space="preserve">Кредити домаћим нефинансијским јавним институцијама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</si>
  <si>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</si>
  <si>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</si>
  <si>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невладиним организацијама у земљи                                                                  </t>
  </si>
  <si>
    <t xml:space="preserve">Учешће капитала у домаћим нефинансијским јавним предузећима и институцијама                                                              </t>
  </si>
  <si>
    <t xml:space="preserve">Учешће капитала у осталим јавним финансијским институцијама у земљи                                                              </t>
  </si>
  <si>
    <t xml:space="preserve">Набавка страних краткорочних хартија од вредности, изузев акција                                                               </t>
  </si>
  <si>
    <t xml:space="preserve">Набавка страних дугорочних хартија од вредности, изузев акција                                                               </t>
  </si>
  <si>
    <t xml:space="preserve">Набавка финансијске имовине која се финансира из средстава за реализацију  националног инвестиционог плана                                                         </t>
  </si>
  <si>
    <t xml:space="preserve">Набавка финансијске имовине која се финансира из средстава за реализацију националног инвестиционог плана                                                          </t>
  </si>
  <si>
    <t xml:space="preserve">Контра књижење – издаци за отплату главнице и набавку финансијске имовине                                                            </t>
  </si>
  <si>
    <t>700000</t>
  </si>
  <si>
    <t xml:space="preserve">Текући приходи                                                                     </t>
  </si>
  <si>
    <t xml:space="preserve">Порези                                                                      </t>
  </si>
  <si>
    <t xml:space="preserve">Порез на доходак, добит и капиталне добитке                                                                </t>
  </si>
  <si>
    <t xml:space="preserve">Порези на доходак и капиталне добитке које плаћају физичка лица                                                             </t>
  </si>
  <si>
    <t xml:space="preserve">Порез на зараде                                                                    </t>
  </si>
  <si>
    <t xml:space="preserve">Порез на приходе од самосталних делатности                                                                 </t>
  </si>
  <si>
    <t xml:space="preserve">Порез на приходе од самосталних делатности који се плаћа према стварно оствареном приходу, по решењу пореске управе                                                      </t>
  </si>
  <si>
    <t xml:space="preserve">Порез на приходе од самосталних делатности који се плаћа према паушално утврђеном приходу, по решењу пореске управе                                                      </t>
  </si>
  <si>
    <t xml:space="preserve">Порез на приходе од ауторских права                                                                 </t>
  </si>
  <si>
    <t xml:space="preserve">Порез на приходе од ауторских права, права сродних ауторском праву и права индустријске својине                                                         </t>
  </si>
  <si>
    <t xml:space="preserve">Порез на приходе од имовине                                                                  </t>
  </si>
  <si>
    <t xml:space="preserve">Порез на дивиденде и уделе у добити                                                                </t>
  </si>
  <si>
    <t xml:space="preserve">Порез на приходе од камате                                                                  </t>
  </si>
  <si>
    <t xml:space="preserve">Порез на приходе од непокретности                                                                  </t>
  </si>
  <si>
    <t xml:space="preserve">Порез на капиталне добитке, по решењу пореске управе                                                               </t>
  </si>
  <si>
    <t xml:space="preserve">Порез на приходе од давања у закуп покретних ствари                                                              </t>
  </si>
  <si>
    <t xml:space="preserve">Порез на приход од пољопривреде и шумарства, по решењу пореске управе                                                            </t>
  </si>
  <si>
    <t xml:space="preserve">Порез на земљиште                                                                    </t>
  </si>
  <si>
    <t xml:space="preserve">Порез на приходе од непокретности, по решењу пореске управе                                                              </t>
  </si>
  <si>
    <t xml:space="preserve">Порез на приходе од давања у закуп покретних ствари, по решењу пореске управе                                                          </t>
  </si>
  <si>
    <t xml:space="preserve">Порез на добитке од игара на срећу                                                                </t>
  </si>
  <si>
    <t xml:space="preserve">Порез на приходе од осигурања лица                                                                 </t>
  </si>
  <si>
    <t xml:space="preserve">Годишњи порез на доходак грађана                                                                  </t>
  </si>
  <si>
    <t xml:space="preserve">Самодоприноси                                                                      </t>
  </si>
  <si>
    <t xml:space="preserve">Самодопринос према зарадама запослених и по основу пензија на територији месне заједнице и општине                                                         </t>
  </si>
  <si>
    <t xml:space="preserve">Самодопринос према зарадама запослених и по основу пензија на територији града                                                            </t>
  </si>
  <si>
    <t xml:space="preserve">Самодопринос из прихода од пољопривреде и шумарства                                                                </t>
  </si>
  <si>
    <t xml:space="preserve">Самодопринос из прихода лица која се баве самосталном делатношћу                                                              </t>
  </si>
  <si>
    <t xml:space="preserve">Самодопринос на вредност имовине                                                                   </t>
  </si>
  <si>
    <t xml:space="preserve">Порез на друге приходе                                                                   </t>
  </si>
  <si>
    <t xml:space="preserve">Порез на остале приходе                                                                   </t>
  </si>
  <si>
    <t xml:space="preserve">Порез на непријављени приход утврђен унакрсном проценом                                                                </t>
  </si>
  <si>
    <t xml:space="preserve">Порез на приходе спортиста и спортских стручњака                                                                </t>
  </si>
  <si>
    <t xml:space="preserve">Порез по одбитку за приходе по основу извођења естрадног, забавног, уметничког, спортског или сличног програма                                                        </t>
  </si>
  <si>
    <t xml:space="preserve">Порез по одбитку на накнаду исплаћену по основу промета секундарних сировина и отпада                                                          </t>
  </si>
  <si>
    <t xml:space="preserve">Порези на добит и капиталне добитке које плаћају предузећа и друга правна лица                                                          </t>
  </si>
  <si>
    <t xml:space="preserve">Порез на добит предузећа                                                                   </t>
  </si>
  <si>
    <t xml:space="preserve">Порез на добит правних лица                                                                  </t>
  </si>
  <si>
    <t xml:space="preserve">Порез на добит правних лица који се као порез по одбитку обрачунава на дивиденде које се исплаћују резидентима                                                     </t>
  </si>
  <si>
    <t xml:space="preserve">Порез на добит правних лица који се обрачунава и наплаћује као порез по одбитку на дивиденде које се исплаћују нерезидентима                                                   </t>
  </si>
  <si>
    <t xml:space="preserve">Порез на добит правних лица који се као порез по одбитку обрачунава на камате које се исплаћују нерезидентима                                                     </t>
  </si>
  <si>
    <t xml:space="preserve">Порез на добит правних лица који се као порез по одбитку обрачунава на ауторске накнаде које се исплаћују нерезидентима                                                    </t>
  </si>
  <si>
    <t xml:space="preserve">Порез на добит правних лица који се као порез по одбитку обрачунава на капиталне добитке које остваре нерезиденти                                                     </t>
  </si>
  <si>
    <t xml:space="preserve">Порез на добит правних лица који се као порез по одбитку обрачунава на накнаде по основу закупа непокретности и покретних ствари које се исплаћују нерезидентима                                              </t>
  </si>
  <si>
    <t xml:space="preserve">Порез на добит правних лица који се као порез по одбитку обрачунава на приходе које остварују нерезидентна правна лица, по основу вишка стечајне масе, односно расподеле ликвидационог остатка                                           </t>
  </si>
  <si>
    <t xml:space="preserve">Порези на доходак, добит и капиталне добитке који се не могу разврстати између физичких и правних лица                                                      </t>
  </si>
  <si>
    <t xml:space="preserve">Порез на фонд зарада                                                                   </t>
  </si>
  <si>
    <t xml:space="preserve">Порез на фонд зарада запослених који се финансирају из буџета и фондова обавезног социјалног осигурања                                                        </t>
  </si>
  <si>
    <t xml:space="preserve">Порез на фонд зарада осталих запослених                                                                 </t>
  </si>
  <si>
    <t xml:space="preserve">Порез на фонд зарада лица која остварују приходе од ауторских права и права индустријске својине                                                        </t>
  </si>
  <si>
    <t xml:space="preserve">Порез на имовину                                                                    </t>
  </si>
  <si>
    <t xml:space="preserve">Периодични порези на непокретности                                                                   </t>
  </si>
  <si>
    <t xml:space="preserve">Посебан порез на необрађено обрадиво пољопривредно земљиште                                                                </t>
  </si>
  <si>
    <t xml:space="preserve">Посебан порез на необрађено обрадиво пољопривредно земљиште, по решењу пореске управе                                                            </t>
  </si>
  <si>
    <t xml:space="preserve">Порез на имовину (осим на земљиште, акције и уделе) од физичких лица                                                           </t>
  </si>
  <si>
    <t xml:space="preserve">Порез на имовину (осим на земљиште, акције и уделе) од правних лица                                                           </t>
  </si>
  <si>
    <t xml:space="preserve">Периодични порези на нето имовину                                                                  </t>
  </si>
  <si>
    <t xml:space="preserve">Порези на заоставштину, наслеђе и поклон                                                                 </t>
  </si>
  <si>
    <t xml:space="preserve">Порез на наслеђе и поклон                                                                  </t>
  </si>
  <si>
    <t xml:space="preserve">Порез на наслеђе и поклон по решењу пореске управе                                                              </t>
  </si>
  <si>
    <t xml:space="preserve">Порези на финансијске и капиталне трансакције                                                                 </t>
  </si>
  <si>
    <t xml:space="preserve">Порез на капиталне трансакције                                                                   </t>
  </si>
  <si>
    <t xml:space="preserve">Порез на пренос апсолутних права на непокретности, по решењу пореске управе                                                            </t>
  </si>
  <si>
    <t xml:space="preserve">Порез на пренос апсолутних права на акцијама и другим хартијама од вредности, по решењу пореске управе                                                       </t>
  </si>
  <si>
    <t xml:space="preserve">Порез на пренос апсолутних права на половним моторним возилима и пловним објектима, по решењу пореске управе                                                       </t>
  </si>
  <si>
    <t xml:space="preserve">Порез на пренос апсолутних права на осталим објектима, по решењу пореске управе                                                           </t>
  </si>
  <si>
    <t xml:space="preserve">Други једнократни порези на имовину                                                                  </t>
  </si>
  <si>
    <t xml:space="preserve">Други периодични порези на имовину                                                                  </t>
  </si>
  <si>
    <t xml:space="preserve">Порез на акције на име и уделе                                                                </t>
  </si>
  <si>
    <t xml:space="preserve">Порез на добра и услуге                                                                  </t>
  </si>
  <si>
    <t xml:space="preserve">Општи порези на добра и услуге                                                                 </t>
  </si>
  <si>
    <t xml:space="preserve">Порези на додату вредност                                                                   </t>
  </si>
  <si>
    <t xml:space="preserve">Порез на промет дуванских прерађевина, алкохолних пића и кафе                                                              </t>
  </si>
  <si>
    <t xml:space="preserve">Порез на додату вредност при увозу                                                                 </t>
  </si>
  <si>
    <t xml:space="preserve">Порез на додату вредност за промет добара домаћег порекла са територије ап косово и метохија на територију републике ван територије ап косово и метохија                                               </t>
  </si>
  <si>
    <t xml:space="preserve">Једнофазни порези на промет                                                                   </t>
  </si>
  <si>
    <t xml:space="preserve">Порез на промет производа (општи режим)                                                                 </t>
  </si>
  <si>
    <t xml:space="preserve">Порез на промет лекова са посебне листе                                                                </t>
  </si>
  <si>
    <t xml:space="preserve">Порез на промет осталих лекова, медицинских средстава, ортопедских помагала и слично                                                            </t>
  </si>
  <si>
    <t xml:space="preserve">Порез на промет производа остварен при увозу                                                                </t>
  </si>
  <si>
    <t xml:space="preserve">Такса на продајну цену робе у слободним царинским продавницама                                                              </t>
  </si>
  <si>
    <t xml:space="preserve">Накнада за стављање у промет заштићених дивљих биљних и животињских врста                                                            </t>
  </si>
  <si>
    <t xml:space="preserve">Средства црвеног крста србије по члану 15. закона о црвеном крсту србије – током „недеље црвеног крста” од 8. до 15. маја и „недеље солидарности” од 14. до 21. септембра                                         </t>
  </si>
  <si>
    <t xml:space="preserve">Средства црвеног крста србије по члану 16. закона о црвеном крсту србије – од сваке продате карте за манифестације међународног карактера (културне, забавне, спортске и слично) током целе календарске године                                         </t>
  </si>
  <si>
    <t xml:space="preserve">Порез на промет нових моторних возила                                                                 </t>
  </si>
  <si>
    <t xml:space="preserve">Кумулативни вишефазни порези на промет                                                                  </t>
  </si>
  <si>
    <t xml:space="preserve">Порез на промет услуга промета производа на велико                                                               </t>
  </si>
  <si>
    <t xml:space="preserve">Порез на промет комуналних услуга                                                                  </t>
  </si>
  <si>
    <t xml:space="preserve">Порез на промет финансијских услуга (камате за дате кредите и позајмице, банкарске и друге услуге, услуге платног промета, берзанске услуге и услуге осигурања и реосигурања)                                              </t>
  </si>
  <si>
    <t xml:space="preserve">Порез на промет угоститељских и туристичких услуга                                                                </t>
  </si>
  <si>
    <t xml:space="preserve">Порез на промет услуга организовања приредби и естрада                                                               </t>
  </si>
  <si>
    <t xml:space="preserve">Порез на промет услуга приређивања игара на срећу                                                               </t>
  </si>
  <si>
    <t xml:space="preserve">Порез на промет услуга од приређивања игара на срећу помоћу аутомата, који се плаћа у паушалном износу                                                      </t>
  </si>
  <si>
    <t xml:space="preserve">Порез на промет услуга у годишњем паушалном износу, по решењу пореске  управе                                                          </t>
  </si>
  <si>
    <t xml:space="preserve">Порез на промет осталих услуга                                                                  </t>
  </si>
  <si>
    <t xml:space="preserve">Порез на премије неживотних осигурања                                                                  </t>
  </si>
  <si>
    <t xml:space="preserve">Добит фискалних монопола                                                                    </t>
  </si>
  <si>
    <t xml:space="preserve">Порези на појединачне услуге                                                                   </t>
  </si>
  <si>
    <t xml:space="preserve">Комунална такса за приређивање музичког програма у угоститељским објектима                                                              </t>
  </si>
  <si>
    <t xml:space="preserve">Комунална такса за држање музичких уређаја и приређивање музичког програма у угоститељским објектима                                                          </t>
  </si>
  <si>
    <t xml:space="preserve">Комунална такса за коришћење рекламних паноа                                                                 </t>
  </si>
  <si>
    <t xml:space="preserve">Средства за ванредне ситуације                                                                   </t>
  </si>
  <si>
    <t xml:space="preserve">Средства остварена на основу издвајања осигуравајућих друштава у висини 0,05 од наплаћене премије осигурања од пожара и других опасности у корист буџетског фонда за ванредне ситуације                                             </t>
  </si>
  <si>
    <t xml:space="preserve">Средства правних лица која за осигурање од пожара своје имовине оснивају властите осигуравајуће фондове у висини 0,03 од премије осигурања од пожара у корист буџетског фонда за ванредне ситуације                                          </t>
  </si>
  <si>
    <t xml:space="preserve">Средства остварена на основу издвајања осигуравајућих друштава у висини 0,05 од прихода наплаћеног обавезног осигурања транспорта опасних материја у друмском, железничком, речном и ваздушном саобраћају у корист буџетског фонда за ванредне ситуације                                       </t>
  </si>
  <si>
    <t xml:space="preserve">Средства наплаћена од привредних субјеката на годишњем нивоу, који се баве производњом, прерадом, ускладиштењем, дистрибуцијом и продајом запаљивих течности, експлозивних материја и гасова, по основу укупних инсталационих капацитета ускладиштења и главне мерне регулационе станице на магистралном гасоводу у корист буџетског фонда за ванредне ситуације                           </t>
  </si>
  <si>
    <t xml:space="preserve">Средства остварена на основу издвајања надлежног органа за послове цивилног ваздухопловства, намењена, за потребе службе за трагање и спасавање у случају удеса ваздухоплова у корист буџетског фонда за ванредне ситуације                                         </t>
  </si>
  <si>
    <t xml:space="preserve">Средства остварена по основу 1% прихода од продаје улазница за спортске догађаје, по пријављеном догађају министарству унутрашњих послова у корист буџетског фонда за ванредне ситуације                                              </t>
  </si>
  <si>
    <t xml:space="preserve">Порези, таксе и накнаде на употребу добара, на дозволу да се добра употребљавају или делатности обављају                                                       </t>
  </si>
  <si>
    <t xml:space="preserve">Порези, таксе и накнаде на моторна возила                                                                </t>
  </si>
  <si>
    <t xml:space="preserve">Порез на употребу моторних возила                                                                  </t>
  </si>
  <si>
    <t xml:space="preserve">Посебна такса за регистрацију одређених моторних возила                                                                </t>
  </si>
  <si>
    <t xml:space="preserve">Комунална такса за држање моторних друмских и прикључних возила, осим пољопривредних возила и машина                                                         </t>
  </si>
  <si>
    <t xml:space="preserve">Годишња накнада за моторна возила, тракторе и прикључна возила                                                              </t>
  </si>
  <si>
    <t xml:space="preserve">Годишња накнада за остала возила на моторни погон                                                               </t>
  </si>
  <si>
    <t xml:space="preserve">Посебна накнада за регистрацију одређених возила                                                                 </t>
  </si>
  <si>
    <t xml:space="preserve">Порези на употребу, држање и ношење добара                                                                </t>
  </si>
  <si>
    <t xml:space="preserve">Порез на употребу мобилног телефона                                                                  </t>
  </si>
  <si>
    <t xml:space="preserve">Порез на употребу пловних објеката                                                                  </t>
  </si>
  <si>
    <t xml:space="preserve">Порез на употребу ваздухоплова и летелица                                                                 </t>
  </si>
  <si>
    <t xml:space="preserve">Порез на регистровано оружје                                                                   </t>
  </si>
  <si>
    <t xml:space="preserve">Накнада за ванредни превоз на државном путу                                                                </t>
  </si>
  <si>
    <t xml:space="preserve">Републичке таксе и накнаде за посебне производе и посебне активности                                                             </t>
  </si>
  <si>
    <t xml:space="preserve">Такса за приказивање филмова на телевизији и у средствима јавног превоза                                                            </t>
  </si>
  <si>
    <t xml:space="preserve">Такса за контролну маркицу за видео касете                                                                </t>
  </si>
  <si>
    <t xml:space="preserve">Средства за увођење, функционисање и унапређење система за праћење, контролу и регулисање саобраћаја - видео надзор на путевима од 0,012 бруто премије осигурања од аутоодговорности                                              </t>
  </si>
  <si>
    <t xml:space="preserve">Посебна накнада на цигарете из члана 70. став 2. закона о дувану                                                           </t>
  </si>
  <si>
    <t xml:space="preserve">Накнаде за коришћење добара од општег интереса                                                                </t>
  </si>
  <si>
    <t xml:space="preserve">Накнада за коришћење вода                                                                   </t>
  </si>
  <si>
    <t xml:space="preserve">Накнада за заштиту вода                                                                   </t>
  </si>
  <si>
    <t xml:space="preserve">Накнада за промену намене обрадивог пољопривредног земљишта                                                                </t>
  </si>
  <si>
    <t xml:space="preserve">Накнада за инвестиције у износу од 0,01 предрачунске вредности објекта или радова                                                           </t>
  </si>
  <si>
    <t xml:space="preserve">Накнада за загађивање природних богатстава                                                                  </t>
  </si>
  <si>
    <t xml:space="preserve">Накнада за коришћење рибарских подручја                                                                  </t>
  </si>
  <si>
    <t xml:space="preserve">Накнада за загађивање животне средине                                                                  </t>
  </si>
  <si>
    <t xml:space="preserve">Накнада за супстанце које оштећују озонски омотач и накнада за пластичне кесе                                                           </t>
  </si>
  <si>
    <t xml:space="preserve">Накнада од емисије so2, no2, прашкастих материја и одложеног отпада                                                             </t>
  </si>
  <si>
    <t xml:space="preserve">Концесионе накнаде и боравишне таксе                                                                  </t>
  </si>
  <si>
    <t xml:space="preserve">Концесиона накнада                                                                     </t>
  </si>
  <si>
    <t xml:space="preserve">Боравишна такса                                                                     </t>
  </si>
  <si>
    <t xml:space="preserve">Општинске и градске накнаде                                                                   </t>
  </si>
  <si>
    <t xml:space="preserve">Посебна накнада за заштиту и унапређење животне средине                                                               </t>
  </si>
  <si>
    <t xml:space="preserve">Концесиона накнада за обављање комуналних делатности и приходи од других концесионих послова, које јединице локалне самоуправе закључе у складу са законом                                                  </t>
  </si>
  <si>
    <t xml:space="preserve">Накнада за постављање објеката, односно средстава за оглашавање и других објеката и средстава                                                          </t>
  </si>
  <si>
    <t xml:space="preserve">Општинске и градске комуналне таксе                                                                  </t>
  </si>
  <si>
    <t xml:space="preserve">Комунална такса за држање кућних и егзотичних животиња                                                               </t>
  </si>
  <si>
    <t xml:space="preserve">Комунална такса за држање средстава за игру („забавне игре”)                                                              </t>
  </si>
  <si>
    <t xml:space="preserve">Комунална такса за коришћење витрина ради излагања робе ван пословне просторије                                                            </t>
  </si>
  <si>
    <t xml:space="preserve">Комунална такса за држање и коришћење пловних постројења, пловних направа и других објеката на води, осим пристана који се користе у пограничном речном саобраћају                                               </t>
  </si>
  <si>
    <t xml:space="preserve">Комунална такса за држање и коришћење чамаца и сплавова на води, осим чамаца које користе организације које одржавају и обележавају пловне путеве                                                 </t>
  </si>
  <si>
    <t xml:space="preserve">Комунална такса за држање ресторана и других угоститељских и забавних објеката на води                                                          </t>
  </si>
  <si>
    <t xml:space="preserve">Накнаде за коришћење државних путева                                                                  </t>
  </si>
  <si>
    <t xml:space="preserve">Посебна накнада за употребу државног пута, његовог дела или путног објекта (путарина)                                                           </t>
  </si>
  <si>
    <t xml:space="preserve">Накнада за прикључење прилазног пута на државни пут                                                               </t>
  </si>
  <si>
    <t xml:space="preserve">Накнада за постављање водовода, канализације, електричних, телефонских и телеграфских водова и сл. на државном путу                                                        </t>
  </si>
  <si>
    <t xml:space="preserve">Годишња накнада за коришћење комерцијалних објеката којима је омогућен приступ са државног пута                                                          </t>
  </si>
  <si>
    <t xml:space="preserve">Накнада за употребу државног пута за возила регистрована у иностранству                                                             </t>
  </si>
  <si>
    <t xml:space="preserve">Накнада за прекомерно коришћење државног пута, његовог дела или путног објекта                                                            </t>
  </si>
  <si>
    <t xml:space="preserve">Накнада за изградњу комерцијалних објеката којима је омогућен приступ са државног пута                                                           </t>
  </si>
  <si>
    <t xml:space="preserve">Накнаде за коришћење општинских путева и улица                                                                </t>
  </si>
  <si>
    <t xml:space="preserve">Посебна накнада за употребу општинског пута и улице, њиховог дела или путног објекта, ако је управљач пута надлежни орган локалне самоуправе                                                  </t>
  </si>
  <si>
    <t xml:space="preserve">Накнада за прикључење прилазног пута на општински пут и улицу, ако је управљач пута надлежни орган локалне самоуправе                                                     </t>
  </si>
  <si>
    <t xml:space="preserve">Накнада за постављање водовода, канализације, електричних, телефонских и телеграфских водова и сл. на општинском путу и улици, ако је управљач пута надлежни орган локалне самоуправе                                              </t>
  </si>
  <si>
    <t xml:space="preserve">Годишња накнада за коришћење комерцијалних објеката којима је омогућен приступ са општинског пута и улице, ако је управљач пута надлежни орган локалне самоуправе                                                </t>
  </si>
  <si>
    <t xml:space="preserve">Накнада за постављање објеката и средстава за оглашавање и обавештавање у пределу општинског пута и улице, ако је управљач пута надлежни орган локалне самоуправе                                               </t>
  </si>
  <si>
    <t xml:space="preserve">Накнада за прекомерно коришћење општинског пута, његовог дела или путног објекта, ако је управљач пута надлежни орган локалне самоуправе                                                    </t>
  </si>
  <si>
    <t xml:space="preserve">Накнада за изградњу комерцијалних објеката којима је омогућен приступ са општинског пута , ако је управљач пута надлежни орган локалне самоуправе                                                  </t>
  </si>
  <si>
    <t xml:space="preserve">Накнада за ванредни превоз на општинском путу и улици, ако је управљач пута надлежни орган локалне самоуправе                                                      </t>
  </si>
  <si>
    <t xml:space="preserve">Накнада за закуп делова земљишног појаса општинског пута и улице, ако је управљач пута надлежни орган локалне самоуправе                                                     </t>
  </si>
  <si>
    <t xml:space="preserve">Други порези на добра и услуге                                                                 </t>
  </si>
  <si>
    <t xml:space="preserve">Порез на међународну трговину и трансакције                                                                 </t>
  </si>
  <si>
    <t xml:space="preserve">Царине и друге увозне дажбине                                                                  </t>
  </si>
  <si>
    <t xml:space="preserve">Царинске таксе                                                                     </t>
  </si>
  <si>
    <t xml:space="preserve">Царинске дажбине                                                                     </t>
  </si>
  <si>
    <t xml:space="preserve">Остале увозне дажбине и складиштење                                                                  </t>
  </si>
  <si>
    <t xml:space="preserve">Посебна дажбина на увоз пољопривредних и прехрамбених производа                                                               </t>
  </si>
  <si>
    <t xml:space="preserve">Дажбина за царинско евидентирање                                                                   </t>
  </si>
  <si>
    <t xml:space="preserve">Дажбине за држање роба у царинским магацинима и стовариштима                                                              </t>
  </si>
  <si>
    <t xml:space="preserve">Порези на извоз                                                                    </t>
  </si>
  <si>
    <t xml:space="preserve">Добит извозних или увозних монопола                                                                  </t>
  </si>
  <si>
    <t xml:space="preserve">Добит по основу разлике између куповног и продајног девизног курса                                                             </t>
  </si>
  <si>
    <t xml:space="preserve">Порези на продају или куповину девиза                                                                 </t>
  </si>
  <si>
    <t xml:space="preserve">Други порези на међународну трговину и трансакције                                                                </t>
  </si>
  <si>
    <t>716000</t>
  </si>
  <si>
    <t xml:space="preserve">Други порези                                                                     </t>
  </si>
  <si>
    <t xml:space="preserve">Други порези које искључиво плаћају предузећа, односно предузетници                                                               </t>
  </si>
  <si>
    <t xml:space="preserve">Комунална такса на фирму                                                                   </t>
  </si>
  <si>
    <t>716111</t>
  </si>
  <si>
    <t xml:space="preserve">Комунална такса за истицање фирме на пословном простору                                                               </t>
  </si>
  <si>
    <t xml:space="preserve">Комунална такса за истицање и исписивање фирме ван пословног простора на објектима и просторима који припадају јединици локалне самоуправе (коловози, тротоари, зелене површине, бандере и сл.)                                             </t>
  </si>
  <si>
    <t xml:space="preserve">Други порези које плаћају остала лица или који се не могу идентификовати                                                           </t>
  </si>
  <si>
    <t xml:space="preserve">Средства прикупљена за време „дечије недеље”                                                                 </t>
  </si>
  <si>
    <t xml:space="preserve">Средства остварена продајом доплатне поштанске марке                                                                 </t>
  </si>
  <si>
    <t xml:space="preserve">Средства остварена продајом доплатне поштанске марке „борба против рака”                                                              </t>
  </si>
  <si>
    <t xml:space="preserve">Средства остварена продајом доплатне поштанске марке „борба против сиде”                                                              </t>
  </si>
  <si>
    <t xml:space="preserve">Средства остварена продајом доплатне поштанске марке „изградња спомен-храма светог саве”                                                             </t>
  </si>
  <si>
    <t xml:space="preserve">Средства остварена продајом доплатне поштанске марке „европско првенство у рукомету србија 2012“                                                           </t>
  </si>
  <si>
    <t xml:space="preserve">Средства остварена продајом доплатне поштанске марке „школа без насиља“                                                              </t>
  </si>
  <si>
    <t xml:space="preserve">Средства остварена продајом доплатне поштанске марке „корак напред“                                                               </t>
  </si>
  <si>
    <t xml:space="preserve">Средства остварена продајом доплатне поштанске марке „светско првенство у рвању за кадете србија 2013“                                                         </t>
  </si>
  <si>
    <t xml:space="preserve">Средства остварена продајом доплатне поштанске марке „народна библиотека србије 1832 - 2012“                                                           </t>
  </si>
  <si>
    <t xml:space="preserve">Средства остварена продајом доплатне поштанске марке „медаља се осваја срцем“                                                             </t>
  </si>
  <si>
    <t xml:space="preserve">Aкцизе                                                                      </t>
  </si>
  <si>
    <t xml:space="preserve">Акцизе на деривате нафте                                                                   </t>
  </si>
  <si>
    <t xml:space="preserve">Акцизе на деривате нафте произведене у земљи                                                                </t>
  </si>
  <si>
    <t xml:space="preserve">Акциза на моторни бензин                                                                   </t>
  </si>
  <si>
    <t xml:space="preserve">Акциза на дизел-горива                                                                    </t>
  </si>
  <si>
    <t xml:space="preserve">Акциза на све врсте моторног бензина и све врсте дизел-горива који су продати купцима са територије ап косово и метохија                                                   </t>
  </si>
  <si>
    <t xml:space="preserve">Акциза на остале деривате нафте који се добијају од фракција нафте које имају распон дестилације до 380ºс                                                      </t>
  </si>
  <si>
    <t xml:space="preserve">Акциза на течни нафтни гас                                                                  </t>
  </si>
  <si>
    <t xml:space="preserve">Акциза на оловни бензин                                                                   </t>
  </si>
  <si>
    <t xml:space="preserve">Акциза на безоловни бензин                                                                   </t>
  </si>
  <si>
    <t xml:space="preserve">Акциза на гасна уља                                                                   </t>
  </si>
  <si>
    <t xml:space="preserve">Акциза на керозин                                                                    </t>
  </si>
  <si>
    <t xml:space="preserve">Акцизе на деривате нафте при увозу                                                                 </t>
  </si>
  <si>
    <t xml:space="preserve">Акциза при увозу моторног бензина                                                                  </t>
  </si>
  <si>
    <t xml:space="preserve">Акциза при увозу дизел-горива                                                                   </t>
  </si>
  <si>
    <t xml:space="preserve">Акциза при увозу лож уља                                                                  </t>
  </si>
  <si>
    <t xml:space="preserve">Акциза при увозу осталих деривата нафте који се добијају од фракција нафте које имају распон дестилације до 380ºс                                                     </t>
  </si>
  <si>
    <t xml:space="preserve">Акциза при увозу течног нафтног гаса                                                                 </t>
  </si>
  <si>
    <t xml:space="preserve">Акциза при увозу оловног бензина                                                                  </t>
  </si>
  <si>
    <t xml:space="preserve">Акциза  при увозу безоловног бензина                                                                 </t>
  </si>
  <si>
    <t xml:space="preserve">Акциза при увозу гасних уља                                                                  </t>
  </si>
  <si>
    <t xml:space="preserve">Акциза при увозу керозина                                                                   </t>
  </si>
  <si>
    <t xml:space="preserve">Акцизе на адитиве и екстендере за додавање у погонска горива произведена у земљи                                                          </t>
  </si>
  <si>
    <t xml:space="preserve">Акциза на адитиве и екстендере за безоловни бензин                                                               </t>
  </si>
  <si>
    <t xml:space="preserve">Акциза на адитиве и екстендере за гасна уља                                                               </t>
  </si>
  <si>
    <t xml:space="preserve">Акциза на адитиве и екстендере за керозин                                                                </t>
  </si>
  <si>
    <t xml:space="preserve">Акциза на адитиве и екстендере за течни нафтни гас                                                              </t>
  </si>
  <si>
    <t xml:space="preserve">Акцизе при увозу адитива и екстендера за додавање у погонска горива                                                            </t>
  </si>
  <si>
    <t xml:space="preserve">Акциза при увозу адитива и екстендера за безоловни бензин                                                              </t>
  </si>
  <si>
    <t xml:space="preserve">Акциза при увозу адитива и екстендера за гасна уља                                                              </t>
  </si>
  <si>
    <t xml:space="preserve">Акциза при увозу адитива и екстендера за керозин                                                               </t>
  </si>
  <si>
    <t xml:space="preserve">Акциза при увозу адитива и екстендера за течни нафтни гас                                                             </t>
  </si>
  <si>
    <t xml:space="preserve">Акцизе на биогорива и биотечности                                                                  </t>
  </si>
  <si>
    <t xml:space="preserve">Акциза на биогорива и биотечности произведене у земљи                                                               </t>
  </si>
  <si>
    <t xml:space="preserve">Акциза на биогорива и биотечности из увоза                                                                </t>
  </si>
  <si>
    <t xml:space="preserve">Акцизе на дуванске прерађевине                                                                   </t>
  </si>
  <si>
    <t xml:space="preserve">Акциза на дуванске прерађевине произведене у земљи                                                                </t>
  </si>
  <si>
    <t xml:space="preserve">Акциза на цигарете групе а                                                                  </t>
  </si>
  <si>
    <t xml:space="preserve">Акциза на цигарете групе б                                                                  </t>
  </si>
  <si>
    <t xml:space="preserve">Акциза на цигарете групе ц                                                                  </t>
  </si>
  <si>
    <t xml:space="preserve">Акциза на цигарете произведене у земљи                                                                 </t>
  </si>
  <si>
    <t xml:space="preserve">Акциза на остале дуванске прерађевине                                                                  </t>
  </si>
  <si>
    <t xml:space="preserve">Акциза на дуванске прерађевине при увозу                                                                 </t>
  </si>
  <si>
    <t xml:space="preserve">Акциза при увозу цигарете групе а                                                                 </t>
  </si>
  <si>
    <t xml:space="preserve">Акциза на цигарете из увоза                                                                  </t>
  </si>
  <si>
    <t xml:space="preserve">Акциза при увозу осталих дуванских прерађевина                                                                 </t>
  </si>
  <si>
    <t xml:space="preserve">Акцизе на алкохолна пића                                                                   </t>
  </si>
  <si>
    <t xml:space="preserve">Акциза на алкохолна пића произведена у земљи                                                                </t>
  </si>
  <si>
    <t xml:space="preserve">Акциза на пиво                                                                    </t>
  </si>
  <si>
    <t xml:space="preserve">Акциза на природну ракију и вињак                                                                 </t>
  </si>
  <si>
    <t xml:space="preserve">Акциза на нискоалкохолна пића                                                                   </t>
  </si>
  <si>
    <t xml:space="preserve">Акциза на жестока алкохолна пића и ликере                                                                </t>
  </si>
  <si>
    <t xml:space="preserve">Акциза на ракије од воћа, грожђа, специјалне ракије                                                               </t>
  </si>
  <si>
    <t xml:space="preserve">Акциза на ракије од житарица и осталих пољопривредних сировина                                                              </t>
  </si>
  <si>
    <t xml:space="preserve">Акциза на остала алкохолна пића                                                                  </t>
  </si>
  <si>
    <t xml:space="preserve">Акциза на алкохолна пића при увозу                                                                 </t>
  </si>
  <si>
    <t xml:space="preserve">Акциза при увозу пива                                                                   </t>
  </si>
  <si>
    <t xml:space="preserve">Акциза при увозу природне ракије и вињака                                                                </t>
  </si>
  <si>
    <t xml:space="preserve">Акциза на нискоалкохолна пића из увоза                                                                 </t>
  </si>
  <si>
    <t xml:space="preserve">Акциза при увозу жестоких алкохолних пића и ликера                                                               </t>
  </si>
  <si>
    <t xml:space="preserve">Акциза при увозу вискија, џина, коњака и осталих алкохолних пића                                                             </t>
  </si>
  <si>
    <t xml:space="preserve">Акциза при увозу ракија од воћа, грожђа и специјалних ракија                                                             </t>
  </si>
  <si>
    <t xml:space="preserve">Акциза при увозу ракија од житарица и осталих пољопривредних сировина                                                             </t>
  </si>
  <si>
    <t xml:space="preserve">Акцизе на освежавајућа безалкохолна пића                                                                  </t>
  </si>
  <si>
    <t xml:space="preserve">Акциза при увозу освежавајућих безалкохолних пића                                                                 </t>
  </si>
  <si>
    <t xml:space="preserve">Акциза на кафу                                                                    </t>
  </si>
  <si>
    <t xml:space="preserve">Акциза при увозу кафе                                                                   </t>
  </si>
  <si>
    <t xml:space="preserve">Акциза при увозу кафе (сирова, пржена, млевена и екстракт кафе)                                                             </t>
  </si>
  <si>
    <t xml:space="preserve">Акциза при увозу непржене кафе                                                                  </t>
  </si>
  <si>
    <t xml:space="preserve">Акциза при увозу пржене кафе                                                                  </t>
  </si>
  <si>
    <t xml:space="preserve">Акциза при увозу љуспица и опни од кафе                                                               </t>
  </si>
  <si>
    <t xml:space="preserve">Акциза при увозу екстракта, есенције и концентрата од кафе                                                              </t>
  </si>
  <si>
    <t xml:space="preserve">Акциза при увозу кафе из члана 14. став 1. тач. 5) до 8) закона о акцизама                                                       </t>
  </si>
  <si>
    <t xml:space="preserve">Друге акцизе                                                                     </t>
  </si>
  <si>
    <t xml:space="preserve">Посебна такса за изравнање пореског оптерећења за робу која се упућује на територију аутономне покрајине косово и метохија                                                     </t>
  </si>
  <si>
    <t xml:space="preserve">Такса на добра која се допремају са територије аутономне покрајине косово и метохија, а на која се не плаћа акциза                                                   </t>
  </si>
  <si>
    <t xml:space="preserve">Једнократни порез на екстра профит и екстра имовину стечену коришћењем посебних погодности                                                           </t>
  </si>
  <si>
    <t xml:space="preserve">Порез на доходак, добит и капиталну добит на терет физичких лица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</si>
  <si>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</si>
  <si>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по решењу пореске управе                                           </t>
  </si>
  <si>
    <t xml:space="preserve">Порез на доходак, добит и капиталну добит на терет предузећа и осталих правних лица                                                         </t>
  </si>
  <si>
    <t xml:space="preserve">Једнократни порез по основу коришћења средстава примарне и сиве емисије новца у финансијским трансакцијама                                                         </t>
  </si>
  <si>
    <t xml:space="preserve">Једнократни порез по основу коришћења средстава примарне и сиве емисије новца у финансијским трансакцијама, по решењу пореске управе                                                     </t>
  </si>
  <si>
    <t xml:space="preserve">Једнократни порез по основу куповине девиза по званичном курсу народне банке југославије у ситуацији када је тржишни курс био виши                                                   </t>
  </si>
  <si>
    <t xml:space="preserve">Једнократни порез по основу куповине девиза по званичном курсу народне банке југославије у ситуацији када је тржишни курс био виши, по решењу пореске управе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</si>
  <si>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</si>
  <si>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по решењу пореске управе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</si>
  <si>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</si>
  <si>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по решењу пореске управе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</si>
  <si>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</si>
  <si>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 по решењу пореске управе                                   </t>
  </si>
  <si>
    <t xml:space="preserve">Једнократни порез на екстра профит и екстра имовину стечену употребом јавних средстава или других јавних ресурса под привилегованим условима                                                    </t>
  </si>
  <si>
    <t xml:space="preserve">Једнократни порез по основу снабдевања робних резерви и куповине из робних резерви под привилегованим условима (без јавне лицитације, односно непосредном погодбом) , по решењу пореске управе                                             </t>
  </si>
  <si>
    <t xml:space="preserve">Једнократни порез по основу располагања буџетским средствима, средствима организација обавезног социјалног осигурања, средствима јавних фондова и средствима јавних предузећа и јавних установа супротно прописима, односно утврђеној намени, по решењу пореске управе                                        </t>
  </si>
  <si>
    <t xml:space="preserve">Једнократни порез по основу коришћења средстава јавних прихода депонованих по камати нижој од камате која би се у тренутку депоновања могла постићи на тржишту, за пласман по вишој каматној стопи, по решењу пореске управе                                     </t>
  </si>
  <si>
    <t xml:space="preserve">Једнократни порез по основу ненаменског коришћења средстава додељених по основу дневница солидарности, средстава остварених од посебне таксе на пословне трансакције, доприноса солидарности на пословне трансакције за отклањање последица земљотреса у колубарском округу и других јавних прихода са сличном наменом, по решењу пореске управе                            </t>
  </si>
  <si>
    <t xml:space="preserve">Једнократни порез по основу коришћења средстава по основу зајма за привредни развој србије, по решењу пореске управе                                                      </t>
  </si>
  <si>
    <t xml:space="preserve">Порез на доходак, добит и капиталну добит нераспоредив између физичких и правних лица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</si>
  <si>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</si>
  <si>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по решењу пореске управе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</si>
  <si>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</si>
  <si>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по решењу пореске управе                         </t>
  </si>
  <si>
    <t xml:space="preserve">Једнократни порез по основу коришћења средстава депонованих од стране грађана у пирамидалним банкама и штедионицама као позајмица                                                      </t>
  </si>
  <si>
    <t xml:space="preserve">Једнократни порез по основу коришћења средстава депонованих од стране грађана у пирамидалним банкама и штедионицама као позајмица, по решењу пореске управе                                                  </t>
  </si>
  <si>
    <t xml:space="preserve">Остали једнократни порези на имовину                                                                  </t>
  </si>
  <si>
    <t xml:space="preserve">Једнократни порез по основу злоупотреба у приватизацији предузећа од старне директора и чланова органа управљања или чланова њихових породица                                                    </t>
  </si>
  <si>
    <t xml:space="preserve">Једнократни порез по основу злоупотреба у приватизацији предузећа од стране директора и чланова органа управљања или чланова њихових породица, по решењу пореске управе                                                </t>
  </si>
  <si>
    <t xml:space="preserve">Једнократни порез по основу откупа стана (станова) укупне површине веће од 90 метара квадратних од стране изабраног, постављеног или именованог функционера, функционера политичке странке, директора или члана органа управљања правног лица у државној, друштвеној или мешовитој својини са претежним учешћем друштвеног капитала, осим ако одговарајућим општим актом није било предвиђено право на стан веће површине, у којем се случају као припадајућа узима тако предвиђена површина, по решењу пореске управе  </t>
  </si>
  <si>
    <t xml:space="preserve">Једнократни порез по основу коришћења кредита по посебним погодностима за куповину, односно за откуп стана (станова) , по решењу пореске управе                                                  </t>
  </si>
  <si>
    <t xml:space="preserve">Једнократни порез по основу изградње репрезентативног стамбеног, односно пословног објекта, чија је укупна површина већа од прописане и дозвољене, по решењу пореске управе                                                </t>
  </si>
  <si>
    <t xml:space="preserve">Једнократни порез по основу куповине градског грађевинског или пољопривредног земљишта које је било у друштвеној својини од стране изабраног, постављеног или именованог лица, односно функционера локалне самоуправе, те чланова његове породице, када је на лицитацији учествовало само једно лице, по решењу пореске управе                            </t>
  </si>
  <si>
    <t xml:space="preserve">Остали порези које плаћају искључиво предузећа и предузетници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</si>
  <si>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</si>
  <si>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по решењу пореске управе                                           </t>
  </si>
  <si>
    <t xml:space="preserve">Остали порези које плаћају друга или неидентификована лица                                                               </t>
  </si>
  <si>
    <t xml:space="preserve">Једнократни порез по различитим основама                                                                  </t>
  </si>
  <si>
    <t xml:space="preserve">Једнократни порез по различитим основама, по решењу пореске управе                                                              </t>
  </si>
  <si>
    <t xml:space="preserve">Социјални доприноси                                                                     </t>
  </si>
  <si>
    <t xml:space="preserve">Доприноси за социјално осигурање                                                                   </t>
  </si>
  <si>
    <t xml:space="preserve">Доприноси за социјално осигурање на терет запослених                                                                </t>
  </si>
  <si>
    <t xml:space="preserve">Доприноси за пензијско и инвалидско осигурање                                                                 </t>
  </si>
  <si>
    <t xml:space="preserve">Допринос за пензијско и инвалидско осигурање запослених на терет запослених код правних лица                                                          </t>
  </si>
  <si>
    <t xml:space="preserve">Допринос за пензијско и инвалидско осигурање за запослене код физичких лица на терет запослених                                                         </t>
  </si>
  <si>
    <t xml:space="preserve">Допринос за пензијско и инвалидско осигурање запослених који су у радном односу код приватних послодаваца (самосталних делатности) на терет запослених                                                   </t>
  </si>
  <si>
    <t xml:space="preserve">Допринос за пензијско и инвалидско осигурање за лица на продуженом осигурању                                                            </t>
  </si>
  <si>
    <t xml:space="preserve">Допринос за пензијско и инвалидско осигурање за докуп стажа                                                              </t>
  </si>
  <si>
    <t xml:space="preserve">Допринос за пензијско и инвалидско осигурање запослених који обављају послове преко омладинских задруга на терет задругара                                                       </t>
  </si>
  <si>
    <t xml:space="preserve">Допринос за пензијско и инвалидско осигурање запослених који остварују накнаду по основу ауторског права, уговора о делу и других новчаних накнада на терет примаоца накнаде                                              </t>
  </si>
  <si>
    <t xml:space="preserve">Допринос за пензијско и инвалидско осигурање на терет запослених - за војне осигуранике                                                          </t>
  </si>
  <si>
    <t xml:space="preserve">Допринос за пензијско и инвалидско осигурање војних осигураника који остварују накнаду по основу ауторског права, уговора о делу и других новчаних накнада на терет примаоца накнаде                                             </t>
  </si>
  <si>
    <t xml:space="preserve">Доприноси за здравствено осигурање                                                                   </t>
  </si>
  <si>
    <t xml:space="preserve">Допринос за здравствено осигурање запослених на терет запослених                                                               </t>
  </si>
  <si>
    <t xml:space="preserve">Допринос за здравствено осигурање запослених на терет запослених - за војне осигуранике                                                           </t>
  </si>
  <si>
    <t xml:space="preserve">Доприноси за случај незапослености                                                                   </t>
  </si>
  <si>
    <t xml:space="preserve">Допринос за осигурање за случај незапослености на терет запослених                                                              </t>
  </si>
  <si>
    <t xml:space="preserve">Доприноси за социјално осигурање на терет послодавца                                                                </t>
  </si>
  <si>
    <t xml:space="preserve">Допринос за пензијско и инвалидско осигурање запослених на терет послодавца који се финансира из буџета и фондова обавезног социјалног осигурања                                                   </t>
  </si>
  <si>
    <t xml:space="preserve">Допринос за пензијско и инвалидско осигурање запослених на терет послодавца-правног лица које се не финансира из буџета и фондова обавезног социјалног осигурања                                                 </t>
  </si>
  <si>
    <t xml:space="preserve">Допринос за пензијско и инвалидско осигурање за запослене код физичких лица на терет послодавца                                                         </t>
  </si>
  <si>
    <t xml:space="preserve">Допринос за пензијско и инвалидско осигурање запослених који су у радном односу код приватних послодаваца (предузетника) на терет послодавца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</si>
  <si>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</si>
  <si>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који се финансира из буџета и фондова обавезног социјалног осигурања                                  </t>
  </si>
  <si>
    <t xml:space="preserve">Допринос за пензијско и инвалидско осигурање лица на породиљском одсуству који плаћа исплатилац накнаде зараде, односно плате                                                      </t>
  </si>
  <si>
    <t xml:space="preserve">Допринос за пензијско и инвалидско осигурање запослених који обављају послове преко омладинских задруга на терет послодавца                                                       </t>
  </si>
  <si>
    <t xml:space="preserve">Допринос за пензијско и инвалидско осигурање војних осигураника - на терет послодавца, додатни допринос за пензијско и инвалидско осигурање војних осигураника на исплаћена лична примања и друге приходе војних осигураника, којима се стаж осигурања рачуна са увећаним трајањем који плаћа послодавац, допринос за пензијско и инвалидско осигурање војних осигураника на породиљском одсуству који плаћа исплатилац накнаде зараде, односно плате            </t>
  </si>
  <si>
    <t xml:space="preserve">Допринос за здравствено осигурање запослених на терет послодавца који се финансира из буџета и фондова обавезног социјалног осигурања                                                     </t>
  </si>
  <si>
    <t xml:space="preserve">Допринос за здравствено осигурање запослених на терет послодавца који се не финансира из буџета и фондова обавезног социјалног осигурања                                                    </t>
  </si>
  <si>
    <t xml:space="preserve">Допринос за здравствено осигурање лица на породиљском одсуству који плаћа исплатилац накнаде зараде, односно плате                                                        </t>
  </si>
  <si>
    <t xml:space="preserve">Допринос за здравствено осигурање за лица која остварују друге приходе на терет послодавца који се финансира из буџета и фондова обавезног социјалног осигурања                                                </t>
  </si>
  <si>
    <t xml:space="preserve">Допринос за здравствено осигурање за лица која остварују друге приходе на терет послодавца који се не финансира из буџета и фондова обавезног социјалног осигурања                                               </t>
  </si>
  <si>
    <t xml:space="preserve">Допринос за здравствено осигурање запослених на терет послодавца - за војне осигуранике                                                           </t>
  </si>
  <si>
    <t xml:space="preserve">Допринос за осигурање за случај незапослености на терет послодавца који се финансира из буџета и фондова обавезног социјалног осигурања                                                    </t>
  </si>
  <si>
    <t xml:space="preserve">Допринос за осигурање за случај незапослености на терет послодавца који се не финансира из буџета и фондова обавезног социјалног осигурања                                                   </t>
  </si>
  <si>
    <t xml:space="preserve">Допринос за осигурање од незапослености лица на породиљском одсуству који плаћа исплатилац накнаде, односно плате                                                        </t>
  </si>
  <si>
    <t xml:space="preserve">Доприноси за социјално осигурање лица која обављају самосталну делатност и незапослених лица                                                           </t>
  </si>
  <si>
    <t xml:space="preserve">Допринос за пензијско и инвалидско осигурање за лица којима се обезбеђују права за случај инвалидности и телесног оштећења проузрокованих повредом на раду или професионалном болешћу                                              </t>
  </si>
  <si>
    <t xml:space="preserve">Допринос за пензијско и инвалидско осигурање лица која се баве пољопривредом (пољопривредник, члан домаћинства пољопривредника и мешовитог домаћинства, носилац или члан регистрованог пољопривредног газдинства) ,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</si>
  <si>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ако нису обавезно осигурани по основу запослења и лица која су оснивачи, односно власници привредних друштава који у њима раде, по решењу пореске управе                        </t>
  </si>
  <si>
    <t xml:space="preserve">Допринос за пензијско и инвалидско осигурање лица која су оснивачи, односно чланови привредних друштава, који су у радном односу у привредном друштву чији су оснивач, односно члан                                            </t>
  </si>
  <si>
    <t xml:space="preserve">Допринос за пензијско и инвалидско осигурање осигураника самосталних делатности, који обављају послове по основу уговора о делу, ауторских уговора, односно других уговора                                                 </t>
  </si>
  <si>
    <t xml:space="preserve">Допринос за пензијско и инвалидско осигурање пољопривредника који остварују накнаду по основу ауторског права, патената и техничких унапређења, уговора о делу и других уговора                                               </t>
  </si>
  <si>
    <t xml:space="preserve">Допринос за пензијско и инвалидско осигурање лица којима је обавеза плаћања доприноса утврђена од стране пензијског фонда у поступку утврђивања својства осигураника пољопривредника по члану 63. закона о доприносима за обавезно социјално осигурање                                      </t>
  </si>
  <si>
    <t xml:space="preserve">Допринос за пензијско и инвалидско осигурање којима је обавеза плаћања доприноса утврђена од стране пензијског фонда у поступку утврђивања својства осигураника самосталних делатности по члану 63. закона о доприносима за обавезно социјално осигурање                                      </t>
  </si>
  <si>
    <t xml:space="preserve">Додатни допринос за пензијско и инвалидско осигурање за стаж осигураника са увећаним трајањем лица која обављају самосталну делатност, по решењу републичког фонда за пензијско и инвалидско осигурање                                            </t>
  </si>
  <si>
    <t xml:space="preserve">Допринос за здравствено осигурање пољопривредника који се баве пољопривредом ако нису запослени или не обављају самосталну делатност као основно занимање, по решењу пореске управе                                               </t>
  </si>
  <si>
    <t xml:space="preserve">Допринос за здравствено осигурање других физичких лица која су власници, имаоци права коришћења или плодоуживања пољопривредног или шумског земљишта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</si>
  <si>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t>
  </si>
  <si>
    <t xml:space="preserve">Допринос за здравствено осигурање лица која остварују приходе од ауторских права, патената или техничких унапређења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</si>
  <si>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по решењу пореске управе                                                 </t>
  </si>
  <si>
    <t xml:space="preserve">Допринос за осигурање за случај незапослености лица која самостално обављају делатност, по решењу пореске управе                                                        </t>
  </si>
  <si>
    <t xml:space="preserve">Допринос за осигурање за случај незапослености осигураника који остварују приходе од ауторских права, патената и техничких унапређења                                                      </t>
  </si>
  <si>
    <t xml:space="preserve">Доприноси за социјално осигурање који се не могу разврстати                                                              </t>
  </si>
  <si>
    <t xml:space="preserve">Допринос за пензијско и инвалидско осигурање за осигуранике запослене, за лица којима се накнадно утврђује стаж осигурања по решењу републичког фонда за пио                                                </t>
  </si>
  <si>
    <t xml:space="preserve">Допринос за пензијско и инвалидско осигурање за добровољно осигурање                                                              </t>
  </si>
  <si>
    <t xml:space="preserve">Допринос за пензијско и инвалидско осигурање запослених, за лица која се укључују у обавезно осигурање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</si>
  <si>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самосталних делатности, по решењу пореске управе                                </t>
  </si>
  <si>
    <t xml:space="preserve">Допринос за пензијско и инвалидско осигурање по члану 13. закона о уплати доприноса за пензијско и инвалидско осигурање за поједине категорије осигураника – запослених, који за осигуранике уплаћује републички фонд за пензијско и инвалидско осигурање за осигуранике самосталних делатности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</si>
  <si>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пољопривреднике,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</si>
  <si>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самосталне делатности,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</si>
  <si>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пољопривреднике,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</si>
  <si>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 осигурани по другом основу, по решењу пореске управе                                       </t>
  </si>
  <si>
    <t xml:space="preserve">Приходи по основу неуплаћеног доприноса за здравствено осигурање по судским решењима                                                            </t>
  </si>
  <si>
    <t xml:space="preserve">Допринос за здравствено осигурање страних држављана на школовању или стручном усавршавању                                                            </t>
  </si>
  <si>
    <t xml:space="preserve">Допринос за здравствено осигурање лица која се укључују у обавезно здравствено осигурање                                                           </t>
  </si>
  <si>
    <t xml:space="preserve">Остали социјални доприноси                                                                    </t>
  </si>
  <si>
    <t xml:space="preserve">Социјални доприноси на терет осигураника                                                                  </t>
  </si>
  <si>
    <t xml:space="preserve">Социјални доприноси на терет послодаваца                                                                  </t>
  </si>
  <si>
    <t xml:space="preserve">Импутирани социјални доприноси                                                                    </t>
  </si>
  <si>
    <t>730000</t>
  </si>
  <si>
    <t xml:space="preserve">Донације и трансфери                                                                    </t>
  </si>
  <si>
    <t xml:space="preserve">Донације од иностраних држава                                                                   </t>
  </si>
  <si>
    <t xml:space="preserve">Текуће донације од иностраних држава                                                                  </t>
  </si>
  <si>
    <t xml:space="preserve">Текуће донације од иностраних држава у корист нивоа републике                                                              </t>
  </si>
  <si>
    <t xml:space="preserve">Текуће донације од иностраних држава у корист нивоа територијалних аутономија                                                             </t>
  </si>
  <si>
    <t xml:space="preserve">Текуће донације од иностраних држава у корист нивоа ап војводина                                                             </t>
  </si>
  <si>
    <t xml:space="preserve">Текуће донације од иностраних држава у корист нивоа ап косово и метохија                                                           </t>
  </si>
  <si>
    <t xml:space="preserve">Текуће донације од иностраних држава у корист нивоа градова                                                              </t>
  </si>
  <si>
    <t xml:space="preserve">Текуће донације од иностраних држава у корист нивоа општина                                                              </t>
  </si>
  <si>
    <t xml:space="preserve">Текуће донације од иностраних држава у корист организација обавезног социјалног осигурања                                                            </t>
  </si>
  <si>
    <t xml:space="preserve">Текуће донације од иностраних држава у корист републичког фонда за здравствено осигурање                                                           </t>
  </si>
  <si>
    <t xml:space="preserve">Текуће донације од иностраних држава у корист републичког фонда за пио                                                            </t>
  </si>
  <si>
    <t xml:space="preserve">Текуће донације од иностраних држава у корист националне службе за запошљавање                                                            </t>
  </si>
  <si>
    <t xml:space="preserve">Капиталне донације од иностраних држава                                                                  </t>
  </si>
  <si>
    <t xml:space="preserve">Капиталне донације од иностраних држава у корист нивоа републике                                                              </t>
  </si>
  <si>
    <t xml:space="preserve">Капиталне донације од иностраних држава у корист нивоа територијалних аутономија                                                             </t>
  </si>
  <si>
    <t xml:space="preserve">Капиталне донације од иностраних држава у корист нивоа ап војводина                                                             </t>
  </si>
  <si>
    <t xml:space="preserve">Капиталне донације од иностраних држава у корист нивоа ап косово и метохија                                                           </t>
  </si>
  <si>
    <t xml:space="preserve">Капиталне донације од иностраних држава у корист нивоа градова                                                              </t>
  </si>
  <si>
    <t xml:space="preserve">Капиталне донације од иностраних држава у корист нивоа општина                                                              </t>
  </si>
  <si>
    <t xml:space="preserve">Капиталне донације од иностраних држава у корист организација обавезног социјалног осигурања                                                            </t>
  </si>
  <si>
    <t xml:space="preserve">Капиталне донације од иностраних држава у корист републичког фонда за здравствено осигурање                                                           </t>
  </si>
  <si>
    <t xml:space="preserve">Капиталне донације од иностраних држава у корист републичког фонда за пио                                                            </t>
  </si>
  <si>
    <t xml:space="preserve">Капиталне донације од иностраних држава у корист националне службе за запошљавање                                                            </t>
  </si>
  <si>
    <t xml:space="preserve">Донације од међународних организација                                                                   </t>
  </si>
  <si>
    <t xml:space="preserve">Текуће донације од међународних организација                                                                  </t>
  </si>
  <si>
    <t xml:space="preserve">Текуће донације од међународних организација у корист нивоа републике                                                              </t>
  </si>
  <si>
    <t xml:space="preserve">Текуће донације од међународних организација у корист нивоа територијалних аутономија                                                             </t>
  </si>
  <si>
    <t xml:space="preserve">Текуће донације од међународних организација у корист нивоа ап војводина                                                             </t>
  </si>
  <si>
    <t xml:space="preserve">Текуће донације од међународних организација у корист нивоа ап косово и метохија                                                           </t>
  </si>
  <si>
    <t xml:space="preserve">Текуће донације од међународних организација у корист нивоа градова                                                              </t>
  </si>
  <si>
    <t xml:space="preserve">Текуће донације од међународних организација у корист нивоа општина                                                              </t>
  </si>
  <si>
    <t xml:space="preserve">Текуће донације од међународних организација у корист организација обавезног социјалног осигурања                                                            </t>
  </si>
  <si>
    <t xml:space="preserve">Текуће донације од међународних организација у корист републичког фонда за здравствено осигурање                                                           </t>
  </si>
  <si>
    <t xml:space="preserve">Текуће донације од међународних организација у корист републичког фонда за пио                                                            </t>
  </si>
  <si>
    <t xml:space="preserve">Текуће донације од међународних организација у корист националнe службe за запошљавање                                                            </t>
  </si>
  <si>
    <t xml:space="preserve">Капиталне донације од међународних организација                                                                  </t>
  </si>
  <si>
    <t xml:space="preserve">Капиталне донације од међународних организација у корист нивоа републике                                                              </t>
  </si>
  <si>
    <t xml:space="preserve">Капиталне донације од међународних организација у корист нивоа територијалних аутономија                                                             </t>
  </si>
  <si>
    <t xml:space="preserve">Капиталне донације од међународних организација у корист нивоа ап војводина                                                             </t>
  </si>
  <si>
    <t xml:space="preserve">Капиталне донације од међународних организација у корист нивоа ап косово и метохија                                                           </t>
  </si>
  <si>
    <t xml:space="preserve">Капиталне донације од међународних организација у корист нивоа градова                                                              </t>
  </si>
  <si>
    <t xml:space="preserve">Капиталне донације од међународних организација у корист нивоа општина                                                              </t>
  </si>
  <si>
    <t xml:space="preserve">Капиталне донације од међународних организација у корист организација обавезног социјалног осигурања                                                            </t>
  </si>
  <si>
    <t xml:space="preserve">Капиталне донације од међународних организација у корист републичког фонда за здравствено осигурање                                                           </t>
  </si>
  <si>
    <t xml:space="preserve">Капиталне донације од међународних организација у корист републичког фонда за пио                                                            </t>
  </si>
  <si>
    <t xml:space="preserve">Капиталне донације од међународних организација у корист националне службе за запошљавање                                                            </t>
  </si>
  <si>
    <t>733000</t>
  </si>
  <si>
    <t xml:space="preserve">Трансфери од других нивоа власти                                                                  </t>
  </si>
  <si>
    <t xml:space="preserve">Текући трансфери од других нивоа власти                                                                 </t>
  </si>
  <si>
    <t xml:space="preserve">Текући трансфери од других нивоа власти у корист нивоа републике                                                             </t>
  </si>
  <si>
    <t xml:space="preserve">Текући трансфери од републике и од других нивоа власти у корист нивоа територијалних аутономија                                                         </t>
  </si>
  <si>
    <t xml:space="preserve">Текући трансфери од републике у корист нивоа ап војводина                                                              </t>
  </si>
  <si>
    <t xml:space="preserve">Текући трансфери од републике у корист нивоа ап косово и метохија                                                            </t>
  </si>
  <si>
    <t xml:space="preserve">Текући трансфери од градова у корист  ап војводина                                                              </t>
  </si>
  <si>
    <t xml:space="preserve">Текући трансфери од градова  у корист  ап косово и метохија                                                           </t>
  </si>
  <si>
    <t xml:space="preserve">Текући трансфери од општина у корист  ап војводина                                                              </t>
  </si>
  <si>
    <t xml:space="preserve">Текући трансфери од општина у корист  ап косово и метохија                                                            </t>
  </si>
  <si>
    <t xml:space="preserve">Текући трансфери од других нивоа власти у корист нивоа градова                                                             </t>
  </si>
  <si>
    <t xml:space="preserve">Ненаменски трансфери од републике у корист нивоа градова                                                               </t>
  </si>
  <si>
    <t xml:space="preserve">Други текући трансфери од републике у корист нивоа градова                                                              </t>
  </si>
  <si>
    <t xml:space="preserve">Функционални трансфери од републике у корист нивоа градова                                                               </t>
  </si>
  <si>
    <t xml:space="preserve">Текући наменски трансфери, у ужем смислу, од републике у корист нивоа градова                                                           </t>
  </si>
  <si>
    <t xml:space="preserve">Функционални трансфери од ап војводина у корист нивоа градова                                                              </t>
  </si>
  <si>
    <t xml:space="preserve">Текући наменски трансфери, у ужем смислу, од ап војводина у корист нивоа градова                                                          </t>
  </si>
  <si>
    <t xml:space="preserve">Текући трансфери од општина у корист нивоа градова                                                               </t>
  </si>
  <si>
    <t xml:space="preserve">Ненаменски трансфери од ап војводина у корист нивоа општина                                                              </t>
  </si>
  <si>
    <t xml:space="preserve">Текући трансфери од других нивоа власти у корист нивоа општина                                                             </t>
  </si>
  <si>
    <t xml:space="preserve">Ненаменски трансфери од републике  у корист нивоа општина                                                              </t>
  </si>
  <si>
    <t xml:space="preserve">Други текући трансфери од републике у корист нивоа општина                                                              </t>
  </si>
  <si>
    <t xml:space="preserve">Функционални трансфери од републике у корист нивоа општина                                                               </t>
  </si>
  <si>
    <t xml:space="preserve">Текући наменски трансфери, у ужем смислу, од републике у корист нивоа општина                                                           </t>
  </si>
  <si>
    <t xml:space="preserve">Функционални трансфери од ап војводина у корист нивоа општина                                                              </t>
  </si>
  <si>
    <t xml:space="preserve">Текући наменски трансфери, у ужем смислу, од ап војводина у корист нивоа општина                                                          </t>
  </si>
  <si>
    <t xml:space="preserve">Текући трансфери градова у корист нивоа општина                                                                </t>
  </si>
  <si>
    <t xml:space="preserve">Текући трансфери од других нивоа власти у корист организација обавезног социјалног осигурања                                                           </t>
  </si>
  <si>
    <t xml:space="preserve">Текући трансфери од других нивоа власти у корист републичког фонда за здравствено осигурање                                                          </t>
  </si>
  <si>
    <t xml:space="preserve">Текући трансфери од других нивоа власти у корист републичког фонда за пио за осигуранике запослене                                                        </t>
  </si>
  <si>
    <t xml:space="preserve">Текући трансфери од других нивоа власти у корист републичког фонда за пио за осигуранике пољопривреднике                                                        </t>
  </si>
  <si>
    <t xml:space="preserve">Текући трансфери од других нивоа власти у корист републичког фонда за пио за осигуранике самосталних делатности                                                       </t>
  </si>
  <si>
    <t xml:space="preserve">Текући трансфери од других нивоа власти у корист националне службе за запошљавање                                                           </t>
  </si>
  <si>
    <t xml:space="preserve">Текући трансфери по основу доприноса за пензијско и инвалидско осигурање за поједине категорије осигураника – запослених обезбеђен у буџету републике                                                   </t>
  </si>
  <si>
    <t xml:space="preserve">Текући трансфери по основу доприноса за пензијско и инвалидско осигурање запослених за покриће разлике до најнижег износа пензије утврђене у члану 76. и члану 207. став 2. закона о пензијском и инвалидском осигурању                                      </t>
  </si>
  <si>
    <t xml:space="preserve">Допринос за пензијско и инвалидско осигурање пољопривредника за покриће разлике до најнижег износа пензије сагласно члану 76. и члану 207. став 2. закона о пензијском и инвалидском осигурању                                           </t>
  </si>
  <si>
    <t xml:space="preserve">Капитални трансфери од других нивоа власти                                                                 </t>
  </si>
  <si>
    <t xml:space="preserve">Капитални трансфери од других нивоа власти у корист нивоа републике                                                             </t>
  </si>
  <si>
    <t xml:space="preserve">Капитални трансфери од других нивоа власти у корист нивоа територијалних аутономија                                                            </t>
  </si>
  <si>
    <t xml:space="preserve">Капитални трансфери од републике у корист нивоа ап војводина                                                              </t>
  </si>
  <si>
    <t xml:space="preserve">Капитални трансфери од републике у корист нивоа ап косово и метохија                                                            </t>
  </si>
  <si>
    <t xml:space="preserve">Капитални наменски трансфери, у ужем смислу, од градова у корист нивоа ап војводина                                                          </t>
  </si>
  <si>
    <t xml:space="preserve">Капитални наменски трансфери, у ужем смислу, од градова у корист нивоа ап косово и метохија                                                        </t>
  </si>
  <si>
    <t xml:space="preserve">Капитални наменски трансфери, у ужем смислу, од општина у корист нивоа ап војводина                                                          </t>
  </si>
  <si>
    <t xml:space="preserve">Капитални наменски трансфери, у ужем смислу, од општина у корист нивоа ап косово и метохија                                                        </t>
  </si>
  <si>
    <t xml:space="preserve">Капитални трансфери од других нивоа власти у корист нивоа градова                                                             </t>
  </si>
  <si>
    <t xml:space="preserve">Капитални наменски трансфери, у ужем смислу, од републике у корист нивоа градова                                                           </t>
  </si>
  <si>
    <t xml:space="preserve">Капитални наменски трансфери, у ужем смислу, од ап војводина у корист нивоа градова                                                          </t>
  </si>
  <si>
    <t xml:space="preserve">Капитални наменски трансфери, у ужем смислу, од општина у корист нивоа градова                                                           </t>
  </si>
  <si>
    <t xml:space="preserve">Капитални трансфери од других нивоа власти у корист нивоа општина                                                             </t>
  </si>
  <si>
    <t xml:space="preserve">Капитални наменски трансфери, у ужем смислу, од републике у корист нивоа општина                                                           </t>
  </si>
  <si>
    <t xml:space="preserve">Капитални наменски трансфери, у ужем смислу, од ап војводинa у корист нивоа општина                                                          </t>
  </si>
  <si>
    <t xml:space="preserve">Капитални трансфери од градова у корист нивоа општина                                                               </t>
  </si>
  <si>
    <t xml:space="preserve">Капитални трансфери од других нивоа власти у корист организација обавезног социјалног осигурања                                                           </t>
  </si>
  <si>
    <t xml:space="preserve">Капитални трансфери од других нивоа власти у корист републичког фонда за здравствено осигурање                                                          </t>
  </si>
  <si>
    <t xml:space="preserve">Капитални трансфери од других нивоа власти у корист републичког фонда за пио                                                           </t>
  </si>
  <si>
    <t xml:space="preserve">Капитални трансфери од других нивоа власти у корист националне службе за запошљавање                                                           </t>
  </si>
  <si>
    <t>740000</t>
  </si>
  <si>
    <t xml:space="preserve">Други приходи                                                                     </t>
  </si>
  <si>
    <t>741000</t>
  </si>
  <si>
    <t xml:space="preserve">Приходи од имовине                                                                    </t>
  </si>
  <si>
    <t xml:space="preserve">Камате                                                                      </t>
  </si>
  <si>
    <t xml:space="preserve">Камате на средства консолидованог рачуна трезора републике                                                                </t>
  </si>
  <si>
    <t xml:space="preserve">Приходи буџета републике од камата на средства консолидованог рачуна трезора укључена у депозит банака                                                         </t>
  </si>
  <si>
    <t xml:space="preserve">Приходи буџета републике од камата на средства корисника буџета  укључена у депозит банака                                                         </t>
  </si>
  <si>
    <t xml:space="preserve">Камате на средства консолидованог рачуна трезора територијалних аутономија                                                               </t>
  </si>
  <si>
    <t xml:space="preserve">Камате на средства консолидованог рачуна трезора ап војводина укључена у депозит банака                                                           </t>
  </si>
  <si>
    <t xml:space="preserve">Камате на средства консолидованог рачуна трезора ап косово и метохија укључена у депозит банака                                                         </t>
  </si>
  <si>
    <t xml:space="preserve">Камате на средства консолидованог рачуна трезора града                                                                </t>
  </si>
  <si>
    <t>741141</t>
  </si>
  <si>
    <t xml:space="preserve">Приходи буџета града од камата на средства консолидованог рачуна трезора укључена у депозит банака                                                         </t>
  </si>
  <si>
    <t xml:space="preserve">Приходи од камата на средства корисника буџета града која су укључена у депозит пословне банке са којом надлежни орган града закључи уговор о депоновању средстава по виђењу                                            </t>
  </si>
  <si>
    <t xml:space="preserve">Камате на средства консолидованог рачуна трезора општина                                                                </t>
  </si>
  <si>
    <t xml:space="preserve">Приходи буџета општине од камата на средства консолидованог рачуна трезора укључена у депозит банака                                                         </t>
  </si>
  <si>
    <t xml:space="preserve">Приходи од камата на средства корисника буџета општине укључена у депозите код пословних банака код којих овлашћени општински орган потписује уговор о депоновању средстава по виђењу                                             </t>
  </si>
  <si>
    <t xml:space="preserve">Камате на средства организација обавезног социјалног осигурања                                                                </t>
  </si>
  <si>
    <t xml:space="preserve">Камате на средства републичког фонда за здравствено осигурање                                                               </t>
  </si>
  <si>
    <t xml:space="preserve">Камате на средства републичког фонда за пио                                                                </t>
  </si>
  <si>
    <t xml:space="preserve">Камате на средства националне службе за запошљавање                                                                </t>
  </si>
  <si>
    <t xml:space="preserve">Дивиденде                                                                      </t>
  </si>
  <si>
    <t xml:space="preserve">Дивиденде сцг и нбс                                                                   </t>
  </si>
  <si>
    <t xml:space="preserve">Дивиденде сцг                                                                     </t>
  </si>
  <si>
    <t xml:space="preserve">Вишак прихода по завршном рачуну нбс                                                                 </t>
  </si>
  <si>
    <t xml:space="preserve">Дивиденде буџета републике                                                                    </t>
  </si>
  <si>
    <t xml:space="preserve">Вишак прихода над расходима јавне агенције                                                                 </t>
  </si>
  <si>
    <t xml:space="preserve">Вишак прихода над расходима републичке агенције за електронске комуникације                                                              </t>
  </si>
  <si>
    <t xml:space="preserve">Вишак прихода над расходима републичке радиодифузне агенције                                                                </t>
  </si>
  <si>
    <t xml:space="preserve">Дивиденде буџета територијалних аутономија                                                                   </t>
  </si>
  <si>
    <t xml:space="preserve">Дивиденде буџета ап војводина                                                                   </t>
  </si>
  <si>
    <t xml:space="preserve">Дивиденде буџета ап косово и метохија                                                                 </t>
  </si>
  <si>
    <t xml:space="preserve">Дивиденде буџета градова                                                                    </t>
  </si>
  <si>
    <t xml:space="preserve">Дивиденде буџета општина                                                                    </t>
  </si>
  <si>
    <t xml:space="preserve">Дивиденде организација обавезног социјалног осигурања                                                                  </t>
  </si>
  <si>
    <t xml:space="preserve">Дивиденде републичког фонда за здравствено осигурање                                                                 </t>
  </si>
  <si>
    <t xml:space="preserve">Дивиденде републичког фонда за пио                                                                  </t>
  </si>
  <si>
    <t xml:space="preserve">Дивиденде националне службе за запошљавање                                                                  </t>
  </si>
  <si>
    <t xml:space="preserve">Повлачење прихода од квази корпорација                                                                  </t>
  </si>
  <si>
    <t xml:space="preserve">Приход од имовине који припада имаоцима полиса осигурања                                                               </t>
  </si>
  <si>
    <t>741411</t>
  </si>
  <si>
    <t xml:space="preserve">Приход од имовине који припада имаоцима полиса осигурања републике србије                                                             </t>
  </si>
  <si>
    <t xml:space="preserve">Приход од имовине који припада имаоцима полиса осигурања аутономне покрајине                                                             </t>
  </si>
  <si>
    <t xml:space="preserve">Приход од имовине који припада имоцима полиса осигурања градова                                                              </t>
  </si>
  <si>
    <t xml:space="preserve">Приход од имовине који припада имаоцима полиса осигурања општина                                                              </t>
  </si>
  <si>
    <t xml:space="preserve">Закуп непроизведене имовине                                                                    </t>
  </si>
  <si>
    <t>741510</t>
  </si>
  <si>
    <t xml:space="preserve">Накнада за коришћење природних добара                                                                  </t>
  </si>
  <si>
    <t xml:space="preserve">Накнада за коришћење минералних сировина и геотермалних ресурса                                                               </t>
  </si>
  <si>
    <t xml:space="preserve">Накнада за искрчену шуму                                                                   </t>
  </si>
  <si>
    <t xml:space="preserve">Накнада за посечено дрво                                                                   </t>
  </si>
  <si>
    <t xml:space="preserve">Накнада за коришћење шума и шумског земљишта кад се даје за испашу                                                           </t>
  </si>
  <si>
    <t xml:space="preserve">Накнада за извађени материјал из водотока                                                                 </t>
  </si>
  <si>
    <t xml:space="preserve">Накнада за коришћење минералних сировина и геотермалних ресурса када се експлоатација врши на територији аутономне покрајине                                                       </t>
  </si>
  <si>
    <t xml:space="preserve">Накнада за примењена геолошка истраживања минералних и других геолошких ресурса                                                             </t>
  </si>
  <si>
    <t>741520</t>
  </si>
  <si>
    <t xml:space="preserve">Накнада за коришћење шумског и пољопривредног земљишта                                                                </t>
  </si>
  <si>
    <t xml:space="preserve">Накнада за коришћење шумског земљишта кад се даје у закуп                                                             </t>
  </si>
  <si>
    <t xml:space="preserve">Средства остварена од давања у закуп пољопривредног земљишта, односно пољопривредног објекта у државној својини                                                         </t>
  </si>
  <si>
    <t xml:space="preserve">Накнада за умањену вредност вишегодишњих засада                                                                 </t>
  </si>
  <si>
    <t xml:space="preserve">Накнада за коришћење ловостајем заштићених врста дивљачи                                                                </t>
  </si>
  <si>
    <t xml:space="preserve">Накнада за ловну карту                                                                   </t>
  </si>
  <si>
    <t xml:space="preserve">Накнада за коришћење шума и шумског земљишта                                                                </t>
  </si>
  <si>
    <t xml:space="preserve">Накнада за заштиту, коришћење и унапређивање општекорисних функција шуме                                                              </t>
  </si>
  <si>
    <t xml:space="preserve">Накнада за промену намене шума                                                                  </t>
  </si>
  <si>
    <t xml:space="preserve">Средства остварена отуђењем шума и шумског земљишта у државној својини                                                             </t>
  </si>
  <si>
    <t xml:space="preserve">Накнада за коришћење простора и грађевинског земљишта                                                                </t>
  </si>
  <si>
    <t>741531</t>
  </si>
  <si>
    <t xml:space="preserve">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                                        </t>
  </si>
  <si>
    <t>741532</t>
  </si>
  <si>
    <t xml:space="preserve">Комунална такса за коришћење простора за паркирање друмских моторних и прикључних возила на уређеним и обележеним местима                                                      </t>
  </si>
  <si>
    <t>741533</t>
  </si>
  <si>
    <t xml:space="preserve">Комунална такса за коришћење слободних површина за кампове, постављање шатора или друге облике привременог коришћења                                                        </t>
  </si>
  <si>
    <t>741534</t>
  </si>
  <si>
    <t xml:space="preserve">Накнада за коришћење грађевинског земљишта                                                                  </t>
  </si>
  <si>
    <t>741535</t>
  </si>
  <si>
    <t xml:space="preserve">Комунална такса за заузеће јавне површине грађевинским материјалом                                                               </t>
  </si>
  <si>
    <t xml:space="preserve">Приходи остварени по основу давања у закуп станова намењених за решавање стамбених потреба избеглица                                                         </t>
  </si>
  <si>
    <t xml:space="preserve">Приходи остварени по основу давања у закуп грађевинског земљишта у јавној својини републике србије                                                         </t>
  </si>
  <si>
    <t xml:space="preserve">Накнаде за коришћење речних обала, туристичких погодности  и бања                                                             </t>
  </si>
  <si>
    <t xml:space="preserve">Комунална такса за коришћење обале у пословне и било које друге сврхе                                                           </t>
  </si>
  <si>
    <t>741542</t>
  </si>
  <si>
    <t xml:space="preserve">Накнада за коришћење природног лековитог фактора                                                                 </t>
  </si>
  <si>
    <t xml:space="preserve">Туристичка накнада                                                                     </t>
  </si>
  <si>
    <t xml:space="preserve">Накнада за коришћење добара од општег интереса у производњи електричне енергије и производњи нафте и гаса                                                       </t>
  </si>
  <si>
    <t>741560</t>
  </si>
  <si>
    <t xml:space="preserve">Коришћење ваздухопловног простора и накнаде за воде                                                                </t>
  </si>
  <si>
    <t xml:space="preserve">Накнада за коришћење ваздухопловног простора                                                                  </t>
  </si>
  <si>
    <t xml:space="preserve">Накнада за коришћење водног добра                                                                  </t>
  </si>
  <si>
    <t xml:space="preserve">Накнада за испуштену воду                                                                   </t>
  </si>
  <si>
    <t xml:space="preserve">Накнада за загађивање вода                                                                   </t>
  </si>
  <si>
    <t xml:space="preserve">Накнада за одводњавање од физичких лица на основу решења пореске управе                                                            </t>
  </si>
  <si>
    <t xml:space="preserve">Накнада за одводњавање од правних лица                                                                 </t>
  </si>
  <si>
    <t xml:space="preserve">Накнада за коришћење водних објеката и система                                                                </t>
  </si>
  <si>
    <t xml:space="preserve">Сливна водна накнада од физичких лица на основу решења пореске управе                                                            </t>
  </si>
  <si>
    <t xml:space="preserve">Сливна водна накнада од правних лица                                                                 </t>
  </si>
  <si>
    <t xml:space="preserve">Накнада за коришћење радио фреквенција и тв канала                                                               </t>
  </si>
  <si>
    <t xml:space="preserve">Средства у износу од 1,5% од укупно остварене месечне претплате радиодифузне установе за развој домаће кинематографије                                                       </t>
  </si>
  <si>
    <t xml:space="preserve">Накнада за коришћење земљишта које припада државном  путу                                                              </t>
  </si>
  <si>
    <t xml:space="preserve">Накнада за постављање рекламних табли, рекламних паноа, уређаја за сликовно и звучно обавештење или оглашавање на државном путу, односно на другом земљишту које користи управљач државног пута, у складу са прописима                                        </t>
  </si>
  <si>
    <t xml:space="preserve">Накнада за закуп делова земљишног појаса државног пута                                                               </t>
  </si>
  <si>
    <t xml:space="preserve">Накнада за закуп другог земљишта које користи управљач државног пута                                                             </t>
  </si>
  <si>
    <t xml:space="preserve">Накнаде за заштиту животне средине                                                                  </t>
  </si>
  <si>
    <t xml:space="preserve">Накнада за производе који после употребе постају посебни токови отпада                                                             </t>
  </si>
  <si>
    <t xml:space="preserve">Накнада за загађивање животне средине у подручјима од посебног државног интереса у области заштите животне средине                                                       </t>
  </si>
  <si>
    <t xml:space="preserve">Накнада за стављање амбалаже у промет                                                                 </t>
  </si>
  <si>
    <t xml:space="preserve">Накнада за компензацијске мере                                                                   </t>
  </si>
  <si>
    <t xml:space="preserve">Накнада за пружање стручних услуга фонда за заштиту животне средине                                                             </t>
  </si>
  <si>
    <t>742000</t>
  </si>
  <si>
    <t xml:space="preserve">Приходи од продаје добара и услуга                                                                 </t>
  </si>
  <si>
    <t xml:space="preserve">Приходи од продаје добара и услуга или закупа од стране тржишних организација                                                           </t>
  </si>
  <si>
    <t xml:space="preserve">Приходи од продаје добара и услуга или закупа од стране тржишних организација у корист нивоа републике                                                       </t>
  </si>
  <si>
    <t xml:space="preserve">Приходи од продаје добара и услуга од стране тржишних организација у корист нивоа републике                                                         </t>
  </si>
  <si>
    <t xml:space="preserve">Приходи од давања у закуп, односно на коришћење непокретности у државној својини које користе државни органи и организације и установе – јавне службе које се финансирају из буџета републике                                          </t>
  </si>
  <si>
    <t xml:space="preserve">Приходи од давања у закуп станова које користе ратни војни инвалиди и породице палих бораца                                                        </t>
  </si>
  <si>
    <t xml:space="preserve">Накнада за лабораторијске анализе узорака хране и хране за животиње узетих током службених контрола                                                         </t>
  </si>
  <si>
    <t xml:space="preserve">Накнада за утврђивање испуњености услова за обављање производње и преглед пошиљки приликом увоза, односно извоза грожђа, шире, вина и других производа                                                  </t>
  </si>
  <si>
    <t xml:space="preserve">Трошкови обављања послова везаних за географско порекло, контроле производње грожђа намењеног за производњу вина са географским пореклом, контроле производње вина са географским пореклом, као и испитивање квалитета и сензорског оцењивања вина                                        </t>
  </si>
  <si>
    <t xml:space="preserve">Накнаде за упис у регистар сорти пољопривредног биља                                                               </t>
  </si>
  <si>
    <t xml:space="preserve">Приходи од давања у закуп непокретности чији је корисник министарство одбране                                                            </t>
  </si>
  <si>
    <t xml:space="preserve">Накнада по основу конверзије права коришћења у право својине у корист фонда за реституцију                                                         </t>
  </si>
  <si>
    <t xml:space="preserve">Приходи од продаје добара и услуга или закупа од стране тржишних организација у корист буџета територијалних аутономија                                                      </t>
  </si>
  <si>
    <t xml:space="preserve">Приходи од продаје добара и услуга од стране тржишних организација у корист буџета ап војводина                                                        </t>
  </si>
  <si>
    <t xml:space="preserve">Приходи од давања у закуп, односно на коришћење непокретности у државној својини које користе органи ап војводина                                                      </t>
  </si>
  <si>
    <t xml:space="preserve">Приходи од продаје добара и услуга од стране тржишних организација у корист буџета ап косово и метохија                                                      </t>
  </si>
  <si>
    <t xml:space="preserve">Приходи од давања у закуп, односно на коришћење непокретности у државној својини које користе органи ап косово и метохија                                                    </t>
  </si>
  <si>
    <t xml:space="preserve">Приходи од давања у закуп, односно на коришћење непокретности у покрајинској  својини које користе органи ап војводина                                                     </t>
  </si>
  <si>
    <t xml:space="preserve">Приходи од давања у закуп, односно на коришћење непокретности у покрајинској својини које користе органи ап косово и метохија                                                    </t>
  </si>
  <si>
    <t xml:space="preserve">Приходи од продаје добара или услуга од стране тржишних организација у корист нивоа градова                                                         </t>
  </si>
  <si>
    <t xml:space="preserve">Приходи од давања у закуп, односно на коришћење непокретности у државној својини које користе градови и индиректни корисници њиховог буџета                                                   </t>
  </si>
  <si>
    <t xml:space="preserve">Приходи од закупнине за грађевинско земљиште у корист нивоа градова                                                             </t>
  </si>
  <si>
    <t xml:space="preserve">Накнада по основу конверзије права коришћења у право својине у корист нивоа градова                                                          </t>
  </si>
  <si>
    <t xml:space="preserve">Приходи од давања у закуп, односно на коришћење непокретности у градској својини које користе градови и индиректни корисници њиховог буџета                                                   </t>
  </si>
  <si>
    <t xml:space="preserve">Приходи од продаје добара и услуга или закупа од стране тржишних организација у корист нивоа општина                                                       </t>
  </si>
  <si>
    <t xml:space="preserve">Приходи од продаје добара и услуга од стране тржишних организација у корист нивоа општина                                                         </t>
  </si>
  <si>
    <t xml:space="preserve">Приходи од давања у закуп, односно на коришћење непокретности у државној својини које користе општине и индиректни корисници њиховог буџета                                                   </t>
  </si>
  <si>
    <t xml:space="preserve">Приходи од закупнине за грађевинско земљиште у корист нивоа општина                                                             </t>
  </si>
  <si>
    <t xml:space="preserve">Накнада по основу конверзије права коришћења у право својине у корист нивоа општина                                                          </t>
  </si>
  <si>
    <t xml:space="preserve">Приходи од давања у закуп, односно на коришћење непокретности у општинској својини које користе општине и индиректни корисници њиховог буџета                                                   </t>
  </si>
  <si>
    <t xml:space="preserve">Приходи од закупа од стране тржишних организација у корист организација обавезног социјалног осигурања                                                          </t>
  </si>
  <si>
    <t xml:space="preserve">Приходи од закупа од стране тржишних организација у корист републичког фонда за здравствено осигурање                                                         </t>
  </si>
  <si>
    <t xml:space="preserve">Приходи од закупа од стране тржишних организација у корист републичког фонда за пио                                                          </t>
  </si>
  <si>
    <t xml:space="preserve">Приходи од закупа од стране тржишних организација у корист националнe службe за запошљавање                                                          </t>
  </si>
  <si>
    <t xml:space="preserve">Таксе и накнаде                                                                    </t>
  </si>
  <si>
    <t xml:space="preserve">Конзуларне таксе                                                                     </t>
  </si>
  <si>
    <t xml:space="preserve">Таксе у корист нивоа републике                                                                  </t>
  </si>
  <si>
    <t xml:space="preserve">Републичке административне таксе                                                                    </t>
  </si>
  <si>
    <t xml:space="preserve">Накнада за издавање и продужење уверења о здравственом стању животиња                                                             </t>
  </si>
  <si>
    <t xml:space="preserve">Накнада за извршене ветеринарско - санитарне прегледе                                                                </t>
  </si>
  <si>
    <t xml:space="preserve">Накнада за обавезни здравствени преглед пошиљки биља у промету преко државне границе, издавање уверења о здравственом стању биља у унутрашњем промету и трошкова лабораторијског испитивања узорака биља                                            </t>
  </si>
  <si>
    <t xml:space="preserve">Накнада за обележавање и евиденцију животиња                                                                 </t>
  </si>
  <si>
    <t xml:space="preserve">Средства од наплаћених трошкова за утврђивање испуњености прописаних услова из заштите на раду                                                          </t>
  </si>
  <si>
    <t xml:space="preserve">Трошкови управног поступка                                                                    </t>
  </si>
  <si>
    <t xml:space="preserve">Трошкови за издавање лиценци за обављање послова у области безбедности и здравља на раду                                                         </t>
  </si>
  <si>
    <t xml:space="preserve">Трошкови пореског поступка                                                                    </t>
  </si>
  <si>
    <t xml:space="preserve">Таксе у корист нивоа територијалних аутономија                                                                 </t>
  </si>
  <si>
    <t xml:space="preserve">Административне таксе у корист нивоа ап војводина                                                                </t>
  </si>
  <si>
    <t xml:space="preserve">Административне таксе у корист нивоа ап косово и метохија                                                              </t>
  </si>
  <si>
    <t xml:space="preserve">Таксе у корист нивоа градова                                                                  </t>
  </si>
  <si>
    <t xml:space="preserve">Градске административне таксе                                                                    </t>
  </si>
  <si>
    <t xml:space="preserve">Таксе у корист нивоа општина                                                                  </t>
  </si>
  <si>
    <t xml:space="preserve">Општинске административне таксе                                                                    </t>
  </si>
  <si>
    <t xml:space="preserve">Накнада за обавезни здравствени преглед биља                                                                 </t>
  </si>
  <si>
    <t xml:space="preserve">Накнада за уређивање грађевинског земљишта                                                                  </t>
  </si>
  <si>
    <t xml:space="preserve">Трошкови пореског и прекршајног поступка изворних јавних прихода општина и градова                                                            </t>
  </si>
  <si>
    <t xml:space="preserve">Таксе у корист организација обавезног социјалног осигурања                                                                </t>
  </si>
  <si>
    <t xml:space="preserve">Таксе у корист републичког фонда за здравствено осигурање                                                               </t>
  </si>
  <si>
    <t xml:space="preserve">Таксе у корист републичког фонда за пио                                                                </t>
  </si>
  <si>
    <t xml:space="preserve">Таксе у корист националне службе за запошљавање                                                                </t>
  </si>
  <si>
    <t xml:space="preserve">Таксе у корист републичких судова                                                                  </t>
  </si>
  <si>
    <t xml:space="preserve">Републичке судске таксе                                                                    </t>
  </si>
  <si>
    <t xml:space="preserve">Трошкови заступања у судским и управним поступцима                                                                </t>
  </si>
  <si>
    <t xml:space="preserve">Накнаде за приређивање игара на срећу                                                                 </t>
  </si>
  <si>
    <t xml:space="preserve">Накнада за дозволу за посебне игре на срећу у играчницама                                                             </t>
  </si>
  <si>
    <t xml:space="preserve">Накнада за одобрење за посебне игрe на срећу на аутоматима                                                             </t>
  </si>
  <si>
    <t xml:space="preserve">Накнада за одобрење за посебне игрe на срећу – клађење                                                             </t>
  </si>
  <si>
    <t xml:space="preserve">Накнада за приређивање класичних игара на срећу                                                                </t>
  </si>
  <si>
    <t xml:space="preserve">Накнада за приређивање посебних игара на срећу у играчницама                                                              </t>
  </si>
  <si>
    <t xml:space="preserve">Накнада за приређивање посебних игара на срећу на аутоматима                                                              </t>
  </si>
  <si>
    <t xml:space="preserve">Накнада за приређивање посебних игара на срећу – клађење                                                              </t>
  </si>
  <si>
    <t xml:space="preserve">Накнада за приређивање наградне игре у роби и услугама                                                              </t>
  </si>
  <si>
    <t xml:space="preserve">Накнада за приређивање посебних игара на срећу путем интернета, телефона или на други начин путем телекомуникационих веза                                                      </t>
  </si>
  <si>
    <t xml:space="preserve">Накнаде за дуван                                                                    </t>
  </si>
  <si>
    <t xml:space="preserve">Накнада за давање дозволе за обављање малопродаје дуванских производа                                                              </t>
  </si>
  <si>
    <t xml:space="preserve">Накнада за давање дозволе за обављање осталог промета дуванских производа                                                             </t>
  </si>
  <si>
    <t xml:space="preserve">Споредне продаје добара и услуга које врше државне нетржишне јединице                                                             </t>
  </si>
  <si>
    <t xml:space="preserve">Приходи од споредне продаје добара и услуга које врше државне нетржишне јединице                                                           </t>
  </si>
  <si>
    <t xml:space="preserve">Приходи војске србије од споредне продаје добара и услуга                                                              </t>
  </si>
  <si>
    <t xml:space="preserve">Приходи буџета републике од споредне продаје добара и услуга које врше државне нетржишне јединице                                                         </t>
  </si>
  <si>
    <t xml:space="preserve">Приходи републичких органа и организација                                                                  </t>
  </si>
  <si>
    <t xml:space="preserve">Накнада за коришћење података и документације основних геолошких истраживања                                                              </t>
  </si>
  <si>
    <t xml:space="preserve">Накнада за коришћење података премера, катастра непокретности и водова и за разгледање катастра непокретности, као и за услуге које пружа републички геодетски завод                                                </t>
  </si>
  <si>
    <t xml:space="preserve">Трошкови поступка санитарних и здравствених инспектора по захтеву странке                                                              </t>
  </si>
  <si>
    <t xml:space="preserve">Трошкови полагања стручног испита за здравствене раднике, трошкови доделе назива примаријус и други трошкови                                                         </t>
  </si>
  <si>
    <t xml:space="preserve">Приходи од продаје пригодног кованог новца                                                                 </t>
  </si>
  <si>
    <t xml:space="preserve">Трошкови полагања стручних испита за обављање послова у области безбедности и здравља на раду                                                         </t>
  </si>
  <si>
    <t xml:space="preserve">Накнада нужних трошкова за издавање копије докумената на којима се налазе информације од јавног значаја                                                        </t>
  </si>
  <si>
    <t xml:space="preserve">Накнада за вршење техничког надзора пловних објеката                                                                </t>
  </si>
  <si>
    <t xml:space="preserve">Приходи територијалних аутономија од споредне продаје добара и услуга које врше државне нетржишне јединице                                                         </t>
  </si>
  <si>
    <t xml:space="preserve">Приходи које својом делатношћу остваре органи ап војводина                                                               </t>
  </si>
  <si>
    <t xml:space="preserve">Приходи које својом делатношћу остваре органи ап косово и метохија                                                             </t>
  </si>
  <si>
    <t xml:space="preserve">Приходи буџета града од споредне продаје добара и услуге које врше државне нетржишне јединице                                                         </t>
  </si>
  <si>
    <t xml:space="preserve">Приходи које својом делатношћу остваре органи и организације градова                                                              </t>
  </si>
  <si>
    <t xml:space="preserve">Приходи општинских органа од споредне продаје добара и услуга које врше државне нетржишне јединице                                                         </t>
  </si>
  <si>
    <t xml:space="preserve">Приходи које својом делатношћу остваре органи и организације општина                                                              </t>
  </si>
  <si>
    <t xml:space="preserve">Приходи организација обавезног социјалног осигурања од споредне продаје добара и услуга које врше државне нетржишне јединице                                                       </t>
  </si>
  <si>
    <t xml:space="preserve">Приходи индиректних корисника буџетских средстава који се остварују додатним активностима                                                             </t>
  </si>
  <si>
    <t xml:space="preserve">Приходи индиректних корисника републичког буџета који се остварују додатним активностима                                                             </t>
  </si>
  <si>
    <t xml:space="preserve">Приходи индиректних корисника буџета локалне самоуправе који се остварују додатним активностима                                                            </t>
  </si>
  <si>
    <t xml:space="preserve">Приходи индиректних корисника републичког фонда за здравствено осигурање који се остварују додатним активностима                                                          </t>
  </si>
  <si>
    <t xml:space="preserve">Родитељски динар за ваннаставне активности                                                                  </t>
  </si>
  <si>
    <t xml:space="preserve">Импутиране продаје добара и услуга                                                                  </t>
  </si>
  <si>
    <t>743000</t>
  </si>
  <si>
    <t xml:space="preserve">Новчане казне и одузета имовинска корист                                                                 </t>
  </si>
  <si>
    <t xml:space="preserve">Приходи од новчаних казни за кривична дела                                                                </t>
  </si>
  <si>
    <t xml:space="preserve">Приходи од новчаних казни за кривична дела у корист нивоа републике                                                            </t>
  </si>
  <si>
    <t xml:space="preserve">Трошкови кривичног поступка и паушал код судова                                                                </t>
  </si>
  <si>
    <t xml:space="preserve">Приходи од новчаних казни које повереник за информације од јавног значаја и заштиту података и личности изриче органима јавне власти у поступку административног извршења својих решења                                             </t>
  </si>
  <si>
    <t xml:space="preserve">Приходи од новчаних казни за кривична дела којима је нанета штета шумама                                                           </t>
  </si>
  <si>
    <t xml:space="preserve">Приходи од новчаних казни за кривична дела у корист нивоа територијалних аутономија                                                           </t>
  </si>
  <si>
    <t xml:space="preserve">Приходи од новчаних казни за кривична дела у корист нивоа градова                                                            </t>
  </si>
  <si>
    <t xml:space="preserve">Приходи од новчаних казни за кривична дела у корист нивоа општина                                                            </t>
  </si>
  <si>
    <t xml:space="preserve">Приходи од новчаних казни за кривична дела у корист организација обавезног социјалног осигурања                                                          </t>
  </si>
  <si>
    <t xml:space="preserve">Приходи од новчаних казни за привредне преступе                                                                </t>
  </si>
  <si>
    <t xml:space="preserve">Приходи од новчаних казни за привредне преступе у корист нивоа републике                                                            </t>
  </si>
  <si>
    <t xml:space="preserve">Приходи од новчаних казни за привредне преступе установљене прописима о здравственој заштити животиња                                                          </t>
  </si>
  <si>
    <t xml:space="preserve">Приходи од новчаних казни за привредне преступе или прекршаје установљене прописима о шумама и прописима којима се уређује обезбеђивање репродуктивног материјала шумског дрвећа и прихода од новчаних казни за привредне преступе или прекршаје установљене другим законом, ако је кажњивим делом нанета штета шуми                            </t>
  </si>
  <si>
    <t xml:space="preserve">Новчани износ мере заштите конкуренције                                                                  </t>
  </si>
  <si>
    <t xml:space="preserve">Приходи од новчаних казни за привредне преступе у корист нивоа територијалних аутономија                                                           </t>
  </si>
  <si>
    <t xml:space="preserve">Приходи од новчаних казни за привредне преступе у корист нивоа градова                                                            </t>
  </si>
  <si>
    <t xml:space="preserve">Приходи од новчаних казни за привредне преступе у корист нивоа општина                                                            </t>
  </si>
  <si>
    <t xml:space="preserve">Приходи од новчаних казни за привредне преступе у корист организација обавезног социјалног осигурања                                                          </t>
  </si>
  <si>
    <t xml:space="preserve">Приходи од новчаних казни за прекршаје                                                                 </t>
  </si>
  <si>
    <t xml:space="preserve">Приходи од новчаних казни за прекршаје у корист нивоа републике                                                             </t>
  </si>
  <si>
    <t xml:space="preserve">Приходи од новчаних казни за прекршаје у области рада (по пријавама инспекције рада)                                                          </t>
  </si>
  <si>
    <t xml:space="preserve">Приходи од новчаних казни за прекршаје које изриче инспекција рада (мандатне казне)                                                           </t>
  </si>
  <si>
    <t>743324</t>
  </si>
  <si>
    <t xml:space="preserve">Приходи од новчаних казни за прекршаје, предвиђене прописима о безбедности саобраћаја на путевима                                                          </t>
  </si>
  <si>
    <t xml:space="preserve">Разлика у цени уплаћена по решењима надлежних републичких органа                                                              </t>
  </si>
  <si>
    <t xml:space="preserve">Приходи од новчаних казни за прекршаје које изричу републички инспекцијски органи                                                            </t>
  </si>
  <si>
    <t xml:space="preserve">Приходи од новчаних казни за прекршаје установљене прописима о здравственој заштити животиња                                                           </t>
  </si>
  <si>
    <t xml:space="preserve">Приходи од новчаних казни за прекршаје које изриче републички орган управе надлежан за послове јавних прихода                                                       </t>
  </si>
  <si>
    <t xml:space="preserve">Приходи од новчаних казни за прекршаје предвиђене законом о ванредним ситуацијама и законима који уређују област заштите од пожара, експлозивних и опасних материја                                                </t>
  </si>
  <si>
    <t xml:space="preserve">Приходи од новчаних казни за прекршаје у корист нивоа територијалних аутономија                                                            </t>
  </si>
  <si>
    <t xml:space="preserve">Приходи од новчаних казни за прекршаје у корист нивоа ап војводина                                                            </t>
  </si>
  <si>
    <t xml:space="preserve">Приходи од новчаних казни за прекршаје у корист нивоа ап косово и метохија                                                          </t>
  </si>
  <si>
    <t xml:space="preserve">Приходи од новчаних казни за прекршаје у корист нивоа градова                                                             </t>
  </si>
  <si>
    <t xml:space="preserve">Приходи од новчаних казни изречених у прекршајном поступку за прекршаје прописане актом скупштине града, као и одузета имовинска корист у том поступку                                                 </t>
  </si>
  <si>
    <t xml:space="preserve">Приходи од мандатних казни и казни изречених у управном поступку у корист нивоа градова                                                         </t>
  </si>
  <si>
    <t xml:space="preserve">Приходи од новчаних казни за прекршаје које изриче градски орган управе надлежан за изворне јавне приходе                                                       </t>
  </si>
  <si>
    <t xml:space="preserve">Приходи од новчаних казни за прекршаје у корист нивоа општина                                                             </t>
  </si>
  <si>
    <t xml:space="preserve">Приходи од новчаних казни изречених у прекршајном поступку за прекршаје прописане актом скупштине општине, као и одузета имовинска корист у том поступку                                                 </t>
  </si>
  <si>
    <t xml:space="preserve">Приходи од мандатних казни и казни изречених у управном поступку у корист нивоа општина                                                         </t>
  </si>
  <si>
    <t xml:space="preserve">Приходи од новчаних казни за прекршаје које изриче општински орган управе надлежан за изворне јавне приходе                                                       </t>
  </si>
  <si>
    <t xml:space="preserve">Приходи од новчаних казни за прекршаје у корист организација обавезног социјалног осигурања                                                           </t>
  </si>
  <si>
    <t xml:space="preserve">Приходи од пенала                                                                    </t>
  </si>
  <si>
    <t xml:space="preserve">Приходи од пенала у корист нивоа републике                                                                </t>
  </si>
  <si>
    <t xml:space="preserve">Приходи од пенала у корист буџетског фонда за професионалну рехабилитацију и подстицање запошљавања особа са инвалидитетом                                                       </t>
  </si>
  <si>
    <t xml:space="preserve">Процесни пенал из закона о заштити конкуренције                                                                </t>
  </si>
  <si>
    <t xml:space="preserve">Приходи од пенала у корист нивоа територијалних аутономија                                                               </t>
  </si>
  <si>
    <t xml:space="preserve">Приходи од пенала у корист нивоа градова                                                                </t>
  </si>
  <si>
    <t xml:space="preserve">Приходи од пенала у корист нивоа општина                                                                </t>
  </si>
  <si>
    <t xml:space="preserve">Приходи од пенала у корист нивоа организација обавезног социјалног осигурања                                                             </t>
  </si>
  <si>
    <t xml:space="preserve">Приходи од одузете имовинске користи                                                                  </t>
  </si>
  <si>
    <t xml:space="preserve">Приходи од одузете имовинске користи у корист нивоа републике                                                              </t>
  </si>
  <si>
    <t xml:space="preserve">Одузета имовинска корист и средства добијена продајом одузетих предмета у прекршајном, кривичном и другом поступку                                                        </t>
  </si>
  <si>
    <t xml:space="preserve">Средства од продаје одузете робе, наплаћених трошкова за утврђивање услова за обављање делатности и од мандатних казни које изричу тржишни инспектори                                                  </t>
  </si>
  <si>
    <t xml:space="preserve">Новчана казна за царинске преступе и средства остварена од продаје одузете робе                                                           </t>
  </si>
  <si>
    <t xml:space="preserve">Средства од продаје одузете робе у пореском поступку                                                               </t>
  </si>
  <si>
    <t xml:space="preserve">Новчана средства добијена продајом трајно одузете имовине                                                                </t>
  </si>
  <si>
    <t xml:space="preserve">Одузета имовинска корист и средства добијена продајом у поступцима за утврђивање одговорности за кажњива дела из члана 82. став 2. тачка 1) закона о шумама                                              </t>
  </si>
  <si>
    <t xml:space="preserve">Приходи од одузете имовинске користи у корист нивоа територијалних аутономија                                                             </t>
  </si>
  <si>
    <t xml:space="preserve">Приходи од одузете имовинске користи у корист нивоа градова                                                              </t>
  </si>
  <si>
    <t xml:space="preserve">Приходи од одузете имовинске користи у корист нивоа општина                                                              </t>
  </si>
  <si>
    <t xml:space="preserve">Приходи од одузете имовинске користи у корист организација обавезног социјалног осигурања                                                            </t>
  </si>
  <si>
    <t xml:space="preserve">Остале новчане казне, пенали и приходи од одузете имовинске користи                                                             </t>
  </si>
  <si>
    <t xml:space="preserve">Остале новчане казне, пенали и приходи од одузете имовинске користи у корист нивоа републике                                                         </t>
  </si>
  <si>
    <t xml:space="preserve">Трошкови принудне наплате јавних прихода                                                                  </t>
  </si>
  <si>
    <t xml:space="preserve">Трошкови поступака пред органима за прекршаје                                                                 </t>
  </si>
  <si>
    <t xml:space="preserve">Једнократна такса на принудну наплату пореза                                                                 </t>
  </si>
  <si>
    <t xml:space="preserve">Остале новчане казне, пенали и приходи од одузете имовинске користи у корист нивоа територијалних аутономија                                                        </t>
  </si>
  <si>
    <t xml:space="preserve">Остале новчане казне, пенали и приходи од одузете имовинске користи у корист нивоа градова                                                         </t>
  </si>
  <si>
    <t xml:space="preserve">Остале новчане казне, пенали и приходи од одузете имовинске користи у корист нивоа општина                                                         </t>
  </si>
  <si>
    <t xml:space="preserve">Трошкови принудне наплате изворних јавних прихода општина и градова                                                              </t>
  </si>
  <si>
    <t xml:space="preserve">Остале новчане казне, пенали и приходи од одузете имовинске користи у корист организација обавезног социјалног осигурања                                                       </t>
  </si>
  <si>
    <t>744000</t>
  </si>
  <si>
    <t xml:space="preserve">Добровољни трансфери од физичких и правних лица                                                                </t>
  </si>
  <si>
    <t xml:space="preserve">Текући добровољни трансфери од физичких и правних лица                                                               </t>
  </si>
  <si>
    <t xml:space="preserve">Текући добровољни трансфери од физичких и правних лица у корист нивоа републике                                                           </t>
  </si>
  <si>
    <t xml:space="preserve">Приходи по основу донација за санацију штета од елементарних непогода                                                             </t>
  </si>
  <si>
    <t xml:space="preserve">Текући добровољни трансфери од физичких и правних лица у корист нивоа територијалних аутономија                                                          </t>
  </si>
  <si>
    <t xml:space="preserve">Текући добровољни трансфери од физичких и правних лица у корист нивоа ап војводина                                                          </t>
  </si>
  <si>
    <t xml:space="preserve">Текући добровољни трансфери од физичких и правних лица у корист нивоа ап косово и метохија                                                        </t>
  </si>
  <si>
    <t xml:space="preserve">Текући добровољни трансфери од физичких и правних лица у корист нивоа градова                                                           </t>
  </si>
  <si>
    <t xml:space="preserve">Текући добровољни трансфери за одлагање кривичног гоњења у корист нивоа градова                                                            </t>
  </si>
  <si>
    <t xml:space="preserve">Текући добровољни трансфери од физичких и правних лица у корист нивоа општина                                                           </t>
  </si>
  <si>
    <t xml:space="preserve">Текући добровољни трансфери од физичких и правних лица у корист организација обавезног социјалног осигурања                                                         </t>
  </si>
  <si>
    <t xml:space="preserve">Текући добровољни трансфери од физичких и правних лица у корист републичког фонда за здравствено осигурање                                                        </t>
  </si>
  <si>
    <t xml:space="preserve">Текући добровољни трансфери од физичких и правних лица у корист републичког фонда за пио                                                         </t>
  </si>
  <si>
    <t xml:space="preserve">Текући добровољни трансфери од физичких и правних лица у корист националне службе за запошљавање                                                         </t>
  </si>
  <si>
    <t xml:space="preserve">Капитални добровољни трансфери од физичких и правних лица                                                               </t>
  </si>
  <si>
    <t xml:space="preserve">Капитални добровољни трансфери од физичких и правних лица у корист нивоа републике                                                           </t>
  </si>
  <si>
    <t xml:space="preserve">Капитални добровољни трансфери од физичких и правних лица у корист нивоа територијалних аутономија                                                          </t>
  </si>
  <si>
    <t xml:space="preserve">Капитални добровољни трансфери од физичких и правних лица у корист нивоа ап војводина                                                          </t>
  </si>
  <si>
    <t xml:space="preserve">Капитални добровољни трансфери у корист нивоа ап косово и метохија                                                             </t>
  </si>
  <si>
    <t xml:space="preserve">Капитални добровољни трансфери од физичких и правних лица у корист нивоа градова                                                           </t>
  </si>
  <si>
    <t>744241</t>
  </si>
  <si>
    <t xml:space="preserve">Капитални добровољни трансфери од физичких и правних лица у корист нивоа општина                                                           </t>
  </si>
  <si>
    <t xml:space="preserve">Капитални добровољни трансфери од физичких и правних лица  у корист организација обавезног социјалног осигурања                                                        </t>
  </si>
  <si>
    <t xml:space="preserve">Капитални добровољни трансфери од физичких и правних лица у корист републичког фонда за здравствено осигурање                                                        </t>
  </si>
  <si>
    <t xml:space="preserve">Капитални добровољни трансфери од физичких и правних лица у корист републичког фонда за пио                                                         </t>
  </si>
  <si>
    <t xml:space="preserve">Капитални добровољни трансфери од физичких и правних лица у корист националне службе за запошљавање                                                         </t>
  </si>
  <si>
    <t>745000</t>
  </si>
  <si>
    <t xml:space="preserve">Мешовити и неодређени приходи                                                                   </t>
  </si>
  <si>
    <t xml:space="preserve">Мешовити и неодређени приходи у корист нивоа републике                                                               </t>
  </si>
  <si>
    <t xml:space="preserve">Укинути приходи буџета републике                                                                   </t>
  </si>
  <si>
    <t xml:space="preserve">Закупнина за стан у државној својини                                                                 </t>
  </si>
  <si>
    <t xml:space="preserve">Део добити јавног предузећа, према одлуци управног одбора јавног предузећа                                                             </t>
  </si>
  <si>
    <t xml:space="preserve">Уплата средстава по основу више обрачунатих зарада према закону о утврђивању максималне зараде у јавном сектору у корист буџета републике србије                                                  </t>
  </si>
  <si>
    <t xml:space="preserve">Приходи од агенције за осигурање депозита по основу наплаћених потраживања                                                             </t>
  </si>
  <si>
    <t xml:space="preserve">Средства на име учешћа у финансирању зарада особа са инвалидитетом запослених у предузећу за професионалну рехабилитацију и запошљавање особа са инвалидитетом или социјалном предузећу или организацији                                             </t>
  </si>
  <si>
    <t xml:space="preserve">Приходи од преузетих потраживања из стечајне масе                                                                </t>
  </si>
  <si>
    <t xml:space="preserve">Остали приходи буџета републике                                                                   </t>
  </si>
  <si>
    <t xml:space="preserve">Мешовити и неодређени приходи у корист нивоа територијалних аутономија                                                              </t>
  </si>
  <si>
    <t xml:space="preserve">Мешовити и неодређени приходи у корист нивоа ап војводина                                                              </t>
  </si>
  <si>
    <t xml:space="preserve">Мешовити и неодређени приходи у корист нивоа ап косово и метохија                                                            </t>
  </si>
  <si>
    <t xml:space="preserve">Закупнина за стан у државној својини у корист нивоа ап војводина                                                            </t>
  </si>
  <si>
    <t xml:space="preserve">Закупнина за стан у државној својини у корист нивоа ап косово и метохија                                                          </t>
  </si>
  <si>
    <t xml:space="preserve">Део добити јавног предузећа, према одлуци управног одбора јавног предузећа, у корист нивоа ап војводина                                                        </t>
  </si>
  <si>
    <t xml:space="preserve">Део добити јавног предузећа, према одлуци управног одбора јавног предузећа, у корист нивоа ап косово и метохија                                                      </t>
  </si>
  <si>
    <t xml:space="preserve">Закупнина за стан у покрајинској својини у корист нивоа ап војводина                                                            </t>
  </si>
  <si>
    <t xml:space="preserve">Закупнина за стан у покрајинској својини у корист нивоа ап косово и метохија                                                          </t>
  </si>
  <si>
    <t xml:space="preserve">Уплата средстава по основу више обрачунатих зарада према закону о утврђивању максималне зараде у јавном сектору у корист буџета аутономне покрајине                                                  </t>
  </si>
  <si>
    <t xml:space="preserve">Мешовити и неодређени приходи у корист нивоа градова                                                               </t>
  </si>
  <si>
    <t>745141</t>
  </si>
  <si>
    <t xml:space="preserve">Остали приходи у корист нивоа градова                                                                 </t>
  </si>
  <si>
    <t>745142</t>
  </si>
  <si>
    <t xml:space="preserve">Закупнина за стан у државној својини у корист нивоа градова                                                             </t>
  </si>
  <si>
    <t xml:space="preserve">Део добити јавног предузећа, према одлуци управног одбора јавног предузећа, у корист нивоа градова                                                         </t>
  </si>
  <si>
    <t xml:space="preserve">Закупнина за стан у градској својини у корист нивоа градова                                                             </t>
  </si>
  <si>
    <t xml:space="preserve">Уплата средстава по основу више обрачунатих зарада према закону о утврђивању максималне зараде у јавном сектору у корист буџета града                                                   </t>
  </si>
  <si>
    <t xml:space="preserve">Мешовити и неодређени приходи у корист нивоа општина                                                               </t>
  </si>
  <si>
    <t xml:space="preserve">Остали приходи у корист нивоа општина                                                                 </t>
  </si>
  <si>
    <t xml:space="preserve">Закупнина за стан у државној својини у корист нивоа општина                                                             </t>
  </si>
  <si>
    <t xml:space="preserve">Део добити јавног предузећа, према одлуци управног одбора јавног предузећа, у корист нивоа општина                                                         </t>
  </si>
  <si>
    <t xml:space="preserve">Закупнина за стан у општинској својини у корист нивоа општина                                                             </t>
  </si>
  <si>
    <t xml:space="preserve">Мешовити и неодређени приходи у корист организација обавезног социјалног осигурања                                                             </t>
  </si>
  <si>
    <t xml:space="preserve">Мешовити и неодређени приходи у корист републичког фонда за здравствено осигурање                                                            </t>
  </si>
  <si>
    <t xml:space="preserve">Мешовити и неодређени приходи у корист републичког фонда за пио                                                             </t>
  </si>
  <si>
    <t xml:space="preserve">Мешовити и неодређени приходи у корист националне службе за запошљавање                                                             </t>
  </si>
  <si>
    <t xml:space="preserve">Средства од 5% бруто премије осигурања од аутоодговорности                                                               </t>
  </si>
  <si>
    <t>770000</t>
  </si>
  <si>
    <t xml:space="preserve">Меморандумске ставке за рефундацију расхода                                                                  </t>
  </si>
  <si>
    <t xml:space="preserve">Меморандумске ставке за рефундацију расхода из претходне године                                                               </t>
  </si>
  <si>
    <t xml:space="preserve">Меморандумске ставке за рефундацију расхода буџета републике из претходне године                                                             </t>
  </si>
  <si>
    <t xml:space="preserve">Меморандумске ставке за рефундацију расхода буџета ап војводина из претходне године                                                            </t>
  </si>
  <si>
    <t xml:space="preserve">Меморандумске ставке за рефундацију расхода буџета града из претходне године                                                             </t>
  </si>
  <si>
    <t xml:space="preserve">Меморандумске ставке за рефундацију расхода буџета општине из претходне године                                                             </t>
  </si>
  <si>
    <t xml:space="preserve">Трансфери између буџетских корисника на истом нивоу                                                                </t>
  </si>
  <si>
    <t xml:space="preserve">Трансфери од директних ка индиректним буџетским корисницима на истом нивоу                                                             </t>
  </si>
  <si>
    <t xml:space="preserve">Трансфери између организација обавезног социјалног осигурања                                                                 </t>
  </si>
  <si>
    <t xml:space="preserve">Трансфери од организација обавезног социјалног осигурања у корист републичког фонда за здравствено осигурање                                                          </t>
  </si>
  <si>
    <t xml:space="preserve">Допринос за здравствено осигурање незапослених лица који плаћа национална служба за запошљавање                                                           </t>
  </si>
  <si>
    <t xml:space="preserve">Допринос за здравствено осигурање корисника пензија и корисника других новчаних накнада који плаћа републички фонд за пио за осигуранике запослене                                                   </t>
  </si>
  <si>
    <t xml:space="preserve">Трансфери од републичког фонда за пио за осигуранике пољопривреднике у корист републичког фонда за здравствено осигурање                                                       </t>
  </si>
  <si>
    <t xml:space="preserve">Трансфери од републичког фонда за пио за осигуранике самосталних делатности у корист републичког фонда за здравствено осигурање                                                      </t>
  </si>
  <si>
    <t xml:space="preserve">Допринос за здравствено осигурање корисника новчаних накнада из члана 224. закона о пензијском и инвалидском осигурању                                                       </t>
  </si>
  <si>
    <t xml:space="preserve">Допринос за здравствено осигурање за лица која остварују накнаду зараде за време привремене спречености за рад (боловање) по прописима о здравственом осигурању, који плаћа републички фонд за здравствено осигурање                                          </t>
  </si>
  <si>
    <t xml:space="preserve">Допринос за здравствено осигурање који плаћа национална служба за запошљавање по члану                                                           </t>
  </si>
  <si>
    <t xml:space="preserve">Допринос за зравствено осигурање корисника војне пензије који плаћа републички фонд за пио - за војне осигуранике                                                      </t>
  </si>
  <si>
    <t xml:space="preserve">Трансфери од организација обавезног социјалног осигурања у корист републичког фонда за пио за осигуранике запослене                                                        </t>
  </si>
  <si>
    <t xml:space="preserve">Допринос за пензијско и инвалидско осигурање незапослених који уплаћује национална служба за запошљавање                                                          </t>
  </si>
  <si>
    <t xml:space="preserve">Допринос за пензијско и инвалидско осигурање запослених који примају накнаду за време привремене спречености за рад (боловање) по прописима о здравственом осигурању, који уплаћује републички фонд за здравствено осигурање                                          </t>
  </si>
  <si>
    <t xml:space="preserve">Допринос за пензијско и инвалидско осигурање који плаћа национална служба за запошљавање по члану 45. закона о доприносима за обавезно социјално осигурање                                                 </t>
  </si>
  <si>
    <t xml:space="preserve">Допринос за пензијско и инвалидско осигурање војних осигураника који примају накнаду за време привремене спречености за рад (боловање)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</si>
  <si>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</si>
  <si>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</si>
  <si>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самосталних делатности                                                       </t>
  </si>
  <si>
    <t xml:space="preserve">Допринос за пензијско и инвалидско осигурање за лица која су престала да обављају самосталну делатност, док остварују новчану накнаду према прописима о раду и запошљавању                                              </t>
  </si>
  <si>
    <t xml:space="preserve">Допринос за пензијско и инвалидско осигурање за физичка лица која, у складу са законом, самостално обављају привредну и другу делатност као основно занимање док примају накнаду за време привремене спречености за рад (боловање) по прописима о здравственом осигурању коју плаћа републички фонд за здравствено осигурање или док су на породиљском одсуству                    </t>
  </si>
  <si>
    <t xml:space="preserve">Трансфери од организација обавезног социјалног осигурања у корист националнe службe за запошљавање                                                           </t>
  </si>
  <si>
    <t xml:space="preserve">Допринос за случај незапослености, који плаћа национална служба за запошљавање по члану                                                           </t>
  </si>
  <si>
    <t>790000</t>
  </si>
  <si>
    <t xml:space="preserve">Приходи из буџета                                                                    </t>
  </si>
  <si>
    <t>791110</t>
  </si>
  <si>
    <t>800000</t>
  </si>
  <si>
    <t xml:space="preserve">Примања од продаје нефинансијске имовине                                                                  </t>
  </si>
  <si>
    <t xml:space="preserve">Примања од продаје основних средстава                                                                  </t>
  </si>
  <si>
    <t xml:space="preserve">Примања од продаје непокретности                                                                   </t>
  </si>
  <si>
    <t xml:space="preserve">Примања од продаје непокретности у корист нивоа републике                                                               </t>
  </si>
  <si>
    <t xml:space="preserve">Примања од продаје непокретности у државној својини, осим непокретности које користе органи ап                                                          </t>
  </si>
  <si>
    <t xml:space="preserve">Примања од откупа станова у државној својини                                                                </t>
  </si>
  <si>
    <t xml:space="preserve">Примања од продаје непокретности војске србије                                                                 </t>
  </si>
  <si>
    <t xml:space="preserve">Примања од продаје станова у државној својини које користе државни органи и организације                                                          </t>
  </si>
  <si>
    <t xml:space="preserve">Примања остварена по основу продаје станова намењених за решавање стамбених потреба избеглица                                                           </t>
  </si>
  <si>
    <t xml:space="preserve">Примања од продаје непокретности у државној својини које користе органи територијалних аутономија                                                           </t>
  </si>
  <si>
    <t xml:space="preserve">Примања од продаје непокретности у државној својини које користе органи ап војводина                                                           </t>
  </si>
  <si>
    <t xml:space="preserve">Примања од продаје непокретности у државној својини које користе органи ап косово и метохија                                                         </t>
  </si>
  <si>
    <t xml:space="preserve">Примања од продаје станова у корист нивоа територијалних аутономија                                                              </t>
  </si>
  <si>
    <t xml:space="preserve">Примања од отплате станова у корист нивоа територијалних аутономија                                                              </t>
  </si>
  <si>
    <t xml:space="preserve">Примања по основу обавеза за социјално становање у корист нивоа територијалних аутономија                                                           </t>
  </si>
  <si>
    <t xml:space="preserve">Примања од продаје непокретности у корист нивоа градова                                                               </t>
  </si>
  <si>
    <t xml:space="preserve">Примања од продаје станова у корист нивоа градова                                                               </t>
  </si>
  <si>
    <t xml:space="preserve">Примања од отплате станова у корист нивоа градова                                                               </t>
  </si>
  <si>
    <t xml:space="preserve">Примања по основу обавеза за социјално становање у корист нивоа градова                                                            </t>
  </si>
  <si>
    <t xml:space="preserve">Примања од продаје непокретности у корист нивоа општина                                                               </t>
  </si>
  <si>
    <t xml:space="preserve">Примања од продаје станова у корист нивоа општина                                                               </t>
  </si>
  <si>
    <t xml:space="preserve">Примања од отплате станова у корист нивоа општина                                                               </t>
  </si>
  <si>
    <t xml:space="preserve">Примања по основу обавеза за социјално становање у корист нивоа општина                                                            </t>
  </si>
  <si>
    <t xml:space="preserve">Примања од продаје непокретности у корист организација обавезног социјалног осигурања                                                             </t>
  </si>
  <si>
    <t xml:space="preserve">Примања од продаје непокретности у корист републичког фонда за здравствено осигурање                                                            </t>
  </si>
  <si>
    <t xml:space="preserve">Примања од продаје непокретности у корист републичког фонда за пио                                                             </t>
  </si>
  <si>
    <t xml:space="preserve">Примања од продаје непокретности у корист националне службе за запошљавање                                                             </t>
  </si>
  <si>
    <t xml:space="preserve">Примања од продаје непокретности у покрајинској својини које користе органи територијалних аутономија                                                           </t>
  </si>
  <si>
    <t xml:space="preserve">Примања од продаје непокретности у покрајинској својини које користе органи ап војводина                                                           </t>
  </si>
  <si>
    <t xml:space="preserve">Примања од продаје непокретности у покрајинској својини које користе органи ап косово и метохија                                                         </t>
  </si>
  <si>
    <t xml:space="preserve">Примања од продаје покретне имовине                                                                  </t>
  </si>
  <si>
    <t xml:space="preserve">Примања од продаје покретних ствари у корист нивоа републике                                                              </t>
  </si>
  <si>
    <t xml:space="preserve">Примања од продаје покретних ствари у корист нивоа територијалних аутономија                                                             </t>
  </si>
  <si>
    <t xml:space="preserve">Примања од продаје покретних ствари у корист нивоа ап војводина                                                             </t>
  </si>
  <si>
    <t xml:space="preserve">Примања од продаје покретних ствари у корист нивоа ап косово и метохија                                                           </t>
  </si>
  <si>
    <t xml:space="preserve">Примања од продаје покретних ствари у корист нивоа градова                                                              </t>
  </si>
  <si>
    <t xml:space="preserve">Примања од продаје покретних ствари у корист нивоа општина                                                              </t>
  </si>
  <si>
    <t xml:space="preserve">Примања од продаје покретних ствари у корист организација обавезног социјалног осигурања                                                            </t>
  </si>
  <si>
    <t xml:space="preserve">Примања од продаје покретних ствари у корист републичког фонда за здравствено осигурање                                                           </t>
  </si>
  <si>
    <t xml:space="preserve">Примања од продаје покретних ствари у корист републичког фонда за пио                                                            </t>
  </si>
  <si>
    <t xml:space="preserve">Примања од продаје покретних ствари у корист националне службе за запошљавање                                                            </t>
  </si>
  <si>
    <t xml:space="preserve">Примања од продаје осталих основних средстава                                                                 </t>
  </si>
  <si>
    <t xml:space="preserve">Примања од продаје осталих основних средстава у корист нивоа републике                                                             </t>
  </si>
  <si>
    <t xml:space="preserve">Примања од продаје осталих основних средстава у корист нивоа територијалних аутономија                                                            </t>
  </si>
  <si>
    <t xml:space="preserve">Примања од продаје осталих основних средстава у корист нивоа ап војводина                                                            </t>
  </si>
  <si>
    <t xml:space="preserve">Примања од продаје осталих основних средстава у корист нивоа ап косово и метохија                                                          </t>
  </si>
  <si>
    <t xml:space="preserve">Примања од продаје осталих основних средстава у корист нивоа градова                                                             </t>
  </si>
  <si>
    <t xml:space="preserve">Примања од продаје осталих основних средстава у корист нивоа општина                                                             </t>
  </si>
  <si>
    <t xml:space="preserve">Примања од продаје осталих основних средстава у корист организација обавезног социјалног осигурања                                                           </t>
  </si>
  <si>
    <t xml:space="preserve">Примања од продаје осталих основних средстава у корист републичког фонда за здравствено осигурање                                                          </t>
  </si>
  <si>
    <t xml:space="preserve">Примања од продаје осталих основних средстава у корист републичког фонда за пио                                                           </t>
  </si>
  <si>
    <t xml:space="preserve">Примања од продаје осталих основних средстава у корист националне службе за запошљавање                                                           </t>
  </si>
  <si>
    <t xml:space="preserve">Примања од продаје залиха                                                                   </t>
  </si>
  <si>
    <t xml:space="preserve">Примања од продаје робних резерви                                                                  </t>
  </si>
  <si>
    <t xml:space="preserve">Примања од продаје робних резерви у корист буџета републике                                                              </t>
  </si>
  <si>
    <t xml:space="preserve">Примања од продаје робних резерви у корист нивоа територијалних аутономија                                                             </t>
  </si>
  <si>
    <t xml:space="preserve">Примања од продаје робних резерви у корист нивоа ап војводина                                                             </t>
  </si>
  <si>
    <t xml:space="preserve">Примања од продаје робних резерви у корист нивоа ап косово и метохија                                                           </t>
  </si>
  <si>
    <t xml:space="preserve">Примања од продаје робних резерви у корист нивоа градова                                                              </t>
  </si>
  <si>
    <t xml:space="preserve">Примања од продаје робних резерви у корист нивоа општина                                                              </t>
  </si>
  <si>
    <t xml:space="preserve">Примања од продаје робних резерви у корист организација обавезног социјалног осигурања                                                            </t>
  </si>
  <si>
    <t xml:space="preserve">Примања од продаје робних резерви у корист републичког фонда за здравствено осигурање                                                           </t>
  </si>
  <si>
    <t xml:space="preserve">Примања од продаје робних резерви у корист републичког фонда за пио                                                            </t>
  </si>
  <si>
    <t xml:space="preserve">Примања од продаје робних резерви у корист националне службе за запошљавање                                                            </t>
  </si>
  <si>
    <t xml:space="preserve">Примања од продаје залиха производње                                                                  </t>
  </si>
  <si>
    <t xml:space="preserve">Примања од продаје залиха производње у корист нивоа републике                                                              </t>
  </si>
  <si>
    <t xml:space="preserve">Примања од продаје залиха производње у корист нивоа територијалних аутономија                                                             </t>
  </si>
  <si>
    <t xml:space="preserve">Примања од продаје залиха производње у корист нивоа ап војводина                                                             </t>
  </si>
  <si>
    <t xml:space="preserve">Примања од продаје залиха производње у корист нивоа ап косово и метохија                                                           </t>
  </si>
  <si>
    <t xml:space="preserve">Примања од продаје залиха производње у корист нивоа градова                                                              </t>
  </si>
  <si>
    <t xml:space="preserve">Примања од продаје залиха производње у корист нивоа општина                                                              </t>
  </si>
  <si>
    <t xml:space="preserve">Примања од продаје залиха производње у корист нивоа организација обавезног социјалног осигурања                                                           </t>
  </si>
  <si>
    <t xml:space="preserve">Примања од продаје залиха производње у корист републичког фонда за здравствено осигурање                                                           </t>
  </si>
  <si>
    <t xml:space="preserve">Примања од продаје залиха производње у корист републичког фонда за пио                                                            </t>
  </si>
  <si>
    <t xml:space="preserve">Примања од продаје залиха производње у корист националне службе за запошљавање                                                            </t>
  </si>
  <si>
    <t xml:space="preserve">Примања од продаје робе за даљу продају                                                                </t>
  </si>
  <si>
    <t xml:space="preserve">Примања од продаје робе за даљу продају у корист нивоа републике                                                            </t>
  </si>
  <si>
    <t xml:space="preserve">Примања од продаје робе за даљу продају у корист нивоа територијалних аутономија                                                           </t>
  </si>
  <si>
    <t xml:space="preserve">Примања од продаје робе за даљу продају у корист нивоа ап војводина                                                           </t>
  </si>
  <si>
    <t xml:space="preserve">Примања од продаје робе за даљу продају у корист нивоа ап косово и метохија                                                         </t>
  </si>
  <si>
    <t xml:space="preserve">Примања од продаје робе за даљу продају у корист нивоа градова                                                            </t>
  </si>
  <si>
    <t xml:space="preserve">Примања од продаје робе за даљу продају у корист нивоа општина                                                            </t>
  </si>
  <si>
    <t xml:space="preserve">Примања од продаје робе за даљу продају у корист организација обавезног социјалног осигурања                                                          </t>
  </si>
  <si>
    <t xml:space="preserve">Примања од продаје робе за даљу продају у корист републичког фонда за здравствено осигурање                                                         </t>
  </si>
  <si>
    <t xml:space="preserve">Примања од продаје робе за даљу продају у корист републичког фонда за пио                                                          </t>
  </si>
  <si>
    <t xml:space="preserve">Примања од продаје робе за даљу продају у корист националне службе за запошљавање                                                          </t>
  </si>
  <si>
    <t xml:space="preserve">Примања од продаје драгоцености                                                                   </t>
  </si>
  <si>
    <t xml:space="preserve">Примања од продаје драгоцености у корист буџета републике                                                               </t>
  </si>
  <si>
    <t xml:space="preserve">Примања од продаје драгоцености у корист нивоа територијалних аутономија                                                              </t>
  </si>
  <si>
    <t xml:space="preserve">Примања од продаје драгоцености у корист нивоа ап војводина                                                              </t>
  </si>
  <si>
    <t xml:space="preserve">Примања од продаје драгоцености у корист нивоа ап косово и метохија                                                            </t>
  </si>
  <si>
    <t xml:space="preserve">Примања од продаје драгоцености у корист нивоа градова                                                               </t>
  </si>
  <si>
    <t xml:space="preserve">Примања од продаје драгоцености у корист нивоа општина                                                               </t>
  </si>
  <si>
    <t xml:space="preserve">Примања од продаје драгоцености у корист организација обавезног социјалног осигурања                                                             </t>
  </si>
  <si>
    <t xml:space="preserve">Примања од продаје драгоцености у корист републичког фонда за здравствено осигурање                                                            </t>
  </si>
  <si>
    <t xml:space="preserve">Примања од продаје драгоцености у корист републичког фонда за пио                                                             </t>
  </si>
  <si>
    <t xml:space="preserve">Примања од продаје драгоцености у корист националне службе за запошљавање                                                             </t>
  </si>
  <si>
    <t xml:space="preserve">Примања од продаје природне имовине                                                                  </t>
  </si>
  <si>
    <t xml:space="preserve">Примања од продаје земљишта                                                                   </t>
  </si>
  <si>
    <t xml:space="preserve">Примања од продаје земљишта у корист нивоа републике                                                               </t>
  </si>
  <si>
    <t xml:space="preserve">Примања од продаје земљишта у корист нивоа територијалних аутономија                                                              </t>
  </si>
  <si>
    <t xml:space="preserve">Примања од продаје земљишта у корист нивоа градова                                                               </t>
  </si>
  <si>
    <t xml:space="preserve">Примања од продаје земљишта у корист нивоа општина                                                               </t>
  </si>
  <si>
    <t xml:space="preserve">Примања од продаје земљишта у корист организација обавезног социјалног осигурања                                                             </t>
  </si>
  <si>
    <t xml:space="preserve">Примања од продаје земљишта у корист републичког фонда  за здравствено осигурање                                                           </t>
  </si>
  <si>
    <t xml:space="preserve">Примања од продаје земљишта у корист републичког фонда за пио                                                             </t>
  </si>
  <si>
    <t xml:space="preserve">Примања од продаје земљишта у корист националне службе за запошљавање                                                             </t>
  </si>
  <si>
    <t xml:space="preserve">Примања од продаје подземних блага                                                                  </t>
  </si>
  <si>
    <t xml:space="preserve">Примања од продаје подземних блага у корист нивоа републике                                                              </t>
  </si>
  <si>
    <t xml:space="preserve">Примања од продаје подземних блага у корист нивоа територијалних аутономија                                                             </t>
  </si>
  <si>
    <t xml:space="preserve">Примања од продаје подземних блага у корист нивоа градова                                                              </t>
  </si>
  <si>
    <t xml:space="preserve">Примања од продаје подземних блага у корист нивоа општина                                                              </t>
  </si>
  <si>
    <t xml:space="preserve">Примања од продаје подземних блага у корист организација обавезног социјалног осигурања                                                            </t>
  </si>
  <si>
    <t xml:space="preserve">Примања од продаје подземних блага у корист републичког фонда за здравствено осигурање                                                           </t>
  </si>
  <si>
    <t xml:space="preserve">Примања од продаје подземних блага у корист републичког фонда за пио                                                            </t>
  </si>
  <si>
    <t xml:space="preserve">Примања од продаје подземних блага у корист националне службе за запошљавање                                                            </t>
  </si>
  <si>
    <t xml:space="preserve">Примања од продаје шума и вода                                                                 </t>
  </si>
  <si>
    <t xml:space="preserve">Примања од продаје шума и вода у корист нивоа републике                                                             </t>
  </si>
  <si>
    <t xml:space="preserve">Примања од продаје шума и вода у корист нивоа територијалних аутономија                                                            </t>
  </si>
  <si>
    <t xml:space="preserve">Примања од продаје шума и вода у корист нивоа градова                                                             </t>
  </si>
  <si>
    <t xml:space="preserve">Примања од продаје шума и вода у корист нивоа општина                                                             </t>
  </si>
  <si>
    <t xml:space="preserve">Примања од продаје шума и вода у корист организација обавезног социјалног осигурања                                                           </t>
  </si>
  <si>
    <t xml:space="preserve">Примања од продаје шума и вода у корист републичког фонда за здравствено осигурање                                                          </t>
  </si>
  <si>
    <t xml:space="preserve">Примања од продаје шума и вода у корист републичког фонда за пио                                                           </t>
  </si>
  <si>
    <t xml:space="preserve">Примања од продаје шума и вода у корист националне службе за запошљавање                                                           </t>
  </si>
  <si>
    <t>900000</t>
  </si>
  <si>
    <t xml:space="preserve">Примања од задуживања и продаје финансијске имовине                                                                </t>
  </si>
  <si>
    <t>910000</t>
  </si>
  <si>
    <t xml:space="preserve">Примања од задуживања                                                                    </t>
  </si>
  <si>
    <t xml:space="preserve">Примања од домаћих задуживања                                                                   </t>
  </si>
  <si>
    <t xml:space="preserve">Примања од емитовања домаћих хартија од вредности, изузев акција                                                              </t>
  </si>
  <si>
    <t xml:space="preserve">Примања од емитовања домаћих хартија од вредности, изузев акција, у корист нивоа републике                                                          </t>
  </si>
  <si>
    <t xml:space="preserve">Примања од емитовања домаћих хартија од вредности, изузев акција, у корист нивоа територијалних аутономија                                                         </t>
  </si>
  <si>
    <t xml:space="preserve">Примања од емитовања домаћих хартија од вредности, изузев акција, у корист нивоа ап војводина                                                         </t>
  </si>
  <si>
    <t xml:space="preserve">Примања од емитовања домаћих хартија од вредности, изузев акција, у корист нивоа ап косово и метохија                                                       </t>
  </si>
  <si>
    <t xml:space="preserve">Примања од емитовања домаћих хартија од вредности, изузев акција, у корист нивоа градова                                                          </t>
  </si>
  <si>
    <t xml:space="preserve">Примања од емитовања домаћих хартија од вредности, изузев акција, у корист нивоа општина                                                          </t>
  </si>
  <si>
    <t xml:space="preserve">Примања од емитовања домаћих хартија од вредности, изузев акција, у корист организација обавезног социјалног осигурања                                                        </t>
  </si>
  <si>
    <t xml:space="preserve">Примања од емитовања домаћих хартија од вредности, изузев акција, у корист републичког фонда за здравствено осигурање                                                       </t>
  </si>
  <si>
    <t xml:space="preserve">Примања од емитовања домаћих хартија од вредности, изузев акција, у корист републичког фонда за пио                                                        </t>
  </si>
  <si>
    <t xml:space="preserve">Примања од емитовања домаћих хартија од вредности, изузев акција, у корист националне службе за запошљавање                                                        </t>
  </si>
  <si>
    <t xml:space="preserve">Примања од задуживања од осталих нивоа власти                                                                </t>
  </si>
  <si>
    <t xml:space="preserve">Примања од задуживања од осталих нивоа власти у корист нивоа републике                                                            </t>
  </si>
  <si>
    <t xml:space="preserve">Примања од задуживања од осталих нивоа власти у корист нивоа територијалних аутономија                                                           </t>
  </si>
  <si>
    <t xml:space="preserve">Примања од задуживања од осталих нивоа власти у корист нивоа ап војводина                                                           </t>
  </si>
  <si>
    <t xml:space="preserve">Примања од задуживања од осталих нивоа власти у корист нивоа ап косово и метохија                                                         </t>
  </si>
  <si>
    <t xml:space="preserve">Примања од задуживања од осталих нивоа власти у корист нивоа градова                                                            </t>
  </si>
  <si>
    <t xml:space="preserve">Примања од задуживања од осталих нивоа власти у корист нивоа општина                                                            </t>
  </si>
  <si>
    <t xml:space="preserve">Примања од задуживања од осталих нивоа власти у корист организација обавезног социјалног осигурања                                                          </t>
  </si>
  <si>
    <t xml:space="preserve">Примања од задуживања од осталих нивоа власти у корист републичког фонда за здравствено осигурање                                                         </t>
  </si>
  <si>
    <t xml:space="preserve">Примања од задуживања од осталих нивоа власти у корист републичког фонда за пио                                                          </t>
  </si>
  <si>
    <t xml:space="preserve">Примања од задуживања од осталих нивоа власти у корист националне службе за запошљавање                                                          </t>
  </si>
  <si>
    <t xml:space="preserve">Примања од задуживања од јавних финансијских институција у земљи                                                              </t>
  </si>
  <si>
    <t xml:space="preserve">Примања од задуживања од јавних финансијских институција у земљи у корист нивоа републике                                                          </t>
  </si>
  <si>
    <t xml:space="preserve">Примања од задуживања од јавних финансијских институција у земљи у корист нивоа територијалних аутономија                                                         </t>
  </si>
  <si>
    <t xml:space="preserve">Примања од задуживања од јавних финансијских институција у земљи у корист нивоа градова                                                          </t>
  </si>
  <si>
    <t xml:space="preserve">Примања од задуживања од јавних финансијских институција у земљи у корист нивоа општина                                                          </t>
  </si>
  <si>
    <t xml:space="preserve">Примања од задуживања од јавних финансијских институција у земљи у корист организација обавезног социјалног осигурања                                                        </t>
  </si>
  <si>
    <t xml:space="preserve">Примања од задуживања од јавних финансијских институција у земљи у корист републичког фонда за здравствено осигурање                                                       </t>
  </si>
  <si>
    <t xml:space="preserve">Примања од задуживања од јавних финансијских институција у земљи у корист републичког фонда за пио                                                        </t>
  </si>
  <si>
    <t xml:space="preserve">Примања од задуживања од јавних финансијских институција у земљи у корист националне службе за запошљавање                                                        </t>
  </si>
  <si>
    <t xml:space="preserve">Примања од задуживања од пословних банака у земљи                                                               </t>
  </si>
  <si>
    <t xml:space="preserve">Примања од задуживања од пословних банака у земљи у корист нивоа републике                                                           </t>
  </si>
  <si>
    <t xml:space="preserve">Примања од задуживања од пословних банака у земљи у корист нивоа територијалних аутономија                                                          </t>
  </si>
  <si>
    <t xml:space="preserve">Примања од задуживања од пословних банака у земљи у корист нивоа ап војводина                                                          </t>
  </si>
  <si>
    <t xml:space="preserve">Примања од задуживања од пословних банака у земљи у корист нивоа ап косово и метохија                                                        </t>
  </si>
  <si>
    <t xml:space="preserve">Примања од задуживања од пословних банака у земљи у корист нивоа градова                                                           </t>
  </si>
  <si>
    <t>911441</t>
  </si>
  <si>
    <t xml:space="preserve">Примања од задуживања од пословних банака у земљи у корист нивоа општина                                                           </t>
  </si>
  <si>
    <t xml:space="preserve">Примања од задуживања од пословних банака у земљи у корист организација обавезног социјалног осигурања                                                         </t>
  </si>
  <si>
    <t xml:space="preserve">Примања од задуживања од пословних банака у земљи у корист републичког фонда за здравствено осигурање                                                        </t>
  </si>
  <si>
    <t xml:space="preserve">Примања од задуживања од пословних банака у земљи у корист републичког фонда за пио                                                         </t>
  </si>
  <si>
    <t xml:space="preserve">Примања од задуживања од пословних банака у земљи у корист националне службе за запошљавање                                                         </t>
  </si>
  <si>
    <t xml:space="preserve">Примања од задуживања код осталих поверилаца у земљи                                                               </t>
  </si>
  <si>
    <t xml:space="preserve">Примања од задуживања код осталих поверилаца у земљи у корист нивоа републике                                                           </t>
  </si>
  <si>
    <t xml:space="preserve">Примања од задуживања код осталих поверилаца у земљи у корист нивоа територијалних аутономија                                                          </t>
  </si>
  <si>
    <t xml:space="preserve">Примања од задуживања код осталих поверилаца у земљи у корист нивоа ап војводина                                                          </t>
  </si>
  <si>
    <t xml:space="preserve">Примања од задуживања код осталих поверилаца у земљи у корист нивоа ап косово и метохија                                                        </t>
  </si>
  <si>
    <t xml:space="preserve">Примања од задуживања код осталих поверилаца у земљи у корист нивоа градова                                                           </t>
  </si>
  <si>
    <t xml:space="preserve">Примања од задуживања код осталих поверилаца у земљи у корист нивоа општина                                                           </t>
  </si>
  <si>
    <t xml:space="preserve">Примања од задуживања код осталих поверилаца у земљи у корист организација обавезног социјалног осигурања                                                         </t>
  </si>
  <si>
    <t xml:space="preserve">Примања од задуживања код осталих поверилаца у земљи у корист републичког фонда за здравствено осигурање                                                        </t>
  </si>
  <si>
    <t xml:space="preserve">Примања од задуживања код осталих поверилаца у земљи у корист републичког фонда за пио                                                         </t>
  </si>
  <si>
    <t xml:space="preserve">Примања од задуживања код осталих поверилаца у земљи у корист националне службе за запошљавање                                                         </t>
  </si>
  <si>
    <t xml:space="preserve">Примања од задуживања од домаћинстава у земљи                                                                </t>
  </si>
  <si>
    <t xml:space="preserve">Примања од задуживања од домаћинстава у земљи у корист нивоа републике                                                            </t>
  </si>
  <si>
    <t xml:space="preserve">Примања од задуживања од домаћинстава у земљи у корист нивоа територијалних аутономија                                                           </t>
  </si>
  <si>
    <t xml:space="preserve">Примања од задуживања од домаћинстава у земљи у корист нивоа градова                                                            </t>
  </si>
  <si>
    <t xml:space="preserve">Примања од задуживања од домаћинстава у земљи у корист нивоа општина                                                            </t>
  </si>
  <si>
    <t xml:space="preserve">Примања од задуживања од домаћинстава у земљи у корист организација обавезног социјалног осигурања                                                          </t>
  </si>
  <si>
    <t xml:space="preserve">Примања од задуживања од домаћинстава у земљи у корист републичког фонда за здравствено осигурање                                                         </t>
  </si>
  <si>
    <t xml:space="preserve">Примања од задуживања од домаћинстава у земљи у корист републичког фонда за пио                                                          </t>
  </si>
  <si>
    <t xml:space="preserve">Примања од задуживања од домаћинстава у земљи у корист националне службе за запошљавање                                                          </t>
  </si>
  <si>
    <t xml:space="preserve">Примања од домаћих финансијских деривата                                                                  </t>
  </si>
  <si>
    <t xml:space="preserve">Примања од домаћих финансијских деривата у корист нивоа републике                                                              </t>
  </si>
  <si>
    <t xml:space="preserve">Примања од домаћих финансијских деривата у корист нивоа територијалних аутономија                                                             </t>
  </si>
  <si>
    <t xml:space="preserve">Примања од домаћих финансијских деривата у корист нивоа градова                                                              </t>
  </si>
  <si>
    <t xml:space="preserve">Примања од домаћих финансијских деривата у корист нивоа општина                                                              </t>
  </si>
  <si>
    <t xml:space="preserve">Примања од домаћих финансијских деривата у корист организација обавезног социјалног осигурања                                                            </t>
  </si>
  <si>
    <t xml:space="preserve">Примања од домаћих финансијских деривата у корист републичког фонда за здравствено осигурање                                                           </t>
  </si>
  <si>
    <t xml:space="preserve">Примања од домаћих финансијских деривата у корист републичког фонда за пио                                                            </t>
  </si>
  <si>
    <t xml:space="preserve">Примања од домаћих финансијских деривата у корист националне службе за запошљавање                                                            </t>
  </si>
  <si>
    <t xml:space="preserve">Примања од домаћих меница                                                                   </t>
  </si>
  <si>
    <t xml:space="preserve">Примања од домаћих меница у корист нивоа републике                                                               </t>
  </si>
  <si>
    <t xml:space="preserve">Примања од домаћих меница у корист нивоа територијалних аутономија                                                              </t>
  </si>
  <si>
    <t xml:space="preserve">Примања од домаћих меница у корист нивоа ап војводина                                                              </t>
  </si>
  <si>
    <t xml:space="preserve">Примања од домаћих меница у корист нивоа ап косово и метохија                                                            </t>
  </si>
  <si>
    <t xml:space="preserve">Примања од домаћих меница у корист нивоа градова                                                               </t>
  </si>
  <si>
    <t xml:space="preserve">Примања од домаћих меница у корист нивоа општина                                                               </t>
  </si>
  <si>
    <t xml:space="preserve">Примања од домаћих меница у корист организација обавезног социјалног осигурања                                                             </t>
  </si>
  <si>
    <t xml:space="preserve">Примања од домаћих меница у корист републичког фонда за здравствено осигурање                                                            </t>
  </si>
  <si>
    <t xml:space="preserve">Примања од домаћих меница у корист републичког фонда за пио                                                             </t>
  </si>
  <si>
    <t xml:space="preserve">Примања од домаћих меница у корист националне службе за запошљавање                                                             </t>
  </si>
  <si>
    <t xml:space="preserve">Примања од исправке унутрашњег дуга у корист нивоа републике                                                              </t>
  </si>
  <si>
    <t xml:space="preserve">Примања од исправке унутрашњег дуга у корист нивоа територијалних аутономија                                                             </t>
  </si>
  <si>
    <t xml:space="preserve">Примања од исправке унутрашњег дуга у корист нивоа ап војводина                                                             </t>
  </si>
  <si>
    <t xml:space="preserve">Примања од исправке унутрашњег дуга у корист нивоа ап косово и метохија                                                           </t>
  </si>
  <si>
    <t xml:space="preserve">Примања од исправке унутрашњег дуга у корист нивоа градова                                                              </t>
  </si>
  <si>
    <t xml:space="preserve">Примања од исправке унутрашњег дуга у корист нивоа општина                                                              </t>
  </si>
  <si>
    <t xml:space="preserve">Примања од исправке унутрашњег дуга у корист организација обавезног социјалног осигурања                                                            </t>
  </si>
  <si>
    <t xml:space="preserve">Примања од исправке унутрашњег дуга у корист републичког фонда за здравствено осигурање                                                           </t>
  </si>
  <si>
    <t xml:space="preserve">Примања од исправке унутрашњег дуга у корист републичког фонда за пио                                                            </t>
  </si>
  <si>
    <t xml:space="preserve">Примања од исправке унутрашњег дуга у корист националне службе за запошљавање                                                            </t>
  </si>
  <si>
    <t xml:space="preserve">Примања од иностраног задуживања                                                                   </t>
  </si>
  <si>
    <t xml:space="preserve">Примања од емитовања хартија од вредности, изузев акција, на иностраном финансијском тржишту                                                           </t>
  </si>
  <si>
    <t xml:space="preserve">Примања од емитовања хартија од вредности, изузев акција, на иностраном финансијском тржишту у корист нивоа републике                                                       </t>
  </si>
  <si>
    <t xml:space="preserve">Примања од емитовања хартија од вредности, изузев акција, на иностраном финансијском тржишту у корист нивоа територијалних аутономија                                                      </t>
  </si>
  <si>
    <t xml:space="preserve">Примања од емитовања хартија од вредности, изузев акција, на иностраном финансијском тржишту у корист нивоа градова                                                       </t>
  </si>
  <si>
    <t xml:space="preserve">Примања од емитовања хартија од вредности, изузев акција, , на иностраном финансијском тржишту у корист нивоа градова                                                      </t>
  </si>
  <si>
    <t xml:space="preserve">Примања од емитовања хартија од вредности, изузев акција, на иностраном финансијском тржишту у корист нивоа општина                                                       </t>
  </si>
  <si>
    <t xml:space="preserve">Примања од емитовања хартија од вредности, изузев акција,  на иностраном финансијском тржишту у корист организација обавезног социјалног осигурања                                                    </t>
  </si>
  <si>
    <t xml:space="preserve">Примања од емитовања хартија од вредности, изузев акција, на иностраном финансијском тржишту у корист републичког фонда за здравствено осигурање                                                    </t>
  </si>
  <si>
    <t xml:space="preserve">Примања од емитовања  хартија од вредности, изузев акција, на иностраном финансијском тржишту у корист републичког фонда за пио                                                    </t>
  </si>
  <si>
    <t xml:space="preserve">Примања од емитовања хартија од вредности, изузев акција, на иностраном финансијском тржишту у корист националне службе за запошљавање                                                     </t>
  </si>
  <si>
    <t xml:space="preserve">Примања од задуживања од иностраних држава                                                                 </t>
  </si>
  <si>
    <t xml:space="preserve">Примања од задуживања од иностраних држава у корист нивоа републике                                                             </t>
  </si>
  <si>
    <t xml:space="preserve">Примања од задуживања од иностраних држава у корист нивоа територијалних аутономија                                                            </t>
  </si>
  <si>
    <t xml:space="preserve">Примања од задуживања од иностраних држава у корист нивоа ап војводина                                                            </t>
  </si>
  <si>
    <t xml:space="preserve">Примања од задуживања од иностраних држава у корист нивоа ап косово и метохија                                                          </t>
  </si>
  <si>
    <t xml:space="preserve">Примања од задуживања од иностраних држава у корист нивоа градова                                                             </t>
  </si>
  <si>
    <t xml:space="preserve">Примања од задуживања од иностраних држава у корист нивоа општина                                                             </t>
  </si>
  <si>
    <t xml:space="preserve">Примања од задуживања од иностраних држава у корист организација обавезног социјалног осигурања                                                           </t>
  </si>
  <si>
    <t xml:space="preserve">Примања од задуживања од иностраних држава у корист републичког фонда за здравствено осигурање                                                          </t>
  </si>
  <si>
    <t xml:space="preserve">Примања од задуживања од иностраних држава у корист републичког фонда за пио                                                           </t>
  </si>
  <si>
    <t xml:space="preserve">Примања од задуживања од иностраних држава у корист националне службе за запошљавање                                                           </t>
  </si>
  <si>
    <t xml:space="preserve">Примања од задуживања од мултилатералних институција                                                                 </t>
  </si>
  <si>
    <t xml:space="preserve">Примања од задуживања од мултилатералних институција у корист нивоа републике                                                             </t>
  </si>
  <si>
    <t xml:space="preserve">Примања од задуживања од мултилатералних институција у корист нивоа територијалних аутономија                                                            </t>
  </si>
  <si>
    <t xml:space="preserve">Примања од задуживања од мултилатералних институција у корист нивоа ап војводина                                                            </t>
  </si>
  <si>
    <t xml:space="preserve">Примања од задуживања од мултилатералних институција у корист нивоа ап косово и метохија                                                          </t>
  </si>
  <si>
    <t xml:space="preserve">Примања од задуживања од мултилатералних институција у корист нивоа градова                                                             </t>
  </si>
  <si>
    <t xml:space="preserve">Примања од задуживања од мултилатералних институција у корист нивоа општина                                                             </t>
  </si>
  <si>
    <t xml:space="preserve">Примања од задуживања од мултилатералних институција у корист организација обавезног социјалног осигурања                                                           </t>
  </si>
  <si>
    <t xml:space="preserve">Примања од задуживања од мултилатералних институција у корист републичког фонда за здравствено осигурање                                                          </t>
  </si>
  <si>
    <t xml:space="preserve">Примања од задуживања од мултилатералних институција у корист републичког фонда за пио                                                           </t>
  </si>
  <si>
    <t xml:space="preserve">Примања од задуживања од мултилатералних институција у корист националне службе за запошљавање                                                           </t>
  </si>
  <si>
    <t xml:space="preserve">Примања од задуживања од иностраних пословних банака                                                                </t>
  </si>
  <si>
    <t xml:space="preserve">Примања од задуживања од иностраних пословних банака у корист нивоа републике                                                            </t>
  </si>
  <si>
    <t xml:space="preserve">Примања од задуживања од иностраних пословних банака у корист нивоа територијалних аутономија                                                           </t>
  </si>
  <si>
    <t xml:space="preserve">Примања од задуживања од иностраних пословних банака у корист нивоа ап војводина                                                           </t>
  </si>
  <si>
    <t xml:space="preserve">Примања од задуживања од иностраних пословних банака у корист нивоа ап косово и метохија                                                         </t>
  </si>
  <si>
    <t xml:space="preserve">Примања од задуживања од иностраних пословних банака у корист нивоа градова                                                            </t>
  </si>
  <si>
    <t xml:space="preserve">Примања од задуживања од иностраних пословних банака у корист нивоа општина                                                            </t>
  </si>
  <si>
    <t xml:space="preserve">Примања од задуживања од иностраних пословних банака у корист организација обавезног социјалног осигурања                                                          </t>
  </si>
  <si>
    <t xml:space="preserve">Примања од задуживања од иностраних пословних банака у корист републичког фонда за здравствено осигурање                                                         </t>
  </si>
  <si>
    <t xml:space="preserve">Примања од задуживања од иностраних пословних банака у корист републичког фонда за пио                                                          </t>
  </si>
  <si>
    <t xml:space="preserve">Примања од задуживања од иностраних пословних банака у корист националне службе за запошљавање                                                          </t>
  </si>
  <si>
    <t xml:space="preserve">Примања од задуживања од осталих иностраних поверилаца                                                                </t>
  </si>
  <si>
    <t xml:space="preserve">Примања од задуживања од осталих иностраних поверилаца у корист нивоа републике                                                            </t>
  </si>
  <si>
    <t xml:space="preserve">Примања од задуживања од осталих иностраних поверилаца у корист нивоа територијалних аутономија                                                           </t>
  </si>
  <si>
    <t xml:space="preserve">Примања од задуживања од осталих иностраних поверилаца у корист нивоа ап војводина                                                           </t>
  </si>
  <si>
    <t xml:space="preserve">Примања од задуживања од осталих иностраних поверилаца у корист нивоа ап косово и метохија                                                         </t>
  </si>
  <si>
    <t xml:space="preserve">Примања од задуживања од осталих иностраних поверилаца у корист нивоа градова                                                            </t>
  </si>
  <si>
    <t xml:space="preserve">Примања од задуживања од осталих иностраних поверилаца у корист нивоа општина                                                            </t>
  </si>
  <si>
    <t xml:space="preserve">Примања од задуживања од осталих иностраних поверилаца у корист организација обавезног социјалног осигурања                                                          </t>
  </si>
  <si>
    <t xml:space="preserve">Примања од задуживања од осталих иностраних поверилаца у корист републичког фонда за здравствено осигурање                                                         </t>
  </si>
  <si>
    <t xml:space="preserve">Примања од задуживања од осталих иностраних поверилаца у корист републичког фонда за пио                                                          </t>
  </si>
  <si>
    <t xml:space="preserve">Примања од задуживања од осталих иностраних поверилаца у корист националне службе за запошљавање                                                          </t>
  </si>
  <si>
    <t xml:space="preserve">Примања од иностраних финансијских деривата                                                                  </t>
  </si>
  <si>
    <t xml:space="preserve">Примања од иностраних финансијских деривата у корист нивоа републике                                                              </t>
  </si>
  <si>
    <t xml:space="preserve">Примања од иностраних финансијских деривата у корист нивоа територијалних аутономија                                                             </t>
  </si>
  <si>
    <t xml:space="preserve">Примања од иностраних финансијских деривата у корист нивоа градова                                                              </t>
  </si>
  <si>
    <t xml:space="preserve">Примања од иностраних финансијских деривата у корист нивоа општина                                                              </t>
  </si>
  <si>
    <t xml:space="preserve">Примања од иностраних финансијских деривата у корист организација обавезног социјалног осигурања                                                            </t>
  </si>
  <si>
    <t xml:space="preserve">Примања од иностраних финансијских деривата у корист републичког фонда за здравствено осигурање                                                           </t>
  </si>
  <si>
    <t xml:space="preserve">Примања од иностраних финансијских деривата у корист републичког фонда за пио                                                            </t>
  </si>
  <si>
    <t xml:space="preserve">Примања од иностраних финансијских деривата у корист националне службе за запошљавање                                                            </t>
  </si>
  <si>
    <t xml:space="preserve">Примања од исправке спољног дуга у корист нивоа републике                                                              </t>
  </si>
  <si>
    <t xml:space="preserve">Примања од исправке спољног дуга у корист нивоа територијалних аутономија                                                             </t>
  </si>
  <si>
    <t xml:space="preserve">Примања од исправке спољног дуга у корист нивоа ап војводина                                                             </t>
  </si>
  <si>
    <t xml:space="preserve">Примања од исправке спољног дуга у корист нивоа ап косово и метохија                                                           </t>
  </si>
  <si>
    <t xml:space="preserve">Примања од исправке спољног дуга у корист нивоа градова                                                              </t>
  </si>
  <si>
    <t xml:space="preserve">Примања од исправке спољног дуга у корист нивоа општина                                                              </t>
  </si>
  <si>
    <t xml:space="preserve">Примања од исправке спољног дуга у корист организација обавезног социјалног осигурања                                                            </t>
  </si>
  <si>
    <t xml:space="preserve">Примања од исправке спољног дуга у корист републичког фонда за здравствено осигурање                                                           </t>
  </si>
  <si>
    <t xml:space="preserve">Примања од исправке спољног дуга у корист републичког фонда за пио                                                            </t>
  </si>
  <si>
    <t xml:space="preserve">Примања од исправке спољног дуга у корист националне службе за запошљавање                                                            </t>
  </si>
  <si>
    <t>920000</t>
  </si>
  <si>
    <t xml:space="preserve">Примања од продаје домаће финансијске имовине                                                                 </t>
  </si>
  <si>
    <t xml:space="preserve">Примања од продаје домаћих хартија од вредности, изузев акција                                                              </t>
  </si>
  <si>
    <t xml:space="preserve">Примања од продаје домаћих хартија од вредности, изузев акција, у корист нивоа републике                                                          </t>
  </si>
  <si>
    <t xml:space="preserve">Примања од продаје домаћих хартија од вредности, изузев акција, у корист нивоа територијалних аутономија                                                         </t>
  </si>
  <si>
    <t xml:space="preserve">Примања од продаје домаћих хартија од вредности, изузев акција, у корист нивоа ап војводина                                                         </t>
  </si>
  <si>
    <t xml:space="preserve">Примања од продаје домаћих хартија од вредности, изузев акција, у корист нивоа ап косово и метохија                                                       </t>
  </si>
  <si>
    <t xml:space="preserve">Примања од продаје домаћих хартија од вредности, изузев акција, у корист нивоа градова                                                          </t>
  </si>
  <si>
    <t xml:space="preserve">Примања од продаје домаћих хартија од вредности, изузев акција, у корист нивоа општина                                                          </t>
  </si>
  <si>
    <t xml:space="preserve">Примања од продаје домаћих хартија од вредности, изузев акција, у корист организација обавезног социјалног осигурања                                                        </t>
  </si>
  <si>
    <t xml:space="preserve">Примања од продаје домаћих хартија од вредности, изузев акција, у корист републичког фонда за здравствено осигурање                                                       </t>
  </si>
  <si>
    <t xml:space="preserve">Примања од продаје домаћих хартија од вредности, изузев акција, у корист републичког фонда за пио                                                        </t>
  </si>
  <si>
    <t xml:space="preserve">Примања од продаје домаћих хартија од вредности, изузев акција, у корист националне службе за запошљавање                                                        </t>
  </si>
  <si>
    <t xml:space="preserve">Примања од отплате кредита датих осталим нивоима власти у корист нивоа републике                                                           </t>
  </si>
  <si>
    <t xml:space="preserve">Примања од отплате кредита датих осталим нивоима власти у корист нивоа територијалних аутономија                                                          </t>
  </si>
  <si>
    <t xml:space="preserve">Примања од отплате кредита датих осталим нивоима власти у корист нивоа ап војводина                                                          </t>
  </si>
  <si>
    <t xml:space="preserve">Примања од отплате кредита датих осталим нивоима власти у корист нивоа ап косово и метохија                                                        </t>
  </si>
  <si>
    <t xml:space="preserve">Примања од отплате кредита датих осталим нивоима власти у корист нивоа градова                                                           </t>
  </si>
  <si>
    <t xml:space="preserve">Примања од отплате кредита датих осталим нивоима власти у корист нивоа општина                                                           </t>
  </si>
  <si>
    <t xml:space="preserve">Примања од отплате кредита датих осталим нивоима власти у корист организација обавезног социјалног осигурања                                                         </t>
  </si>
  <si>
    <t xml:space="preserve">Примања од отплате кредита датих осталим нивоима власти у корист републичког фонда за здравствено осигурање                                                        </t>
  </si>
  <si>
    <t xml:space="preserve">Примања од отплате кредита датих осталим нивоима власти у корист републичког фонда за пио                                                         </t>
  </si>
  <si>
    <t xml:space="preserve">Примања од отплате кредита датих осталим нивоима власти у корист националне службе за запошљавање                                                         </t>
  </si>
  <si>
    <t xml:space="preserve">Примања од отплате кредита датих домаћим јавним финансијским институцијама                                                              </t>
  </si>
  <si>
    <t xml:space="preserve">Примања од отплате кредита датих домаћим јавним финансијским институцијама у корист нивоа републике                                                          </t>
  </si>
  <si>
    <t xml:space="preserve">Примања од отплате кредита датих домаћим јавним финансијским институцијама у корист нивоа територијалних аутономија                                                         </t>
  </si>
  <si>
    <t xml:space="preserve">Примања од отплате кредита датих домаћим јавним финансијским институцијама у корист нивоа градова                                                          </t>
  </si>
  <si>
    <t xml:space="preserve">Примања од отплате кредита датих домаћим јавним финансијским институцијама у корист нивоа општина                                                          </t>
  </si>
  <si>
    <t xml:space="preserve">Примања од отплате кредита датих домаћим јавним финансијским институцијама у корист организација обавезног социјалног осигурања                                                        </t>
  </si>
  <si>
    <t xml:space="preserve">Примања од отплате кредита датих домаћим јавним финансијским институцијама у корист републичког фонда за здравствено осигурање                                                       </t>
  </si>
  <si>
    <t xml:space="preserve">Примања од отплате кредита датих домаћим јавним финансијским институцијама у корист републичког фонда за пио                                                        </t>
  </si>
  <si>
    <t xml:space="preserve">Примања од отплате кредита датих домаћим јавним финансијским институцијама у корист националне службе за запошљавање                                                        </t>
  </si>
  <si>
    <t xml:space="preserve">Примања од отплате кредита датих домаћим пословним банкама                                                               </t>
  </si>
  <si>
    <t xml:space="preserve">Примања од отплате кредита датих домаћим пословним банкама у корист нивоа републике                                                           </t>
  </si>
  <si>
    <t xml:space="preserve">Примања од отплате кредита датих домаћим пословним банкама у корист нивоа територијалних аутономија                                                          </t>
  </si>
  <si>
    <t xml:space="preserve">Примања од отплате кредита датих домаћим пословним банкама у корист нивоа градова                                                           </t>
  </si>
  <si>
    <t xml:space="preserve">Примања од отплате кредита датих домаћим пословним банкама у корист нивоа општина                                                           </t>
  </si>
  <si>
    <t xml:space="preserve">Примања од отплате кредита датих домаћим пословним банкама у корист организација обавезног социјалног осигурања                                                         </t>
  </si>
  <si>
    <t xml:space="preserve">Примања од отплате кредита датих домаћим пословним банкама у корист републичког фонда за здравствено осигурање                                                        </t>
  </si>
  <si>
    <t xml:space="preserve">Примања од отплате кредита датих домаћим пословним банкама у корист републичког фонда за пио                                                         </t>
  </si>
  <si>
    <t xml:space="preserve">Примања од отплате кредита датих домаћим пословним банкама у корист националне службе за запошљавање                                                         </t>
  </si>
  <si>
    <t xml:space="preserve">Примања од отплате кредита датих домаћим јавним нефинансијским институцијама                                                              </t>
  </si>
  <si>
    <t xml:space="preserve">Примања од отплате кредита датих домаћим јавним нефинансијским институцијама у корист нивоа републике                                                          </t>
  </si>
  <si>
    <t xml:space="preserve">Примања од отплате кредита датих домаћим јавним нефинансијским институцијама у корист нивоа територијалних аутономија                                                         </t>
  </si>
  <si>
    <t xml:space="preserve">Примања од отплате кредита датих домаћим јавним нефинансијским институцијама у корист нивоа ап војводина                                                         </t>
  </si>
  <si>
    <t xml:space="preserve">Примања од отплате кредита датих домаћим јавним нефинансијским институцијама у корист нивоа ап косово и метохија                                                       </t>
  </si>
  <si>
    <t xml:space="preserve">Примања од отплате кредита датих домаћим јавним нефинансијским институцијама у корист нивоа градова                                                          </t>
  </si>
  <si>
    <t xml:space="preserve">Примања од отплате кредита датих домаћим јавним нефинансијским институцијама у корист нивоа општина                                                          </t>
  </si>
  <si>
    <t xml:space="preserve">Примања од отплате кредита датих домаћим јавним нефинансијским институцијама у корист организација обавезног социјалног осигурања                                                        </t>
  </si>
  <si>
    <t xml:space="preserve">Примања од отплате кредита датих домаћим јавним нефинансијским институцијама у корист републичког фонда за здравствено осигурање                                                       </t>
  </si>
  <si>
    <t xml:space="preserve">Примања од отплате кредита датих домаћим јавним нефинансијским институцијама у корист републичког фонда за пио                                                        </t>
  </si>
  <si>
    <t xml:space="preserve">Примања од отплате кредита датих домаћим јавним нефинансијским институцијама у корист националне службе за запошљавање                                                        </t>
  </si>
  <si>
    <t xml:space="preserve">Примања од отплате кредита датих физичким лицима и домаћинствима у земљи                                                            </t>
  </si>
  <si>
    <t xml:space="preserve">Примања од отплате кредита датих домаћинствима у земљи у корист нивоа републике                                                           </t>
  </si>
  <si>
    <t xml:space="preserve">Примања од отплате кредита датих домаћинствима у земљи у корист нивоа територијалних аутономија                                                          </t>
  </si>
  <si>
    <t xml:space="preserve">Примања од отплате кредита датих домаћинствима у земљи у корист нивоа ап војводина                                                          </t>
  </si>
  <si>
    <t xml:space="preserve">Примања од отплате кредита датих домаћинствима у земљи у корист нивоа ап косово и метохија                                                        </t>
  </si>
  <si>
    <t xml:space="preserve">Примања од отплате кредита датих домаћинствима у земљи у корист нивоа градова                                                           </t>
  </si>
  <si>
    <t xml:space="preserve">Примања од отплате кредита датих домаћинствима у земљи у корист нивоа општина                                                           </t>
  </si>
  <si>
    <t xml:space="preserve">Примања од отплате кредита датих домаћинствима у земљи у корист организација обавезног социјалног осигурања                                                         </t>
  </si>
  <si>
    <t xml:space="preserve">Примања од отплате кредита датих домаћинствима у земљи у корист републичког фонда за здравствено осигурање                                                        </t>
  </si>
  <si>
    <t xml:space="preserve">Примања од отплате кредита датих домаћинствима у земљи у корист републичког фонда за пио                                                         </t>
  </si>
  <si>
    <t xml:space="preserve">Примања од отплате кредита датих домаћинствима у земљи у корист националне службе за запошљавање                                                         </t>
  </si>
  <si>
    <t xml:space="preserve">Примања од отплате кредита датих удружењима грађана у земљи                                                              </t>
  </si>
  <si>
    <t xml:space="preserve">Примања од отплате кредита датих удружењима грађана у земљи у корист нивоа републике                                                          </t>
  </si>
  <si>
    <t xml:space="preserve">Примања од отплате кредита датих удружењима грађана у земљи у корист нивоа територијалних аутономија                                                         </t>
  </si>
  <si>
    <t xml:space="preserve">Примања од отплате кредита датих удружењима грађана у земљи у корист нивоа ап војводина                                                         </t>
  </si>
  <si>
    <t xml:space="preserve">Примања од отплате кредита датих удружењима грађана у земљи у корист нивоа ап косово и метохија                                                       </t>
  </si>
  <si>
    <t xml:space="preserve">Примања од отплате кредита датих удружењима грађана у земљи у корист нивоа градова                                                          </t>
  </si>
  <si>
    <t xml:space="preserve">Примања од отплате кредита датих удружењима грађана у земљи у корист нивоа општина                                                          </t>
  </si>
  <si>
    <t xml:space="preserve">Примања од отплате кредита датих удружењима грађана у земљи у корист организација обавезног социјалног осигурања                                                        </t>
  </si>
  <si>
    <t xml:space="preserve">Примања од отплате кредита датих удружењима грађана у земљи у корист републичког фонда за здравствено осигурање                                                       </t>
  </si>
  <si>
    <t xml:space="preserve">Примања од отплате кредита датих удружењима грађана у земљи у корист републичког фонда за пио                                                        </t>
  </si>
  <si>
    <t xml:space="preserve">Примања од отплате кредита датих удружењима грађана у земљи у корист националне службе за запошљавање                                                        </t>
  </si>
  <si>
    <t xml:space="preserve">Примања од отплате кредита датих нефинансијским приватним предузећима у земљи                                                             </t>
  </si>
  <si>
    <t xml:space="preserve">Примања од отплате кредита датих нефинансијским приватним предузећима у земљи у корист нивоа републике                                                         </t>
  </si>
  <si>
    <t xml:space="preserve">Примања од отплате кредита датих нефинансијским приватним предузећима у земљи у корист нивоа територијалних аутономија                                                        </t>
  </si>
  <si>
    <t xml:space="preserve">Примања од отплате кредита датих нефинансијским приватним предузећима у земљи у корист нивоа градова                                                         </t>
  </si>
  <si>
    <t xml:space="preserve">Примања од отплате кредита датих нефинансијским приватним предузећима у земљи у корист нивоа општина                                                         </t>
  </si>
  <si>
    <t xml:space="preserve">Примања од отплате кредита датих нефинансијским приватним предузећима у земљи у корист организација обавезног социјалног осигурања                                                       </t>
  </si>
  <si>
    <t xml:space="preserve">Примања од отплате кредита датих нефинансијским приватним предузећима у земљи у корист републичког фонда за здравствено осигурање                                                      </t>
  </si>
  <si>
    <t xml:space="preserve">Примања од отплате кредита датих нефинансијским приватним предузећима у земљи у корист републичког фонда за пио                                                       </t>
  </si>
  <si>
    <t xml:space="preserve">Примања од отплате кредита датих нефинансијским приватним предузећима у земљи у корист националне службе за запошљавање                                                       </t>
  </si>
  <si>
    <t xml:space="preserve">Примања од продаје домаћих акција и осталог капитала                                                               </t>
  </si>
  <si>
    <t xml:space="preserve">Примања од продаје домаћих акција и осталог капитала у корист нивоа републике                                                           </t>
  </si>
  <si>
    <t xml:space="preserve">Примања од приватизације од продаје акција                                                                 </t>
  </si>
  <si>
    <t xml:space="preserve">Примања од аукцијске приватизације                                                                   </t>
  </si>
  <si>
    <t xml:space="preserve">Примања од продаје капитала у поступку приватизације у корист буџетског фонда за реституцију                                                          </t>
  </si>
  <si>
    <t xml:space="preserve">Примања од продаје домаћих акција и осталог капитала у корист нивоа територијалних аутономија                                                          </t>
  </si>
  <si>
    <t xml:space="preserve">Примања од продаје домаћих акција и осталог капитала у корист нивоа ап војводина                                                          </t>
  </si>
  <si>
    <t xml:space="preserve">Примања од продаје домаћих акција и осталог капитала у корист нивоа ап косово и метохија                                                        </t>
  </si>
  <si>
    <t xml:space="preserve">Примања од продаје домаћих акција и осталог капитала у корист нивоа градова                                                           </t>
  </si>
  <si>
    <t>921941</t>
  </si>
  <si>
    <t xml:space="preserve">Примања од продаје домаћих акција и осталог капитала у корист нивоа општина                                                           </t>
  </si>
  <si>
    <t xml:space="preserve">Примања од продаје домаћих акција и осталог капитала у корист организација обавезног социјалног осигурања                                                         </t>
  </si>
  <si>
    <t xml:space="preserve">Примања од продаје домаћих акција и осталог капитала у корист републичког фонда за здравствено осигурање                                                        </t>
  </si>
  <si>
    <t xml:space="preserve">Примања од продаје домаћих акција и осталог капитала у корист републичког фонда за пио                                                         </t>
  </si>
  <si>
    <t xml:space="preserve">Примања од продаје домаћих акција и осталог капитала у корист националне службе за запошљавање                                                         </t>
  </si>
  <si>
    <t xml:space="preserve">Примања од продаје стране финансијске имовине                                                                 </t>
  </si>
  <si>
    <t xml:space="preserve">Примања од продаје страних хартија од вредности, изузев акција                                                              </t>
  </si>
  <si>
    <t xml:space="preserve">Примања од продаје страних хартија од вредности, изузев акција, у корист нивоа републике                                                          </t>
  </si>
  <si>
    <t xml:space="preserve">Примања од продаје страних хартија од вредности, изузев акција, у корист нивоа територијалних аутономија                                                         </t>
  </si>
  <si>
    <t xml:space="preserve">Примања од продаје страних хартија од вредности, изузев акција, у корист нивоа ап војводина                                                         </t>
  </si>
  <si>
    <t xml:space="preserve">Примања од продаје страних хартија од вредности, изузев акција, у корист нивоа ап косово и метохија                                                       </t>
  </si>
  <si>
    <t xml:space="preserve">Примања од продаје страних хартија од вредности, изузев акција, у корист нивоа градова                                                          </t>
  </si>
  <si>
    <t xml:space="preserve">Примања од продаје страних хартија од вредности, изузев акција, у корист нивоа општина                                                          </t>
  </si>
  <si>
    <t xml:space="preserve">Примања од продаје страних хартија од вредности, изузев акција, у корист организација обавезног социјалног осигурања                                                        </t>
  </si>
  <si>
    <t xml:space="preserve">Примања од продаје страних хартија од вредности, изузев акција, у корист републичког фонда за здравствено осигурање                                                       </t>
  </si>
  <si>
    <t xml:space="preserve">Примања од продаје страних хартија од вредности, изузев акција, у корист републичког фонда за пио                                                        </t>
  </si>
  <si>
    <t xml:space="preserve">Примања од продаје страних хартија од вредности, изузев акција, у корист националне службе за запошљавање                                                        </t>
  </si>
  <si>
    <t xml:space="preserve">Примања од отплате кредита датих страним владама                                                                </t>
  </si>
  <si>
    <t xml:space="preserve">Примања од отплате кредита датих страним владама у корист нивоа републике                                                            </t>
  </si>
  <si>
    <t xml:space="preserve">Примања од отплате кредита датих страним владама у корист нивоа територијалних аутономија                                                           </t>
  </si>
  <si>
    <t xml:space="preserve">Примања од отплате кредита датих страним владама у корист нивоа градова                                                            </t>
  </si>
  <si>
    <t xml:space="preserve">Примања од отплате кредита датих страним владама у корист нивоа општина                                                            </t>
  </si>
  <si>
    <t xml:space="preserve">Примања од отплате кредита датих страним владама у корист организација обавезног социјалног осигурања                                                          </t>
  </si>
  <si>
    <t xml:space="preserve">Примања од отплате кредита датих страним владама у корист републичког фонда за здравствено осигурање                                                         </t>
  </si>
  <si>
    <t xml:space="preserve">Примања од отплате кредита датих страним владама у корист републичког фонда за пио                                                          </t>
  </si>
  <si>
    <t xml:space="preserve">Примања од отплате кредита датих страним владама у корист националне службе за запошљавање                                                          </t>
  </si>
  <si>
    <t xml:space="preserve">Примања од отплате кредита датих међународним организацијама                                                                </t>
  </si>
  <si>
    <t xml:space="preserve">Примања од отплате кредита датих међународним организацијама у корист нивоа републике                                                            </t>
  </si>
  <si>
    <t xml:space="preserve">Примања од отплате кредита датих међународним организацијама у корист нивоа територијалних аутономија                                                           </t>
  </si>
  <si>
    <t xml:space="preserve">Примања од отплате кредита датих међународним организацијама у корист нивоа градова                                                            </t>
  </si>
  <si>
    <t xml:space="preserve">Примања од отплате кредита датих међународним организацијама у корист нивоа општина                                                            </t>
  </si>
  <si>
    <t xml:space="preserve">Примања од отплате кредита датих међународним организацијама у корист организација обавезног социјалног осигурања                                                          </t>
  </si>
  <si>
    <t xml:space="preserve">Примања од отплате кредита датих међународним организацијама у корист републичког фонда за здравствено осигурање                                                         </t>
  </si>
  <si>
    <t xml:space="preserve">Примања од отплате кредита датих међународним организацијама у корист републичког фонда за пио                                                          </t>
  </si>
  <si>
    <t xml:space="preserve">Примања од отплате кредита датих међународним организацијама у корист националне службе за запошљавање                                                          </t>
  </si>
  <si>
    <t xml:space="preserve">Примања од отплате кредита датих страним пословним банкама                                                               </t>
  </si>
  <si>
    <t xml:space="preserve">Примања од отплате кредита датих страним пословним банкама у корист нивоа републике                                                           </t>
  </si>
  <si>
    <t xml:space="preserve">Примања од отплате кредита датих страним пословним банкама у корист нивоа територијалних аутономија                                                          </t>
  </si>
  <si>
    <t xml:space="preserve">Примања од отплате кредита датих страним пословним банкама у корист нивоа градова                                                           </t>
  </si>
  <si>
    <t xml:space="preserve">Примања од отплате кредита датих страним пословним банкама у корист нивоа општина                                                           </t>
  </si>
  <si>
    <t xml:space="preserve">Примања од отплате кредита датих страним пословним банкама у корист организација обавезног социјалног осигурања                                                         </t>
  </si>
  <si>
    <t xml:space="preserve">Примања од отплате кредита датих страним пословним банкама у корист републичког фонда за здравствено осигурање                                                        </t>
  </si>
  <si>
    <t xml:space="preserve">Примања од отплате кредита датих страним пословним банкама у корист републичког фонда за пио                                                         </t>
  </si>
  <si>
    <t xml:space="preserve">Примања од отплате кредита датих страним пословним банкама у корист националне службе за запошљавање                                                         </t>
  </si>
  <si>
    <t xml:space="preserve">Примања од отплате кредита датих страним нефинансијским институцијама                                                               </t>
  </si>
  <si>
    <t xml:space="preserve">Примања од отплате кредита датих страним нефинансијским институцијама у корист нивоа републике                                                           </t>
  </si>
  <si>
    <t xml:space="preserve">Примања од отплате кредита датих страним нефинансијским институцијама у корист нивоа територијалних аутономија                                                          </t>
  </si>
  <si>
    <t xml:space="preserve">Примања од отплате кредита датих страним нефинансијским институцијама у корист нивоа градова                                                           </t>
  </si>
  <si>
    <t xml:space="preserve">Примања од отплате кредита датих страним нефинансијским институцијама у корист нивоа општина                                                           </t>
  </si>
  <si>
    <t xml:space="preserve">Примања од отплате кредита датих страним нефинансијским институцијама у корист организација обавезног социјалног осигурања                                                         </t>
  </si>
  <si>
    <t xml:space="preserve">Примања од отплате кредита датих страним нефинансијским институцијама у корист републичког фонда за здравствено осигурање                                                        </t>
  </si>
  <si>
    <t xml:space="preserve">Примања од отплате кредита датих страним нефинансијским институцијама у корист републичког фонда за пио                                                         </t>
  </si>
  <si>
    <t xml:space="preserve">Примања од отплате кредита датих страним нефинансијским институцијама у корист националне службе за запошљавање                                                         </t>
  </si>
  <si>
    <t xml:space="preserve">Примања од отплате кредита датих страним невладиним организацијама                                                               </t>
  </si>
  <si>
    <t xml:space="preserve">Примања од отплате кредита датих страним невладиним организацијама у корист нивоа републике                                                           </t>
  </si>
  <si>
    <t xml:space="preserve">Примања од отплате кредита датих страним невладиним организацијама у корист нивоа територијалних аутономија                                                          </t>
  </si>
  <si>
    <t xml:space="preserve">Примања од отплате кредита датих страним невладиним организацијама у корист нивоа градова                                                           </t>
  </si>
  <si>
    <t xml:space="preserve">Примања од отплате кредита датих страним невладиним организацијама у корист нивоа општина                                                           </t>
  </si>
  <si>
    <t xml:space="preserve">Примања од отплате кредита датих страним невладиним организацијама у корист организација обавезног социјалног осигурања                                                         </t>
  </si>
  <si>
    <t xml:space="preserve">Примања од отплате кредита датих страним невладиним организацијама у корист републичког фонда за здравствено осигурање                                                        </t>
  </si>
  <si>
    <t xml:space="preserve">Примања од отплате кредита датих страним невладиним организацијама у корист републичког фонда за пио                                                         </t>
  </si>
  <si>
    <t xml:space="preserve">Примања од отплате кредита датих страним невладиним организацијама у корист националне службе за запошљавање                                                         </t>
  </si>
  <si>
    <t xml:space="preserve">Примања од продаје страних акција и осталог капитала                                                               </t>
  </si>
  <si>
    <t xml:space="preserve">Примања од продаје страних акција и осталог капитала у корист нивоа републике                                                           </t>
  </si>
  <si>
    <t xml:space="preserve">Примања од продаје страних акција и осталог капитала у корист нивоа територијалних аутономија                                                          </t>
  </si>
  <si>
    <t xml:space="preserve">Примања од продаје страних акција и осталог капитала у корист нивоа ап војводина                                                          </t>
  </si>
  <si>
    <t xml:space="preserve">Примања од продаје страних акција и осталог капитала у корист нивоа ап косово и метохија                                                        </t>
  </si>
  <si>
    <t xml:space="preserve">Примања од продаје страних акција и осталог капитала у корист нивоа градова                                                           </t>
  </si>
  <si>
    <t xml:space="preserve">Примања од продаје страних акција и осталог капитала у корист нивоа општина                                                           </t>
  </si>
  <si>
    <t xml:space="preserve">Примања од продаје страних акција и осталог капитала у корист организација обавезног социјалног осигурања                                                         </t>
  </si>
  <si>
    <t xml:space="preserve">Примања од продаје страних акција и осталог капитала у корист републичког фонда за здравствено осигурање                                                        </t>
  </si>
  <si>
    <t xml:space="preserve">Примања од продаје страних акција и осталог капитала у корист републичког фонда за пио                                                         </t>
  </si>
  <si>
    <t xml:space="preserve">Примања од продаје страних акција и осталог капитала у корист националне службе за запошљавање                                                         </t>
  </si>
  <si>
    <t xml:space="preserve">Контра књижење – примања од задуживања и продаје финансијске имовине                                                             </t>
  </si>
  <si>
    <t>КОНТО</t>
  </si>
  <si>
    <t>ПРОГРАМСКА КЛАСИФИКАЦИЈА</t>
  </si>
  <si>
    <t>Програм_1__Локални_развој_и_просторно_планирање</t>
  </si>
  <si>
    <t>1101</t>
  </si>
  <si>
    <t>Планско одређивање праваца развоја локалне средине и ефикасно администрирање захтева за издавање грађевинских дозвола</t>
  </si>
  <si>
    <t>Програм_2__Комунална_делатност</t>
  </si>
  <si>
    <t>0601</t>
  </si>
  <si>
    <t>Обезбеђивање рационалног обављања комуналних делатности са што већом обухватношћу територије и становништва ЈЛС и побољшање квалитета живота становништва успостављањем ефикасног система комуналних услуга</t>
  </si>
  <si>
    <t>Програм_3__Локални_економски_развој</t>
  </si>
  <si>
    <t>1501</t>
  </si>
  <si>
    <t>Обезбеђивање стимулативног оквира за пословање и адекватног привредног амбијента за привлачење инвестиција</t>
  </si>
  <si>
    <t>Програм_4__Развој_туризма</t>
  </si>
  <si>
    <t>1502</t>
  </si>
  <si>
    <t>Унапређење туристичке понуде у ЈЛС</t>
  </si>
  <si>
    <t>Програм_5__Развој_пољопривреде</t>
  </si>
  <si>
    <t>0101</t>
  </si>
  <si>
    <t>Унапређење пољопривредне производње у ЈЛС</t>
  </si>
  <si>
    <t>Програм_6__Заштита_животне_средине</t>
  </si>
  <si>
    <t>0401</t>
  </si>
  <si>
    <t>Обезбеђивање услова за одрживи развој локалне заједнице одговорним односом према животној средини</t>
  </si>
  <si>
    <t>Програм_7__Путна_инфраструктура</t>
  </si>
  <si>
    <t>0701</t>
  </si>
  <si>
    <t>Унапређење путне инфраструктуре у ЈЛС</t>
  </si>
  <si>
    <t>Програм_8__Предшколско_васпитање</t>
  </si>
  <si>
    <t>2001</t>
  </si>
  <si>
    <t xml:space="preserve">Омогућавање обухвата предшколске деце у вртићима </t>
  </si>
  <si>
    <t>Програм_9__Основно_образовање</t>
  </si>
  <si>
    <t>2002</t>
  </si>
  <si>
    <t>Доступност основног образовања свој деци са територије ЈЛС у складу са прописаним стандардима</t>
  </si>
  <si>
    <t>Програм_10_Средње_образовање</t>
  </si>
  <si>
    <t>2003</t>
  </si>
  <si>
    <t>Доступност средњег образовања у складу са прописаним стандардима и потребама за образовним профилима који одговарају циљевима развоја ЈЛС и привреде</t>
  </si>
  <si>
    <t>Програм_11__Социјална__и_дечја_заштита</t>
  </si>
  <si>
    <t>0901</t>
  </si>
  <si>
    <t>Обезбеђивање свеобухватне социјалне заштите и помоћи најугроженијем становништву ЈЛС</t>
  </si>
  <si>
    <t>Програм_12__Примарна_здравствена_заштита</t>
  </si>
  <si>
    <t>1801</t>
  </si>
  <si>
    <t>Доступност примарне здравствене заштите у складу са националним стандардима</t>
  </si>
  <si>
    <t>Програм_13__Развој_културе</t>
  </si>
  <si>
    <t>1201</t>
  </si>
  <si>
    <t>Очување, унапређење и представљање локалног културног наслеђа, добара и баштине</t>
  </si>
  <si>
    <t>Програм_14__Развој_спорта_и_омладине</t>
  </si>
  <si>
    <t>1301</t>
  </si>
  <si>
    <t xml:space="preserve">Обезбеђивање приступа спорту и подршка пројектима везаним развој омладине и спорта </t>
  </si>
  <si>
    <t>Програм_15__Локална_самоуправа</t>
  </si>
  <si>
    <t>0602</t>
  </si>
  <si>
    <t>Обезбеђивање услова за остварење права грађана на лакши и бржи начин у ЈЛС</t>
  </si>
  <si>
    <t>Програм:</t>
  </si>
  <si>
    <t>Шифра</t>
  </si>
  <si>
    <t>Сврха</t>
  </si>
  <si>
    <t>1101-0001   Стратешко, просторно и урбанистичко планирање</t>
  </si>
  <si>
    <t>1101-0002   Уређивање грађевинског земљишта</t>
  </si>
  <si>
    <t>0601-0001   Водоснабдевање</t>
  </si>
  <si>
    <t>0601-0002   Управљање отпадним водама  </t>
  </si>
  <si>
    <t>0601-0003   Одржавање депонија</t>
  </si>
  <si>
    <t>0601-0004   Даљинско грејање</t>
  </si>
  <si>
    <t>0601-0005   Јавни превоз</t>
  </si>
  <si>
    <t>0601-0006   Паркинг сервис</t>
  </si>
  <si>
    <t>0601-0007   Уређивање, одржавање и коришћење пијаца</t>
  </si>
  <si>
    <t>0601-0008   Јавна хигијена</t>
  </si>
  <si>
    <t>0601-0009   Уређење и одржавање зеленила</t>
  </si>
  <si>
    <t>0601-0010   Јавна расвета</t>
  </si>
  <si>
    <t>0601-0011   Одржавање гробаља и погребне услуге</t>
  </si>
  <si>
    <t>0601-0012   Одржавање стамбених зграда</t>
  </si>
  <si>
    <t>0601-0013   Ауто-такси превоз путника</t>
  </si>
  <si>
    <t>0601-0014   Остале комуналне услуге</t>
  </si>
  <si>
    <t>1501-0001   Подршка постојећој привреди</t>
  </si>
  <si>
    <t>1501-0002   Унапређење привредног амбијента</t>
  </si>
  <si>
    <t>1501-0003   Подстицаји за развој предузетништва</t>
  </si>
  <si>
    <t>1501-0004   Одржавање економске инфраструктуре</t>
  </si>
  <si>
    <t>1501-0005   Финансијска подршка локалном економском развоју</t>
  </si>
  <si>
    <t>1502-0001   Управљање развојем туризма</t>
  </si>
  <si>
    <t>1502-0002   Туристичка промоција</t>
  </si>
  <si>
    <t>0101-0001   Унапређење  услова за пољопривредну делатност</t>
  </si>
  <si>
    <t>0101-0002   Подстицаји пољопривредној производњи</t>
  </si>
  <si>
    <t>0401-0001   Управљање заштитом животне средине и природних вредности</t>
  </si>
  <si>
    <t>0401-0002   Управљање комуналним отпадом</t>
  </si>
  <si>
    <t>0401-0003   Праћење квалитета елемената животне средине</t>
  </si>
  <si>
    <t>0401-0004   Заштита природних вредности и унапређење подручја са природним својствима</t>
  </si>
  <si>
    <t>0701-0001   Управљање саобраћајном инфраструктуром</t>
  </si>
  <si>
    <t>0701-0002   Одржавање путева</t>
  </si>
  <si>
    <t xml:space="preserve">2001-0001   Функционисање предшколских установа </t>
  </si>
  <si>
    <t>2002-0001   Функционисање основних школа</t>
  </si>
  <si>
    <t>2003-0001   Функционисање средњих школа</t>
  </si>
  <si>
    <t>0901-0001   Социјалне помоћи</t>
  </si>
  <si>
    <t xml:space="preserve">0901-0002   Прихватилишта, прихватне станице и друге врсте смештаја </t>
  </si>
  <si>
    <t>0901-0003   Подршка социо-хуманитарним организацијама</t>
  </si>
  <si>
    <t>0901-0004   Саветодавно-терапијске и социјално-едукативне услуге</t>
  </si>
  <si>
    <t>0901-0005   Активности Црвеног крста</t>
  </si>
  <si>
    <t>0901-0006   Дечја заштита</t>
  </si>
  <si>
    <t>1801-0001   Функционисање установа примарне здравствене заштите</t>
  </si>
  <si>
    <t xml:space="preserve">1201-0001   Функционисање локалних установа културе </t>
  </si>
  <si>
    <t>1201-0002   Подстицаји културном и уметничком стваралаштву</t>
  </si>
  <si>
    <t>1301-0001   Подршка локалним спортским организацијама, удружењима и савезима</t>
  </si>
  <si>
    <t>1301-0002   Подршка предшколском, школском и рекреативном спорту и масовној физичкој култури</t>
  </si>
  <si>
    <t>1301-0003   Одржавање спортске инфраструктуре</t>
  </si>
  <si>
    <t>0602-0001   Функционисање локалне самоуправе и градских општина</t>
  </si>
  <si>
    <t>0602-0002   Месне заједнице</t>
  </si>
  <si>
    <t>0602-0003   Управљање јавним дугом</t>
  </si>
  <si>
    <t>0602-0004   Општинско јавно правобранилаштво</t>
  </si>
  <si>
    <t>0602-0005   Заштитник грађана</t>
  </si>
  <si>
    <t>0602-0006   Информисање</t>
  </si>
  <si>
    <t>0602-0007   Канцеларија за младе</t>
  </si>
  <si>
    <t>0602-0008   Програми националних мањина</t>
  </si>
  <si>
    <t>0602-0009   Правна помоћ</t>
  </si>
  <si>
    <t>0602-0010   Резерве</t>
  </si>
  <si>
    <t>ГРАДСКО ЈАВНО ПРАВОБРАНИЛАШТВО</t>
  </si>
  <si>
    <t>Месне заједнице</t>
  </si>
  <si>
    <t>Канцеларија за младе</t>
  </si>
  <si>
    <t>Заштитник грађана</t>
  </si>
  <si>
    <t>Програм 1.  Локални развој и просторно планирање</t>
  </si>
  <si>
    <t>Програм 2.  Комунална делатност</t>
  </si>
  <si>
    <t>Програм 3.  Локални економски развој</t>
  </si>
  <si>
    <t>Програм 4.  Развој туризма</t>
  </si>
  <si>
    <t>Програм 5.  Развој пољопривреде</t>
  </si>
  <si>
    <t>Програм 6.  Заштита животне средине</t>
  </si>
  <si>
    <t>Програм 7.  Путна инфраструктура</t>
  </si>
  <si>
    <t>Програм 8.  Предшколско васпитање</t>
  </si>
  <si>
    <t>Програм 9.  Основно образовање</t>
  </si>
  <si>
    <t>Програм 10. Средње образовање</t>
  </si>
  <si>
    <t>Програм 11.  Социјална  и дечја заштита</t>
  </si>
  <si>
    <t>Програм 12.  Примарна здравствена заштита</t>
  </si>
  <si>
    <t>Програм 13.  Развој културе</t>
  </si>
  <si>
    <t>Програм 14.  Развој спорта и омладине</t>
  </si>
  <si>
    <t>Програм 15.  Локална самоуправа</t>
  </si>
  <si>
    <t>Класа/Категорија/Група</t>
  </si>
  <si>
    <t>Конто</t>
  </si>
  <si>
    <t>ВРСТЕ ПРИХОДА И ПРИМАЊА</t>
  </si>
  <si>
    <t>Пренета средства из претходне године</t>
  </si>
  <si>
    <t xml:space="preserve">ТЕКУЋИ ПРИХОДИ </t>
  </si>
  <si>
    <t>ПОРЕЗИ</t>
  </si>
  <si>
    <t>ПОРЕЗ НА ДОХОДАК, ДОБИТ И КАПИТАЛНЕ ДОБИТКЕ</t>
  </si>
  <si>
    <t>Порез на зараде</t>
  </si>
  <si>
    <t>Порез на приходе од самосталних делатности који се плаћа према стварно оствареном приходу, по решењу Пореске управе</t>
  </si>
  <si>
    <t>Порез на приходе од самосталних делатности који се плаћа према паушално утврђеном приходу, по решењу Пореске управе</t>
  </si>
  <si>
    <t>Порез на приходе од непокретности</t>
  </si>
  <si>
    <t>Порез на приход од пољопривреде и шумарства, по решењу Пореске управе</t>
  </si>
  <si>
    <t>Порез на земљиште</t>
  </si>
  <si>
    <t>Порез на приходе од непокретности, по решењу Пореске управе</t>
  </si>
  <si>
    <t>Порез на приходе од осигурања лица</t>
  </si>
  <si>
    <t>Самодоприноси</t>
  </si>
  <si>
    <t>Порез на друге приходе</t>
  </si>
  <si>
    <t>ПОРЕЗ НА ИМОВИНУ</t>
  </si>
  <si>
    <t>Порез на имовину (осим на земљиште, акције и уделе) од физичких лица</t>
  </si>
  <si>
    <t>Порез на имовину (осим на земљиште, акције и уделе) од правних лица</t>
  </si>
  <si>
    <t>Порез на наслеђе и поклон по решењу Пореске управе</t>
  </si>
  <si>
    <t>Порез на пренос апсолутних права на непокретности, по решењу Пореске управе</t>
  </si>
  <si>
    <t>Порез на пренос апсолутних права на акцијама и другим хартијама од вредности, по решењу Пореске
управе</t>
  </si>
  <si>
    <t>Порез на акције на име и уделе</t>
  </si>
  <si>
    <t>ПОРЕЗ НА ДОБРА И УСЛУГЕ</t>
  </si>
  <si>
    <t>Средства за противпожарну заштиту</t>
  </si>
  <si>
    <t xml:space="preserve">Комунална такса за коришћење рекламних паноа, укључујући и истицање и исписивање фирме ван пословног простора на објектима и просторима који припадају јединици локалне самоуправе(коловози, тротоари, зелене површине, бандере и сл.)  </t>
  </si>
  <si>
    <t>Комунална такса за држање моторних друмских и прикључних возила, осим пољопривредних возила и машина</t>
  </si>
  <si>
    <t>Накнада за промену намене обрадивог пољопривредног земљишта</t>
  </si>
  <si>
    <t>Накнада од емисије SO2, NO2, прашкастих материја и одложеног отпада</t>
  </si>
  <si>
    <t>Боравишна такса</t>
  </si>
  <si>
    <t>Посебна накнада за заштиту и унапређење животне средине</t>
  </si>
  <si>
    <t>Комунална такса за држање средстава за игру („забавне игре“)</t>
  </si>
  <si>
    <t>ДРУГИ ПОРЕЗИ</t>
  </si>
  <si>
    <t>Комунална такса за истицање фирме на пословном простору</t>
  </si>
  <si>
    <t>ДОНАЦИЈЕ И ТРАНСФЕРИ</t>
  </si>
  <si>
    <t>Текуће донације од међународних организација у корист нивоа градова</t>
  </si>
  <si>
    <t>ТРАНСФЕРИ ОД ДРУГИХ НИВОА ВЛАСТИ</t>
  </si>
  <si>
    <t>ДРУГИ ПРИХОДИ</t>
  </si>
  <si>
    <t>ПРИХОДИ ОД ИМОВИНЕ</t>
  </si>
  <si>
    <t>Приходи буџета града од камата на средства консолидованог рачуна трезора укључена у депозит банака</t>
  </si>
  <si>
    <t>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t>
  </si>
  <si>
    <t>Комунална такса за коришћење простора за паркирање друмских моторних и прикључних возила на
уређеним и обележеним местима</t>
  </si>
  <si>
    <t>Комунална такса за коришћење слободних површина за кампове, постављање шатора или друге облике привременог коришћења</t>
  </si>
  <si>
    <t>Комунална такса за заузеће јавне површине грађевинским материјалом</t>
  </si>
  <si>
    <t>Накнада за воде</t>
  </si>
  <si>
    <t>ПРИХОДИ ОД ПРОДАЈЕ ДОБАРА И УСЛУГА</t>
  </si>
  <si>
    <t>Трошкови пореског и прекршајног поступка изворних јавних прихода општина и градова</t>
  </si>
  <si>
    <t>НОВЧАНЕ КАЗНЕ И ОДУЗЕТА ИМОВИНСКА КОРИСТ</t>
  </si>
  <si>
    <t>Приходи од новчаних казни за прекршаје, предвиђене прописима о безбедности саобраћаја на путевима</t>
  </si>
  <si>
    <t>ДОБРОВОЉНИ ТРАНСФЕРИ ОД ФИЗИЧКИХ И ПРАВНИХ ЛИЦА</t>
  </si>
  <si>
    <t>Капитални добровољни трансфери од физичких и правних лица у корист нивоа градова</t>
  </si>
  <si>
    <t>МЕШОВИТИ И НЕОДРЕЂЕНИ ПРИХОДИ</t>
  </si>
  <si>
    <t>МЕМОРАНДУМСКЕ СТАВКЕ ЗА РЕФУНДАЦИЈУ РАСХОДА</t>
  </si>
  <si>
    <t>ПРИХОДИ ИЗ БУЏЕТА</t>
  </si>
  <si>
    <t>ПРИМАЊА ОД ПРОДАЈЕ НЕФИНАНСИЈСКЕ ИМОВИНЕ</t>
  </si>
  <si>
    <t>ПРИМАЊА ОД ПРОДАЈЕ ОСНОВНИХ СРЕДСТАВА</t>
  </si>
  <si>
    <t>Примања од продаје покретне имовине</t>
  </si>
  <si>
    <t>ПРИМАЊА ОД ПРОДАЈЕ ПРИРОДНЕ ИМОВИНЕ</t>
  </si>
  <si>
    <t>Примања од продаје земљишта</t>
  </si>
  <si>
    <t>ПРИМАЊА ОД ЗАДУЖИВАЊА И ПРОДАЈЕ ФИНАНСИЈСКЕ ИМОВИНЕ</t>
  </si>
  <si>
    <t xml:space="preserve">ПРИМАЊА ОД ЗАДУЖИВАЊА </t>
  </si>
  <si>
    <t>Примања од задуживања од пословних банака у земљи у корист нивоа градова</t>
  </si>
  <si>
    <t>912</t>
  </si>
  <si>
    <t>Примања од иностраног задуживања</t>
  </si>
  <si>
    <t>ПРИМАЊА ОД ПРОДАЈЕ ФИН. ИМОВИНЕ</t>
  </si>
  <si>
    <t xml:space="preserve">Примања од продаје домаћих акција и осталог капитала у корист нивоа градова </t>
  </si>
  <si>
    <t>7+8+9</t>
  </si>
  <si>
    <t>ТЕКУЋИ ПРИХОДИ И ПРИМАЊА ОД ЗАДУЖИВАЊА И ПРОДАЈЕ ФИН. ИМОВИНЕ</t>
  </si>
  <si>
    <t>3+7+8+9</t>
  </si>
  <si>
    <t>Порез на приходе од самосталних делатности који се плаћа према стварно оствареном приходу самоопорезивањем</t>
  </si>
  <si>
    <t xml:space="preserve">Порез на приходе од давања у закуп покретних ствари - по основу самоопорезивања и по решењу Пореске управе </t>
  </si>
  <si>
    <t xml:space="preserve">Порез на имовину (осим на неизграђено земљиште), обвезника који воде пословне књиге                                  </t>
  </si>
  <si>
    <t xml:space="preserve">Порез на пренос апсолутних права на моторним возилима, пловилима и ваздухопловима, по решењу Пореске управе        </t>
  </si>
  <si>
    <t xml:space="preserve">Порез на пренос апсолутних права у осталим случајевима, по решењу Пореске управе      </t>
  </si>
  <si>
    <t>Остали приходи у корист нивоа градова</t>
  </si>
  <si>
    <t>Закупнина за стан у државној својини у корист нивоа града</t>
  </si>
  <si>
    <t>Средства из осталих извора</t>
  </si>
  <si>
    <t>Екон. клас.</t>
  </si>
  <si>
    <t>ВРСТЕ РАСХОДА И ИЗДАТАКА</t>
  </si>
  <si>
    <t>1</t>
  </si>
  <si>
    <t>410</t>
  </si>
  <si>
    <t>РАСХОДИ ЗА ЗАПОСЛЕНЕ</t>
  </si>
  <si>
    <t>Плате и додаци запослених</t>
  </si>
  <si>
    <t>Социјални доприноси на терет послодавца</t>
  </si>
  <si>
    <t>Накнаде у натури (превоз)</t>
  </si>
  <si>
    <t>414</t>
  </si>
  <si>
    <t>Социјална давања запосленима</t>
  </si>
  <si>
    <t>415</t>
  </si>
  <si>
    <t>Накнаде за запослене</t>
  </si>
  <si>
    <t>416</t>
  </si>
  <si>
    <t>Награде,бонуси и остали посебни расходи</t>
  </si>
  <si>
    <t>Посланички додатак;</t>
  </si>
  <si>
    <t>Судијски додатак.</t>
  </si>
  <si>
    <t>420</t>
  </si>
  <si>
    <t>КОРИШЋЕЊЕ УСЛУГА И РОБА</t>
  </si>
  <si>
    <t>421</t>
  </si>
  <si>
    <t>Стални трошкови</t>
  </si>
  <si>
    <t>Трошкови путовања</t>
  </si>
  <si>
    <t>Услуге по уговору</t>
  </si>
  <si>
    <t>424</t>
  </si>
  <si>
    <t>Специјализоване услуге</t>
  </si>
  <si>
    <t>425</t>
  </si>
  <si>
    <t>Текуће поправке и одржавање (услуге и мат)</t>
  </si>
  <si>
    <t>426</t>
  </si>
  <si>
    <t>Материјал</t>
  </si>
  <si>
    <t>430</t>
  </si>
  <si>
    <t>УПОТРЕБА ОСНОВНИХ СРЕДСТАВА</t>
  </si>
  <si>
    <t>Амортизација некретнина и опреме;</t>
  </si>
  <si>
    <t>Амортизација култивисане имовине;</t>
  </si>
  <si>
    <t>Употреба драгоцености;</t>
  </si>
  <si>
    <t>Употреба природне имовине;</t>
  </si>
  <si>
    <t>Амортизација нематеријалне имовине</t>
  </si>
  <si>
    <t>440</t>
  </si>
  <si>
    <t>ОТПЛАТА КАМАТА</t>
  </si>
  <si>
    <t>Отплата домаћих камата;</t>
  </si>
  <si>
    <t>Отплата страних камата;</t>
  </si>
  <si>
    <t>Отплата камата по гаранцијама</t>
  </si>
  <si>
    <t>Пратећи трошкови задуживања</t>
  </si>
  <si>
    <t>450</t>
  </si>
  <si>
    <t>СУБВЕНЦИЈЕ</t>
  </si>
  <si>
    <t>Субвенције приватним финансијским институцијама;</t>
  </si>
  <si>
    <t>Субвенције јавним финансијским институцијама;</t>
  </si>
  <si>
    <t>Субвенције приватним предузећима</t>
  </si>
  <si>
    <t>460</t>
  </si>
  <si>
    <t xml:space="preserve">Донације страним владама </t>
  </si>
  <si>
    <t>Донације и дотације међународним организацијама</t>
  </si>
  <si>
    <t>Текући трансфери осталим нивоима власти</t>
  </si>
  <si>
    <t>Капитални трансфери осталим нивоима власти</t>
  </si>
  <si>
    <t>Дотације организацијама обавезног социјалног осигурања</t>
  </si>
  <si>
    <t xml:space="preserve">Остале донације, дотације и трансфери </t>
  </si>
  <si>
    <t>470</t>
  </si>
  <si>
    <t>СОЦИЈАЛНА ПОМОЋ</t>
  </si>
  <si>
    <t>Накнаде за социјалну заштиту из буџета</t>
  </si>
  <si>
    <t>480</t>
  </si>
  <si>
    <t>ОСТАЛИ РАСХОДИ</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</si>
  <si>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</si>
  <si>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</si>
  <si>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</si>
  <si>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</si>
  <si>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</si>
  <si>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Расходи који се финансирају из средстава за реализацију националног инвестиционог плана</t>
  </si>
  <si>
    <t>АДМИНИСТРАТИВНИ ТРАНСФЕРИ БУЏЕТА</t>
  </si>
  <si>
    <t>Стална резерва</t>
  </si>
  <si>
    <t>49912</t>
  </si>
  <si>
    <t>Текућа резерва</t>
  </si>
  <si>
    <t>510</t>
  </si>
  <si>
    <t>ОСНОВНА СРЕДСТВА</t>
  </si>
  <si>
    <t>Зграде и грађевински објекти;</t>
  </si>
  <si>
    <t>Машине и опрема;</t>
  </si>
  <si>
    <t xml:space="preserve"> Остале некретнине и опрема;</t>
  </si>
  <si>
    <t>Култивисана имовина;</t>
  </si>
  <si>
    <t>Нематеријална имовина</t>
  </si>
  <si>
    <t>520</t>
  </si>
  <si>
    <t>ЗАЛИХЕ</t>
  </si>
  <si>
    <t>Робне резерве;</t>
  </si>
  <si>
    <t>Залихе производње;</t>
  </si>
  <si>
    <t>Залихе робе за даљу продају</t>
  </si>
  <si>
    <t>540</t>
  </si>
  <si>
    <t>ПРИРОДНА ИМОВИНА</t>
  </si>
  <si>
    <t>Земљиште;</t>
  </si>
  <si>
    <t>Рудна богатства;</t>
  </si>
  <si>
    <t>Шуме и воде</t>
  </si>
  <si>
    <t>Неф. Имов. која се фин. из сред. за реализ. нип-а</t>
  </si>
  <si>
    <t>Неф. имовина која се фин. из сред. за реализ. нип-а</t>
  </si>
  <si>
    <t>610</t>
  </si>
  <si>
    <t xml:space="preserve">ОТПЛАТА ГЛАВНИЦЕ </t>
  </si>
  <si>
    <t>611</t>
  </si>
  <si>
    <t>Отплата главнице домаћим кредиторима</t>
  </si>
  <si>
    <t>612</t>
  </si>
  <si>
    <t>Отплата главнице страним банкама</t>
  </si>
  <si>
    <t>613</t>
  </si>
  <si>
    <t>620</t>
  </si>
  <si>
    <t>621</t>
  </si>
  <si>
    <t>Набавка домаће фин. Имовине</t>
  </si>
  <si>
    <t xml:space="preserve">УКУПНИ ЈАВНИ РАСХОДИ </t>
  </si>
  <si>
    <t>4511</t>
  </si>
  <si>
    <t>4512</t>
  </si>
  <si>
    <t>452</t>
  </si>
  <si>
    <t>Екон.</t>
  </si>
  <si>
    <t>Редни број</t>
  </si>
  <si>
    <t>Износ у динарима</t>
  </si>
  <si>
    <t>Клас.</t>
  </si>
  <si>
    <t>КАПИТАЛНИ ПРОЈЕКТИ</t>
  </si>
  <si>
    <t>Извори финансирања:</t>
  </si>
  <si>
    <t>- из текућих прихода</t>
  </si>
  <si>
    <t>- из кредита</t>
  </si>
  <si>
    <t>- из буџета Републике Србије</t>
  </si>
  <si>
    <t>- из донација</t>
  </si>
  <si>
    <t>Функциje</t>
  </si>
  <si>
    <t xml:space="preserve">Функционална класификација </t>
  </si>
  <si>
    <t>000</t>
  </si>
  <si>
    <t>010</t>
  </si>
  <si>
    <t>Болест и инвалидност;</t>
  </si>
  <si>
    <t>020</t>
  </si>
  <si>
    <t>Старост;</t>
  </si>
  <si>
    <t>030</t>
  </si>
  <si>
    <t>Корисници породичне пензије;</t>
  </si>
  <si>
    <t>040</t>
  </si>
  <si>
    <t>Породица и деца;</t>
  </si>
  <si>
    <t>050</t>
  </si>
  <si>
    <t>Незапосленост;</t>
  </si>
  <si>
    <t>060</t>
  </si>
  <si>
    <t>Становање;</t>
  </si>
  <si>
    <t>070</t>
  </si>
  <si>
    <t>Социјална помоћ угроженом становништву некласификована на другом месту;</t>
  </si>
  <si>
    <t>080</t>
  </si>
  <si>
    <t>Социјална заштита - истраживање и развој;</t>
  </si>
  <si>
    <t>090</t>
  </si>
  <si>
    <t>100</t>
  </si>
  <si>
    <t>110</t>
  </si>
  <si>
    <t>Извршни и законодавни органи, финансијски и фискални послови и спољни послови;</t>
  </si>
  <si>
    <t>111</t>
  </si>
  <si>
    <t>112</t>
  </si>
  <si>
    <t>113</t>
  </si>
  <si>
    <t>120</t>
  </si>
  <si>
    <t>Економска помоћ иностранству;</t>
  </si>
  <si>
    <t>121</t>
  </si>
  <si>
    <t>122</t>
  </si>
  <si>
    <t>130</t>
  </si>
  <si>
    <t>Опште услуге;</t>
  </si>
  <si>
    <t>131</t>
  </si>
  <si>
    <t>132</t>
  </si>
  <si>
    <t>133</t>
  </si>
  <si>
    <t>140</t>
  </si>
  <si>
    <t>Основно истраживање;</t>
  </si>
  <si>
    <t>150</t>
  </si>
  <si>
    <t>Опште јавне услуге - истраживање и развој;</t>
  </si>
  <si>
    <t>160</t>
  </si>
  <si>
    <t>Опште јавне услуге некласификоване на другом месту;</t>
  </si>
  <si>
    <t>170</t>
  </si>
  <si>
    <t>Трансакције јавног дуга;</t>
  </si>
  <si>
    <t>180</t>
  </si>
  <si>
    <t>300</t>
  </si>
  <si>
    <t>310</t>
  </si>
  <si>
    <t>Услуге полиције;</t>
  </si>
  <si>
    <t>320</t>
  </si>
  <si>
    <t>Услуге противпожарне заштите;</t>
  </si>
  <si>
    <t>330</t>
  </si>
  <si>
    <t>Судови;</t>
  </si>
  <si>
    <t>340</t>
  </si>
  <si>
    <t>Затвори;</t>
  </si>
  <si>
    <t>350</t>
  </si>
  <si>
    <t>Јавни ред и безбедност - истраживање и развој;</t>
  </si>
  <si>
    <t>360</t>
  </si>
  <si>
    <t>Јавни ред и безбедност некласификован на другом месту</t>
  </si>
  <si>
    <t>400</t>
  </si>
  <si>
    <t>Општи економски и комерцијални послови и послови по питању рада;</t>
  </si>
  <si>
    <t>411</t>
  </si>
  <si>
    <t>412</t>
  </si>
  <si>
    <t>Пољопривреда, шумарство, лов и риболов;</t>
  </si>
  <si>
    <t>422</t>
  </si>
  <si>
    <t>423</t>
  </si>
  <si>
    <t>Гориво и енергија;</t>
  </si>
  <si>
    <t>431</t>
  </si>
  <si>
    <t>432</t>
  </si>
  <si>
    <t>433</t>
  </si>
  <si>
    <t>434</t>
  </si>
  <si>
    <t>435</t>
  </si>
  <si>
    <t>436</t>
  </si>
  <si>
    <t>Рударство, производња и изградња;</t>
  </si>
  <si>
    <t>441</t>
  </si>
  <si>
    <t>442</t>
  </si>
  <si>
    <t>443</t>
  </si>
  <si>
    <t>Саобраћај;</t>
  </si>
  <si>
    <t>451</t>
  </si>
  <si>
    <t>453</t>
  </si>
  <si>
    <t>454</t>
  </si>
  <si>
    <t>455</t>
  </si>
  <si>
    <t>Комуникације;</t>
  </si>
  <si>
    <t>Остале делатности;</t>
  </si>
  <si>
    <t>471</t>
  </si>
  <si>
    <t>472</t>
  </si>
  <si>
    <t>473</t>
  </si>
  <si>
    <t>474</t>
  </si>
  <si>
    <t>Економски послови - истраживање и развој;</t>
  </si>
  <si>
    <t>481</t>
  </si>
  <si>
    <t>482</t>
  </si>
  <si>
    <t>483</t>
  </si>
  <si>
    <t>484</t>
  </si>
  <si>
    <t>485</t>
  </si>
  <si>
    <t>486</t>
  </si>
  <si>
    <t>487</t>
  </si>
  <si>
    <t>490</t>
  </si>
  <si>
    <t>500</t>
  </si>
  <si>
    <t>Управљање отпадом;</t>
  </si>
  <si>
    <t>Управљање отпадним водама;</t>
  </si>
  <si>
    <t>530</t>
  </si>
  <si>
    <t>Смањење загађености;</t>
  </si>
  <si>
    <t>Заштита биљног и животињског света и крајолика;</t>
  </si>
  <si>
    <t>550</t>
  </si>
  <si>
    <t>Заштита животне средине - истраживање и развој;</t>
  </si>
  <si>
    <t>560</t>
  </si>
  <si>
    <t>600</t>
  </si>
  <si>
    <t>ПОСЛОВИ СТАНОВАЊА И ЗАЈЕДНИЦЕ</t>
  </si>
  <si>
    <t>Стамбени развој;</t>
  </si>
  <si>
    <t>Развој заједнице;</t>
  </si>
  <si>
    <t>630</t>
  </si>
  <si>
    <t>Водоснабдевање;</t>
  </si>
  <si>
    <t>640</t>
  </si>
  <si>
    <t>Улична расвета;</t>
  </si>
  <si>
    <t>650</t>
  </si>
  <si>
    <t>Послови становања и заједнице - истраживање и развој;</t>
  </si>
  <si>
    <t>660</t>
  </si>
  <si>
    <t>710</t>
  </si>
  <si>
    <t>Медицински производи, помагала и опрема;</t>
  </si>
  <si>
    <t>711</t>
  </si>
  <si>
    <t>712</t>
  </si>
  <si>
    <t>713</t>
  </si>
  <si>
    <t>720</t>
  </si>
  <si>
    <t>Ванболничке услуге;</t>
  </si>
  <si>
    <t>721</t>
  </si>
  <si>
    <t>722</t>
  </si>
  <si>
    <t>723</t>
  </si>
  <si>
    <t>724</t>
  </si>
  <si>
    <t>730</t>
  </si>
  <si>
    <t>Болничке услуге;</t>
  </si>
  <si>
    <t>731</t>
  </si>
  <si>
    <t>732</t>
  </si>
  <si>
    <t>733</t>
  </si>
  <si>
    <t>734</t>
  </si>
  <si>
    <t>Услуге домова за негу и опоравак</t>
  </si>
  <si>
    <t>740</t>
  </si>
  <si>
    <t>Услуге јавног здравства;</t>
  </si>
  <si>
    <t>750</t>
  </si>
  <si>
    <t>Здравство - истраживање и развој;</t>
  </si>
  <si>
    <t>760</t>
  </si>
  <si>
    <t>Здравство некласификовано на другом месту.</t>
  </si>
  <si>
    <t>800</t>
  </si>
  <si>
    <t>810</t>
  </si>
  <si>
    <t>Услуге рекреације и спорта;</t>
  </si>
  <si>
    <t>820</t>
  </si>
  <si>
    <t>Услуге културе;</t>
  </si>
  <si>
    <t>830</t>
  </si>
  <si>
    <t>Услуге емитовања и штампања;</t>
  </si>
  <si>
    <t>840</t>
  </si>
  <si>
    <t>Верске и остале услуге заједнице;</t>
  </si>
  <si>
    <t>850</t>
  </si>
  <si>
    <t>Рекреација, спорт, култура и вере - истраживање и развој;</t>
  </si>
  <si>
    <t>860</t>
  </si>
  <si>
    <t>900</t>
  </si>
  <si>
    <t>910</t>
  </si>
  <si>
    <t>Предшколско и основно образовање;</t>
  </si>
  <si>
    <t>911</t>
  </si>
  <si>
    <t>913</t>
  </si>
  <si>
    <t>914</t>
  </si>
  <si>
    <t>915</t>
  </si>
  <si>
    <t>916</t>
  </si>
  <si>
    <t>920</t>
  </si>
  <si>
    <t>Средње образовање;</t>
  </si>
  <si>
    <t>921</t>
  </si>
  <si>
    <t>922</t>
  </si>
  <si>
    <t>923</t>
  </si>
  <si>
    <t>930</t>
  </si>
  <si>
    <t>Више образовање;</t>
  </si>
  <si>
    <t>931</t>
  </si>
  <si>
    <t>932</t>
  </si>
  <si>
    <t>940</t>
  </si>
  <si>
    <t>Високо образовање;</t>
  </si>
  <si>
    <t>941</t>
  </si>
  <si>
    <t>942</t>
  </si>
  <si>
    <t>Високо образовање - други степен</t>
  </si>
  <si>
    <t>950</t>
  </si>
  <si>
    <t>Образовање које није дефинисано нивоом;</t>
  </si>
  <si>
    <t>960</t>
  </si>
  <si>
    <t>Помоћне услуге образовању;</t>
  </si>
  <si>
    <t>970</t>
  </si>
  <si>
    <t>Образовање - истраживање и развој;</t>
  </si>
  <si>
    <t>980</t>
  </si>
  <si>
    <t>УКУПНО</t>
  </si>
  <si>
    <t>Програм</t>
  </si>
  <si>
    <t>2</t>
  </si>
  <si>
    <t xml:space="preserve">1101-0001  </t>
  </si>
  <si>
    <t>Уређивање грађевинског земљишта</t>
  </si>
  <si>
    <t>Стратешко, просторно и урбанистичко планирање</t>
  </si>
  <si>
    <t>0601-0001</t>
  </si>
  <si>
    <t>0601-0002</t>
  </si>
  <si>
    <t>Управљање отпадним водама  </t>
  </si>
  <si>
    <t>0601-0003</t>
  </si>
  <si>
    <t>Одржавање депонија</t>
  </si>
  <si>
    <t>0601-0004</t>
  </si>
  <si>
    <t>Даљинско грејање</t>
  </si>
  <si>
    <t>0601-0005</t>
  </si>
  <si>
    <t>Јавни превоз</t>
  </si>
  <si>
    <t>0601-0006</t>
  </si>
  <si>
    <t>Паркинг сервис</t>
  </si>
  <si>
    <t>0601-0007</t>
  </si>
  <si>
    <t>0601-0008</t>
  </si>
  <si>
    <t>Јавна хигијена</t>
  </si>
  <si>
    <t>0601-0009</t>
  </si>
  <si>
    <t>Уређење и одржавање зеленила</t>
  </si>
  <si>
    <t>0601-0010</t>
  </si>
  <si>
    <t>Јавна расвета</t>
  </si>
  <si>
    <t>0601-0011</t>
  </si>
  <si>
    <t>Одржавање гробаља и погребне услуге</t>
  </si>
  <si>
    <t>0601-0012</t>
  </si>
  <si>
    <t>Одржавање стамбених зграда</t>
  </si>
  <si>
    <t>0601-0013</t>
  </si>
  <si>
    <t>Ауто-такси превоз путника</t>
  </si>
  <si>
    <t>0601-0014</t>
  </si>
  <si>
    <t>Остале комуналне услуге</t>
  </si>
  <si>
    <t>1501-0001</t>
  </si>
  <si>
    <t>Подршка постојећој привреди</t>
  </si>
  <si>
    <t>1501-0002</t>
  </si>
  <si>
    <t>Унапређење привредног амбијента</t>
  </si>
  <si>
    <t>1501-0003</t>
  </si>
  <si>
    <t>Подстицаји за развој предузетништва</t>
  </si>
  <si>
    <t>1501-0004</t>
  </si>
  <si>
    <t>Одржавање економске инфраструктуре</t>
  </si>
  <si>
    <t>1501-0005</t>
  </si>
  <si>
    <t>Финансијска подршка локалном економском развоју</t>
  </si>
  <si>
    <t>Управљање развојем туризма</t>
  </si>
  <si>
    <t>Туристичка промоција</t>
  </si>
  <si>
    <t>Унапређење  услова за пољопривредну делатност</t>
  </si>
  <si>
    <t>Подстицаји пољопривредној производњи</t>
  </si>
  <si>
    <t>0401-0001</t>
  </si>
  <si>
    <t>Управљање заштитом животне средине и природних вредности</t>
  </si>
  <si>
    <t>0401-0002</t>
  </si>
  <si>
    <t>Управљање комуналним отпадом</t>
  </si>
  <si>
    <t>0401-0003</t>
  </si>
  <si>
    <t>Праћење квалитета елемената животне средине</t>
  </si>
  <si>
    <t>0401-0004</t>
  </si>
  <si>
    <t>Заштита природних вредности и унапређење подручја са природним својствима</t>
  </si>
  <si>
    <t>Управљање саобраћајном инфраструктуром</t>
  </si>
  <si>
    <t>Одржавање путева</t>
  </si>
  <si>
    <t xml:space="preserve">Функционисање предшколских установа </t>
  </si>
  <si>
    <t>Функционисање основних школа</t>
  </si>
  <si>
    <t>Функционисање средњих школа</t>
  </si>
  <si>
    <t>0101-0002</t>
  </si>
  <si>
    <t>1502-0001</t>
  </si>
  <si>
    <t>0101-0001</t>
  </si>
  <si>
    <t>2002-0001</t>
  </si>
  <si>
    <t>0901-0001</t>
  </si>
  <si>
    <t>Социјалне помоћи</t>
  </si>
  <si>
    <t>0901-0002</t>
  </si>
  <si>
    <t>Прихватилишта, прихватне станице и друге врсте смештаја</t>
  </si>
  <si>
    <t>0901-0003</t>
  </si>
  <si>
    <t>Подршка социо-хуманитарним организацијама</t>
  </si>
  <si>
    <t>0901-0004</t>
  </si>
  <si>
    <t>Саветодавно-терапијске и социјално-едукативне услуге</t>
  </si>
  <si>
    <t>0901-0005</t>
  </si>
  <si>
    <t>Активности Црвеног крста</t>
  </si>
  <si>
    <t>Функционисање установа примарне здравствене заштите</t>
  </si>
  <si>
    <t xml:space="preserve">Функционисање локалних установа културе </t>
  </si>
  <si>
    <t>Подстицаји културном и уметничком стваралаштву</t>
  </si>
  <si>
    <t>1201-0001</t>
  </si>
  <si>
    <t>1201-0002</t>
  </si>
  <si>
    <t>1801-0001</t>
  </si>
  <si>
    <t>1301-0001</t>
  </si>
  <si>
    <t>Подршка локалним спортским организацијама, удружењима и савезима</t>
  </si>
  <si>
    <t>1301-0002</t>
  </si>
  <si>
    <t>Подршка предшколском, школском и рекреативном спорту и масовној физичкој култури</t>
  </si>
  <si>
    <t>1301-0003</t>
  </si>
  <si>
    <t>Одржавање спортске инфраструктуре</t>
  </si>
  <si>
    <t>0602-0001</t>
  </si>
  <si>
    <t>Функционисање локалне самоуправе и градских општина</t>
  </si>
  <si>
    <t>0602-0002</t>
  </si>
  <si>
    <t>0602-0003</t>
  </si>
  <si>
    <t>Управљање јавним дугом</t>
  </si>
  <si>
    <t>0602-0004</t>
  </si>
  <si>
    <t>Општинско јавно правобранилаштво</t>
  </si>
  <si>
    <t>0602-0005</t>
  </si>
  <si>
    <t>0602-0006</t>
  </si>
  <si>
    <t>Информисање</t>
  </si>
  <si>
    <t>0602-0007</t>
  </si>
  <si>
    <t>0602-0008</t>
  </si>
  <si>
    <t>Програми националних мањина</t>
  </si>
  <si>
    <t>0602-0009</t>
  </si>
  <si>
    <t>Правна помоћ</t>
  </si>
  <si>
    <t>0602-0010</t>
  </si>
  <si>
    <t>Резерве</t>
  </si>
  <si>
    <t>0701-0001</t>
  </si>
  <si>
    <t xml:space="preserve"> Програмска активност/  Пројекат</t>
  </si>
  <si>
    <t>Назив</t>
  </si>
  <si>
    <t xml:space="preserve">УКУПНИ ПРОГРАМСКИ ЈАВНИ РАСХОДИ </t>
  </si>
  <si>
    <t>Раздео</t>
  </si>
  <si>
    <t>Глава</t>
  </si>
  <si>
    <t>Функција</t>
  </si>
  <si>
    <t>Позиција</t>
  </si>
  <si>
    <t>Програм-ска Класиф.</t>
  </si>
  <si>
    <t>Економ. Класиф.</t>
  </si>
  <si>
    <t>Укупно</t>
  </si>
  <si>
    <t>УКУПНО ПРЕНЕТА СРЕДСТВА, ТЕКУЋИ ПРИХОДИ И ПРИМАЊА</t>
  </si>
  <si>
    <t>Средства из осталих извора финан. буџ. корисника</t>
  </si>
  <si>
    <t>3</t>
  </si>
  <si>
    <t>Надлежан орган/особа</t>
  </si>
  <si>
    <t>ПРОГРАМ 15 - ЛОКАЛНА САМОУПРАВА</t>
  </si>
  <si>
    <t>Плате, додаци и накнаде запослених (зараде)</t>
  </si>
  <si>
    <t>Накнаде у натури</t>
  </si>
  <si>
    <t>Донације страним владама</t>
  </si>
  <si>
    <t>Остале донације, дотације и трансфери</t>
  </si>
  <si>
    <t>Административни трансфери из буџета - Текући расходи</t>
  </si>
  <si>
    <t>Административни трансфери из буџета - Издаци за нефинансијску имовину</t>
  </si>
  <si>
    <t>Административни трансфери из буџета - Издаци за отплату главнице и набавку финансијске имовине</t>
  </si>
  <si>
    <t>Административни трансфери из буџета - Средства резерве</t>
  </si>
  <si>
    <t>Драгоцености</t>
  </si>
  <si>
    <t>Нефинансијска имовина која се финансира из средстава за реализацију националног инвестиционог плана</t>
  </si>
  <si>
    <t>Накнаде трошкова за запослене</t>
  </si>
  <si>
    <t>Награде запосленима и остали посебни расходи</t>
  </si>
  <si>
    <t>Посланички додатак</t>
  </si>
  <si>
    <t>Текуће поправке и одржавање</t>
  </si>
  <si>
    <t>Амортизација некретнина и опреме</t>
  </si>
  <si>
    <t>Амортизација култивисане имовине</t>
  </si>
  <si>
    <t>Употреба драгоцености</t>
  </si>
  <si>
    <t>Употреба природне имовине</t>
  </si>
  <si>
    <t>Отплата домаћих камата</t>
  </si>
  <si>
    <t>Отплата страних камата</t>
  </si>
  <si>
    <t>Субвенције приватним финансијским институцијама</t>
  </si>
  <si>
    <t>Субвенције јавним финансијским институцијама</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</si>
  <si>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</si>
  <si>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</si>
  <si>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</si>
  <si>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</si>
  <si>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</si>
  <si>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Зграде и грађевински објекти</t>
  </si>
  <si>
    <t>Машине и опрема</t>
  </si>
  <si>
    <t>Остале некретнине и опрема</t>
  </si>
  <si>
    <t>Култивисана имовина</t>
  </si>
  <si>
    <t>Робне резерве</t>
  </si>
  <si>
    <t>Залихе производње</t>
  </si>
  <si>
    <t>Земљиште</t>
  </si>
  <si>
    <t>Рудна богатства</t>
  </si>
  <si>
    <t>ПРОГРАМ 15: ЛОКАЛНА САМОУПРАВА</t>
  </si>
  <si>
    <t>Извори финансирања за Програм 15:</t>
  </si>
  <si>
    <t>Свега за Програм 15:</t>
  </si>
  <si>
    <t>Извори финансирања за Раздео 1:</t>
  </si>
  <si>
    <t>Извори финансирања за Главу 1:</t>
  </si>
  <si>
    <t>Свега за Главу 1:</t>
  </si>
  <si>
    <t>Свега за Програмску активност 0602-0001:</t>
  </si>
  <si>
    <t>Извори финансирања за Програмску активност 0602-0001:</t>
  </si>
  <si>
    <t>Свега за Раздео 1:</t>
  </si>
  <si>
    <t>Извори финансирања за Раздео 2:</t>
  </si>
  <si>
    <t>Свега за Раздео 2:</t>
  </si>
  <si>
    <t>Извори финансирања за Раздео 3:</t>
  </si>
  <si>
    <t>Уређивање, одржавање и коришћење пијацa</t>
  </si>
  <si>
    <t>Програмска активност: Програми националних мањина</t>
  </si>
  <si>
    <t>Свега за Програмску активност 0602-0003:</t>
  </si>
  <si>
    <t>Свега за Програмску активност 0602-0006:</t>
  </si>
  <si>
    <t>Функција: Социјална заштита некласификована на другом месту</t>
  </si>
  <si>
    <t>Свега за Програмску активност 0602-0008:</t>
  </si>
  <si>
    <t>Извори финансирања за Програмску активност 0602-0008:</t>
  </si>
  <si>
    <t>Програмска активност: Правна помоћ</t>
  </si>
  <si>
    <t>Свега за Програмску активност 0602-0009:</t>
  </si>
  <si>
    <t>Програмска активност: Резерве</t>
  </si>
  <si>
    <t>Извори финансирања за Програмску активност 0602-0010:</t>
  </si>
  <si>
    <t>Извори финансирања за Програмску активност 0602-0009:</t>
  </si>
  <si>
    <t>ПРОГРАМ 1: ЛОКАЛНИ РАЗВОЈ И ПРОСТОРНО ПЛАНИРАЊЕ</t>
  </si>
  <si>
    <t>Извори финансирања за Програм 1:</t>
  </si>
  <si>
    <t>Свега за Програм 1:</t>
  </si>
  <si>
    <t>ПРОГРАМ 5: РАЗВОЈ ПОЉОПРИВРЕДЕ</t>
  </si>
  <si>
    <t>Извори финансирања за Програмску активност 0101-0002:</t>
  </si>
  <si>
    <t>Свега за Програмску активност 0101-0002:</t>
  </si>
  <si>
    <t xml:space="preserve">Пројекат: </t>
  </si>
  <si>
    <t>Извори финансирања за Програм 5:</t>
  </si>
  <si>
    <t>Свега за Програм 5:</t>
  </si>
  <si>
    <t>ПРОГРАМ 6: ЗАШТИТА ЖИВОТНЕ СРЕДИНЕ</t>
  </si>
  <si>
    <t>Свега за Програмску активност 0401-0001:</t>
  </si>
  <si>
    <t>Извори финансирања за Програмску активност 0401-0001:</t>
  </si>
  <si>
    <t>Извори финансирања за Програмску активност 0401-0002:</t>
  </si>
  <si>
    <t>Свега за Програмску активност 0401-0002:</t>
  </si>
  <si>
    <t>Свега за Програмску активност 0401-0004:</t>
  </si>
  <si>
    <t>Извори финансирања за Програмску активност 0401-0004:</t>
  </si>
  <si>
    <t>Извори финансирања за Програм 6:</t>
  </si>
  <si>
    <t>Свега за Програм 6:</t>
  </si>
  <si>
    <t>ПРОГРАМ 7: ПУТНА ИНФРАСТРУКТУРА</t>
  </si>
  <si>
    <t>Извори финансирања за Програмску активност 0701-0001:</t>
  </si>
  <si>
    <t>Свега за Програмску активност 0701-0001:</t>
  </si>
  <si>
    <t>Извори финансирања за Програм 7:</t>
  </si>
  <si>
    <t>Свега за Програм 7:</t>
  </si>
  <si>
    <t>ПРОГРАМ 11: СОЦИЈАЛНА И ДЕЧЈА ЗАШТИТА</t>
  </si>
  <si>
    <t>Извори финансирања за Програм 11:</t>
  </si>
  <si>
    <t>Свега за Програм 11:</t>
  </si>
  <si>
    <t>Извори финансирања за Програмску активност 0901-0001:</t>
  </si>
  <si>
    <t>Извори финансирања за Програмску активност 0901-0003:</t>
  </si>
  <si>
    <t>Свега за Програмску активност 0901-0003:</t>
  </si>
  <si>
    <t>Извори финансирања за Програмску активност 0901-0005:</t>
  </si>
  <si>
    <t>Свега за Програмску активност 0901-0005:</t>
  </si>
  <si>
    <t>ПРОГРАМ 12: ПРИМАРНА ЗДРАВСТВЕНА ЗАШТИТА</t>
  </si>
  <si>
    <t>Извори финансирања за Програмску активност 1801-0001:</t>
  </si>
  <si>
    <t>Свега за Програмску активност 1801-0001:</t>
  </si>
  <si>
    <t>ПРОГРАМ 3: ЛОКАЛНИ ЕКОНОМСКИ РАЗВОЈ</t>
  </si>
  <si>
    <t>Свега за Програмску активност 1501-0003:</t>
  </si>
  <si>
    <t>Извори финансирања за Програмску активност 1501-0004:</t>
  </si>
  <si>
    <t>Свега за Програмску активност 1501-0004:</t>
  </si>
  <si>
    <t>Извори финансирања за Програм 3:</t>
  </si>
  <si>
    <t>Свега за Програм 3:</t>
  </si>
  <si>
    <t>Извори финансирања за Програм 12:</t>
  </si>
  <si>
    <t>Свега за Програм 12:</t>
  </si>
  <si>
    <t>ГРАДСКА ОПШТИНА ВРАЊСКА БАЊА</t>
  </si>
  <si>
    <t>Извори финансирања за Програмску активност 0602-0006:</t>
  </si>
  <si>
    <t>Свега за Програмску активност 0602-0010:</t>
  </si>
  <si>
    <t>Извори финансирања за Главу 2:</t>
  </si>
  <si>
    <t xml:space="preserve">КАНЦЕЛАРИЈА ЗА МЛАДЕ </t>
  </si>
  <si>
    <t>Свега за Главу 2:</t>
  </si>
  <si>
    <t>Извори финансирања за Програмску активност 0602-0007:</t>
  </si>
  <si>
    <t>Свега за Програмску активност 0602-0007:</t>
  </si>
  <si>
    <t>Извори финансирања за Програмску активност 0602-0002:</t>
  </si>
  <si>
    <t>Извори финансирања за Главу 4:</t>
  </si>
  <si>
    <t>Свега за Главу 4:</t>
  </si>
  <si>
    <t>ПРОГРАМ 4 - РАЗВОЈ ТУРИЗМА</t>
  </si>
  <si>
    <t>Извори финансирања за Програмску активност 1502-0001:</t>
  </si>
  <si>
    <t>Функција 110:</t>
  </si>
  <si>
    <t>Свега за програмску активност 0602-0001:</t>
  </si>
  <si>
    <t>Извори финансирања за програмску активност 0602-0001:</t>
  </si>
  <si>
    <t>Извори финансирања за функцију 111:</t>
  </si>
  <si>
    <t>Функција 330:</t>
  </si>
  <si>
    <t>Извори финансирања за програмску активност 0602-0004:</t>
  </si>
  <si>
    <t>Свега за програмску активност 0602-0004:</t>
  </si>
  <si>
    <t>Функција 111:</t>
  </si>
  <si>
    <t>Заштита животне средине: исттаживање и развој</t>
  </si>
  <si>
    <t>Социјална помоћ некласификована на другом месту</t>
  </si>
  <si>
    <t>Функција 130:</t>
  </si>
  <si>
    <t>Опште јавне услуге - истраживање и развој</t>
  </si>
  <si>
    <t>Управљањем развојем туризма</t>
  </si>
  <si>
    <t>ЈП СКИЈАЛИШТА БЕСНА КОБИЛА</t>
  </si>
  <si>
    <t>1502-0002</t>
  </si>
  <si>
    <t>Извори финансирања за Програмску активност 1502-0002:</t>
  </si>
  <si>
    <t>Извори финансирања за Програм 4:</t>
  </si>
  <si>
    <t>Свега за Програм 4:</t>
  </si>
  <si>
    <t>Извори финансирања за Главу 5:</t>
  </si>
  <si>
    <t>Свега за Главу 5:</t>
  </si>
  <si>
    <t>Опште јавне услуге</t>
  </si>
  <si>
    <t xml:space="preserve">1101-0002  </t>
  </si>
  <si>
    <t>ПРОГРАМ 2 - КОМУНАЛНА ДЕЛАТНОСТ</t>
  </si>
  <si>
    <t>Уређeње, одржавање и коришћење пијаца</t>
  </si>
  <si>
    <t>Одржавање гробаља, и погребне услуге</t>
  </si>
  <si>
    <t>ПРОГРАМ 7 - ПУТНА ИНФРАСТРУКТУРА</t>
  </si>
  <si>
    <t>Извори финансирања за Програм 2:</t>
  </si>
  <si>
    <t>Свега за Програм 2:</t>
  </si>
  <si>
    <t>Извори финансирања за Главу 6:</t>
  </si>
  <si>
    <t>ПРОГРАМ 14 - РАЗВОЈ СПОРТА И ОМЛАДИНЕ</t>
  </si>
  <si>
    <t>Функција 810:</t>
  </si>
  <si>
    <t>Извори финансирања за Програм 14:</t>
  </si>
  <si>
    <t>Свега за Програм 14:</t>
  </si>
  <si>
    <t>УСТАНОВЕ У КУЛТУРИ</t>
  </si>
  <si>
    <t>ПРОГРАМ 13 - РАЗВОЈ КУЛТУРЕ</t>
  </si>
  <si>
    <t>Функционисање локалних установа културе</t>
  </si>
  <si>
    <t>ПОЗОРИШТЕ "БОРА СТАНКОВИЋ"</t>
  </si>
  <si>
    <t>НАРОДНИ МУЗЕЈ</t>
  </si>
  <si>
    <t>ИСТОРИЈСКИ АРХИВ</t>
  </si>
  <si>
    <t>НАРОДНИ УНИВЕРЗИТЕТ</t>
  </si>
  <si>
    <t>ОМЛАДИНСКИ САВЕЗ</t>
  </si>
  <si>
    <t>ШКОЛА АНИМИРАНОГ ФИЛМА</t>
  </si>
  <si>
    <t>Извори финансирања за Програм 13:</t>
  </si>
  <si>
    <t>Свега за Програм 13:</t>
  </si>
  <si>
    <t>ЦЕНТАР ЗА СОЦИЈАЛНИ РАД</t>
  </si>
  <si>
    <t>ЦЕНТАР ЗА РАЗВОЈ ЛОКАЛНИХ УСЛУГА СОЦИЈАЛНЕ ЗАШТИТЕ</t>
  </si>
  <si>
    <t>Извори финансирања за Програмску активност 0901-0002:</t>
  </si>
  <si>
    <t>Свега за Програмску активност 0701-0002:</t>
  </si>
  <si>
    <t>ПРОГРАМ 8 - ПРЕДШКОЛСКО ОБРАЗОВАЊЕ</t>
  </si>
  <si>
    <t>2001-0001</t>
  </si>
  <si>
    <t>Функционисање предшколских установа</t>
  </si>
  <si>
    <t>ПРОГРАМ 9 - ОСНОВНО ОБРАЗОВАЊЕ</t>
  </si>
  <si>
    <t>Предшколско васпитање</t>
  </si>
  <si>
    <t>ПРОГРАМ 10 - СРЕДЊЕ ОБРАЗОВАЊЕ</t>
  </si>
  <si>
    <t>2003-0001</t>
  </si>
  <si>
    <t>8.2</t>
  </si>
  <si>
    <t>8.3</t>
  </si>
  <si>
    <t>8.4</t>
  </si>
  <si>
    <t>8.5</t>
  </si>
  <si>
    <t>8.6</t>
  </si>
  <si>
    <t>8.7</t>
  </si>
  <si>
    <t>Извори финансирања за функцију 110:</t>
  </si>
  <si>
    <t>Извори финансирања за функцију 330:</t>
  </si>
  <si>
    <t>Извори финансирања за функцију 620:</t>
  </si>
  <si>
    <t>Функција 620:</t>
  </si>
  <si>
    <t>Извори финансирања за програмску активност 1101-0001:</t>
  </si>
  <si>
    <t>Свега за програмску активност 1101-0001:</t>
  </si>
  <si>
    <t>Извори финансирања за функцију 411:</t>
  </si>
  <si>
    <t>Функција 411:</t>
  </si>
  <si>
    <t>Извори финансирања за програмску активност 1501-0001:</t>
  </si>
  <si>
    <t>Свега за програмску активност 1501-0001:</t>
  </si>
  <si>
    <t>Извори финансирања за програмску активност 1501-0002:</t>
  </si>
  <si>
    <t>Свега за програмску активност 1501-0002:</t>
  </si>
  <si>
    <t>Извори финансирања за програмску активност 1501-0003:</t>
  </si>
  <si>
    <t>Извори финансирања за програмску активност 1501-0004:</t>
  </si>
  <si>
    <t>Извори финансирања за функцију 421:</t>
  </si>
  <si>
    <t>Функција 421:</t>
  </si>
  <si>
    <t>Извори финансирања за функцију 540:</t>
  </si>
  <si>
    <t>Функција 540:</t>
  </si>
  <si>
    <t>Извори финансирања за функцију 560:</t>
  </si>
  <si>
    <t>Функција 560:</t>
  </si>
  <si>
    <t>Функција 451:</t>
  </si>
  <si>
    <t>Извори финансирања за функцију 451:</t>
  </si>
  <si>
    <t>Извори финансирања за функцију 070:</t>
  </si>
  <si>
    <t>Функција 070:</t>
  </si>
  <si>
    <t>Извори финансирања за функцију 090:</t>
  </si>
  <si>
    <t>Функција 090:</t>
  </si>
  <si>
    <t>Извори финансирања за функцију 740:</t>
  </si>
  <si>
    <t>Функција 740:</t>
  </si>
  <si>
    <t>Функција 733:</t>
  </si>
  <si>
    <t>Извори финансирања за функцију 810:</t>
  </si>
  <si>
    <t>Извори финансирања за Програмску активност 1301-0001:</t>
  </si>
  <si>
    <t>Свега за Програмску активност 1301-0001:</t>
  </si>
  <si>
    <t>Извори финансирања за Програмску активност 1301-0002:</t>
  </si>
  <si>
    <t>Свега за Програмску активност 1301-0002:</t>
  </si>
  <si>
    <t>Извори финансирања за Програмску активност 1301-0003:</t>
  </si>
  <si>
    <t>Свега за Програмску активност 1301-0003:</t>
  </si>
  <si>
    <t>Извори финансирања за функцију 130:</t>
  </si>
  <si>
    <t>Извори финансирања за функцију 170:</t>
  </si>
  <si>
    <t>Функција 170:</t>
  </si>
  <si>
    <t>Извори финансирања за Програмску активност 0602-0003:</t>
  </si>
  <si>
    <t>Услуге емитовања и издаваштва</t>
  </si>
  <si>
    <t>Извори финансирања за функцију 830:</t>
  </si>
  <si>
    <t>Функција 830:</t>
  </si>
  <si>
    <t>Извори финансирања за функцију 112:</t>
  </si>
  <si>
    <t>Функција 112:</t>
  </si>
  <si>
    <t>Извори финансирања за функцију 160:</t>
  </si>
  <si>
    <t>Функција 160:</t>
  </si>
  <si>
    <t>Свега за Програмску активност 0602-0002:</t>
  </si>
  <si>
    <t>Извори финансирања за функцију 150:</t>
  </si>
  <si>
    <t>Функција 150:</t>
  </si>
  <si>
    <t>Извори финансирања за функцију 473:</t>
  </si>
  <si>
    <t>Функција 473:</t>
  </si>
  <si>
    <t>Свега за Програмску активност 1502-0002:</t>
  </si>
  <si>
    <t>Свега за Програмску активност 1502-0001:</t>
  </si>
  <si>
    <t>Извори финансирања за програмску активност 1101-0002:</t>
  </si>
  <si>
    <t>Свега за програмску активност 1101-0002:</t>
  </si>
  <si>
    <t>Извори финансирања за функцију 630:</t>
  </si>
  <si>
    <t>Функција 630:</t>
  </si>
  <si>
    <t>Извори финансирања за функцију 510:</t>
  </si>
  <si>
    <t>Функција 510:</t>
  </si>
  <si>
    <t>Извори финансирања за функцију 660:</t>
  </si>
  <si>
    <t>Функција 660:</t>
  </si>
  <si>
    <t>Извори финансирања за функцију 640:</t>
  </si>
  <si>
    <t>Функција 640:</t>
  </si>
  <si>
    <t xml:space="preserve">0601-0002  </t>
  </si>
  <si>
    <t xml:space="preserve">0601-0001  </t>
  </si>
  <si>
    <t>Извори финансирања за програмску активност 0601-0001:</t>
  </si>
  <si>
    <t>Свега за програмску активност 0601-0001:</t>
  </si>
  <si>
    <t>Извори финансирања за програмску активност 0601-0002:</t>
  </si>
  <si>
    <t>Свега за програмску активност 0601-0002:</t>
  </si>
  <si>
    <t xml:space="preserve">0601-0006  </t>
  </si>
  <si>
    <t>Извори финансирања за програмску активност 0601-0006:</t>
  </si>
  <si>
    <t>Свега за програмску активност 0601-0006:</t>
  </si>
  <si>
    <t xml:space="preserve">0601-0008 </t>
  </si>
  <si>
    <t xml:space="preserve">0601-0009  </t>
  </si>
  <si>
    <t xml:space="preserve">0601-0010  </t>
  </si>
  <si>
    <t xml:space="preserve">0601-0014  </t>
  </si>
  <si>
    <t>Извори финансирања за програмску активност 0601-0008:</t>
  </si>
  <si>
    <t>Свега за програмску активност 0601-0008:</t>
  </si>
  <si>
    <t>Извори финансирања за програмску активност 0601-0009:</t>
  </si>
  <si>
    <t>Свега за програмску активност 0601-0009:</t>
  </si>
  <si>
    <t>Извори финансирања за програмску активност 0601-0010:</t>
  </si>
  <si>
    <t>Свега за програмску активност 0601-0010:</t>
  </si>
  <si>
    <t>Извори финансирања за програмску активност 0601-0011:</t>
  </si>
  <si>
    <t>Свега за програмску активност 0601-0011:</t>
  </si>
  <si>
    <t>Извори финансирања за програмску активност 0601-0014:</t>
  </si>
  <si>
    <t>Свега за програмску активност 0601-0014:</t>
  </si>
  <si>
    <t xml:space="preserve">0701-0001  </t>
  </si>
  <si>
    <t>Извори финансирања за програмску активност 0701-0001:</t>
  </si>
  <si>
    <t>Свега за програмску активност 0701-0001:</t>
  </si>
  <si>
    <t>Извори финансирања за Главу 7:</t>
  </si>
  <si>
    <t>Свега за Главу 7:</t>
  </si>
  <si>
    <t>Свега за Главу 6:</t>
  </si>
  <si>
    <t>Извори финансирања за функцију 820:</t>
  </si>
  <si>
    <t>Функција 820:</t>
  </si>
  <si>
    <t>Извори финансирања за програмску активност 1201-0001:</t>
  </si>
  <si>
    <t>Свега за програмску активност 1201-0001:</t>
  </si>
  <si>
    <t>1201-0003</t>
  </si>
  <si>
    <t>1201-0004</t>
  </si>
  <si>
    <t>Извори финансирања за пројекат 1201-0002:</t>
  </si>
  <si>
    <t>Извори финансирања за пројекат 1201-0003:</t>
  </si>
  <si>
    <t>Извори финансирања за пројекат 1201-0004:</t>
  </si>
  <si>
    <t>Извори финансирања за функцију 911:</t>
  </si>
  <si>
    <t>Функција 911:</t>
  </si>
  <si>
    <t>Извори финансирања за функцију 912:</t>
  </si>
  <si>
    <t>Функција 912:</t>
  </si>
  <si>
    <t>Извори финансирања за Главу 9:</t>
  </si>
  <si>
    <t>Свега за Главу 9:</t>
  </si>
  <si>
    <t>Извори финансирања за Програм 9:</t>
  </si>
  <si>
    <t>Свега за Програм 9:</t>
  </si>
  <si>
    <t>Извори финансирања за Главу 10:</t>
  </si>
  <si>
    <t>Свега за Главу 10:</t>
  </si>
  <si>
    <t>Извори финансирања за функцију 920:</t>
  </si>
  <si>
    <t>Функција 920:</t>
  </si>
  <si>
    <t>Извори финансирања за Главу 12:</t>
  </si>
  <si>
    <t>Свега за Главу 12:</t>
  </si>
  <si>
    <t>Извори финансирања за Главу 13:</t>
  </si>
  <si>
    <t>Свега за Главу 13:</t>
  </si>
  <si>
    <t>Извори финансирања за Програмску активност 0901-0004:</t>
  </si>
  <si>
    <t>Свега за Програмску активност 0901-0004:</t>
  </si>
  <si>
    <t>Извори финансирања за програмску активност 2003-0001:</t>
  </si>
  <si>
    <t>Свега за програмску активност 2003-0001:</t>
  </si>
  <si>
    <t>Извори финансирања за програмску активност 2002-0001:</t>
  </si>
  <si>
    <t>Свега за програмску активност 2002-0001:</t>
  </si>
  <si>
    <t>Извори финансирања за програмску активност 2001-0001:</t>
  </si>
  <si>
    <t>Свега за програмску активност 2001-0001:</t>
  </si>
  <si>
    <t>Извори финансирања за функцију 550:</t>
  </si>
  <si>
    <t>Функција 550:</t>
  </si>
  <si>
    <t>Извори финансирања за функцију 733:</t>
  </si>
  <si>
    <t>Извори финансирања за Програм 10:</t>
  </si>
  <si>
    <t>Свега за Програм 10:</t>
  </si>
  <si>
    <t>ТЕКУЋИ РАСХОДИ</t>
  </si>
  <si>
    <t>КАПИТАЛНИ ИЗДАЦИ</t>
  </si>
  <si>
    <t>0701-0002</t>
  </si>
  <si>
    <t>1101-0001</t>
  </si>
  <si>
    <t>1101-0002</t>
  </si>
  <si>
    <t>1101-П1</t>
  </si>
  <si>
    <t>1101-П2</t>
  </si>
  <si>
    <t>1101-П3</t>
  </si>
  <si>
    <t>1101-П4</t>
  </si>
  <si>
    <t>1101-П5</t>
  </si>
  <si>
    <t>1101-П6</t>
  </si>
  <si>
    <t>1101-П7</t>
  </si>
  <si>
    <t>1101-П8</t>
  </si>
  <si>
    <t>1101-П9</t>
  </si>
  <si>
    <t>1101-П10</t>
  </si>
  <si>
    <t>1101-П11</t>
  </si>
  <si>
    <t>1101-П12</t>
  </si>
  <si>
    <t>1101-П13</t>
  </si>
  <si>
    <t>1101-П14</t>
  </si>
  <si>
    <t>1101-П15</t>
  </si>
  <si>
    <t>1101-П16</t>
  </si>
  <si>
    <t>1101-П17</t>
  </si>
  <si>
    <t>1101-П18</t>
  </si>
  <si>
    <t>1101-П19</t>
  </si>
  <si>
    <t>1101-П20</t>
  </si>
  <si>
    <t>1101-П21</t>
  </si>
  <si>
    <t>1101-П22</t>
  </si>
  <si>
    <t>1101-П23</t>
  </si>
  <si>
    <t>1101-П24</t>
  </si>
  <si>
    <t>Свега за пројекат 1101-П1:</t>
  </si>
  <si>
    <t xml:space="preserve"> Попис и укњижење јавне имовине Града</t>
  </si>
  <si>
    <t>0601-П1</t>
  </si>
  <si>
    <t>0601-П2</t>
  </si>
  <si>
    <t>0601-П3</t>
  </si>
  <si>
    <t>0601-П4</t>
  </si>
  <si>
    <t>0601-П5</t>
  </si>
  <si>
    <t>0601-П6</t>
  </si>
  <si>
    <t>0601-П7</t>
  </si>
  <si>
    <t>0601-П8</t>
  </si>
  <si>
    <t>0601-П9</t>
  </si>
  <si>
    <t>0601-П10</t>
  </si>
  <si>
    <t>0601-П11</t>
  </si>
  <si>
    <t>0601-П12</t>
  </si>
  <si>
    <t>0601-П13</t>
  </si>
  <si>
    <t>0601-П14</t>
  </si>
  <si>
    <t>0601-П15</t>
  </si>
  <si>
    <t>0601-П16</t>
  </si>
  <si>
    <t>0601-П17</t>
  </si>
  <si>
    <t>0601-П18</t>
  </si>
  <si>
    <t>0601-П19</t>
  </si>
  <si>
    <t>0601-П20</t>
  </si>
  <si>
    <t>0601-П21</t>
  </si>
  <si>
    <t>0601-П22</t>
  </si>
  <si>
    <t>0601-П23</t>
  </si>
  <si>
    <t>0601-П24</t>
  </si>
  <si>
    <t>0601-П25</t>
  </si>
  <si>
    <t>0601-П26</t>
  </si>
  <si>
    <t>0601-П27</t>
  </si>
  <si>
    <t>0601-П28</t>
  </si>
  <si>
    <t>0601-П29</t>
  </si>
  <si>
    <t>0601-П30</t>
  </si>
  <si>
    <t>0601-П31</t>
  </si>
  <si>
    <t>0601-П32</t>
  </si>
  <si>
    <t>0601-П33</t>
  </si>
  <si>
    <t>0601-П34</t>
  </si>
  <si>
    <t>0601-П35</t>
  </si>
  <si>
    <t>0601-П36</t>
  </si>
  <si>
    <t>0601-П37</t>
  </si>
  <si>
    <t>0601-П38</t>
  </si>
  <si>
    <t>0601-П39</t>
  </si>
  <si>
    <t>0601-П40</t>
  </si>
  <si>
    <t>0601-П41</t>
  </si>
  <si>
    <t>0601-П42</t>
  </si>
  <si>
    <t>0601-П43</t>
  </si>
  <si>
    <t>0601-П44</t>
  </si>
  <si>
    <t>0601-П45</t>
  </si>
  <si>
    <t>0601-П46</t>
  </si>
  <si>
    <t>0601-П47</t>
  </si>
  <si>
    <t>0601-П48</t>
  </si>
  <si>
    <t>0601-П49</t>
  </si>
  <si>
    <t>0601-П50</t>
  </si>
  <si>
    <t>1501-П1</t>
  </si>
  <si>
    <t>1501-П2</t>
  </si>
  <si>
    <t>1501-П3</t>
  </si>
  <si>
    <t>1501-П4</t>
  </si>
  <si>
    <t>1501-П5</t>
  </si>
  <si>
    <t>1501-П6</t>
  </si>
  <si>
    <t>1501-П7</t>
  </si>
  <si>
    <t>1501-П8</t>
  </si>
  <si>
    <t>1501-П9</t>
  </si>
  <si>
    <t>1501-П10</t>
  </si>
  <si>
    <t>1501-П11</t>
  </si>
  <si>
    <t>1501-П12</t>
  </si>
  <si>
    <t>1501-П13</t>
  </si>
  <si>
    <t>1501-П14</t>
  </si>
  <si>
    <t>1501-П15</t>
  </si>
  <si>
    <t>1501-П16</t>
  </si>
  <si>
    <t>1501-П17</t>
  </si>
  <si>
    <t>1501-П18</t>
  </si>
  <si>
    <t>1501-П19</t>
  </si>
  <si>
    <t>1501-П20</t>
  </si>
  <si>
    <t>1501-П21</t>
  </si>
  <si>
    <t>1501-П22</t>
  </si>
  <si>
    <t>1501-П23</t>
  </si>
  <si>
    <t>1501-П24</t>
  </si>
  <si>
    <t>1502-П1</t>
  </si>
  <si>
    <t>1502-П2</t>
  </si>
  <si>
    <t>1502-П3</t>
  </si>
  <si>
    <t>1502-П4</t>
  </si>
  <si>
    <t>1502-П5</t>
  </si>
  <si>
    <t>1502-П6</t>
  </si>
  <si>
    <t>1502-П7</t>
  </si>
  <si>
    <t>1502-П8</t>
  </si>
  <si>
    <t>1502-П9</t>
  </si>
  <si>
    <t>1502-П10</t>
  </si>
  <si>
    <t>1502-П11</t>
  </si>
  <si>
    <t>1502-П12</t>
  </si>
  <si>
    <t>1502-П13</t>
  </si>
  <si>
    <t>1502-П14</t>
  </si>
  <si>
    <t>1502-П15</t>
  </si>
  <si>
    <t>1502-П16</t>
  </si>
  <si>
    <t>1502-П17</t>
  </si>
  <si>
    <t>1502-П18</t>
  </si>
  <si>
    <t>1502-П19</t>
  </si>
  <si>
    <t>1502-П20</t>
  </si>
  <si>
    <t>1502-П21</t>
  </si>
  <si>
    <t>1502-П22</t>
  </si>
  <si>
    <t>1502-П23</t>
  </si>
  <si>
    <t>1502-П24</t>
  </si>
  <si>
    <t>0101-П1</t>
  </si>
  <si>
    <t>0101-П2</t>
  </si>
  <si>
    <t>0101-П3</t>
  </si>
  <si>
    <t>0101-П4</t>
  </si>
  <si>
    <t>0101-П5</t>
  </si>
  <si>
    <t>0101-П6</t>
  </si>
  <si>
    <t>0101-П7</t>
  </si>
  <si>
    <t>0101-П8</t>
  </si>
  <si>
    <t>0101-П9</t>
  </si>
  <si>
    <t>0101-П10</t>
  </si>
  <si>
    <t>0101-П11</t>
  </si>
  <si>
    <t>0101-П12</t>
  </si>
  <si>
    <t>0101-П13</t>
  </si>
  <si>
    <t>0101-П14</t>
  </si>
  <si>
    <t>0101-П15</t>
  </si>
  <si>
    <t>0101-П16</t>
  </si>
  <si>
    <t>0401-П1</t>
  </si>
  <si>
    <t>0401-П2</t>
  </si>
  <si>
    <t>0401-П3</t>
  </si>
  <si>
    <t>0401-П4</t>
  </si>
  <si>
    <t>0401-П5</t>
  </si>
  <si>
    <t>0401-П6</t>
  </si>
  <si>
    <t>0401-П7</t>
  </si>
  <si>
    <t>0401-П8</t>
  </si>
  <si>
    <t>0401-П9</t>
  </si>
  <si>
    <t>0401-П10</t>
  </si>
  <si>
    <t>0401-П11</t>
  </si>
  <si>
    <t>0401-П12</t>
  </si>
  <si>
    <t>0401-П13</t>
  </si>
  <si>
    <t>0401-П14</t>
  </si>
  <si>
    <t>0401-П15</t>
  </si>
  <si>
    <t>0701-П1</t>
  </si>
  <si>
    <t>0701-П2</t>
  </si>
  <si>
    <t>0701-П3</t>
  </si>
  <si>
    <t>0701-П4</t>
  </si>
  <si>
    <t>0701-П5</t>
  </si>
  <si>
    <t>0701-П6</t>
  </si>
  <si>
    <t>0701-П7</t>
  </si>
  <si>
    <t>0701-П8</t>
  </si>
  <si>
    <t>0701-П9</t>
  </si>
  <si>
    <t>0701-П10</t>
  </si>
  <si>
    <t>0701-П11</t>
  </si>
  <si>
    <t>0701-П12</t>
  </si>
  <si>
    <t>0701-П13</t>
  </si>
  <si>
    <t>0701-П14</t>
  </si>
  <si>
    <t>0701-П15</t>
  </si>
  <si>
    <t>0701-П16</t>
  </si>
  <si>
    <t>0701-П17</t>
  </si>
  <si>
    <t>0701-П18</t>
  </si>
  <si>
    <t>0701-П19</t>
  </si>
  <si>
    <t>0701-П20</t>
  </si>
  <si>
    <t>0701-П21</t>
  </si>
  <si>
    <t>0701-П22</t>
  </si>
  <si>
    <t>0701-П23</t>
  </si>
  <si>
    <t>0701-П24</t>
  </si>
  <si>
    <t>0701-П25</t>
  </si>
  <si>
    <t>0701-П26</t>
  </si>
  <si>
    <t>0701-П27</t>
  </si>
  <si>
    <t>0701-П28</t>
  </si>
  <si>
    <t>0701-П29</t>
  </si>
  <si>
    <t>0701-П30</t>
  </si>
  <si>
    <t>0701-П31</t>
  </si>
  <si>
    <t>0701-П32</t>
  </si>
  <si>
    <t>0701-П33</t>
  </si>
  <si>
    <t>0701-П34</t>
  </si>
  <si>
    <t>0701-П35</t>
  </si>
  <si>
    <t>0701-П36</t>
  </si>
  <si>
    <t>0701-П37</t>
  </si>
  <si>
    <t>0701-П38</t>
  </si>
  <si>
    <t>0701-П39</t>
  </si>
  <si>
    <t>0701-П40</t>
  </si>
  <si>
    <t>0701-П41</t>
  </si>
  <si>
    <t>0701-П42</t>
  </si>
  <si>
    <t>0701-П43</t>
  </si>
  <si>
    <t>0701-П44</t>
  </si>
  <si>
    <t>0701-П45</t>
  </si>
  <si>
    <t>0701-П46</t>
  </si>
  <si>
    <t>0701-П47</t>
  </si>
  <si>
    <t>0701-П48</t>
  </si>
  <si>
    <t>0701-П49</t>
  </si>
  <si>
    <t>2001-П3</t>
  </si>
  <si>
    <t>2001-П4</t>
  </si>
  <si>
    <t>2001-П5</t>
  </si>
  <si>
    <t>2001-П6</t>
  </si>
  <si>
    <t>2001-П7</t>
  </si>
  <si>
    <t>2001-П8</t>
  </si>
  <si>
    <t>2001-П9</t>
  </si>
  <si>
    <t>2001-П10</t>
  </si>
  <si>
    <t>2001-П11</t>
  </si>
  <si>
    <t>2001-П12</t>
  </si>
  <si>
    <t>2001-П13</t>
  </si>
  <si>
    <t>2001-П14</t>
  </si>
  <si>
    <t>2001-П15</t>
  </si>
  <si>
    <t>2001-П16</t>
  </si>
  <si>
    <t>2001-П17</t>
  </si>
  <si>
    <t>2001-П18</t>
  </si>
  <si>
    <t>2001-П19</t>
  </si>
  <si>
    <t>2001-П20</t>
  </si>
  <si>
    <t>2001-П21</t>
  </si>
  <si>
    <t>2001-П22</t>
  </si>
  <si>
    <t>2001-П23</t>
  </si>
  <si>
    <t>2001-П24</t>
  </si>
  <si>
    <t>2001-П25</t>
  </si>
  <si>
    <t>2001-П26</t>
  </si>
  <si>
    <t>2001-П27</t>
  </si>
  <si>
    <t>2001-П28</t>
  </si>
  <si>
    <t>2001-П29</t>
  </si>
  <si>
    <t>2002-П1</t>
  </si>
  <si>
    <t>2002-П2</t>
  </si>
  <si>
    <t>2002-П3</t>
  </si>
  <si>
    <t>2002-П4</t>
  </si>
  <si>
    <t>2002-П5</t>
  </si>
  <si>
    <t>2002-П6</t>
  </si>
  <si>
    <t>2002-П7</t>
  </si>
  <si>
    <t>2002-П8</t>
  </si>
  <si>
    <t>2002-П9</t>
  </si>
  <si>
    <t>2002-П10</t>
  </si>
  <si>
    <t>2002-П11</t>
  </si>
  <si>
    <t>2002-П12</t>
  </si>
  <si>
    <t>2002-П13</t>
  </si>
  <si>
    <t>2002-П14</t>
  </si>
  <si>
    <t>2002-П15</t>
  </si>
  <si>
    <t>2002-П16</t>
  </si>
  <si>
    <t>2002-П17</t>
  </si>
  <si>
    <t>2002-П18</t>
  </si>
  <si>
    <t>2002-П19</t>
  </si>
  <si>
    <t>2002-П20</t>
  </si>
  <si>
    <t>2002-П21</t>
  </si>
  <si>
    <t>2002-П22</t>
  </si>
  <si>
    <t>2002-П23</t>
  </si>
  <si>
    <t>2002-П24</t>
  </si>
  <si>
    <t>2002-П25</t>
  </si>
  <si>
    <t>2002-П26</t>
  </si>
  <si>
    <t>2002-П27</t>
  </si>
  <si>
    <t>2002-П28</t>
  </si>
  <si>
    <t>2002-П29</t>
  </si>
  <si>
    <t>2002-П30</t>
  </si>
  <si>
    <t>2003-П1</t>
  </si>
  <si>
    <t>2003-П2</t>
  </si>
  <si>
    <t>2003-П3</t>
  </si>
  <si>
    <t>2003-П4</t>
  </si>
  <si>
    <t>2003-П5</t>
  </si>
  <si>
    <t>2003-П6</t>
  </si>
  <si>
    <t>2003-П7</t>
  </si>
  <si>
    <t>2003-П8</t>
  </si>
  <si>
    <t>2003-П9</t>
  </si>
  <si>
    <t>2003-П10</t>
  </si>
  <si>
    <t>2003-П11</t>
  </si>
  <si>
    <t>2003-П12</t>
  </si>
  <si>
    <t>2003-П13</t>
  </si>
  <si>
    <t>2003-П14</t>
  </si>
  <si>
    <t>2003-П15</t>
  </si>
  <si>
    <t>2003-П16</t>
  </si>
  <si>
    <t>2003-П17</t>
  </si>
  <si>
    <t>2003-П18</t>
  </si>
  <si>
    <t>2003-П19</t>
  </si>
  <si>
    <t>2003-П20</t>
  </si>
  <si>
    <t>2003-П21</t>
  </si>
  <si>
    <t>2003-П22</t>
  </si>
  <si>
    <t>2003-П23</t>
  </si>
  <si>
    <t>2003-П24</t>
  </si>
  <si>
    <t>2003-П25</t>
  </si>
  <si>
    <t>2003-П26</t>
  </si>
  <si>
    <t>2003-П27</t>
  </si>
  <si>
    <t>2003-П28</t>
  </si>
  <si>
    <t>2003-П29</t>
  </si>
  <si>
    <t>2003-П30</t>
  </si>
  <si>
    <t>2001-П30</t>
  </si>
  <si>
    <t>0901-П1</t>
  </si>
  <si>
    <t>0901-П2</t>
  </si>
  <si>
    <t>0901-П3</t>
  </si>
  <si>
    <t>0901-П4</t>
  </si>
  <si>
    <t>0901-П5</t>
  </si>
  <si>
    <t>0901-П6</t>
  </si>
  <si>
    <t>0901-П7</t>
  </si>
  <si>
    <t>0901-П8</t>
  </si>
  <si>
    <t>0901-П9</t>
  </si>
  <si>
    <t>0901-П10</t>
  </si>
  <si>
    <t>0901-П11</t>
  </si>
  <si>
    <t>0901-П12</t>
  </si>
  <si>
    <t>0901-П13</t>
  </si>
  <si>
    <t>0901-П14</t>
  </si>
  <si>
    <t>0901-П15</t>
  </si>
  <si>
    <t>0901-П16</t>
  </si>
  <si>
    <t>0901-П17</t>
  </si>
  <si>
    <t>0901-П18</t>
  </si>
  <si>
    <t>0901-П19</t>
  </si>
  <si>
    <t>0901-П20</t>
  </si>
  <si>
    <t>0901-П21</t>
  </si>
  <si>
    <t>0901-П22</t>
  </si>
  <si>
    <t>0901-П23</t>
  </si>
  <si>
    <t>0901-П24</t>
  </si>
  <si>
    <t>0901-П25</t>
  </si>
  <si>
    <t>0901-П26</t>
  </si>
  <si>
    <t>0901-П27</t>
  </si>
  <si>
    <t>0901-П28</t>
  </si>
  <si>
    <t>0901-П29</t>
  </si>
  <si>
    <t>0901-П30</t>
  </si>
  <si>
    <t>1801-П1</t>
  </si>
  <si>
    <t>1801-П2</t>
  </si>
  <si>
    <t>1801-П3</t>
  </si>
  <si>
    <t>1801-П4</t>
  </si>
  <si>
    <t>1801-П5</t>
  </si>
  <si>
    <t>1801-П6</t>
  </si>
  <si>
    <t>1801-П7</t>
  </si>
  <si>
    <t>1801-П8</t>
  </si>
  <si>
    <t>1801-П9</t>
  </si>
  <si>
    <t>1801-П10</t>
  </si>
  <si>
    <t>1801-П11</t>
  </si>
  <si>
    <t>1801-П12</t>
  </si>
  <si>
    <t>1801-П13</t>
  </si>
  <si>
    <t>1801-П14</t>
  </si>
  <si>
    <t>1801-П15</t>
  </si>
  <si>
    <t>1801-П16</t>
  </si>
  <si>
    <t>1801-П17</t>
  </si>
  <si>
    <t>1801-П18</t>
  </si>
  <si>
    <t>1801-П19</t>
  </si>
  <si>
    <t>1801-П20</t>
  </si>
  <si>
    <t>1801-П21</t>
  </si>
  <si>
    <t>1801-П22</t>
  </si>
  <si>
    <t>1801-П23</t>
  </si>
  <si>
    <t>1801-П24</t>
  </si>
  <si>
    <t>1801-П25</t>
  </si>
  <si>
    <t>1801-П26</t>
  </si>
  <si>
    <t>1801-П27</t>
  </si>
  <si>
    <t>1801-П28</t>
  </si>
  <si>
    <t>1801-П29</t>
  </si>
  <si>
    <t>1801-П30</t>
  </si>
  <si>
    <t>1201-П1</t>
  </si>
  <si>
    <t>1201-П2</t>
  </si>
  <si>
    <t>1201-П3</t>
  </si>
  <si>
    <t>1201-П4</t>
  </si>
  <si>
    <t>1201-П5</t>
  </si>
  <si>
    <t>1201-П6</t>
  </si>
  <si>
    <t>1201-П7</t>
  </si>
  <si>
    <t>1201-П8</t>
  </si>
  <si>
    <t>1201-П9</t>
  </si>
  <si>
    <t>1201-П10</t>
  </si>
  <si>
    <t>1201-П11</t>
  </si>
  <si>
    <t>1201-П12</t>
  </si>
  <si>
    <t>1201-П13</t>
  </si>
  <si>
    <t>1201-П14</t>
  </si>
  <si>
    <t>1201-П15</t>
  </si>
  <si>
    <t>1201-П16</t>
  </si>
  <si>
    <t>1201-П17</t>
  </si>
  <si>
    <t>1201-П18</t>
  </si>
  <si>
    <t>1201-П19</t>
  </si>
  <si>
    <t>1201-П20</t>
  </si>
  <si>
    <t>1201-П21</t>
  </si>
  <si>
    <t>1201-П22</t>
  </si>
  <si>
    <t>1201-П23</t>
  </si>
  <si>
    <t>1201-П24</t>
  </si>
  <si>
    <t>1201-П25</t>
  </si>
  <si>
    <t>1201-П26</t>
  </si>
  <si>
    <t>1201-П27</t>
  </si>
  <si>
    <t>1201-П28</t>
  </si>
  <si>
    <t>1201-П29</t>
  </si>
  <si>
    <t>1201-П30</t>
  </si>
  <si>
    <t>1201-П31</t>
  </si>
  <si>
    <t>1201-П32</t>
  </si>
  <si>
    <t>1201-П33</t>
  </si>
  <si>
    <t>1201-П34</t>
  </si>
  <si>
    <t>1201-П35</t>
  </si>
  <si>
    <t>1201-П36</t>
  </si>
  <si>
    <t>1201-П37</t>
  </si>
  <si>
    <t>1201-П38</t>
  </si>
  <si>
    <t>1201-П39</t>
  </si>
  <si>
    <t>1201-П40</t>
  </si>
  <si>
    <t>1201-П41</t>
  </si>
  <si>
    <t>1201-П42</t>
  </si>
  <si>
    <t>1201-П43</t>
  </si>
  <si>
    <t>1201-П44</t>
  </si>
  <si>
    <t>1201-П45</t>
  </si>
  <si>
    <t>1201-П46</t>
  </si>
  <si>
    <t>1201-П47</t>
  </si>
  <si>
    <t>1201-П48</t>
  </si>
  <si>
    <t>1201-П49</t>
  </si>
  <si>
    <t>1201-П50</t>
  </si>
  <si>
    <t>1301-П1</t>
  </si>
  <si>
    <t>1301-П2</t>
  </si>
  <si>
    <t>1301-П3</t>
  </si>
  <si>
    <t>1301-П4</t>
  </si>
  <si>
    <t>1301-П5</t>
  </si>
  <si>
    <t>1301-П6</t>
  </si>
  <si>
    <t>1301-П7</t>
  </si>
  <si>
    <t>1301-П8</t>
  </si>
  <si>
    <t>1301-П9</t>
  </si>
  <si>
    <t>1301-П10</t>
  </si>
  <si>
    <t>1301-П11</t>
  </si>
  <si>
    <t>1301-П12</t>
  </si>
  <si>
    <t>1301-П13</t>
  </si>
  <si>
    <t>1301-П14</t>
  </si>
  <si>
    <t>1301-П15</t>
  </si>
  <si>
    <t>1301-П16</t>
  </si>
  <si>
    <t>1301-П17</t>
  </si>
  <si>
    <t>1301-П18</t>
  </si>
  <si>
    <t>1301-П19</t>
  </si>
  <si>
    <t>1301-П20</t>
  </si>
  <si>
    <t>1301-П21</t>
  </si>
  <si>
    <t>1301-П22</t>
  </si>
  <si>
    <t>1301-П23</t>
  </si>
  <si>
    <t>1301-П24</t>
  </si>
  <si>
    <t>1301-П25</t>
  </si>
  <si>
    <t>1301-П26</t>
  </si>
  <si>
    <t>1301-П27</t>
  </si>
  <si>
    <t>1301-П28</t>
  </si>
  <si>
    <t>1301-П29</t>
  </si>
  <si>
    <t>1301-П30</t>
  </si>
  <si>
    <t>1301-П31</t>
  </si>
  <si>
    <t>1301-П32</t>
  </si>
  <si>
    <t>1301-П33</t>
  </si>
  <si>
    <t>1301-П34</t>
  </si>
  <si>
    <t>1301-П35</t>
  </si>
  <si>
    <t>1301-П36</t>
  </si>
  <si>
    <t>1301-П37</t>
  </si>
  <si>
    <t>1301-П38</t>
  </si>
  <si>
    <t>1301-П39</t>
  </si>
  <si>
    <t>1301-П40</t>
  </si>
  <si>
    <t>1301-П41</t>
  </si>
  <si>
    <t>1301-П42</t>
  </si>
  <si>
    <t>1301-П43</t>
  </si>
  <si>
    <t>1301-П44</t>
  </si>
  <si>
    <t>1301-П45</t>
  </si>
  <si>
    <t>1301-П46</t>
  </si>
  <si>
    <t>1301-П47</t>
  </si>
  <si>
    <t>1301-П48</t>
  </si>
  <si>
    <t>1301-П49</t>
  </si>
  <si>
    <t>1301-П50</t>
  </si>
  <si>
    <t>0602-П1</t>
  </si>
  <si>
    <t>0602-П2</t>
  </si>
  <si>
    <t>0602-П3</t>
  </si>
  <si>
    <t>0602-П4</t>
  </si>
  <si>
    <t>0602-П5</t>
  </si>
  <si>
    <t>0602-П6</t>
  </si>
  <si>
    <t>0602-П7</t>
  </si>
  <si>
    <t>0602-П8</t>
  </si>
  <si>
    <t>0602-П9</t>
  </si>
  <si>
    <t>0602-П10</t>
  </si>
  <si>
    <t>0602-П11</t>
  </si>
  <si>
    <t>0602-П12</t>
  </si>
  <si>
    <t>0602-П13</t>
  </si>
  <si>
    <t>0602-П14</t>
  </si>
  <si>
    <t>0602-П15</t>
  </si>
  <si>
    <t>0602-П16</t>
  </si>
  <si>
    <t>0602-П17</t>
  </si>
  <si>
    <t>0602-П18</t>
  </si>
  <si>
    <t>0602-П19</t>
  </si>
  <si>
    <t>0602-П20</t>
  </si>
  <si>
    <t>0602-П21</t>
  </si>
  <si>
    <t>0602-П22</t>
  </si>
  <si>
    <t>0602-П23</t>
  </si>
  <si>
    <t>0602-П24</t>
  </si>
  <si>
    <t>0602-П25</t>
  </si>
  <si>
    <t>0602-П26</t>
  </si>
  <si>
    <t>0602-П27</t>
  </si>
  <si>
    <t>0602-П28</t>
  </si>
  <si>
    <t>0602-П29</t>
  </si>
  <si>
    <t>0602-П30</t>
  </si>
  <si>
    <t>0602-П31</t>
  </si>
  <si>
    <t>0602-П32</t>
  </si>
  <si>
    <t>0602-П33</t>
  </si>
  <si>
    <t>0602-П34</t>
  </si>
  <si>
    <t>0602-П35</t>
  </si>
  <si>
    <t>0602-П36</t>
  </si>
  <si>
    <t>0602-П37</t>
  </si>
  <si>
    <t>0602-П38</t>
  </si>
  <si>
    <t>0602-П39</t>
  </si>
  <si>
    <t>0602-П40</t>
  </si>
  <si>
    <t>0602-П41</t>
  </si>
  <si>
    <t>0602-П42</t>
  </si>
  <si>
    <t>0602-П43</t>
  </si>
  <si>
    <t>0602-П44</t>
  </si>
  <si>
    <t>0602-П45</t>
  </si>
  <si>
    <t>0602-П46</t>
  </si>
  <si>
    <t>0602-П47</t>
  </si>
  <si>
    <t>0602-П48</t>
  </si>
  <si>
    <t>0602-П49</t>
  </si>
  <si>
    <t>0602-П50</t>
  </si>
  <si>
    <t>0602-П51</t>
  </si>
  <si>
    <t>0602-П52</t>
  </si>
  <si>
    <t>0602-П53</t>
  </si>
  <si>
    <t>0602-П54</t>
  </si>
  <si>
    <t>0602-П55</t>
  </si>
  <si>
    <t>0602-П56</t>
  </si>
  <si>
    <t>0602-П57</t>
  </si>
  <si>
    <t>0602-П58</t>
  </si>
  <si>
    <t>0602-П59</t>
  </si>
  <si>
    <t>0602-П60</t>
  </si>
  <si>
    <t>0602-П61</t>
  </si>
  <si>
    <t>0602-П62</t>
  </si>
  <si>
    <t>0602-П63</t>
  </si>
  <si>
    <t>0602-П64</t>
  </si>
  <si>
    <t>0602-П65</t>
  </si>
  <si>
    <t>0602-П66</t>
  </si>
  <si>
    <t>0602-П67</t>
  </si>
  <si>
    <t>0602-П68</t>
  </si>
  <si>
    <t>0602-П69</t>
  </si>
  <si>
    <t>0602-П70</t>
  </si>
  <si>
    <t>Свега за пројекат 0602-П1:</t>
  </si>
  <si>
    <t>Свега за пројекат 0602-П2:</t>
  </si>
  <si>
    <t>Извори финансирања за Пројекат 0101-П1:</t>
  </si>
  <si>
    <t>Свега за Пројекат 0101-П1:</t>
  </si>
  <si>
    <t>Свега за Пројекат 1801-П1:</t>
  </si>
  <si>
    <t>Свега за Пројекат 1502-П1:</t>
  </si>
  <si>
    <t>Свега за Пројекат 1502-П2:</t>
  </si>
  <si>
    <t>Свега за Пројекат 1502-П3:</t>
  </si>
  <si>
    <t>Свега за Пројекат 1502-П4:</t>
  </si>
  <si>
    <t>Свега за пројекат 0701-П1:</t>
  </si>
  <si>
    <t>Свега за пројекат 0701-П2:</t>
  </si>
  <si>
    <t>Свега за пројекат 1201-П1:</t>
  </si>
  <si>
    <t>Свега за пројекат 1201-П2:</t>
  </si>
  <si>
    <t>Свега за пројекат 1201-П3:</t>
  </si>
  <si>
    <t>Свега за пројекат 1201-:</t>
  </si>
  <si>
    <t>Свега за пројекат 1201:</t>
  </si>
  <si>
    <t>Свега за пројекат 1201-П4:</t>
  </si>
  <si>
    <t>Свега за пројекат 1201-П5:</t>
  </si>
  <si>
    <t>Свега за пројекат 1201-П6:</t>
  </si>
  <si>
    <t>Свега за пројекат 1201-П7:</t>
  </si>
  <si>
    <t>Свега за пројекат 2002-П1:</t>
  </si>
  <si>
    <t>Свега за пројекат 2002-П2:</t>
  </si>
  <si>
    <t>Свега за пројекат 2003-П2:</t>
  </si>
  <si>
    <t>Извори финансирања за пројекат 0701-П1:</t>
  </si>
  <si>
    <t>Извори финансирања за пројекат 0701-П3:</t>
  </si>
  <si>
    <t>Свега за пројекат 0701-П3:</t>
  </si>
  <si>
    <t>Извори финансирања за пројекат 1201-П1:</t>
  </si>
  <si>
    <t>Извори финансирања за пројекат 1201-П2:</t>
  </si>
  <si>
    <t>Извори финансирања за пројекат 1201-П3:</t>
  </si>
  <si>
    <t>Извори финансирања за пројекат 1201-П4:</t>
  </si>
  <si>
    <t>Извори финансирања за пројекат 1201-П5:</t>
  </si>
  <si>
    <t>Извори финансирања за пројекат 1201-П6:</t>
  </si>
  <si>
    <t>Извори финансирања за пројекат 0602-П7:</t>
  </si>
  <si>
    <t>Извори финансирања за пројекат 2001-П1:</t>
  </si>
  <si>
    <t>Извори финансирања за пројекат 2002-П2:</t>
  </si>
  <si>
    <t>Извори финансирања за пројекат 2003-П1:</t>
  </si>
  <si>
    <t>Свега за пројекат 2003-П1:</t>
  </si>
  <si>
    <t>Извори финансирања за пројекат 2003-П2:</t>
  </si>
  <si>
    <t>Извори финансирања за пројекат 0602-П1:</t>
  </si>
  <si>
    <t>Извори финансирања за пројекат 0602-П2:</t>
  </si>
  <si>
    <t>Извори финансирања за пројекат 1101-П1:</t>
  </si>
  <si>
    <t>Извори финансирања за Пројекат 1801-П1:</t>
  </si>
  <si>
    <t>Извори финансирања за Пројекат 0602-П3:</t>
  </si>
  <si>
    <t>Свега за Пројекат 0602-П3:</t>
  </si>
  <si>
    <t>Извори финансирања за Пројекат 1502-П1:</t>
  </si>
  <si>
    <t>Извори финансирања за Пројекат 1502-П2:</t>
  </si>
  <si>
    <t>Извори финансирања за Пројекат 1502-П3:</t>
  </si>
  <si>
    <t>Извори финансирања за Пројекат 1502-П4:</t>
  </si>
  <si>
    <t xml:space="preserve">0701-0002 </t>
  </si>
  <si>
    <t>Извори финансирања за програмску активност 0701-0002:</t>
  </si>
  <si>
    <t>Свега за програмску активност 0701-0002:</t>
  </si>
  <si>
    <t>Извори финансирања за пројекат 0701-П2:</t>
  </si>
  <si>
    <t>Извори финансирања за Главу 8.2:</t>
  </si>
  <si>
    <t>Свега за Главу 8.2:</t>
  </si>
  <si>
    <t>Извори финансирања за Главу 8.3:</t>
  </si>
  <si>
    <t>Свега за Главу 8.3:</t>
  </si>
  <si>
    <t>Извори финансирања за Главу 8.4:</t>
  </si>
  <si>
    <t>Свега за Главу 8.4:</t>
  </si>
  <si>
    <t>Извори финансирања за Главу 8.5:</t>
  </si>
  <si>
    <t>Свега за Главу 8.5:</t>
  </si>
  <si>
    <t>Извори финансирања за Главу 8.6:</t>
  </si>
  <si>
    <t>Свега за Главу 8.6:</t>
  </si>
  <si>
    <t>Извори финансирања за Главу 8.7:</t>
  </si>
  <si>
    <t>Свега за Главу 8.7:</t>
  </si>
  <si>
    <t xml:space="preserve">Прослава Дана особођења Града </t>
  </si>
  <si>
    <t>Прослава Градске славе - Света Тројица</t>
  </si>
  <si>
    <t>Унапређење привредног амбијента (КЛЕР)</t>
  </si>
  <si>
    <t>Подстицаји за развој предузетништва (БИЦ Јумко)</t>
  </si>
  <si>
    <t>Одржавање економске инфраструктуре (Слободна зона)</t>
  </si>
  <si>
    <t>Финансијска подршка локалном економском развоју ( камате за предузетнике)</t>
  </si>
  <si>
    <t>Стручна пракса 2015</t>
  </si>
  <si>
    <t>Извори финансирања за Пројекат 1501-П1</t>
  </si>
  <si>
    <t>Свега за Пројекат 1501-П1:</t>
  </si>
  <si>
    <t>Школа заваривања 2015</t>
  </si>
  <si>
    <t xml:space="preserve">Набавка стеоних јуница </t>
  </si>
  <si>
    <t>Суфинансирање вештачке оплодње</t>
  </si>
  <si>
    <t>Међународна смотра фолклора</t>
  </si>
  <si>
    <t>Етно сајам</t>
  </si>
  <si>
    <t>Меморијал Бакије Бакића</t>
  </si>
  <si>
    <t>Новогодишње украшавање града</t>
  </si>
  <si>
    <t>Извори финансирања за Пројекат 1502-П5:</t>
  </si>
  <si>
    <t>Свега за Пројекат 1502-П5:</t>
  </si>
  <si>
    <t>Постављање Ски лифта "Суво Рудиште"</t>
  </si>
  <si>
    <t>Изградња улице Боре Станковића</t>
  </si>
  <si>
    <t>Изградња ...</t>
  </si>
  <si>
    <t>Публикација књиге ....</t>
  </si>
  <si>
    <t>Изградња и опремање зграде Позоришта</t>
  </si>
  <si>
    <t>Школа у природи</t>
  </si>
  <si>
    <t>Изградња школе у Бресници</t>
  </si>
  <si>
    <t>- из осталих извора</t>
  </si>
  <si>
    <t>Набавка контејнера</t>
  </si>
  <si>
    <t xml:space="preserve">1101-0002 </t>
  </si>
  <si>
    <t xml:space="preserve">Уређивање грађевинског земљишта </t>
  </si>
  <si>
    <t>РАЗВОЈНИ ФОНД</t>
  </si>
  <si>
    <t>Извори финансирања за пројекат 1201-П7:</t>
  </si>
  <si>
    <t>Извори финансирања за пројекат 1201-П8:</t>
  </si>
  <si>
    <t>Свега за пројекат 1201-П8:</t>
  </si>
  <si>
    <t>Извори финансирања за пројекат 1201-П9:</t>
  </si>
  <si>
    <t>Свега за пројекат 1201-П9:</t>
  </si>
  <si>
    <t>Извори финансирања за пројекат 1201-П10:</t>
  </si>
  <si>
    <t>Свега за пројекат 1201-П10:</t>
  </si>
  <si>
    <t>Извори финансирања за пројекат 1201-П11:</t>
  </si>
  <si>
    <t>Свега за пројекат 1201-П11:</t>
  </si>
  <si>
    <t>Извори финансирања за пројекат 1201-П12:</t>
  </si>
  <si>
    <t>Свега за пројекат 1201-П12:</t>
  </si>
  <si>
    <t>Примања од продаје финансијске имовине (категорија 92 осим 9211, 9221, 9219, 9227, 9228)</t>
  </si>
  <si>
    <t>(7+8) - (4+5)+(92 - 62)</t>
  </si>
  <si>
    <t>Неутрошена средства из претходних година</t>
  </si>
  <si>
    <t>(91+92+3) - (61+6211)</t>
  </si>
  <si>
    <t>B.</t>
  </si>
  <si>
    <t>Примања од продаје финансијске имовине (конта 9211, 9221, 9219, 9227, 9228)</t>
  </si>
  <si>
    <t>Напомена 3: За расходе који се финансирају из осталих извора и који се приказују у тој колони, нису унете аутоматске суме  те је потребно да корисник сам изврши сумирања у тој колони.</t>
  </si>
  <si>
    <t>Издаци за набавку финансијске имовине која није у циљу спровођења јавних политика (део 62)</t>
  </si>
  <si>
    <t>Издаци за набавку финансијске имовине (у циљу спровођења јавних политика) категорија 62</t>
  </si>
  <si>
    <t>Прихватилишта,прихватне станице и друге врсте смештаја</t>
  </si>
  <si>
    <t>Свега за Програмску активност 0901-0001:</t>
  </si>
  <si>
    <t>Свега за Програмску активност 0901-0002:</t>
  </si>
  <si>
    <t>Свега за Пројекат 0901-П2:</t>
  </si>
  <si>
    <t>Извори финансирања за Пројекат 0901-П2</t>
  </si>
  <si>
    <t>Пројекат "Помоћ у кући"</t>
  </si>
  <si>
    <t>Извори финансирања за Пројекат 0901-П3</t>
  </si>
  <si>
    <t>Свега за Пројекат 0901-П3:</t>
  </si>
  <si>
    <t>Пројекат "Дневни боравак"</t>
  </si>
  <si>
    <t>Дринска регата</t>
  </si>
  <si>
    <t>Пројекат Набавка опреме</t>
  </si>
  <si>
    <t>4631</t>
  </si>
  <si>
    <t>4632</t>
  </si>
  <si>
    <t>СРЕДЊА ШКОЛА " ВУК КАРАЏИЋ"</t>
  </si>
  <si>
    <t>Извори финансирања за функцију 360:</t>
  </si>
  <si>
    <t>Јавни ред и безбедност некласификоване на друом месту</t>
  </si>
  <si>
    <t>Функција 360:</t>
  </si>
  <si>
    <t>Извори финансирања за функцију 860:</t>
  </si>
  <si>
    <t>Функција 860:</t>
  </si>
  <si>
    <t>Извори финансирања за Програмску активност 1201-0002:</t>
  </si>
  <si>
    <t>Свега за Програмску активност 1201-0002:</t>
  </si>
  <si>
    <t>Санација и унапређење енергетске ефикасности</t>
  </si>
  <si>
    <t>Пројекат реконструкције санитарног чвора</t>
  </si>
  <si>
    <t>ОСНОВНA ШКОЛA " ПЕТАР ВРАГОЛИЋ"</t>
  </si>
  <si>
    <t>Извори финансирања за Главу</t>
  </si>
  <si>
    <t>Свега за Главу</t>
  </si>
  <si>
    <t>Извори финансирања за Програм :</t>
  </si>
  <si>
    <t>Свега за Програм :</t>
  </si>
  <si>
    <t>Извори финансирања за Главу 8:</t>
  </si>
  <si>
    <t>Свега за Главу 8:</t>
  </si>
  <si>
    <t>ЈП ДИРЕКЦИЈА ЗА ГРАЂЕВИНСКО ЗЕМЉИШТЕ И ПУТЕВЕ</t>
  </si>
  <si>
    <t xml:space="preserve">0601-0008  </t>
  </si>
  <si>
    <t>ПРОГРАМ 2: КОМУНАЛНА ДЕЛАТНОСТ</t>
  </si>
  <si>
    <t>Извори финансирања за Главу 11:</t>
  </si>
  <si>
    <t>Свега за Главу 11:</t>
  </si>
  <si>
    <t>Извори финансирања за Пројекат 0601-П1:</t>
  </si>
  <si>
    <t>Свега за Пројекат 0601-П1:</t>
  </si>
  <si>
    <t>Извори финансирања за раздео 3:</t>
  </si>
  <si>
    <t>Свега за раздео 3:</t>
  </si>
  <si>
    <t>Свега за Разделе 1,2 и 3:</t>
  </si>
  <si>
    <t>Извори финансирања за Главу 3:</t>
  </si>
  <si>
    <t>Свега за Главу 3:</t>
  </si>
  <si>
    <t>Извори финансирања за Пројекат 0901-П1</t>
  </si>
  <si>
    <t>Свега за Пројекат 0901-П1:</t>
  </si>
  <si>
    <t>Извори финансирања за Пројекат 0401-П1:</t>
  </si>
  <si>
    <t>Свега за Пројекат 0401-П1:</t>
  </si>
  <si>
    <t>2001-П1</t>
  </si>
  <si>
    <t>2001-П2</t>
  </si>
  <si>
    <t>Извори финансирања за пројекат 2001-П2:</t>
  </si>
  <si>
    <t>Свега за пројекат 2001-П2:</t>
  </si>
  <si>
    <t>Извори финансирања за Програм 8:</t>
  </si>
  <si>
    <t>Свега за Програм 8:</t>
  </si>
  <si>
    <t>Извори финансирања за функцију 520:</t>
  </si>
  <si>
    <t>Функција 520:</t>
  </si>
  <si>
    <t xml:space="preserve">0601-0003  </t>
  </si>
  <si>
    <t>Oдржавање депоније</t>
  </si>
  <si>
    <t>Извори финансирања за програмску активност 0601-0003:</t>
  </si>
  <si>
    <t>Свега за програмску активност 0601-0003:</t>
  </si>
  <si>
    <t xml:space="preserve">0601-0007 </t>
  </si>
  <si>
    <t>Извори финансирања за програмску активност 0601-0007:</t>
  </si>
  <si>
    <t>Свега за програмску активност 0601-0007:</t>
  </si>
  <si>
    <t>Изградња магистралног цевовода Врхпоље - Горња Трешњица</t>
  </si>
  <si>
    <t>Извори финансирања за функцију 630 :</t>
  </si>
  <si>
    <t>Извори финансирања за функцију 520 :</t>
  </si>
  <si>
    <t>Извори финансирања за Пројекат 0601-П2:</t>
  </si>
  <si>
    <t>Свега за Пројекат 0601-П2:</t>
  </si>
  <si>
    <t>Фекална пумпна станица</t>
  </si>
  <si>
    <t>Колектор од Старе пекаре до магистралног пута Љубовија - М.Зворник</t>
  </si>
  <si>
    <t>Извори финансирања за Пројекат 0601-П3:</t>
  </si>
  <si>
    <t>Свега за Пројекат 0601-П3:</t>
  </si>
  <si>
    <t>Водовод и канализација у Омладинској улици</t>
  </si>
  <si>
    <t>Извори финансирања за Пројекат 0601-П4:</t>
  </si>
  <si>
    <t>Свега за Пројекат 0601-П4:</t>
  </si>
  <si>
    <t>Водовод и канализација у Првомајској улици</t>
  </si>
  <si>
    <t>Извори финансирања за Пројекат 0601-П5:</t>
  </si>
  <si>
    <t>Свега за Пројекат 0601-П5:</t>
  </si>
  <si>
    <t>Извори финансирања за функцију 660 :</t>
  </si>
  <si>
    <t>Извори финансирања за Пројекат 0601-П6:</t>
  </si>
  <si>
    <t>Свега за Пројекат 0601-П6:</t>
  </si>
  <si>
    <t>Уређење Новог гробља</t>
  </si>
  <si>
    <t>Израда пројектне документације</t>
  </si>
  <si>
    <t>Извори финансирања за Пројекат 0601-П7:</t>
  </si>
  <si>
    <t>Свега за Пројекат 0601-П7:</t>
  </si>
  <si>
    <t>Реконструкција улице С.Чупића-В.Мишића-7.јула са уређењем и реконструкцијом градског парка</t>
  </si>
  <si>
    <t>Изградња пута Жичара-Т.Приседо- Разбојиште- Кошље</t>
  </si>
  <si>
    <t>Извори финансирања за Пројекат 0701-П1</t>
  </si>
  <si>
    <t>Свега за Пројекат 0701-П1:</t>
  </si>
  <si>
    <t>Извори финансирања за Пројекат 0701-П2</t>
  </si>
  <si>
    <t>Свега за Пројекат 0701-П2:</t>
  </si>
  <si>
    <t>Рехабилитација локалног пута  Грабовица - Поднемић Манастир Свете Тројице</t>
  </si>
  <si>
    <t>Извори финансирања за Пројекат 0701-П3</t>
  </si>
  <si>
    <t>Свега за Пројекат 0701-П3:</t>
  </si>
  <si>
    <t xml:space="preserve">Рехабилитација Радничке улице </t>
  </si>
  <si>
    <t>Извори финансирања за Пројекат 0701-П4</t>
  </si>
  <si>
    <t>Свега за Пројекат 0701-П4:</t>
  </si>
  <si>
    <t xml:space="preserve">Рехабилитација Косовске улице </t>
  </si>
  <si>
    <t>Извори финансирања за Пројекат 0701-П5</t>
  </si>
  <si>
    <t>Свега за Пројекат 0701-П5:</t>
  </si>
  <si>
    <t>Рехабилитација Омладинске улице</t>
  </si>
  <si>
    <t>Извори финансирања за Пројекат 0701-П6</t>
  </si>
  <si>
    <t>Свега за Пројекат 0701-П6:</t>
  </si>
  <si>
    <t>Саобраћајна инфраструктура у индустријској зони уз државни пут 2. реда број 144</t>
  </si>
  <si>
    <t>Извори финансирања за Пројекат 0701-П7</t>
  </si>
  <si>
    <t>Свега за Пројекат 0701-П7:</t>
  </si>
  <si>
    <t>Рехабилитација локалних путева</t>
  </si>
  <si>
    <t>0101-0003</t>
  </si>
  <si>
    <t>Рурални развој</t>
  </si>
  <si>
    <t>Извори финансирања за Програмску активност 0101-0003:</t>
  </si>
  <si>
    <t>Свега за Програмску активност 0101-0003:</t>
  </si>
  <si>
    <t>СЕКТОР ЗА ВАНРЕДНЕ СИТУАЦИЈЕ</t>
  </si>
  <si>
    <t>Изградња нисконапонске мреже на територији општине Љубовија</t>
  </si>
  <si>
    <t>Извори финансирања за Пројекат 0701-П8</t>
  </si>
  <si>
    <t>Свега за Пројекат 0701-П8:</t>
  </si>
  <si>
    <t>Јавна безбедност неквалификована на другом месту</t>
  </si>
  <si>
    <t>Текући наменски трансфери, у ужем смислу, од Републике у корист нивоа општина</t>
  </si>
  <si>
    <t>Општинске административне таксе</t>
  </si>
  <si>
    <t>Приходи који својом делатношћу остваре органи и организације</t>
  </si>
  <si>
    <t>745151</t>
  </si>
  <si>
    <t>Остали приходи укорист нивоа општине</t>
  </si>
  <si>
    <t>Ненаменски трансфери од Републике у корист нивоа општина</t>
  </si>
  <si>
    <t>733154</t>
  </si>
  <si>
    <t xml:space="preserve">План за 2015. </t>
  </si>
  <si>
    <t>Година почетка финансирања пројекта: 2013</t>
  </si>
  <si>
    <t>Година завршетка финансирања пројекта: 2015</t>
  </si>
  <si>
    <t>Укупна вредност пројекта: 75.000.000</t>
  </si>
  <si>
    <t>Година почетка финансирања пројекта:  2007</t>
  </si>
  <si>
    <t>Укупна вредност пројекта: 224.000.000</t>
  </si>
  <si>
    <t>Година почетка финансирања пројекта: 2014</t>
  </si>
  <si>
    <t>Укупна вредност пројекта: 11.000.000</t>
  </si>
  <si>
    <t>Година почетка финансирања пројекта: 2015</t>
  </si>
  <si>
    <t>Укупна вредност пројекта:  13.000.000</t>
  </si>
  <si>
    <t>Рехабилитација Радничке улице 300 м</t>
  </si>
  <si>
    <t>Рехабилитација Косовске улице 250м</t>
  </si>
  <si>
    <t>Укупна вредност пројекта: 3.400.000</t>
  </si>
  <si>
    <t>Рехабилитација Омладинске улице 200м</t>
  </si>
  <si>
    <t>Укупна вредност пројекта: 8.400.000</t>
  </si>
  <si>
    <t>Укупна вредност пројекта:  3.000.000</t>
  </si>
  <si>
    <t>Асфалтирање општинских путева</t>
  </si>
  <si>
    <t>Укупна вредност пројекта:  45.200.000</t>
  </si>
  <si>
    <t>Санација и унапређење енергетске ефикасности на згради ПУ Полетарац</t>
  </si>
  <si>
    <t>Укупна вредност пројекта: 7.600.000</t>
  </si>
  <si>
    <t>Укупна вредност пројекта:  10.600.000</t>
  </si>
  <si>
    <t>Укупна вредност пројекта:  7.500.000</t>
  </si>
  <si>
    <t>Година завршетка финансирања пројекта: 2016</t>
  </si>
  <si>
    <t>Водовод и канализација у Омладинској улици и Првомајској улици</t>
  </si>
  <si>
    <t>Укупна вредност пројекта: 18.000.000</t>
  </si>
  <si>
    <t>Уређење новог гробља</t>
  </si>
  <si>
    <t>Укупна вредност пројекта:  14.700.000</t>
  </si>
  <si>
    <t>Главни одводни колектор отпадних вода од Врхпоља до Кашица</t>
  </si>
  <si>
    <t>Година почетка финансирања пројекта: 2016</t>
  </si>
  <si>
    <t>Година завршетка финансирања пројекта: 2017</t>
  </si>
  <si>
    <t>Укупна вредност пројекта: 32.000.000</t>
  </si>
  <si>
    <t>Изградња постројења за пречишћавање отпадних вода</t>
  </si>
  <si>
    <t>Укупна вредност пројекта:  200.000.000</t>
  </si>
  <si>
    <t>Изградња магистралног цевовода Г.Љубовиђа-Д.Оровица</t>
  </si>
  <si>
    <t>Укупна вредност пројекта:  31.000.000</t>
  </si>
  <si>
    <t>Изградња магистралног цевовода Узовница - Грачаница</t>
  </si>
  <si>
    <t>Укупна вредност пројекта:  41.000.000</t>
  </si>
  <si>
    <t>59</t>
  </si>
  <si>
    <t>60</t>
  </si>
  <si>
    <t>Реконструкција зграде општине Љубовија</t>
  </si>
  <si>
    <t>Набавка минибагера</t>
  </si>
  <si>
    <t>Набавка машине за чишћење улица</t>
  </si>
  <si>
    <t>Набавка приколице за транспорт грађевинских машина</t>
  </si>
  <si>
    <t>Уређај за лоцирање кварова на водоводној мрежи</t>
  </si>
  <si>
    <t xml:space="preserve">                       I  ОПШТИ ДЕО</t>
  </si>
  <si>
    <t xml:space="preserve">                </t>
  </si>
  <si>
    <t xml:space="preserve">                                                                        Члан 6.</t>
  </si>
  <si>
    <t xml:space="preserve"> ПРОГРАМСКА КЛАСИФИКАЦИЈА РАСХОДА</t>
  </si>
  <si>
    <t xml:space="preserve">      ФУНКЦИОНАЛНА КЛАСИФИКАЦИЈА РАСХОДА</t>
  </si>
  <si>
    <t xml:space="preserve">                                II    ПОСЕБАН ДЕО</t>
  </si>
  <si>
    <t>ПРЕДСЕДНИК</t>
  </si>
  <si>
    <t>СКУПШТИНЕ ОПШТИНЕ</t>
  </si>
  <si>
    <t>СКУПШТИНА ОПШТИНЕ        92135</t>
  </si>
  <si>
    <t>ПРЕДСЕДНИК ОПШТИНЕ ОПШТИНСКО ВЕЋЕ   92136</t>
  </si>
  <si>
    <t>ОПШТИНСКА УПРАВА         06068</t>
  </si>
  <si>
    <t>ФОНД ЗА РАЗВОЈ ПОЉОПРИВРЕДЕ            70926</t>
  </si>
  <si>
    <t>ФОНД ЗА ЗАШТИТУ ЖИВОТНЕ СРЕДИНЕ        80691</t>
  </si>
  <si>
    <t>ТУРИСТИЧКА ОРГАНИЗАЦИЈА ОПШТИНЕ    80175</t>
  </si>
  <si>
    <t>БИБЛИОТЕКА "Милован Глишић"70154</t>
  </si>
  <si>
    <t>ПРЕДШКОЛСКА УСТАНОВА  "ПОЛЕТАРАЦ" 70156</t>
  </si>
  <si>
    <t>ЈКП  СТАНДАРД ЉУБОВИЈА   70808</t>
  </si>
  <si>
    <t>Регионална развојна агенција   1.200.000</t>
  </si>
  <si>
    <t>Изградња магистралног цевовода Љубовија Гледеће</t>
  </si>
  <si>
    <t>Укупна вредност пројекта:  1.500.000</t>
  </si>
  <si>
    <t>Реконструкција Сокоградске улице</t>
  </si>
  <si>
    <t>Укупна вредност пројекта:  30.000.000</t>
  </si>
  <si>
    <t>51/1</t>
  </si>
  <si>
    <t>Функција: Породица и деца</t>
  </si>
  <si>
    <t>Извори финансирања за функцију 040:</t>
  </si>
  <si>
    <t>Функција 040:</t>
  </si>
  <si>
    <t>149/1</t>
  </si>
  <si>
    <t>Приходи од других нивоа власти</t>
  </si>
  <si>
    <t>31/1</t>
  </si>
  <si>
    <t>Компјутерски софтвер</t>
  </si>
  <si>
    <t>Изградња тротоара у улици Милана Тешића</t>
  </si>
  <si>
    <t>47/1</t>
  </si>
  <si>
    <t>Свега за Пројекат 0701-П9:</t>
  </si>
  <si>
    <t>Укупна вредност пројекта: 27.300.000</t>
  </si>
  <si>
    <t>Укупна вредност пројекта: 1.920.000</t>
  </si>
  <si>
    <t>Укупна вредност пројекта:  1.000.000</t>
  </si>
  <si>
    <t>Укупна вредност пројекта:  4.500.000</t>
  </si>
  <si>
    <t xml:space="preserve">                           Члан 1.</t>
  </si>
  <si>
    <t xml:space="preserve">                         СКУПШТИНА ОПШТИНЕ ЉУБОВИЈА</t>
  </si>
  <si>
    <t>ФОНД ЗА БЕЗБЕДНОСТ САОБРАЋАЈА              70159</t>
  </si>
  <si>
    <t>МЕСНЕ ЗАЈЕДНИЦЕ                    70153</t>
  </si>
  <si>
    <t>Укупна вредност пројекта: 30.600.000</t>
  </si>
  <si>
    <t>Укупна вредност пројекта:  20.000.000</t>
  </si>
  <si>
    <t>Укупна вредност пројекта: .30.000.000</t>
  </si>
  <si>
    <t>Изградња Трим стазе</t>
  </si>
  <si>
    <t>174/1</t>
  </si>
  <si>
    <t>Извори финансирања за функцију 810 :</t>
  </si>
  <si>
    <t>Извори финансирања за Пројекат 0601-П8:</t>
  </si>
  <si>
    <t>Свега за Пројекат 0601-П8:</t>
  </si>
  <si>
    <t>Набавка материјала за главни одводни колектор</t>
  </si>
  <si>
    <t>Извори финансирања за Пројекат 0601-П9:</t>
  </si>
  <si>
    <t>Свега за Пројекат 0601-П9:</t>
  </si>
  <si>
    <t>ПРАВОБРАНИЛАШТВО ОПШТИНЕ</t>
  </si>
  <si>
    <t>Извори финансирања за Раздео 4 :</t>
  </si>
  <si>
    <t>Свега за Раздео 4:</t>
  </si>
  <si>
    <t>Извори финансирања за Разделе 1,2 , 3 и 4 :</t>
  </si>
  <si>
    <t>Укупна вредност пројекта:  2.800.000</t>
  </si>
  <si>
    <t>Набавка материјала за Главни одводни колектор</t>
  </si>
  <si>
    <t>Укупна вредност пројекта:  8.000.000</t>
  </si>
  <si>
    <t>Донације од других нивоа власти</t>
  </si>
  <si>
    <t>Пројектна документација             6.450.000</t>
  </si>
  <si>
    <t>1. Укупно остварени текући приходи и примања и пренета средства</t>
  </si>
  <si>
    <t>2. Укупно извршени текући расходи и издаци</t>
  </si>
  <si>
    <t>3. Разлика укупних прихода и примања и укупних расхода и издатака</t>
  </si>
  <si>
    <t xml:space="preserve">          Остварени текући приходи и примања, као и извршени расходи и издаци буџета општине Љубовија за 2015. годину (у даљем тексту: Одлука), износе у динарима, и то:</t>
  </si>
  <si>
    <t>Члан 2.</t>
  </si>
  <si>
    <t>Члан 3.</t>
  </si>
  <si>
    <t>1. Укупно остврени приходи и примања од  продаје нефинансијске имовине</t>
  </si>
  <si>
    <t>2. Укупно извршени расходи и издаци за набавку нефинансијске имовине</t>
  </si>
  <si>
    <t>4. Кориговање мањка- вишка прихода и примања (4а + 4б)</t>
  </si>
  <si>
    <t xml:space="preserve">   4а. Део нераспоређеног вишка прихода и примања из ранијих година који је коришћен за покриће расхода и издатака текуће године</t>
  </si>
  <si>
    <t xml:space="preserve">  4б. Део пренетих неутрошених средстава из ранијих година коришћен за покриће расхода и издатака текуће године</t>
  </si>
  <si>
    <t>5. Покриће извршених издатака из текућих прихода и примања ( 5а+5б)</t>
  </si>
  <si>
    <t xml:space="preserve"> 5а. Утрошена средства текућих прихода и примања за отплату обавеза по кредиту</t>
  </si>
  <si>
    <t xml:space="preserve"> 5б. Утрошена средства текућих прихода и примања за набавку финансијске имовине </t>
  </si>
  <si>
    <t>6. Вишак прихода и примања - Суфицит (3+4-5)</t>
  </si>
  <si>
    <t>Члан 4.</t>
  </si>
  <si>
    <t>Буџетски суфицит и укупни фискални резултат буџета утврђени су :</t>
  </si>
  <si>
    <t>Члан 5.</t>
  </si>
  <si>
    <t>Члан 6.</t>
  </si>
  <si>
    <t xml:space="preserve"> </t>
  </si>
  <si>
    <t>Члан 8.</t>
  </si>
  <si>
    <t>Члан 7.</t>
  </si>
  <si>
    <t>Остварење прихода у 2015. години</t>
  </si>
  <si>
    <t xml:space="preserve">Укупно планирани и остварени текући приходи и примања буџета  општине према економским класификацијама утврђени су следећим износима: </t>
  </si>
  <si>
    <t xml:space="preserve">Члан 9. </t>
  </si>
  <si>
    <t>% остварења из буџета</t>
  </si>
  <si>
    <t xml:space="preserve">   Члан 10.</t>
  </si>
  <si>
    <t xml:space="preserve">                Издаци за капиталне пројекте извршени у буџетској 2015. години , исказани су у табели.</t>
  </si>
  <si>
    <t>План</t>
  </si>
  <si>
    <t>Извршење</t>
  </si>
  <si>
    <t>% извршења</t>
  </si>
  <si>
    <t xml:space="preserve">                                                                             Члан 11.</t>
  </si>
  <si>
    <t xml:space="preserve">                                                                      Члан 12.</t>
  </si>
  <si>
    <t>Извршено из средстава буџета</t>
  </si>
  <si>
    <t>% извршења из средстава буџета</t>
  </si>
  <si>
    <t>Извршење из сопствених и других средстава</t>
  </si>
  <si>
    <t>Сопствени и други расходи</t>
  </si>
  <si>
    <t>% остварења из осталих извора</t>
  </si>
  <si>
    <t>У табели Програмска класификација расода, приказани су извршени расходи по програмима,  програмским активностима и појектима.</t>
  </si>
  <si>
    <t xml:space="preserve">                                                                           Члан 13.</t>
  </si>
  <si>
    <t xml:space="preserve">             Укупни расходи и издаци буџета по функционалној класификацији, извршени су у  следећим износима:</t>
  </si>
  <si>
    <t>Извршено из осталих извора</t>
  </si>
  <si>
    <t>% извршења из остаких извора</t>
  </si>
  <si>
    <t>Ивршење из средстава буџета</t>
  </si>
  <si>
    <t xml:space="preserve">                                                                Члан 14.</t>
  </si>
  <si>
    <t xml:space="preserve">    Укупни расходи и издаци  по Одлуци о завршном рачуну буџета општине Љубовија за  2015. годину утврђени су у следећим износима:</t>
  </si>
  <si>
    <t>План средстава из буџета</t>
  </si>
  <si>
    <t>Извршена средства из буџета</t>
  </si>
  <si>
    <t>% извршења из средстава из буџета</t>
  </si>
  <si>
    <t>Извршење из осталих извора</t>
  </si>
  <si>
    <t xml:space="preserve">      Члан 15.</t>
  </si>
  <si>
    <t>Извештај о извршењу буџета који је саставни део ове одлуке, сачињен је на основу Обрасца 5 уз корекцију истог за пренет вишак прихода из претходне године.</t>
  </si>
  <si>
    <t>Члан 16.</t>
  </si>
  <si>
    <t>Одлуку о завршном рачуну буџета општине Љубовија за 2015. годину доставити Управи за трезор најкасније до 15.јуна 2016. године</t>
  </si>
  <si>
    <t>Ова Одлука ступа на снагу осмог дана од објављивања у Службеном листу општине Љубовија</t>
  </si>
  <si>
    <t>Донације осталих нивоа власти</t>
  </si>
  <si>
    <t>сопствени приходи буџетских корисника</t>
  </si>
  <si>
    <t>731000</t>
  </si>
  <si>
    <t>ДОНАЦИЈЕ ОД ИНОСТРАНИХ ДРЖАВА</t>
  </si>
  <si>
    <t>731151</t>
  </si>
  <si>
    <t>733251</t>
  </si>
  <si>
    <t>Капитални наменски трансфери од других нивоа власти у корист у корист нивоа општина</t>
  </si>
  <si>
    <t>743924</t>
  </si>
  <si>
    <t>Приходи од целокупног пореског дуга 5%</t>
  </si>
  <si>
    <t>772114</t>
  </si>
  <si>
    <t>742151</t>
  </si>
  <si>
    <t>Приходи од продаје добара и услуга</t>
  </si>
  <si>
    <t>приходи од давања у закуп</t>
  </si>
  <si>
    <t>780000</t>
  </si>
  <si>
    <t>ТРАНСФЕРИ ИЗМЕЂУ БУЏЕТСКИХ КОРИСНИКА</t>
  </si>
  <si>
    <t>781111</t>
  </si>
  <si>
    <t>Трансфери између буџетских корисника</t>
  </si>
  <si>
    <t>Родитељки динар</t>
  </si>
  <si>
    <t>744151</t>
  </si>
  <si>
    <t>Текући добровољни трансфери од физичких и правних лица у корист нивоа општина</t>
  </si>
  <si>
    <t>Примања од продаје осталих основних средстава</t>
  </si>
  <si>
    <t>Планирана средства из осталих извора</t>
  </si>
  <si>
    <t>Планирана средства из буџета</t>
  </si>
  <si>
    <t xml:space="preserve">        % Извршења</t>
  </si>
  <si>
    <t>Извршено из осталих изворса</t>
  </si>
  <si>
    <t>%  извршења из осталих извора</t>
  </si>
  <si>
    <t>771111</t>
  </si>
  <si>
    <t xml:space="preserve">             У консолидованом Завршном рачуну општине Љубовија за 2015. годину,  Биланс стања (Образац 1) утврђена је укупна актива у износу од 881.222 хиљада  динара, и укупна пасива   у износу од 881.222 хиљаде  динара.</t>
  </si>
  <si>
    <t>3. Мањак прихода и примања -буџетски суфицит (1-2)</t>
  </si>
  <si>
    <t>Буџетска средства у динарима</t>
  </si>
  <si>
    <t>У Билансу прихода и расхода (Образац 2) у периоду од 01.01.-31.12.2015. године утврђени су:</t>
  </si>
  <si>
    <t>Раздео 4 - Општинска управа , функција 040,  472- Накнаде за социјалну заштиту из буџета 522.500,00 динара.Средства су добијена од Комесаријата за избеглице, за пројекат економског оснаживања расељених лица.</t>
  </si>
  <si>
    <t>Раздео 4 - Општинска управа - Фонд за безбедност саобраћаја , функција 360,  конто 511- Зграде и грађевински објекти 1.585.930,99 динара. Средства се односе на Приход од новчаних казни за прекршаје која нису утрошена у 2015. години и користиће се по донетом Програму.</t>
  </si>
  <si>
    <t>Раздео 4 - Општинска управа - Фонд за заштиту животне средине , функција 560,  конто 424-Услуге очувања животне средине 3.697.358,64 динара. Средства се односе на приход  од Накнаде за заштиту и унапређење животне средине неутрошен у 2015. години, а користиће се по донетом Програму и добијеној сагласности надлежног Министарства.</t>
  </si>
  <si>
    <t>Раздео 4 - Општинска управа , функција 130,  512- Опрема 5.913.000 ,00динара. Средства су добијена од Министарства финансија за потребе санације и превенције настанка штете од елементарних непогода.</t>
  </si>
  <si>
    <t>Део вишка прихода наменски опредељен у износу од 11.718.789,63 динара распоређује се за следеће намене:</t>
  </si>
  <si>
    <t>У извештају о капиталним издацима и финансирању  (Образац 3) у периоду од 01.01.-31.12.2015. године утврђена су укупна примања у износу од 155 хиљада динара , укупни  издаци у износу од  139.738 хиљада  динара и мањак примања у износу од 139.583 хиљада динара.</t>
  </si>
  <si>
    <t>У извештају о новчаним токовима ( Образац 4) утврђени су укупни новчани приливи у износу од  508.246 хиљада    динара и новчани  одливи у износу од 538.150 хиљада  динара.  Салдо готовине на консолидованом рачуну трзора општине Љубовија на дан 31.12.2015. године износи 19.567.714,30 динара.</t>
  </si>
  <si>
    <t>У извештају о извршењу буџета  (Образац 5) утврђена је укупна разлика (мањак) у износу од  29.905 хиљада  динара између прихода и примања и расхода и издатака.</t>
  </si>
  <si>
    <r>
      <t xml:space="preserve">        </t>
    </r>
    <r>
      <rPr>
        <sz val="11"/>
        <rFont val="Times New Roman"/>
        <family val="1"/>
        <charset val="238"/>
      </rPr>
      <t>Расходи и издаци , по основним наменама, утврђени су  по Завршном рачуну буџета за 2015. годину у следећим износима:</t>
    </r>
  </si>
  <si>
    <t xml:space="preserve">Обрасци Биланс стања, Биланс прихода и расхода, Извештај о капиталним расходима и финансирању, Извештај о новчаним токовима и Извештај о извршењу буџета за период од 01.01.2015. до 31.12.2015. године на основу којих је сачињена ова Одлука, оверени су и архивирани у Општинској управи. </t>
  </si>
  <si>
    <t xml:space="preserve">Остварени вишак прихода - суфицит из члана 3. ове Одлуке у износу од  14.014.476,69   динара распоређује се на следећи начин: </t>
  </si>
  <si>
    <t>Остатак суфицита (нерспоређени деовишка прихода за пренос у наредну годину)  у износу од 2.295.687,06 се биће распоређен  Одлуком о ребалансу буџета општине Љубовија за 2016. годину.</t>
  </si>
  <si>
    <t>О Д Л У К A  O</t>
  </si>
  <si>
    <t>ЗАВРШНОМ РАЧУНУ БУЏЕТА ОПШТИНЕ ЉУБОВИЈА ЗА 2015. ГОДИНУ</t>
  </si>
  <si>
    <t>Горан Јосиповић</t>
  </si>
  <si>
    <t>Број: 06-243/2016-03 од  28.07.2016. године</t>
  </si>
  <si>
    <t xml:space="preserve">                    На основу члана 77. и 78. Закона о буџетском систему ("Службени гласник РС", бр. 54/09, 73/10, 101/2010, 101/11, 93/12, 62/13, 108/2013, 142/14 и 62/15), члана 32. Закона о локалној самоуправи   ( " Службени гласник РС", број 129/07) и  члана 41. Статута општине Љубовија         (" Службени лист општине Љубовија", број 6/2008), а на предлог Општинског већа, СКУПШТИНА ОПШТИНЕ ЉУБОВИЈА, на седници одржаној 28.07.2016. године , донела је</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</si>
</sst>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 _D_i_n_._-;\-* #,##0.00\ _D_i_n_._-;_-* &quot;-&quot;??\ _D_i_n_._-;_-@_-"/>
    <numFmt numFmtId="165" formatCode="_-* #,##0\ _d_i_n_._-;\-* #,##0\ _d_i_n_._-;_-* &quot;-&quot;\ _d_i_n_._-;_-@_-"/>
    <numFmt numFmtId="166" formatCode="_-* #,##0.00\ _d_i_n_._-;\-* #,##0.00\ _d_i_n_._-;_-* &quot;-&quot;??\ _d_i_n_._-;_-@_-"/>
    <numFmt numFmtId="167" formatCode="_(* #,##0.00_);_(* \(#,##0.00\);_(* \-??_);_(@_)"/>
    <numFmt numFmtId="168" formatCode="_(* #,##0_);_(* \(#,##0\);_(* \-_);_(@_)"/>
    <numFmt numFmtId="169" formatCode="0.0%"/>
    <numFmt numFmtId="170" formatCode="_-* #,##0.00\ _D_i_n_._-;\-* #,##0.00\ _D_i_n_._-;_-* \-??\ _D_i_n_._-;_-@_-"/>
    <numFmt numFmtId="171" formatCode="#,##0.0"/>
    <numFmt numFmtId="172" formatCode="#,##0.00_ ;\-#,##0.00\ "/>
  </numFmts>
  <fonts count="101" x14ac:knownFonts="1">
    <font>
      <sz val="11"/>
      <color theme="1"/>
      <name val="Calibri"/>
      <family val="2"/>
      <charset val="238"/>
      <scheme val="minor"/>
    </font>
    <font>
      <b/>
      <sz val="12"/>
      <name val="Times New Roman"/>
      <family val="1"/>
      <charset val="238"/>
    </font>
    <font>
      <sz val="12"/>
      <name val="Times New Roman"/>
      <family val="1"/>
      <charset val="238"/>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name val="Times New Roman"/>
      <family val="1"/>
      <charset val="238"/>
    </font>
    <font>
      <b/>
      <sz val="11"/>
      <name val="Times New Roman"/>
      <family val="1"/>
      <charset val="238"/>
    </font>
    <font>
      <sz val="11"/>
      <name val="Times New Roman"/>
      <family val="1"/>
    </font>
    <font>
      <sz val="11"/>
      <color theme="1"/>
      <name val="Calibri"/>
      <family val="2"/>
      <scheme val="minor"/>
    </font>
    <font>
      <sz val="9"/>
      <color rgb="FF000000"/>
      <name val="Times New Roman Bold"/>
    </font>
    <font>
      <sz val="9"/>
      <color rgb="FF000000"/>
      <name val="Times New Roman Italic"/>
    </font>
    <font>
      <sz val="7"/>
      <color rgb="FF000000"/>
      <name val="Times New Roman Italic"/>
    </font>
    <font>
      <sz val="9"/>
      <color rgb="FF000000"/>
      <name val="Times New Roman"/>
      <family val="1"/>
    </font>
    <font>
      <b/>
      <sz val="14"/>
      <color theme="1"/>
      <name val="Calibri"/>
      <family val="2"/>
      <scheme val="minor"/>
    </font>
    <font>
      <sz val="11"/>
      <color theme="1"/>
      <name val="Calibri"/>
      <family val="2"/>
      <charset val="238"/>
      <scheme val="minor"/>
    </font>
    <font>
      <b/>
      <sz val="11"/>
      <color theme="1"/>
      <name val="Calibri"/>
      <family val="2"/>
      <scheme val="minor"/>
    </font>
    <font>
      <i/>
      <sz val="11"/>
      <color theme="1"/>
      <name val="Calibri"/>
      <family val="2"/>
      <scheme val="minor"/>
    </font>
    <font>
      <sz val="10"/>
      <color indexed="8"/>
      <name val="Calibri"/>
      <family val="2"/>
    </font>
    <font>
      <sz val="10"/>
      <name val="Arial"/>
      <family val="2"/>
      <charset val="238"/>
    </font>
    <font>
      <sz val="10"/>
      <name val="Times New Roman"/>
      <family val="1"/>
      <charset val="238"/>
    </font>
    <font>
      <b/>
      <sz val="10"/>
      <name val="Times New Roman"/>
      <family val="1"/>
      <charset val="238"/>
    </font>
    <font>
      <b/>
      <sz val="11"/>
      <name val="Times New Roman"/>
      <family val="1"/>
    </font>
    <font>
      <b/>
      <sz val="9"/>
      <name val="Times New Roman"/>
      <family val="1"/>
    </font>
    <font>
      <b/>
      <sz val="11"/>
      <color indexed="8"/>
      <name val="Times New Roman"/>
      <family val="1"/>
    </font>
    <font>
      <sz val="8"/>
      <name val="Times New Roman"/>
      <family val="1"/>
    </font>
    <font>
      <b/>
      <sz val="10"/>
      <name val="Times New Roman"/>
      <family val="1"/>
    </font>
    <font>
      <b/>
      <sz val="8"/>
      <name val="Times New Roman"/>
      <family val="1"/>
    </font>
    <font>
      <sz val="11"/>
      <color theme="1"/>
      <name val="Times New Roman"/>
      <family val="1"/>
    </font>
    <font>
      <b/>
      <sz val="11"/>
      <color theme="1"/>
      <name val="Times New Roman"/>
      <family val="1"/>
    </font>
    <font>
      <i/>
      <sz val="10"/>
      <color indexed="8"/>
      <name val="Times New Roman"/>
      <family val="1"/>
    </font>
    <font>
      <b/>
      <sz val="10"/>
      <color indexed="8"/>
      <name val="Times New Roman"/>
      <family val="1"/>
    </font>
    <font>
      <sz val="10"/>
      <color indexed="8"/>
      <name val="Times New Roman"/>
      <family val="1"/>
    </font>
    <font>
      <sz val="10"/>
      <color theme="1"/>
      <name val="Times New Roman"/>
      <family val="1"/>
    </font>
    <font>
      <b/>
      <sz val="8"/>
      <color indexed="8"/>
      <name val="Times New Roman"/>
      <family val="1"/>
    </font>
    <font>
      <sz val="8"/>
      <color indexed="8"/>
      <name val="Times New Roman"/>
      <family val="1"/>
    </font>
    <font>
      <b/>
      <sz val="12"/>
      <name val="Times New Roman"/>
      <family val="1"/>
    </font>
    <font>
      <sz val="12"/>
      <name val="Times New Roman"/>
      <family val="1"/>
    </font>
    <font>
      <sz val="9"/>
      <name val="Times New Roman"/>
      <family val="1"/>
    </font>
    <font>
      <i/>
      <sz val="10"/>
      <name val="Times New Roman"/>
      <family val="1"/>
    </font>
    <font>
      <b/>
      <sz val="10"/>
      <color indexed="10"/>
      <name val="Times New Roman"/>
      <family val="1"/>
      <charset val="238"/>
    </font>
    <font>
      <sz val="11"/>
      <color rgb="FFFF0000"/>
      <name val="Times New Roman"/>
      <family val="1"/>
    </font>
    <font>
      <b/>
      <sz val="10"/>
      <color theme="1"/>
      <name val="Times New Roman"/>
      <family val="1"/>
    </font>
    <font>
      <sz val="11"/>
      <color theme="1"/>
      <name val="Times New Roman"/>
      <family val="1"/>
      <charset val="238"/>
    </font>
    <font>
      <sz val="12"/>
      <color theme="1"/>
      <name val="Times New Roman"/>
      <family val="1"/>
      <charset val="238"/>
    </font>
    <font>
      <sz val="11"/>
      <color indexed="8"/>
      <name val="Times New Roman"/>
      <family val="1"/>
    </font>
    <font>
      <b/>
      <sz val="14"/>
      <color theme="1"/>
      <name val="Times New Roman"/>
      <family val="1"/>
      <charset val="238"/>
    </font>
    <font>
      <sz val="16"/>
      <color theme="1"/>
      <name val="Times New Roman"/>
      <family val="1"/>
      <charset val="238"/>
    </font>
    <font>
      <b/>
      <sz val="16"/>
      <color theme="1"/>
      <name val="Times New Roman"/>
      <family val="1"/>
      <charset val="238"/>
    </font>
    <font>
      <sz val="11"/>
      <color theme="1"/>
      <name val="Times New Roman"/>
      <family val="1"/>
      <charset val="204"/>
    </font>
    <font>
      <sz val="12"/>
      <name val="Times New Roman"/>
      <family val="1"/>
      <charset val="204"/>
    </font>
    <font>
      <b/>
      <sz val="12"/>
      <name val="Times New Roman"/>
      <family val="1"/>
      <charset val="204"/>
    </font>
    <font>
      <b/>
      <sz val="16"/>
      <color theme="1"/>
      <name val="Times New Roman"/>
      <family val="1"/>
      <charset val="204"/>
    </font>
    <font>
      <sz val="10"/>
      <name val="Times New Roman"/>
      <family val="1"/>
    </font>
    <font>
      <sz val="11"/>
      <name val="Arial"/>
      <family val="2"/>
      <charset val="204"/>
    </font>
    <font>
      <b/>
      <sz val="9"/>
      <color theme="1"/>
      <name val="Times New Roman"/>
      <family val="1"/>
      <charset val="238"/>
    </font>
    <font>
      <sz val="10"/>
      <name val="Arial"/>
      <family val="2"/>
    </font>
    <font>
      <sz val="9"/>
      <color theme="1"/>
      <name val="Times New Roman"/>
      <family val="1"/>
    </font>
    <font>
      <i/>
      <sz val="10"/>
      <color theme="1"/>
      <name val="Times New Roman"/>
      <family val="1"/>
    </font>
    <font>
      <b/>
      <i/>
      <sz val="10"/>
      <color theme="1"/>
      <name val="Times New Roman"/>
      <family val="1"/>
    </font>
    <font>
      <b/>
      <sz val="10"/>
      <color rgb="FFFF0000"/>
      <name val="Times New Roman"/>
      <family val="1"/>
    </font>
    <font>
      <sz val="10"/>
      <color indexed="10"/>
      <name val="Times New Roman"/>
      <family val="1"/>
    </font>
    <font>
      <sz val="10"/>
      <color rgb="FFFF0000"/>
      <name val="Times New Roman"/>
      <family val="1"/>
    </font>
    <font>
      <sz val="10"/>
      <color indexed="8"/>
      <name val="Times New Roman"/>
      <family val="1"/>
      <charset val="238"/>
    </font>
    <font>
      <sz val="10"/>
      <color indexed="8"/>
      <name val="Times New Roman"/>
      <family val="1"/>
      <charset val="204"/>
    </font>
    <font>
      <sz val="10"/>
      <name val="Times New Roman"/>
      <family val="1"/>
      <charset val="204"/>
    </font>
    <font>
      <i/>
      <sz val="10"/>
      <color indexed="8"/>
      <name val="Times New Roman"/>
      <family val="1"/>
      <charset val="204"/>
    </font>
    <font>
      <b/>
      <sz val="10"/>
      <color theme="1"/>
      <name val="Times New Roman"/>
      <family val="1"/>
      <charset val="204"/>
    </font>
    <font>
      <sz val="10"/>
      <color rgb="FF000000"/>
      <name val="Times New Roman Italic"/>
    </font>
    <font>
      <i/>
      <sz val="10"/>
      <color indexed="8"/>
      <name val="Times New Roman"/>
      <family val="1"/>
      <charset val="238"/>
    </font>
    <font>
      <b/>
      <sz val="10"/>
      <color indexed="8"/>
      <name val="Times New Roman"/>
      <family val="1"/>
      <charset val="204"/>
    </font>
    <font>
      <b/>
      <i/>
      <sz val="10"/>
      <name val="Times New Roman"/>
      <family val="1"/>
      <charset val="238"/>
    </font>
    <font>
      <i/>
      <sz val="10"/>
      <name val="Times New Roman"/>
      <family val="1"/>
      <charset val="238"/>
    </font>
    <font>
      <i/>
      <sz val="10"/>
      <name val="Times New Roman"/>
      <family val="1"/>
      <charset val="204"/>
    </font>
    <font>
      <sz val="10"/>
      <color theme="1"/>
      <name val="Times New Roman"/>
      <family val="1"/>
      <charset val="238"/>
    </font>
    <font>
      <sz val="10"/>
      <color theme="1"/>
      <name val="Times New Roman"/>
      <family val="1"/>
      <charset val="204"/>
    </font>
    <font>
      <b/>
      <sz val="10"/>
      <color theme="1"/>
      <name val="Times New Roman"/>
      <family val="1"/>
      <charset val="238"/>
    </font>
    <font>
      <i/>
      <sz val="10"/>
      <color theme="1"/>
      <name val="Times New Roman"/>
      <family val="1"/>
      <charset val="238"/>
    </font>
    <font>
      <b/>
      <sz val="10"/>
      <color theme="1"/>
      <name val="Calibri"/>
      <family val="2"/>
      <charset val="204"/>
      <scheme val="minor"/>
    </font>
    <font>
      <sz val="10"/>
      <color theme="1"/>
      <name val="Calibri"/>
      <family val="2"/>
      <charset val="238"/>
      <scheme val="minor"/>
    </font>
    <font>
      <sz val="9"/>
      <name val="Times New Roman"/>
      <family val="1"/>
      <charset val="238"/>
    </font>
    <font>
      <b/>
      <sz val="11"/>
      <color theme="1"/>
      <name val="Calibri"/>
      <family val="2"/>
      <charset val="238"/>
      <scheme val="minor"/>
    </font>
    <font>
      <b/>
      <sz val="11"/>
      <color theme="1"/>
      <name val="Times New Roman"/>
      <family val="1"/>
      <charset val="238"/>
    </font>
    <font>
      <i/>
      <sz val="11"/>
      <name val="Times New Roman"/>
      <family val="1"/>
      <charset val="238"/>
    </font>
    <font>
      <sz val="8"/>
      <color theme="1"/>
      <name val="Times New Roman"/>
      <family val="1"/>
    </font>
    <font>
      <b/>
      <sz val="14"/>
      <color theme="1"/>
      <name val="Calibri"/>
      <family val="2"/>
      <charset val="238"/>
      <scheme val="minor"/>
    </font>
  </fonts>
  <fills count="46">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43"/>
        <bgColor indexed="64"/>
      </patternFill>
    </fill>
    <fill>
      <patternFill patternType="solid">
        <fgColor indexed="45"/>
        <bgColor indexed="64"/>
      </patternFill>
    </fill>
    <fill>
      <patternFill patternType="solid">
        <fgColor indexed="22"/>
        <bgColor indexed="64"/>
      </patternFill>
    </fill>
    <fill>
      <patternFill patternType="solid">
        <fgColor indexed="51"/>
        <bgColor indexed="31"/>
      </patternFill>
    </fill>
    <fill>
      <patternFill patternType="solid">
        <fgColor indexed="51"/>
        <bgColor indexed="26"/>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66FFCC"/>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theme="0"/>
        <bgColor indexed="26"/>
      </patternFill>
    </fill>
    <fill>
      <patternFill patternType="solid">
        <fgColor theme="7" tint="0.59999389629810485"/>
        <bgColor indexed="26"/>
      </patternFill>
    </fill>
    <fill>
      <patternFill patternType="solid">
        <fgColor rgb="FFFFC000"/>
        <bgColor indexed="64"/>
      </patternFill>
    </fill>
    <fill>
      <patternFill patternType="solid">
        <fgColor rgb="FFFFC000"/>
        <bgColor indexed="26"/>
      </patternFill>
    </fill>
    <fill>
      <patternFill patternType="solid">
        <fgColor theme="0" tint="-0.249977111117893"/>
        <bgColor indexed="41"/>
      </patternFill>
    </fill>
    <fill>
      <patternFill patternType="solid">
        <fgColor theme="0" tint="-0.249977111117893"/>
        <bgColor indexed="27"/>
      </patternFill>
    </fill>
    <fill>
      <patternFill patternType="solid">
        <fgColor theme="0" tint="-0.249977111117893"/>
        <bgColor indexed="31"/>
      </patternFill>
    </fill>
    <fill>
      <patternFill patternType="solid">
        <fgColor theme="0" tint="-0.14999847407452621"/>
        <bgColor indexed="41"/>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thin">
        <color indexed="64"/>
      </left>
      <right style="thin">
        <color indexed="64"/>
      </right>
      <top style="hair">
        <color indexed="64"/>
      </top>
      <bottom style="hair">
        <color indexed="64"/>
      </bottom>
      <diagonal/>
    </border>
    <border>
      <left style="thin">
        <color indexed="8"/>
      </left>
      <right style="thin">
        <color indexed="8"/>
      </right>
      <top/>
      <bottom/>
      <diagonal/>
    </border>
    <border>
      <left style="thin">
        <color indexed="8"/>
      </left>
      <right style="thin">
        <color indexed="8"/>
      </right>
      <top/>
      <bottom style="hair">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auto="1"/>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auto="1"/>
      </left>
      <right style="thin">
        <color auto="1"/>
      </right>
      <top style="hair">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hair">
        <color indexed="8"/>
      </top>
      <bottom style="hair">
        <color indexed="8"/>
      </bottom>
      <diagonal/>
    </border>
    <border>
      <left style="thin">
        <color indexed="8"/>
      </left>
      <right/>
      <top/>
      <bottom style="hair">
        <color indexed="8"/>
      </bottom>
      <diagonal/>
    </border>
    <border>
      <left style="thin">
        <color indexed="8"/>
      </left>
      <right/>
      <top style="hair">
        <color indexed="8"/>
      </top>
      <bottom style="hair">
        <color indexed="8"/>
      </bottom>
      <diagonal/>
    </border>
    <border>
      <left style="thin">
        <color indexed="8"/>
      </left>
      <right/>
      <top style="hair">
        <color indexed="8"/>
      </top>
      <bottom style="thin">
        <color indexed="8"/>
      </bottom>
      <diagonal/>
    </border>
    <border>
      <left style="thin">
        <color indexed="64"/>
      </left>
      <right style="thin">
        <color indexed="64"/>
      </right>
      <top style="thin">
        <color indexed="64"/>
      </top>
      <bottom style="medium">
        <color indexed="64"/>
      </bottom>
      <diagonal/>
    </border>
    <border>
      <left/>
      <right/>
      <top style="thin">
        <color auto="1"/>
      </top>
      <bottom/>
      <diagonal/>
    </border>
    <border>
      <left/>
      <right/>
      <top style="thin">
        <color indexed="64"/>
      </top>
      <bottom style="medium">
        <color indexed="64"/>
      </bottom>
      <diagonal/>
    </border>
    <border>
      <left style="thin">
        <color indexed="8"/>
      </left>
      <right style="thin">
        <color indexed="8"/>
      </right>
      <top style="hair">
        <color indexed="8"/>
      </top>
      <bottom style="thin">
        <color indexed="64"/>
      </bottom>
      <diagonal/>
    </border>
    <border>
      <left style="thin">
        <color indexed="8"/>
      </left>
      <right/>
      <top/>
      <bottom/>
      <diagonal/>
    </border>
    <border>
      <left/>
      <right style="thin">
        <color indexed="64"/>
      </right>
      <top/>
      <bottom/>
      <diagonal/>
    </border>
    <border>
      <left style="thin">
        <color indexed="8"/>
      </left>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diagonal/>
    </border>
  </borders>
  <cellStyleXfs count="63">
    <xf numFmtId="0" fontId="0"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167" fontId="3" fillId="0" borderId="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3" fillId="23" borderId="7" applyNumberFormat="0" applyAlignment="0" applyProtection="0"/>
    <xf numFmtId="0" fontId="17" fillId="20" borderId="8" applyNumberFormat="0" applyAlignment="0" applyProtection="0"/>
    <xf numFmtId="9" fontId="3" fillId="0" borderId="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9" fontId="24" fillId="0" borderId="0" applyFont="0" applyFill="0" applyBorder="0" applyAlignment="0" applyProtection="0"/>
    <xf numFmtId="0" fontId="24" fillId="0" borderId="0"/>
    <xf numFmtId="166" fontId="30" fillId="0" borderId="0" applyFont="0" applyFill="0" applyBorder="0" applyAlignment="0" applyProtection="0"/>
    <xf numFmtId="9" fontId="30" fillId="0" borderId="0" applyFont="0" applyFill="0" applyBorder="0" applyAlignment="0" applyProtection="0"/>
    <xf numFmtId="0" fontId="34" fillId="0" borderId="0"/>
    <xf numFmtId="164" fontId="30" fillId="0" borderId="0" applyFont="0" applyFill="0" applyBorder="0" applyAlignment="0" applyProtection="0"/>
    <xf numFmtId="167" fontId="3" fillId="0" borderId="0" applyFill="0" applyBorder="0" applyAlignment="0" applyProtection="0"/>
    <xf numFmtId="0" fontId="30" fillId="0" borderId="0"/>
    <xf numFmtId="0" fontId="7" fillId="20" borderId="28" applyNumberFormat="0" applyAlignment="0" applyProtection="0"/>
    <xf numFmtId="0" fontId="14" fillId="7" borderId="28" applyNumberFormat="0" applyAlignment="0" applyProtection="0"/>
    <xf numFmtId="0" fontId="3" fillId="23" borderId="29" applyNumberFormat="0" applyAlignment="0" applyProtection="0"/>
    <xf numFmtId="0" fontId="17" fillId="20" borderId="30" applyNumberFormat="0" applyAlignment="0" applyProtection="0"/>
    <xf numFmtId="0" fontId="19" fillId="0" borderId="31" applyNumberFormat="0" applyFill="0" applyAlignment="0" applyProtection="0"/>
    <xf numFmtId="0" fontId="7" fillId="20" borderId="40" applyNumberFormat="0" applyAlignment="0" applyProtection="0"/>
    <xf numFmtId="0" fontId="14" fillId="7" borderId="40" applyNumberFormat="0" applyAlignment="0" applyProtection="0"/>
    <xf numFmtId="0" fontId="3" fillId="23" borderId="41" applyNumberFormat="0" applyAlignment="0" applyProtection="0"/>
    <xf numFmtId="0" fontId="17" fillId="20" borderId="42" applyNumberFormat="0" applyAlignment="0" applyProtection="0"/>
    <xf numFmtId="0" fontId="19" fillId="0" borderId="43" applyNumberFormat="0" applyFill="0" applyAlignment="0" applyProtection="0"/>
  </cellStyleXfs>
  <cellXfs count="873">
    <xf numFmtId="0" fontId="0" fillId="0" borderId="0" xfId="0"/>
    <xf numFmtId="49" fontId="1" fillId="0" borderId="10" xfId="1" applyNumberFormat="1" applyFont="1" applyFill="1" applyBorder="1" applyAlignment="1">
      <alignment horizontal="center" vertical="center"/>
    </xf>
    <xf numFmtId="49" fontId="2"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10" xfId="1" applyFont="1" applyBorder="1" applyAlignment="1">
      <alignment horizontal="center"/>
    </xf>
    <xf numFmtId="49" fontId="21" fillId="0" borderId="11" xfId="1" applyNumberFormat="1" applyFont="1" applyBorder="1" applyAlignment="1">
      <alignment horizontal="center"/>
    </xf>
    <xf numFmtId="0" fontId="21" fillId="0" borderId="0" xfId="1" applyFont="1" applyFill="1"/>
    <xf numFmtId="49" fontId="21" fillId="0" borderId="0" xfId="1" applyNumberFormat="1" applyFont="1" applyAlignment="1">
      <alignment horizontal="center" vertical="center"/>
    </xf>
    <xf numFmtId="49" fontId="22" fillId="20" borderId="10" xfId="1" applyNumberFormat="1" applyFont="1" applyFill="1" applyBorder="1" applyAlignment="1">
      <alignment horizontal="center" vertical="center"/>
    </xf>
    <xf numFmtId="0" fontId="22" fillId="20" borderId="10" xfId="1" applyFont="1" applyFill="1" applyBorder="1" applyAlignment="1">
      <alignment horizontal="center" vertical="center" wrapText="1"/>
    </xf>
    <xf numFmtId="49" fontId="21" fillId="0" borderId="10" xfId="1" applyNumberFormat="1" applyFont="1" applyBorder="1" applyAlignment="1">
      <alignment horizontal="center" vertical="center"/>
    </xf>
    <xf numFmtId="0" fontId="22" fillId="6" borderId="10" xfId="1" applyFont="1" applyFill="1" applyBorder="1" applyAlignment="1">
      <alignment horizontal="center" vertical="center"/>
    </xf>
    <xf numFmtId="0" fontId="22" fillId="6" borderId="10" xfId="1" applyFont="1" applyFill="1" applyBorder="1" applyAlignment="1">
      <alignment horizontal="center" vertical="center" wrapText="1"/>
    </xf>
    <xf numFmtId="4" fontId="22" fillId="6" borderId="10" xfId="29" applyNumberFormat="1" applyFont="1" applyFill="1" applyBorder="1" applyAlignment="1" applyProtection="1">
      <alignment horizontal="center" vertical="center" wrapText="1"/>
    </xf>
    <xf numFmtId="0" fontId="21" fillId="0" borderId="10" xfId="1" applyFont="1" applyFill="1" applyBorder="1" applyAlignment="1">
      <alignment horizontal="center" vertical="center" wrapText="1"/>
    </xf>
    <xf numFmtId="0" fontId="22" fillId="20" borderId="10" xfId="1" applyFont="1" applyFill="1" applyBorder="1" applyAlignment="1">
      <alignment vertical="center" wrapText="1"/>
    </xf>
    <xf numFmtId="3" fontId="22" fillId="20" borderId="10" xfId="29" applyNumberFormat="1" applyFont="1" applyFill="1" applyBorder="1" applyAlignment="1" applyProtection="1">
      <alignment vertical="center" wrapText="1"/>
    </xf>
    <xf numFmtId="0" fontId="22" fillId="22" borderId="10" xfId="1" applyFont="1" applyFill="1" applyBorder="1" applyAlignment="1">
      <alignment vertical="center" wrapText="1"/>
    </xf>
    <xf numFmtId="0" fontId="22" fillId="22" borderId="10" xfId="1" applyFont="1" applyFill="1" applyBorder="1" applyAlignment="1">
      <alignment horizontal="center" vertical="center" wrapText="1"/>
    </xf>
    <xf numFmtId="3" fontId="22" fillId="22" borderId="10" xfId="29" applyNumberFormat="1" applyFont="1" applyFill="1" applyBorder="1" applyAlignment="1" applyProtection="1">
      <alignment vertical="center" wrapText="1"/>
    </xf>
    <xf numFmtId="0" fontId="21" fillId="0" borderId="10" xfId="1" applyFont="1" applyFill="1" applyBorder="1" applyAlignment="1">
      <alignment vertical="center" wrapText="1"/>
    </xf>
    <xf numFmtId="3" fontId="21" fillId="0" borderId="10" xfId="29" applyNumberFormat="1" applyFont="1" applyFill="1" applyBorder="1" applyAlignment="1" applyProtection="1">
      <alignment vertical="center" wrapText="1"/>
    </xf>
    <xf numFmtId="0" fontId="22" fillId="22" borderId="15" xfId="1" applyFont="1" applyFill="1" applyBorder="1" applyAlignment="1">
      <alignment vertical="center" wrapText="1"/>
    </xf>
    <xf numFmtId="0" fontId="22" fillId="22" borderId="15" xfId="1" applyFont="1" applyFill="1" applyBorder="1" applyAlignment="1">
      <alignment horizontal="center" vertical="center" wrapText="1"/>
    </xf>
    <xf numFmtId="3" fontId="22" fillId="22" borderId="15" xfId="29" applyNumberFormat="1" applyFont="1" applyFill="1" applyBorder="1" applyAlignment="1" applyProtection="1">
      <alignment vertical="center" wrapText="1"/>
    </xf>
    <xf numFmtId="49" fontId="21" fillId="0" borderId="14" xfId="1" applyNumberFormat="1" applyFont="1" applyFill="1" applyBorder="1" applyAlignment="1">
      <alignment vertical="center" wrapText="1"/>
    </xf>
    <xf numFmtId="0" fontId="21" fillId="0" borderId="13" xfId="1" applyNumberFormat="1" applyFont="1" applyFill="1" applyBorder="1" applyAlignment="1">
      <alignment horizontal="center" vertical="center" wrapText="1"/>
    </xf>
    <xf numFmtId="3" fontId="21" fillId="0" borderId="11" xfId="29" applyNumberFormat="1" applyFont="1" applyFill="1" applyBorder="1" applyAlignment="1" applyProtection="1">
      <alignment vertical="center" wrapText="1"/>
    </xf>
    <xf numFmtId="0" fontId="21" fillId="0" borderId="14" xfId="1" applyFont="1" applyBorder="1" applyAlignment="1">
      <alignment vertical="center" wrapText="1"/>
    </xf>
    <xf numFmtId="0" fontId="22" fillId="22" borderId="16" xfId="1" applyFont="1" applyFill="1" applyBorder="1" applyAlignment="1">
      <alignment vertical="center" wrapText="1"/>
    </xf>
    <xf numFmtId="0" fontId="22" fillId="22" borderId="16" xfId="1" applyFont="1" applyFill="1" applyBorder="1" applyAlignment="1">
      <alignment horizontal="center" vertical="center" wrapText="1"/>
    </xf>
    <xf numFmtId="3" fontId="22" fillId="22" borderId="16" xfId="29" applyNumberFormat="1" applyFont="1" applyFill="1" applyBorder="1" applyAlignment="1" applyProtection="1">
      <alignment vertical="center" wrapText="1"/>
    </xf>
    <xf numFmtId="0" fontId="21" fillId="0" borderId="10" xfId="1" applyFont="1" applyFill="1" applyBorder="1" applyAlignment="1">
      <alignment horizontal="center"/>
    </xf>
    <xf numFmtId="3" fontId="21" fillId="0" borderId="10" xfId="29" applyNumberFormat="1" applyFont="1" applyFill="1" applyBorder="1" applyAlignment="1" applyProtection="1"/>
    <xf numFmtId="0" fontId="22" fillId="22" borderId="10" xfId="1" applyFont="1" applyFill="1" applyBorder="1" applyAlignment="1">
      <alignment horizontal="center"/>
    </xf>
    <xf numFmtId="3" fontId="22" fillId="22" borderId="10" xfId="29" applyNumberFormat="1" applyFont="1" applyFill="1" applyBorder="1" applyAlignment="1" applyProtection="1"/>
    <xf numFmtId="0" fontId="21" fillId="0" borderId="0" xfId="1" applyFont="1" applyFill="1" applyAlignment="1">
      <alignment horizontal="center"/>
    </xf>
    <xf numFmtId="3" fontId="21" fillId="0" borderId="0" xfId="29" applyNumberFormat="1" applyFont="1" applyFill="1" applyBorder="1" applyAlignment="1" applyProtection="1"/>
    <xf numFmtId="0" fontId="22" fillId="20" borderId="10" xfId="1" applyFont="1" applyFill="1" applyBorder="1" applyAlignment="1">
      <alignment horizontal="center" vertical="center"/>
    </xf>
    <xf numFmtId="49" fontId="22" fillId="22" borderId="10" xfId="1" applyNumberFormat="1" applyFont="1" applyFill="1" applyBorder="1" applyAlignment="1">
      <alignment horizontal="center" vertical="center"/>
    </xf>
    <xf numFmtId="49" fontId="22" fillId="22" borderId="15" xfId="1" applyNumberFormat="1" applyFont="1" applyFill="1" applyBorder="1" applyAlignment="1">
      <alignment horizontal="center" vertical="center"/>
    </xf>
    <xf numFmtId="49" fontId="21" fillId="0" borderId="11" xfId="1" applyNumberFormat="1" applyFont="1" applyFill="1" applyBorder="1" applyAlignment="1">
      <alignment horizontal="center" vertical="center"/>
    </xf>
    <xf numFmtId="49" fontId="21" fillId="0" borderId="11" xfId="1" applyNumberFormat="1" applyFont="1" applyBorder="1" applyAlignment="1">
      <alignment horizontal="center" vertical="center"/>
    </xf>
    <xf numFmtId="49" fontId="22" fillId="22" borderId="16" xfId="1" applyNumberFormat="1" applyFont="1" applyFill="1" applyBorder="1" applyAlignment="1">
      <alignment horizontal="center" vertical="center"/>
    </xf>
    <xf numFmtId="0" fontId="21" fillId="0" borderId="11" xfId="1" applyFont="1" applyBorder="1" applyAlignment="1">
      <alignment vertical="center" wrapText="1"/>
    </xf>
    <xf numFmtId="0" fontId="21" fillId="0" borderId="11" xfId="1" applyNumberFormat="1" applyFont="1" applyFill="1" applyBorder="1" applyAlignment="1">
      <alignment horizontal="center" vertical="center" wrapText="1"/>
    </xf>
    <xf numFmtId="0" fontId="21" fillId="0" borderId="11" xfId="1" applyFont="1" applyBorder="1" applyAlignment="1">
      <alignment horizontal="center" vertical="center" wrapText="1"/>
    </xf>
    <xf numFmtId="0" fontId="21" fillId="0" borderId="11" xfId="1" applyFont="1" applyFill="1" applyBorder="1" applyAlignment="1">
      <alignment vertical="center" wrapText="1"/>
    </xf>
    <xf numFmtId="0" fontId="21" fillId="0" borderId="11" xfId="1" applyFont="1" applyFill="1" applyBorder="1" applyAlignment="1">
      <alignment horizontal="center" vertical="center" wrapText="1"/>
    </xf>
    <xf numFmtId="49" fontId="25" fillId="0" borderId="11" xfId="46" applyNumberFormat="1" applyFont="1" applyBorder="1" applyAlignment="1" applyProtection="1">
      <alignment horizontal="left" vertical="top"/>
    </xf>
    <xf numFmtId="0" fontId="25" fillId="0" borderId="11" xfId="46" applyFont="1" applyBorder="1" applyAlignment="1" applyProtection="1">
      <alignment horizontal="left" vertical="top"/>
    </xf>
    <xf numFmtId="0" fontId="25" fillId="0" borderId="11" xfId="46" applyNumberFormat="1" applyFont="1" applyBorder="1" applyAlignment="1" applyProtection="1">
      <alignment horizontal="left" vertical="top"/>
    </xf>
    <xf numFmtId="49" fontId="26" fillId="0" borderId="11" xfId="46" applyNumberFormat="1" applyFont="1" applyBorder="1" applyAlignment="1" applyProtection="1">
      <alignment horizontal="left" vertical="top"/>
    </xf>
    <xf numFmtId="0" fontId="26" fillId="0" borderId="11" xfId="46" applyFont="1" applyBorder="1" applyAlignment="1" applyProtection="1">
      <alignment horizontal="left" vertical="top"/>
    </xf>
    <xf numFmtId="0" fontId="26" fillId="0" borderId="11" xfId="46" applyNumberFormat="1" applyFont="1" applyBorder="1" applyAlignment="1" applyProtection="1">
      <alignment horizontal="left" vertical="top"/>
    </xf>
    <xf numFmtId="49" fontId="28" fillId="0" borderId="11" xfId="46" applyNumberFormat="1" applyFont="1" applyBorder="1" applyAlignment="1" applyProtection="1">
      <alignment horizontal="left" vertical="top"/>
    </xf>
    <xf numFmtId="0" fontId="28" fillId="0" borderId="11" xfId="46" applyFont="1" applyBorder="1" applyAlignment="1" applyProtection="1">
      <alignment horizontal="left" vertical="top"/>
    </xf>
    <xf numFmtId="0" fontId="32" fillId="0" borderId="0" xfId="0" applyFont="1" applyAlignment="1">
      <alignment horizontal="center"/>
    </xf>
    <xf numFmtId="0" fontId="31" fillId="0" borderId="0" xfId="0" applyFont="1" applyAlignment="1">
      <alignment horizontal="center" vertical="center" wrapText="1"/>
    </xf>
    <xf numFmtId="0" fontId="31" fillId="0" borderId="0" xfId="0" applyFont="1"/>
    <xf numFmtId="0" fontId="29" fillId="0" borderId="0" xfId="0" applyFont="1" applyAlignment="1">
      <alignment vertical="center"/>
    </xf>
    <xf numFmtId="0" fontId="31" fillId="0" borderId="0" xfId="0" applyFont="1" applyAlignment="1">
      <alignment horizontal="center"/>
    </xf>
    <xf numFmtId="0" fontId="0" fillId="0" borderId="0" xfId="0" applyNumberFormat="1"/>
    <xf numFmtId="0" fontId="31" fillId="0" borderId="0" xfId="0" applyNumberFormat="1" applyFont="1"/>
    <xf numFmtId="0" fontId="33" fillId="0" borderId="0" xfId="0" applyFont="1" applyBorder="1" applyAlignment="1" applyProtection="1">
      <alignment vertical="top"/>
    </xf>
    <xf numFmtId="49" fontId="0" fillId="0" borderId="0" xfId="0" applyNumberFormat="1" applyAlignment="1" applyProtection="1">
      <alignment horizontal="left" vertical="top"/>
    </xf>
    <xf numFmtId="0" fontId="0" fillId="0" borderId="0" xfId="0" applyAlignment="1" applyProtection="1">
      <alignment vertical="top"/>
    </xf>
    <xf numFmtId="0" fontId="33" fillId="24" borderId="0" xfId="0" applyFont="1" applyFill="1" applyBorder="1" applyAlignment="1" applyProtection="1">
      <alignment vertical="top"/>
    </xf>
    <xf numFmtId="0" fontId="33" fillId="24" borderId="0" xfId="0" applyFont="1" applyFill="1" applyBorder="1" applyAlignment="1" applyProtection="1"/>
    <xf numFmtId="0" fontId="33" fillId="24" borderId="0" xfId="0" applyFont="1" applyFill="1" applyProtection="1"/>
    <xf numFmtId="0" fontId="33" fillId="24" borderId="0" xfId="0" applyFont="1" applyFill="1" applyAlignment="1" applyProtection="1">
      <alignment vertical="top"/>
    </xf>
    <xf numFmtId="4" fontId="22" fillId="6" borderId="10" xfId="29" applyNumberFormat="1" applyFont="1" applyFill="1" applyBorder="1" applyAlignment="1" applyProtection="1">
      <alignment horizontal="center" vertical="center" wrapText="1"/>
    </xf>
    <xf numFmtId="3" fontId="22" fillId="20" borderId="10" xfId="29" applyNumberFormat="1" applyFont="1" applyFill="1" applyBorder="1" applyAlignment="1" applyProtection="1">
      <alignment vertical="center" wrapText="1"/>
    </xf>
    <xf numFmtId="3" fontId="22" fillId="22" borderId="10" xfId="29" applyNumberFormat="1" applyFont="1" applyFill="1" applyBorder="1" applyAlignment="1" applyProtection="1">
      <alignment vertical="center" wrapText="1"/>
    </xf>
    <xf numFmtId="3" fontId="21" fillId="0" borderId="10" xfId="29" applyNumberFormat="1" applyFont="1" applyFill="1" applyBorder="1" applyAlignment="1" applyProtection="1">
      <alignment vertical="center" wrapText="1"/>
    </xf>
    <xf numFmtId="3" fontId="22" fillId="22" borderId="15" xfId="29" applyNumberFormat="1" applyFont="1" applyFill="1" applyBorder="1" applyAlignment="1" applyProtection="1">
      <alignment vertical="center" wrapText="1"/>
    </xf>
    <xf numFmtId="3" fontId="21" fillId="0" borderId="11" xfId="29" applyNumberFormat="1" applyFont="1" applyFill="1" applyBorder="1" applyAlignment="1" applyProtection="1">
      <alignment vertical="center" wrapText="1"/>
    </xf>
    <xf numFmtId="3" fontId="22" fillId="22" borderId="16" xfId="29" applyNumberFormat="1" applyFont="1" applyFill="1" applyBorder="1" applyAlignment="1" applyProtection="1">
      <alignment vertical="center" wrapText="1"/>
    </xf>
    <xf numFmtId="3" fontId="21" fillId="0" borderId="10" xfId="29" applyNumberFormat="1" applyFont="1" applyFill="1" applyBorder="1" applyAlignment="1" applyProtection="1"/>
    <xf numFmtId="3" fontId="22" fillId="22" borderId="10" xfId="29" applyNumberFormat="1" applyFont="1" applyFill="1" applyBorder="1" applyAlignment="1" applyProtection="1"/>
    <xf numFmtId="3" fontId="21" fillId="0" borderId="0" xfId="29" applyNumberFormat="1" applyFont="1" applyFill="1" applyBorder="1" applyAlignment="1" applyProtection="1"/>
    <xf numFmtId="0" fontId="43" fillId="0" borderId="0" xfId="0" applyFont="1"/>
    <xf numFmtId="49" fontId="45" fillId="0" borderId="11" xfId="1" applyNumberFormat="1" applyFont="1" applyFill="1" applyBorder="1" applyAlignment="1">
      <alignment horizontal="center" vertical="center" wrapText="1"/>
    </xf>
    <xf numFmtId="0" fontId="47" fillId="0" borderId="18" xfId="0" applyFont="1" applyFill="1" applyBorder="1" applyAlignment="1" applyProtection="1">
      <alignment horizontal="center" vertical="top"/>
    </xf>
    <xf numFmtId="0" fontId="47" fillId="0" borderId="18" xfId="0" applyFont="1" applyFill="1" applyBorder="1" applyAlignment="1" applyProtection="1">
      <alignment horizontal="center"/>
    </xf>
    <xf numFmtId="0" fontId="48" fillId="0" borderId="18" xfId="0" applyFont="1" applyBorder="1" applyAlignment="1">
      <alignment horizontal="center" vertical="center"/>
    </xf>
    <xf numFmtId="49" fontId="40" fillId="0" borderId="23" xfId="0" applyNumberFormat="1" applyFont="1" applyFill="1" applyBorder="1" applyAlignment="1">
      <alignment horizontal="center" vertical="center"/>
    </xf>
    <xf numFmtId="49" fontId="42" fillId="20" borderId="23" xfId="0" applyNumberFormat="1" applyFont="1" applyFill="1" applyBorder="1" applyAlignment="1">
      <alignment horizontal="left" vertical="center"/>
    </xf>
    <xf numFmtId="0" fontId="49" fillId="20" borderId="23" xfId="0" applyFont="1" applyFill="1" applyBorder="1"/>
    <xf numFmtId="0" fontId="40" fillId="0" borderId="23" xfId="0" applyFont="1" applyFill="1" applyBorder="1" applyAlignment="1">
      <alignment horizontal="left" vertical="center" wrapText="1"/>
    </xf>
    <xf numFmtId="49" fontId="42" fillId="20" borderId="23" xfId="0" applyNumberFormat="1" applyFont="1" applyFill="1" applyBorder="1" applyAlignment="1">
      <alignment horizontal="left"/>
    </xf>
    <xf numFmtId="0" fontId="42" fillId="20" borderId="23" xfId="0" applyFont="1" applyFill="1" applyBorder="1" applyAlignment="1">
      <alignment horizontal="left" wrapText="1"/>
    </xf>
    <xf numFmtId="49" fontId="40" fillId="0" borderId="23" xfId="0" applyNumberFormat="1" applyFont="1" applyFill="1" applyBorder="1" applyAlignment="1">
      <alignment horizontal="center"/>
    </xf>
    <xf numFmtId="0" fontId="40" fillId="0" borderId="23" xfId="0" applyFont="1" applyFill="1" applyBorder="1" applyAlignment="1">
      <alignment horizontal="left" wrapText="1"/>
    </xf>
    <xf numFmtId="49" fontId="40" fillId="0" borderId="23" xfId="0" applyNumberFormat="1" applyFont="1" applyFill="1" applyBorder="1" applyAlignment="1">
      <alignment horizontal="right"/>
    </xf>
    <xf numFmtId="0" fontId="49" fillId="20" borderId="23" xfId="0" applyFont="1" applyFill="1" applyBorder="1" applyAlignment="1">
      <alignment wrapText="1"/>
    </xf>
    <xf numFmtId="0" fontId="50" fillId="0" borderId="23" xfId="0" applyFont="1" applyFill="1" applyBorder="1" applyAlignment="1">
      <alignment wrapText="1"/>
    </xf>
    <xf numFmtId="49" fontId="40" fillId="0" borderId="23" xfId="0" applyNumberFormat="1" applyFont="1" applyFill="1" applyBorder="1" applyAlignment="1">
      <alignment horizontal="right" vertical="center"/>
    </xf>
    <xf numFmtId="49" fontId="42" fillId="29" borderId="23" xfId="0" applyNumberFormat="1" applyFont="1" applyFill="1" applyBorder="1" applyAlignment="1">
      <alignment horizontal="left"/>
    </xf>
    <xf numFmtId="0" fontId="49" fillId="29" borderId="23" xfId="0" applyFont="1" applyFill="1" applyBorder="1" applyAlignment="1">
      <alignment wrapText="1"/>
    </xf>
    <xf numFmtId="0" fontId="42" fillId="26" borderId="23" xfId="0" applyFont="1" applyFill="1" applyBorder="1" applyAlignment="1">
      <alignment horizontal="left"/>
    </xf>
    <xf numFmtId="0" fontId="49" fillId="26" borderId="23" xfId="0" applyFont="1" applyFill="1" applyBorder="1" applyAlignment="1">
      <alignment wrapText="1"/>
    </xf>
    <xf numFmtId="49" fontId="42" fillId="20" borderId="23" xfId="0" applyNumberFormat="1" applyFont="1" applyFill="1" applyBorder="1" applyAlignment="1">
      <alignment horizontal="left" vertical="center" wrapText="1"/>
    </xf>
    <xf numFmtId="49" fontId="40" fillId="0" borderId="23" xfId="0" applyNumberFormat="1" applyFont="1" applyFill="1" applyBorder="1" applyAlignment="1">
      <alignment horizontal="center" vertical="center" wrapText="1"/>
    </xf>
    <xf numFmtId="49" fontId="40" fillId="0" borderId="0" xfId="0" applyNumberFormat="1" applyFont="1" applyBorder="1" applyAlignment="1">
      <alignment horizontal="center" vertical="center" wrapText="1"/>
    </xf>
    <xf numFmtId="0" fontId="40" fillId="0" borderId="0" xfId="0" applyFont="1" applyBorder="1" applyAlignment="1">
      <alignment horizontal="left" vertical="center" wrapText="1"/>
    </xf>
    <xf numFmtId="170" fontId="40" fillId="0" borderId="0" xfId="29" applyNumberFormat="1" applyFont="1" applyFill="1" applyBorder="1" applyAlignment="1" applyProtection="1">
      <alignment horizontal="right" vertical="center" wrapText="1"/>
    </xf>
    <xf numFmtId="0" fontId="40" fillId="0" borderId="0" xfId="0" applyFont="1"/>
    <xf numFmtId="168" fontId="40" fillId="0" borderId="0" xfId="0" applyNumberFormat="1" applyFont="1" applyFill="1"/>
    <xf numFmtId="0" fontId="51" fillId="0" borderId="11" xfId="0" applyFont="1" applyBorder="1" applyAlignment="1">
      <alignment horizontal="center"/>
    </xf>
    <xf numFmtId="0" fontId="51" fillId="0" borderId="11" xfId="0" applyNumberFormat="1" applyFont="1" applyBorder="1" applyAlignment="1">
      <alignment horizontal="center" wrapText="1"/>
    </xf>
    <xf numFmtId="0" fontId="52" fillId="0" borderId="11" xfId="0" applyFont="1" applyBorder="1" applyAlignment="1">
      <alignment horizontal="center"/>
    </xf>
    <xf numFmtId="0" fontId="52" fillId="0" borderId="11" xfId="0" applyNumberFormat="1" applyFont="1" applyBorder="1" applyAlignment="1">
      <alignment horizontal="center" wrapText="1"/>
    </xf>
    <xf numFmtId="0" fontId="52" fillId="0" borderId="11" xfId="0" applyFont="1" applyBorder="1"/>
    <xf numFmtId="165" fontId="43" fillId="0" borderId="0" xfId="0" applyNumberFormat="1" applyFont="1" applyAlignment="1">
      <alignment wrapText="1"/>
    </xf>
    <xf numFmtId="49" fontId="38" fillId="25" borderId="18" xfId="0" applyNumberFormat="1" applyFont="1" applyFill="1" applyBorder="1" applyAlignment="1">
      <alignment horizontal="center" wrapText="1"/>
    </xf>
    <xf numFmtId="49" fontId="38" fillId="25" borderId="18" xfId="0" applyNumberFormat="1" applyFont="1" applyFill="1" applyBorder="1" applyAlignment="1">
      <alignment horizontal="left" vertical="center" wrapText="1"/>
    </xf>
    <xf numFmtId="49" fontId="38" fillId="26" borderId="18" xfId="0" applyNumberFormat="1" applyFont="1" applyFill="1" applyBorder="1" applyAlignment="1">
      <alignment horizontal="left" wrapText="1"/>
    </xf>
    <xf numFmtId="49" fontId="38" fillId="26" borderId="18" xfId="0" applyNumberFormat="1" applyFont="1" applyFill="1" applyBorder="1" applyAlignment="1">
      <alignment horizontal="center" wrapText="1"/>
    </xf>
    <xf numFmtId="49" fontId="38" fillId="26" borderId="18" xfId="0" applyNumberFormat="1" applyFont="1" applyFill="1" applyBorder="1" applyAlignment="1">
      <alignment horizontal="left" vertical="center" wrapText="1"/>
    </xf>
    <xf numFmtId="0" fontId="38" fillId="27" borderId="18" xfId="0" applyFont="1" applyFill="1" applyBorder="1" applyAlignment="1">
      <alignment horizontal="center" vertical="center" wrapText="1"/>
    </xf>
    <xf numFmtId="0" fontId="38" fillId="27" borderId="18" xfId="0" applyFont="1" applyFill="1" applyBorder="1" applyAlignment="1">
      <alignment horizontal="left" vertical="center" wrapText="1"/>
    </xf>
    <xf numFmtId="0" fontId="38" fillId="22" borderId="18" xfId="0" applyFont="1" applyFill="1" applyBorder="1" applyAlignment="1">
      <alignment horizontal="right" vertical="center" wrapText="1"/>
    </xf>
    <xf numFmtId="0" fontId="53" fillId="22" borderId="18" xfId="0" applyFont="1" applyFill="1" applyBorder="1" applyAlignment="1">
      <alignment horizontal="center" vertical="center" wrapText="1"/>
    </xf>
    <xf numFmtId="0" fontId="38" fillId="22" borderId="18" xfId="0" applyFont="1" applyFill="1" applyBorder="1" applyAlignment="1">
      <alignment vertical="center" wrapText="1"/>
    </xf>
    <xf numFmtId="0" fontId="53" fillId="0" borderId="18" xfId="0" applyFont="1" applyFill="1" applyBorder="1" applyAlignment="1">
      <alignment horizontal="center" vertical="center" wrapText="1"/>
    </xf>
    <xf numFmtId="0" fontId="53" fillId="0" borderId="18" xfId="0" applyFont="1" applyBorder="1" applyAlignment="1">
      <alignment vertical="center" wrapText="1"/>
    </xf>
    <xf numFmtId="0" fontId="38" fillId="0" borderId="18" xfId="0" applyFont="1" applyFill="1" applyBorder="1" applyAlignment="1">
      <alignment horizontal="center" vertical="center" wrapText="1"/>
    </xf>
    <xf numFmtId="0" fontId="38" fillId="22" borderId="18" xfId="0" applyFont="1" applyFill="1" applyBorder="1" applyAlignment="1">
      <alignment horizontal="center" vertical="center" wrapText="1"/>
    </xf>
    <xf numFmtId="0" fontId="53" fillId="0" borderId="18" xfId="0" applyFont="1" applyFill="1" applyBorder="1" applyAlignment="1">
      <alignment vertical="center" wrapText="1"/>
    </xf>
    <xf numFmtId="49" fontId="53" fillId="0" borderId="18" xfId="0" applyNumberFormat="1" applyFont="1" applyFill="1" applyBorder="1" applyAlignment="1">
      <alignment horizontal="center" vertical="center" wrapText="1"/>
    </xf>
    <xf numFmtId="49" fontId="38" fillId="22" borderId="18" xfId="0" applyNumberFormat="1" applyFont="1" applyFill="1" applyBorder="1" applyAlignment="1">
      <alignment horizontal="right" vertical="center" wrapText="1"/>
    </xf>
    <xf numFmtId="49" fontId="53" fillId="22" borderId="18" xfId="0" applyNumberFormat="1" applyFont="1" applyFill="1" applyBorder="1" applyAlignment="1">
      <alignment horizontal="center" vertical="center" wrapText="1"/>
    </xf>
    <xf numFmtId="49" fontId="38" fillId="22" borderId="18" xfId="0" applyNumberFormat="1" applyFont="1" applyFill="1" applyBorder="1" applyAlignment="1">
      <alignment vertical="center" wrapText="1"/>
    </xf>
    <xf numFmtId="49" fontId="38" fillId="27" borderId="18" xfId="0" applyNumberFormat="1" applyFont="1" applyFill="1" applyBorder="1" applyAlignment="1">
      <alignment horizontal="center" vertical="center" wrapText="1"/>
    </xf>
    <xf numFmtId="49" fontId="53" fillId="27" borderId="18" xfId="0" applyNumberFormat="1" applyFont="1" applyFill="1" applyBorder="1" applyAlignment="1">
      <alignment horizontal="center" vertical="center" wrapText="1"/>
    </xf>
    <xf numFmtId="49" fontId="38" fillId="27" borderId="18" xfId="0" applyNumberFormat="1" applyFont="1" applyFill="1" applyBorder="1" applyAlignment="1">
      <alignment vertical="center" wrapText="1"/>
    </xf>
    <xf numFmtId="49" fontId="53" fillId="0" borderId="18" xfId="0" applyNumberFormat="1" applyFont="1" applyFill="1" applyBorder="1" applyAlignment="1">
      <alignment vertical="center" wrapText="1"/>
    </xf>
    <xf numFmtId="49" fontId="38" fillId="0" borderId="18" xfId="0" applyNumberFormat="1" applyFont="1" applyFill="1" applyBorder="1" applyAlignment="1">
      <alignment horizontal="center" vertical="center" wrapText="1"/>
    </xf>
    <xf numFmtId="0" fontId="53" fillId="0" borderId="18" xfId="0" applyFont="1" applyBorder="1" applyAlignment="1">
      <alignment horizontal="center"/>
    </xf>
    <xf numFmtId="0" fontId="53" fillId="0" borderId="18" xfId="0" applyFont="1" applyBorder="1"/>
    <xf numFmtId="49" fontId="38" fillId="28" borderId="18" xfId="0" applyNumberFormat="1" applyFont="1" applyFill="1" applyBorder="1" applyAlignment="1">
      <alignment horizontal="center" vertical="center" wrapText="1"/>
    </xf>
    <xf numFmtId="49" fontId="53" fillId="28" borderId="18" xfId="0" applyNumberFormat="1" applyFont="1" applyFill="1" applyBorder="1" applyAlignment="1">
      <alignment horizontal="center" vertical="center" wrapText="1"/>
    </xf>
    <xf numFmtId="49" fontId="38" fillId="28" borderId="18" xfId="0" applyNumberFormat="1" applyFont="1" applyFill="1" applyBorder="1" applyAlignment="1">
      <alignment vertical="center" wrapText="1"/>
    </xf>
    <xf numFmtId="49" fontId="38" fillId="20" borderId="18" xfId="0" applyNumberFormat="1" applyFont="1" applyFill="1" applyBorder="1" applyAlignment="1">
      <alignment horizontal="left" vertical="center" wrapText="1"/>
    </xf>
    <xf numFmtId="49" fontId="53" fillId="20" borderId="18" xfId="0" applyNumberFormat="1" applyFont="1" applyFill="1" applyBorder="1" applyAlignment="1">
      <alignment horizontal="center" vertical="center" wrapText="1"/>
    </xf>
    <xf numFmtId="49" fontId="38" fillId="20" borderId="18" xfId="0" applyNumberFormat="1" applyFont="1" applyFill="1" applyBorder="1" applyAlignment="1">
      <alignment vertical="center" wrapText="1"/>
    </xf>
    <xf numFmtId="0" fontId="38" fillId="28" borderId="18" xfId="0" applyFont="1" applyFill="1" applyBorder="1" applyAlignment="1">
      <alignment horizontal="center" vertical="center" wrapText="1"/>
    </xf>
    <xf numFmtId="0" fontId="38" fillId="28" borderId="18" xfId="0" applyFont="1" applyFill="1" applyBorder="1"/>
    <xf numFmtId="0" fontId="38" fillId="28" borderId="18" xfId="0" applyFont="1" applyFill="1" applyBorder="1" applyAlignment="1">
      <alignment horizontal="center" vertical="top" wrapText="1"/>
    </xf>
    <xf numFmtId="0" fontId="38" fillId="28" borderId="18" xfId="0" applyFont="1" applyFill="1" applyBorder="1" applyAlignment="1">
      <alignment wrapText="1"/>
    </xf>
    <xf numFmtId="0" fontId="53" fillId="20" borderId="18" xfId="0" applyFont="1" applyFill="1" applyBorder="1"/>
    <xf numFmtId="0" fontId="38" fillId="20" borderId="18" xfId="0" applyFont="1" applyFill="1" applyBorder="1"/>
    <xf numFmtId="49" fontId="38" fillId="25" borderId="18" xfId="0" applyNumberFormat="1" applyFont="1" applyFill="1" applyBorder="1" applyAlignment="1">
      <alignment horizontal="center" vertical="center" wrapText="1"/>
    </xf>
    <xf numFmtId="49" fontId="38" fillId="25" borderId="18" xfId="0" applyNumberFormat="1" applyFont="1" applyFill="1" applyBorder="1" applyAlignment="1">
      <alignment vertical="center" wrapText="1"/>
    </xf>
    <xf numFmtId="0" fontId="41" fillId="0" borderId="0" xfId="0" applyFont="1" applyAlignment="1">
      <alignment horizontal="center"/>
    </xf>
    <xf numFmtId="0" fontId="41" fillId="0" borderId="0" xfId="0" applyFont="1" applyAlignment="1">
      <alignment vertical="center" wrapText="1"/>
    </xf>
    <xf numFmtId="165" fontId="41" fillId="30" borderId="0" xfId="0" applyNumberFormat="1" applyFont="1" applyFill="1" applyAlignment="1">
      <alignment horizontal="right"/>
    </xf>
    <xf numFmtId="0" fontId="53" fillId="32" borderId="18" xfId="0" applyFont="1" applyFill="1" applyBorder="1" applyAlignment="1">
      <alignment horizontal="center"/>
    </xf>
    <xf numFmtId="0" fontId="38" fillId="32" borderId="18" xfId="0" applyFont="1" applyFill="1" applyBorder="1" applyAlignment="1">
      <alignment horizontal="center" vertical="center" wrapText="1"/>
    </xf>
    <xf numFmtId="0" fontId="38" fillId="32" borderId="18" xfId="0" applyFont="1" applyFill="1" applyBorder="1" applyAlignment="1">
      <alignment vertical="center" wrapText="1"/>
    </xf>
    <xf numFmtId="0" fontId="23" fillId="0" borderId="26" xfId="1" applyFont="1" applyFill="1" applyBorder="1" applyAlignment="1">
      <alignment horizontal="center" vertical="center" wrapText="1"/>
    </xf>
    <xf numFmtId="0" fontId="40" fillId="0" borderId="27" xfId="0" applyFont="1" applyFill="1" applyBorder="1" applyAlignment="1">
      <alignment horizontal="center" vertical="center" wrapText="1"/>
    </xf>
    <xf numFmtId="0" fontId="43" fillId="0" borderId="11" xfId="0" applyFont="1" applyBorder="1"/>
    <xf numFmtId="0" fontId="43" fillId="0" borderId="0" xfId="0" applyFont="1" applyBorder="1" applyAlignment="1">
      <alignment horizontal="center" vertical="center"/>
    </xf>
    <xf numFmtId="3" fontId="35" fillId="0" borderId="0" xfId="49" applyNumberFormat="1" applyFont="1" applyFill="1" applyBorder="1" applyAlignment="1">
      <alignment horizontal="center" vertical="center"/>
    </xf>
    <xf numFmtId="3" fontId="35" fillId="26" borderId="0" xfId="49" applyNumberFormat="1" applyFont="1" applyFill="1" applyBorder="1" applyAlignment="1">
      <alignment horizontal="center" vertical="center"/>
    </xf>
    <xf numFmtId="0" fontId="46" fillId="0" borderId="0" xfId="0" applyFont="1" applyFill="1" applyBorder="1" applyAlignment="1" applyProtection="1">
      <alignment vertical="top"/>
    </xf>
    <xf numFmtId="0" fontId="47" fillId="0" borderId="0" xfId="0" applyFont="1" applyFill="1" applyBorder="1" applyAlignment="1" applyProtection="1"/>
    <xf numFmtId="0" fontId="48" fillId="0" borderId="0" xfId="0" applyFont="1" applyFill="1" applyBorder="1"/>
    <xf numFmtId="0" fontId="47" fillId="0" borderId="0" xfId="0" applyFont="1" applyFill="1" applyBorder="1" applyAlignment="1" applyProtection="1">
      <alignment horizontal="left" vertical="top"/>
    </xf>
    <xf numFmtId="0" fontId="48" fillId="0" borderId="0" xfId="0" applyFont="1" applyBorder="1"/>
    <xf numFmtId="49" fontId="36" fillId="29" borderId="0" xfId="49" applyNumberFormat="1" applyFont="1" applyFill="1" applyBorder="1" applyAlignment="1">
      <alignment horizontal="center" vertical="center"/>
    </xf>
    <xf numFmtId="0" fontId="43" fillId="0" borderId="0" xfId="0" applyFont="1" applyBorder="1"/>
    <xf numFmtId="0" fontId="44" fillId="0" borderId="0" xfId="0" applyFont="1" applyBorder="1" applyAlignment="1">
      <alignment vertical="center" wrapText="1"/>
    </xf>
    <xf numFmtId="0" fontId="48" fillId="0" borderId="0" xfId="0" applyFont="1" applyBorder="1" applyAlignment="1">
      <alignment vertical="center"/>
    </xf>
    <xf numFmtId="0" fontId="46" fillId="0" borderId="0" xfId="0" applyFont="1" applyFill="1" applyBorder="1" applyAlignment="1" applyProtection="1">
      <alignment vertical="center"/>
    </xf>
    <xf numFmtId="0" fontId="48" fillId="0" borderId="0" xfId="0" applyFont="1" applyFill="1" applyBorder="1" applyAlignment="1">
      <alignment vertical="center"/>
    </xf>
    <xf numFmtId="0" fontId="47" fillId="0" borderId="0" xfId="0" applyFont="1" applyFill="1" applyBorder="1" applyAlignment="1" applyProtection="1">
      <alignment vertical="center"/>
    </xf>
    <xf numFmtId="0" fontId="48" fillId="0" borderId="0" xfId="0" applyFont="1" applyBorder="1" applyAlignment="1">
      <alignment horizontal="left" vertical="center"/>
    </xf>
    <xf numFmtId="0" fontId="44" fillId="0" borderId="0" xfId="0" applyFont="1" applyBorder="1" applyAlignment="1">
      <alignment horizontal="left" vertical="center"/>
    </xf>
    <xf numFmtId="3" fontId="54" fillId="0" borderId="0" xfId="49" applyNumberFormat="1" applyFont="1" applyFill="1" applyBorder="1" applyAlignment="1">
      <alignment horizontal="center" vertical="center"/>
    </xf>
    <xf numFmtId="49" fontId="36" fillId="26" borderId="0" xfId="49" applyNumberFormat="1" applyFont="1" applyFill="1" applyBorder="1" applyAlignment="1">
      <alignment horizontal="center" vertical="center"/>
    </xf>
    <xf numFmtId="49" fontId="36" fillId="33" borderId="0" xfId="49" applyNumberFormat="1" applyFont="1" applyFill="1" applyBorder="1" applyAlignment="1">
      <alignment horizontal="center" vertical="center"/>
    </xf>
    <xf numFmtId="49" fontId="36" fillId="26" borderId="0" xfId="0" applyNumberFormat="1" applyFont="1" applyFill="1" applyBorder="1" applyAlignment="1">
      <alignment horizontal="center" wrapText="1"/>
    </xf>
    <xf numFmtId="49" fontId="36" fillId="26" borderId="0" xfId="0" applyNumberFormat="1"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0" fontId="47" fillId="0" borderId="0" xfId="0" applyFont="1" applyFill="1" applyBorder="1" applyAlignment="1" applyProtection="1">
      <alignment vertical="top"/>
    </xf>
    <xf numFmtId="0" fontId="43" fillId="0" borderId="0" xfId="0" applyFont="1" applyFill="1" applyBorder="1"/>
    <xf numFmtId="0" fontId="46" fillId="31" borderId="11" xfId="0" applyFont="1" applyFill="1" applyBorder="1" applyAlignment="1" applyProtection="1">
      <alignment vertical="top"/>
    </xf>
    <xf numFmtId="0" fontId="47" fillId="0" borderId="20" xfId="0" applyFont="1" applyFill="1" applyBorder="1" applyAlignment="1" applyProtection="1">
      <alignment horizontal="center" vertical="top"/>
    </xf>
    <xf numFmtId="0" fontId="47" fillId="0" borderId="20" xfId="0" applyFont="1" applyFill="1" applyBorder="1" applyAlignment="1" applyProtection="1">
      <alignment horizontal="center"/>
    </xf>
    <xf numFmtId="0" fontId="48" fillId="0" borderId="20" xfId="0" applyFont="1" applyBorder="1" applyAlignment="1">
      <alignment horizontal="center" vertical="center"/>
    </xf>
    <xf numFmtId="0" fontId="53" fillId="35" borderId="18" xfId="0" applyFont="1" applyFill="1" applyBorder="1" applyAlignment="1">
      <alignment horizontal="center" vertical="center" wrapText="1"/>
    </xf>
    <xf numFmtId="49" fontId="53" fillId="35" borderId="18" xfId="0" applyNumberFormat="1" applyFont="1" applyFill="1" applyBorder="1" applyAlignment="1">
      <alignment horizontal="center" vertical="center" wrapText="1"/>
    </xf>
    <xf numFmtId="0" fontId="53" fillId="36" borderId="18" xfId="0" applyFont="1" applyFill="1" applyBorder="1" applyAlignment="1">
      <alignment horizontal="center" vertical="center" wrapText="1"/>
    </xf>
    <xf numFmtId="49" fontId="53" fillId="36" borderId="18" xfId="0" applyNumberFormat="1" applyFont="1" applyFill="1" applyBorder="1" applyAlignment="1">
      <alignment horizontal="center" vertical="center" wrapText="1"/>
    </xf>
    <xf numFmtId="165" fontId="43" fillId="0" borderId="0" xfId="0" applyNumberFormat="1" applyFont="1"/>
    <xf numFmtId="0" fontId="21" fillId="0" borderId="11" xfId="46" applyNumberFormat="1" applyFont="1" applyBorder="1" applyAlignment="1" applyProtection="1">
      <alignment horizontal="center" vertical="center" wrapText="1"/>
    </xf>
    <xf numFmtId="3" fontId="21" fillId="0" borderId="11" xfId="46" applyNumberFormat="1" applyFont="1" applyFill="1" applyBorder="1" applyAlignment="1" applyProtection="1">
      <alignment horizontal="left" vertical="center"/>
    </xf>
    <xf numFmtId="49" fontId="1" fillId="31" borderId="10" xfId="1" applyNumberFormat="1" applyFont="1" applyFill="1" applyBorder="1" applyAlignment="1">
      <alignment horizontal="center" vertical="center"/>
    </xf>
    <xf numFmtId="49" fontId="40" fillId="0" borderId="27" xfId="0" applyNumberFormat="1" applyFont="1" applyFill="1" applyBorder="1" applyAlignment="1">
      <alignment horizontal="center" vertical="center"/>
    </xf>
    <xf numFmtId="0" fontId="40" fillId="0" borderId="27" xfId="0" applyFont="1" applyFill="1" applyBorder="1" applyAlignment="1">
      <alignment horizontal="center" vertical="center"/>
    </xf>
    <xf numFmtId="49" fontId="42" fillId="0" borderId="0" xfId="0" applyNumberFormat="1" applyFont="1" applyBorder="1" applyAlignment="1">
      <alignment vertical="center" wrapText="1"/>
    </xf>
    <xf numFmtId="0" fontId="46" fillId="31" borderId="11" xfId="0" applyFont="1" applyFill="1" applyBorder="1" applyAlignment="1" applyProtection="1">
      <alignment horizontal="left" vertical="top"/>
    </xf>
    <xf numFmtId="0" fontId="47" fillId="0" borderId="20" xfId="0" applyFont="1" applyFill="1" applyBorder="1" applyAlignment="1" applyProtection="1">
      <alignment horizontal="left"/>
    </xf>
    <xf numFmtId="0" fontId="47" fillId="0" borderId="18" xfId="0" applyFont="1" applyFill="1" applyBorder="1" applyAlignment="1" applyProtection="1">
      <alignment horizontal="left"/>
    </xf>
    <xf numFmtId="0" fontId="48" fillId="0" borderId="20" xfId="0" applyFont="1" applyBorder="1" applyAlignment="1">
      <alignment horizontal="left"/>
    </xf>
    <xf numFmtId="0" fontId="48" fillId="0" borderId="18" xfId="0" applyFont="1" applyBorder="1" applyAlignment="1">
      <alignment horizontal="left"/>
    </xf>
    <xf numFmtId="0" fontId="48" fillId="0" borderId="39" xfId="0" applyFont="1" applyBorder="1" applyAlignment="1">
      <alignment horizontal="left"/>
    </xf>
    <xf numFmtId="0" fontId="47" fillId="0" borderId="20" xfId="0" applyFont="1" applyFill="1" applyBorder="1" applyAlignment="1" applyProtection="1">
      <alignment horizontal="left" vertical="top"/>
    </xf>
    <xf numFmtId="0" fontId="47" fillId="0" borderId="18" xfId="0" applyFont="1" applyFill="1" applyBorder="1" applyAlignment="1" applyProtection="1">
      <alignment horizontal="left" vertical="top"/>
    </xf>
    <xf numFmtId="0" fontId="47" fillId="0" borderId="20" xfId="0" applyFont="1" applyBorder="1" applyAlignment="1" applyProtection="1">
      <alignment horizontal="left" vertical="top"/>
    </xf>
    <xf numFmtId="0" fontId="47" fillId="0" borderId="18" xfId="0" applyFont="1" applyBorder="1" applyAlignment="1" applyProtection="1">
      <alignment horizontal="left" vertical="top"/>
    </xf>
    <xf numFmtId="0" fontId="51" fillId="0" borderId="11" xfId="0" applyFont="1" applyBorder="1" applyAlignment="1">
      <alignment horizontal="center"/>
    </xf>
    <xf numFmtId="49" fontId="52" fillId="0" borderId="11" xfId="0" applyNumberFormat="1" applyFont="1" applyBorder="1" applyAlignment="1">
      <alignment horizontal="center"/>
    </xf>
    <xf numFmtId="49" fontId="51" fillId="0" borderId="11" xfId="0" applyNumberFormat="1" applyFont="1" applyBorder="1"/>
    <xf numFmtId="49" fontId="52" fillId="0" borderId="11" xfId="0" applyNumberFormat="1" applyFont="1" applyBorder="1" applyAlignment="1">
      <alignment vertical="top"/>
    </xf>
    <xf numFmtId="49" fontId="43" fillId="0" borderId="0" xfId="0" applyNumberFormat="1" applyFont="1"/>
    <xf numFmtId="49" fontId="52" fillId="0" borderId="11" xfId="0" applyNumberFormat="1" applyFont="1" applyBorder="1"/>
    <xf numFmtId="49" fontId="43" fillId="0" borderId="11" xfId="0" applyNumberFormat="1" applyFont="1" applyBorder="1"/>
    <xf numFmtId="3" fontId="35" fillId="29" borderId="0" xfId="49" applyNumberFormat="1" applyFont="1" applyFill="1" applyBorder="1" applyAlignment="1">
      <alignment horizontal="center" vertical="center"/>
    </xf>
    <xf numFmtId="0" fontId="48" fillId="0" borderId="0" xfId="0" applyFont="1"/>
    <xf numFmtId="0" fontId="48" fillId="0" borderId="11" xfId="0" applyFont="1" applyBorder="1" applyAlignment="1">
      <alignment horizontal="center"/>
    </xf>
    <xf numFmtId="49" fontId="57" fillId="31" borderId="11" xfId="0" applyNumberFormat="1" applyFont="1" applyFill="1" applyBorder="1" applyAlignment="1" applyProtection="1">
      <alignment horizontal="center" vertical="top"/>
    </xf>
    <xf numFmtId="49" fontId="57" fillId="31" borderId="11" xfId="0" applyNumberFormat="1" applyFont="1" applyFill="1" applyBorder="1" applyAlignment="1" applyProtection="1">
      <alignment horizontal="left" vertical="top"/>
    </xf>
    <xf numFmtId="0" fontId="57" fillId="31" borderId="11" xfId="0" applyFont="1" applyFill="1" applyBorder="1"/>
    <xf numFmtId="0" fontId="48" fillId="0" borderId="20" xfId="0" applyFont="1" applyBorder="1" applyAlignment="1">
      <alignment horizontal="center"/>
    </xf>
    <xf numFmtId="0" fontId="48" fillId="0" borderId="20" xfId="0" applyFont="1" applyBorder="1"/>
    <xf numFmtId="0" fontId="48" fillId="0" borderId="18" xfId="0" applyFont="1" applyBorder="1" applyAlignment="1">
      <alignment horizontal="center"/>
    </xf>
    <xf numFmtId="0" fontId="48" fillId="0" borderId="18" xfId="0" applyFont="1" applyBorder="1"/>
    <xf numFmtId="0" fontId="48" fillId="0" borderId="39" xfId="0" applyFont="1" applyBorder="1" applyAlignment="1">
      <alignment horizontal="center"/>
    </xf>
    <xf numFmtId="0" fontId="57" fillId="0" borderId="0" xfId="0" applyFont="1"/>
    <xf numFmtId="49" fontId="48" fillId="0" borderId="20" xfId="0" applyNumberFormat="1" applyFont="1" applyBorder="1" applyAlignment="1" applyProtection="1">
      <alignment horizontal="center" vertical="center"/>
    </xf>
    <xf numFmtId="49" fontId="48" fillId="0" borderId="18" xfId="0" applyNumberFormat="1" applyFont="1" applyBorder="1" applyAlignment="1" applyProtection="1">
      <alignment horizontal="center" vertical="top"/>
    </xf>
    <xf numFmtId="49" fontId="48" fillId="0" borderId="39" xfId="0" applyNumberFormat="1" applyFont="1" applyBorder="1" applyAlignment="1" applyProtection="1">
      <alignment horizontal="center" vertical="top"/>
    </xf>
    <xf numFmtId="49" fontId="48" fillId="0" borderId="20" xfId="0" applyNumberFormat="1" applyFont="1" applyBorder="1" applyAlignment="1" applyProtection="1">
      <alignment horizontal="center" vertical="top"/>
    </xf>
    <xf numFmtId="49" fontId="48" fillId="0" borderId="18" xfId="0" applyNumberFormat="1" applyFont="1" applyBorder="1" applyAlignment="1" applyProtection="1">
      <alignment horizontal="center" vertical="center"/>
    </xf>
    <xf numFmtId="0" fontId="48" fillId="0" borderId="19" xfId="0" applyFont="1" applyBorder="1"/>
    <xf numFmtId="0" fontId="48" fillId="0" borderId="0" xfId="0" applyFont="1" applyAlignment="1">
      <alignment horizontal="left"/>
    </xf>
    <xf numFmtId="165" fontId="48" fillId="0" borderId="0" xfId="0" applyNumberFormat="1" applyFont="1"/>
    <xf numFmtId="4" fontId="48" fillId="0" borderId="0" xfId="47" applyNumberFormat="1" applyFont="1"/>
    <xf numFmtId="0" fontId="48" fillId="0" borderId="19" xfId="0" applyFont="1" applyBorder="1" applyAlignment="1">
      <alignment horizontal="center"/>
    </xf>
    <xf numFmtId="0" fontId="47" fillId="0" borderId="19" xfId="0" applyFont="1" applyFill="1" applyBorder="1" applyAlignment="1" applyProtection="1">
      <alignment horizontal="left"/>
    </xf>
    <xf numFmtId="49" fontId="2" fillId="0" borderId="44" xfId="1" applyNumberFormat="1" applyFont="1" applyFill="1" applyBorder="1" applyAlignment="1">
      <alignment horizontal="center" vertical="center"/>
    </xf>
    <xf numFmtId="49" fontId="52" fillId="0" borderId="44" xfId="1" applyNumberFormat="1" applyFont="1" applyFill="1" applyBorder="1" applyAlignment="1">
      <alignment horizontal="center" vertical="center"/>
    </xf>
    <xf numFmtId="0" fontId="2" fillId="0" borderId="44" xfId="1" applyNumberFormat="1" applyFont="1" applyFill="1" applyBorder="1" applyAlignment="1">
      <alignment horizontal="center" vertical="center"/>
    </xf>
    <xf numFmtId="165" fontId="48" fillId="0" borderId="0" xfId="47" applyNumberFormat="1" applyFont="1" applyAlignment="1">
      <alignment horizontal="right"/>
    </xf>
    <xf numFmtId="165" fontId="48" fillId="0" borderId="0" xfId="47" applyNumberFormat="1" applyFont="1"/>
    <xf numFmtId="0" fontId="45" fillId="0" borderId="11" xfId="47" applyNumberFormat="1" applyFont="1" applyFill="1" applyBorder="1" applyAlignment="1">
      <alignment horizontal="center" vertical="center" wrapText="1"/>
    </xf>
    <xf numFmtId="0" fontId="45" fillId="0" borderId="11" xfId="1" applyNumberFormat="1" applyFont="1" applyFill="1" applyBorder="1" applyAlignment="1">
      <alignment horizontal="center" vertical="center" wrapText="1"/>
    </xf>
    <xf numFmtId="3" fontId="57" fillId="31" borderId="11" xfId="47" applyNumberFormat="1" applyFont="1" applyFill="1" applyBorder="1" applyAlignment="1">
      <alignment vertical="center"/>
    </xf>
    <xf numFmtId="169" fontId="48" fillId="31" borderId="11" xfId="48" applyNumberFormat="1" applyFont="1" applyFill="1" applyBorder="1" applyAlignment="1">
      <alignment vertical="center"/>
    </xf>
    <xf numFmtId="3" fontId="57" fillId="31" borderId="11" xfId="0" applyNumberFormat="1" applyFont="1" applyFill="1" applyBorder="1" applyAlignment="1">
      <alignment vertical="center"/>
    </xf>
    <xf numFmtId="0" fontId="48" fillId="31" borderId="11" xfId="0" applyFont="1" applyFill="1" applyBorder="1" applyAlignment="1">
      <alignment vertical="center"/>
    </xf>
    <xf numFmtId="3" fontId="48" fillId="0" borderId="20" xfId="47" applyNumberFormat="1" applyFont="1" applyBorder="1" applyAlignment="1">
      <alignment vertical="center"/>
    </xf>
    <xf numFmtId="169" fontId="48" fillId="0" borderId="20" xfId="48" applyNumberFormat="1" applyFont="1" applyBorder="1" applyAlignment="1">
      <alignment vertical="center"/>
    </xf>
    <xf numFmtId="3" fontId="48" fillId="0" borderId="20" xfId="0" applyNumberFormat="1" applyFont="1" applyBorder="1" applyAlignment="1">
      <alignment vertical="center"/>
    </xf>
    <xf numFmtId="0" fontId="48" fillId="0" borderId="20" xfId="0" applyFont="1" applyBorder="1" applyAlignment="1">
      <alignment vertical="center"/>
    </xf>
    <xf numFmtId="3" fontId="48" fillId="0" borderId="18" xfId="47" applyNumberFormat="1" applyFont="1" applyBorder="1" applyAlignment="1">
      <alignment vertical="center"/>
    </xf>
    <xf numFmtId="169" fontId="48" fillId="0" borderId="18" xfId="48" applyNumberFormat="1" applyFont="1" applyBorder="1" applyAlignment="1">
      <alignment vertical="center"/>
    </xf>
    <xf numFmtId="3" fontId="48" fillId="0" borderId="18" xfId="0" applyNumberFormat="1" applyFont="1" applyBorder="1" applyAlignment="1">
      <alignment vertical="center"/>
    </xf>
    <xf numFmtId="0" fontId="48" fillId="0" borderId="25" xfId="0" applyFont="1" applyBorder="1" applyAlignment="1">
      <alignment vertical="center"/>
    </xf>
    <xf numFmtId="3" fontId="47" fillId="0" borderId="18" xfId="47" applyNumberFormat="1" applyFont="1" applyFill="1" applyBorder="1" applyAlignment="1" applyProtection="1">
      <alignment vertical="center"/>
    </xf>
    <xf numFmtId="3" fontId="47" fillId="0" borderId="18" xfId="0" applyNumberFormat="1" applyFont="1" applyFill="1" applyBorder="1" applyAlignment="1" applyProtection="1">
      <alignment vertical="center"/>
    </xf>
    <xf numFmtId="0" fontId="48" fillId="0" borderId="18" xfId="0" applyFont="1" applyBorder="1" applyAlignment="1">
      <alignment vertical="center"/>
    </xf>
    <xf numFmtId="3" fontId="47" fillId="0" borderId="19" xfId="47" applyNumberFormat="1" applyFont="1" applyFill="1" applyBorder="1" applyAlignment="1" applyProtection="1">
      <alignment vertical="center"/>
    </xf>
    <xf numFmtId="169" fontId="48" fillId="0" borderId="19" xfId="48" applyNumberFormat="1" applyFont="1" applyBorder="1" applyAlignment="1">
      <alignment vertical="center"/>
    </xf>
    <xf numFmtId="3" fontId="47" fillId="0" borderId="19" xfId="0" applyNumberFormat="1" applyFont="1" applyFill="1" applyBorder="1" applyAlignment="1" applyProtection="1">
      <alignment vertical="center"/>
    </xf>
    <xf numFmtId="3" fontId="48" fillId="0" borderId="19" xfId="47" applyNumberFormat="1" applyFont="1" applyBorder="1" applyAlignment="1">
      <alignment vertical="center"/>
    </xf>
    <xf numFmtId="0" fontId="48" fillId="0" borderId="19" xfId="0" applyFont="1" applyBorder="1" applyAlignment="1">
      <alignment vertical="center"/>
    </xf>
    <xf numFmtId="0" fontId="48" fillId="0" borderId="39" xfId="0" applyFont="1" applyBorder="1" applyAlignment="1">
      <alignment vertical="center"/>
    </xf>
    <xf numFmtId="0" fontId="57" fillId="31" borderId="11" xfId="0" applyFont="1" applyFill="1" applyBorder="1" applyAlignment="1">
      <alignment vertical="center"/>
    </xf>
    <xf numFmtId="4" fontId="48" fillId="0" borderId="18" xfId="47" applyNumberFormat="1" applyFont="1" applyFill="1" applyBorder="1" applyAlignment="1">
      <alignment vertical="center"/>
    </xf>
    <xf numFmtId="0" fontId="23" fillId="0" borderId="0" xfId="0" applyFont="1" applyFill="1" applyBorder="1" applyAlignment="1">
      <alignment horizontal="left"/>
    </xf>
    <xf numFmtId="0" fontId="43" fillId="30" borderId="0" xfId="0" applyFont="1" applyFill="1" applyBorder="1"/>
    <xf numFmtId="171" fontId="36" fillId="29" borderId="0" xfId="49" applyNumberFormat="1" applyFont="1" applyFill="1" applyBorder="1" applyAlignment="1">
      <alignment horizontal="center" vertical="center"/>
    </xf>
    <xf numFmtId="0" fontId="51" fillId="0" borderId="11" xfId="0" applyFont="1" applyBorder="1" applyAlignment="1">
      <alignment horizontal="center"/>
    </xf>
    <xf numFmtId="0" fontId="1" fillId="31" borderId="45" xfId="1" applyFont="1" applyFill="1" applyBorder="1" applyAlignment="1">
      <alignment horizontal="center" vertical="center" wrapText="1"/>
    </xf>
    <xf numFmtId="0" fontId="44" fillId="0" borderId="11" xfId="0" applyFont="1" applyBorder="1" applyAlignment="1">
      <alignment vertical="center" wrapText="1"/>
    </xf>
    <xf numFmtId="3" fontId="39" fillId="0" borderId="11" xfId="0" applyNumberFormat="1" applyFont="1" applyBorder="1" applyAlignment="1">
      <alignment horizontal="left" vertical="center" wrapText="1"/>
    </xf>
    <xf numFmtId="49" fontId="51" fillId="0" borderId="11" xfId="0" applyNumberFormat="1" applyFont="1" applyBorder="1" applyAlignment="1">
      <alignment wrapText="1"/>
    </xf>
    <xf numFmtId="49" fontId="51" fillId="0" borderId="11" xfId="0" applyNumberFormat="1" applyFont="1" applyBorder="1" applyAlignment="1">
      <alignment vertical="center" wrapText="1"/>
    </xf>
    <xf numFmtId="0" fontId="37" fillId="0" borderId="0" xfId="0" applyFont="1"/>
    <xf numFmtId="49" fontId="37" fillId="6" borderId="0" xfId="0" applyNumberFormat="1" applyFont="1" applyFill="1" applyBorder="1" applyAlignment="1">
      <alignment horizontal="center" vertical="center" wrapText="1"/>
    </xf>
    <xf numFmtId="0" fontId="37" fillId="6" borderId="0" xfId="0" applyFont="1" applyFill="1" applyBorder="1" applyAlignment="1">
      <alignment horizontal="center" vertical="center" wrapText="1" shrinkToFit="1"/>
    </xf>
    <xf numFmtId="49" fontId="23" fillId="0" borderId="0" xfId="0" applyNumberFormat="1" applyFont="1" applyBorder="1" applyAlignment="1">
      <alignment horizontal="center" vertical="center"/>
    </xf>
    <xf numFmtId="0" fontId="23" fillId="0" borderId="0" xfId="0" applyFont="1" applyBorder="1" applyAlignment="1">
      <alignment horizontal="center" vertical="center"/>
    </xf>
    <xf numFmtId="0" fontId="23" fillId="0" borderId="0" xfId="0" applyFont="1" applyBorder="1" applyAlignment="1">
      <alignment horizontal="center" vertical="center" wrapText="1"/>
    </xf>
    <xf numFmtId="49" fontId="37" fillId="34" borderId="0" xfId="0" applyNumberFormat="1" applyFont="1" applyFill="1" applyBorder="1" applyAlignment="1">
      <alignment horizontal="center" vertical="center"/>
    </xf>
    <xf numFmtId="0" fontId="37" fillId="34" borderId="0" xfId="0" applyFont="1" applyFill="1" applyBorder="1" applyAlignment="1">
      <alignment horizontal="left" vertical="center"/>
    </xf>
    <xf numFmtId="49" fontId="37" fillId="20" borderId="0" xfId="0" applyNumberFormat="1" applyFont="1" applyFill="1" applyBorder="1" applyAlignment="1">
      <alignment horizontal="center"/>
    </xf>
    <xf numFmtId="0" fontId="37" fillId="20" borderId="0" xfId="0" applyFont="1" applyFill="1" applyBorder="1" applyAlignment="1">
      <alignment horizontal="left"/>
    </xf>
    <xf numFmtId="49" fontId="23" fillId="0" borderId="0" xfId="0" applyNumberFormat="1" applyFont="1" applyFill="1" applyBorder="1" applyAlignment="1">
      <alignment horizontal="center"/>
    </xf>
    <xf numFmtId="0" fontId="23" fillId="0" borderId="0" xfId="0" applyNumberFormat="1" applyFont="1" applyFill="1" applyBorder="1" applyAlignment="1">
      <alignment horizontal="center"/>
    </xf>
    <xf numFmtId="0" fontId="23" fillId="0" borderId="0" xfId="0" applyFont="1" applyFill="1" applyAlignment="1">
      <alignment horizontal="center" vertical="center"/>
    </xf>
    <xf numFmtId="0" fontId="23" fillId="0" borderId="0" xfId="0" applyFont="1" applyFill="1"/>
    <xf numFmtId="1" fontId="23" fillId="0" borderId="0" xfId="0" applyNumberFormat="1" applyFont="1" applyFill="1" applyAlignment="1">
      <alignment horizontal="center" vertical="center" wrapText="1"/>
    </xf>
    <xf numFmtId="0" fontId="60" fillId="0" borderId="0" xfId="0" applyFont="1" applyFill="1" applyAlignment="1">
      <alignment horizontal="left" vertical="center" wrapText="1"/>
    </xf>
    <xf numFmtId="0" fontId="37" fillId="20" borderId="0" xfId="0" applyFont="1" applyFill="1" applyBorder="1" applyAlignment="1">
      <alignment horizontal="center"/>
    </xf>
    <xf numFmtId="0" fontId="37" fillId="20" borderId="0" xfId="0" applyFont="1" applyFill="1" applyBorder="1" applyAlignment="1">
      <alignment horizontal="justify"/>
    </xf>
    <xf numFmtId="0" fontId="23" fillId="0" borderId="0" xfId="0" applyFont="1" applyFill="1" applyBorder="1" applyAlignment="1">
      <alignment horizontal="center"/>
    </xf>
    <xf numFmtId="0" fontId="23" fillId="0" borderId="0" xfId="0" applyFont="1" applyFill="1" applyBorder="1" applyAlignment="1">
      <alignment horizontal="justify"/>
    </xf>
    <xf numFmtId="49" fontId="37" fillId="34" borderId="0" xfId="0" applyNumberFormat="1" applyFont="1" applyFill="1" applyBorder="1" applyAlignment="1">
      <alignment horizontal="center"/>
    </xf>
    <xf numFmtId="0" fontId="37" fillId="34" borderId="0" xfId="0" applyFont="1" applyFill="1" applyBorder="1" applyAlignment="1">
      <alignment horizontal="left"/>
    </xf>
    <xf numFmtId="0" fontId="60" fillId="0" borderId="0" xfId="0" applyFont="1" applyFill="1" applyAlignment="1">
      <alignment horizontal="justify" vertical="center" wrapText="1"/>
    </xf>
    <xf numFmtId="0" fontId="60" fillId="0" borderId="0" xfId="0" applyFont="1" applyFill="1" applyAlignment="1">
      <alignment vertical="center" wrapText="1"/>
    </xf>
    <xf numFmtId="1" fontId="37" fillId="20" borderId="0" xfId="0" applyNumberFormat="1" applyFont="1" applyFill="1" applyAlignment="1">
      <alignment horizontal="center" vertical="center" wrapText="1"/>
    </xf>
    <xf numFmtId="0" fontId="37" fillId="20" borderId="0" xfId="0" applyFont="1" applyFill="1" applyAlignment="1">
      <alignment vertical="center" wrapText="1"/>
    </xf>
    <xf numFmtId="0" fontId="23" fillId="0" borderId="0" xfId="0" applyFont="1" applyFill="1" applyAlignment="1">
      <alignment wrapText="1"/>
    </xf>
    <xf numFmtId="49" fontId="23" fillId="0" borderId="0" xfId="0" applyNumberFormat="1" applyFont="1" applyBorder="1" applyAlignment="1">
      <alignment horizontal="center"/>
    </xf>
    <xf numFmtId="0" fontId="23" fillId="0" borderId="0" xfId="0" applyFont="1" applyBorder="1" applyAlignment="1">
      <alignment horizontal="left"/>
    </xf>
    <xf numFmtId="0" fontId="37" fillId="4" borderId="0" xfId="0" applyFont="1" applyFill="1"/>
    <xf numFmtId="49" fontId="37" fillId="4" borderId="0" xfId="0" applyNumberFormat="1" applyFont="1" applyFill="1" applyBorder="1" applyAlignment="1">
      <alignment vertical="center" wrapText="1"/>
    </xf>
    <xf numFmtId="0" fontId="51" fillId="0" borderId="11" xfId="0" applyFont="1" applyBorder="1" applyAlignment="1">
      <alignment horizontal="center"/>
    </xf>
    <xf numFmtId="0" fontId="0" fillId="0" borderId="0" xfId="0" applyAlignment="1">
      <alignment horizontal="left" vertical="top" wrapText="1"/>
    </xf>
    <xf numFmtId="0" fontId="63" fillId="0" borderId="0" xfId="0" applyFont="1" applyAlignment="1">
      <alignment horizontal="center" vertical="top" wrapText="1"/>
    </xf>
    <xf numFmtId="0" fontId="61" fillId="0" borderId="0" xfId="0" applyFont="1" applyAlignment="1">
      <alignment horizontal="left" vertical="top" wrapText="1"/>
    </xf>
    <xf numFmtId="0" fontId="58" fillId="0" borderId="0" xfId="0" applyFont="1" applyAlignment="1">
      <alignment horizontal="left" vertical="top" wrapText="1"/>
    </xf>
    <xf numFmtId="0" fontId="58" fillId="0" borderId="0" xfId="0" applyFont="1"/>
    <xf numFmtId="0" fontId="58" fillId="0" borderId="0" xfId="0" applyFont="1" applyAlignment="1">
      <alignment horizontal="center"/>
    </xf>
    <xf numFmtId="49" fontId="38" fillId="0" borderId="0" xfId="0" applyNumberFormat="1" applyFont="1" applyBorder="1" applyAlignment="1">
      <alignment vertical="center"/>
    </xf>
    <xf numFmtId="0" fontId="43" fillId="0" borderId="0" xfId="0" applyFont="1" applyAlignment="1">
      <alignment horizontal="center"/>
    </xf>
    <xf numFmtId="0" fontId="51" fillId="0" borderId="11" xfId="0" applyFont="1" applyBorder="1" applyAlignment="1">
      <alignment horizontal="center"/>
    </xf>
    <xf numFmtId="0" fontId="0" fillId="0" borderId="0" xfId="0" applyAlignment="1">
      <alignment horizontal="left" vertical="top" wrapText="1"/>
    </xf>
    <xf numFmtId="0" fontId="43" fillId="0" borderId="0" xfId="0" applyFont="1" applyAlignment="1">
      <alignment horizontal="left" vertical="top" wrapText="1"/>
    </xf>
    <xf numFmtId="0" fontId="51" fillId="0" borderId="11" xfId="0" applyFont="1" applyBorder="1" applyAlignment="1">
      <alignment horizontal="center" vertical="center"/>
    </xf>
    <xf numFmtId="3" fontId="46" fillId="0" borderId="0" xfId="0" applyNumberFormat="1" applyFont="1" applyFill="1" applyBorder="1" applyAlignment="1" applyProtection="1">
      <alignment vertical="top"/>
    </xf>
    <xf numFmtId="3" fontId="43" fillId="0" borderId="0" xfId="0" applyNumberFormat="1" applyFont="1" applyBorder="1"/>
    <xf numFmtId="49" fontId="68" fillId="0" borderId="11" xfId="0" applyNumberFormat="1" applyFont="1" applyBorder="1"/>
    <xf numFmtId="49" fontId="48" fillId="0" borderId="0" xfId="0" applyNumberFormat="1" applyFont="1"/>
    <xf numFmtId="0" fontId="62" fillId="0" borderId="0" xfId="0" applyFont="1" applyAlignment="1">
      <alignment horizontal="left" vertical="top" wrapText="1"/>
    </xf>
    <xf numFmtId="0" fontId="63" fillId="0" borderId="0" xfId="0" applyFont="1" applyAlignment="1">
      <alignment horizontal="center" vertical="top" wrapText="1"/>
    </xf>
    <xf numFmtId="0" fontId="0" fillId="0" borderId="0" xfId="0" applyAlignment="1">
      <alignment horizontal="left" vertical="top" wrapText="1"/>
    </xf>
    <xf numFmtId="0" fontId="43" fillId="0" borderId="0" xfId="0" applyFont="1" applyAlignment="1">
      <alignment horizontal="center" vertical="top" wrapText="1"/>
    </xf>
    <xf numFmtId="0" fontId="69" fillId="0" borderId="0" xfId="0" applyFont="1" applyBorder="1" applyAlignment="1">
      <alignment vertical="center"/>
    </xf>
    <xf numFmtId="0" fontId="69" fillId="0" borderId="0" xfId="0" applyFont="1" applyBorder="1" applyAlignment="1">
      <alignment horizontal="left" vertical="center" wrapText="1"/>
    </xf>
    <xf numFmtId="0" fontId="3" fillId="0" borderId="0" xfId="0" applyFont="1" applyAlignment="1">
      <alignment vertical="center" wrapText="1"/>
    </xf>
    <xf numFmtId="0" fontId="64" fillId="0" borderId="0" xfId="0" applyFont="1" applyAlignment="1">
      <alignment vertical="top" wrapText="1"/>
    </xf>
    <xf numFmtId="0" fontId="58" fillId="0" borderId="0" xfId="0" applyFont="1" applyAlignment="1">
      <alignment wrapText="1"/>
    </xf>
    <xf numFmtId="0" fontId="58" fillId="0" borderId="0" xfId="0" applyFont="1" applyAlignment="1">
      <alignment vertical="top" wrapText="1"/>
    </xf>
    <xf numFmtId="0" fontId="43" fillId="0" borderId="0" xfId="0" applyFont="1" applyAlignment="1">
      <alignment vertical="top" wrapText="1"/>
    </xf>
    <xf numFmtId="4" fontId="38" fillId="25" borderId="18" xfId="29" applyNumberFormat="1" applyFont="1" applyFill="1" applyBorder="1" applyAlignment="1" applyProtection="1">
      <alignment horizontal="right" vertical="center" wrapText="1"/>
    </xf>
    <xf numFmtId="4" fontId="38" fillId="25" borderId="25" xfId="29" applyNumberFormat="1" applyFont="1" applyFill="1" applyBorder="1" applyAlignment="1" applyProtection="1">
      <alignment horizontal="right" vertical="center" wrapText="1"/>
    </xf>
    <xf numFmtId="4" fontId="38" fillId="26" borderId="18" xfId="29" applyNumberFormat="1" applyFont="1" applyFill="1" applyBorder="1" applyAlignment="1" applyProtection="1">
      <alignment horizontal="right" vertical="center" wrapText="1"/>
    </xf>
    <xf numFmtId="4" fontId="38" fillId="26" borderId="25" xfId="29" applyNumberFormat="1" applyFont="1" applyFill="1" applyBorder="1" applyAlignment="1" applyProtection="1">
      <alignment horizontal="right" vertical="center" wrapText="1"/>
    </xf>
    <xf numFmtId="4" fontId="38" fillId="27" borderId="18" xfId="29" applyNumberFormat="1" applyFont="1" applyFill="1" applyBorder="1" applyAlignment="1" applyProtection="1">
      <alignment horizontal="right" vertical="center" wrapText="1"/>
    </xf>
    <xf numFmtId="4" fontId="38" fillId="27" borderId="25" xfId="29" applyNumberFormat="1" applyFont="1" applyFill="1" applyBorder="1" applyAlignment="1" applyProtection="1">
      <alignment horizontal="right" vertical="center" wrapText="1"/>
    </xf>
    <xf numFmtId="4" fontId="38" fillId="22" borderId="18" xfId="29" applyNumberFormat="1" applyFont="1" applyFill="1" applyBorder="1" applyAlignment="1" applyProtection="1">
      <alignment horizontal="right" vertical="center" wrapText="1"/>
    </xf>
    <xf numFmtId="4" fontId="38" fillId="22" borderId="25" xfId="29" applyNumberFormat="1" applyFont="1" applyFill="1" applyBorder="1" applyAlignment="1" applyProtection="1">
      <alignment horizontal="right" vertical="center" wrapText="1"/>
    </xf>
    <xf numFmtId="4" fontId="53" fillId="0" borderId="18" xfId="29" applyNumberFormat="1" applyFont="1" applyFill="1" applyBorder="1" applyAlignment="1" applyProtection="1">
      <alignment horizontal="right" vertical="center" wrapText="1"/>
    </xf>
    <xf numFmtId="4" fontId="53" fillId="0" borderId="25" xfId="29" applyNumberFormat="1" applyFont="1" applyFill="1" applyBorder="1" applyAlignment="1" applyProtection="1">
      <alignment horizontal="right" vertical="center" wrapText="1"/>
    </xf>
    <xf numFmtId="4" fontId="38" fillId="38" borderId="25" xfId="29" applyNumberFormat="1" applyFont="1" applyFill="1" applyBorder="1" applyAlignment="1" applyProtection="1">
      <alignment horizontal="right" vertical="center" wrapText="1"/>
    </xf>
    <xf numFmtId="4" fontId="38" fillId="28" borderId="18" xfId="29" applyNumberFormat="1" applyFont="1" applyFill="1" applyBorder="1" applyAlignment="1" applyProtection="1">
      <alignment horizontal="right" vertical="center" wrapText="1"/>
    </xf>
    <xf numFmtId="4" fontId="38" fillId="28" borderId="25" xfId="29" applyNumberFormat="1" applyFont="1" applyFill="1" applyBorder="1" applyAlignment="1" applyProtection="1">
      <alignment horizontal="right" vertical="center" wrapText="1"/>
    </xf>
    <xf numFmtId="4" fontId="38" fillId="20" borderId="18" xfId="29" applyNumberFormat="1" applyFont="1" applyFill="1" applyBorder="1" applyAlignment="1" applyProtection="1">
      <alignment horizontal="right" vertical="center" wrapText="1"/>
    </xf>
    <xf numFmtId="4" fontId="38" fillId="39" borderId="25" xfId="29" applyNumberFormat="1" applyFont="1" applyFill="1" applyBorder="1" applyAlignment="1" applyProtection="1">
      <alignment horizontal="right" vertical="center" wrapText="1"/>
    </xf>
    <xf numFmtId="4" fontId="38" fillId="28" borderId="18" xfId="0" applyNumberFormat="1" applyFont="1" applyFill="1" applyBorder="1" applyAlignment="1">
      <alignment horizontal="right" vertical="top" wrapText="1"/>
    </xf>
    <xf numFmtId="4" fontId="38" fillId="32" borderId="18" xfId="0" applyNumberFormat="1" applyFont="1" applyFill="1" applyBorder="1" applyAlignment="1">
      <alignment horizontal="right" vertical="center" wrapText="1"/>
    </xf>
    <xf numFmtId="4" fontId="38" fillId="32" borderId="25" xfId="0" applyNumberFormat="1" applyFont="1" applyFill="1" applyBorder="1" applyAlignment="1">
      <alignment horizontal="right" vertical="center" wrapText="1"/>
    </xf>
    <xf numFmtId="0" fontId="45" fillId="0" borderId="52" xfId="1" applyNumberFormat="1" applyFont="1" applyFill="1" applyBorder="1" applyAlignment="1">
      <alignment horizontal="center" vertical="center" wrapText="1"/>
    </xf>
    <xf numFmtId="169" fontId="48" fillId="31" borderId="52" xfId="48" applyNumberFormat="1" applyFont="1" applyFill="1" applyBorder="1" applyAlignment="1">
      <alignment vertical="center"/>
    </xf>
    <xf numFmtId="0" fontId="48" fillId="0" borderId="52" xfId="0" applyFont="1" applyBorder="1"/>
    <xf numFmtId="0" fontId="40" fillId="0" borderId="55" xfId="0" applyFont="1" applyFill="1" applyBorder="1" applyAlignment="1">
      <alignment horizontal="center" vertical="center" wrapText="1"/>
    </xf>
    <xf numFmtId="0" fontId="43" fillId="0" borderId="52" xfId="0" applyFont="1" applyBorder="1"/>
    <xf numFmtId="4" fontId="40" fillId="0" borderId="23" xfId="0" applyNumberFormat="1" applyFont="1" applyFill="1" applyBorder="1" applyAlignment="1">
      <alignment horizontal="center" vertical="center" wrapText="1"/>
    </xf>
    <xf numFmtId="4" fontId="42" fillId="20" borderId="23" xfId="0" applyNumberFormat="1" applyFont="1" applyFill="1" applyBorder="1" applyAlignment="1">
      <alignment horizontal="center" vertical="center" wrapText="1"/>
    </xf>
    <xf numFmtId="4" fontId="42" fillId="29" borderId="23" xfId="0" applyNumberFormat="1" applyFont="1" applyFill="1" applyBorder="1" applyAlignment="1">
      <alignment horizontal="center" vertical="center" wrapText="1"/>
    </xf>
    <xf numFmtId="4" fontId="42" fillId="26" borderId="23" xfId="0" applyNumberFormat="1" applyFont="1" applyFill="1" applyBorder="1" applyAlignment="1">
      <alignment horizontal="center" vertical="center" wrapText="1"/>
    </xf>
    <xf numFmtId="4" fontId="42" fillId="20" borderId="54" xfId="48" applyNumberFormat="1" applyFont="1" applyFill="1" applyBorder="1" applyAlignment="1">
      <alignment horizontal="center" vertical="center" wrapText="1"/>
    </xf>
    <xf numFmtId="4" fontId="42" fillId="20" borderId="56" xfId="0" applyNumberFormat="1" applyFont="1" applyFill="1" applyBorder="1" applyAlignment="1">
      <alignment horizontal="center" vertical="center" wrapText="1"/>
    </xf>
    <xf numFmtId="4" fontId="40" fillId="0" borderId="56" xfId="0" applyNumberFormat="1" applyFont="1" applyFill="1" applyBorder="1" applyAlignment="1">
      <alignment horizontal="center" vertical="center" wrapText="1"/>
    </xf>
    <xf numFmtId="4" fontId="42" fillId="29" borderId="56" xfId="0" applyNumberFormat="1" applyFont="1" applyFill="1" applyBorder="1" applyAlignment="1">
      <alignment horizontal="center" vertical="center" wrapText="1"/>
    </xf>
    <xf numFmtId="4" fontId="42" fillId="26" borderId="56" xfId="0" applyNumberFormat="1" applyFont="1" applyFill="1" applyBorder="1" applyAlignment="1">
      <alignment horizontal="center" vertical="center" wrapText="1"/>
    </xf>
    <xf numFmtId="4" fontId="42" fillId="20" borderId="54" xfId="0" applyNumberFormat="1" applyFont="1" applyFill="1" applyBorder="1" applyAlignment="1">
      <alignment horizontal="center" vertical="center" wrapText="1"/>
    </xf>
    <xf numFmtId="4" fontId="40" fillId="0" borderId="54" xfId="0" applyNumberFormat="1" applyFont="1" applyFill="1" applyBorder="1" applyAlignment="1">
      <alignment horizontal="center" vertical="center" wrapText="1"/>
    </xf>
    <xf numFmtId="4" fontId="42" fillId="29" borderId="54" xfId="0" applyNumberFormat="1" applyFont="1" applyFill="1" applyBorder="1" applyAlignment="1">
      <alignment horizontal="center" vertical="center" wrapText="1"/>
    </xf>
    <xf numFmtId="4" fontId="42" fillId="26" borderId="54" xfId="0" applyNumberFormat="1" applyFont="1" applyFill="1" applyBorder="1" applyAlignment="1">
      <alignment horizontal="center" vertical="center" wrapText="1"/>
    </xf>
    <xf numFmtId="4" fontId="43" fillId="0" borderId="0" xfId="0" applyNumberFormat="1" applyFont="1"/>
    <xf numFmtId="0" fontId="43" fillId="0" borderId="0" xfId="0" applyFont="1" applyAlignment="1">
      <alignment horizontal="left" vertical="top" wrapText="1"/>
    </xf>
    <xf numFmtId="0" fontId="43" fillId="0" borderId="0" xfId="0" applyFont="1" applyAlignment="1">
      <alignment horizontal="center" vertical="top" wrapText="1"/>
    </xf>
    <xf numFmtId="0" fontId="43" fillId="0" borderId="0" xfId="0" applyFont="1" applyBorder="1" applyAlignment="1">
      <alignment horizontal="center" vertical="center" wrapText="1"/>
    </xf>
    <xf numFmtId="3" fontId="43" fillId="0" borderId="0" xfId="0" applyNumberFormat="1" applyFont="1" applyBorder="1" applyAlignment="1">
      <alignment horizontal="right"/>
    </xf>
    <xf numFmtId="3" fontId="44" fillId="0" borderId="0" xfId="0" applyNumberFormat="1" applyFont="1" applyBorder="1" applyAlignment="1">
      <alignment vertical="center"/>
    </xf>
    <xf numFmtId="0" fontId="56" fillId="30" borderId="0" xfId="0" applyFont="1" applyFill="1" applyBorder="1"/>
    <xf numFmtId="4" fontId="43" fillId="0" borderId="11" xfId="0" applyNumberFormat="1" applyFont="1" applyBorder="1"/>
    <xf numFmtId="4" fontId="38" fillId="38" borderId="18" xfId="29" applyNumberFormat="1" applyFont="1" applyFill="1" applyBorder="1" applyAlignment="1" applyProtection="1">
      <alignment horizontal="right" vertical="center" wrapText="1"/>
    </xf>
    <xf numFmtId="49" fontId="38" fillId="40" borderId="18" xfId="0" applyNumberFormat="1" applyFont="1" applyFill="1" applyBorder="1" applyAlignment="1">
      <alignment horizontal="center" vertical="center" wrapText="1"/>
    </xf>
    <xf numFmtId="49" fontId="53" fillId="40" borderId="18" xfId="0" applyNumberFormat="1" applyFont="1" applyFill="1" applyBorder="1" applyAlignment="1">
      <alignment horizontal="center" vertical="center" wrapText="1"/>
    </xf>
    <xf numFmtId="49" fontId="53" fillId="40" borderId="18" xfId="0" applyNumberFormat="1" applyFont="1" applyFill="1" applyBorder="1" applyAlignment="1">
      <alignment vertical="center" wrapText="1"/>
    </xf>
    <xf numFmtId="4" fontId="53" fillId="40" borderId="18" xfId="29" applyNumberFormat="1" applyFont="1" applyFill="1" applyBorder="1" applyAlignment="1" applyProtection="1">
      <alignment horizontal="right" vertical="center" wrapText="1"/>
    </xf>
    <xf numFmtId="4" fontId="38" fillId="40" borderId="18" xfId="29" applyNumberFormat="1" applyFont="1" applyFill="1" applyBorder="1" applyAlignment="1" applyProtection="1">
      <alignment horizontal="right" vertical="center" wrapText="1"/>
    </xf>
    <xf numFmtId="4" fontId="38" fillId="41" borderId="18" xfId="29" applyNumberFormat="1" applyFont="1" applyFill="1" applyBorder="1" applyAlignment="1" applyProtection="1">
      <alignment horizontal="right" vertical="center" wrapText="1"/>
    </xf>
    <xf numFmtId="3" fontId="48" fillId="0" borderId="0" xfId="47" applyNumberFormat="1" applyFont="1" applyAlignment="1">
      <alignment horizontal="right" vertical="center"/>
    </xf>
    <xf numFmtId="3" fontId="48" fillId="0" borderId="0" xfId="47" applyNumberFormat="1" applyFont="1" applyAlignment="1">
      <alignment vertical="center"/>
    </xf>
    <xf numFmtId="4" fontId="48" fillId="0" borderId="0" xfId="47" applyNumberFormat="1" applyFont="1" applyAlignment="1">
      <alignment horizontal="right" vertical="center"/>
    </xf>
    <xf numFmtId="4" fontId="48" fillId="0" borderId="0" xfId="47" applyNumberFormat="1" applyFont="1" applyAlignment="1">
      <alignment vertical="center"/>
    </xf>
    <xf numFmtId="4" fontId="48" fillId="0" borderId="0" xfId="0" applyNumberFormat="1" applyFont="1" applyBorder="1"/>
    <xf numFmtId="4" fontId="41" fillId="0" borderId="35" xfId="47" applyNumberFormat="1" applyFont="1" applyFill="1" applyBorder="1" applyAlignment="1">
      <alignment horizontal="right" vertical="center" wrapText="1"/>
    </xf>
    <xf numFmtId="4" fontId="68" fillId="0" borderId="35" xfId="47" applyNumberFormat="1" applyFont="1" applyBorder="1" applyAlignment="1">
      <alignment horizontal="right" vertical="center" wrapText="1"/>
    </xf>
    <xf numFmtId="4" fontId="41" fillId="0" borderId="35" xfId="47" applyNumberFormat="1" applyFont="1" applyBorder="1" applyAlignment="1">
      <alignment horizontal="right" vertical="center" wrapText="1"/>
    </xf>
    <xf numFmtId="4" fontId="48" fillId="0" borderId="0" xfId="47" applyNumberFormat="1" applyFont="1" applyBorder="1" applyAlignment="1">
      <alignment horizontal="right" vertical="center"/>
    </xf>
    <xf numFmtId="4" fontId="48" fillId="0" borderId="0" xfId="47" applyNumberFormat="1" applyFont="1" applyBorder="1" applyAlignment="1">
      <alignment vertical="center"/>
    </xf>
    <xf numFmtId="4" fontId="57" fillId="0" borderId="21" xfId="47" applyNumberFormat="1" applyFont="1" applyBorder="1" applyAlignment="1">
      <alignment horizontal="right" vertical="center"/>
    </xf>
    <xf numFmtId="4" fontId="57" fillId="0" borderId="21" xfId="47" applyNumberFormat="1" applyFont="1" applyBorder="1" applyAlignment="1">
      <alignment vertical="center"/>
    </xf>
    <xf numFmtId="4" fontId="41" fillId="0" borderId="32" xfId="47" applyNumberFormat="1" applyFont="1" applyFill="1" applyBorder="1" applyAlignment="1">
      <alignment horizontal="right" vertical="center" wrapText="1"/>
    </xf>
    <xf numFmtId="4" fontId="41" fillId="0" borderId="59" xfId="47" applyNumberFormat="1" applyFont="1" applyFill="1" applyBorder="1" applyAlignment="1">
      <alignment horizontal="right" vertical="center" wrapText="1"/>
    </xf>
    <xf numFmtId="4" fontId="68" fillId="0" borderId="32" xfId="47" applyNumberFormat="1" applyFont="1" applyBorder="1" applyAlignment="1">
      <alignment horizontal="right" vertical="center" wrapText="1"/>
    </xf>
    <xf numFmtId="4" fontId="41" fillId="0" borderId="36" xfId="47" applyNumberFormat="1" applyFont="1" applyBorder="1" applyAlignment="1">
      <alignment horizontal="right" vertical="center" wrapText="1"/>
    </xf>
    <xf numFmtId="4" fontId="57" fillId="0" borderId="0" xfId="47" applyNumberFormat="1" applyFont="1" applyBorder="1" applyAlignment="1">
      <alignment horizontal="right" vertical="center"/>
    </xf>
    <xf numFmtId="4" fontId="57" fillId="0" borderId="0" xfId="47" applyNumberFormat="1" applyFont="1" applyBorder="1" applyAlignment="1">
      <alignment vertical="center"/>
    </xf>
    <xf numFmtId="4" fontId="41" fillId="0" borderId="0" xfId="47" applyNumberFormat="1" applyFont="1" applyFill="1" applyBorder="1" applyAlignment="1">
      <alignment horizontal="right" vertical="center" wrapText="1"/>
    </xf>
    <xf numFmtId="4" fontId="68" fillId="0" borderId="0" xfId="47" applyNumberFormat="1" applyFont="1" applyBorder="1" applyAlignment="1">
      <alignment horizontal="right" vertical="center" wrapText="1"/>
    </xf>
    <xf numFmtId="4" fontId="41" fillId="0" borderId="0" xfId="47" applyNumberFormat="1" applyFont="1" applyBorder="1" applyAlignment="1">
      <alignment horizontal="right" vertical="center" wrapText="1"/>
    </xf>
    <xf numFmtId="4" fontId="48" fillId="29" borderId="0" xfId="47" applyNumberFormat="1" applyFont="1" applyFill="1" applyAlignment="1">
      <alignment horizontal="right" vertical="center"/>
    </xf>
    <xf numFmtId="4" fontId="48" fillId="29" borderId="0" xfId="47" applyNumberFormat="1" applyFont="1" applyFill="1" applyAlignment="1">
      <alignment vertical="center"/>
    </xf>
    <xf numFmtId="4" fontId="73" fillId="0" borderId="0" xfId="47" applyNumberFormat="1" applyFont="1" applyAlignment="1">
      <alignment horizontal="right" vertical="center"/>
    </xf>
    <xf numFmtId="4" fontId="73" fillId="0" borderId="0" xfId="47" applyNumberFormat="1" applyFont="1" applyAlignment="1">
      <alignment vertical="center"/>
    </xf>
    <xf numFmtId="4" fontId="68" fillId="26" borderId="0" xfId="47" applyNumberFormat="1" applyFont="1" applyFill="1" applyBorder="1" applyAlignment="1">
      <alignment horizontal="right" vertical="center"/>
    </xf>
    <xf numFmtId="4" fontId="68" fillId="26" borderId="0" xfId="47" applyNumberFormat="1" applyFont="1" applyFill="1" applyBorder="1" applyAlignment="1">
      <alignment horizontal="right" vertical="center" wrapText="1"/>
    </xf>
    <xf numFmtId="4" fontId="68" fillId="0" borderId="0" xfId="47" applyNumberFormat="1" applyFont="1" applyFill="1" applyBorder="1" applyAlignment="1">
      <alignment horizontal="right" vertical="center"/>
    </xf>
    <xf numFmtId="4" fontId="48" fillId="0" borderId="0" xfId="47" applyNumberFormat="1" applyFont="1" applyFill="1" applyAlignment="1">
      <alignment vertical="center"/>
    </xf>
    <xf numFmtId="4" fontId="68" fillId="0" borderId="0" xfId="47" applyNumberFormat="1" applyFont="1" applyFill="1" applyBorder="1" applyAlignment="1">
      <alignment horizontal="right" vertical="center" wrapText="1"/>
    </xf>
    <xf numFmtId="4" fontId="48" fillId="0" borderId="0" xfId="47" applyNumberFormat="1" applyFont="1" applyAlignment="1">
      <alignment horizontal="right"/>
    </xf>
    <xf numFmtId="4" fontId="74" fillId="0" borderId="0" xfId="47" applyNumberFormat="1" applyFont="1" applyAlignment="1">
      <alignment horizontal="right" vertical="center"/>
    </xf>
    <xf numFmtId="4" fontId="74" fillId="0" borderId="0" xfId="47" applyNumberFormat="1" applyFont="1" applyAlignment="1">
      <alignment vertical="center"/>
    </xf>
    <xf numFmtId="4" fontId="48" fillId="0" borderId="0" xfId="0" applyNumberFormat="1" applyFont="1" applyFill="1"/>
    <xf numFmtId="4" fontId="48" fillId="0" borderId="48" xfId="47" applyNumberFormat="1" applyFont="1" applyBorder="1" applyAlignment="1">
      <alignment horizontal="right" vertical="center"/>
    </xf>
    <xf numFmtId="4" fontId="57" fillId="0" borderId="48" xfId="47" applyNumberFormat="1" applyFont="1" applyBorder="1" applyAlignment="1">
      <alignment vertical="center"/>
    </xf>
    <xf numFmtId="4" fontId="48" fillId="0" borderId="48" xfId="47" applyNumberFormat="1" applyFont="1" applyBorder="1" applyAlignment="1">
      <alignment vertical="center"/>
    </xf>
    <xf numFmtId="4" fontId="57" fillId="0" borderId="48" xfId="47" applyNumberFormat="1" applyFont="1" applyBorder="1" applyAlignment="1">
      <alignment horizontal="right" vertical="center"/>
    </xf>
    <xf numFmtId="4" fontId="57" fillId="0" borderId="0" xfId="47" applyNumberFormat="1" applyFont="1" applyAlignment="1">
      <alignment horizontal="right" vertical="center"/>
    </xf>
    <xf numFmtId="4" fontId="57" fillId="0" borderId="51" xfId="47" applyNumberFormat="1" applyFont="1" applyBorder="1" applyAlignment="1">
      <alignment horizontal="right" vertical="center"/>
    </xf>
    <xf numFmtId="4" fontId="57" fillId="0" borderId="60" xfId="47" applyNumberFormat="1" applyFont="1" applyBorder="1" applyAlignment="1">
      <alignment horizontal="right" vertical="center"/>
    </xf>
    <xf numFmtId="4" fontId="57" fillId="0" borderId="51" xfId="47" applyNumberFormat="1" applyFont="1" applyBorder="1" applyAlignment="1">
      <alignment vertical="center"/>
    </xf>
    <xf numFmtId="4" fontId="48" fillId="0" borderId="0" xfId="47" applyNumberFormat="1" applyFont="1" applyFill="1" applyBorder="1" applyAlignment="1">
      <alignment vertical="center"/>
    </xf>
    <xf numFmtId="4" fontId="48" fillId="0" borderId="48" xfId="0" applyNumberFormat="1" applyFont="1" applyBorder="1"/>
    <xf numFmtId="4" fontId="48" fillId="0" borderId="0" xfId="0" applyNumberFormat="1" applyFont="1"/>
    <xf numFmtId="4" fontId="48" fillId="30" borderId="0" xfId="47" applyNumberFormat="1" applyFont="1" applyFill="1" applyAlignment="1">
      <alignment horizontal="right"/>
    </xf>
    <xf numFmtId="4" fontId="48" fillId="30" borderId="0" xfId="47" applyNumberFormat="1" applyFont="1" applyFill="1"/>
    <xf numFmtId="4" fontId="68" fillId="29" borderId="0" xfId="47" applyNumberFormat="1" applyFont="1" applyFill="1" applyBorder="1" applyAlignment="1">
      <alignment horizontal="right" vertical="center"/>
    </xf>
    <xf numFmtId="4" fontId="68" fillId="29" borderId="0" xfId="47" applyNumberFormat="1" applyFont="1" applyFill="1" applyBorder="1" applyAlignment="1">
      <alignment horizontal="center" vertical="center"/>
    </xf>
    <xf numFmtId="4" fontId="74" fillId="0" borderId="0" xfId="0" applyNumberFormat="1" applyFont="1"/>
    <xf numFmtId="4" fontId="48" fillId="0" borderId="0" xfId="47" applyNumberFormat="1" applyFont="1" applyFill="1" applyAlignment="1">
      <alignment horizontal="right"/>
    </xf>
    <xf numFmtId="4" fontId="48" fillId="0" borderId="0" xfId="47" applyNumberFormat="1" applyFont="1" applyFill="1"/>
    <xf numFmtId="4" fontId="48" fillId="29" borderId="0" xfId="47" applyNumberFormat="1" applyFont="1" applyFill="1"/>
    <xf numFmtId="4" fontId="68" fillId="29" borderId="0" xfId="47" applyNumberFormat="1" applyFont="1" applyFill="1" applyBorder="1" applyAlignment="1">
      <alignment horizontal="right" vertical="center" wrapText="1"/>
    </xf>
    <xf numFmtId="4" fontId="68" fillId="26" borderId="0" xfId="47" applyNumberFormat="1" applyFont="1" applyFill="1" applyBorder="1" applyAlignment="1">
      <alignment horizontal="center" vertical="center"/>
    </xf>
    <xf numFmtId="4" fontId="68" fillId="33" borderId="0" xfId="47" applyNumberFormat="1" applyFont="1" applyFill="1" applyBorder="1" applyAlignment="1">
      <alignment horizontal="right" vertical="center"/>
    </xf>
    <xf numFmtId="4" fontId="68" fillId="33" borderId="0" xfId="47" applyNumberFormat="1" applyFont="1" applyFill="1" applyBorder="1" applyAlignment="1">
      <alignment horizontal="center" vertical="center"/>
    </xf>
    <xf numFmtId="4" fontId="48" fillId="33" borderId="0" xfId="47" applyNumberFormat="1" applyFont="1" applyFill="1" applyAlignment="1">
      <alignment vertical="center"/>
    </xf>
    <xf numFmtId="4" fontId="48" fillId="0" borderId="0" xfId="47" applyNumberFormat="1" applyFont="1" applyFill="1" applyAlignment="1">
      <alignment horizontal="right" vertical="center"/>
    </xf>
    <xf numFmtId="4" fontId="57" fillId="37" borderId="0" xfId="47" applyNumberFormat="1" applyFont="1" applyFill="1" applyBorder="1" applyAlignment="1">
      <alignment horizontal="right" vertical="center"/>
    </xf>
    <xf numFmtId="4" fontId="57" fillId="37" borderId="0" xfId="47" applyNumberFormat="1" applyFont="1" applyFill="1" applyBorder="1" applyAlignment="1">
      <alignment vertical="center"/>
    </xf>
    <xf numFmtId="4" fontId="68" fillId="26" borderId="0" xfId="47" applyNumberFormat="1" applyFont="1" applyFill="1" applyBorder="1" applyAlignment="1">
      <alignment horizontal="right" wrapText="1"/>
    </xf>
    <xf numFmtId="4" fontId="68" fillId="26" borderId="0" xfId="47" applyNumberFormat="1" applyFont="1" applyFill="1" applyBorder="1" applyAlignment="1">
      <alignment wrapText="1"/>
    </xf>
    <xf numFmtId="4" fontId="75" fillId="0" borderId="0" xfId="47" applyNumberFormat="1" applyFont="1" applyFill="1" applyBorder="1" applyAlignment="1">
      <alignment horizontal="right" vertical="center"/>
    </xf>
    <xf numFmtId="4" fontId="75" fillId="0" borderId="0" xfId="47" applyNumberFormat="1" applyFont="1" applyFill="1" applyBorder="1" applyAlignment="1">
      <alignment vertical="center"/>
    </xf>
    <xf numFmtId="4" fontId="76" fillId="26" borderId="0" xfId="47" applyNumberFormat="1" applyFont="1" applyFill="1" applyBorder="1" applyAlignment="1">
      <alignment horizontal="right" vertical="center" wrapText="1"/>
    </xf>
    <xf numFmtId="4" fontId="76" fillId="26" borderId="0" xfId="47" applyNumberFormat="1" applyFont="1" applyFill="1" applyBorder="1" applyAlignment="1">
      <alignment horizontal="center" vertical="center" wrapText="1"/>
    </xf>
    <xf numFmtId="3" fontId="57" fillId="0" borderId="0" xfId="47" applyNumberFormat="1" applyFont="1" applyBorder="1" applyAlignment="1">
      <alignment horizontal="right" vertical="center"/>
    </xf>
    <xf numFmtId="3" fontId="57" fillId="0" borderId="0" xfId="47" applyNumberFormat="1" applyFont="1" applyBorder="1" applyAlignment="1">
      <alignment vertical="center"/>
    </xf>
    <xf numFmtId="0" fontId="48" fillId="0" borderId="0" xfId="0" applyFont="1" applyAlignment="1">
      <alignment horizontal="center" vertical="center"/>
    </xf>
    <xf numFmtId="49" fontId="48" fillId="0" borderId="0" xfId="0" applyNumberFormat="1" applyFont="1" applyAlignment="1">
      <alignment horizontal="left" vertical="center"/>
    </xf>
    <xf numFmtId="0" fontId="48" fillId="0" borderId="0" xfId="0" applyFont="1" applyAlignment="1">
      <alignment horizontal="left" vertical="center" wrapText="1"/>
    </xf>
    <xf numFmtId="0" fontId="48" fillId="0" borderId="0" xfId="0" applyFont="1" applyAlignment="1">
      <alignment horizontal="center" vertical="center" wrapText="1"/>
    </xf>
    <xf numFmtId="3" fontId="41" fillId="0" borderId="11" xfId="49" applyNumberFormat="1" applyFont="1" applyBorder="1" applyAlignment="1">
      <alignment horizontal="center" vertical="center" textRotation="90" wrapText="1"/>
    </xf>
    <xf numFmtId="0" fontId="41" fillId="0" borderId="11" xfId="49" applyFont="1" applyBorder="1" applyAlignment="1">
      <alignment horizontal="center" vertical="center" textRotation="90" wrapText="1"/>
    </xf>
    <xf numFmtId="49" fontId="41" fillId="0" borderId="13" xfId="49" applyNumberFormat="1" applyFont="1" applyBorder="1" applyAlignment="1">
      <alignment horizontal="center" vertical="center" textRotation="90" wrapText="1"/>
    </xf>
    <xf numFmtId="3" fontId="41" fillId="0" borderId="11" xfId="49" applyNumberFormat="1" applyFont="1" applyBorder="1" applyAlignment="1">
      <alignment horizontal="center" vertical="center" wrapText="1"/>
    </xf>
    <xf numFmtId="3" fontId="41" fillId="0" borderId="11" xfId="47" applyNumberFormat="1" applyFont="1" applyBorder="1" applyAlignment="1">
      <alignment horizontal="center" vertical="center" wrapText="1"/>
    </xf>
    <xf numFmtId="3" fontId="41" fillId="0" borderId="52" xfId="47" applyNumberFormat="1" applyFont="1" applyBorder="1" applyAlignment="1">
      <alignment horizontal="center" vertical="center" wrapText="1"/>
    </xf>
    <xf numFmtId="3" fontId="41" fillId="0" borderId="37" xfId="47" applyNumberFormat="1" applyFont="1" applyFill="1" applyBorder="1" applyAlignment="1">
      <alignment horizontal="center" vertical="center" wrapText="1"/>
    </xf>
    <xf numFmtId="0" fontId="48" fillId="0" borderId="49" xfId="0" applyFont="1" applyBorder="1" applyAlignment="1">
      <alignment horizontal="center" wrapText="1"/>
    </xf>
    <xf numFmtId="3" fontId="41" fillId="0" borderId="33" xfId="49" applyNumberFormat="1" applyFont="1" applyBorder="1" applyAlignment="1">
      <alignment horizontal="center" vertical="center" wrapText="1"/>
    </xf>
    <xf numFmtId="0" fontId="41" fillId="0" borderId="33" xfId="49" applyFont="1" applyBorder="1" applyAlignment="1">
      <alignment horizontal="center" vertical="center" wrapText="1"/>
    </xf>
    <xf numFmtId="49" fontId="41" fillId="0" borderId="34" xfId="49" applyNumberFormat="1" applyFont="1" applyBorder="1" applyAlignment="1">
      <alignment horizontal="center" vertical="center" wrapText="1"/>
    </xf>
    <xf numFmtId="3" fontId="41" fillId="0" borderId="33" xfId="47" applyNumberFormat="1" applyFont="1" applyBorder="1" applyAlignment="1">
      <alignment horizontal="center" vertical="center" wrapText="1"/>
    </xf>
    <xf numFmtId="3" fontId="41" fillId="0" borderId="58" xfId="47" applyNumberFormat="1" applyFont="1" applyBorder="1" applyAlignment="1">
      <alignment horizontal="center" vertical="center" wrapText="1"/>
    </xf>
    <xf numFmtId="3" fontId="41" fillId="0" borderId="38" xfId="47" applyNumberFormat="1" applyFont="1" applyFill="1" applyBorder="1" applyAlignment="1">
      <alignment horizontal="center" vertical="center" wrapText="1"/>
    </xf>
    <xf numFmtId="0" fontId="48" fillId="0" borderId="49" xfId="0" applyFont="1" applyBorder="1"/>
    <xf numFmtId="0" fontId="57" fillId="29" borderId="0" xfId="0" applyFont="1" applyFill="1" applyAlignment="1">
      <alignment horizontal="center" vertical="center"/>
    </xf>
    <xf numFmtId="49" fontId="48" fillId="29" borderId="0" xfId="0" applyNumberFormat="1" applyFont="1" applyFill="1" applyAlignment="1">
      <alignment horizontal="left" vertical="center"/>
    </xf>
    <xf numFmtId="0" fontId="48" fillId="29" borderId="0" xfId="0" applyFont="1" applyFill="1" applyAlignment="1">
      <alignment horizontal="center" vertical="center"/>
    </xf>
    <xf numFmtId="0" fontId="57" fillId="29" borderId="0" xfId="0" applyFont="1" applyFill="1" applyAlignment="1">
      <alignment vertical="center" wrapText="1"/>
    </xf>
    <xf numFmtId="3" fontId="48" fillId="29" borderId="0" xfId="47" applyNumberFormat="1" applyFont="1" applyFill="1" applyAlignment="1">
      <alignment horizontal="right" vertical="center"/>
    </xf>
    <xf numFmtId="3" fontId="48" fillId="29" borderId="0" xfId="47" applyNumberFormat="1" applyFont="1" applyFill="1" applyAlignment="1">
      <alignment vertical="center"/>
    </xf>
    <xf numFmtId="49" fontId="57" fillId="0" borderId="0" xfId="0" applyNumberFormat="1" applyFont="1" applyAlignment="1">
      <alignment horizontal="left" vertical="center"/>
    </xf>
    <xf numFmtId="0" fontId="57" fillId="0" borderId="0" xfId="0" applyFont="1" applyAlignment="1">
      <alignment horizontal="center" vertical="center"/>
    </xf>
    <xf numFmtId="3" fontId="41" fillId="0" borderId="0" xfId="49" applyNumberFormat="1" applyFont="1" applyFill="1" applyBorder="1" applyAlignment="1">
      <alignment horizontal="left" vertical="center" wrapText="1"/>
    </xf>
    <xf numFmtId="0" fontId="73" fillId="0" borderId="0" xfId="0" applyFont="1" applyAlignment="1">
      <alignment horizontal="center" vertical="center"/>
    </xf>
    <xf numFmtId="0" fontId="54" fillId="0" borderId="0" xfId="0" applyFont="1" applyFill="1" applyBorder="1" applyAlignment="1">
      <alignment horizontal="left" vertical="center" wrapText="1"/>
    </xf>
    <xf numFmtId="0" fontId="35" fillId="0" borderId="0" xfId="0" applyFont="1" applyAlignment="1">
      <alignment horizontal="center" vertical="center" wrapText="1"/>
    </xf>
    <xf numFmtId="3" fontId="78" fillId="0" borderId="0" xfId="0" applyNumberFormat="1" applyFont="1" applyAlignment="1">
      <alignment horizontal="left" vertical="center" wrapText="1"/>
    </xf>
    <xf numFmtId="3" fontId="35" fillId="0" borderId="0" xfId="0" applyNumberFormat="1" applyFont="1" applyAlignment="1">
      <alignment horizontal="left" vertical="center" wrapText="1"/>
    </xf>
    <xf numFmtId="3" fontId="78" fillId="0" borderId="0" xfId="0" applyNumberFormat="1" applyFont="1" applyBorder="1" applyAlignment="1">
      <alignment horizontal="left" vertical="center" wrapText="1"/>
    </xf>
    <xf numFmtId="0" fontId="35" fillId="0" borderId="0" xfId="0" applyFont="1" applyBorder="1" applyAlignment="1">
      <alignment horizontal="center" vertical="center" wrapText="1"/>
    </xf>
    <xf numFmtId="3" fontId="35" fillId="0" borderId="0" xfId="0" applyNumberFormat="1" applyFont="1" applyBorder="1" applyAlignment="1">
      <alignment horizontal="left" vertical="center" wrapText="1"/>
    </xf>
    <xf numFmtId="3" fontId="35" fillId="0" borderId="0" xfId="0" applyNumberFormat="1" applyFont="1" applyBorder="1" applyAlignment="1">
      <alignment horizontal="center" vertical="center" wrapText="1"/>
    </xf>
    <xf numFmtId="3" fontId="41" fillId="0" borderId="35" xfId="1" applyNumberFormat="1" applyFont="1" applyFill="1" applyBorder="1" applyAlignment="1">
      <alignment horizontal="left" vertical="center" wrapText="1"/>
    </xf>
    <xf numFmtId="0" fontId="48" fillId="0" borderId="0" xfId="0" applyFont="1" applyBorder="1" applyAlignment="1">
      <alignment horizontal="center" vertical="center"/>
    </xf>
    <xf numFmtId="0" fontId="35" fillId="0" borderId="0" xfId="1" applyNumberFormat="1" applyFont="1" applyBorder="1" applyAlignment="1">
      <alignment horizontal="center" vertical="center" wrapText="1"/>
    </xf>
    <xf numFmtId="3" fontId="35" fillId="0" borderId="0" xfId="1" applyNumberFormat="1" applyFont="1" applyFill="1" applyBorder="1" applyAlignment="1">
      <alignment horizontal="left" vertical="center" wrapText="1"/>
    </xf>
    <xf numFmtId="0" fontId="57" fillId="0" borderId="21" xfId="0" applyFont="1" applyBorder="1" applyAlignment="1">
      <alignment vertical="center" wrapText="1"/>
    </xf>
    <xf numFmtId="3" fontId="36" fillId="0" borderId="32" xfId="1" applyNumberFormat="1" applyFont="1" applyFill="1" applyBorder="1" applyAlignment="1">
      <alignment horizontal="left" vertical="center" wrapText="1"/>
    </xf>
    <xf numFmtId="0" fontId="48" fillId="0" borderId="0" xfId="0" applyFont="1" applyAlignment="1">
      <alignment vertical="center" wrapText="1"/>
    </xf>
    <xf numFmtId="3" fontId="46" fillId="0" borderId="0" xfId="0" applyNumberFormat="1" applyFont="1" applyBorder="1" applyAlignment="1">
      <alignment horizontal="left" vertical="center" wrapText="1"/>
    </xf>
    <xf numFmtId="3" fontId="36" fillId="0" borderId="35" xfId="1" applyNumberFormat="1" applyFont="1" applyFill="1" applyBorder="1" applyAlignment="1">
      <alignment horizontal="left" vertical="center" wrapText="1"/>
    </xf>
    <xf numFmtId="0" fontId="57" fillId="0" borderId="0" xfId="0" applyFont="1" applyBorder="1" applyAlignment="1">
      <alignment vertical="center" wrapText="1"/>
    </xf>
    <xf numFmtId="3" fontId="36" fillId="0" borderId="0" xfId="1" applyNumberFormat="1" applyFont="1" applyFill="1" applyBorder="1" applyAlignment="1">
      <alignment horizontal="left" vertical="center" wrapText="1"/>
    </xf>
    <xf numFmtId="3" fontId="36" fillId="29" borderId="0" xfId="49" applyNumberFormat="1" applyFont="1" applyFill="1" applyBorder="1" applyAlignment="1">
      <alignment horizontal="left" vertical="center" wrapText="1"/>
    </xf>
    <xf numFmtId="3" fontId="36" fillId="0" borderId="0" xfId="49" applyNumberFormat="1" applyFont="1" applyFill="1" applyBorder="1" applyAlignment="1">
      <alignment horizontal="left" vertical="center" wrapText="1"/>
    </xf>
    <xf numFmtId="3" fontId="54" fillId="0" borderId="0" xfId="49" applyNumberFormat="1" applyFont="1" applyFill="1" applyBorder="1" applyAlignment="1">
      <alignment horizontal="left" vertical="center" wrapText="1"/>
    </xf>
    <xf numFmtId="3" fontId="79" fillId="0" borderId="0" xfId="0" applyNumberFormat="1" applyFont="1" applyAlignment="1">
      <alignment horizontal="left" vertical="center" wrapText="1"/>
    </xf>
    <xf numFmtId="3" fontId="80" fillId="0" borderId="0" xfId="0" applyNumberFormat="1" applyFont="1" applyAlignment="1">
      <alignment horizontal="left" vertical="center" wrapText="1"/>
    </xf>
    <xf numFmtId="3" fontId="48" fillId="0" borderId="0" xfId="0" applyNumberFormat="1" applyFont="1" applyBorder="1"/>
    <xf numFmtId="3" fontId="81" fillId="0" borderId="0" xfId="0" applyNumberFormat="1" applyFont="1" applyAlignment="1">
      <alignment horizontal="left" vertical="center" wrapText="1"/>
    </xf>
    <xf numFmtId="0" fontId="82" fillId="0" borderId="0" xfId="0" applyFont="1" applyAlignment="1">
      <alignment horizontal="center" vertical="center"/>
    </xf>
    <xf numFmtId="0" fontId="83" fillId="0" borderId="11" xfId="46" applyFont="1" applyBorder="1" applyAlignment="1" applyProtection="1">
      <alignment horizontal="left" vertical="top"/>
    </xf>
    <xf numFmtId="3" fontId="41" fillId="26" borderId="0" xfId="49" applyNumberFormat="1" applyFont="1" applyFill="1" applyBorder="1" applyAlignment="1">
      <alignment horizontal="center" vertical="center"/>
    </xf>
    <xf numFmtId="0" fontId="41" fillId="26" borderId="0" xfId="49" applyNumberFormat="1" applyFont="1" applyFill="1" applyBorder="1" applyAlignment="1">
      <alignment horizontal="center" vertical="center"/>
    </xf>
    <xf numFmtId="3" fontId="41" fillId="26" borderId="0" xfId="49" applyNumberFormat="1" applyFont="1" applyFill="1" applyBorder="1" applyAlignment="1">
      <alignment horizontal="left" vertical="center"/>
    </xf>
    <xf numFmtId="3" fontId="36" fillId="26" borderId="0" xfId="49" applyNumberFormat="1" applyFont="1" applyFill="1" applyBorder="1" applyAlignment="1">
      <alignment horizontal="center" vertical="center"/>
    </xf>
    <xf numFmtId="3" fontId="36" fillId="26" borderId="0" xfId="49" applyNumberFormat="1" applyFont="1" applyFill="1" applyBorder="1" applyAlignment="1">
      <alignment horizontal="left" vertical="center" wrapText="1"/>
    </xf>
    <xf numFmtId="3" fontId="41" fillId="0" borderId="0" xfId="49" applyNumberFormat="1" applyFont="1" applyFill="1" applyBorder="1" applyAlignment="1">
      <alignment horizontal="center" vertical="center"/>
    </xf>
    <xf numFmtId="0" fontId="41" fillId="0" borderId="0" xfId="49" applyNumberFormat="1" applyFont="1" applyFill="1" applyBorder="1" applyAlignment="1">
      <alignment horizontal="center" vertical="center"/>
    </xf>
    <xf numFmtId="49" fontId="57" fillId="0" borderId="0" xfId="0" applyNumberFormat="1" applyFont="1" applyFill="1" applyBorder="1" applyAlignment="1" applyProtection="1">
      <alignment horizontal="left" vertical="top"/>
    </xf>
    <xf numFmtId="0" fontId="57" fillId="0" borderId="0" xfId="0" applyFont="1" applyFill="1" applyAlignment="1">
      <alignment vertical="center"/>
    </xf>
    <xf numFmtId="0" fontId="48" fillId="0" borderId="0" xfId="0" applyFont="1" applyFill="1"/>
    <xf numFmtId="0" fontId="57" fillId="0" borderId="0" xfId="0" applyFont="1" applyFill="1" applyBorder="1" applyAlignment="1">
      <alignment horizontal="left"/>
    </xf>
    <xf numFmtId="0" fontId="57" fillId="0" borderId="0" xfId="0" applyFont="1" applyBorder="1" applyAlignment="1">
      <alignment horizontal="center"/>
    </xf>
    <xf numFmtId="0" fontId="73" fillId="0" borderId="0" xfId="0" applyFont="1" applyFill="1" applyAlignment="1">
      <alignment vertical="center"/>
    </xf>
    <xf numFmtId="3" fontId="41" fillId="0" borderId="0" xfId="49" applyNumberFormat="1" applyFont="1" applyFill="1" applyBorder="1" applyAlignment="1">
      <alignment horizontal="left" vertical="center"/>
    </xf>
    <xf numFmtId="3" fontId="36" fillId="0" borderId="0" xfId="49" applyNumberFormat="1" applyFont="1" applyFill="1" applyBorder="1" applyAlignment="1">
      <alignment horizontal="center" vertical="center"/>
    </xf>
    <xf numFmtId="0" fontId="48" fillId="0" borderId="0" xfId="0" applyFont="1" applyFill="1" applyBorder="1" applyAlignment="1">
      <alignment horizontal="center" vertical="center"/>
    </xf>
    <xf numFmtId="0" fontId="73" fillId="0" borderId="0" xfId="0" applyNumberFormat="1" applyFont="1" applyFill="1" applyBorder="1" applyAlignment="1" applyProtection="1">
      <alignment horizontal="center" vertical="top"/>
    </xf>
    <xf numFmtId="0" fontId="73" fillId="0" borderId="0" xfId="0" applyFont="1" applyFill="1" applyBorder="1" applyAlignment="1">
      <alignment horizontal="center" vertical="center"/>
    </xf>
    <xf numFmtId="0" fontId="45" fillId="0" borderId="0" xfId="0" applyFont="1" applyFill="1" applyBorder="1" applyAlignment="1" applyProtection="1">
      <alignment vertical="center"/>
    </xf>
    <xf numFmtId="0" fontId="48" fillId="0" borderId="0" xfId="0" applyFont="1" applyBorder="1" applyAlignment="1">
      <alignment horizontal="center"/>
    </xf>
    <xf numFmtId="0" fontId="48" fillId="0" borderId="0" xfId="0" applyFont="1" applyBorder="1" applyAlignment="1">
      <alignment horizontal="left"/>
    </xf>
    <xf numFmtId="0" fontId="57" fillId="0" borderId="0" xfId="0" applyFont="1" applyBorder="1" applyAlignment="1">
      <alignment horizontal="left" vertical="center"/>
    </xf>
    <xf numFmtId="3" fontId="48" fillId="0" borderId="0" xfId="0" applyNumberFormat="1" applyFont="1" applyFill="1" applyBorder="1"/>
    <xf numFmtId="3" fontId="84" fillId="0" borderId="0" xfId="0" applyNumberFormat="1" applyFont="1" applyAlignment="1">
      <alignment horizontal="left" vertical="center" wrapText="1"/>
    </xf>
    <xf numFmtId="4" fontId="48" fillId="0" borderId="0" xfId="0" applyNumberFormat="1" applyFont="1" applyFill="1" applyBorder="1"/>
    <xf numFmtId="3" fontId="84" fillId="0" borderId="0" xfId="0" applyNumberFormat="1" applyFont="1" applyBorder="1" applyAlignment="1">
      <alignment horizontal="left" vertical="center" wrapText="1"/>
    </xf>
    <xf numFmtId="3" fontId="81" fillId="0" borderId="0" xfId="0" applyNumberFormat="1" applyFont="1" applyBorder="1" applyAlignment="1">
      <alignment horizontal="left" vertical="center" wrapText="1"/>
    </xf>
    <xf numFmtId="49" fontId="48" fillId="0" borderId="0" xfId="0" applyNumberFormat="1" applyFont="1" applyAlignment="1">
      <alignment horizontal="center" vertical="center"/>
    </xf>
    <xf numFmtId="49" fontId="35" fillId="0" borderId="0" xfId="1" applyNumberFormat="1" applyFont="1" applyBorder="1" applyAlignment="1">
      <alignment horizontal="center" vertical="center" wrapText="1"/>
    </xf>
    <xf numFmtId="0" fontId="57" fillId="0" borderId="0" xfId="0" applyFont="1" applyBorder="1" applyAlignment="1">
      <alignment vertical="center"/>
    </xf>
    <xf numFmtId="0" fontId="73" fillId="0" borderId="0" xfId="0" applyFont="1" applyAlignment="1">
      <alignment vertical="center" wrapText="1"/>
    </xf>
    <xf numFmtId="0" fontId="48" fillId="0" borderId="0" xfId="0" applyFont="1" applyAlignment="1">
      <alignment vertical="center"/>
    </xf>
    <xf numFmtId="0" fontId="57" fillId="0" borderId="0" xfId="0" applyFont="1" applyBorder="1" applyAlignment="1">
      <alignment horizontal="center" vertical="center"/>
    </xf>
    <xf numFmtId="0" fontId="74" fillId="0" borderId="0" xfId="0" applyFont="1" applyAlignment="1">
      <alignment horizontal="left"/>
    </xf>
    <xf numFmtId="0" fontId="73" fillId="0" borderId="0" xfId="0" applyFont="1" applyAlignment="1">
      <alignment horizontal="center"/>
    </xf>
    <xf numFmtId="0" fontId="73" fillId="0" borderId="0" xfId="0" applyFont="1"/>
    <xf numFmtId="0" fontId="73" fillId="0" borderId="0" xfId="0" applyFont="1" applyAlignment="1">
      <alignment vertical="center"/>
    </xf>
    <xf numFmtId="49" fontId="73" fillId="0" borderId="0" xfId="0" applyNumberFormat="1" applyFont="1" applyAlignment="1">
      <alignment horizontal="center" vertical="center"/>
    </xf>
    <xf numFmtId="3" fontId="41" fillId="0" borderId="0" xfId="0" applyNumberFormat="1" applyFont="1" applyAlignment="1">
      <alignment horizontal="left" vertical="center" wrapText="1"/>
    </xf>
    <xf numFmtId="3" fontId="85" fillId="0" borderId="0" xfId="0" applyNumberFormat="1" applyFont="1" applyBorder="1" applyAlignment="1">
      <alignment horizontal="left" vertical="center" wrapText="1"/>
    </xf>
    <xf numFmtId="3" fontId="86" fillId="0" borderId="0" xfId="0" applyNumberFormat="1" applyFont="1" applyBorder="1" applyAlignment="1">
      <alignment horizontal="left" vertical="center" wrapText="1"/>
    </xf>
    <xf numFmtId="3" fontId="87" fillId="0" borderId="0" xfId="0" applyNumberFormat="1" applyFont="1" applyBorder="1" applyAlignment="1">
      <alignment horizontal="left" vertical="center" wrapText="1"/>
    </xf>
    <xf numFmtId="3" fontId="88" fillId="0" borderId="0" xfId="0" applyNumberFormat="1" applyFont="1" applyBorder="1" applyAlignment="1">
      <alignment horizontal="left" vertical="center" wrapText="1"/>
    </xf>
    <xf numFmtId="0" fontId="89" fillId="0" borderId="48" xfId="0" applyFont="1" applyBorder="1" applyAlignment="1">
      <alignment vertical="center" wrapText="1"/>
    </xf>
    <xf numFmtId="0" fontId="57" fillId="0" borderId="48" xfId="0" applyFont="1" applyBorder="1" applyAlignment="1">
      <alignment vertical="center" wrapText="1"/>
    </xf>
    <xf numFmtId="0" fontId="89" fillId="0" borderId="0" xfId="0" applyFont="1" applyBorder="1" applyAlignment="1">
      <alignment vertical="center" wrapText="1"/>
    </xf>
    <xf numFmtId="0" fontId="82" fillId="0" borderId="48" xfId="0" applyFont="1" applyBorder="1" applyAlignment="1">
      <alignment vertical="center" wrapText="1"/>
    </xf>
    <xf numFmtId="0" fontId="90" fillId="0" borderId="0" xfId="0" applyFont="1" applyBorder="1" applyAlignment="1">
      <alignment vertical="center" wrapText="1"/>
    </xf>
    <xf numFmtId="49" fontId="73" fillId="0" borderId="0" xfId="0" applyNumberFormat="1" applyFont="1" applyFill="1" applyBorder="1" applyAlignment="1" applyProtection="1">
      <alignment horizontal="center" vertical="top"/>
    </xf>
    <xf numFmtId="0" fontId="48" fillId="0" borderId="0" xfId="0" applyFont="1" applyFill="1" applyAlignment="1">
      <alignment vertical="center"/>
    </xf>
    <xf numFmtId="49" fontId="54" fillId="0" borderId="0" xfId="49" applyNumberFormat="1" applyFont="1" applyFill="1" applyBorder="1" applyAlignment="1">
      <alignment horizontal="center" vertical="center"/>
    </xf>
    <xf numFmtId="0" fontId="48" fillId="0" borderId="0" xfId="0" applyFont="1" applyAlignment="1">
      <alignment horizontal="center"/>
    </xf>
    <xf numFmtId="0" fontId="48" fillId="0" borderId="48" xfId="0" applyFont="1" applyBorder="1"/>
    <xf numFmtId="3" fontId="41" fillId="30" borderId="0" xfId="49" applyNumberFormat="1" applyFont="1" applyFill="1" applyBorder="1" applyAlignment="1">
      <alignment horizontal="center" vertical="center"/>
    </xf>
    <xf numFmtId="0" fontId="41" fillId="30" borderId="0" xfId="49" applyNumberFormat="1" applyFont="1" applyFill="1" applyBorder="1" applyAlignment="1">
      <alignment horizontal="center" vertical="center"/>
    </xf>
    <xf numFmtId="49" fontId="57" fillId="30" borderId="0" xfId="0" applyNumberFormat="1" applyFont="1" applyFill="1" applyBorder="1" applyAlignment="1" applyProtection="1">
      <alignment horizontal="left" vertical="top"/>
    </xf>
    <xf numFmtId="0" fontId="48" fillId="30" borderId="0" xfId="0" applyFont="1" applyFill="1"/>
    <xf numFmtId="0" fontId="48" fillId="30" borderId="0" xfId="0" applyFont="1" applyFill="1" applyAlignment="1">
      <alignment vertical="center"/>
    </xf>
    <xf numFmtId="0" fontId="48" fillId="30" borderId="0" xfId="0" applyFont="1" applyFill="1" applyBorder="1"/>
    <xf numFmtId="0" fontId="68" fillId="0" borderId="0" xfId="0" applyFont="1" applyFill="1" applyBorder="1" applyAlignment="1">
      <alignment horizontal="left"/>
    </xf>
    <xf numFmtId="49" fontId="91" fillId="0" borderId="0" xfId="0" applyNumberFormat="1" applyFont="1" applyAlignment="1">
      <alignment horizontal="left" vertical="center"/>
    </xf>
    <xf numFmtId="0" fontId="92" fillId="0" borderId="0" xfId="0" applyFont="1" applyBorder="1" applyAlignment="1">
      <alignment vertical="center" wrapText="1"/>
    </xf>
    <xf numFmtId="49" fontId="48" fillId="0" borderId="0" xfId="0" applyNumberFormat="1" applyFont="1" applyFill="1" applyBorder="1" applyAlignment="1" applyProtection="1">
      <alignment horizontal="left" vertical="center"/>
    </xf>
    <xf numFmtId="0" fontId="93" fillId="0" borderId="0" xfId="0" applyFont="1"/>
    <xf numFmtId="0" fontId="94" fillId="0" borderId="0" xfId="0" applyFont="1"/>
    <xf numFmtId="0" fontId="54" fillId="0" borderId="0" xfId="0" applyFont="1" applyFill="1" applyBorder="1" applyAlignment="1">
      <alignment horizontal="left" wrapText="1"/>
    </xf>
    <xf numFmtId="0" fontId="36" fillId="0" borderId="23" xfId="0" applyFont="1" applyFill="1" applyBorder="1" applyAlignment="1">
      <alignment horizontal="left" wrapText="1"/>
    </xf>
    <xf numFmtId="49" fontId="41" fillId="29" borderId="0" xfId="49" applyNumberFormat="1" applyFont="1" applyFill="1" applyBorder="1" applyAlignment="1">
      <alignment horizontal="center" vertical="center"/>
    </xf>
    <xf numFmtId="171" fontId="36" fillId="29" borderId="0" xfId="49" applyNumberFormat="1" applyFont="1" applyFill="1" applyBorder="1" applyAlignment="1">
      <alignment horizontal="left" vertical="center"/>
    </xf>
    <xf numFmtId="171" fontId="57" fillId="0" borderId="0" xfId="0" applyNumberFormat="1" applyFont="1" applyAlignment="1">
      <alignment horizontal="left" vertical="center"/>
    </xf>
    <xf numFmtId="171" fontId="48" fillId="0" borderId="0" xfId="0" applyNumberFormat="1" applyFont="1" applyAlignment="1">
      <alignment horizontal="center" vertical="center"/>
    </xf>
    <xf numFmtId="171" fontId="36" fillId="0" borderId="0" xfId="49" applyNumberFormat="1" applyFont="1" applyFill="1" applyBorder="1" applyAlignment="1">
      <alignment horizontal="left" vertical="center" wrapText="1"/>
    </xf>
    <xf numFmtId="171" fontId="57" fillId="0" borderId="0" xfId="0" applyNumberFormat="1" applyFont="1" applyAlignment="1">
      <alignment horizontal="center" vertical="center"/>
    </xf>
    <xf numFmtId="171" fontId="54" fillId="0" borderId="0" xfId="0" applyNumberFormat="1" applyFont="1" applyFill="1" applyBorder="1" applyAlignment="1">
      <alignment horizontal="left" vertical="center" wrapText="1"/>
    </xf>
    <xf numFmtId="171" fontId="48" fillId="0" borderId="0" xfId="0" applyNumberFormat="1" applyFont="1" applyAlignment="1">
      <alignment horizontal="left" vertical="center"/>
    </xf>
    <xf numFmtId="49" fontId="35" fillId="0" borderId="0" xfId="0" applyNumberFormat="1" applyFont="1" applyAlignment="1">
      <alignment horizontal="center" vertical="center" wrapText="1"/>
    </xf>
    <xf numFmtId="171" fontId="79" fillId="0" borderId="0" xfId="0" applyNumberFormat="1" applyFont="1" applyAlignment="1">
      <alignment horizontal="left" vertical="center" wrapText="1"/>
    </xf>
    <xf numFmtId="171" fontId="78" fillId="0" borderId="0" xfId="0" applyNumberFormat="1" applyFont="1" applyAlignment="1">
      <alignment horizontal="left" vertical="center" wrapText="1"/>
    </xf>
    <xf numFmtId="171" fontId="78" fillId="0" borderId="0" xfId="0" applyNumberFormat="1" applyFont="1" applyAlignment="1">
      <alignment horizontal="left" vertical="top" wrapText="1"/>
    </xf>
    <xf numFmtId="171" fontId="48" fillId="0" borderId="0" xfId="0" applyNumberFormat="1" applyFont="1" applyAlignment="1">
      <alignment horizontal="left" vertical="center" wrapText="1"/>
    </xf>
    <xf numFmtId="171" fontId="78" fillId="0" borderId="0" xfId="0" applyNumberFormat="1" applyFont="1" applyBorder="1" applyAlignment="1">
      <alignment horizontal="left" vertical="center" wrapText="1"/>
    </xf>
    <xf numFmtId="171" fontId="35" fillId="0" borderId="0" xfId="0" applyNumberFormat="1" applyFont="1" applyAlignment="1">
      <alignment horizontal="left" vertical="center" wrapText="1"/>
    </xf>
    <xf numFmtId="49" fontId="35" fillId="0" borderId="0" xfId="0" applyNumberFormat="1" applyFont="1" applyBorder="1" applyAlignment="1">
      <alignment horizontal="center" vertical="center" wrapText="1"/>
    </xf>
    <xf numFmtId="171" fontId="35" fillId="0" borderId="0" xfId="0" applyNumberFormat="1" applyFont="1" applyBorder="1" applyAlignment="1">
      <alignment horizontal="left" vertical="center" wrapText="1"/>
    </xf>
    <xf numFmtId="171" fontId="35" fillId="0" borderId="0" xfId="0" applyNumberFormat="1" applyFont="1" applyBorder="1" applyAlignment="1">
      <alignment horizontal="center" vertical="center" wrapText="1"/>
    </xf>
    <xf numFmtId="171" fontId="41" fillId="0" borderId="35" xfId="1" applyNumberFormat="1" applyFont="1" applyFill="1" applyBorder="1" applyAlignment="1">
      <alignment horizontal="left" vertical="center" wrapText="1"/>
    </xf>
    <xf numFmtId="171" fontId="48" fillId="0" borderId="0" xfId="0" applyNumberFormat="1" applyFont="1" applyBorder="1" applyAlignment="1">
      <alignment horizontal="center" vertical="center"/>
    </xf>
    <xf numFmtId="171" fontId="35" fillId="0" borderId="0" xfId="1" applyNumberFormat="1" applyFont="1" applyBorder="1" applyAlignment="1">
      <alignment horizontal="center" vertical="center" wrapText="1"/>
    </xf>
    <xf numFmtId="171" fontId="35" fillId="0" borderId="0" xfId="1" applyNumberFormat="1" applyFont="1" applyFill="1" applyBorder="1" applyAlignment="1">
      <alignment horizontal="left" vertical="center" wrapText="1"/>
    </xf>
    <xf numFmtId="171" fontId="57" fillId="0" borderId="21" xfId="0" applyNumberFormat="1" applyFont="1" applyBorder="1" applyAlignment="1">
      <alignment vertical="center" wrapText="1"/>
    </xf>
    <xf numFmtId="171" fontId="36" fillId="0" borderId="32" xfId="1" applyNumberFormat="1" applyFont="1" applyFill="1" applyBorder="1" applyAlignment="1">
      <alignment horizontal="left" vertical="center" wrapText="1"/>
    </xf>
    <xf numFmtId="171" fontId="57" fillId="0" borderId="0" xfId="0" applyNumberFormat="1" applyFont="1" applyBorder="1" applyAlignment="1">
      <alignment vertical="center" wrapText="1"/>
    </xf>
    <xf numFmtId="3" fontId="41" fillId="29" borderId="0" xfId="49" applyNumberFormat="1" applyFont="1" applyFill="1" applyBorder="1" applyAlignment="1">
      <alignment horizontal="center" vertical="center"/>
    </xf>
    <xf numFmtId="3" fontId="36" fillId="29" borderId="0" xfId="49" applyNumberFormat="1" applyFont="1" applyFill="1" applyBorder="1" applyAlignment="1">
      <alignment horizontal="left" vertical="center"/>
    </xf>
    <xf numFmtId="3" fontId="41" fillId="29" borderId="0" xfId="0" applyNumberFormat="1" applyFont="1" applyFill="1" applyAlignment="1">
      <alignment horizontal="left" vertical="center" wrapText="1"/>
    </xf>
    <xf numFmtId="0" fontId="41" fillId="29" borderId="0" xfId="49" applyNumberFormat="1" applyFont="1" applyFill="1" applyBorder="1" applyAlignment="1">
      <alignment horizontal="center" vertical="center"/>
    </xf>
    <xf numFmtId="0" fontId="74" fillId="0" borderId="0" xfId="0" applyFont="1" applyAlignment="1">
      <alignment horizontal="center" vertical="center"/>
    </xf>
    <xf numFmtId="0" fontId="74" fillId="0" borderId="0" xfId="0" applyFont="1"/>
    <xf numFmtId="0" fontId="74" fillId="0" borderId="0" xfId="0" applyFont="1" applyBorder="1"/>
    <xf numFmtId="0" fontId="48" fillId="0" borderId="0" xfId="0" applyFont="1" applyBorder="1" applyAlignment="1">
      <alignment vertical="center" wrapText="1"/>
    </xf>
    <xf numFmtId="0" fontId="48" fillId="0" borderId="0" xfId="0" applyFont="1" applyFill="1" applyBorder="1" applyAlignment="1">
      <alignment vertical="center" wrapText="1"/>
    </xf>
    <xf numFmtId="0" fontId="48" fillId="0" borderId="0" xfId="0" applyFont="1" applyFill="1" applyAlignment="1">
      <alignment horizontal="left"/>
    </xf>
    <xf numFmtId="0" fontId="41" fillId="29" borderId="0" xfId="49" applyFont="1" applyFill="1" applyBorder="1" applyAlignment="1">
      <alignment horizontal="center" vertical="center"/>
    </xf>
    <xf numFmtId="3" fontId="41" fillId="29" borderId="0" xfId="49" applyNumberFormat="1" applyFont="1" applyFill="1" applyBorder="1" applyAlignment="1">
      <alignment horizontal="left" vertical="center"/>
    </xf>
    <xf numFmtId="3" fontId="36" fillId="29" borderId="0" xfId="49" applyNumberFormat="1" applyFont="1" applyFill="1" applyBorder="1" applyAlignment="1">
      <alignment horizontal="center" vertical="center"/>
    </xf>
    <xf numFmtId="0" fontId="48" fillId="0" borderId="0" xfId="0" applyFont="1" applyFill="1" applyAlignment="1">
      <alignment horizontal="center" vertical="center"/>
    </xf>
    <xf numFmtId="3" fontId="68" fillId="0" borderId="0" xfId="49" applyNumberFormat="1" applyFont="1" applyFill="1" applyBorder="1" applyAlignment="1">
      <alignment horizontal="center" vertical="center"/>
    </xf>
    <xf numFmtId="0" fontId="68" fillId="0" borderId="0" xfId="49" applyNumberFormat="1" applyFont="1" applyFill="1" applyBorder="1" applyAlignment="1">
      <alignment horizontal="center" vertical="center"/>
    </xf>
    <xf numFmtId="49" fontId="48" fillId="0" borderId="0" xfId="0" applyNumberFormat="1" applyFont="1" applyFill="1" applyBorder="1" applyAlignment="1" applyProtection="1">
      <alignment horizontal="left" vertical="top"/>
    </xf>
    <xf numFmtId="49" fontId="91" fillId="0" borderId="0" xfId="0" applyNumberFormat="1" applyFont="1" applyFill="1" applyAlignment="1">
      <alignment horizontal="left"/>
    </xf>
    <xf numFmtId="0" fontId="91" fillId="0" borderId="0" xfId="0" applyFont="1" applyFill="1"/>
    <xf numFmtId="0" fontId="91" fillId="0" borderId="0" xfId="0" applyFont="1" applyFill="1" applyAlignment="1">
      <alignment vertical="center"/>
    </xf>
    <xf numFmtId="49" fontId="73" fillId="0" borderId="0" xfId="0" applyNumberFormat="1" applyFont="1" applyAlignment="1">
      <alignment horizontal="left" vertical="center"/>
    </xf>
    <xf numFmtId="0" fontId="92" fillId="0" borderId="0" xfId="0" applyFont="1" applyAlignment="1">
      <alignment horizontal="center" vertical="center"/>
    </xf>
    <xf numFmtId="49" fontId="92" fillId="0" borderId="0" xfId="0" applyNumberFormat="1" applyFont="1" applyAlignment="1">
      <alignment horizontal="left" vertical="center"/>
    </xf>
    <xf numFmtId="0" fontId="87" fillId="0" borderId="0" xfId="0" applyFont="1" applyAlignment="1">
      <alignment horizontal="center" vertical="center" wrapText="1"/>
    </xf>
    <xf numFmtId="0" fontId="92" fillId="0" borderId="0" xfId="0" applyFont="1" applyFill="1" applyBorder="1"/>
    <xf numFmtId="0" fontId="92" fillId="0" borderId="0" xfId="0" applyFont="1" applyBorder="1"/>
    <xf numFmtId="0" fontId="92" fillId="0" borderId="0" xfId="0" applyFont="1"/>
    <xf numFmtId="3" fontId="85" fillId="0" borderId="0" xfId="0" applyNumberFormat="1" applyFont="1" applyAlignment="1">
      <alignment horizontal="left" vertical="center" wrapText="1"/>
    </xf>
    <xf numFmtId="0" fontId="41" fillId="26" borderId="0" xfId="49" applyFont="1" applyFill="1" applyBorder="1" applyAlignment="1">
      <alignment horizontal="center" vertical="center"/>
    </xf>
    <xf numFmtId="3" fontId="36" fillId="26" borderId="0" xfId="49" applyNumberFormat="1" applyFont="1" applyFill="1" applyBorder="1" applyAlignment="1">
      <alignment horizontal="left" vertical="center"/>
    </xf>
    <xf numFmtId="49" fontId="41" fillId="26" borderId="0" xfId="49" applyNumberFormat="1" applyFont="1" applyFill="1" applyBorder="1" applyAlignment="1">
      <alignment horizontal="center" vertical="center"/>
    </xf>
    <xf numFmtId="0" fontId="46" fillId="0" borderId="0" xfId="0" applyFont="1" applyFill="1" applyBorder="1" applyAlignment="1" applyProtection="1"/>
    <xf numFmtId="3" fontId="36" fillId="0" borderId="0" xfId="0" applyNumberFormat="1" applyFont="1" applyBorder="1" applyAlignment="1">
      <alignment horizontal="left" vertical="center"/>
    </xf>
    <xf numFmtId="3" fontId="41" fillId="33" borderId="0" xfId="49" applyNumberFormat="1" applyFont="1" applyFill="1" applyBorder="1" applyAlignment="1">
      <alignment horizontal="center" vertical="center"/>
    </xf>
    <xf numFmtId="49" fontId="41" fillId="33" borderId="0" xfId="49" applyNumberFormat="1" applyFont="1" applyFill="1" applyBorder="1" applyAlignment="1">
      <alignment horizontal="center" vertical="center"/>
    </xf>
    <xf numFmtId="3" fontId="36" fillId="33" borderId="0" xfId="49" applyNumberFormat="1" applyFont="1" applyFill="1" applyBorder="1" applyAlignment="1">
      <alignment horizontal="left" vertical="center"/>
    </xf>
    <xf numFmtId="3" fontId="35" fillId="0" borderId="0" xfId="51" applyNumberFormat="1" applyFont="1" applyFill="1" applyBorder="1" applyAlignment="1">
      <alignment horizontal="right" vertical="center" wrapText="1"/>
    </xf>
    <xf numFmtId="3" fontId="41" fillId="0" borderId="0" xfId="1" applyNumberFormat="1" applyFont="1" applyFill="1" applyBorder="1" applyAlignment="1">
      <alignment horizontal="left" vertical="center" wrapText="1"/>
    </xf>
    <xf numFmtId="49" fontId="48" fillId="0" borderId="0" xfId="0" applyNumberFormat="1" applyFont="1" applyFill="1" applyAlignment="1">
      <alignment horizontal="left" vertical="center"/>
    </xf>
    <xf numFmtId="3" fontId="41" fillId="0" borderId="0" xfId="0" applyNumberFormat="1" applyFont="1" applyFill="1" applyAlignment="1">
      <alignment horizontal="left" vertical="center" wrapText="1"/>
    </xf>
    <xf numFmtId="0" fontId="48" fillId="37" borderId="0" xfId="0" applyFont="1" applyFill="1" applyAlignment="1">
      <alignment horizontal="center" vertical="center"/>
    </xf>
    <xf numFmtId="49" fontId="48" fillId="37" borderId="0" xfId="0" applyNumberFormat="1" applyFont="1" applyFill="1" applyAlignment="1">
      <alignment horizontal="left" vertical="center"/>
    </xf>
    <xf numFmtId="0" fontId="57" fillId="37" borderId="0" xfId="0" applyFont="1" applyFill="1" applyBorder="1" applyAlignment="1">
      <alignment vertical="center" wrapText="1"/>
    </xf>
    <xf numFmtId="171" fontId="41" fillId="29" borderId="0" xfId="49" applyNumberFormat="1" applyFont="1" applyFill="1" applyBorder="1" applyAlignment="1">
      <alignment horizontal="center" vertical="center"/>
    </xf>
    <xf numFmtId="171" fontId="48" fillId="0" borderId="0" xfId="0" applyNumberFormat="1" applyFont="1"/>
    <xf numFmtId="171" fontId="48" fillId="0" borderId="0" xfId="0" applyNumberFormat="1" applyFont="1" applyBorder="1"/>
    <xf numFmtId="171" fontId="48" fillId="0" borderId="0" xfId="0" applyNumberFormat="1" applyFont="1" applyAlignment="1">
      <alignment vertical="center" wrapText="1"/>
    </xf>
    <xf numFmtId="3" fontId="41" fillId="26" borderId="0" xfId="0" applyNumberFormat="1" applyFont="1" applyFill="1" applyBorder="1" applyAlignment="1">
      <alignment wrapText="1"/>
    </xf>
    <xf numFmtId="0" fontId="41" fillId="26" borderId="0" xfId="0" applyNumberFormat="1" applyFont="1" applyFill="1" applyBorder="1" applyAlignment="1">
      <alignment horizontal="center" vertical="center" wrapText="1"/>
    </xf>
    <xf numFmtId="3" fontId="41" fillId="26" borderId="0" xfId="0" applyNumberFormat="1" applyFont="1" applyFill="1" applyBorder="1" applyAlignment="1">
      <alignment horizontal="center" vertical="center" wrapText="1"/>
    </xf>
    <xf numFmtId="3" fontId="36" fillId="26" borderId="0" xfId="0" applyNumberFormat="1" applyFont="1" applyFill="1" applyBorder="1" applyAlignment="1">
      <alignment horizontal="left" vertical="center"/>
    </xf>
    <xf numFmtId="3" fontId="35" fillId="0" borderId="0" xfId="0" applyNumberFormat="1" applyFont="1" applyFill="1" applyBorder="1" applyAlignment="1">
      <alignment horizontal="right" vertical="center" wrapText="1"/>
    </xf>
    <xf numFmtId="49" fontId="35" fillId="26" borderId="0" xfId="0" applyNumberFormat="1" applyFont="1" applyFill="1" applyAlignment="1">
      <alignment horizontal="center" vertical="center" wrapText="1"/>
    </xf>
    <xf numFmtId="3" fontId="36" fillId="26" borderId="0" xfId="0" applyNumberFormat="1" applyFont="1" applyFill="1" applyBorder="1" applyAlignment="1">
      <alignment vertical="center" wrapText="1"/>
    </xf>
    <xf numFmtId="3" fontId="36" fillId="0" borderId="0" xfId="0" applyNumberFormat="1" applyFont="1" applyFill="1" applyBorder="1" applyAlignment="1">
      <alignment horizontal="right" vertical="center" wrapText="1"/>
    </xf>
    <xf numFmtId="3" fontId="35" fillId="0" borderId="0" xfId="50" applyNumberFormat="1" applyFont="1" applyFill="1" applyBorder="1" applyAlignment="1">
      <alignment horizontal="right" vertical="center" wrapText="1"/>
    </xf>
    <xf numFmtId="0" fontId="77" fillId="0" borderId="0" xfId="0" applyFont="1" applyFill="1" applyAlignment="1">
      <alignment horizontal="center" vertical="center"/>
    </xf>
    <xf numFmtId="49" fontId="77" fillId="0" borderId="0" xfId="0" applyNumberFormat="1" applyFont="1" applyFill="1" applyAlignment="1">
      <alignment horizontal="left" vertical="center"/>
    </xf>
    <xf numFmtId="0" fontId="75" fillId="0" borderId="0" xfId="0" applyFont="1" applyFill="1" applyBorder="1" applyAlignment="1">
      <alignment vertical="center" wrapText="1"/>
    </xf>
    <xf numFmtId="3" fontId="36" fillId="26" borderId="0" xfId="0" applyNumberFormat="1" applyFont="1" applyFill="1" applyBorder="1" applyAlignment="1">
      <alignment horizontal="left" vertical="center" wrapText="1"/>
    </xf>
    <xf numFmtId="0" fontId="57" fillId="0" borderId="0" xfId="0" applyFont="1" applyBorder="1"/>
    <xf numFmtId="0" fontId="48" fillId="29" borderId="0" xfId="0" applyFont="1" applyFill="1" applyAlignment="1">
      <alignment vertical="center" wrapText="1"/>
    </xf>
    <xf numFmtId="0" fontId="91" fillId="0" borderId="0" xfId="0" applyFont="1" applyAlignment="1">
      <alignment horizontal="center" vertical="center" wrapText="1"/>
    </xf>
    <xf numFmtId="0" fontId="35" fillId="0" borderId="0" xfId="0" applyFont="1" applyBorder="1" applyAlignment="1">
      <alignment horizontal="left" vertical="top" wrapText="1"/>
    </xf>
    <xf numFmtId="0" fontId="89" fillId="0" borderId="0" xfId="0" applyFont="1" applyAlignment="1">
      <alignment horizontal="center" vertical="center"/>
    </xf>
    <xf numFmtId="49" fontId="89" fillId="0" borderId="0" xfId="0" applyNumberFormat="1" applyFont="1" applyAlignment="1">
      <alignment horizontal="left" vertical="center"/>
    </xf>
    <xf numFmtId="0" fontId="89" fillId="0" borderId="0" xfId="0" applyFont="1" applyAlignment="1">
      <alignment vertical="center" wrapText="1"/>
    </xf>
    <xf numFmtId="3" fontId="89" fillId="0" borderId="0" xfId="47" applyNumberFormat="1" applyFont="1" applyAlignment="1">
      <alignment horizontal="right" vertical="center"/>
    </xf>
    <xf numFmtId="3" fontId="89" fillId="0" borderId="0" xfId="47" applyNumberFormat="1" applyFont="1" applyAlignment="1">
      <alignment vertical="center"/>
    </xf>
    <xf numFmtId="1" fontId="48" fillId="0" borderId="0" xfId="0" applyNumberFormat="1" applyFont="1" applyBorder="1"/>
    <xf numFmtId="4" fontId="48" fillId="0" borderId="20" xfId="48" applyNumberFormat="1" applyFont="1" applyBorder="1" applyAlignment="1">
      <alignment vertical="center"/>
    </xf>
    <xf numFmtId="4" fontId="48" fillId="0" borderId="18" xfId="48" applyNumberFormat="1" applyFont="1" applyBorder="1" applyAlignment="1">
      <alignment vertical="center"/>
    </xf>
    <xf numFmtId="4" fontId="91" fillId="31" borderId="11" xfId="48" applyNumberFormat="1" applyFont="1" applyFill="1" applyBorder="1" applyAlignment="1">
      <alignment vertical="center"/>
    </xf>
    <xf numFmtId="4" fontId="48" fillId="0" borderId="20" xfId="0" applyNumberFormat="1" applyFont="1" applyBorder="1" applyAlignment="1">
      <alignment vertical="center"/>
    </xf>
    <xf numFmtId="4" fontId="48" fillId="0" borderId="20" xfId="47" applyNumberFormat="1" applyFont="1" applyBorder="1" applyAlignment="1">
      <alignment vertical="center"/>
    </xf>
    <xf numFmtId="4" fontId="48" fillId="0" borderId="52" xfId="0" applyNumberFormat="1" applyFont="1" applyBorder="1"/>
    <xf numFmtId="4" fontId="48" fillId="0" borderId="18" xfId="0" applyNumberFormat="1" applyFont="1" applyBorder="1" applyAlignment="1">
      <alignment vertical="center"/>
    </xf>
    <xf numFmtId="4" fontId="48" fillId="0" borderId="18" xfId="47" applyNumberFormat="1" applyFont="1" applyBorder="1" applyAlignment="1">
      <alignment vertical="center"/>
    </xf>
    <xf numFmtId="4" fontId="48" fillId="0" borderId="25" xfId="0" applyNumberFormat="1" applyFont="1" applyBorder="1" applyAlignment="1">
      <alignment vertical="center"/>
    </xf>
    <xf numFmtId="4" fontId="47" fillId="0" borderId="18" xfId="0" applyNumberFormat="1" applyFont="1" applyFill="1" applyBorder="1" applyAlignment="1" applyProtection="1">
      <alignment vertical="center"/>
    </xf>
    <xf numFmtId="4" fontId="48" fillId="0" borderId="39" xfId="0" applyNumberFormat="1" applyFont="1" applyBorder="1" applyAlignment="1">
      <alignment vertical="center"/>
    </xf>
    <xf numFmtId="4" fontId="48" fillId="31" borderId="52" xfId="48" applyNumberFormat="1" applyFont="1" applyFill="1" applyBorder="1" applyAlignment="1">
      <alignment vertical="center"/>
    </xf>
    <xf numFmtId="4" fontId="57" fillId="31" borderId="11" xfId="0" applyNumberFormat="1" applyFont="1" applyFill="1" applyBorder="1" applyAlignment="1">
      <alignment vertical="center"/>
    </xf>
    <xf numFmtId="4" fontId="57" fillId="31" borderId="11" xfId="47" applyNumberFormat="1" applyFont="1" applyFill="1" applyBorder="1" applyAlignment="1">
      <alignment vertical="center"/>
    </xf>
    <xf numFmtId="4" fontId="46" fillId="31" borderId="11" xfId="47" applyNumberFormat="1" applyFont="1" applyFill="1" applyBorder="1" applyAlignment="1" applyProtection="1">
      <alignment vertical="center"/>
    </xf>
    <xf numFmtId="4" fontId="48" fillId="0" borderId="25" xfId="0" applyNumberFormat="1" applyFont="1" applyFill="1" applyBorder="1" applyAlignment="1">
      <alignment vertical="center"/>
    </xf>
    <xf numFmtId="4" fontId="48" fillId="0" borderId="39" xfId="0" applyNumberFormat="1" applyFont="1" applyFill="1" applyBorder="1" applyAlignment="1">
      <alignment vertical="center"/>
    </xf>
    <xf numFmtId="4" fontId="47" fillId="0" borderId="20" xfId="0" applyNumberFormat="1" applyFont="1" applyFill="1" applyBorder="1" applyAlignment="1" applyProtection="1">
      <alignment vertical="center"/>
    </xf>
    <xf numFmtId="4" fontId="47" fillId="0" borderId="25" xfId="0" applyNumberFormat="1" applyFont="1" applyFill="1" applyBorder="1" applyAlignment="1" applyProtection="1">
      <alignment vertical="center"/>
    </xf>
    <xf numFmtId="4" fontId="48" fillId="0" borderId="20" xfId="47" applyNumberFormat="1" applyFont="1" applyFill="1" applyBorder="1" applyAlignment="1">
      <alignment vertical="center"/>
    </xf>
    <xf numFmtId="4" fontId="23" fillId="34" borderId="0" xfId="0" applyNumberFormat="1" applyFont="1" applyFill="1" applyBorder="1" applyAlignment="1">
      <alignment horizontal="right" vertical="center" wrapText="1"/>
    </xf>
    <xf numFmtId="4" fontId="37" fillId="20" borderId="0" xfId="29" applyNumberFormat="1" applyFont="1" applyFill="1" applyBorder="1" applyAlignment="1" applyProtection="1">
      <alignment horizontal="right" vertical="center" wrapText="1"/>
    </xf>
    <xf numFmtId="4" fontId="23" fillId="0" borderId="0" xfId="29" applyNumberFormat="1" applyFont="1" applyFill="1" applyBorder="1" applyAlignment="1" applyProtection="1">
      <alignment horizontal="right" vertical="center" wrapText="1"/>
    </xf>
    <xf numFmtId="4" fontId="37" fillId="34" borderId="0" xfId="29" applyNumberFormat="1" applyFont="1" applyFill="1" applyBorder="1" applyAlignment="1" applyProtection="1">
      <alignment horizontal="right" vertical="center" wrapText="1"/>
    </xf>
    <xf numFmtId="4" fontId="37" fillId="20" borderId="0" xfId="47" applyNumberFormat="1" applyFont="1" applyFill="1" applyAlignment="1">
      <alignment horizontal="right" vertical="center" wrapText="1"/>
    </xf>
    <xf numFmtId="4" fontId="37" fillId="20" borderId="0" xfId="0" applyNumberFormat="1" applyFont="1" applyFill="1" applyAlignment="1">
      <alignment horizontal="right" vertical="center" wrapText="1"/>
    </xf>
    <xf numFmtId="4" fontId="37" fillId="4" borderId="0" xfId="0" applyNumberFormat="1" applyFont="1" applyFill="1" applyAlignment="1">
      <alignment horizontal="right" vertical="center" wrapText="1"/>
    </xf>
    <xf numFmtId="4" fontId="46" fillId="0" borderId="0" xfId="0" applyNumberFormat="1" applyFont="1" applyFill="1" applyBorder="1" applyAlignment="1" applyProtection="1">
      <alignment vertical="top"/>
    </xf>
    <xf numFmtId="49" fontId="53" fillId="38" borderId="18" xfId="0" applyNumberFormat="1" applyFont="1" applyFill="1" applyBorder="1" applyAlignment="1">
      <alignment horizontal="center" vertical="center" wrapText="1"/>
    </xf>
    <xf numFmtId="49" fontId="38" fillId="38" borderId="18" xfId="0" applyNumberFormat="1" applyFont="1" applyFill="1" applyBorder="1" applyAlignment="1">
      <alignment vertical="center" wrapText="1"/>
    </xf>
    <xf numFmtId="4" fontId="38" fillId="30" borderId="18" xfId="29" applyNumberFormat="1" applyFont="1" applyFill="1" applyBorder="1" applyAlignment="1" applyProtection="1">
      <alignment horizontal="right" vertical="center" wrapText="1"/>
    </xf>
    <xf numFmtId="4" fontId="95" fillId="38" borderId="18" xfId="29" applyNumberFormat="1" applyFont="1" applyFill="1" applyBorder="1" applyAlignment="1" applyProtection="1">
      <alignment horizontal="right" vertical="center" wrapText="1"/>
    </xf>
    <xf numFmtId="4" fontId="95" fillId="38" borderId="25" xfId="29" applyNumberFormat="1" applyFont="1" applyFill="1" applyBorder="1" applyAlignment="1" applyProtection="1">
      <alignment horizontal="right" vertical="center" wrapText="1"/>
    </xf>
    <xf numFmtId="172" fontId="51" fillId="0" borderId="11" xfId="0" applyNumberFormat="1" applyFont="1" applyBorder="1" applyAlignment="1">
      <alignment horizontal="right" wrapText="1"/>
    </xf>
    <xf numFmtId="172" fontId="52" fillId="0" borderId="11" xfId="0" applyNumberFormat="1" applyFont="1" applyBorder="1" applyAlignment="1">
      <alignment horizontal="right" wrapText="1"/>
    </xf>
    <xf numFmtId="172" fontId="2" fillId="0" borderId="11" xfId="0" applyNumberFormat="1" applyFont="1" applyBorder="1" applyAlignment="1">
      <alignment horizontal="right" wrapText="1"/>
    </xf>
    <xf numFmtId="172" fontId="65" fillId="0" borderId="11" xfId="0" applyNumberFormat="1" applyFont="1" applyBorder="1" applyAlignment="1">
      <alignment horizontal="right" wrapText="1"/>
    </xf>
    <xf numFmtId="172" fontId="66" fillId="0" borderId="11" xfId="0" applyNumberFormat="1" applyFont="1" applyBorder="1" applyAlignment="1">
      <alignment horizontal="right" wrapText="1"/>
    </xf>
    <xf numFmtId="4" fontId="59" fillId="0" borderId="0" xfId="0" applyNumberFormat="1" applyFont="1" applyAlignment="1">
      <alignment horizontal="center" vertical="top" wrapText="1"/>
    </xf>
    <xf numFmtId="0" fontId="1" fillId="0" borderId="45" xfId="1" applyNumberFormat="1" applyFont="1" applyFill="1" applyBorder="1" applyAlignment="1">
      <alignment horizontal="center" vertical="center"/>
    </xf>
    <xf numFmtId="0" fontId="2" fillId="0" borderId="45" xfId="1" applyNumberFormat="1" applyFont="1" applyFill="1" applyBorder="1" applyAlignment="1">
      <alignment horizontal="center" vertical="center" wrapText="1"/>
    </xf>
    <xf numFmtId="0" fontId="1" fillId="31" borderId="45" xfId="1" applyNumberFormat="1" applyFont="1" applyFill="1" applyBorder="1" applyAlignment="1">
      <alignment horizontal="center" vertical="center"/>
    </xf>
    <xf numFmtId="0" fontId="2" fillId="0" borderId="45" xfId="1" applyNumberFormat="1" applyFont="1" applyFill="1" applyBorder="1" applyAlignment="1">
      <alignment horizontal="center" vertical="center"/>
    </xf>
    <xf numFmtId="49" fontId="1" fillId="31" borderId="45" xfId="1" applyNumberFormat="1" applyFont="1" applyFill="1" applyBorder="1" applyAlignment="1">
      <alignment horizontal="center" vertical="center"/>
    </xf>
    <xf numFmtId="0" fontId="1" fillId="0" borderId="66" xfId="1" applyNumberFormat="1" applyFont="1" applyFill="1" applyBorder="1" applyAlignment="1">
      <alignment horizontal="center" vertical="center"/>
    </xf>
    <xf numFmtId="0" fontId="2" fillId="0" borderId="16" xfId="1" applyNumberFormat="1" applyFont="1" applyFill="1" applyBorder="1" applyAlignment="1">
      <alignment horizontal="center" vertical="center"/>
    </xf>
    <xf numFmtId="4" fontId="0" fillId="0" borderId="0" xfId="0" applyNumberFormat="1"/>
    <xf numFmtId="0" fontId="58" fillId="0" borderId="0" xfId="0" applyFont="1" applyAlignment="1">
      <alignment horizontal="left" vertical="top" wrapText="1"/>
    </xf>
    <xf numFmtId="0" fontId="62" fillId="0" borderId="0" xfId="0" applyFont="1" applyAlignment="1">
      <alignment horizontal="left" vertical="top" wrapText="1"/>
    </xf>
    <xf numFmtId="0" fontId="63" fillId="0" borderId="0" xfId="0" applyFont="1" applyAlignment="1">
      <alignment horizontal="center" vertical="top" wrapText="1"/>
    </xf>
    <xf numFmtId="0" fontId="21" fillId="0" borderId="0" xfId="0" applyFont="1" applyBorder="1" applyAlignment="1">
      <alignment vertical="center"/>
    </xf>
    <xf numFmtId="0" fontId="21" fillId="0" borderId="0" xfId="0" applyFont="1" applyBorder="1" applyAlignment="1">
      <alignment horizontal="left" vertical="center" wrapText="1"/>
    </xf>
    <xf numFmtId="0" fontId="21" fillId="0" borderId="0" xfId="0" applyFont="1" applyBorder="1" applyAlignment="1">
      <alignment horizontal="center" vertical="center" wrapText="1"/>
    </xf>
    <xf numFmtId="4" fontId="58" fillId="0" borderId="0" xfId="0" applyNumberFormat="1" applyFont="1" applyAlignment="1">
      <alignment horizontal="center" vertical="top" wrapText="1"/>
    </xf>
    <xf numFmtId="4" fontId="97" fillId="0" borderId="0" xfId="0" applyNumberFormat="1" applyFont="1" applyAlignment="1">
      <alignment horizontal="center" vertical="top" wrapText="1"/>
    </xf>
    <xf numFmtId="0" fontId="97" fillId="0" borderId="0" xfId="0" applyFont="1" applyAlignment="1">
      <alignment horizontal="center" vertical="top" wrapText="1"/>
    </xf>
    <xf numFmtId="0" fontId="97" fillId="0" borderId="0" xfId="0" applyFont="1" applyAlignment="1">
      <alignment horizontal="left" vertical="top" wrapText="1"/>
    </xf>
    <xf numFmtId="0" fontId="21" fillId="0" borderId="0" xfId="0" applyFont="1" applyBorder="1" applyAlignment="1">
      <alignment vertical="center" wrapText="1"/>
    </xf>
    <xf numFmtId="0" fontId="21" fillId="0" borderId="0" xfId="0" applyFont="1" applyBorder="1" applyAlignment="1">
      <alignment horizontal="center" vertical="center"/>
    </xf>
    <xf numFmtId="0" fontId="21" fillId="0" borderId="0" xfId="0" applyFont="1" applyBorder="1" applyAlignment="1">
      <alignment vertical="top"/>
    </xf>
    <xf numFmtId="0" fontId="96" fillId="0" borderId="0" xfId="0" applyFont="1" applyAlignment="1">
      <alignment vertical="center"/>
    </xf>
    <xf numFmtId="0" fontId="43" fillId="0" borderId="0" xfId="0" applyFont="1" applyAlignment="1">
      <alignment horizontal="center" vertical="center"/>
    </xf>
    <xf numFmtId="0" fontId="43" fillId="0" borderId="0" xfId="0" applyFont="1" applyAlignment="1">
      <alignment horizontal="left" vertical="center" wrapText="1"/>
    </xf>
    <xf numFmtId="3" fontId="43" fillId="0" borderId="0" xfId="47" applyNumberFormat="1" applyFont="1" applyAlignment="1">
      <alignment vertical="center"/>
    </xf>
    <xf numFmtId="0" fontId="43" fillId="0" borderId="0" xfId="0" applyFont="1" applyAlignment="1">
      <alignment horizontal="center" vertical="center" wrapText="1"/>
    </xf>
    <xf numFmtId="0" fontId="100" fillId="0" borderId="0" xfId="0" applyFont="1" applyAlignment="1">
      <alignment horizontal="center" vertical="center" wrapText="1"/>
    </xf>
    <xf numFmtId="4" fontId="99" fillId="0" borderId="52" xfId="0" applyNumberFormat="1" applyFont="1" applyBorder="1"/>
    <xf numFmtId="4" fontId="48" fillId="0" borderId="0" xfId="47" applyNumberFormat="1" applyFont="1" applyAlignment="1">
      <alignment horizontal="center" vertical="center"/>
    </xf>
    <xf numFmtId="4" fontId="48" fillId="29" borderId="0" xfId="47" applyNumberFormat="1" applyFont="1" applyFill="1" applyAlignment="1">
      <alignment horizontal="center" vertical="center"/>
    </xf>
    <xf numFmtId="4" fontId="48" fillId="0" borderId="12" xfId="47" applyNumberFormat="1" applyFont="1" applyBorder="1" applyAlignment="1">
      <alignment horizontal="center" vertical="center"/>
    </xf>
    <xf numFmtId="4" fontId="48" fillId="33" borderId="0" xfId="47" applyNumberFormat="1" applyFont="1" applyFill="1" applyAlignment="1">
      <alignment horizontal="center" vertical="center"/>
    </xf>
    <xf numFmtId="4" fontId="48" fillId="29" borderId="12" xfId="47" applyNumberFormat="1" applyFont="1" applyFill="1" applyBorder="1" applyAlignment="1">
      <alignment horizontal="center" vertical="center"/>
    </xf>
    <xf numFmtId="49" fontId="42" fillId="42" borderId="11" xfId="0" applyNumberFormat="1" applyFont="1" applyFill="1" applyBorder="1" applyAlignment="1">
      <alignment horizontal="center" vertical="center" wrapText="1"/>
    </xf>
    <xf numFmtId="0" fontId="42" fillId="42" borderId="11" xfId="0" applyFont="1" applyFill="1" applyBorder="1" applyAlignment="1">
      <alignment horizontal="center" vertical="center" wrapText="1" shrinkToFit="1"/>
    </xf>
    <xf numFmtId="0" fontId="42" fillId="42" borderId="52" xfId="0" applyFont="1" applyFill="1" applyBorder="1" applyAlignment="1">
      <alignment horizontal="center" vertical="center" wrapText="1" shrinkToFit="1"/>
    </xf>
    <xf numFmtId="0" fontId="42" fillId="42" borderId="37" xfId="0" applyFont="1" applyFill="1" applyBorder="1" applyAlignment="1">
      <alignment horizontal="center" vertical="center" wrapText="1" shrinkToFit="1"/>
    </xf>
    <xf numFmtId="0" fontId="70" fillId="29" borderId="52" xfId="0" applyFont="1" applyFill="1" applyBorder="1" applyAlignment="1">
      <alignment horizontal="center" wrapText="1"/>
    </xf>
    <xf numFmtId="49" fontId="40" fillId="43" borderId="24" xfId="0" applyNumberFormat="1" applyFont="1" applyFill="1" applyBorder="1" applyAlignment="1">
      <alignment horizontal="center"/>
    </xf>
    <xf numFmtId="0" fontId="42" fillId="43" borderId="24" xfId="0" applyFont="1" applyFill="1" applyBorder="1" applyAlignment="1">
      <alignment horizontal="center" vertical="center"/>
    </xf>
    <xf numFmtId="4" fontId="42" fillId="43" borderId="24" xfId="29" applyNumberFormat="1" applyFont="1" applyFill="1" applyBorder="1" applyAlignment="1" applyProtection="1">
      <alignment horizontal="right" vertical="center" wrapText="1"/>
    </xf>
    <xf numFmtId="4" fontId="42" fillId="43" borderId="61" xfId="29" applyNumberFormat="1" applyFont="1" applyFill="1" applyBorder="1" applyAlignment="1" applyProtection="1">
      <alignment horizontal="right" vertical="center" wrapText="1"/>
    </xf>
    <xf numFmtId="4" fontId="42" fillId="44" borderId="54" xfId="48" applyNumberFormat="1" applyFont="1" applyFill="1" applyBorder="1" applyAlignment="1">
      <alignment horizontal="center" vertical="center" wrapText="1"/>
    </xf>
    <xf numFmtId="4" fontId="42" fillId="43" borderId="57" xfId="29" applyNumberFormat="1" applyFont="1" applyFill="1" applyBorder="1" applyAlignment="1" applyProtection="1">
      <alignment horizontal="right" vertical="center" wrapText="1"/>
    </xf>
    <xf numFmtId="4" fontId="99" fillId="29" borderId="52" xfId="0" applyNumberFormat="1" applyFont="1" applyFill="1" applyBorder="1"/>
    <xf numFmtId="4" fontId="99" fillId="31" borderId="52" xfId="0" applyNumberFormat="1" applyFont="1" applyFill="1" applyBorder="1"/>
    <xf numFmtId="0" fontId="41" fillId="42" borderId="11" xfId="1" applyFont="1" applyFill="1" applyBorder="1" applyAlignment="1">
      <alignment horizontal="center" vertical="center" wrapText="1"/>
    </xf>
    <xf numFmtId="4" fontId="48" fillId="29" borderId="52" xfId="0" applyNumberFormat="1" applyFont="1" applyFill="1" applyBorder="1"/>
    <xf numFmtId="4" fontId="48" fillId="31" borderId="52" xfId="0" applyNumberFormat="1" applyFont="1" applyFill="1" applyBorder="1"/>
    <xf numFmtId="0" fontId="41" fillId="45" borderId="11" xfId="1" applyFont="1" applyFill="1" applyBorder="1" applyAlignment="1">
      <alignment horizontal="left" vertical="center" wrapText="1"/>
    </xf>
    <xf numFmtId="3" fontId="41" fillId="45" borderId="11" xfId="47" applyNumberFormat="1" applyFont="1" applyFill="1" applyBorder="1" applyAlignment="1">
      <alignment vertical="center" wrapText="1"/>
    </xf>
    <xf numFmtId="4" fontId="41" fillId="45" borderId="11" xfId="48" applyNumberFormat="1" applyFont="1" applyFill="1" applyBorder="1" applyAlignment="1">
      <alignment vertical="center" wrapText="1"/>
    </xf>
    <xf numFmtId="4" fontId="41" fillId="45" borderId="11" xfId="1" applyNumberFormat="1" applyFont="1" applyFill="1" applyBorder="1" applyAlignment="1">
      <alignment vertical="center" wrapText="1"/>
    </xf>
    <xf numFmtId="4" fontId="41" fillId="45" borderId="11" xfId="47" applyNumberFormat="1" applyFont="1" applyFill="1" applyBorder="1" applyAlignment="1">
      <alignment vertical="center" wrapText="1"/>
    </xf>
    <xf numFmtId="168" fontId="38" fillId="45" borderId="20" xfId="0" applyNumberFormat="1" applyFont="1" applyFill="1" applyBorder="1" applyAlignment="1">
      <alignment horizontal="center" vertical="center" wrapText="1" shrinkToFit="1"/>
    </xf>
    <xf numFmtId="0" fontId="72" fillId="31" borderId="11" xfId="0" applyFont="1" applyFill="1" applyBorder="1" applyAlignment="1">
      <alignment horizontal="center" wrapText="1"/>
    </xf>
    <xf numFmtId="0" fontId="61" fillId="0" borderId="0" xfId="0" applyFont="1" applyAlignment="1">
      <alignment horizontal="left" vertical="top" wrapText="1"/>
    </xf>
    <xf numFmtId="0" fontId="58" fillId="0" borderId="0" xfId="0" applyFont="1" applyAlignment="1">
      <alignment horizontal="left" vertical="top" wrapText="1"/>
    </xf>
    <xf numFmtId="0" fontId="62" fillId="0" borderId="0" xfId="0" applyFont="1" applyAlignment="1">
      <alignment horizontal="left" vertical="top" wrapText="1"/>
    </xf>
    <xf numFmtId="0" fontId="1" fillId="31" borderId="10" xfId="1" applyFont="1" applyFill="1" applyBorder="1" applyAlignment="1">
      <alignment horizontal="left" vertical="center" wrapText="1"/>
    </xf>
    <xf numFmtId="3" fontId="2" fillId="0" borderId="10" xfId="1" applyNumberFormat="1" applyFont="1" applyFill="1" applyBorder="1" applyAlignment="1">
      <alignment vertical="center" wrapText="1"/>
    </xf>
    <xf numFmtId="0" fontId="21" fillId="0" borderId="0" xfId="0" applyFont="1" applyBorder="1" applyAlignment="1">
      <alignment horizontal="left" vertical="center" wrapText="1"/>
    </xf>
    <xf numFmtId="0" fontId="1" fillId="31" borderId="37" xfId="1" applyFont="1" applyFill="1" applyBorder="1" applyAlignment="1">
      <alignment horizontal="center" vertical="center" wrapText="1"/>
    </xf>
    <xf numFmtId="0" fontId="1" fillId="31" borderId="50" xfId="1" applyFont="1" applyFill="1" applyBorder="1" applyAlignment="1">
      <alignment horizontal="center" vertical="center" wrapText="1"/>
    </xf>
    <xf numFmtId="4" fontId="59" fillId="0" borderId="64" xfId="0" applyNumberFormat="1" applyFont="1" applyBorder="1" applyAlignment="1">
      <alignment horizontal="center" vertical="center" wrapText="1"/>
    </xf>
    <xf numFmtId="4" fontId="59" fillId="0" borderId="65" xfId="0" applyNumberFormat="1" applyFont="1" applyBorder="1" applyAlignment="1">
      <alignment horizontal="center" vertical="center" wrapText="1"/>
    </xf>
    <xf numFmtId="0" fontId="21" fillId="0" borderId="0" xfId="0" applyFont="1" applyBorder="1" applyAlignment="1">
      <alignment horizontal="center" vertical="center" wrapText="1"/>
    </xf>
    <xf numFmtId="0" fontId="69" fillId="0" borderId="0" xfId="0" applyFont="1" applyBorder="1" applyAlignment="1">
      <alignment horizontal="left" vertical="center" wrapText="1"/>
    </xf>
    <xf numFmtId="0" fontId="22" fillId="0" borderId="0" xfId="0" applyFont="1" applyAlignment="1">
      <alignment horizontal="left" wrapText="1"/>
    </xf>
    <xf numFmtId="0" fontId="63" fillId="0" borderId="0" xfId="0" applyFont="1" applyAlignment="1">
      <alignment horizontal="center" vertical="top" wrapText="1"/>
    </xf>
    <xf numFmtId="0" fontId="0" fillId="0" borderId="0" xfId="0" applyAlignment="1">
      <alignment horizontal="left" vertical="top" wrapText="1"/>
    </xf>
    <xf numFmtId="0" fontId="67" fillId="0" borderId="0" xfId="0" applyFont="1" applyAlignment="1">
      <alignment horizontal="center" vertical="top" wrapText="1"/>
    </xf>
    <xf numFmtId="3" fontId="1" fillId="31" borderId="37" xfId="1" applyNumberFormat="1" applyFont="1" applyFill="1" applyBorder="1" applyAlignment="1">
      <alignment horizontal="left" vertical="center" wrapText="1"/>
    </xf>
    <xf numFmtId="3" fontId="1" fillId="31" borderId="49" xfId="1" applyNumberFormat="1" applyFont="1" applyFill="1" applyBorder="1" applyAlignment="1">
      <alignment horizontal="left" vertical="center" wrapText="1"/>
    </xf>
    <xf numFmtId="3" fontId="1" fillId="31" borderId="50" xfId="1" applyNumberFormat="1" applyFont="1" applyFill="1" applyBorder="1" applyAlignment="1">
      <alignment horizontal="left" vertical="center" wrapText="1"/>
    </xf>
    <xf numFmtId="0" fontId="58" fillId="0" borderId="0" xfId="0" applyFont="1" applyAlignment="1">
      <alignment horizontal="center" vertical="top" wrapText="1"/>
    </xf>
    <xf numFmtId="0" fontId="62" fillId="0" borderId="0" xfId="0" applyFont="1" applyAlignment="1">
      <alignment horizontal="center" vertical="top" wrapText="1"/>
    </xf>
    <xf numFmtId="3" fontId="1" fillId="31" borderId="10" xfId="1" applyNumberFormat="1" applyFont="1" applyFill="1" applyBorder="1" applyAlignment="1">
      <alignment vertical="center" wrapText="1"/>
    </xf>
    <xf numFmtId="3" fontId="2" fillId="0" borderId="45" xfId="1" applyNumberFormat="1" applyFont="1" applyFill="1" applyBorder="1" applyAlignment="1">
      <alignment horizontal="left" vertical="center" wrapText="1"/>
    </xf>
    <xf numFmtId="3" fontId="2" fillId="0" borderId="46" xfId="1" applyNumberFormat="1" applyFont="1" applyFill="1" applyBorder="1" applyAlignment="1">
      <alignment horizontal="left" vertical="center" wrapText="1"/>
    </xf>
    <xf numFmtId="3" fontId="2" fillId="0" borderId="47" xfId="1" applyNumberFormat="1" applyFont="1" applyFill="1" applyBorder="1" applyAlignment="1">
      <alignment horizontal="left" vertical="center" wrapText="1"/>
    </xf>
    <xf numFmtId="0" fontId="21" fillId="0" borderId="0" xfId="0" applyFont="1" applyBorder="1" applyAlignment="1">
      <alignment horizontal="left" vertical="top" wrapText="1"/>
    </xf>
    <xf numFmtId="0" fontId="69" fillId="0" borderId="0" xfId="0" applyFont="1" applyBorder="1" applyAlignment="1">
      <alignment vertical="center" wrapText="1"/>
    </xf>
    <xf numFmtId="0" fontId="98"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21" fillId="0" borderId="0" xfId="0" applyFont="1" applyBorder="1" applyAlignment="1">
      <alignment horizontal="left" vertical="center"/>
    </xf>
    <xf numFmtId="3" fontId="1" fillId="0" borderId="10" xfId="1" applyNumberFormat="1" applyFont="1" applyFill="1" applyBorder="1" applyAlignment="1">
      <alignment vertical="center" wrapText="1"/>
    </xf>
    <xf numFmtId="4" fontId="2" fillId="0" borderId="62" xfId="29" applyNumberFormat="1" applyFont="1" applyFill="1" applyBorder="1" applyAlignment="1" applyProtection="1">
      <alignment horizontal="center" vertical="center" wrapText="1"/>
    </xf>
    <xf numFmtId="4" fontId="2" fillId="0" borderId="63" xfId="29" applyNumberFormat="1" applyFont="1" applyFill="1" applyBorder="1" applyAlignment="1" applyProtection="1">
      <alignment horizontal="center" vertical="center" wrapText="1"/>
    </xf>
    <xf numFmtId="4" fontId="1" fillId="0" borderId="37" xfId="29" applyNumberFormat="1" applyFont="1" applyFill="1" applyBorder="1" applyAlignment="1" applyProtection="1">
      <alignment horizontal="center" vertical="center" wrapText="1"/>
    </xf>
    <xf numFmtId="4" fontId="1" fillId="0" borderId="50" xfId="29" applyNumberFormat="1" applyFont="1" applyFill="1" applyBorder="1" applyAlignment="1" applyProtection="1">
      <alignment horizontal="center" vertical="center" wrapText="1"/>
    </xf>
    <xf numFmtId="4" fontId="2" fillId="0" borderId="37" xfId="29" applyNumberFormat="1" applyFont="1" applyFill="1" applyBorder="1" applyAlignment="1" applyProtection="1">
      <alignment horizontal="center" vertical="center" wrapText="1"/>
    </xf>
    <xf numFmtId="4" fontId="2" fillId="0" borderId="50" xfId="29" applyNumberFormat="1" applyFont="1" applyFill="1" applyBorder="1" applyAlignment="1" applyProtection="1">
      <alignment horizontal="center" vertical="center" wrapText="1"/>
    </xf>
    <xf numFmtId="4" fontId="1" fillId="0" borderId="62" xfId="29" applyNumberFormat="1" applyFont="1" applyFill="1" applyBorder="1" applyAlignment="1" applyProtection="1">
      <alignment horizontal="center" vertical="center" wrapText="1"/>
    </xf>
    <xf numFmtId="4" fontId="1" fillId="0" borderId="63" xfId="29" applyNumberFormat="1" applyFont="1" applyFill="1" applyBorder="1" applyAlignment="1" applyProtection="1">
      <alignment horizontal="center" vertical="center" wrapText="1"/>
    </xf>
    <xf numFmtId="4" fontId="2" fillId="0" borderId="37" xfId="29" applyNumberFormat="1" applyFont="1" applyFill="1" applyBorder="1" applyAlignment="1" applyProtection="1">
      <alignment horizontal="center" vertical="center"/>
    </xf>
    <xf numFmtId="4" fontId="2" fillId="0" borderId="50" xfId="29" applyNumberFormat="1" applyFont="1" applyFill="1" applyBorder="1" applyAlignment="1" applyProtection="1">
      <alignment horizontal="center" vertical="center"/>
    </xf>
    <xf numFmtId="3" fontId="2" fillId="0" borderId="45" xfId="1" applyNumberFormat="1" applyFont="1" applyFill="1" applyBorder="1" applyAlignment="1">
      <alignment vertical="center" wrapText="1"/>
    </xf>
    <xf numFmtId="3" fontId="2" fillId="0" borderId="46" xfId="1" applyNumberFormat="1" applyFont="1" applyFill="1" applyBorder="1" applyAlignment="1">
      <alignment vertical="center" wrapText="1"/>
    </xf>
    <xf numFmtId="3" fontId="2" fillId="0" borderId="47" xfId="1" applyNumberFormat="1" applyFont="1" applyFill="1" applyBorder="1" applyAlignment="1">
      <alignment vertical="center" wrapText="1"/>
    </xf>
    <xf numFmtId="3" fontId="1" fillId="0" borderId="66" xfId="1" applyNumberFormat="1" applyFont="1" applyFill="1" applyBorder="1" applyAlignment="1">
      <alignment vertical="center" wrapText="1"/>
    </xf>
    <xf numFmtId="3" fontId="2" fillId="0" borderId="16" xfId="1" applyNumberFormat="1" applyFont="1" applyFill="1" applyBorder="1" applyAlignment="1">
      <alignment vertical="center" wrapText="1"/>
    </xf>
    <xf numFmtId="0" fontId="21" fillId="0" borderId="0" xfId="0" applyFont="1" applyBorder="1" applyAlignment="1">
      <alignment horizontal="center" vertical="top" wrapText="1"/>
    </xf>
    <xf numFmtId="4" fontId="1" fillId="31" borderId="37" xfId="29" applyNumberFormat="1" applyFont="1" applyFill="1" applyBorder="1" applyAlignment="1" applyProtection="1">
      <alignment horizontal="center" vertical="center" wrapText="1"/>
    </xf>
    <xf numFmtId="4" fontId="1" fillId="31" borderId="50" xfId="29" applyNumberFormat="1" applyFont="1" applyFill="1" applyBorder="1" applyAlignment="1" applyProtection="1">
      <alignment horizontal="center" vertical="center" wrapText="1"/>
    </xf>
    <xf numFmtId="0" fontId="21" fillId="0" borderId="0" xfId="0" applyFont="1" applyBorder="1" applyAlignment="1">
      <alignment horizontal="center" vertical="top"/>
    </xf>
    <xf numFmtId="0" fontId="21" fillId="0" borderId="0" xfId="0" applyFont="1" applyBorder="1" applyAlignment="1">
      <alignment vertical="center" wrapText="1"/>
    </xf>
    <xf numFmtId="168" fontId="38" fillId="45" borderId="11" xfId="0" applyNumberFormat="1" applyFont="1" applyFill="1" applyBorder="1" applyAlignment="1">
      <alignment horizontal="center" vertical="center" wrapText="1" shrinkToFit="1"/>
    </xf>
    <xf numFmtId="0" fontId="58" fillId="0" borderId="0" xfId="0" applyFont="1" applyAlignment="1">
      <alignment horizontal="center" wrapText="1"/>
    </xf>
    <xf numFmtId="168" fontId="38" fillId="45" borderId="37" xfId="0" applyNumberFormat="1" applyFont="1" applyFill="1" applyBorder="1" applyAlignment="1">
      <alignment horizontal="center" vertical="center" wrapText="1" shrinkToFit="1"/>
    </xf>
    <xf numFmtId="168" fontId="38" fillId="45" borderId="50" xfId="0" applyNumberFormat="1" applyFont="1" applyFill="1" applyBorder="1" applyAlignment="1">
      <alignment horizontal="center" vertical="center" wrapText="1" shrinkToFit="1"/>
    </xf>
    <xf numFmtId="49" fontId="38" fillId="45" borderId="17" xfId="0" applyNumberFormat="1" applyFont="1" applyFill="1" applyBorder="1" applyAlignment="1">
      <alignment horizontal="center" vertical="center" wrapText="1"/>
    </xf>
    <xf numFmtId="49" fontId="38" fillId="45" borderId="18" xfId="0" applyNumberFormat="1" applyFont="1" applyFill="1" applyBorder="1" applyAlignment="1">
      <alignment horizontal="center" vertical="center" wrapText="1"/>
    </xf>
    <xf numFmtId="0" fontId="51" fillId="0" borderId="11" xfId="0" applyFont="1" applyBorder="1" applyAlignment="1">
      <alignment horizontal="center"/>
    </xf>
    <xf numFmtId="49" fontId="51" fillId="0" borderId="11" xfId="0" applyNumberFormat="1" applyFont="1" applyBorder="1" applyAlignment="1">
      <alignment horizontal="center"/>
    </xf>
    <xf numFmtId="165" fontId="51" fillId="0" borderId="11" xfId="0" applyNumberFormat="1" applyFont="1" applyBorder="1" applyAlignment="1">
      <alignment horizontal="center" wrapText="1"/>
    </xf>
    <xf numFmtId="0" fontId="43" fillId="0" borderId="0" xfId="0" applyFont="1" applyAlignment="1">
      <alignment horizontal="center" wrapText="1"/>
    </xf>
    <xf numFmtId="49" fontId="21" fillId="0" borderId="0" xfId="0" applyNumberFormat="1" applyFont="1" applyBorder="1" applyAlignment="1">
      <alignment horizontal="left" vertical="center" wrapText="1"/>
    </xf>
    <xf numFmtId="0" fontId="43" fillId="0" borderId="0" xfId="0" applyFont="1" applyAlignment="1">
      <alignment horizontal="left" vertical="top" wrapText="1"/>
    </xf>
    <xf numFmtId="49" fontId="21" fillId="0" borderId="0" xfId="0" applyNumberFormat="1" applyFont="1" applyBorder="1" applyAlignment="1">
      <alignment horizontal="left" vertical="top" wrapText="1"/>
    </xf>
    <xf numFmtId="0" fontId="43" fillId="0" borderId="0" xfId="0" applyFont="1" applyAlignment="1">
      <alignment horizontal="center" vertical="top" wrapText="1"/>
    </xf>
    <xf numFmtId="0" fontId="2" fillId="0" borderId="0" xfId="0" applyFont="1" applyBorder="1" applyAlignment="1">
      <alignment horizontal="left" vertical="center" wrapText="1"/>
    </xf>
    <xf numFmtId="0" fontId="41" fillId="45" borderId="13" xfId="1" applyFont="1" applyFill="1" applyBorder="1" applyAlignment="1">
      <alignment horizontal="center" vertical="center" wrapText="1"/>
    </xf>
    <xf numFmtId="0" fontId="41" fillId="45" borderId="14" xfId="1" applyFont="1" applyFill="1" applyBorder="1" applyAlignment="1">
      <alignment horizontal="center" vertical="center" wrapText="1"/>
    </xf>
    <xf numFmtId="0" fontId="41" fillId="42" borderId="13" xfId="1" applyFont="1" applyFill="1" applyBorder="1" applyAlignment="1">
      <alignment horizontal="center" vertical="center" wrapText="1"/>
    </xf>
    <xf numFmtId="0" fontId="41" fillId="42" borderId="14" xfId="1" applyFont="1" applyFill="1" applyBorder="1" applyAlignment="1">
      <alignment horizontal="center" vertical="center" wrapText="1"/>
    </xf>
    <xf numFmtId="0" fontId="41" fillId="42" borderId="11" xfId="1" applyFont="1" applyFill="1" applyBorder="1" applyAlignment="1">
      <alignment horizontal="center" vertical="center" wrapText="1"/>
    </xf>
    <xf numFmtId="4" fontId="41" fillId="42" borderId="11" xfId="47" applyNumberFormat="1" applyFont="1" applyFill="1" applyBorder="1" applyAlignment="1">
      <alignment horizontal="center" vertical="center" wrapText="1"/>
    </xf>
    <xf numFmtId="0" fontId="48" fillId="29" borderId="22" xfId="0" applyFont="1" applyFill="1" applyBorder="1" applyAlignment="1">
      <alignment horizontal="center" wrapText="1"/>
    </xf>
    <xf numFmtId="0" fontId="48" fillId="29" borderId="53" xfId="0" applyFont="1" applyFill="1" applyBorder="1" applyAlignment="1">
      <alignment horizontal="center" wrapText="1"/>
    </xf>
    <xf numFmtId="0" fontId="41" fillId="42" borderId="22" xfId="1" applyFont="1" applyFill="1" applyBorder="1" applyAlignment="1">
      <alignment horizontal="center" vertical="center" wrapText="1"/>
    </xf>
    <xf numFmtId="0" fontId="41" fillId="42" borderId="53" xfId="1" applyFont="1" applyFill="1" applyBorder="1" applyAlignment="1">
      <alignment horizontal="center" vertical="center" wrapText="1"/>
    </xf>
    <xf numFmtId="49" fontId="41" fillId="0" borderId="12" xfId="1" applyNumberFormat="1" applyFont="1" applyBorder="1" applyAlignment="1">
      <alignment horizontal="center" vertical="center" wrapText="1"/>
    </xf>
    <xf numFmtId="49" fontId="41" fillId="0" borderId="0" xfId="0" applyNumberFormat="1" applyFont="1" applyBorder="1" applyAlignment="1">
      <alignment horizontal="center" vertical="center" wrapText="1"/>
    </xf>
    <xf numFmtId="0" fontId="77" fillId="0" borderId="0" xfId="0" applyFont="1" applyBorder="1" applyAlignment="1">
      <alignment horizontal="left" vertical="center" wrapText="1"/>
    </xf>
    <xf numFmtId="0" fontId="48" fillId="0" borderId="0" xfId="0" applyFont="1" applyBorder="1" applyAlignment="1">
      <alignment horizontal="left" vertical="top" wrapText="1"/>
    </xf>
    <xf numFmtId="0" fontId="43" fillId="0" borderId="0" xfId="0" applyFont="1" applyAlignment="1">
      <alignment horizontal="left" vertical="center" wrapText="1"/>
    </xf>
    <xf numFmtId="0" fontId="43" fillId="0" borderId="0" xfId="0" applyFont="1" applyAlignment="1">
      <alignment horizontal="center" vertical="center" wrapText="1"/>
    </xf>
    <xf numFmtId="0" fontId="48" fillId="0" borderId="0" xfId="0" applyFont="1" applyAlignment="1">
      <alignment horizontal="left" vertical="center" wrapText="1"/>
    </xf>
    <xf numFmtId="0" fontId="48" fillId="0" borderId="0" xfId="0" applyFont="1" applyAlignment="1">
      <alignment horizontal="center" vertical="center" wrapText="1"/>
    </xf>
    <xf numFmtId="0" fontId="71" fillId="0" borderId="0" xfId="0" applyFont="1" applyBorder="1" applyAlignment="1">
      <alignment horizontal="left" vertical="center" wrapText="1"/>
    </xf>
    <xf numFmtId="0" fontId="71" fillId="0" borderId="0" xfId="0" applyFont="1" applyAlignment="1">
      <alignment horizontal="left" vertical="center" wrapText="1"/>
    </xf>
    <xf numFmtId="0" fontId="48" fillId="0" borderId="0" xfId="0" applyFont="1" applyAlignment="1">
      <alignment horizontal="left" vertical="top" wrapText="1"/>
    </xf>
    <xf numFmtId="0" fontId="35" fillId="0" borderId="0" xfId="0" applyFont="1" applyBorder="1" applyAlignment="1">
      <alignment horizontal="left" vertical="top" wrapText="1"/>
    </xf>
    <xf numFmtId="0" fontId="89" fillId="0" borderId="0" xfId="0" applyFont="1" applyAlignment="1">
      <alignment horizontal="left" vertical="center" wrapText="1"/>
    </xf>
    <xf numFmtId="3" fontId="48" fillId="0" borderId="0" xfId="47" applyNumberFormat="1" applyFont="1" applyAlignment="1">
      <alignment horizontal="center" vertical="center" wrapText="1"/>
    </xf>
    <xf numFmtId="0" fontId="91" fillId="0" borderId="0" xfId="0" applyFont="1" applyAlignment="1">
      <alignment horizontal="center" vertical="center" wrapText="1"/>
    </xf>
    <xf numFmtId="49" fontId="29" fillId="0" borderId="12" xfId="46" applyNumberFormat="1" applyFont="1" applyBorder="1" applyAlignment="1" applyProtection="1">
      <alignment horizontal="center" vertical="top"/>
    </xf>
    <xf numFmtId="0" fontId="29" fillId="0" borderId="11" xfId="46" applyFont="1" applyBorder="1" applyAlignment="1" applyProtection="1">
      <alignment horizontal="center"/>
    </xf>
    <xf numFmtId="0" fontId="29" fillId="0" borderId="0" xfId="0" applyFont="1" applyAlignment="1">
      <alignment horizontal="center" vertical="center"/>
    </xf>
  </cellXfs>
  <cellStyles count="63">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3" xfId="53"/>
    <cellStyle name="Calculation 4" xfId="58"/>
    <cellStyle name="Check Cell 2" xfId="28"/>
    <cellStyle name="Comma" xfId="47" builtinId="3"/>
    <cellStyle name="Comma 2" xfId="29"/>
    <cellStyle name="Comma 3" xfId="50"/>
    <cellStyle name="Comma_Расходи по корисницима 2" xfId="51"/>
    <cellStyle name="Explanatory Text 2" xfId="30"/>
    <cellStyle name="Good 2" xfId="31"/>
    <cellStyle name="Heading 1 2" xfId="32"/>
    <cellStyle name="Heading 2 2" xfId="33"/>
    <cellStyle name="Heading 3 2" xfId="34"/>
    <cellStyle name="Heading 4 2" xfId="35"/>
    <cellStyle name="Input 2" xfId="36"/>
    <cellStyle name="Input 3" xfId="54"/>
    <cellStyle name="Input 4" xfId="59"/>
    <cellStyle name="Linked Cell 2" xfId="37"/>
    <cellStyle name="Neutral 2" xfId="38"/>
    <cellStyle name="Normal" xfId="0" builtinId="0"/>
    <cellStyle name="Normal 2" xfId="1"/>
    <cellStyle name="Normal 2 2" xfId="52"/>
    <cellStyle name="Normal 3" xfId="46"/>
    <cellStyle name="Normal_Расходи по корисницима" xfId="49"/>
    <cellStyle name="Note 2" xfId="39"/>
    <cellStyle name="Note 3" xfId="55"/>
    <cellStyle name="Note 4" xfId="60"/>
    <cellStyle name="Output 2" xfId="40"/>
    <cellStyle name="Output 3" xfId="56"/>
    <cellStyle name="Output 4" xfId="61"/>
    <cellStyle name="Percent" xfId="48" builtinId="5"/>
    <cellStyle name="Percent 2" xfId="41"/>
    <cellStyle name="Percent 3" xfId="45"/>
    <cellStyle name="Title 2" xfId="42"/>
    <cellStyle name="Total 2" xfId="43"/>
    <cellStyle name="Total 3" xfId="57"/>
    <cellStyle name="Total 4" xfId="62"/>
    <cellStyle name="Warning Text 2" xfId="44"/>
  </cellStyles>
  <dxfs count="7">
    <dxf>
      <fill>
        <patternFill patternType="solid">
          <fgColor indexed="60"/>
          <bgColor indexed="10"/>
        </patternFill>
      </fill>
    </dxf>
    <dxf>
      <fill>
        <patternFill>
          <bgColor theme="5" tint="0.59996337778862885"/>
        </patternFill>
      </fill>
    </dxf>
    <dxf>
      <fill>
        <patternFill>
          <bgColor theme="5" tint="0.59996337778862885"/>
        </patternFill>
      </fill>
    </dxf>
    <dxf>
      <fill>
        <patternFill patternType="solid">
          <fgColor indexed="60"/>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sr-Latn-RS"/>
            </a:pPr>
            <a:r>
              <a:rPr lang="sr-Cyrl-RS"/>
              <a:t>Структура</a:t>
            </a:r>
            <a:r>
              <a:rPr lang="sr-Cyrl-RS" baseline="0"/>
              <a:t> буџета по програмској класификацији</a:t>
            </a:r>
            <a:endParaRPr lang="en-US"/>
          </a:p>
        </c:rich>
      </c:tx>
      <c:layout>
        <c:manualLayout>
          <c:xMode val="edge"/>
          <c:yMode val="edge"/>
          <c:x val="8.8610279348884768E-2"/>
          <c:y val="1.6309885251288916E-2"/>
        </c:manualLayout>
      </c:layout>
      <c:overlay val="1"/>
    </c:title>
    <c:autoTitleDeleted val="0"/>
    <c:plotArea>
      <c:layout>
        <c:manualLayout>
          <c:layoutTarget val="inner"/>
          <c:xMode val="edge"/>
          <c:yMode val="edge"/>
          <c:x val="2.8422402060853516E-2"/>
          <c:y val="0.30585418379210527"/>
          <c:w val="0.43132728200641957"/>
          <c:h val="0.66786147228828474"/>
        </c:manualLayout>
      </c:layout>
      <c:pieChart>
        <c:varyColors val="1"/>
        <c:ser>
          <c:idx val="0"/>
          <c:order val="0"/>
          <c:dLbls>
            <c:dLbl>
              <c:idx val="0"/>
              <c:layout>
                <c:manualLayout>
                  <c:x val="-0.15432098765432295"/>
                  <c:y val="-2.62843439196339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5.25686878392681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641975308641917E-2"/>
                  <c:y val="-2.3894858108757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20987654320951E-2"/>
                  <c:y val="-6.4516116893647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6234567901234612E-2"/>
                  <c:y val="-2.3894858108757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728395061728392E-2"/>
                  <c:y val="2.1505372297881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5555555555555455E-2"/>
                  <c:y val="-4.778971621751613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4"/>
              <c:layout>
                <c:manualLayout>
                  <c:x val="4.4753086419753133E-2"/>
                  <c:y val="-1.4336914865254458E-2"/>
                </c:manualLayout>
              </c:layout>
              <c:dLblPos val="bestFi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lang="sr-Latn-RS"/>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Програмска!$A$608:$A$622</c:f>
              <c:strCache>
                <c:ptCount val="15"/>
                <c:pt idx="0">
                  <c:v>Програм 1.  Локални развој и просторно планирање</c:v>
                </c:pt>
                <c:pt idx="1">
                  <c:v>Програм 2.  Комунална делатност</c:v>
                </c:pt>
                <c:pt idx="2">
                  <c:v>Програм 3.  Локални економски развој</c:v>
                </c:pt>
                <c:pt idx="3">
                  <c:v>Програм 4.  Развој туризма</c:v>
                </c:pt>
                <c:pt idx="4">
                  <c:v>Програм 5.  Развој пољопривреде</c:v>
                </c:pt>
                <c:pt idx="5">
                  <c:v>Програм 6.  Заштита животне средине</c:v>
                </c:pt>
                <c:pt idx="6">
                  <c:v>Програм 7.  Путна инфраструктура</c:v>
                </c:pt>
                <c:pt idx="7">
                  <c:v>Програм 8.  Предшколско васпитање</c:v>
                </c:pt>
                <c:pt idx="8">
                  <c:v>Програм 9.  Основно образовање</c:v>
                </c:pt>
                <c:pt idx="9">
                  <c:v>Програм 10. Средње образовање</c:v>
                </c:pt>
                <c:pt idx="10">
                  <c:v>Програм 11.  Социјална  и дечја заштита</c:v>
                </c:pt>
                <c:pt idx="11">
                  <c:v>Програм 12.  Примарна здравствена заштита</c:v>
                </c:pt>
                <c:pt idx="12">
                  <c:v>Програм 13.  Развој културе</c:v>
                </c:pt>
                <c:pt idx="13">
                  <c:v>Програм 14.  Развој спорта и омладине</c:v>
                </c:pt>
                <c:pt idx="14">
                  <c:v>Програм 15.  Локална самоуправа</c:v>
                </c:pt>
              </c:strCache>
            </c:strRef>
          </c:cat>
          <c:val>
            <c:numRef>
              <c:f>Програмска!$B$608:$B$622</c:f>
              <c:numCache>
                <c:formatCode>General</c:formatCode>
                <c:ptCount val="15"/>
                <c:pt idx="0">
                  <c:v>0</c:v>
                </c:pt>
                <c:pt idx="1">
                  <c:v>111982800</c:v>
                </c:pt>
                <c:pt idx="2">
                  <c:v>0</c:v>
                </c:pt>
                <c:pt idx="3">
                  <c:v>9093015</c:v>
                </c:pt>
                <c:pt idx="4">
                  <c:v>25200487</c:v>
                </c:pt>
                <c:pt idx="5">
                  <c:v>4649049</c:v>
                </c:pt>
                <c:pt idx="6">
                  <c:v>225867158</c:v>
                </c:pt>
                <c:pt idx="7">
                  <c:v>17864000</c:v>
                </c:pt>
                <c:pt idx="8">
                  <c:v>29050000</c:v>
                </c:pt>
                <c:pt idx="9">
                  <c:v>5679900</c:v>
                </c:pt>
                <c:pt idx="10">
                  <c:v>9100200</c:v>
                </c:pt>
                <c:pt idx="11">
                  <c:v>3650000</c:v>
                </c:pt>
                <c:pt idx="12">
                  <c:v>13254155</c:v>
                </c:pt>
                <c:pt idx="13">
                  <c:v>9410000</c:v>
                </c:pt>
                <c:pt idx="14">
                  <c:v>128278026</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7025424241325582"/>
          <c:y val="9.1840546471053067E-2"/>
          <c:w val="0.32052916772500978"/>
          <c:h val="0.89786833331433724"/>
        </c:manualLayout>
      </c:layout>
      <c:overlay val="0"/>
      <c:txPr>
        <a:bodyPr/>
        <a:lstStyle/>
        <a:p>
          <a:pPr>
            <a:defRPr lang="sr-Latn-RS"/>
          </a:pPr>
          <a:endParaRPr lang="en-US"/>
        </a:p>
      </c:txPr>
    </c:legend>
    <c:plotVisOnly val="1"/>
    <c:dispBlanksAs val="zero"/>
    <c:showDLblsOverMax val="0"/>
  </c:chart>
  <c:printSettings>
    <c:headerFooter/>
    <c:pageMargins b="0.74803149606299935" l="0.70866141732284293" r="0.70866141732284293" t="0.74803149606299935" header="0.3149606299212665" footer="0.3149606299212665"/>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9525</xdr:colOff>
      <xdr:row>606</xdr:row>
      <xdr:rowOff>419099</xdr:rowOff>
    </xdr:from>
    <xdr:to>
      <xdr:col>7</xdr:col>
      <xdr:colOff>990600</xdr:colOff>
      <xdr:row>639</xdr:row>
      <xdr:rowOff>104775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sheetPr>
  <dimension ref="A2:M93"/>
  <sheetViews>
    <sheetView topLeftCell="A23" workbookViewId="0">
      <selection activeCell="A3" sqref="A3"/>
    </sheetView>
  </sheetViews>
  <sheetFormatPr defaultRowHeight="15" x14ac:dyDescent="0.25"/>
  <cols>
    <col min="7" max="7" width="10.28515625" customWidth="1"/>
    <col min="8" max="8" width="25.5703125" customWidth="1"/>
    <col min="9" max="9" width="17.7109375" customWidth="1"/>
    <col min="10" max="10" width="14.5703125" customWidth="1"/>
    <col min="13" max="13" width="12.7109375" bestFit="1" customWidth="1"/>
  </cols>
  <sheetData>
    <row r="2" spans="1:12" ht="67.5" customHeight="1" x14ac:dyDescent="0.25">
      <c r="A2" s="779" t="s">
        <v>5442</v>
      </c>
      <c r="B2" s="779"/>
      <c r="C2" s="779"/>
      <c r="D2" s="779"/>
      <c r="E2" s="779"/>
      <c r="F2" s="779"/>
      <c r="G2" s="779"/>
      <c r="H2" s="779"/>
      <c r="I2" s="779"/>
      <c r="J2" s="779"/>
      <c r="L2" s="743"/>
    </row>
    <row r="3" spans="1:12" ht="19.5" customHeight="1" x14ac:dyDescent="0.25">
      <c r="A3" s="317"/>
      <c r="B3" s="317"/>
      <c r="C3" s="317"/>
      <c r="D3" s="317"/>
      <c r="E3" s="791" t="s">
        <v>5438</v>
      </c>
      <c r="F3" s="791"/>
      <c r="G3" s="791"/>
      <c r="H3" s="791"/>
      <c r="I3" s="317"/>
      <c r="J3" s="317"/>
    </row>
    <row r="4" spans="1:12" ht="42.75" customHeight="1" x14ac:dyDescent="0.25">
      <c r="A4" s="326"/>
      <c r="B4" s="326"/>
      <c r="C4" s="793" t="s">
        <v>5439</v>
      </c>
      <c r="D4" s="793"/>
      <c r="E4" s="793"/>
      <c r="F4" s="793"/>
      <c r="G4" s="793"/>
      <c r="H4" s="793"/>
      <c r="I4" s="793"/>
      <c r="J4" s="748"/>
    </row>
    <row r="5" spans="1:12" ht="10.5" customHeight="1" x14ac:dyDescent="0.25">
      <c r="A5" s="317"/>
      <c r="B5" s="317"/>
      <c r="C5" s="791"/>
      <c r="D5" s="791"/>
      <c r="E5" s="791"/>
      <c r="F5" s="791"/>
      <c r="G5" s="791"/>
      <c r="H5" s="791"/>
      <c r="I5" s="791"/>
      <c r="J5" s="317"/>
    </row>
    <row r="6" spans="1:12" ht="19.5" hidden="1" customHeight="1" x14ac:dyDescent="0.25">
      <c r="A6" s="317"/>
      <c r="B6" s="317"/>
      <c r="C6" s="318"/>
      <c r="D6" s="318"/>
      <c r="E6" s="318"/>
      <c r="F6" s="318"/>
      <c r="G6" s="318"/>
      <c r="H6" s="318"/>
      <c r="I6" s="318"/>
      <c r="J6" s="317"/>
    </row>
    <row r="7" spans="1:12" ht="19.5" hidden="1" customHeight="1" x14ac:dyDescent="0.25">
      <c r="A7" s="317"/>
      <c r="B7" s="317"/>
      <c r="C7" s="318"/>
      <c r="D7" s="318"/>
      <c r="E7" s="318"/>
      <c r="F7" s="779"/>
      <c r="G7" s="780"/>
      <c r="H7" s="780"/>
      <c r="I7" s="318"/>
      <c r="J7" s="317"/>
    </row>
    <row r="8" spans="1:12" ht="38.25" hidden="1" customHeight="1" x14ac:dyDescent="0.25">
      <c r="A8" s="792"/>
      <c r="B8" s="792"/>
      <c r="C8" s="792"/>
      <c r="D8" s="792"/>
      <c r="E8" s="792"/>
      <c r="F8" s="792"/>
      <c r="G8" s="792"/>
      <c r="H8" s="792"/>
      <c r="I8" s="792"/>
      <c r="J8" s="792"/>
    </row>
    <row r="9" spans="1:12" ht="19.5" customHeight="1" x14ac:dyDescent="0.25">
      <c r="A9" s="317"/>
      <c r="B9" s="317"/>
      <c r="C9" s="318"/>
      <c r="D9" s="318"/>
      <c r="E9" s="778" t="s">
        <v>5279</v>
      </c>
      <c r="F9" s="778"/>
      <c r="G9" s="778"/>
      <c r="H9" s="778"/>
      <c r="I9" s="318"/>
      <c r="J9" s="317"/>
    </row>
    <row r="10" spans="1:12" s="321" customFormat="1" ht="10.5" hidden="1" customHeight="1" x14ac:dyDescent="0.25">
      <c r="A10" s="320"/>
      <c r="B10" s="320"/>
      <c r="C10" s="318"/>
      <c r="D10" s="318"/>
      <c r="E10" s="319"/>
      <c r="F10" s="319"/>
      <c r="G10" s="319"/>
      <c r="H10" s="319"/>
      <c r="I10" s="318"/>
      <c r="J10" s="320"/>
    </row>
    <row r="11" spans="1:12" ht="19.5" customHeight="1" x14ac:dyDescent="0.25">
      <c r="A11" s="317"/>
      <c r="B11" s="317"/>
      <c r="C11" s="318"/>
      <c r="D11" s="318"/>
      <c r="E11" s="319"/>
      <c r="F11" s="779" t="s">
        <v>5316</v>
      </c>
      <c r="G11" s="780"/>
      <c r="H11" s="780"/>
      <c r="I11" s="318"/>
      <c r="J11" s="317"/>
    </row>
    <row r="12" spans="1:12" ht="31.5" customHeight="1" x14ac:dyDescent="0.25">
      <c r="A12" s="335"/>
      <c r="B12" s="783" t="s">
        <v>5343</v>
      </c>
      <c r="C12" s="783"/>
      <c r="D12" s="783"/>
      <c r="E12" s="783"/>
      <c r="F12" s="783"/>
      <c r="G12" s="783"/>
      <c r="H12" s="783"/>
      <c r="I12" s="783"/>
      <c r="J12" s="335"/>
    </row>
    <row r="13" spans="1:12" ht="19.5" hidden="1" customHeight="1" x14ac:dyDescent="0.25">
      <c r="A13" s="335"/>
      <c r="B13" s="733"/>
      <c r="C13" s="734"/>
      <c r="D13" s="734"/>
      <c r="E13" s="734"/>
      <c r="F13" s="734"/>
      <c r="G13" s="734"/>
      <c r="H13" s="731"/>
      <c r="I13" s="732"/>
      <c r="J13" s="335"/>
    </row>
    <row r="14" spans="1:12" ht="19.5" customHeight="1" x14ac:dyDescent="0.25">
      <c r="A14" s="335"/>
      <c r="B14" s="783" t="s">
        <v>5340</v>
      </c>
      <c r="C14" s="783"/>
      <c r="D14" s="783"/>
      <c r="E14" s="783"/>
      <c r="F14" s="783"/>
      <c r="G14" s="783"/>
      <c r="H14" s="783"/>
      <c r="I14" s="721">
        <v>557719144.95000005</v>
      </c>
      <c r="J14" s="335"/>
    </row>
    <row r="15" spans="1:12" ht="19.5" customHeight="1" x14ac:dyDescent="0.25">
      <c r="A15" s="335"/>
      <c r="B15" s="783" t="s">
        <v>5341</v>
      </c>
      <c r="C15" s="783"/>
      <c r="D15" s="783"/>
      <c r="E15" s="783"/>
      <c r="F15" s="783"/>
      <c r="G15" s="783"/>
      <c r="H15" s="783"/>
      <c r="I15" s="721">
        <v>538151430.26999998</v>
      </c>
      <c r="J15" s="335"/>
    </row>
    <row r="16" spans="1:12" ht="19.5" customHeight="1" x14ac:dyDescent="0.25">
      <c r="A16" s="335"/>
      <c r="B16" s="783" t="s">
        <v>5342</v>
      </c>
      <c r="C16" s="783"/>
      <c r="D16" s="783"/>
      <c r="E16" s="783"/>
      <c r="F16" s="783"/>
      <c r="G16" s="783"/>
      <c r="H16" s="783"/>
      <c r="I16" s="721">
        <f>SUM(I14-I15)</f>
        <v>19567714.680000067</v>
      </c>
      <c r="J16" s="335"/>
    </row>
    <row r="17" spans="1:10" ht="8.25" customHeight="1" x14ac:dyDescent="0.25">
      <c r="A17" s="335"/>
      <c r="B17" s="337"/>
      <c r="C17" s="338"/>
      <c r="D17" s="338"/>
      <c r="E17" s="338"/>
      <c r="F17" s="338"/>
      <c r="G17" s="338"/>
      <c r="H17" s="333"/>
      <c r="I17" s="334"/>
      <c r="J17" s="335"/>
    </row>
    <row r="18" spans="1:10" ht="29.25" hidden="1" customHeight="1" x14ac:dyDescent="0.25">
      <c r="A18" s="335"/>
      <c r="B18" s="789"/>
      <c r="C18" s="789"/>
      <c r="D18" s="789"/>
      <c r="E18" s="789"/>
      <c r="F18" s="789"/>
      <c r="G18" s="789"/>
      <c r="H18" s="789"/>
      <c r="I18" s="789"/>
      <c r="J18" s="335"/>
    </row>
    <row r="19" spans="1:10" ht="20.25" hidden="1" x14ac:dyDescent="0.25">
      <c r="A19" s="335"/>
      <c r="B19" s="337"/>
      <c r="C19" s="338"/>
      <c r="D19" s="338"/>
      <c r="E19" s="338"/>
      <c r="F19" s="338"/>
      <c r="G19" s="338"/>
      <c r="H19" s="333"/>
      <c r="I19" s="334"/>
      <c r="J19" s="335"/>
    </row>
    <row r="20" spans="1:10" ht="19.5" hidden="1" customHeight="1" x14ac:dyDescent="0.25">
      <c r="A20" s="335"/>
      <c r="B20" s="789"/>
      <c r="C20" s="789"/>
      <c r="D20" s="789"/>
      <c r="E20" s="789"/>
      <c r="F20" s="789"/>
      <c r="G20" s="789"/>
      <c r="H20" s="789"/>
      <c r="I20" s="721"/>
      <c r="J20" s="335"/>
    </row>
    <row r="21" spans="1:10" ht="19.5" hidden="1" customHeight="1" x14ac:dyDescent="0.25">
      <c r="A21" s="335"/>
      <c r="B21" s="804"/>
      <c r="C21" s="804"/>
      <c r="D21" s="804"/>
      <c r="E21" s="804"/>
      <c r="F21" s="804"/>
      <c r="G21" s="804"/>
      <c r="H21" s="804"/>
      <c r="I21" s="721"/>
      <c r="J21" s="335"/>
    </row>
    <row r="22" spans="1:10" ht="19.5" hidden="1" customHeight="1" x14ac:dyDescent="0.25">
      <c r="A22" s="335"/>
      <c r="B22" s="789"/>
      <c r="C22" s="789"/>
      <c r="D22" s="789"/>
      <c r="E22" s="789"/>
      <c r="F22" s="789"/>
      <c r="G22" s="789"/>
      <c r="H22" s="789"/>
      <c r="I22" s="721"/>
      <c r="J22" s="335"/>
    </row>
    <row r="23" spans="1:10" ht="19.5" customHeight="1" x14ac:dyDescent="0.25">
      <c r="A23" s="335"/>
      <c r="B23" s="734"/>
      <c r="C23" s="734"/>
      <c r="D23" s="734"/>
      <c r="E23" s="734"/>
      <c r="F23" s="788" t="s">
        <v>5344</v>
      </c>
      <c r="G23" s="788"/>
      <c r="H23" s="788"/>
      <c r="I23" s="732"/>
      <c r="J23" s="335"/>
    </row>
    <row r="24" spans="1:10" ht="42" customHeight="1" x14ac:dyDescent="0.25">
      <c r="A24" s="335"/>
      <c r="B24" s="783" t="s">
        <v>5422</v>
      </c>
      <c r="C24" s="783"/>
      <c r="D24" s="783"/>
      <c r="E24" s="783"/>
      <c r="F24" s="783"/>
      <c r="G24" s="783"/>
      <c r="H24" s="783"/>
      <c r="I24" s="783"/>
      <c r="J24" s="335"/>
    </row>
    <row r="25" spans="1:10" ht="19.5" customHeight="1" x14ac:dyDescent="0.25">
      <c r="A25" s="335"/>
      <c r="B25" s="734"/>
      <c r="C25" s="734"/>
      <c r="D25" s="734"/>
      <c r="E25" s="734"/>
      <c r="F25" s="788" t="s">
        <v>5345</v>
      </c>
      <c r="G25" s="788"/>
      <c r="H25" s="788"/>
      <c r="I25" s="732"/>
      <c r="J25" s="335"/>
    </row>
    <row r="26" spans="1:10" ht="19.5" customHeight="1" x14ac:dyDescent="0.25">
      <c r="A26" s="335"/>
      <c r="B26" s="807" t="s">
        <v>5425</v>
      </c>
      <c r="C26" s="807"/>
      <c r="D26" s="807"/>
      <c r="E26" s="807"/>
      <c r="F26" s="807"/>
      <c r="G26" s="807"/>
      <c r="H26" s="807"/>
      <c r="I26" s="807"/>
      <c r="J26" s="335"/>
    </row>
    <row r="27" spans="1:10" ht="19.5" customHeight="1" x14ac:dyDescent="0.25">
      <c r="A27" s="335"/>
      <c r="B27" s="807" t="s">
        <v>5346</v>
      </c>
      <c r="C27" s="807"/>
      <c r="D27" s="807"/>
      <c r="E27" s="807"/>
      <c r="F27" s="807"/>
      <c r="G27" s="807"/>
      <c r="H27" s="807"/>
      <c r="I27" s="736">
        <v>508246326.57999998</v>
      </c>
      <c r="J27" s="335"/>
    </row>
    <row r="28" spans="1:10" ht="19.5" customHeight="1" x14ac:dyDescent="0.25">
      <c r="A28" s="335"/>
      <c r="B28" s="807" t="s">
        <v>5347</v>
      </c>
      <c r="C28" s="807"/>
      <c r="D28" s="807"/>
      <c r="E28" s="807"/>
      <c r="F28" s="807"/>
      <c r="G28" s="807"/>
      <c r="H28" s="807"/>
      <c r="I28" s="736">
        <v>538151430.26999998</v>
      </c>
      <c r="J28" s="335"/>
    </row>
    <row r="29" spans="1:10" ht="19.5" customHeight="1" x14ac:dyDescent="0.25">
      <c r="A29" s="335"/>
      <c r="B29" s="790" t="s">
        <v>5423</v>
      </c>
      <c r="C29" s="790"/>
      <c r="D29" s="790"/>
      <c r="E29" s="790"/>
      <c r="F29" s="790"/>
      <c r="G29" s="790"/>
      <c r="H29" s="790"/>
      <c r="I29" s="737">
        <f>SUM(I27-I28)</f>
        <v>-29905103.689999998</v>
      </c>
      <c r="J29" s="335"/>
    </row>
    <row r="30" spans="1:10" ht="19.5" customHeight="1" x14ac:dyDescent="0.25">
      <c r="A30" s="335"/>
      <c r="B30" s="807" t="s">
        <v>5348</v>
      </c>
      <c r="C30" s="807"/>
      <c r="D30" s="807"/>
      <c r="E30" s="807"/>
      <c r="F30" s="807"/>
      <c r="G30" s="807"/>
      <c r="H30" s="807"/>
      <c r="I30" s="736">
        <f>SUM(I31:I32)</f>
        <v>43919580.380000003</v>
      </c>
      <c r="J30" s="335"/>
    </row>
    <row r="31" spans="1:10" ht="26.25" customHeight="1" x14ac:dyDescent="0.25">
      <c r="A31" s="335"/>
      <c r="B31" s="805" t="s">
        <v>5349</v>
      </c>
      <c r="C31" s="805"/>
      <c r="D31" s="805"/>
      <c r="E31" s="805"/>
      <c r="F31" s="805"/>
      <c r="G31" s="805"/>
      <c r="H31" s="805"/>
      <c r="I31" s="736">
        <v>41673818</v>
      </c>
      <c r="J31" s="335"/>
    </row>
    <row r="32" spans="1:10" ht="26.25" customHeight="1" x14ac:dyDescent="0.25">
      <c r="A32" s="335"/>
      <c r="B32" s="805" t="s">
        <v>5350</v>
      </c>
      <c r="C32" s="805"/>
      <c r="D32" s="805"/>
      <c r="E32" s="805"/>
      <c r="F32" s="805"/>
      <c r="G32" s="805"/>
      <c r="H32" s="805"/>
      <c r="I32" s="736">
        <v>2245762.38</v>
      </c>
      <c r="J32" s="335"/>
    </row>
    <row r="33" spans="1:10" ht="19.5" customHeight="1" x14ac:dyDescent="0.25">
      <c r="A33" s="335"/>
      <c r="B33" s="806" t="s">
        <v>5351</v>
      </c>
      <c r="C33" s="806"/>
      <c r="D33" s="806"/>
      <c r="E33" s="806"/>
      <c r="F33" s="806"/>
      <c r="G33" s="806"/>
      <c r="H33" s="806"/>
      <c r="I33" s="736">
        <v>0</v>
      </c>
      <c r="J33" s="335"/>
    </row>
    <row r="34" spans="1:10" ht="26.25" customHeight="1" x14ac:dyDescent="0.25">
      <c r="A34" s="335"/>
      <c r="B34" s="805" t="s">
        <v>5352</v>
      </c>
      <c r="C34" s="805"/>
      <c r="D34" s="805"/>
      <c r="E34" s="805"/>
      <c r="F34" s="805"/>
      <c r="G34" s="805"/>
      <c r="H34" s="805"/>
      <c r="I34" s="736">
        <v>0</v>
      </c>
      <c r="J34" s="335"/>
    </row>
    <row r="35" spans="1:10" ht="28.5" customHeight="1" x14ac:dyDescent="0.25">
      <c r="A35" s="335"/>
      <c r="B35" s="805" t="s">
        <v>5353</v>
      </c>
      <c r="C35" s="805"/>
      <c r="D35" s="805"/>
      <c r="E35" s="805"/>
      <c r="F35" s="805"/>
      <c r="G35" s="805"/>
      <c r="H35" s="805"/>
      <c r="I35" s="736">
        <v>0</v>
      </c>
      <c r="J35" s="335"/>
    </row>
    <row r="36" spans="1:10" ht="19.5" customHeight="1" x14ac:dyDescent="0.25">
      <c r="A36" s="335"/>
      <c r="B36" s="790" t="s">
        <v>5354</v>
      </c>
      <c r="C36" s="790"/>
      <c r="D36" s="790"/>
      <c r="E36" s="790"/>
      <c r="F36" s="790"/>
      <c r="G36" s="790"/>
      <c r="H36" s="790"/>
      <c r="I36" s="737">
        <f>SUM(I29,I30)</f>
        <v>14014476.690000005</v>
      </c>
      <c r="J36" s="335"/>
    </row>
    <row r="37" spans="1:10" ht="16.5" customHeight="1" x14ac:dyDescent="0.25">
      <c r="A37" s="335"/>
      <c r="B37" s="734"/>
      <c r="C37" s="734"/>
      <c r="D37" s="734"/>
      <c r="E37" s="734"/>
      <c r="F37" s="788" t="s">
        <v>5355</v>
      </c>
      <c r="G37" s="788"/>
      <c r="H37" s="788"/>
      <c r="I37" s="738"/>
      <c r="J37" s="335"/>
    </row>
    <row r="38" spans="1:10" ht="19.5" hidden="1" customHeight="1" x14ac:dyDescent="0.25">
      <c r="A38" s="335"/>
      <c r="B38" s="734"/>
      <c r="C38" s="734"/>
      <c r="D38" s="734"/>
      <c r="E38" s="734"/>
      <c r="F38" s="735"/>
      <c r="G38" s="735"/>
      <c r="H38" s="735"/>
      <c r="I38" s="738"/>
      <c r="J38" s="335"/>
    </row>
    <row r="39" spans="1:10" ht="19.5" hidden="1" customHeight="1" x14ac:dyDescent="0.25">
      <c r="A39" s="335"/>
      <c r="B39" s="734"/>
      <c r="C39" s="734"/>
      <c r="D39" s="734"/>
      <c r="E39" s="734"/>
      <c r="F39" s="735"/>
      <c r="G39" s="735"/>
      <c r="H39" s="735"/>
      <c r="I39" s="738"/>
      <c r="J39" s="335"/>
    </row>
    <row r="40" spans="1:10" ht="19.5" hidden="1" customHeight="1" x14ac:dyDescent="0.25">
      <c r="A40" s="335"/>
      <c r="B40" s="734"/>
      <c r="C40" s="734"/>
      <c r="D40" s="734"/>
      <c r="E40" s="734"/>
      <c r="F40" s="735"/>
      <c r="G40" s="735"/>
      <c r="H40" s="735"/>
      <c r="I40" s="738"/>
      <c r="J40" s="335"/>
    </row>
    <row r="41" spans="1:10" ht="19.5" hidden="1" customHeight="1" x14ac:dyDescent="0.25">
      <c r="A41" s="335"/>
      <c r="B41" s="734"/>
      <c r="C41" s="734"/>
      <c r="D41" s="734"/>
      <c r="E41" s="734"/>
      <c r="F41" s="735"/>
      <c r="G41" s="735"/>
      <c r="H41" s="735"/>
      <c r="I41" s="738"/>
      <c r="J41" s="335"/>
    </row>
    <row r="42" spans="1:10" ht="19.5" hidden="1" customHeight="1" x14ac:dyDescent="0.25">
      <c r="A42" s="335"/>
      <c r="B42" s="734"/>
      <c r="C42" s="734"/>
      <c r="D42" s="734"/>
      <c r="E42" s="734"/>
      <c r="F42" s="735"/>
      <c r="G42" s="735"/>
      <c r="H42" s="735"/>
      <c r="I42" s="738"/>
      <c r="J42" s="335"/>
    </row>
    <row r="43" spans="1:10" ht="19.5" hidden="1" customHeight="1" x14ac:dyDescent="0.25">
      <c r="A43" s="335"/>
      <c r="B43" s="734"/>
      <c r="C43" s="734"/>
      <c r="D43" s="734"/>
      <c r="E43" s="734"/>
      <c r="F43" s="735"/>
      <c r="G43" s="735"/>
      <c r="H43" s="735"/>
      <c r="I43" s="738"/>
      <c r="J43" s="335"/>
    </row>
    <row r="44" spans="1:10" ht="19.5" hidden="1" customHeight="1" x14ac:dyDescent="0.25">
      <c r="A44" s="335"/>
      <c r="B44" s="734"/>
      <c r="C44" s="734"/>
      <c r="D44" s="734"/>
      <c r="E44" s="734"/>
      <c r="F44" s="734"/>
      <c r="G44" s="734"/>
      <c r="H44" s="734"/>
      <c r="I44" s="738"/>
      <c r="J44" s="335"/>
    </row>
    <row r="45" spans="1:10" ht="19.5" hidden="1" customHeight="1" x14ac:dyDescent="0.25">
      <c r="A45" s="335"/>
      <c r="B45" s="734"/>
      <c r="C45" s="734"/>
      <c r="D45" s="734"/>
      <c r="E45" s="734"/>
      <c r="F45" s="734"/>
      <c r="G45" s="734"/>
      <c r="H45" s="734"/>
      <c r="I45" s="738"/>
      <c r="J45" s="335"/>
    </row>
    <row r="46" spans="1:10" ht="19.5" hidden="1" customHeight="1" x14ac:dyDescent="0.25">
      <c r="A46" s="335"/>
      <c r="B46" s="734"/>
      <c r="C46" s="734"/>
      <c r="D46" s="734"/>
      <c r="E46" s="734"/>
      <c r="F46" s="734"/>
      <c r="G46" s="734"/>
      <c r="H46" s="734"/>
      <c r="I46" s="738"/>
      <c r="J46" s="335"/>
    </row>
    <row r="47" spans="1:10" ht="19.5" hidden="1" customHeight="1" x14ac:dyDescent="0.25">
      <c r="A47" s="335"/>
      <c r="B47" s="734"/>
      <c r="C47" s="734"/>
      <c r="D47" s="734"/>
      <c r="E47" s="734"/>
      <c r="F47" s="734"/>
      <c r="G47" s="734"/>
      <c r="H47" s="734"/>
      <c r="I47" s="738"/>
      <c r="J47" s="335"/>
    </row>
    <row r="48" spans="1:10" ht="19.5" hidden="1" customHeight="1" x14ac:dyDescent="0.25">
      <c r="A48" s="335"/>
      <c r="B48" s="734"/>
      <c r="C48" s="734"/>
      <c r="D48" s="734"/>
      <c r="E48" s="734"/>
      <c r="F48" s="734"/>
      <c r="G48" s="734"/>
      <c r="H48" s="734"/>
      <c r="I48" s="738"/>
      <c r="J48" s="335"/>
    </row>
    <row r="49" spans="1:10" ht="19.5" hidden="1" customHeight="1" x14ac:dyDescent="0.25">
      <c r="A49" s="335"/>
      <c r="B49" s="734"/>
      <c r="C49" s="734"/>
      <c r="D49" s="734"/>
      <c r="E49" s="734"/>
      <c r="F49" s="734"/>
      <c r="G49" s="734"/>
      <c r="H49" s="734"/>
      <c r="I49" s="738"/>
      <c r="J49" s="335"/>
    </row>
    <row r="50" spans="1:10" ht="19.5" hidden="1" customHeight="1" x14ac:dyDescent="0.25">
      <c r="A50" s="335"/>
      <c r="B50" s="730"/>
      <c r="C50" s="738"/>
      <c r="D50" s="738"/>
      <c r="E50" s="739"/>
      <c r="F50" s="730"/>
      <c r="G50" s="730"/>
      <c r="H50" s="730"/>
      <c r="I50" s="738"/>
      <c r="J50" s="335"/>
    </row>
    <row r="51" spans="1:10" ht="19.5" hidden="1" customHeight="1" x14ac:dyDescent="0.25">
      <c r="A51" s="335"/>
      <c r="B51" s="730"/>
      <c r="C51" s="738"/>
      <c r="D51" s="738"/>
      <c r="E51" s="739"/>
      <c r="F51" s="730"/>
      <c r="G51" s="730"/>
      <c r="H51" s="730"/>
      <c r="I51" s="738"/>
      <c r="J51" s="335"/>
    </row>
    <row r="52" spans="1:10" ht="19.5" hidden="1" customHeight="1" x14ac:dyDescent="0.25">
      <c r="A52" s="335"/>
      <c r="B52" s="730"/>
      <c r="C52" s="738"/>
      <c r="D52" s="738"/>
      <c r="E52" s="739"/>
      <c r="F52" s="730"/>
      <c r="G52" s="730"/>
      <c r="H52" s="730"/>
      <c r="I52" s="738"/>
      <c r="J52" s="335"/>
    </row>
    <row r="53" spans="1:10" ht="21" customHeight="1" x14ac:dyDescent="0.25">
      <c r="A53" s="340"/>
      <c r="B53" s="808" t="s">
        <v>5356</v>
      </c>
      <c r="C53" s="808"/>
      <c r="D53" s="808"/>
      <c r="E53" s="808"/>
      <c r="F53" s="808"/>
      <c r="G53" s="808"/>
      <c r="H53" s="808"/>
      <c r="I53" s="808"/>
      <c r="J53" s="340"/>
    </row>
    <row r="54" spans="1:10" s="321" customFormat="1" ht="19.5" hidden="1" customHeight="1" x14ac:dyDescent="0.25">
      <c r="A54" s="320"/>
      <c r="B54" s="320"/>
      <c r="C54" s="318"/>
      <c r="D54" s="318"/>
      <c r="E54" s="319"/>
      <c r="F54" s="319"/>
      <c r="G54" s="319"/>
      <c r="H54" s="319"/>
      <c r="I54" s="318"/>
      <c r="J54" s="320"/>
    </row>
    <row r="55" spans="1:10" hidden="1" x14ac:dyDescent="0.25"/>
    <row r="56" spans="1:10" ht="33" customHeight="1" x14ac:dyDescent="0.25">
      <c r="A56" s="202" t="s">
        <v>0</v>
      </c>
      <c r="B56" s="781" t="s">
        <v>1</v>
      </c>
      <c r="C56" s="781"/>
      <c r="D56" s="781"/>
      <c r="E56" s="781"/>
      <c r="F56" s="781"/>
      <c r="G56" s="781"/>
      <c r="H56" s="280" t="s">
        <v>2</v>
      </c>
      <c r="I56" s="784" t="s">
        <v>5424</v>
      </c>
      <c r="J56" s="785"/>
    </row>
    <row r="57" spans="1:10" ht="30" customHeight="1" x14ac:dyDescent="0.25">
      <c r="A57" s="2" t="s">
        <v>15</v>
      </c>
      <c r="B57" s="782" t="s">
        <v>3</v>
      </c>
      <c r="C57" s="782"/>
      <c r="D57" s="782"/>
      <c r="E57" s="782"/>
      <c r="F57" s="782"/>
      <c r="G57" s="782"/>
      <c r="H57" s="3" t="s">
        <v>4</v>
      </c>
      <c r="I57" s="786">
        <v>508246326.57999998</v>
      </c>
      <c r="J57" s="787"/>
    </row>
    <row r="58" spans="1:10" ht="30" customHeight="1" x14ac:dyDescent="0.25">
      <c r="A58" s="2" t="s">
        <v>16</v>
      </c>
      <c r="B58" s="782" t="s">
        <v>5</v>
      </c>
      <c r="C58" s="782"/>
      <c r="D58" s="782"/>
      <c r="E58" s="782"/>
      <c r="F58" s="782"/>
      <c r="G58" s="782"/>
      <c r="H58" s="3" t="s">
        <v>6</v>
      </c>
      <c r="I58" s="810">
        <v>538151430.26999998</v>
      </c>
      <c r="J58" s="811"/>
    </row>
    <row r="59" spans="1:10" ht="22.5" customHeight="1" x14ac:dyDescent="0.25">
      <c r="A59" s="1" t="s">
        <v>17</v>
      </c>
      <c r="B59" s="809" t="s">
        <v>7</v>
      </c>
      <c r="C59" s="809"/>
      <c r="D59" s="809"/>
      <c r="E59" s="809"/>
      <c r="F59" s="809"/>
      <c r="G59" s="809"/>
      <c r="H59" s="722" t="s">
        <v>8</v>
      </c>
      <c r="I59" s="812">
        <f t="shared" ref="I59" si="0">SUM(I57-I58)</f>
        <v>-29905103.689999998</v>
      </c>
      <c r="J59" s="813"/>
    </row>
    <row r="60" spans="1:10" ht="30" customHeight="1" x14ac:dyDescent="0.25">
      <c r="A60" s="2" t="s">
        <v>18</v>
      </c>
      <c r="B60" s="820" t="s">
        <v>5113</v>
      </c>
      <c r="C60" s="821"/>
      <c r="D60" s="821"/>
      <c r="E60" s="821"/>
      <c r="F60" s="821"/>
      <c r="G60" s="822"/>
      <c r="H60" s="4">
        <v>62</v>
      </c>
      <c r="I60" s="810">
        <f>'По основ. нам.'!C86-'По основ. нам.'!C87</f>
        <v>0</v>
      </c>
      <c r="J60" s="811"/>
    </row>
    <row r="61" spans="1:10" ht="30" customHeight="1" x14ac:dyDescent="0.25">
      <c r="A61" s="247" t="s">
        <v>19</v>
      </c>
      <c r="B61" s="800" t="s">
        <v>5105</v>
      </c>
      <c r="C61" s="801"/>
      <c r="D61" s="801"/>
      <c r="E61" s="801"/>
      <c r="F61" s="801"/>
      <c r="G61" s="802"/>
      <c r="H61" s="723">
        <v>92</v>
      </c>
      <c r="I61" s="814"/>
      <c r="J61" s="815"/>
    </row>
    <row r="62" spans="1:10" ht="25.5" customHeight="1" x14ac:dyDescent="0.25">
      <c r="A62" s="1" t="s">
        <v>20</v>
      </c>
      <c r="B62" s="823" t="s">
        <v>9</v>
      </c>
      <c r="C62" s="823"/>
      <c r="D62" s="823"/>
      <c r="E62" s="823"/>
      <c r="F62" s="823"/>
      <c r="G62" s="823"/>
      <c r="H62" s="727" t="s">
        <v>5106</v>
      </c>
      <c r="I62" s="816">
        <f>I59+I61-I60</f>
        <v>-29905103.689999998</v>
      </c>
      <c r="J62" s="817"/>
    </row>
    <row r="63" spans="1:10" ht="20.25" customHeight="1" x14ac:dyDescent="0.25">
      <c r="A63" s="726" t="s">
        <v>10</v>
      </c>
      <c r="B63" s="794" t="s">
        <v>11</v>
      </c>
      <c r="C63" s="795"/>
      <c r="D63" s="795"/>
      <c r="E63" s="795"/>
      <c r="F63" s="795"/>
      <c r="G63" s="795"/>
      <c r="H63" s="795"/>
      <c r="I63" s="795"/>
      <c r="J63" s="796"/>
    </row>
    <row r="64" spans="1:10" ht="26.25" customHeight="1" x14ac:dyDescent="0.25">
      <c r="A64" s="2" t="s">
        <v>15</v>
      </c>
      <c r="B64" s="824" t="s">
        <v>12</v>
      </c>
      <c r="C64" s="824"/>
      <c r="D64" s="824"/>
      <c r="E64" s="824"/>
      <c r="F64" s="824"/>
      <c r="G64" s="824"/>
      <c r="H64" s="728">
        <v>91</v>
      </c>
      <c r="I64" s="810">
        <f>'Оптшти део - (6)'!D97</f>
        <v>0</v>
      </c>
      <c r="J64" s="811"/>
    </row>
    <row r="65" spans="1:13" ht="21.75" customHeight="1" x14ac:dyDescent="0.25">
      <c r="A65" s="2" t="s">
        <v>16</v>
      </c>
      <c r="B65" s="782" t="s">
        <v>5110</v>
      </c>
      <c r="C65" s="782"/>
      <c r="D65" s="782"/>
      <c r="E65" s="782"/>
      <c r="F65" s="782"/>
      <c r="G65" s="782"/>
      <c r="H65" s="725">
        <v>92</v>
      </c>
      <c r="I65" s="818">
        <f>'Оптшти део - (6)'!D100</f>
        <v>0</v>
      </c>
      <c r="J65" s="819"/>
    </row>
    <row r="66" spans="1:13" ht="24" customHeight="1" x14ac:dyDescent="0.25">
      <c r="A66" s="246" t="s">
        <v>17</v>
      </c>
      <c r="B66" s="800" t="s">
        <v>5107</v>
      </c>
      <c r="C66" s="801"/>
      <c r="D66" s="801"/>
      <c r="E66" s="801"/>
      <c r="F66" s="801"/>
      <c r="G66" s="802"/>
      <c r="H66" s="248">
        <v>3</v>
      </c>
      <c r="I66" s="810">
        <v>43919580.380000003</v>
      </c>
      <c r="J66" s="811"/>
    </row>
    <row r="67" spans="1:13" ht="30" customHeight="1" x14ac:dyDescent="0.25">
      <c r="A67" s="2" t="s">
        <v>18</v>
      </c>
      <c r="B67" s="782" t="s">
        <v>5112</v>
      </c>
      <c r="C67" s="782"/>
      <c r="D67" s="782"/>
      <c r="E67" s="782"/>
      <c r="F67" s="782"/>
      <c r="G67" s="782"/>
      <c r="H67" s="725">
        <v>6211</v>
      </c>
      <c r="I67" s="814">
        <f>SUM('По основ. нам.'!C86)</f>
        <v>0</v>
      </c>
      <c r="J67" s="815"/>
    </row>
    <row r="68" spans="1:13" ht="21" customHeight="1" x14ac:dyDescent="0.25">
      <c r="A68" s="2" t="s">
        <v>19</v>
      </c>
      <c r="B68" s="782" t="s">
        <v>13</v>
      </c>
      <c r="C68" s="782"/>
      <c r="D68" s="782"/>
      <c r="E68" s="782"/>
      <c r="F68" s="782"/>
      <c r="G68" s="782"/>
      <c r="H68" s="3">
        <v>61</v>
      </c>
      <c r="I68" s="810">
        <f>'По основ. нам.'!C82</f>
        <v>0</v>
      </c>
      <c r="J68" s="811"/>
      <c r="M68" s="729"/>
    </row>
    <row r="69" spans="1:13" ht="18.75" customHeight="1" x14ac:dyDescent="0.25">
      <c r="A69" s="202" t="s">
        <v>5109</v>
      </c>
      <c r="B69" s="799" t="s">
        <v>14</v>
      </c>
      <c r="C69" s="799"/>
      <c r="D69" s="799"/>
      <c r="E69" s="799"/>
      <c r="F69" s="799"/>
      <c r="G69" s="799"/>
      <c r="H69" s="724" t="s">
        <v>5108</v>
      </c>
      <c r="I69" s="826">
        <f>SUM(I64,I65,I66-I67,I68)</f>
        <v>43919580.380000003</v>
      </c>
      <c r="J69" s="827"/>
    </row>
    <row r="71" spans="1:13" ht="20.25" x14ac:dyDescent="0.25">
      <c r="A71" s="321"/>
      <c r="B71" s="321"/>
      <c r="C71" s="321"/>
      <c r="D71" s="321"/>
      <c r="E71" s="321"/>
      <c r="F71" s="797" t="s">
        <v>5357</v>
      </c>
      <c r="G71" s="798"/>
      <c r="H71" s="798"/>
      <c r="I71" s="321"/>
      <c r="J71" s="321"/>
    </row>
    <row r="72" spans="1:13" ht="26.25" customHeight="1" x14ac:dyDescent="0.25">
      <c r="A72" s="321"/>
      <c r="B72" s="783" t="s">
        <v>5436</v>
      </c>
      <c r="C72" s="783"/>
      <c r="D72" s="783"/>
      <c r="E72" s="783"/>
      <c r="F72" s="783"/>
      <c r="G72" s="783"/>
      <c r="H72" s="783"/>
      <c r="I72" s="783"/>
      <c r="J72" s="783"/>
    </row>
    <row r="73" spans="1:13" ht="21" customHeight="1" x14ac:dyDescent="0.25">
      <c r="A73" s="341"/>
      <c r="B73" s="803" t="s">
        <v>5430</v>
      </c>
      <c r="C73" s="803"/>
      <c r="D73" s="803"/>
      <c r="E73" s="803"/>
      <c r="F73" s="803"/>
      <c r="G73" s="803"/>
      <c r="H73" s="803"/>
      <c r="I73" s="803"/>
      <c r="J73" s="803"/>
    </row>
    <row r="74" spans="1:13" ht="30" hidden="1" customHeight="1" x14ac:dyDescent="0.25">
      <c r="A74" s="322"/>
      <c r="B74" s="783"/>
      <c r="C74" s="783"/>
      <c r="D74" s="783"/>
      <c r="E74" s="783"/>
      <c r="F74" s="783"/>
      <c r="G74" s="783"/>
      <c r="H74" s="783"/>
      <c r="I74" s="783"/>
      <c r="J74" s="783"/>
    </row>
    <row r="75" spans="1:13" ht="36.75" hidden="1" customHeight="1" x14ac:dyDescent="0.25">
      <c r="A75" s="322"/>
      <c r="B75" s="783"/>
      <c r="C75" s="783"/>
      <c r="D75" s="783"/>
      <c r="E75" s="783"/>
      <c r="F75" s="783"/>
      <c r="G75" s="783"/>
      <c r="H75" s="783"/>
      <c r="I75" s="783"/>
      <c r="J75" s="783"/>
    </row>
    <row r="76" spans="1:13" ht="50.25" hidden="1" customHeight="1" x14ac:dyDescent="0.25">
      <c r="A76" s="321"/>
      <c r="B76" s="783"/>
      <c r="C76" s="783"/>
      <c r="D76" s="783"/>
      <c r="E76" s="783"/>
      <c r="F76" s="783"/>
      <c r="G76" s="783"/>
      <c r="H76" s="783"/>
      <c r="I76" s="783"/>
      <c r="J76" s="783"/>
    </row>
    <row r="77" spans="1:13" ht="29.25" customHeight="1" x14ac:dyDescent="0.25">
      <c r="A77" s="321"/>
      <c r="B77" s="783" t="s">
        <v>5429</v>
      </c>
      <c r="C77" s="783"/>
      <c r="D77" s="783"/>
      <c r="E77" s="783"/>
      <c r="F77" s="783"/>
      <c r="G77" s="783"/>
      <c r="H77" s="783"/>
      <c r="I77" s="783"/>
      <c r="J77" s="783"/>
    </row>
    <row r="78" spans="1:13" ht="30.75" customHeight="1" x14ac:dyDescent="0.25">
      <c r="A78" s="321"/>
      <c r="B78" s="783" t="s">
        <v>5426</v>
      </c>
      <c r="C78" s="783"/>
      <c r="D78" s="783"/>
      <c r="E78" s="783"/>
      <c r="F78" s="783"/>
      <c r="G78" s="783"/>
      <c r="H78" s="783"/>
      <c r="I78" s="783"/>
      <c r="J78" s="783"/>
    </row>
    <row r="79" spans="1:13" ht="20.25" hidden="1" customHeight="1" x14ac:dyDescent="0.25">
      <c r="A79" s="321"/>
      <c r="B79" s="783"/>
      <c r="C79" s="783"/>
      <c r="D79" s="783"/>
      <c r="E79" s="783"/>
      <c r="F79" s="783"/>
      <c r="G79" s="783"/>
      <c r="H79" s="783"/>
      <c r="I79" s="783"/>
      <c r="J79" s="783"/>
    </row>
    <row r="80" spans="1:13" ht="46.5" customHeight="1" x14ac:dyDescent="0.25">
      <c r="A80" s="342"/>
      <c r="B80" s="783" t="s">
        <v>5427</v>
      </c>
      <c r="C80" s="783"/>
      <c r="D80" s="783"/>
      <c r="E80" s="783"/>
      <c r="F80" s="783"/>
      <c r="G80" s="783"/>
      <c r="H80" s="783"/>
      <c r="I80" s="783"/>
      <c r="J80" s="783"/>
    </row>
    <row r="81" spans="1:10" ht="55.5" customHeight="1" x14ac:dyDescent="0.25">
      <c r="A81" s="341"/>
      <c r="B81" s="783" t="s">
        <v>5428</v>
      </c>
      <c r="C81" s="783"/>
      <c r="D81" s="783"/>
      <c r="E81" s="783"/>
      <c r="F81" s="783"/>
      <c r="G81" s="783"/>
      <c r="H81" s="783"/>
      <c r="I81" s="783"/>
      <c r="J81" s="783"/>
    </row>
    <row r="82" spans="1:10" ht="30.75" hidden="1" customHeight="1" x14ac:dyDescent="0.25">
      <c r="A82" s="321"/>
      <c r="B82" s="783"/>
      <c r="C82" s="783"/>
      <c r="D82" s="783"/>
      <c r="E82" s="783"/>
      <c r="F82" s="783"/>
      <c r="G82" s="783"/>
      <c r="H82" s="321"/>
      <c r="I82" s="321"/>
      <c r="J82" s="321"/>
    </row>
    <row r="83" spans="1:10" ht="29.25" customHeight="1" x14ac:dyDescent="0.25">
      <c r="A83" s="342"/>
      <c r="B83" s="803" t="s">
        <v>5437</v>
      </c>
      <c r="C83" s="803"/>
      <c r="D83" s="803"/>
      <c r="E83" s="803"/>
      <c r="F83" s="803"/>
      <c r="G83" s="803"/>
      <c r="H83" s="803"/>
      <c r="I83" s="803"/>
      <c r="J83" s="803"/>
    </row>
    <row r="84" spans="1:10" x14ac:dyDescent="0.25">
      <c r="A84" s="321"/>
      <c r="B84" s="341"/>
      <c r="C84" s="341"/>
      <c r="D84" s="341"/>
      <c r="E84" s="341"/>
      <c r="F84" s="341"/>
      <c r="G84" s="341"/>
      <c r="H84" s="341"/>
      <c r="I84" s="341"/>
      <c r="J84" s="341"/>
    </row>
    <row r="85" spans="1:10" ht="20.25" customHeight="1" x14ac:dyDescent="0.25">
      <c r="A85" s="321"/>
      <c r="B85" s="321"/>
      <c r="C85" s="740"/>
      <c r="D85" s="788"/>
      <c r="E85" s="788"/>
      <c r="F85" s="788" t="s">
        <v>5358</v>
      </c>
      <c r="G85" s="788"/>
      <c r="H85" s="788"/>
      <c r="I85" s="321"/>
      <c r="J85" s="321"/>
    </row>
    <row r="86" spans="1:10" ht="29.25" hidden="1" customHeight="1" x14ac:dyDescent="0.25">
      <c r="A86" s="342"/>
      <c r="B86" s="741" t="s">
        <v>5359</v>
      </c>
      <c r="C86" s="829"/>
      <c r="D86" s="829"/>
      <c r="E86" s="829"/>
      <c r="F86" s="829"/>
      <c r="G86" s="829"/>
      <c r="H86" s="342"/>
      <c r="I86" s="342"/>
      <c r="J86" s="342"/>
    </row>
    <row r="87" spans="1:10" ht="45.75" customHeight="1" x14ac:dyDescent="0.25">
      <c r="A87" s="342"/>
      <c r="B87" s="803" t="s">
        <v>5431</v>
      </c>
      <c r="C87" s="803"/>
      <c r="D87" s="803"/>
      <c r="E87" s="803"/>
      <c r="F87" s="803"/>
      <c r="G87" s="803"/>
      <c r="H87" s="803"/>
      <c r="I87" s="803"/>
      <c r="J87" s="803"/>
    </row>
    <row r="88" spans="1:10" ht="5.25" customHeight="1" x14ac:dyDescent="0.25">
      <c r="A88" s="321"/>
      <c r="B88" s="742"/>
      <c r="C88" s="742"/>
      <c r="D88" s="742"/>
      <c r="E88" s="742"/>
      <c r="F88" s="742"/>
      <c r="G88" s="742"/>
      <c r="H88" s="321"/>
      <c r="I88" s="321"/>
      <c r="J88" s="321"/>
    </row>
    <row r="89" spans="1:10" x14ac:dyDescent="0.25">
      <c r="A89" s="321"/>
      <c r="B89" s="742"/>
      <c r="C89" s="742"/>
      <c r="D89" s="828"/>
      <c r="E89" s="828"/>
      <c r="F89" s="828" t="s">
        <v>5361</v>
      </c>
      <c r="G89" s="828"/>
      <c r="H89" s="828"/>
      <c r="I89" s="321"/>
      <c r="J89" s="321"/>
    </row>
    <row r="90" spans="1:10" ht="44.25" customHeight="1" x14ac:dyDescent="0.25">
      <c r="A90" s="321"/>
      <c r="B90" s="803" t="s">
        <v>5432</v>
      </c>
      <c r="C90" s="803"/>
      <c r="D90" s="803"/>
      <c r="E90" s="803"/>
      <c r="F90" s="803"/>
      <c r="G90" s="803"/>
      <c r="H90" s="803"/>
      <c r="I90" s="803"/>
      <c r="J90" s="803"/>
    </row>
    <row r="91" spans="1:10" ht="10.5" customHeight="1" x14ac:dyDescent="0.25">
      <c r="A91" s="342" t="s">
        <v>5280</v>
      </c>
      <c r="B91" s="742"/>
      <c r="C91" s="742"/>
      <c r="D91" s="742"/>
      <c r="E91" s="742"/>
      <c r="F91" s="742"/>
      <c r="G91" s="742"/>
      <c r="H91" s="342"/>
      <c r="I91" s="342"/>
      <c r="J91" s="342"/>
    </row>
    <row r="92" spans="1:10" x14ac:dyDescent="0.25">
      <c r="B92" s="742"/>
      <c r="C92" s="742"/>
      <c r="D92" s="828"/>
      <c r="E92" s="828"/>
      <c r="F92" s="825" t="s">
        <v>5360</v>
      </c>
      <c r="G92" s="825"/>
      <c r="H92" s="825"/>
      <c r="I92" s="321"/>
      <c r="J92" s="321"/>
    </row>
    <row r="93" spans="1:10" ht="31.5" customHeight="1" x14ac:dyDescent="0.25">
      <c r="B93" s="803" t="s">
        <v>5433</v>
      </c>
      <c r="C93" s="803"/>
      <c r="D93" s="803"/>
      <c r="E93" s="803"/>
      <c r="F93" s="803"/>
      <c r="G93" s="803"/>
      <c r="H93" s="803"/>
      <c r="I93" s="803"/>
      <c r="J93" s="803"/>
    </row>
  </sheetData>
  <sheetProtection password="CA6E" sheet="1" objects="1" scenarios="1" selectLockedCells="1" selectUnlockedCells="1"/>
  <mergeCells count="82">
    <mergeCell ref="B90:J90"/>
    <mergeCell ref="F92:H92"/>
    <mergeCell ref="B93:J93"/>
    <mergeCell ref="B81:J81"/>
    <mergeCell ref="I67:J67"/>
    <mergeCell ref="I68:J68"/>
    <mergeCell ref="I69:J69"/>
    <mergeCell ref="F89:H89"/>
    <mergeCell ref="B87:J87"/>
    <mergeCell ref="C86:G86"/>
    <mergeCell ref="D89:E89"/>
    <mergeCell ref="D92:E92"/>
    <mergeCell ref="B82:G82"/>
    <mergeCell ref="B79:J79"/>
    <mergeCell ref="B80:J80"/>
    <mergeCell ref="B53:I53"/>
    <mergeCell ref="B68:G68"/>
    <mergeCell ref="B58:G58"/>
    <mergeCell ref="B59:G59"/>
    <mergeCell ref="I58:J58"/>
    <mergeCell ref="I59:J59"/>
    <mergeCell ref="I60:J60"/>
    <mergeCell ref="I61:J61"/>
    <mergeCell ref="I62:J62"/>
    <mergeCell ref="I64:J64"/>
    <mergeCell ref="I65:J65"/>
    <mergeCell ref="I66:J66"/>
    <mergeCell ref="B60:G60"/>
    <mergeCell ref="B62:G62"/>
    <mergeCell ref="B61:G61"/>
    <mergeCell ref="B64:G64"/>
    <mergeCell ref="B33:H33"/>
    <mergeCell ref="B34:H34"/>
    <mergeCell ref="B35:H35"/>
    <mergeCell ref="B26:I26"/>
    <mergeCell ref="B27:H27"/>
    <mergeCell ref="B28:H28"/>
    <mergeCell ref="B29:H29"/>
    <mergeCell ref="B30:H30"/>
    <mergeCell ref="F23:H23"/>
    <mergeCell ref="B24:I24"/>
    <mergeCell ref="B21:H21"/>
    <mergeCell ref="B31:H31"/>
    <mergeCell ref="B32:H32"/>
    <mergeCell ref="B65:G65"/>
    <mergeCell ref="B63:J63"/>
    <mergeCell ref="F85:H85"/>
    <mergeCell ref="D85:E85"/>
    <mergeCell ref="F71:H71"/>
    <mergeCell ref="B69:G69"/>
    <mergeCell ref="B66:G66"/>
    <mergeCell ref="B67:G67"/>
    <mergeCell ref="B83:J83"/>
    <mergeCell ref="B72:J72"/>
    <mergeCell ref="B73:J73"/>
    <mergeCell ref="B74:J74"/>
    <mergeCell ref="B75:J75"/>
    <mergeCell ref="B76:J76"/>
    <mergeCell ref="B77:J77"/>
    <mergeCell ref="B78:J78"/>
    <mergeCell ref="A2:J2"/>
    <mergeCell ref="E3:H3"/>
    <mergeCell ref="C5:I5"/>
    <mergeCell ref="F7:H7"/>
    <mergeCell ref="A8:J8"/>
    <mergeCell ref="C4:I4"/>
    <mergeCell ref="E9:H9"/>
    <mergeCell ref="F11:H11"/>
    <mergeCell ref="B56:G56"/>
    <mergeCell ref="B57:G57"/>
    <mergeCell ref="B12:I12"/>
    <mergeCell ref="B14:H14"/>
    <mergeCell ref="B15:H15"/>
    <mergeCell ref="I56:J56"/>
    <mergeCell ref="I57:J57"/>
    <mergeCell ref="F37:H37"/>
    <mergeCell ref="B16:H16"/>
    <mergeCell ref="B20:H20"/>
    <mergeCell ref="F25:H25"/>
    <mergeCell ref="B36:H36"/>
    <mergeCell ref="B22:H22"/>
    <mergeCell ref="B18:I18"/>
  </mergeCells>
  <conditionalFormatting sqref="I62">
    <cfRule type="cellIs" dxfId="6" priority="4" operator="lessThan">
      <formula>0</formula>
    </cfRule>
  </conditionalFormatting>
  <conditionalFormatting sqref="I59">
    <cfRule type="cellIs" dxfId="5" priority="2" operator="lessThan">
      <formula>0</formula>
    </cfRule>
  </conditionalFormatting>
  <pageMargins left="0.31496062992125984" right="0.31496062992125984" top="0.74803149606299213" bottom="0.74803149606299213" header="0.31496062992125984" footer="0.31496062992125984"/>
  <pageSetup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47"/>
  <sheetViews>
    <sheetView workbookViewId="0">
      <selection activeCell="D3" sqref="D3"/>
    </sheetView>
  </sheetViews>
  <sheetFormatPr defaultRowHeight="15" x14ac:dyDescent="0.25"/>
  <cols>
    <col min="2" max="2" width="58.85546875" customWidth="1"/>
    <col min="3" max="3" width="16.5703125" customWidth="1"/>
    <col min="4" max="4" width="13.28515625" customWidth="1"/>
    <col min="5" max="5" width="15.140625" customWidth="1"/>
    <col min="6" max="6" width="11.5703125" customWidth="1"/>
  </cols>
  <sheetData>
    <row r="1" spans="1:6" ht="42.75" x14ac:dyDescent="0.25">
      <c r="A1" s="13" t="s">
        <v>21</v>
      </c>
      <c r="B1" s="14" t="s">
        <v>22</v>
      </c>
      <c r="C1" s="14" t="s">
        <v>23</v>
      </c>
      <c r="D1" s="15" t="s">
        <v>24</v>
      </c>
      <c r="E1" s="73" t="s">
        <v>3757</v>
      </c>
      <c r="F1" s="73" t="s">
        <v>4161</v>
      </c>
    </row>
    <row r="2" spans="1:6" x14ac:dyDescent="0.25">
      <c r="A2" s="6">
        <v>1</v>
      </c>
      <c r="B2" s="5">
        <v>2</v>
      </c>
      <c r="C2" s="5">
        <v>3</v>
      </c>
      <c r="D2" s="5">
        <v>4</v>
      </c>
      <c r="E2" s="5">
        <v>5</v>
      </c>
      <c r="F2" s="163">
        <v>6</v>
      </c>
    </row>
    <row r="3" spans="1:6" ht="28.5" x14ac:dyDescent="0.25">
      <c r="A3" s="40" t="s">
        <v>25</v>
      </c>
      <c r="B3" s="17" t="s">
        <v>26</v>
      </c>
      <c r="C3" s="11" t="s">
        <v>27</v>
      </c>
      <c r="D3" s="18"/>
      <c r="E3" s="74"/>
      <c r="F3" s="74"/>
    </row>
    <row r="4" spans="1:6" x14ac:dyDescent="0.25">
      <c r="A4" s="41" t="s">
        <v>15</v>
      </c>
      <c r="B4" s="19" t="s">
        <v>28</v>
      </c>
      <c r="C4" s="20">
        <v>71</v>
      </c>
      <c r="D4" s="21"/>
      <c r="E4" s="75"/>
      <c r="F4" s="75"/>
    </row>
    <row r="5" spans="1:6" ht="30" x14ac:dyDescent="0.25">
      <c r="A5" s="12" t="s">
        <v>29</v>
      </c>
      <c r="B5" s="22" t="s">
        <v>30</v>
      </c>
      <c r="C5" s="16">
        <v>711</v>
      </c>
      <c r="D5" s="23"/>
      <c r="E5" s="76"/>
      <c r="F5" s="76"/>
    </row>
    <row r="6" spans="1:6" x14ac:dyDescent="0.25">
      <c r="A6" s="12" t="s">
        <v>31</v>
      </c>
      <c r="B6" s="22" t="s">
        <v>32</v>
      </c>
      <c r="C6" s="16">
        <v>711180</v>
      </c>
      <c r="D6" s="23"/>
      <c r="E6" s="76"/>
      <c r="F6" s="76"/>
    </row>
    <row r="7" spans="1:6" x14ac:dyDescent="0.25">
      <c r="A7" s="12" t="s">
        <v>33</v>
      </c>
      <c r="B7" s="22" t="s">
        <v>34</v>
      </c>
      <c r="C7" s="16">
        <v>713</v>
      </c>
      <c r="D7" s="23"/>
      <c r="E7" s="76"/>
      <c r="F7" s="76"/>
    </row>
    <row r="8" spans="1:6" x14ac:dyDescent="0.25">
      <c r="A8" s="12" t="s">
        <v>35</v>
      </c>
      <c r="B8" s="22" t="s">
        <v>36</v>
      </c>
      <c r="C8" s="16"/>
      <c r="D8" s="23"/>
      <c r="E8" s="76"/>
      <c r="F8" s="76"/>
    </row>
    <row r="9" spans="1:6" x14ac:dyDescent="0.25">
      <c r="A9" s="42" t="s">
        <v>16</v>
      </c>
      <c r="B9" s="24" t="s">
        <v>37</v>
      </c>
      <c r="C9" s="25">
        <v>74</v>
      </c>
      <c r="D9" s="26"/>
      <c r="E9" s="77"/>
      <c r="F9" s="77"/>
    </row>
    <row r="10" spans="1:6" x14ac:dyDescent="0.25">
      <c r="A10" s="43" t="s">
        <v>38</v>
      </c>
      <c r="B10" s="27" t="s">
        <v>39</v>
      </c>
      <c r="C10" s="28">
        <v>741510</v>
      </c>
      <c r="D10" s="29"/>
      <c r="E10" s="78"/>
      <c r="F10" s="78"/>
    </row>
    <row r="11" spans="1:6" x14ac:dyDescent="0.25">
      <c r="A11" s="44" t="s">
        <v>40</v>
      </c>
      <c r="B11" s="27" t="s">
        <v>41</v>
      </c>
      <c r="C11" s="28">
        <v>741520</v>
      </c>
      <c r="D11" s="29"/>
      <c r="E11" s="78"/>
      <c r="F11" s="78"/>
    </row>
    <row r="12" spans="1:6" x14ac:dyDescent="0.25">
      <c r="A12" s="44" t="s">
        <v>40</v>
      </c>
      <c r="B12" s="27" t="s">
        <v>42</v>
      </c>
      <c r="C12" s="28">
        <v>741534</v>
      </c>
      <c r="D12" s="29"/>
      <c r="E12" s="78"/>
      <c r="F12" s="78"/>
    </row>
    <row r="13" spans="1:6" x14ac:dyDescent="0.25">
      <c r="A13" s="44" t="s">
        <v>44</v>
      </c>
      <c r="B13" s="30" t="s">
        <v>43</v>
      </c>
      <c r="C13" s="28">
        <v>741542</v>
      </c>
      <c r="D13" s="29"/>
      <c r="E13" s="78"/>
      <c r="F13" s="78"/>
    </row>
    <row r="14" spans="1:6" x14ac:dyDescent="0.25">
      <c r="A14" s="44" t="s">
        <v>46</v>
      </c>
      <c r="B14" s="46" t="s">
        <v>45</v>
      </c>
      <c r="C14" s="47">
        <v>741411</v>
      </c>
      <c r="D14" s="29"/>
      <c r="E14" s="78"/>
      <c r="F14" s="78"/>
    </row>
    <row r="15" spans="1:6" x14ac:dyDescent="0.25">
      <c r="A15" s="44" t="s">
        <v>48</v>
      </c>
      <c r="B15" s="46" t="s">
        <v>47</v>
      </c>
      <c r="C15" s="48">
        <v>742252</v>
      </c>
      <c r="D15" s="29"/>
      <c r="E15" s="78"/>
      <c r="F15" s="78"/>
    </row>
    <row r="16" spans="1:6" x14ac:dyDescent="0.25">
      <c r="A16" s="44" t="s">
        <v>50</v>
      </c>
      <c r="B16" s="46" t="s">
        <v>49</v>
      </c>
      <c r="C16" s="48">
        <v>742253</v>
      </c>
      <c r="D16" s="29"/>
      <c r="E16" s="78"/>
      <c r="F16" s="78"/>
    </row>
    <row r="17" spans="1:6" ht="45" x14ac:dyDescent="0.25">
      <c r="A17" s="44" t="s">
        <v>91</v>
      </c>
      <c r="B17" s="49" t="s">
        <v>51</v>
      </c>
      <c r="C17" s="48">
        <v>742340</v>
      </c>
      <c r="D17" s="29"/>
      <c r="E17" s="78"/>
      <c r="F17" s="78"/>
    </row>
    <row r="18" spans="1:6" x14ac:dyDescent="0.25">
      <c r="A18" s="7" t="s">
        <v>92</v>
      </c>
      <c r="B18" s="49" t="s">
        <v>52</v>
      </c>
      <c r="C18" s="50"/>
      <c r="D18" s="29"/>
      <c r="E18" s="78"/>
      <c r="F18" s="78"/>
    </row>
    <row r="19" spans="1:6" x14ac:dyDescent="0.25">
      <c r="A19" s="45" t="s">
        <v>17</v>
      </c>
      <c r="B19" s="31" t="s">
        <v>53</v>
      </c>
      <c r="C19" s="32" t="s">
        <v>54</v>
      </c>
      <c r="D19" s="33"/>
      <c r="E19" s="79"/>
      <c r="F19" s="79"/>
    </row>
    <row r="20" spans="1:6" x14ac:dyDescent="0.25">
      <c r="A20" s="41" t="s">
        <v>18</v>
      </c>
      <c r="B20" s="19" t="s">
        <v>55</v>
      </c>
      <c r="C20" s="20">
        <v>733</v>
      </c>
      <c r="D20" s="21"/>
      <c r="E20" s="75"/>
      <c r="F20" s="75"/>
    </row>
    <row r="21" spans="1:6" x14ac:dyDescent="0.25">
      <c r="A21" s="41" t="s">
        <v>19</v>
      </c>
      <c r="B21" s="19" t="s">
        <v>56</v>
      </c>
      <c r="C21" s="20">
        <v>771</v>
      </c>
      <c r="D21" s="21"/>
      <c r="E21" s="75"/>
      <c r="F21" s="75"/>
    </row>
    <row r="22" spans="1:6" x14ac:dyDescent="0.25">
      <c r="A22" s="41" t="s">
        <v>20</v>
      </c>
      <c r="B22" s="19" t="s">
        <v>57</v>
      </c>
      <c r="C22" s="20">
        <v>8</v>
      </c>
      <c r="D22" s="21"/>
      <c r="E22" s="75"/>
      <c r="F22" s="75"/>
    </row>
    <row r="23" spans="1:6" ht="28.5" x14ac:dyDescent="0.25">
      <c r="A23" s="10" t="s">
        <v>58</v>
      </c>
      <c r="B23" s="17" t="s">
        <v>59</v>
      </c>
      <c r="C23" s="11" t="s">
        <v>60</v>
      </c>
      <c r="D23" s="18"/>
      <c r="E23" s="74"/>
      <c r="F23" s="74"/>
    </row>
    <row r="24" spans="1:6" x14ac:dyDescent="0.25">
      <c r="A24" s="41" t="s">
        <v>15</v>
      </c>
      <c r="B24" s="19" t="s">
        <v>61</v>
      </c>
      <c r="C24" s="20" t="s">
        <v>62</v>
      </c>
      <c r="D24" s="21"/>
      <c r="E24" s="75"/>
      <c r="F24" s="75"/>
    </row>
    <row r="25" spans="1:6" x14ac:dyDescent="0.25">
      <c r="A25" s="12" t="s">
        <v>29</v>
      </c>
      <c r="B25" s="22" t="s">
        <v>63</v>
      </c>
      <c r="C25" s="16">
        <v>41</v>
      </c>
      <c r="D25" s="23"/>
      <c r="E25" s="76"/>
      <c r="F25" s="76"/>
    </row>
    <row r="26" spans="1:6" x14ac:dyDescent="0.25">
      <c r="A26" s="12" t="s">
        <v>31</v>
      </c>
      <c r="B26" s="22" t="s">
        <v>64</v>
      </c>
      <c r="C26" s="16">
        <v>42</v>
      </c>
      <c r="D26" s="23"/>
      <c r="E26" s="76"/>
      <c r="F26" s="76"/>
    </row>
    <row r="27" spans="1:6" x14ac:dyDescent="0.25">
      <c r="A27" s="12" t="s">
        <v>33</v>
      </c>
      <c r="B27" s="22" t="s">
        <v>65</v>
      </c>
      <c r="C27" s="16">
        <v>43</v>
      </c>
      <c r="D27" s="23"/>
      <c r="E27" s="76"/>
      <c r="F27" s="76"/>
    </row>
    <row r="28" spans="1:6" x14ac:dyDescent="0.25">
      <c r="A28" s="12" t="s">
        <v>66</v>
      </c>
      <c r="B28" s="22" t="s">
        <v>67</v>
      </c>
      <c r="C28" s="16">
        <v>44</v>
      </c>
      <c r="D28" s="23"/>
      <c r="E28" s="76"/>
      <c r="F28" s="76"/>
    </row>
    <row r="29" spans="1:6" x14ac:dyDescent="0.25">
      <c r="A29" s="12" t="s">
        <v>68</v>
      </c>
      <c r="B29" s="22" t="s">
        <v>69</v>
      </c>
      <c r="C29" s="16">
        <v>45</v>
      </c>
      <c r="D29" s="23"/>
      <c r="E29" s="76"/>
      <c r="F29" s="76"/>
    </row>
    <row r="30" spans="1:6" x14ac:dyDescent="0.25">
      <c r="A30" s="12" t="s">
        <v>35</v>
      </c>
      <c r="B30" s="22" t="s">
        <v>70</v>
      </c>
      <c r="C30" s="16">
        <v>47</v>
      </c>
      <c r="D30" s="23"/>
      <c r="E30" s="76"/>
      <c r="F30" s="76"/>
    </row>
    <row r="31" spans="1:6" x14ac:dyDescent="0.25">
      <c r="A31" s="12" t="s">
        <v>71</v>
      </c>
      <c r="B31" s="22" t="s">
        <v>72</v>
      </c>
      <c r="C31" s="16" t="s">
        <v>73</v>
      </c>
      <c r="D31" s="23"/>
      <c r="E31" s="76"/>
      <c r="F31" s="76"/>
    </row>
    <row r="32" spans="1:6" x14ac:dyDescent="0.25">
      <c r="A32" s="41" t="s">
        <v>16</v>
      </c>
      <c r="B32" s="19" t="s">
        <v>55</v>
      </c>
      <c r="C32" s="20">
        <v>463</v>
      </c>
      <c r="D32" s="21"/>
      <c r="E32" s="75"/>
      <c r="F32" s="75"/>
    </row>
    <row r="33" spans="1:6" x14ac:dyDescent="0.25">
      <c r="A33" s="41" t="s">
        <v>17</v>
      </c>
      <c r="B33" s="19" t="s">
        <v>74</v>
      </c>
      <c r="C33" s="20">
        <v>5</v>
      </c>
      <c r="D33" s="21"/>
      <c r="E33" s="75"/>
      <c r="F33" s="75"/>
    </row>
    <row r="34" spans="1:6" x14ac:dyDescent="0.25">
      <c r="A34" s="41" t="s">
        <v>18</v>
      </c>
      <c r="B34" s="19" t="s">
        <v>75</v>
      </c>
      <c r="C34" s="20">
        <v>62</v>
      </c>
      <c r="D34" s="21"/>
      <c r="E34" s="75"/>
      <c r="F34" s="75"/>
    </row>
    <row r="35" spans="1:6" ht="28.5" x14ac:dyDescent="0.25">
      <c r="A35" s="10" t="s">
        <v>76</v>
      </c>
      <c r="B35" s="17" t="s">
        <v>77</v>
      </c>
      <c r="C35" s="11">
        <v>9</v>
      </c>
      <c r="D35" s="18"/>
      <c r="E35" s="74"/>
      <c r="F35" s="74"/>
    </row>
    <row r="36" spans="1:6" x14ac:dyDescent="0.25">
      <c r="A36" s="41" t="s">
        <v>15</v>
      </c>
      <c r="B36" s="19" t="s">
        <v>78</v>
      </c>
      <c r="C36" s="20">
        <v>91</v>
      </c>
      <c r="D36" s="21"/>
      <c r="E36" s="75"/>
      <c r="F36" s="75"/>
    </row>
    <row r="37" spans="1:6" x14ac:dyDescent="0.25">
      <c r="A37" s="12" t="s">
        <v>29</v>
      </c>
      <c r="B37" s="22" t="s">
        <v>79</v>
      </c>
      <c r="C37" s="16">
        <v>911</v>
      </c>
      <c r="D37" s="23"/>
      <c r="E37" s="76"/>
      <c r="F37" s="76"/>
    </row>
    <row r="38" spans="1:6" x14ac:dyDescent="0.25">
      <c r="A38" s="12" t="s">
        <v>31</v>
      </c>
      <c r="B38" s="22" t="s">
        <v>80</v>
      </c>
      <c r="C38" s="16">
        <v>912</v>
      </c>
      <c r="D38" s="23"/>
      <c r="E38" s="76"/>
      <c r="F38" s="76"/>
    </row>
    <row r="39" spans="1:6" ht="28.5" x14ac:dyDescent="0.25">
      <c r="A39" s="41" t="s">
        <v>16</v>
      </c>
      <c r="B39" s="19" t="s">
        <v>81</v>
      </c>
      <c r="C39" s="20">
        <v>92</v>
      </c>
      <c r="D39" s="21"/>
      <c r="E39" s="75"/>
      <c r="F39" s="75"/>
    </row>
    <row r="40" spans="1:6" ht="28.5" x14ac:dyDescent="0.25">
      <c r="A40" s="10" t="s">
        <v>82</v>
      </c>
      <c r="B40" s="17" t="s">
        <v>83</v>
      </c>
      <c r="C40" s="11">
        <v>6</v>
      </c>
      <c r="D40" s="18"/>
      <c r="E40" s="74"/>
      <c r="F40" s="74"/>
    </row>
    <row r="41" spans="1:6" x14ac:dyDescent="0.25">
      <c r="A41" s="41" t="s">
        <v>15</v>
      </c>
      <c r="B41" s="19" t="s">
        <v>84</v>
      </c>
      <c r="C41" s="20">
        <v>61</v>
      </c>
      <c r="D41" s="21"/>
      <c r="E41" s="75"/>
      <c r="F41" s="75"/>
    </row>
    <row r="42" spans="1:6" x14ac:dyDescent="0.25">
      <c r="A42" s="12" t="s">
        <v>29</v>
      </c>
      <c r="B42" s="22" t="s">
        <v>85</v>
      </c>
      <c r="C42" s="34">
        <v>611</v>
      </c>
      <c r="D42" s="35"/>
      <c r="E42" s="80"/>
      <c r="F42" s="80"/>
    </row>
    <row r="43" spans="1:6" x14ac:dyDescent="0.25">
      <c r="A43" s="12" t="s">
        <v>31</v>
      </c>
      <c r="B43" s="22" t="s">
        <v>86</v>
      </c>
      <c r="C43" s="34">
        <v>612</v>
      </c>
      <c r="D43" s="35"/>
      <c r="E43" s="80"/>
      <c r="F43" s="80"/>
    </row>
    <row r="44" spans="1:6" x14ac:dyDescent="0.25">
      <c r="A44" s="12" t="s">
        <v>33</v>
      </c>
      <c r="B44" s="22" t="s">
        <v>87</v>
      </c>
      <c r="C44" s="34">
        <v>613</v>
      </c>
      <c r="D44" s="35"/>
      <c r="E44" s="80"/>
      <c r="F44" s="80"/>
    </row>
    <row r="45" spans="1:6" x14ac:dyDescent="0.25">
      <c r="A45" s="41" t="s">
        <v>16</v>
      </c>
      <c r="B45" s="19" t="s">
        <v>88</v>
      </c>
      <c r="C45" s="36">
        <v>6211</v>
      </c>
      <c r="D45" s="37"/>
      <c r="E45" s="81"/>
      <c r="F45" s="81"/>
    </row>
    <row r="46" spans="1:6" x14ac:dyDescent="0.25">
      <c r="A46" s="9"/>
      <c r="B46" s="8"/>
      <c r="C46" s="38"/>
      <c r="D46" s="39"/>
      <c r="E46" s="82"/>
      <c r="F46" s="82"/>
    </row>
    <row r="47" spans="1:6" ht="28.5" x14ac:dyDescent="0.25">
      <c r="A47" s="10" t="s">
        <v>89</v>
      </c>
      <c r="B47" s="17" t="s">
        <v>90</v>
      </c>
      <c r="C47" s="11">
        <v>3</v>
      </c>
      <c r="D47" s="18"/>
      <c r="E47" s="74"/>
      <c r="F47" s="74"/>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sheetPr>
  <dimension ref="A1:N108"/>
  <sheetViews>
    <sheetView workbookViewId="0">
      <selection activeCell="L10" sqref="L10"/>
    </sheetView>
  </sheetViews>
  <sheetFormatPr defaultRowHeight="15" x14ac:dyDescent="0.25"/>
  <cols>
    <col min="1" max="1" width="7.85546875" style="83" customWidth="1"/>
    <col min="2" max="2" width="7.140625" style="83" customWidth="1"/>
    <col min="3" max="3" width="51.7109375" style="83" customWidth="1"/>
    <col min="4" max="4" width="12.140625" style="83" customWidth="1"/>
    <col min="5" max="5" width="11.42578125" style="83" customWidth="1"/>
    <col min="6" max="6" width="13.140625" style="83" customWidth="1"/>
    <col min="7" max="7" width="7.140625" style="83" customWidth="1"/>
    <col min="8" max="8" width="10.5703125" style="83" customWidth="1"/>
    <col min="9" max="9" width="6.85546875" style="83" customWidth="1"/>
    <col min="10" max="10" width="9.140625" style="83"/>
    <col min="11" max="11" width="8.140625" style="83" customWidth="1"/>
    <col min="12" max="12" width="28.28515625" style="83" customWidth="1"/>
    <col min="13" max="13" width="14.85546875" style="83" customWidth="1"/>
    <col min="14" max="14" width="14.42578125" style="83" customWidth="1"/>
    <col min="15" max="52" width="9.140625" style="83" customWidth="1"/>
    <col min="53" max="16384" width="9.140625" style="83"/>
  </cols>
  <sheetData>
    <row r="1" spans="1:14" ht="14.25" customHeight="1" x14ac:dyDescent="0.25">
      <c r="B1" s="321"/>
      <c r="C1" s="831" t="s">
        <v>5364</v>
      </c>
      <c r="D1" s="831"/>
      <c r="E1" s="831"/>
      <c r="F1" s="321"/>
      <c r="G1" s="321"/>
      <c r="H1" s="321"/>
    </row>
    <row r="2" spans="1:14" hidden="1" x14ac:dyDescent="0.25">
      <c r="B2" s="321"/>
      <c r="C2" s="831"/>
      <c r="D2" s="831"/>
      <c r="E2" s="321"/>
      <c r="F2" s="321"/>
      <c r="G2" s="321"/>
      <c r="H2" s="321"/>
    </row>
    <row r="3" spans="1:14" ht="30.75" customHeight="1" x14ac:dyDescent="0.25">
      <c r="A3" s="343"/>
      <c r="B3" s="806" t="s">
        <v>5363</v>
      </c>
      <c r="C3" s="806"/>
      <c r="D3" s="806"/>
      <c r="E3" s="806"/>
      <c r="F3" s="806"/>
      <c r="G3" s="806"/>
      <c r="H3" s="806"/>
    </row>
    <row r="4" spans="1:14" ht="2.25" customHeight="1" x14ac:dyDescent="0.25"/>
    <row r="5" spans="1:14" ht="15" customHeight="1" x14ac:dyDescent="0.25">
      <c r="A5" s="834" t="s">
        <v>3680</v>
      </c>
      <c r="B5" s="834" t="s">
        <v>3681</v>
      </c>
      <c r="C5" s="834" t="s">
        <v>3682</v>
      </c>
      <c r="D5" s="832" t="s">
        <v>5235</v>
      </c>
      <c r="E5" s="833"/>
      <c r="F5" s="830" t="s">
        <v>5362</v>
      </c>
      <c r="G5" s="830"/>
      <c r="H5" s="830"/>
      <c r="I5" s="830"/>
    </row>
    <row r="6" spans="1:14" ht="32.25" customHeight="1" x14ac:dyDescent="0.25">
      <c r="A6" s="835"/>
      <c r="B6" s="835"/>
      <c r="C6" s="835"/>
      <c r="D6" s="776" t="s">
        <v>24</v>
      </c>
      <c r="E6" s="776" t="s">
        <v>4163</v>
      </c>
      <c r="F6" s="776" t="s">
        <v>24</v>
      </c>
      <c r="G6" s="776" t="s">
        <v>5365</v>
      </c>
      <c r="H6" s="776" t="s">
        <v>4163</v>
      </c>
      <c r="I6" s="777" t="s">
        <v>5377</v>
      </c>
      <c r="K6" s="166"/>
      <c r="L6" s="175"/>
      <c r="M6" s="383"/>
      <c r="N6" s="383"/>
    </row>
    <row r="7" spans="1:14" x14ac:dyDescent="0.25">
      <c r="A7" s="117"/>
      <c r="B7" s="117"/>
      <c r="C7" s="118" t="s">
        <v>3683</v>
      </c>
      <c r="D7" s="344">
        <v>45178790</v>
      </c>
      <c r="E7" s="344"/>
      <c r="F7" s="344">
        <v>45178790</v>
      </c>
      <c r="G7" s="344"/>
      <c r="H7" s="345">
        <v>4294028.37</v>
      </c>
      <c r="I7" s="165"/>
      <c r="K7" s="277"/>
      <c r="L7" s="175"/>
      <c r="M7" s="384"/>
      <c r="N7" s="384"/>
    </row>
    <row r="8" spans="1:14" x14ac:dyDescent="0.25">
      <c r="A8" s="119" t="s">
        <v>2207</v>
      </c>
      <c r="B8" s="120"/>
      <c r="C8" s="121" t="s">
        <v>3684</v>
      </c>
      <c r="D8" s="346">
        <f>SUM(D9,D44,D51,D83,D88)</f>
        <v>547900000</v>
      </c>
      <c r="E8" s="346">
        <f>SUM(E9,E44,E51,E83,E88)</f>
        <v>32361375</v>
      </c>
      <c r="F8" s="346">
        <f>SUM(F9,F44,F51,F83)</f>
        <v>467808481.5200001</v>
      </c>
      <c r="G8" s="346">
        <f>SUM(F8/D8)*100</f>
        <v>85.382091899981774</v>
      </c>
      <c r="H8" s="347">
        <f>SUM(H44,H51,H83,H86)</f>
        <v>40282921.060000002</v>
      </c>
      <c r="I8" s="387">
        <f>SUM(H8/E8)*100</f>
        <v>124.47839765770151</v>
      </c>
      <c r="K8" s="386"/>
      <c r="L8" s="175"/>
      <c r="M8" s="384"/>
      <c r="N8" s="384"/>
    </row>
    <row r="9" spans="1:14" x14ac:dyDescent="0.25">
      <c r="A9" s="122">
        <v>710000</v>
      </c>
      <c r="B9" s="122"/>
      <c r="C9" s="123" t="s">
        <v>3685</v>
      </c>
      <c r="D9" s="348">
        <f>SUM(D10,D23,D33,D42)</f>
        <v>189900000</v>
      </c>
      <c r="E9" s="348">
        <f>SUM(E10,E23,E33,E42)</f>
        <v>0</v>
      </c>
      <c r="F9" s="348">
        <f>SUM(F10,F23,F33,F42)</f>
        <v>153996234.20000005</v>
      </c>
      <c r="G9" s="346">
        <f>SUM(F9/D9)*100</f>
        <v>81.093330279094289</v>
      </c>
      <c r="H9" s="349"/>
      <c r="I9" s="387"/>
      <c r="K9" s="277"/>
      <c r="L9" s="190"/>
      <c r="M9" s="384"/>
      <c r="N9" s="384"/>
    </row>
    <row r="10" spans="1:14" x14ac:dyDescent="0.25">
      <c r="A10" s="124">
        <v>711000</v>
      </c>
      <c r="B10" s="125"/>
      <c r="C10" s="126" t="s">
        <v>3686</v>
      </c>
      <c r="D10" s="350">
        <f>SUM(D11:D22)</f>
        <v>139500000</v>
      </c>
      <c r="E10" s="350">
        <f>SUM(E11:E22)</f>
        <v>0</v>
      </c>
      <c r="F10" s="350">
        <f>SUM(F11:F22)</f>
        <v>114109088.35000002</v>
      </c>
      <c r="G10" s="346">
        <f>SUM(F10/D10)*100</f>
        <v>81.798629641577079</v>
      </c>
      <c r="H10" s="351"/>
      <c r="I10" s="387"/>
      <c r="K10" s="277"/>
      <c r="L10" s="175"/>
      <c r="M10" s="384"/>
      <c r="N10" s="384"/>
    </row>
    <row r="11" spans="1:14" x14ac:dyDescent="0.25">
      <c r="A11" s="127"/>
      <c r="B11" s="197">
        <v>711111</v>
      </c>
      <c r="C11" s="128" t="s">
        <v>3687</v>
      </c>
      <c r="D11" s="352">
        <v>120000000</v>
      </c>
      <c r="E11" s="352"/>
      <c r="F11" s="352">
        <v>98364110.680000007</v>
      </c>
      <c r="G11" s="346">
        <f>SUM(F11/D11)*100</f>
        <v>81.970092233333332</v>
      </c>
      <c r="H11" s="353"/>
      <c r="I11" s="387"/>
      <c r="K11" s="175"/>
      <c r="L11" s="175"/>
      <c r="M11" s="330"/>
      <c r="N11" s="330"/>
    </row>
    <row r="12" spans="1:14" ht="24" x14ac:dyDescent="0.25">
      <c r="A12" s="127"/>
      <c r="B12" s="197">
        <v>711121</v>
      </c>
      <c r="C12" s="128" t="s">
        <v>3688</v>
      </c>
      <c r="D12" s="352">
        <v>0</v>
      </c>
      <c r="E12" s="352"/>
      <c r="F12" s="352">
        <v>-62190.34</v>
      </c>
      <c r="G12" s="346"/>
      <c r="H12" s="353">
        <f>SUM(D12,E12)</f>
        <v>0</v>
      </c>
      <c r="I12" s="387"/>
      <c r="K12" s="175"/>
      <c r="L12" s="182"/>
      <c r="M12" s="385"/>
      <c r="N12" s="385"/>
    </row>
    <row r="13" spans="1:14" ht="24" x14ac:dyDescent="0.25">
      <c r="A13" s="127"/>
      <c r="B13" s="197">
        <v>711122</v>
      </c>
      <c r="C13" s="128" t="s">
        <v>3689</v>
      </c>
      <c r="D13" s="352">
        <v>5500000</v>
      </c>
      <c r="E13" s="352"/>
      <c r="F13" s="352">
        <v>4441152.17</v>
      </c>
      <c r="G13" s="346">
        <f t="shared" ref="G13:G44" si="0">SUM(F13/D13)*100</f>
        <v>80.748221272727278</v>
      </c>
      <c r="H13" s="353"/>
      <c r="I13" s="387"/>
    </row>
    <row r="14" spans="1:14" ht="24" x14ac:dyDescent="0.25">
      <c r="A14" s="127"/>
      <c r="B14" s="197">
        <v>711123</v>
      </c>
      <c r="C14" s="128" t="s">
        <v>3750</v>
      </c>
      <c r="D14" s="352">
        <v>7000000</v>
      </c>
      <c r="E14" s="352"/>
      <c r="F14" s="352">
        <v>6492899.4400000004</v>
      </c>
      <c r="G14" s="346">
        <f t="shared" si="0"/>
        <v>92.755706285714297</v>
      </c>
      <c r="H14" s="353"/>
      <c r="I14" s="387"/>
    </row>
    <row r="15" spans="1:14" x14ac:dyDescent="0.25">
      <c r="A15" s="127"/>
      <c r="B15" s="197">
        <v>711143</v>
      </c>
      <c r="C15" s="128" t="s">
        <v>3690</v>
      </c>
      <c r="D15" s="352">
        <v>500000</v>
      </c>
      <c r="E15" s="352"/>
      <c r="F15" s="352">
        <v>6137</v>
      </c>
      <c r="G15" s="346">
        <f t="shared" si="0"/>
        <v>1.2274</v>
      </c>
      <c r="H15" s="353"/>
      <c r="I15" s="387"/>
    </row>
    <row r="16" spans="1:14" ht="29.25" customHeight="1" x14ac:dyDescent="0.25">
      <c r="A16" s="127"/>
      <c r="B16" s="197">
        <v>711145</v>
      </c>
      <c r="C16" s="128" t="s">
        <v>3751</v>
      </c>
      <c r="D16" s="352">
        <v>500000</v>
      </c>
      <c r="E16" s="352"/>
      <c r="F16" s="352">
        <v>115110.51</v>
      </c>
      <c r="G16" s="346">
        <f t="shared" si="0"/>
        <v>23.022102</v>
      </c>
      <c r="H16" s="353"/>
      <c r="I16" s="387"/>
    </row>
    <row r="17" spans="1:9" ht="24" x14ac:dyDescent="0.25">
      <c r="A17" s="127"/>
      <c r="B17" s="197">
        <v>711146</v>
      </c>
      <c r="C17" s="128" t="s">
        <v>3691</v>
      </c>
      <c r="D17" s="352">
        <v>300000</v>
      </c>
      <c r="E17" s="352"/>
      <c r="F17" s="352">
        <v>2780.52</v>
      </c>
      <c r="G17" s="346">
        <f t="shared" si="0"/>
        <v>0.92684</v>
      </c>
      <c r="H17" s="353"/>
      <c r="I17" s="387"/>
    </row>
    <row r="18" spans="1:9" x14ac:dyDescent="0.25">
      <c r="A18" s="127"/>
      <c r="B18" s="197">
        <v>711147</v>
      </c>
      <c r="C18" s="128" t="s">
        <v>3692</v>
      </c>
      <c r="D18" s="352">
        <v>500000</v>
      </c>
      <c r="E18" s="352"/>
      <c r="F18" s="352">
        <v>-141701.51999999999</v>
      </c>
      <c r="G18" s="346">
        <f t="shared" si="0"/>
        <v>-28.340304</v>
      </c>
      <c r="H18" s="353"/>
      <c r="I18" s="387"/>
    </row>
    <row r="19" spans="1:9" x14ac:dyDescent="0.25">
      <c r="A19" s="127"/>
      <c r="B19" s="197">
        <v>711148</v>
      </c>
      <c r="C19" s="128" t="s">
        <v>3693</v>
      </c>
      <c r="D19" s="352">
        <v>200000</v>
      </c>
      <c r="E19" s="352"/>
      <c r="F19" s="352">
        <v>14640.15</v>
      </c>
      <c r="G19" s="346">
        <f t="shared" si="0"/>
        <v>7.3200749999999992</v>
      </c>
      <c r="H19" s="353"/>
      <c r="I19" s="387"/>
    </row>
    <row r="20" spans="1:9" hidden="1" x14ac:dyDescent="0.25">
      <c r="A20" s="127"/>
      <c r="B20" s="197">
        <v>711161</v>
      </c>
      <c r="C20" s="128" t="s">
        <v>3694</v>
      </c>
      <c r="D20" s="352"/>
      <c r="E20" s="352"/>
      <c r="F20" s="352"/>
      <c r="G20" s="346" t="e">
        <f t="shared" si="0"/>
        <v>#DIV/0!</v>
      </c>
      <c r="H20" s="353"/>
      <c r="I20" s="387"/>
    </row>
    <row r="21" spans="1:9" ht="13.5" customHeight="1" x14ac:dyDescent="0.25">
      <c r="A21" s="127"/>
      <c r="B21" s="195">
        <v>711181</v>
      </c>
      <c r="C21" s="128" t="s">
        <v>3695</v>
      </c>
      <c r="D21" s="352"/>
      <c r="E21" s="352"/>
      <c r="F21" s="352">
        <v>9854.68</v>
      </c>
      <c r="G21" s="346" t="e">
        <f t="shared" si="0"/>
        <v>#DIV/0!</v>
      </c>
      <c r="H21" s="353"/>
      <c r="I21" s="387"/>
    </row>
    <row r="22" spans="1:9" x14ac:dyDescent="0.25">
      <c r="A22" s="129"/>
      <c r="B22" s="197">
        <v>711190</v>
      </c>
      <c r="C22" s="128" t="s">
        <v>3696</v>
      </c>
      <c r="D22" s="352">
        <v>5000000</v>
      </c>
      <c r="E22" s="352"/>
      <c r="F22" s="352">
        <v>4866295.0599999996</v>
      </c>
      <c r="G22" s="346">
        <f t="shared" si="0"/>
        <v>97.32590119999999</v>
      </c>
      <c r="H22" s="353"/>
      <c r="I22" s="387"/>
    </row>
    <row r="23" spans="1:9" x14ac:dyDescent="0.25">
      <c r="A23" s="124">
        <v>713000</v>
      </c>
      <c r="B23" s="130"/>
      <c r="C23" s="126" t="s">
        <v>3697</v>
      </c>
      <c r="D23" s="350">
        <f>SUM(D24:D32)</f>
        <v>35500000</v>
      </c>
      <c r="E23" s="350">
        <f>SUM(E24:E32)</f>
        <v>0</v>
      </c>
      <c r="F23" s="350">
        <f>SUM(F24:F30)</f>
        <v>27790216.420000002</v>
      </c>
      <c r="G23" s="346">
        <f t="shared" si="0"/>
        <v>78.282299774647896</v>
      </c>
      <c r="H23" s="351"/>
      <c r="I23" s="387"/>
    </row>
    <row r="24" spans="1:9" ht="24" x14ac:dyDescent="0.25">
      <c r="A24" s="127"/>
      <c r="B24" s="195">
        <v>713121</v>
      </c>
      <c r="C24" s="128" t="s">
        <v>3698</v>
      </c>
      <c r="D24" s="352">
        <v>13000000</v>
      </c>
      <c r="E24" s="352"/>
      <c r="F24" s="352">
        <v>15164104.49</v>
      </c>
      <c r="G24" s="346">
        <f t="shared" si="0"/>
        <v>116.64695761538462</v>
      </c>
      <c r="H24" s="353"/>
      <c r="I24" s="387"/>
    </row>
    <row r="25" spans="1:9" ht="24" x14ac:dyDescent="0.25">
      <c r="A25" s="127"/>
      <c r="B25" s="195">
        <v>713122</v>
      </c>
      <c r="C25" s="128" t="s">
        <v>3699</v>
      </c>
      <c r="D25" s="352">
        <v>10000000</v>
      </c>
      <c r="E25" s="352"/>
      <c r="F25" s="352">
        <v>9266238.9199999999</v>
      </c>
      <c r="G25" s="346">
        <f t="shared" si="0"/>
        <v>92.662389199999993</v>
      </c>
      <c r="H25" s="353"/>
      <c r="I25" s="387"/>
    </row>
    <row r="26" spans="1:9" ht="24" hidden="1" x14ac:dyDescent="0.25">
      <c r="A26" s="127"/>
      <c r="B26" s="195">
        <v>713126</v>
      </c>
      <c r="C26" s="128" t="s">
        <v>3752</v>
      </c>
      <c r="D26" s="352"/>
      <c r="E26" s="352"/>
      <c r="F26" s="352"/>
      <c r="G26" s="346" t="e">
        <f t="shared" si="0"/>
        <v>#DIV/0!</v>
      </c>
      <c r="H26" s="353"/>
      <c r="I26" s="387"/>
    </row>
    <row r="27" spans="1:9" x14ac:dyDescent="0.25">
      <c r="A27" s="127"/>
      <c r="B27" s="197">
        <v>713311</v>
      </c>
      <c r="C27" s="128" t="s">
        <v>3700</v>
      </c>
      <c r="D27" s="352">
        <v>500000</v>
      </c>
      <c r="E27" s="352"/>
      <c r="F27" s="352">
        <v>349879.54</v>
      </c>
      <c r="G27" s="346">
        <f t="shared" si="0"/>
        <v>69.975908000000004</v>
      </c>
      <c r="H27" s="353"/>
      <c r="I27" s="387"/>
    </row>
    <row r="28" spans="1:9" ht="24" x14ac:dyDescent="0.25">
      <c r="A28" s="127"/>
      <c r="B28" s="197">
        <v>713421</v>
      </c>
      <c r="C28" s="128" t="s">
        <v>3701</v>
      </c>
      <c r="D28" s="352">
        <v>7000000</v>
      </c>
      <c r="E28" s="352"/>
      <c r="F28" s="352">
        <v>1642003.85</v>
      </c>
      <c r="G28" s="346">
        <f t="shared" si="0"/>
        <v>23.457197857142859</v>
      </c>
      <c r="H28" s="353"/>
      <c r="I28" s="387"/>
    </row>
    <row r="29" spans="1:9" ht="36" hidden="1" x14ac:dyDescent="0.25">
      <c r="A29" s="127"/>
      <c r="B29" s="197">
        <v>713422</v>
      </c>
      <c r="C29" s="128" t="s">
        <v>3702</v>
      </c>
      <c r="D29" s="352"/>
      <c r="E29" s="352"/>
      <c r="F29" s="352"/>
      <c r="G29" s="346" t="e">
        <f t="shared" si="0"/>
        <v>#DIV/0!</v>
      </c>
      <c r="H29" s="353"/>
      <c r="I29" s="387"/>
    </row>
    <row r="30" spans="1:9" ht="24" x14ac:dyDescent="0.25">
      <c r="A30" s="127"/>
      <c r="B30" s="197">
        <v>713423</v>
      </c>
      <c r="C30" s="128" t="s">
        <v>3753</v>
      </c>
      <c r="D30" s="352">
        <v>5000000</v>
      </c>
      <c r="E30" s="352"/>
      <c r="F30" s="352">
        <v>1367989.62</v>
      </c>
      <c r="G30" s="346">
        <f t="shared" si="0"/>
        <v>27.359792400000003</v>
      </c>
      <c r="H30" s="353"/>
      <c r="I30" s="387"/>
    </row>
    <row r="31" spans="1:9" ht="24" hidden="1" x14ac:dyDescent="0.25">
      <c r="A31" s="127"/>
      <c r="B31" s="197">
        <v>713424</v>
      </c>
      <c r="C31" s="128" t="s">
        <v>3754</v>
      </c>
      <c r="D31" s="352"/>
      <c r="E31" s="352"/>
      <c r="F31" s="352"/>
      <c r="G31" s="346" t="e">
        <f t="shared" si="0"/>
        <v>#DIV/0!</v>
      </c>
      <c r="H31" s="353">
        <f>SUM(D31,E31)</f>
        <v>0</v>
      </c>
      <c r="I31" s="387"/>
    </row>
    <row r="32" spans="1:9" hidden="1" x14ac:dyDescent="0.25">
      <c r="A32" s="127"/>
      <c r="B32" s="197">
        <v>713611</v>
      </c>
      <c r="C32" s="131" t="s">
        <v>3703</v>
      </c>
      <c r="D32" s="352"/>
      <c r="E32" s="352"/>
      <c r="F32" s="352"/>
      <c r="G32" s="346" t="e">
        <f t="shared" si="0"/>
        <v>#DIV/0!</v>
      </c>
      <c r="H32" s="353">
        <f>SUM(D32,E32)</f>
        <v>0</v>
      </c>
      <c r="I32" s="387"/>
    </row>
    <row r="33" spans="1:9" x14ac:dyDescent="0.25">
      <c r="A33" s="124">
        <v>714000</v>
      </c>
      <c r="B33" s="125"/>
      <c r="C33" s="126" t="s">
        <v>3704</v>
      </c>
      <c r="D33" s="350">
        <f>SUM(D34:D41)</f>
        <v>8900000</v>
      </c>
      <c r="E33" s="350">
        <f>SUM(E34:E41)</f>
        <v>0</v>
      </c>
      <c r="F33" s="350">
        <f>SUM(F35:F40)</f>
        <v>8732271.629999999</v>
      </c>
      <c r="G33" s="346">
        <f t="shared" si="0"/>
        <v>98.115411573033697</v>
      </c>
      <c r="H33" s="351"/>
      <c r="I33" s="387"/>
    </row>
    <row r="34" spans="1:9" hidden="1" x14ac:dyDescent="0.25">
      <c r="A34" s="132"/>
      <c r="B34" s="197">
        <v>714441</v>
      </c>
      <c r="C34" s="128" t="s">
        <v>3705</v>
      </c>
      <c r="D34" s="352"/>
      <c r="E34" s="352"/>
      <c r="F34" s="352"/>
      <c r="G34" s="346" t="e">
        <f t="shared" si="0"/>
        <v>#DIV/0!</v>
      </c>
      <c r="H34" s="353">
        <f>SUM(D34,E34)</f>
        <v>0</v>
      </c>
      <c r="I34" s="387"/>
    </row>
    <row r="35" spans="1:9" ht="30.75" customHeight="1" x14ac:dyDescent="0.25">
      <c r="A35" s="132"/>
      <c r="B35" s="195">
        <v>714431</v>
      </c>
      <c r="C35" s="131" t="s">
        <v>3706</v>
      </c>
      <c r="D35" s="352"/>
      <c r="E35" s="352"/>
      <c r="F35" s="352">
        <v>8000</v>
      </c>
      <c r="G35" s="346"/>
      <c r="H35" s="353">
        <f>SUM(D35,E35)</f>
        <v>0</v>
      </c>
      <c r="I35" s="387"/>
    </row>
    <row r="36" spans="1:9" ht="24" x14ac:dyDescent="0.25">
      <c r="A36" s="132"/>
      <c r="B36" s="195">
        <v>714513</v>
      </c>
      <c r="C36" s="128" t="s">
        <v>3707</v>
      </c>
      <c r="D36" s="352">
        <v>5000000</v>
      </c>
      <c r="E36" s="352"/>
      <c r="F36" s="352">
        <v>3264739</v>
      </c>
      <c r="G36" s="346">
        <f t="shared" si="0"/>
        <v>65.294780000000003</v>
      </c>
      <c r="H36" s="353"/>
      <c r="I36" s="387"/>
    </row>
    <row r="37" spans="1:9" x14ac:dyDescent="0.25">
      <c r="A37" s="132"/>
      <c r="B37" s="197">
        <v>714543</v>
      </c>
      <c r="C37" s="128" t="s">
        <v>3708</v>
      </c>
      <c r="D37" s="352">
        <v>500000</v>
      </c>
      <c r="E37" s="352"/>
      <c r="F37" s="352">
        <v>91501.08</v>
      </c>
      <c r="G37" s="346">
        <f t="shared" si="0"/>
        <v>18.300215999999999</v>
      </c>
      <c r="H37" s="353"/>
      <c r="I37" s="387"/>
    </row>
    <row r="38" spans="1:9" ht="24" hidden="1" x14ac:dyDescent="0.25">
      <c r="A38" s="132"/>
      <c r="B38" s="197">
        <v>714549</v>
      </c>
      <c r="C38" s="128" t="s">
        <v>3709</v>
      </c>
      <c r="D38" s="352"/>
      <c r="E38" s="352"/>
      <c r="F38" s="352"/>
      <c r="G38" s="346" t="e">
        <f t="shared" si="0"/>
        <v>#DIV/0!</v>
      </c>
      <c r="H38" s="353"/>
      <c r="I38" s="387"/>
    </row>
    <row r="39" spans="1:9" x14ac:dyDescent="0.25">
      <c r="A39" s="129"/>
      <c r="B39" s="195">
        <v>714552</v>
      </c>
      <c r="C39" s="131" t="s">
        <v>3710</v>
      </c>
      <c r="D39" s="352">
        <v>400000</v>
      </c>
      <c r="E39" s="352"/>
      <c r="F39" s="352">
        <v>122200</v>
      </c>
      <c r="G39" s="346">
        <f t="shared" si="0"/>
        <v>30.55</v>
      </c>
      <c r="H39" s="353"/>
      <c r="I39" s="387"/>
    </row>
    <row r="40" spans="1:9" x14ac:dyDescent="0.25">
      <c r="A40" s="132"/>
      <c r="B40" s="195">
        <v>714562</v>
      </c>
      <c r="C40" s="128" t="s">
        <v>3711</v>
      </c>
      <c r="D40" s="352">
        <v>3000000</v>
      </c>
      <c r="E40" s="352"/>
      <c r="F40" s="352">
        <v>5245831.55</v>
      </c>
      <c r="G40" s="346">
        <f t="shared" si="0"/>
        <v>174.86105166666667</v>
      </c>
      <c r="H40" s="353"/>
      <c r="I40" s="387"/>
    </row>
    <row r="41" spans="1:9" hidden="1" x14ac:dyDescent="0.25">
      <c r="A41" s="132"/>
      <c r="B41" s="195">
        <v>714572</v>
      </c>
      <c r="C41" s="128" t="s">
        <v>3712</v>
      </c>
      <c r="D41" s="352"/>
      <c r="E41" s="352"/>
      <c r="F41" s="352"/>
      <c r="G41" s="346" t="e">
        <f t="shared" si="0"/>
        <v>#DIV/0!</v>
      </c>
      <c r="H41" s="353"/>
      <c r="I41" s="387"/>
    </row>
    <row r="42" spans="1:9" x14ac:dyDescent="0.25">
      <c r="A42" s="133" t="s">
        <v>2391</v>
      </c>
      <c r="B42" s="134"/>
      <c r="C42" s="135" t="s">
        <v>3713</v>
      </c>
      <c r="D42" s="350">
        <f>SUM(D43:D43)</f>
        <v>6000000</v>
      </c>
      <c r="E42" s="350">
        <f>SUM(E43:E43)</f>
        <v>0</v>
      </c>
      <c r="F42" s="350">
        <f>SUM(F43)</f>
        <v>3364657.8</v>
      </c>
      <c r="G42" s="346">
        <f t="shared" si="0"/>
        <v>56.077629999999999</v>
      </c>
      <c r="H42" s="351"/>
      <c r="I42" s="387"/>
    </row>
    <row r="43" spans="1:9" x14ac:dyDescent="0.25">
      <c r="A43" s="132"/>
      <c r="B43" s="196" t="s">
        <v>2395</v>
      </c>
      <c r="C43" s="128" t="s">
        <v>3714</v>
      </c>
      <c r="D43" s="352">
        <v>6000000</v>
      </c>
      <c r="E43" s="352"/>
      <c r="F43" s="352">
        <v>3364657.8</v>
      </c>
      <c r="G43" s="346">
        <f t="shared" si="0"/>
        <v>56.077629999999999</v>
      </c>
      <c r="H43" s="353"/>
      <c r="I43" s="387"/>
    </row>
    <row r="44" spans="1:9" x14ac:dyDescent="0.25">
      <c r="A44" s="136" t="s">
        <v>2598</v>
      </c>
      <c r="B44" s="137"/>
      <c r="C44" s="138" t="s">
        <v>3715</v>
      </c>
      <c r="D44" s="348">
        <f>SUM(D45,D47)</f>
        <v>194892000</v>
      </c>
      <c r="E44" s="348">
        <f>SUM(E45,E47)</f>
        <v>20431275</v>
      </c>
      <c r="F44" s="348">
        <f>SUM(F47,F45)</f>
        <v>195052557.33000001</v>
      </c>
      <c r="G44" s="346">
        <f t="shared" si="0"/>
        <v>100.08238271966012</v>
      </c>
      <c r="H44" s="349">
        <f>SUM(H47)</f>
        <v>27046178.140000001</v>
      </c>
      <c r="I44" s="387">
        <f t="shared" ref="I44:I71" si="1">SUM(H44/E44)*100</f>
        <v>132.37635996774551</v>
      </c>
    </row>
    <row r="45" spans="1:9" x14ac:dyDescent="0.25">
      <c r="A45" s="133" t="s">
        <v>5397</v>
      </c>
      <c r="B45" s="134"/>
      <c r="C45" s="135" t="s">
        <v>5398</v>
      </c>
      <c r="D45" s="350">
        <f>SUM(D46)</f>
        <v>0</v>
      </c>
      <c r="E45" s="350">
        <f>SUM(E46)</f>
        <v>0</v>
      </c>
      <c r="F45" s="350">
        <f>SUM(F46)</f>
        <v>92757.33</v>
      </c>
      <c r="G45" s="346"/>
      <c r="H45" s="351">
        <f>SUM(H46)</f>
        <v>0</v>
      </c>
      <c r="I45" s="387"/>
    </row>
    <row r="46" spans="1:9" ht="21" customHeight="1" x14ac:dyDescent="0.25">
      <c r="A46" s="132"/>
      <c r="B46" s="196" t="s">
        <v>5399</v>
      </c>
      <c r="C46" s="139" t="s">
        <v>3716</v>
      </c>
      <c r="D46" s="352"/>
      <c r="E46" s="352"/>
      <c r="F46" s="352">
        <v>92757.33</v>
      </c>
      <c r="G46" s="346"/>
      <c r="H46" s="353"/>
      <c r="I46" s="387"/>
    </row>
    <row r="47" spans="1:9" x14ac:dyDescent="0.25">
      <c r="A47" s="133" t="s">
        <v>2646</v>
      </c>
      <c r="B47" s="134"/>
      <c r="C47" s="135" t="s">
        <v>3717</v>
      </c>
      <c r="D47" s="350">
        <f>SUM(D48:D50)</f>
        <v>194892000</v>
      </c>
      <c r="E47" s="350">
        <f>SUM(E48:E50)</f>
        <v>20431275</v>
      </c>
      <c r="F47" s="350">
        <f>SUM(F48:F49)</f>
        <v>194959800</v>
      </c>
      <c r="G47" s="346">
        <f>SUM(F47/D47)*100</f>
        <v>100.03478849824519</v>
      </c>
      <c r="H47" s="351">
        <f>SUM(H49:H50)</f>
        <v>27046178.140000001</v>
      </c>
      <c r="I47" s="387">
        <f t="shared" si="1"/>
        <v>132.37635996774551</v>
      </c>
    </row>
    <row r="48" spans="1:9" x14ac:dyDescent="0.25">
      <c r="A48" s="140"/>
      <c r="B48" s="141">
        <v>733151</v>
      </c>
      <c r="C48" s="142" t="s">
        <v>5233</v>
      </c>
      <c r="D48" s="352">
        <v>194892000</v>
      </c>
      <c r="E48" s="352"/>
      <c r="F48" s="352">
        <v>194959800</v>
      </c>
      <c r="G48" s="346">
        <f>SUM(F48/D48)*100</f>
        <v>100.03478849824519</v>
      </c>
      <c r="H48" s="353"/>
      <c r="I48" s="387"/>
    </row>
    <row r="49" spans="1:9" ht="23.25" customHeight="1" x14ac:dyDescent="0.25">
      <c r="A49" s="140"/>
      <c r="B49" s="132" t="s">
        <v>5234</v>
      </c>
      <c r="C49" s="139" t="s">
        <v>5228</v>
      </c>
      <c r="D49" s="352"/>
      <c r="E49" s="352">
        <v>20431275</v>
      </c>
      <c r="F49" s="352"/>
      <c r="G49" s="346"/>
      <c r="H49" s="353">
        <v>20306975.07</v>
      </c>
      <c r="I49" s="387">
        <f t="shared" si="1"/>
        <v>99.391619318911822</v>
      </c>
    </row>
    <row r="50" spans="1:9" ht="18" customHeight="1" x14ac:dyDescent="0.25">
      <c r="A50" s="140"/>
      <c r="B50" s="132" t="s">
        <v>5400</v>
      </c>
      <c r="C50" s="139" t="s">
        <v>5401</v>
      </c>
      <c r="D50" s="352"/>
      <c r="E50" s="352"/>
      <c r="F50" s="352"/>
      <c r="G50" s="346"/>
      <c r="H50" s="353">
        <v>6739203.0700000003</v>
      </c>
      <c r="I50" s="387"/>
    </row>
    <row r="51" spans="1:9" x14ac:dyDescent="0.25">
      <c r="A51" s="136" t="s">
        <v>2704</v>
      </c>
      <c r="B51" s="137"/>
      <c r="C51" s="138" t="s">
        <v>3718</v>
      </c>
      <c r="D51" s="348">
        <f>SUM(D52,D64,D73,D76,D79)</f>
        <v>162808000</v>
      </c>
      <c r="E51" s="348">
        <f>SUM(E52,E64,E73,E76,E79)</f>
        <v>6030100</v>
      </c>
      <c r="F51" s="348">
        <f>SUM(F52,F64,F73,F79)</f>
        <v>118684941.25</v>
      </c>
      <c r="G51" s="346">
        <f t="shared" ref="G51:G67" si="2">SUM(F51/D51)*100</f>
        <v>72.898715818632979</v>
      </c>
      <c r="H51" s="349">
        <f>SUM(H64,H76,H79)</f>
        <v>6194182.9900000002</v>
      </c>
      <c r="I51" s="387">
        <f t="shared" si="1"/>
        <v>102.72106581980398</v>
      </c>
    </row>
    <row r="52" spans="1:9" x14ac:dyDescent="0.25">
      <c r="A52" s="133" t="s">
        <v>2706</v>
      </c>
      <c r="B52" s="134"/>
      <c r="C52" s="135" t="s">
        <v>3719</v>
      </c>
      <c r="D52" s="350">
        <f>SUM(D53:D63)</f>
        <v>22600000</v>
      </c>
      <c r="E52" s="350">
        <f>SUM(E53:E63)</f>
        <v>0</v>
      </c>
      <c r="F52" s="350">
        <f>SUM(F53:F60)</f>
        <v>23335077.009999998</v>
      </c>
      <c r="G52" s="346">
        <f t="shared" si="2"/>
        <v>103.25255314159291</v>
      </c>
      <c r="H52" s="351"/>
      <c r="I52" s="387"/>
    </row>
    <row r="53" spans="1:9" ht="24" x14ac:dyDescent="0.25">
      <c r="A53" s="140"/>
      <c r="B53" s="196" t="s">
        <v>2716</v>
      </c>
      <c r="C53" s="128" t="s">
        <v>3720</v>
      </c>
      <c r="D53" s="352">
        <v>2000000</v>
      </c>
      <c r="E53" s="352"/>
      <c r="F53" s="352">
        <v>1753115.43</v>
      </c>
      <c r="G53" s="346">
        <f t="shared" si="2"/>
        <v>87.6557715</v>
      </c>
      <c r="H53" s="353"/>
      <c r="I53" s="387"/>
    </row>
    <row r="54" spans="1:9" hidden="1" x14ac:dyDescent="0.25">
      <c r="A54" s="140"/>
      <c r="B54" s="196" t="s">
        <v>2745</v>
      </c>
      <c r="C54" s="139" t="s">
        <v>45</v>
      </c>
      <c r="D54" s="352"/>
      <c r="E54" s="352"/>
      <c r="F54" s="352"/>
      <c r="G54" s="346" t="e">
        <f t="shared" si="2"/>
        <v>#DIV/0!</v>
      </c>
      <c r="H54" s="353"/>
      <c r="I54" s="387"/>
    </row>
    <row r="55" spans="1:9" x14ac:dyDescent="0.25">
      <c r="A55" s="140"/>
      <c r="B55" s="198" t="s">
        <v>2751</v>
      </c>
      <c r="C55" s="139" t="s">
        <v>39</v>
      </c>
      <c r="D55" s="352">
        <v>18500000</v>
      </c>
      <c r="E55" s="352"/>
      <c r="F55" s="352">
        <v>20045718.93</v>
      </c>
      <c r="G55" s="346">
        <f t="shared" si="2"/>
        <v>108.35523745945946</v>
      </c>
      <c r="H55" s="353"/>
      <c r="I55" s="387"/>
    </row>
    <row r="56" spans="1:9" x14ac:dyDescent="0.25">
      <c r="A56" s="140"/>
      <c r="B56" s="198" t="s">
        <v>2760</v>
      </c>
      <c r="C56" s="139" t="s">
        <v>41</v>
      </c>
      <c r="D56" s="352">
        <v>1500000</v>
      </c>
      <c r="E56" s="352"/>
      <c r="F56" s="352">
        <v>1242135.8400000001</v>
      </c>
      <c r="G56" s="346">
        <f t="shared" si="2"/>
        <v>82.809055999999998</v>
      </c>
      <c r="H56" s="353"/>
      <c r="I56" s="387"/>
    </row>
    <row r="57" spans="1:9" ht="48" x14ac:dyDescent="0.25">
      <c r="A57" s="140"/>
      <c r="B57" s="196" t="s">
        <v>2772</v>
      </c>
      <c r="C57" s="139" t="s">
        <v>3721</v>
      </c>
      <c r="D57" s="352">
        <v>400000</v>
      </c>
      <c r="E57" s="352"/>
      <c r="F57" s="352">
        <v>185100</v>
      </c>
      <c r="G57" s="346">
        <f t="shared" si="2"/>
        <v>46.274999999999999</v>
      </c>
      <c r="H57" s="353"/>
      <c r="I57" s="387"/>
    </row>
    <row r="58" spans="1:9" ht="36" hidden="1" x14ac:dyDescent="0.25">
      <c r="A58" s="140"/>
      <c r="B58" s="196" t="s">
        <v>2774</v>
      </c>
      <c r="C58" s="139" t="s">
        <v>3722</v>
      </c>
      <c r="D58" s="352"/>
      <c r="E58" s="352"/>
      <c r="F58" s="352"/>
      <c r="G58" s="346" t="e">
        <f t="shared" si="2"/>
        <v>#DIV/0!</v>
      </c>
      <c r="H58" s="353"/>
      <c r="I58" s="387"/>
    </row>
    <row r="59" spans="1:9" ht="24" hidden="1" x14ac:dyDescent="0.25">
      <c r="A59" s="140"/>
      <c r="B59" s="196" t="s">
        <v>2776</v>
      </c>
      <c r="C59" s="139" t="s">
        <v>3723</v>
      </c>
      <c r="D59" s="352"/>
      <c r="E59" s="352"/>
      <c r="F59" s="352"/>
      <c r="G59" s="346" t="e">
        <f t="shared" si="2"/>
        <v>#DIV/0!</v>
      </c>
      <c r="H59" s="353"/>
      <c r="I59" s="387"/>
    </row>
    <row r="60" spans="1:9" x14ac:dyDescent="0.25">
      <c r="A60" s="140"/>
      <c r="B60" s="196" t="s">
        <v>2778</v>
      </c>
      <c r="C60" s="139" t="s">
        <v>42</v>
      </c>
      <c r="D60" s="352">
        <v>200000</v>
      </c>
      <c r="E60" s="352"/>
      <c r="F60" s="352">
        <v>109006.81</v>
      </c>
      <c r="G60" s="346">
        <f t="shared" si="2"/>
        <v>54.503404999999994</v>
      </c>
      <c r="H60" s="353"/>
      <c r="I60" s="387"/>
    </row>
    <row r="61" spans="1:9" ht="24" hidden="1" x14ac:dyDescent="0.25">
      <c r="A61" s="140"/>
      <c r="B61" s="196" t="s">
        <v>2780</v>
      </c>
      <c r="C61" s="128" t="s">
        <v>3724</v>
      </c>
      <c r="D61" s="352"/>
      <c r="E61" s="352"/>
      <c r="F61" s="352"/>
      <c r="G61" s="346" t="e">
        <f t="shared" si="2"/>
        <v>#DIV/0!</v>
      </c>
      <c r="H61" s="353">
        <f>SUM(E61,D61)</f>
        <v>0</v>
      </c>
      <c r="I61" s="387" t="e">
        <f t="shared" si="1"/>
        <v>#DIV/0!</v>
      </c>
    </row>
    <row r="62" spans="1:9" hidden="1" x14ac:dyDescent="0.25">
      <c r="A62" s="140"/>
      <c r="B62" s="198" t="s">
        <v>2786</v>
      </c>
      <c r="C62" s="128" t="s">
        <v>43</v>
      </c>
      <c r="D62" s="352"/>
      <c r="E62" s="352"/>
      <c r="F62" s="352"/>
      <c r="G62" s="346" t="e">
        <f t="shared" si="2"/>
        <v>#DIV/0!</v>
      </c>
      <c r="H62" s="353">
        <f>SUM(E62,D62)</f>
        <v>0</v>
      </c>
      <c r="I62" s="387" t="e">
        <f t="shared" si="1"/>
        <v>#DIV/0!</v>
      </c>
    </row>
    <row r="63" spans="1:9" hidden="1" x14ac:dyDescent="0.25">
      <c r="A63" s="140"/>
      <c r="B63" s="198" t="s">
        <v>2790</v>
      </c>
      <c r="C63" s="128" t="s">
        <v>3725</v>
      </c>
      <c r="D63" s="352"/>
      <c r="E63" s="352"/>
      <c r="F63" s="352"/>
      <c r="G63" s="346" t="e">
        <f t="shared" si="2"/>
        <v>#DIV/0!</v>
      </c>
      <c r="H63" s="353">
        <f>SUM(E63,D63)</f>
        <v>0</v>
      </c>
      <c r="I63" s="387" t="e">
        <f t="shared" si="1"/>
        <v>#DIV/0!</v>
      </c>
    </row>
    <row r="64" spans="1:9" x14ac:dyDescent="0.25">
      <c r="A64" s="133" t="s">
        <v>2813</v>
      </c>
      <c r="B64" s="134"/>
      <c r="C64" s="135" t="s">
        <v>3726</v>
      </c>
      <c r="D64" s="350">
        <f>SUM(D65:D71)</f>
        <v>4500000</v>
      </c>
      <c r="E64" s="350">
        <f>SUM(E65:E71)</f>
        <v>6030100</v>
      </c>
      <c r="F64" s="350">
        <f>SUM(F67:F71)</f>
        <v>3189557.11</v>
      </c>
      <c r="G64" s="346">
        <f t="shared" si="2"/>
        <v>70.87904688888888</v>
      </c>
      <c r="H64" s="351">
        <f>SUM(H65:H72)</f>
        <v>6054062.9900000002</v>
      </c>
      <c r="I64" s="387">
        <f t="shared" si="1"/>
        <v>100.39738959552911</v>
      </c>
    </row>
    <row r="65" spans="1:9" x14ac:dyDescent="0.25">
      <c r="A65" s="140"/>
      <c r="B65" s="196" t="s">
        <v>5405</v>
      </c>
      <c r="C65" s="128" t="s">
        <v>5406</v>
      </c>
      <c r="D65" s="352"/>
      <c r="E65" s="352"/>
      <c r="F65" s="352"/>
      <c r="G65" s="346"/>
      <c r="H65" s="353">
        <v>392838.34</v>
      </c>
      <c r="I65" s="387"/>
    </row>
    <row r="66" spans="1:9" ht="15.75" customHeight="1" x14ac:dyDescent="0.25">
      <c r="A66" s="140"/>
      <c r="B66" s="83">
        <v>742152</v>
      </c>
      <c r="C66" s="83" t="s">
        <v>5407</v>
      </c>
      <c r="D66" s="352"/>
      <c r="E66" s="352"/>
      <c r="F66" s="352"/>
      <c r="G66" s="346"/>
      <c r="H66" s="353">
        <v>144500</v>
      </c>
      <c r="I66" s="387"/>
    </row>
    <row r="67" spans="1:9" ht="14.25" customHeight="1" x14ac:dyDescent="0.25">
      <c r="A67" s="140"/>
      <c r="B67" s="195">
        <v>742251</v>
      </c>
      <c r="C67" s="139" t="s">
        <v>5229</v>
      </c>
      <c r="D67" s="352">
        <v>2000000</v>
      </c>
      <c r="E67" s="352"/>
      <c r="F67" s="352">
        <v>1328450</v>
      </c>
      <c r="G67" s="346">
        <f t="shared" si="2"/>
        <v>66.422499999999999</v>
      </c>
      <c r="H67" s="353"/>
      <c r="I67" s="387"/>
    </row>
    <row r="68" spans="1:9" hidden="1" x14ac:dyDescent="0.25">
      <c r="A68" s="140"/>
      <c r="B68" s="197">
        <v>742252</v>
      </c>
      <c r="C68" s="128" t="s">
        <v>47</v>
      </c>
      <c r="D68" s="352"/>
      <c r="E68" s="352"/>
      <c r="F68" s="352"/>
      <c r="G68" s="346"/>
      <c r="H68" s="353"/>
      <c r="I68" s="387"/>
    </row>
    <row r="69" spans="1:9" ht="14.25" customHeight="1" x14ac:dyDescent="0.25">
      <c r="A69" s="140"/>
      <c r="B69" s="195">
        <v>742253</v>
      </c>
      <c r="C69" s="139" t="s">
        <v>49</v>
      </c>
      <c r="D69" s="352">
        <v>1500000</v>
      </c>
      <c r="E69" s="352"/>
      <c r="F69" s="352">
        <v>1235714.3400000001</v>
      </c>
      <c r="G69" s="346">
        <f>SUM(F69/D69)*100</f>
        <v>82.380956000000012</v>
      </c>
      <c r="H69" s="353"/>
      <c r="I69" s="387"/>
    </row>
    <row r="70" spans="1:9" ht="24" hidden="1" x14ac:dyDescent="0.25">
      <c r="A70" s="140"/>
      <c r="B70" s="195">
        <v>742254</v>
      </c>
      <c r="C70" s="139" t="s">
        <v>3727</v>
      </c>
      <c r="D70" s="352"/>
      <c r="E70" s="352"/>
      <c r="F70" s="352"/>
      <c r="G70" s="346"/>
      <c r="H70" s="353"/>
      <c r="I70" s="387"/>
    </row>
    <row r="71" spans="1:9" x14ac:dyDescent="0.25">
      <c r="A71" s="140"/>
      <c r="B71" s="195">
        <v>742351</v>
      </c>
      <c r="C71" s="139" t="s">
        <v>5230</v>
      </c>
      <c r="D71" s="352">
        <v>1000000</v>
      </c>
      <c r="E71" s="352">
        <v>6030100</v>
      </c>
      <c r="F71" s="352">
        <v>625392.77</v>
      </c>
      <c r="G71" s="346">
        <f>SUM(F71/D71)*100</f>
        <v>62.539277000000006</v>
      </c>
      <c r="H71" s="353">
        <v>1838872.63</v>
      </c>
      <c r="I71" s="387">
        <f t="shared" si="1"/>
        <v>30.49489444619492</v>
      </c>
    </row>
    <row r="72" spans="1:9" x14ac:dyDescent="0.25">
      <c r="A72" s="140"/>
      <c r="B72" s="195">
        <v>742378</v>
      </c>
      <c r="C72" s="139" t="s">
        <v>5412</v>
      </c>
      <c r="D72" s="352"/>
      <c r="E72" s="352"/>
      <c r="F72" s="352"/>
      <c r="G72" s="346"/>
      <c r="H72" s="352">
        <v>3677852.02</v>
      </c>
      <c r="I72" s="387"/>
    </row>
    <row r="73" spans="1:9" x14ac:dyDescent="0.25">
      <c r="A73" s="133" t="s">
        <v>2917</v>
      </c>
      <c r="B73" s="134"/>
      <c r="C73" s="135" t="s">
        <v>3728</v>
      </c>
      <c r="D73" s="350">
        <f>SUM(D74:D75)</f>
        <v>2300000</v>
      </c>
      <c r="E73" s="350">
        <f>SUM(E74:E75)</f>
        <v>0</v>
      </c>
      <c r="F73" s="350">
        <f>SUM(F74:F75)</f>
        <v>2183517.8200000003</v>
      </c>
      <c r="G73" s="346">
        <f>SUM(F73/D73)*100</f>
        <v>94.935557391304357</v>
      </c>
      <c r="H73" s="351"/>
      <c r="I73" s="387"/>
    </row>
    <row r="74" spans="1:9" ht="24" x14ac:dyDescent="0.25">
      <c r="A74" s="140"/>
      <c r="B74" s="198" t="s">
        <v>2941</v>
      </c>
      <c r="C74" s="128" t="s">
        <v>3729</v>
      </c>
      <c r="D74" s="352">
        <v>2300000</v>
      </c>
      <c r="E74" s="352"/>
      <c r="F74" s="352">
        <v>2148614.9900000002</v>
      </c>
      <c r="G74" s="346">
        <f>SUM(F74/D74)*100</f>
        <v>93.418043043478278</v>
      </c>
      <c r="H74" s="354"/>
      <c r="I74" s="387"/>
    </row>
    <row r="75" spans="1:9" ht="21" customHeight="1" x14ac:dyDescent="0.25">
      <c r="A75" s="140"/>
      <c r="B75" s="196" t="s">
        <v>5402</v>
      </c>
      <c r="C75" s="128" t="s">
        <v>5403</v>
      </c>
      <c r="D75" s="352"/>
      <c r="E75" s="352"/>
      <c r="F75" s="352">
        <v>34902.83</v>
      </c>
      <c r="G75" s="346"/>
      <c r="H75" s="354">
        <f>SUM(D75,E75)</f>
        <v>0</v>
      </c>
      <c r="I75" s="387"/>
    </row>
    <row r="76" spans="1:9" ht="24" x14ac:dyDescent="0.25">
      <c r="A76" s="133" t="s">
        <v>2990</v>
      </c>
      <c r="B76" s="134"/>
      <c r="C76" s="135" t="s">
        <v>3730</v>
      </c>
      <c r="D76" s="350">
        <f>SUM(D77:D78)</f>
        <v>0</v>
      </c>
      <c r="E76" s="350">
        <f>SUM(E77:E78)</f>
        <v>0</v>
      </c>
      <c r="F76" s="350"/>
      <c r="G76" s="346"/>
      <c r="H76" s="351">
        <f>SUM(H77:H78)</f>
        <v>65000</v>
      </c>
      <c r="I76" s="387"/>
    </row>
    <row r="77" spans="1:9" ht="22.5" customHeight="1" x14ac:dyDescent="0.25">
      <c r="A77" s="140"/>
      <c r="B77" s="196" t="s">
        <v>5413</v>
      </c>
      <c r="C77" s="128" t="s">
        <v>5414</v>
      </c>
      <c r="D77" s="352"/>
      <c r="E77" s="352"/>
      <c r="F77" s="352"/>
      <c r="G77" s="346"/>
      <c r="H77" s="353">
        <v>65000</v>
      </c>
      <c r="I77" s="387"/>
    </row>
    <row r="78" spans="1:9" ht="24" hidden="1" x14ac:dyDescent="0.25">
      <c r="A78" s="140"/>
      <c r="B78" s="196" t="s">
        <v>3011</v>
      </c>
      <c r="C78" s="128" t="s">
        <v>3731</v>
      </c>
      <c r="D78" s="352"/>
      <c r="E78" s="352"/>
      <c r="F78" s="352"/>
      <c r="G78" s="346"/>
      <c r="H78" s="353"/>
      <c r="I78" s="387"/>
    </row>
    <row r="79" spans="1:9" x14ac:dyDescent="0.25">
      <c r="A79" s="133" t="s">
        <v>3017</v>
      </c>
      <c r="B79" s="134"/>
      <c r="C79" s="135" t="s">
        <v>3732</v>
      </c>
      <c r="D79" s="350">
        <f>SUM(D80:D82)</f>
        <v>133408000</v>
      </c>
      <c r="E79" s="350">
        <f>SUM(E80:E82)</f>
        <v>0</v>
      </c>
      <c r="F79" s="350">
        <f>SUM(F82)</f>
        <v>89976789.310000002</v>
      </c>
      <c r="G79" s="346">
        <f>SUM(F79/D79)*100</f>
        <v>67.444822881686264</v>
      </c>
      <c r="H79" s="351">
        <f>SUM(H80:H82)</f>
        <v>75120</v>
      </c>
      <c r="I79" s="387"/>
    </row>
    <row r="80" spans="1:9" x14ac:dyDescent="0.25">
      <c r="A80" s="140"/>
      <c r="B80" s="196" t="s">
        <v>3039</v>
      </c>
      <c r="C80" s="139" t="s">
        <v>3755</v>
      </c>
      <c r="D80" s="352"/>
      <c r="E80" s="352"/>
      <c r="F80" s="352"/>
      <c r="G80" s="346"/>
      <c r="H80" s="354">
        <f>SUM(E80,D80)</f>
        <v>0</v>
      </c>
      <c r="I80" s="387"/>
    </row>
    <row r="81" spans="1:9" x14ac:dyDescent="0.25">
      <c r="A81" s="140"/>
      <c r="B81" s="196" t="s">
        <v>3041</v>
      </c>
      <c r="C81" s="139" t="s">
        <v>3756</v>
      </c>
      <c r="D81" s="352"/>
      <c r="E81" s="352"/>
      <c r="F81" s="352"/>
      <c r="G81" s="346"/>
      <c r="H81" s="354">
        <f>SUM(E81,D81)</f>
        <v>0</v>
      </c>
      <c r="I81" s="387"/>
    </row>
    <row r="82" spans="1:9" x14ac:dyDescent="0.25">
      <c r="A82" s="140"/>
      <c r="B82" s="196" t="s">
        <v>5231</v>
      </c>
      <c r="C82" s="139" t="s">
        <v>5232</v>
      </c>
      <c r="D82" s="352">
        <v>133408000</v>
      </c>
      <c r="E82" s="352"/>
      <c r="F82" s="352">
        <v>89976789.310000002</v>
      </c>
      <c r="G82" s="346">
        <f>SUM(F82/D82)*100</f>
        <v>67.444822881686264</v>
      </c>
      <c r="H82" s="715">
        <v>75120</v>
      </c>
      <c r="I82" s="387"/>
    </row>
    <row r="83" spans="1:9" x14ac:dyDescent="0.25">
      <c r="A83" s="143" t="s">
        <v>3056</v>
      </c>
      <c r="B83" s="144"/>
      <c r="C83" s="145" t="s">
        <v>3733</v>
      </c>
      <c r="D83" s="355">
        <f>SUM(D85)</f>
        <v>300000</v>
      </c>
      <c r="E83" s="355">
        <f>SUM(E85)</f>
        <v>0</v>
      </c>
      <c r="F83" s="355">
        <f>SUM(F84:F85)</f>
        <v>74748.739999999991</v>
      </c>
      <c r="G83" s="346">
        <f>SUM(F83/D83)*100</f>
        <v>24.916246666666662</v>
      </c>
      <c r="H83" s="356">
        <f>SUM(H84:H85)</f>
        <v>3091503.43</v>
      </c>
      <c r="I83" s="387"/>
    </row>
    <row r="84" spans="1:9" x14ac:dyDescent="0.25">
      <c r="A84" s="143"/>
      <c r="B84" s="711" t="s">
        <v>5421</v>
      </c>
      <c r="C84" s="712" t="s">
        <v>56</v>
      </c>
      <c r="D84" s="388"/>
      <c r="E84" s="388"/>
      <c r="F84" s="714">
        <v>32.15</v>
      </c>
      <c r="G84" s="713"/>
      <c r="H84" s="714">
        <v>3091503.43</v>
      </c>
      <c r="I84" s="387"/>
    </row>
    <row r="85" spans="1:9" x14ac:dyDescent="0.25">
      <c r="A85" s="140"/>
      <c r="B85" s="198" t="s">
        <v>5404</v>
      </c>
      <c r="C85" s="139" t="s">
        <v>56</v>
      </c>
      <c r="D85" s="352">
        <v>300000</v>
      </c>
      <c r="E85" s="352"/>
      <c r="F85" s="352">
        <v>74716.59</v>
      </c>
      <c r="G85" s="346">
        <f>SUM(F85/D85)*100</f>
        <v>24.905529999999999</v>
      </c>
      <c r="H85" s="354"/>
      <c r="I85" s="387"/>
    </row>
    <row r="86" spans="1:9" x14ac:dyDescent="0.25">
      <c r="A86" s="389" t="s">
        <v>5408</v>
      </c>
      <c r="B86" s="390"/>
      <c r="C86" s="391" t="s">
        <v>5409</v>
      </c>
      <c r="D86" s="392"/>
      <c r="E86" s="392"/>
      <c r="F86" s="392"/>
      <c r="G86" s="393"/>
      <c r="H86" s="394">
        <f>SUM(H87)</f>
        <v>3951056.5</v>
      </c>
      <c r="I86" s="387"/>
    </row>
    <row r="87" spans="1:9" x14ac:dyDescent="0.25">
      <c r="A87" s="140"/>
      <c r="B87" s="198" t="s">
        <v>5410</v>
      </c>
      <c r="C87" s="139" t="s">
        <v>5411</v>
      </c>
      <c r="D87" s="352"/>
      <c r="E87" s="352"/>
      <c r="F87" s="352"/>
      <c r="G87" s="346"/>
      <c r="H87" s="714">
        <v>3951056.5</v>
      </c>
      <c r="I87" s="387"/>
    </row>
    <row r="88" spans="1:9" x14ac:dyDescent="0.25">
      <c r="A88" s="143" t="s">
        <v>3087</v>
      </c>
      <c r="B88" s="144"/>
      <c r="C88" s="145" t="s">
        <v>3734</v>
      </c>
      <c r="D88" s="355">
        <f>SUM(D89)</f>
        <v>0</v>
      </c>
      <c r="E88" s="355">
        <f>SUM(E89)</f>
        <v>5900000</v>
      </c>
      <c r="F88" s="355"/>
      <c r="G88" s="346"/>
      <c r="H88" s="356"/>
      <c r="I88" s="387">
        <f t="shared" ref="I88:I103" si="3">SUM(H88/E88)*100</f>
        <v>0</v>
      </c>
    </row>
    <row r="89" spans="1:9" x14ac:dyDescent="0.25">
      <c r="A89" s="140"/>
      <c r="B89" s="132" t="s">
        <v>3089</v>
      </c>
      <c r="C89" s="139" t="s">
        <v>235</v>
      </c>
      <c r="D89" s="352"/>
      <c r="E89" s="352">
        <v>5900000</v>
      </c>
      <c r="F89" s="352"/>
      <c r="G89" s="346"/>
      <c r="H89" s="354"/>
      <c r="I89" s="387">
        <f t="shared" si="3"/>
        <v>0</v>
      </c>
    </row>
    <row r="90" spans="1:9" x14ac:dyDescent="0.25">
      <c r="A90" s="146" t="s">
        <v>3090</v>
      </c>
      <c r="B90" s="147"/>
      <c r="C90" s="148" t="s">
        <v>3735</v>
      </c>
      <c r="D90" s="357">
        <f>D91+D94</f>
        <v>0</v>
      </c>
      <c r="E90" s="357">
        <f>E91+E94</f>
        <v>0</v>
      </c>
      <c r="F90" s="357"/>
      <c r="G90" s="346"/>
      <c r="H90" s="358">
        <f>SUM(H92)</f>
        <v>154924</v>
      </c>
      <c r="I90" s="387"/>
    </row>
    <row r="91" spans="1:9" x14ac:dyDescent="0.25">
      <c r="A91" s="149">
        <v>810000</v>
      </c>
      <c r="B91" s="144"/>
      <c r="C91" s="150" t="s">
        <v>3736</v>
      </c>
      <c r="D91" s="355">
        <f>SUM(D92:D93)</f>
        <v>0</v>
      </c>
      <c r="E91" s="355">
        <f>SUM(E92:E93)</f>
        <v>0</v>
      </c>
      <c r="F91" s="355"/>
      <c r="G91" s="346"/>
      <c r="H91" s="356">
        <f>SUM(H92)</f>
        <v>154924</v>
      </c>
      <c r="I91" s="387"/>
    </row>
    <row r="92" spans="1:9" ht="13.5" customHeight="1" x14ac:dyDescent="0.25">
      <c r="A92" s="140"/>
      <c r="B92" s="142">
        <v>813151</v>
      </c>
      <c r="C92" s="142" t="s">
        <v>5415</v>
      </c>
      <c r="D92" s="352"/>
      <c r="E92" s="352"/>
      <c r="F92" s="352"/>
      <c r="G92" s="346"/>
      <c r="H92" s="715">
        <v>154924</v>
      </c>
      <c r="I92" s="387"/>
    </row>
    <row r="93" spans="1:9" hidden="1" x14ac:dyDescent="0.25">
      <c r="A93" s="140"/>
      <c r="B93" s="142">
        <v>812000</v>
      </c>
      <c r="C93" s="142" t="s">
        <v>3737</v>
      </c>
      <c r="D93" s="352"/>
      <c r="E93" s="352"/>
      <c r="F93" s="352"/>
      <c r="G93" s="346"/>
      <c r="H93" s="354">
        <f t="shared" ref="H93:H101" si="4">SUM(D93,E93)</f>
        <v>0</v>
      </c>
      <c r="I93" s="387"/>
    </row>
    <row r="94" spans="1:9" x14ac:dyDescent="0.25">
      <c r="A94" s="149">
        <v>840000</v>
      </c>
      <c r="B94" s="151"/>
      <c r="C94" s="152" t="s">
        <v>3738</v>
      </c>
      <c r="D94" s="359">
        <f>SUM(D95)</f>
        <v>0</v>
      </c>
      <c r="E94" s="359">
        <f>SUM(E95)</f>
        <v>0</v>
      </c>
      <c r="F94" s="359"/>
      <c r="G94" s="346"/>
      <c r="H94" s="356">
        <f t="shared" si="4"/>
        <v>0</v>
      </c>
      <c r="I94" s="387"/>
    </row>
    <row r="95" spans="1:9" x14ac:dyDescent="0.25">
      <c r="A95" s="140"/>
      <c r="B95" s="142">
        <v>841000</v>
      </c>
      <c r="C95" s="142" t="s">
        <v>3739</v>
      </c>
      <c r="D95" s="352"/>
      <c r="E95" s="352"/>
      <c r="F95" s="352"/>
      <c r="G95" s="346"/>
      <c r="H95" s="354">
        <f t="shared" si="4"/>
        <v>0</v>
      </c>
      <c r="I95" s="387"/>
    </row>
    <row r="96" spans="1:9" x14ac:dyDescent="0.25">
      <c r="A96" s="146" t="s">
        <v>3216</v>
      </c>
      <c r="B96" s="153"/>
      <c r="C96" s="154" t="s">
        <v>3740</v>
      </c>
      <c r="D96" s="357">
        <f>SUM(D97,D100)</f>
        <v>0</v>
      </c>
      <c r="E96" s="357">
        <f>SUM(E97,E100)</f>
        <v>0</v>
      </c>
      <c r="F96" s="357"/>
      <c r="G96" s="346"/>
      <c r="H96" s="358">
        <f t="shared" si="4"/>
        <v>0</v>
      </c>
      <c r="I96" s="387"/>
    </row>
    <row r="97" spans="1:9" ht="14.25" customHeight="1" x14ac:dyDescent="0.25">
      <c r="A97" s="143" t="s">
        <v>3218</v>
      </c>
      <c r="B97" s="144"/>
      <c r="C97" s="145" t="s">
        <v>3741</v>
      </c>
      <c r="D97" s="355">
        <f>SUM(D98:D99)</f>
        <v>0</v>
      </c>
      <c r="E97" s="355">
        <f>SUM(E98:E99)</f>
        <v>0</v>
      </c>
      <c r="F97" s="355"/>
      <c r="G97" s="346"/>
      <c r="H97" s="356">
        <f t="shared" si="4"/>
        <v>0</v>
      </c>
      <c r="I97" s="387"/>
    </row>
    <row r="98" spans="1:9" ht="24" hidden="1" x14ac:dyDescent="0.25">
      <c r="A98" s="132"/>
      <c r="B98" s="132" t="s">
        <v>3258</v>
      </c>
      <c r="C98" s="128" t="s">
        <v>3742</v>
      </c>
      <c r="D98" s="352"/>
      <c r="E98" s="352"/>
      <c r="F98" s="352"/>
      <c r="G98" s="346"/>
      <c r="H98" s="354">
        <f t="shared" si="4"/>
        <v>0</v>
      </c>
      <c r="I98" s="387"/>
    </row>
    <row r="99" spans="1:9" x14ac:dyDescent="0.25">
      <c r="A99" s="140"/>
      <c r="B99" s="132" t="s">
        <v>3743</v>
      </c>
      <c r="C99" s="139" t="s">
        <v>3744</v>
      </c>
      <c r="D99" s="352"/>
      <c r="E99" s="352"/>
      <c r="F99" s="352"/>
      <c r="G99" s="346"/>
      <c r="H99" s="354">
        <f t="shared" si="4"/>
        <v>0</v>
      </c>
      <c r="I99" s="387"/>
    </row>
    <row r="100" spans="1:9" x14ac:dyDescent="0.25">
      <c r="A100" s="143" t="s">
        <v>3388</v>
      </c>
      <c r="B100" s="144"/>
      <c r="C100" s="145" t="s">
        <v>3745</v>
      </c>
      <c r="D100" s="355">
        <f>SUM(D101)</f>
        <v>0</v>
      </c>
      <c r="E100" s="355">
        <f>SUM(E101)</f>
        <v>0</v>
      </c>
      <c r="F100" s="355"/>
      <c r="G100" s="346"/>
      <c r="H100" s="356">
        <f t="shared" si="4"/>
        <v>0</v>
      </c>
      <c r="I100" s="387"/>
    </row>
    <row r="101" spans="1:9" ht="15" customHeight="1" x14ac:dyDescent="0.25">
      <c r="A101" s="140"/>
      <c r="B101" s="132" t="s">
        <v>3480</v>
      </c>
      <c r="C101" s="131" t="s">
        <v>3746</v>
      </c>
      <c r="D101" s="352"/>
      <c r="E101" s="352"/>
      <c r="F101" s="352"/>
      <c r="G101" s="346"/>
      <c r="H101" s="354">
        <f t="shared" si="4"/>
        <v>0</v>
      </c>
      <c r="I101" s="387"/>
    </row>
    <row r="102" spans="1:9" ht="21.75" customHeight="1" x14ac:dyDescent="0.25">
      <c r="A102" s="155"/>
      <c r="B102" s="155" t="s">
        <v>3747</v>
      </c>
      <c r="C102" s="156" t="s">
        <v>3748</v>
      </c>
      <c r="D102" s="344">
        <f>SUM(D8,D90,D96)</f>
        <v>547900000</v>
      </c>
      <c r="E102" s="344">
        <f>SUM(E8,E90,E96)</f>
        <v>32361375</v>
      </c>
      <c r="F102" s="344">
        <f>SUM(F8)</f>
        <v>467808481.5200001</v>
      </c>
      <c r="G102" s="346">
        <f>SUM(F102/D102)*100</f>
        <v>85.382091899981774</v>
      </c>
      <c r="H102" s="345">
        <f>SUM(H8,H90)</f>
        <v>40437845.060000002</v>
      </c>
      <c r="I102" s="387">
        <f t="shared" si="3"/>
        <v>124.95712886118098</v>
      </c>
    </row>
    <row r="103" spans="1:9" ht="25.5" customHeight="1" x14ac:dyDescent="0.25">
      <c r="A103" s="160"/>
      <c r="B103" s="161" t="s">
        <v>3749</v>
      </c>
      <c r="C103" s="162" t="s">
        <v>4162</v>
      </c>
      <c r="D103" s="360">
        <f>SUM(D7,D8,D90,D96)</f>
        <v>593078790</v>
      </c>
      <c r="E103" s="360">
        <f>SUM(E7,E8,E90,E96)</f>
        <v>32361375</v>
      </c>
      <c r="F103" s="360">
        <f>SUM(F102,F7)</f>
        <v>512987271.5200001</v>
      </c>
      <c r="G103" s="346">
        <f>SUM(F103/D103)*100</f>
        <v>86.49563602164902</v>
      </c>
      <c r="H103" s="361">
        <f>SUM(H102,H7)</f>
        <v>44731873.43</v>
      </c>
      <c r="I103" s="387">
        <f t="shared" si="3"/>
        <v>138.22612120158678</v>
      </c>
    </row>
    <row r="104" spans="1:9" x14ac:dyDescent="0.25">
      <c r="A104" s="157"/>
      <c r="B104" s="157"/>
      <c r="C104" s="158"/>
      <c r="D104" s="159"/>
      <c r="E104" s="159"/>
      <c r="F104" s="159"/>
      <c r="G104" s="159"/>
      <c r="H104" s="159"/>
    </row>
    <row r="105" spans="1:9" x14ac:dyDescent="0.25">
      <c r="D105" s="199"/>
      <c r="E105" s="199"/>
      <c r="F105" s="199"/>
      <c r="G105" s="199"/>
      <c r="H105" s="199"/>
    </row>
    <row r="107" spans="1:9" x14ac:dyDescent="0.25">
      <c r="F107" s="380"/>
    </row>
    <row r="108" spans="1:9" x14ac:dyDescent="0.25">
      <c r="E108" s="380"/>
    </row>
  </sheetData>
  <sheetProtection password="CA6E" sheet="1" objects="1" scenarios="1" selectLockedCells="1" selectUnlockedCells="1"/>
  <mergeCells count="8">
    <mergeCell ref="A5:A6"/>
    <mergeCell ref="B5:B6"/>
    <mergeCell ref="C5:C6"/>
    <mergeCell ref="F5:I5"/>
    <mergeCell ref="B3:H3"/>
    <mergeCell ref="C1:E1"/>
    <mergeCell ref="C2:D2"/>
    <mergeCell ref="D5:E5"/>
  </mergeCells>
  <conditionalFormatting sqref="D105:H105">
    <cfRule type="cellIs" dxfId="4" priority="1" operator="lessThan">
      <formula>0</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sheetPr>
  <dimension ref="A1:G283"/>
  <sheetViews>
    <sheetView topLeftCell="A2" workbookViewId="0">
      <selection activeCell="H105" sqref="H105"/>
    </sheetView>
  </sheetViews>
  <sheetFormatPr defaultRowHeight="15" x14ac:dyDescent="0.25"/>
  <cols>
    <col min="1" max="1" width="10" style="83" customWidth="1"/>
    <col min="2" max="2" width="9.85546875" style="83" customWidth="1"/>
    <col min="3" max="3" width="47.5703125" style="220" customWidth="1"/>
    <col min="4" max="5" width="18" style="116" customWidth="1"/>
    <col min="6" max="6" width="16.7109375" style="116" customWidth="1"/>
    <col min="7" max="16384" width="9.140625" style="83"/>
  </cols>
  <sheetData>
    <row r="1" spans="1:7" ht="15" hidden="1" customHeight="1" x14ac:dyDescent="0.25">
      <c r="A1" s="323"/>
      <c r="B1" s="323"/>
      <c r="C1" s="324"/>
      <c r="D1" s="324" t="s">
        <v>5281</v>
      </c>
      <c r="E1" s="323"/>
      <c r="F1" s="323"/>
      <c r="G1" s="205"/>
    </row>
    <row r="2" spans="1:7" ht="15" customHeight="1" x14ac:dyDescent="0.25">
      <c r="A2" s="323"/>
      <c r="B2" s="323"/>
      <c r="C2" s="839" t="s">
        <v>5366</v>
      </c>
      <c r="D2" s="839"/>
      <c r="E2" s="323"/>
      <c r="F2" s="323"/>
      <c r="G2" s="205"/>
    </row>
    <row r="3" spans="1:7" ht="15" customHeight="1" x14ac:dyDescent="0.25">
      <c r="A3" s="323"/>
      <c r="B3" s="323"/>
      <c r="C3" s="839"/>
      <c r="D3" s="839"/>
      <c r="E3" s="323"/>
      <c r="F3" s="323"/>
      <c r="G3" s="205"/>
    </row>
    <row r="4" spans="1:7" ht="13.5" customHeight="1" x14ac:dyDescent="0.25">
      <c r="A4" s="840" t="s">
        <v>5367</v>
      </c>
      <c r="B4" s="840"/>
      <c r="C4" s="840"/>
      <c r="D4" s="840"/>
      <c r="E4" s="840"/>
      <c r="F4" s="840"/>
      <c r="G4" s="205"/>
    </row>
    <row r="5" spans="1:7" hidden="1" x14ac:dyDescent="0.25"/>
    <row r="6" spans="1:7" ht="15.75" x14ac:dyDescent="0.25">
      <c r="A6" s="111" t="s">
        <v>3859</v>
      </c>
      <c r="B6" s="836" t="s">
        <v>3860</v>
      </c>
      <c r="C6" s="837" t="s">
        <v>265</v>
      </c>
      <c r="D6" s="838" t="s">
        <v>3861</v>
      </c>
      <c r="E6" s="838"/>
      <c r="F6" s="838"/>
    </row>
    <row r="7" spans="1:7" ht="15.75" x14ac:dyDescent="0.25">
      <c r="A7" s="111" t="s">
        <v>3862</v>
      </c>
      <c r="B7" s="836"/>
      <c r="C7" s="837"/>
      <c r="D7" s="112" t="s">
        <v>5368</v>
      </c>
      <c r="E7" s="112" t="s">
        <v>5369</v>
      </c>
      <c r="F7" s="112" t="s">
        <v>5370</v>
      </c>
    </row>
    <row r="8" spans="1:7" ht="15.75" x14ac:dyDescent="0.25">
      <c r="A8" s="113">
        <v>1</v>
      </c>
      <c r="B8" s="113">
        <v>2</v>
      </c>
      <c r="C8" s="217">
        <v>3</v>
      </c>
      <c r="D8" s="114">
        <v>4</v>
      </c>
      <c r="E8" s="114">
        <v>5</v>
      </c>
      <c r="F8" s="114">
        <v>6</v>
      </c>
    </row>
    <row r="9" spans="1:7" ht="15.75" x14ac:dyDescent="0.25">
      <c r="A9" s="115"/>
      <c r="B9" s="115"/>
      <c r="C9" s="218" t="s">
        <v>3863</v>
      </c>
      <c r="D9" s="716">
        <f>SUM(D10,D19,D28,D46,D55,D64,D73,D82,D91,D100,D109,D118,D127,D137,D200,D227,D275)</f>
        <v>179551000</v>
      </c>
      <c r="E9" s="716">
        <f>SUM(E10,E19,E28,E45,E46,E64,E73,E91,E100,E109,E118,E127,E137)</f>
        <v>125064793.32999998</v>
      </c>
      <c r="F9" s="716">
        <f>SUM(E9/D9)*100</f>
        <v>69.654189244281568</v>
      </c>
    </row>
    <row r="10" spans="1:7" ht="42.75" x14ac:dyDescent="0.25">
      <c r="A10" s="115">
        <v>511</v>
      </c>
      <c r="B10" s="111">
        <v>1</v>
      </c>
      <c r="C10" s="176" t="s">
        <v>5197</v>
      </c>
      <c r="D10" s="716">
        <f>SUM(D15:D18)</f>
        <v>2700000</v>
      </c>
      <c r="E10" s="716">
        <f>SUM(E15:E18)</f>
        <v>2699963.16</v>
      </c>
      <c r="F10" s="716">
        <f t="shared" ref="F10:F73" si="0">SUM(E10/D10)*100</f>
        <v>99.998635555555566</v>
      </c>
    </row>
    <row r="11" spans="1:7" ht="15.75" x14ac:dyDescent="0.25">
      <c r="A11" s="115"/>
      <c r="B11" s="111"/>
      <c r="C11" s="219" t="s">
        <v>5236</v>
      </c>
      <c r="D11" s="716"/>
      <c r="E11" s="716"/>
      <c r="F11" s="716"/>
    </row>
    <row r="12" spans="1:7" ht="15.75" x14ac:dyDescent="0.25">
      <c r="A12" s="115"/>
      <c r="B12" s="111"/>
      <c r="C12" s="219" t="s">
        <v>5237</v>
      </c>
      <c r="D12" s="716"/>
      <c r="E12" s="716"/>
      <c r="F12" s="716"/>
    </row>
    <row r="13" spans="1:7" ht="15.75" x14ac:dyDescent="0.25">
      <c r="A13" s="115"/>
      <c r="B13" s="111"/>
      <c r="C13" s="219" t="s">
        <v>5238</v>
      </c>
      <c r="D13" s="717"/>
      <c r="E13" s="716"/>
      <c r="F13" s="716"/>
    </row>
    <row r="14" spans="1:7" ht="13.5" customHeight="1" x14ac:dyDescent="0.25">
      <c r="A14" s="115"/>
      <c r="B14" s="111"/>
      <c r="C14" s="219" t="s">
        <v>3864</v>
      </c>
      <c r="D14" s="717"/>
      <c r="E14" s="716"/>
      <c r="F14" s="716"/>
    </row>
    <row r="15" spans="1:7" ht="15.75" customHeight="1" x14ac:dyDescent="0.25">
      <c r="A15" s="115"/>
      <c r="B15" s="111"/>
      <c r="C15" s="219" t="s">
        <v>3865</v>
      </c>
      <c r="D15" s="717">
        <v>2700000</v>
      </c>
      <c r="E15" s="718">
        <v>2699963.16</v>
      </c>
      <c r="F15" s="716">
        <f t="shared" si="0"/>
        <v>99.998635555555566</v>
      </c>
    </row>
    <row r="16" spans="1:7" ht="13.5" customHeight="1" x14ac:dyDescent="0.25">
      <c r="A16" s="115"/>
      <c r="B16" s="111"/>
      <c r="C16" s="219" t="s">
        <v>3866</v>
      </c>
      <c r="D16" s="717"/>
      <c r="E16" s="716"/>
      <c r="F16" s="716"/>
    </row>
    <row r="17" spans="1:6" ht="12.75" customHeight="1" x14ac:dyDescent="0.25">
      <c r="A17" s="115"/>
      <c r="B17" s="216"/>
      <c r="C17" s="219" t="s">
        <v>3867</v>
      </c>
      <c r="D17" s="717"/>
      <c r="E17" s="716"/>
      <c r="F17" s="716"/>
    </row>
    <row r="18" spans="1:6" ht="15" customHeight="1" x14ac:dyDescent="0.25">
      <c r="A18" s="115"/>
      <c r="B18" s="111"/>
      <c r="C18" s="220" t="s">
        <v>5089</v>
      </c>
      <c r="D18" s="717"/>
      <c r="E18" s="716"/>
      <c r="F18" s="716"/>
    </row>
    <row r="19" spans="1:6" ht="24" customHeight="1" x14ac:dyDescent="0.25">
      <c r="A19" s="115"/>
      <c r="B19" s="111">
        <v>2</v>
      </c>
      <c r="C19" s="281" t="s">
        <v>5198</v>
      </c>
      <c r="D19" s="716">
        <f>SUM(D24:D27)</f>
        <v>27700000</v>
      </c>
      <c r="E19" s="716">
        <f>SUM(E24:E27)</f>
        <v>27503799.109999999</v>
      </c>
      <c r="F19" s="716">
        <f t="shared" si="0"/>
        <v>99.291693537906127</v>
      </c>
    </row>
    <row r="20" spans="1:6" ht="15.75" x14ac:dyDescent="0.25">
      <c r="A20" s="115"/>
      <c r="B20" s="113"/>
      <c r="C20" s="221" t="s">
        <v>5239</v>
      </c>
      <c r="D20" s="717"/>
      <c r="E20" s="717"/>
      <c r="F20" s="716"/>
    </row>
    <row r="21" spans="1:6" ht="15.75" x14ac:dyDescent="0.25">
      <c r="A21" s="115"/>
      <c r="B21" s="113"/>
      <c r="C21" s="221" t="s">
        <v>5264</v>
      </c>
      <c r="D21" s="717"/>
      <c r="E21" s="717"/>
      <c r="F21" s="716"/>
    </row>
    <row r="22" spans="1:6" ht="15.75" x14ac:dyDescent="0.25">
      <c r="A22" s="115"/>
      <c r="B22" s="113"/>
      <c r="C22" s="221" t="s">
        <v>5240</v>
      </c>
      <c r="D22" s="717"/>
      <c r="E22" s="717"/>
      <c r="F22" s="716"/>
    </row>
    <row r="23" spans="1:6" ht="15.75" x14ac:dyDescent="0.25">
      <c r="A23" s="115"/>
      <c r="B23" s="113"/>
      <c r="C23" s="221" t="s">
        <v>3864</v>
      </c>
      <c r="D23" s="717"/>
      <c r="E23" s="717"/>
      <c r="F23" s="716"/>
    </row>
    <row r="24" spans="1:6" ht="15.75" x14ac:dyDescent="0.25">
      <c r="A24" s="115"/>
      <c r="B24" s="113"/>
      <c r="C24" s="221" t="s">
        <v>3865</v>
      </c>
      <c r="D24" s="717">
        <v>27700000</v>
      </c>
      <c r="E24" s="717">
        <v>27503799.109999999</v>
      </c>
      <c r="F24" s="716">
        <f t="shared" si="0"/>
        <v>99.291693537906127</v>
      </c>
    </row>
    <row r="25" spans="1:6" ht="15.75" x14ac:dyDescent="0.25">
      <c r="A25" s="115"/>
      <c r="B25" s="113"/>
      <c r="C25" s="221" t="s">
        <v>3866</v>
      </c>
      <c r="D25" s="717"/>
      <c r="E25" s="717"/>
      <c r="F25" s="716"/>
    </row>
    <row r="26" spans="1:6" ht="12.75" customHeight="1" x14ac:dyDescent="0.25">
      <c r="A26" s="115"/>
      <c r="B26" s="113"/>
      <c r="C26" s="221" t="s">
        <v>3867</v>
      </c>
      <c r="D26" s="717"/>
      <c r="E26" s="717"/>
      <c r="F26" s="716"/>
    </row>
    <row r="27" spans="1:6" ht="12.75" customHeight="1" x14ac:dyDescent="0.25">
      <c r="A27" s="115"/>
      <c r="B27" s="216"/>
      <c r="C27" s="220" t="s">
        <v>5089</v>
      </c>
      <c r="D27" s="717"/>
      <c r="E27" s="716"/>
      <c r="F27" s="716"/>
    </row>
    <row r="28" spans="1:6" ht="28.5" x14ac:dyDescent="0.25">
      <c r="A28" s="115"/>
      <c r="B28" s="111">
        <v>3</v>
      </c>
      <c r="C28" s="281" t="s">
        <v>5203</v>
      </c>
      <c r="D28" s="716">
        <f>SUM(D33:D36)</f>
        <v>2500000</v>
      </c>
      <c r="E28" s="716">
        <f>SUM(E33:E36)</f>
        <v>2350440.5299999998</v>
      </c>
      <c r="F28" s="716">
        <f t="shared" si="0"/>
        <v>94.017621199999994</v>
      </c>
    </row>
    <row r="29" spans="1:6" ht="15.75" x14ac:dyDescent="0.25">
      <c r="A29" s="115"/>
      <c r="B29" s="113"/>
      <c r="C29" s="221" t="s">
        <v>5241</v>
      </c>
      <c r="D29" s="717"/>
      <c r="E29" s="717"/>
      <c r="F29" s="716"/>
    </row>
    <row r="30" spans="1:6" ht="15.75" x14ac:dyDescent="0.25">
      <c r="A30" s="115"/>
      <c r="B30" s="113"/>
      <c r="C30" s="221" t="s">
        <v>5237</v>
      </c>
      <c r="D30" s="717"/>
      <c r="E30" s="717"/>
      <c r="F30" s="716"/>
    </row>
    <row r="31" spans="1:6" ht="15.75" x14ac:dyDescent="0.25">
      <c r="A31" s="115"/>
      <c r="B31" s="113"/>
      <c r="C31" s="221" t="s">
        <v>5242</v>
      </c>
      <c r="D31" s="717"/>
      <c r="E31" s="717"/>
      <c r="F31" s="716"/>
    </row>
    <row r="32" spans="1:6" ht="15.75" x14ac:dyDescent="0.25">
      <c r="A32" s="115"/>
      <c r="B32" s="113"/>
      <c r="C32" s="221" t="s">
        <v>3864</v>
      </c>
      <c r="D32" s="717"/>
      <c r="E32" s="717"/>
      <c r="F32" s="716"/>
    </row>
    <row r="33" spans="1:6" ht="15.75" x14ac:dyDescent="0.25">
      <c r="A33" s="115"/>
      <c r="B33" s="113"/>
      <c r="C33" s="221" t="s">
        <v>3865</v>
      </c>
      <c r="D33" s="717">
        <v>2500000</v>
      </c>
      <c r="E33" s="717">
        <v>2350440.5299999998</v>
      </c>
      <c r="F33" s="716">
        <f t="shared" si="0"/>
        <v>94.017621199999994</v>
      </c>
    </row>
    <row r="34" spans="1:6" ht="14.25" hidden="1" customHeight="1" x14ac:dyDescent="0.25">
      <c r="A34" s="115"/>
      <c r="B34" s="113"/>
      <c r="C34" s="221" t="s">
        <v>3866</v>
      </c>
      <c r="D34" s="717"/>
      <c r="E34" s="717"/>
      <c r="F34" s="716" t="e">
        <f t="shared" si="0"/>
        <v>#DIV/0!</v>
      </c>
    </row>
    <row r="35" spans="1:6" ht="15.75" hidden="1" x14ac:dyDescent="0.25">
      <c r="A35" s="115"/>
      <c r="B35" s="113"/>
      <c r="C35" s="221" t="s">
        <v>3867</v>
      </c>
      <c r="D35" s="717"/>
      <c r="E35" s="717"/>
      <c r="F35" s="716" t="e">
        <f t="shared" si="0"/>
        <v>#DIV/0!</v>
      </c>
    </row>
    <row r="36" spans="1:6" ht="0.75" customHeight="1" x14ac:dyDescent="0.25">
      <c r="A36" s="115"/>
      <c r="B36" s="216"/>
      <c r="C36" s="220" t="s">
        <v>5089</v>
      </c>
      <c r="D36" s="717"/>
      <c r="E36" s="716"/>
      <c r="F36" s="716" t="e">
        <f t="shared" si="0"/>
        <v>#DIV/0!</v>
      </c>
    </row>
    <row r="37" spans="1:6" ht="15.75" x14ac:dyDescent="0.25">
      <c r="A37" s="115"/>
      <c r="B37" s="111">
        <v>4</v>
      </c>
      <c r="C37" s="281" t="s">
        <v>5245</v>
      </c>
      <c r="D37" s="716">
        <f>SUM(D42)</f>
        <v>0</v>
      </c>
      <c r="E37" s="716">
        <f>SUM(E42:E45)</f>
        <v>0</v>
      </c>
      <c r="F37" s="716"/>
    </row>
    <row r="38" spans="1:6" ht="15.75" x14ac:dyDescent="0.25">
      <c r="A38" s="115"/>
      <c r="B38" s="113"/>
      <c r="C38" s="221" t="s">
        <v>5243</v>
      </c>
      <c r="D38" s="717"/>
      <c r="E38" s="717"/>
      <c r="F38" s="716"/>
    </row>
    <row r="39" spans="1:6" ht="15.75" x14ac:dyDescent="0.25">
      <c r="A39" s="115"/>
      <c r="B39" s="113"/>
      <c r="C39" s="221" t="s">
        <v>5257</v>
      </c>
      <c r="D39" s="717"/>
      <c r="E39" s="717"/>
      <c r="F39" s="716"/>
    </row>
    <row r="40" spans="1:6" ht="15.75" x14ac:dyDescent="0.25">
      <c r="A40" s="115"/>
      <c r="B40" s="113"/>
      <c r="C40" s="221" t="s">
        <v>5244</v>
      </c>
      <c r="D40" s="717"/>
      <c r="E40" s="717"/>
      <c r="F40" s="716"/>
    </row>
    <row r="41" spans="1:6" ht="15.75" x14ac:dyDescent="0.25">
      <c r="A41" s="115"/>
      <c r="B41" s="113"/>
      <c r="C41" s="221" t="s">
        <v>3864</v>
      </c>
      <c r="D41" s="717"/>
      <c r="E41" s="717"/>
      <c r="F41" s="716"/>
    </row>
    <row r="42" spans="1:6" ht="15.75" x14ac:dyDescent="0.25">
      <c r="A42" s="115"/>
      <c r="B42" s="113"/>
      <c r="C42" s="221" t="s">
        <v>3865</v>
      </c>
      <c r="D42" s="717"/>
      <c r="E42" s="717"/>
      <c r="F42" s="716"/>
    </row>
    <row r="43" spans="1:6" ht="15.75" x14ac:dyDescent="0.25">
      <c r="A43" s="115"/>
      <c r="B43" s="113"/>
      <c r="C43" s="221" t="s">
        <v>3866</v>
      </c>
      <c r="D43" s="717"/>
      <c r="E43" s="717"/>
      <c r="F43" s="716"/>
    </row>
    <row r="44" spans="1:6" ht="15.75" x14ac:dyDescent="0.25">
      <c r="A44" s="115"/>
      <c r="B44" s="113"/>
      <c r="C44" s="221" t="s">
        <v>3867</v>
      </c>
      <c r="D44" s="717"/>
      <c r="E44" s="717"/>
      <c r="F44" s="716"/>
    </row>
    <row r="45" spans="1:6" ht="15.75" x14ac:dyDescent="0.25">
      <c r="A45" s="115"/>
      <c r="B45" s="113"/>
      <c r="C45" s="220" t="s">
        <v>5089</v>
      </c>
      <c r="D45" s="717"/>
      <c r="E45" s="717"/>
      <c r="F45" s="716"/>
    </row>
    <row r="46" spans="1:6" ht="15.75" x14ac:dyDescent="0.25">
      <c r="A46" s="115"/>
      <c r="B46" s="111">
        <v>5</v>
      </c>
      <c r="C46" s="281" t="s">
        <v>5246</v>
      </c>
      <c r="D46" s="716">
        <f>SUM(D51:D54)</f>
        <v>3400000</v>
      </c>
      <c r="E46" s="716">
        <f>SUM(E51:E54)</f>
        <v>2282667.2000000002</v>
      </c>
      <c r="F46" s="716">
        <f t="shared" si="0"/>
        <v>67.137270588235296</v>
      </c>
    </row>
    <row r="47" spans="1:6" ht="15.75" x14ac:dyDescent="0.25">
      <c r="A47" s="115"/>
      <c r="B47" s="113"/>
      <c r="C47" s="221" t="s">
        <v>5243</v>
      </c>
      <c r="D47" s="717"/>
      <c r="E47" s="717"/>
      <c r="F47" s="716"/>
    </row>
    <row r="48" spans="1:6" ht="15.75" x14ac:dyDescent="0.25">
      <c r="A48" s="115"/>
      <c r="B48" s="113"/>
      <c r="C48" s="221" t="s">
        <v>5237</v>
      </c>
      <c r="D48" s="717"/>
      <c r="E48" s="717"/>
      <c r="F48" s="716"/>
    </row>
    <row r="49" spans="1:6" ht="15.75" x14ac:dyDescent="0.25">
      <c r="A49" s="115"/>
      <c r="B49" s="113"/>
      <c r="C49" s="221" t="s">
        <v>5247</v>
      </c>
      <c r="D49" s="717"/>
      <c r="E49" s="717"/>
      <c r="F49" s="716"/>
    </row>
    <row r="50" spans="1:6" ht="15.75" x14ac:dyDescent="0.25">
      <c r="A50" s="115"/>
      <c r="B50" s="113"/>
      <c r="C50" s="221" t="s">
        <v>3864</v>
      </c>
      <c r="D50" s="717"/>
      <c r="E50" s="717"/>
      <c r="F50" s="716"/>
    </row>
    <row r="51" spans="1:6" ht="15.75" x14ac:dyDescent="0.25">
      <c r="A51" s="115"/>
      <c r="B51" s="113"/>
      <c r="C51" s="221" t="s">
        <v>3865</v>
      </c>
      <c r="D51" s="717">
        <v>3400000</v>
      </c>
      <c r="E51" s="717">
        <v>2282667.2000000002</v>
      </c>
      <c r="F51" s="716">
        <f t="shared" si="0"/>
        <v>67.137270588235296</v>
      </c>
    </row>
    <row r="52" spans="1:6" ht="0.75" customHeight="1" x14ac:dyDescent="0.25">
      <c r="A52" s="115"/>
      <c r="B52" s="113"/>
      <c r="C52" s="221" t="s">
        <v>3866</v>
      </c>
      <c r="D52" s="717"/>
      <c r="E52" s="717"/>
      <c r="F52" s="716" t="e">
        <f t="shared" si="0"/>
        <v>#DIV/0!</v>
      </c>
    </row>
    <row r="53" spans="1:6" ht="15.75" x14ac:dyDescent="0.25">
      <c r="A53" s="115"/>
      <c r="B53" s="113"/>
      <c r="C53" s="221" t="s">
        <v>3867</v>
      </c>
      <c r="D53" s="717"/>
      <c r="E53" s="717"/>
      <c r="F53" s="716"/>
    </row>
    <row r="54" spans="1:6" ht="15.75" x14ac:dyDescent="0.25">
      <c r="A54" s="115"/>
      <c r="B54" s="113"/>
      <c r="C54" s="220" t="s">
        <v>5089</v>
      </c>
      <c r="D54" s="717"/>
      <c r="E54" s="717"/>
      <c r="F54" s="716"/>
    </row>
    <row r="55" spans="1:6" ht="15.75" x14ac:dyDescent="0.25">
      <c r="A55" s="115"/>
      <c r="B55" s="111">
        <v>6</v>
      </c>
      <c r="C55" s="281" t="s">
        <v>5248</v>
      </c>
      <c r="D55" s="716">
        <f>SUM(D60:D63)</f>
        <v>5000000</v>
      </c>
      <c r="E55" s="716">
        <f>SUM(E60:E63)</f>
        <v>0</v>
      </c>
      <c r="F55" s="716">
        <f t="shared" si="0"/>
        <v>0</v>
      </c>
    </row>
    <row r="56" spans="1:6" ht="15.75" x14ac:dyDescent="0.25">
      <c r="A56" s="115"/>
      <c r="B56" s="113"/>
      <c r="C56" s="221" t="s">
        <v>5243</v>
      </c>
      <c r="D56" s="717"/>
      <c r="E56" s="717"/>
      <c r="F56" s="716"/>
    </row>
    <row r="57" spans="1:6" ht="15.75" x14ac:dyDescent="0.25">
      <c r="A57" s="115"/>
      <c r="B57" s="113"/>
      <c r="C57" s="221" t="s">
        <v>5257</v>
      </c>
      <c r="D57" s="717"/>
      <c r="E57" s="717"/>
      <c r="F57" s="716"/>
    </row>
    <row r="58" spans="1:6" ht="15.75" x14ac:dyDescent="0.25">
      <c r="A58" s="115"/>
      <c r="B58" s="113"/>
      <c r="C58" s="221" t="s">
        <v>5249</v>
      </c>
      <c r="D58" s="717"/>
      <c r="E58" s="717"/>
      <c r="F58" s="716"/>
    </row>
    <row r="59" spans="1:6" ht="15.75" x14ac:dyDescent="0.25">
      <c r="A59" s="115"/>
      <c r="B59" s="113"/>
      <c r="C59" s="221" t="s">
        <v>3864</v>
      </c>
      <c r="D59" s="717"/>
      <c r="E59" s="717"/>
      <c r="F59" s="716"/>
    </row>
    <row r="60" spans="1:6" ht="15.75" x14ac:dyDescent="0.25">
      <c r="A60" s="115"/>
      <c r="B60" s="113"/>
      <c r="C60" s="221" t="s">
        <v>3865</v>
      </c>
      <c r="D60" s="717">
        <v>5000000</v>
      </c>
      <c r="E60" s="717">
        <v>0</v>
      </c>
      <c r="F60" s="716">
        <f t="shared" si="0"/>
        <v>0</v>
      </c>
    </row>
    <row r="61" spans="1:6" ht="0.75" customHeight="1" x14ac:dyDescent="0.25">
      <c r="A61" s="115"/>
      <c r="B61" s="113"/>
      <c r="C61" s="221" t="s">
        <v>3866</v>
      </c>
      <c r="D61" s="717"/>
      <c r="E61" s="717"/>
      <c r="F61" s="716" t="e">
        <f t="shared" si="0"/>
        <v>#DIV/0!</v>
      </c>
    </row>
    <row r="62" spans="1:6" ht="14.25" customHeight="1" x14ac:dyDescent="0.25">
      <c r="A62" s="115"/>
      <c r="B62" s="113"/>
      <c r="C62" s="221" t="s">
        <v>3867</v>
      </c>
      <c r="D62" s="717"/>
      <c r="E62" s="717"/>
      <c r="F62" s="716"/>
    </row>
    <row r="63" spans="1:6" ht="12.75" customHeight="1" x14ac:dyDescent="0.25">
      <c r="A63" s="115"/>
      <c r="B63" s="113"/>
      <c r="C63" s="220" t="s">
        <v>5089</v>
      </c>
      <c r="D63" s="717"/>
      <c r="E63" s="717"/>
      <c r="F63" s="716"/>
    </row>
    <row r="64" spans="1:6" ht="26.25" customHeight="1" x14ac:dyDescent="0.25">
      <c r="A64" s="115"/>
      <c r="B64" s="111">
        <v>7</v>
      </c>
      <c r="C64" s="281" t="s">
        <v>5215</v>
      </c>
      <c r="D64" s="716">
        <f>SUM(D69:D72)</f>
        <v>31000000</v>
      </c>
      <c r="E64" s="716">
        <f>SUM(E69:E72)</f>
        <v>7444176.6600000001</v>
      </c>
      <c r="F64" s="716">
        <f t="shared" si="0"/>
        <v>24.013473096774192</v>
      </c>
    </row>
    <row r="65" spans="1:6" ht="15.75" x14ac:dyDescent="0.25">
      <c r="A65" s="115"/>
      <c r="B65" s="113"/>
      <c r="C65" s="331" t="s">
        <v>5241</v>
      </c>
      <c r="D65" s="717"/>
      <c r="E65" s="717"/>
      <c r="F65" s="716"/>
    </row>
    <row r="66" spans="1:6" ht="15.75" x14ac:dyDescent="0.25">
      <c r="A66" s="115"/>
      <c r="B66" s="113"/>
      <c r="C66" s="331" t="s">
        <v>5237</v>
      </c>
      <c r="D66" s="717"/>
      <c r="E66" s="717"/>
      <c r="F66" s="716"/>
    </row>
    <row r="67" spans="1:6" ht="15.75" x14ac:dyDescent="0.25">
      <c r="A67" s="115"/>
      <c r="B67" s="113"/>
      <c r="C67" s="331" t="s">
        <v>5322</v>
      </c>
      <c r="D67" s="717"/>
      <c r="E67" s="717"/>
      <c r="F67" s="716"/>
    </row>
    <row r="68" spans="1:6" ht="15.75" x14ac:dyDescent="0.25">
      <c r="A68" s="115"/>
      <c r="B68" s="113"/>
      <c r="C68" s="331" t="s">
        <v>3864</v>
      </c>
      <c r="D68" s="717"/>
      <c r="E68" s="717"/>
      <c r="F68" s="716"/>
    </row>
    <row r="69" spans="1:6" ht="12.75" customHeight="1" x14ac:dyDescent="0.25">
      <c r="A69" s="115"/>
      <c r="B69" s="113"/>
      <c r="C69" s="331" t="s">
        <v>3865</v>
      </c>
      <c r="D69" s="717">
        <v>11000000</v>
      </c>
      <c r="E69" s="717">
        <v>7444176.6600000001</v>
      </c>
      <c r="F69" s="716">
        <f t="shared" si="0"/>
        <v>67.674333272727267</v>
      </c>
    </row>
    <row r="70" spans="1:6" ht="14.25" customHeight="1" x14ac:dyDescent="0.25">
      <c r="A70" s="115"/>
      <c r="B70" s="113"/>
      <c r="C70" s="331" t="s">
        <v>3866</v>
      </c>
      <c r="D70" s="717"/>
      <c r="E70" s="717"/>
      <c r="F70" s="716"/>
    </row>
    <row r="71" spans="1:6" ht="13.5" customHeight="1" x14ac:dyDescent="0.25">
      <c r="A71" s="115"/>
      <c r="B71" s="113"/>
      <c r="C71" s="331" t="s">
        <v>3867</v>
      </c>
      <c r="D71" s="717">
        <v>20000000</v>
      </c>
      <c r="E71" s="717"/>
      <c r="F71" s="716">
        <f t="shared" si="0"/>
        <v>0</v>
      </c>
    </row>
    <row r="72" spans="1:6" ht="0.75" customHeight="1" x14ac:dyDescent="0.25">
      <c r="A72" s="115"/>
      <c r="B72" s="113"/>
      <c r="C72" s="332" t="s">
        <v>5089</v>
      </c>
      <c r="D72" s="717"/>
      <c r="E72" s="717"/>
      <c r="F72" s="716" t="e">
        <f t="shared" si="0"/>
        <v>#DIV/0!</v>
      </c>
    </row>
    <row r="73" spans="1:6" ht="28.5" x14ac:dyDescent="0.25">
      <c r="A73" s="115"/>
      <c r="B73" s="111">
        <v>8</v>
      </c>
      <c r="C73" s="281" t="s">
        <v>5224</v>
      </c>
      <c r="D73" s="716">
        <f>SUM(D78:D81)</f>
        <v>13500000</v>
      </c>
      <c r="E73" s="716">
        <f>SUM(E78:E81)</f>
        <v>10991472</v>
      </c>
      <c r="F73" s="716">
        <f t="shared" si="0"/>
        <v>81.418311111111109</v>
      </c>
    </row>
    <row r="74" spans="1:6" ht="15.75" x14ac:dyDescent="0.25">
      <c r="A74" s="115"/>
      <c r="B74" s="111"/>
      <c r="C74" s="221" t="s">
        <v>5243</v>
      </c>
      <c r="D74" s="716"/>
      <c r="E74" s="716"/>
      <c r="F74" s="716"/>
    </row>
    <row r="75" spans="1:6" ht="15.75" x14ac:dyDescent="0.25">
      <c r="A75" s="115"/>
      <c r="B75" s="111"/>
      <c r="C75" s="221" t="s">
        <v>5257</v>
      </c>
      <c r="D75" s="716"/>
      <c r="E75" s="716"/>
      <c r="F75" s="716"/>
    </row>
    <row r="76" spans="1:6" ht="15.75" x14ac:dyDescent="0.25">
      <c r="A76" s="115"/>
      <c r="B76" s="111"/>
      <c r="C76" s="221" t="s">
        <v>5312</v>
      </c>
      <c r="D76" s="717"/>
      <c r="E76" s="716"/>
      <c r="F76" s="716"/>
    </row>
    <row r="77" spans="1:6" ht="14.25" customHeight="1" x14ac:dyDescent="0.25">
      <c r="A77" s="115"/>
      <c r="B77" s="111"/>
      <c r="C77" s="221" t="s">
        <v>3864</v>
      </c>
      <c r="D77" s="717"/>
      <c r="E77" s="716"/>
      <c r="F77" s="716"/>
    </row>
    <row r="78" spans="1:6" ht="13.5" customHeight="1" x14ac:dyDescent="0.25">
      <c r="A78" s="115"/>
      <c r="B78" s="111"/>
      <c r="C78" s="221" t="s">
        <v>3865</v>
      </c>
      <c r="D78" s="717">
        <v>7500000</v>
      </c>
      <c r="E78" s="718">
        <v>4991472</v>
      </c>
      <c r="F78" s="716">
        <f t="shared" ref="F78:F137" si="1">SUM(E78/D78)*100</f>
        <v>66.552959999999999</v>
      </c>
    </row>
    <row r="79" spans="1:6" ht="13.5" customHeight="1" x14ac:dyDescent="0.25">
      <c r="A79" s="115"/>
      <c r="B79" s="111"/>
      <c r="C79" s="221" t="s">
        <v>3866</v>
      </c>
      <c r="D79" s="717"/>
      <c r="E79" s="716"/>
      <c r="F79" s="716"/>
    </row>
    <row r="80" spans="1:6" ht="13.5" customHeight="1" x14ac:dyDescent="0.25">
      <c r="A80" s="115"/>
      <c r="B80" s="111"/>
      <c r="C80" s="221" t="s">
        <v>3867</v>
      </c>
      <c r="D80" s="717"/>
      <c r="E80" s="716"/>
      <c r="F80" s="716"/>
    </row>
    <row r="81" spans="1:6" ht="15.75" x14ac:dyDescent="0.25">
      <c r="A81" s="115"/>
      <c r="B81" s="216"/>
      <c r="C81" s="220" t="s">
        <v>5089</v>
      </c>
      <c r="D81" s="719">
        <v>6000000</v>
      </c>
      <c r="E81" s="718">
        <v>6000000</v>
      </c>
      <c r="F81" s="716">
        <f t="shared" si="1"/>
        <v>100</v>
      </c>
    </row>
    <row r="82" spans="1:6" ht="16.5" customHeight="1" x14ac:dyDescent="0.25">
      <c r="A82" s="115"/>
      <c r="B82" s="111">
        <v>9</v>
      </c>
      <c r="C82" s="218" t="s">
        <v>5274</v>
      </c>
      <c r="D82" s="716">
        <f>SUM(D87:D90)</f>
        <v>0</v>
      </c>
      <c r="E82" s="716">
        <f>SUM(E87:E90)</f>
        <v>0</v>
      </c>
      <c r="F82" s="716"/>
    </row>
    <row r="83" spans="1:6" ht="15.75" x14ac:dyDescent="0.25">
      <c r="A83" s="115"/>
      <c r="B83" s="113"/>
      <c r="C83" s="221" t="s">
        <v>5243</v>
      </c>
      <c r="D83" s="717"/>
      <c r="E83" s="717"/>
      <c r="F83" s="716"/>
    </row>
    <row r="84" spans="1:6" ht="15.75" x14ac:dyDescent="0.25">
      <c r="A84" s="115"/>
      <c r="B84" s="113"/>
      <c r="C84" s="221" t="s">
        <v>5257</v>
      </c>
      <c r="D84" s="717"/>
      <c r="E84" s="717"/>
      <c r="F84" s="716"/>
    </row>
    <row r="85" spans="1:6" ht="15.75" x14ac:dyDescent="0.25">
      <c r="A85" s="115"/>
      <c r="B85" s="113"/>
      <c r="C85" s="221" t="s">
        <v>5250</v>
      </c>
      <c r="D85" s="717"/>
      <c r="E85" s="717"/>
      <c r="F85" s="716"/>
    </row>
    <row r="86" spans="1:6" ht="12.75" customHeight="1" x14ac:dyDescent="0.25">
      <c r="A86" s="115"/>
      <c r="B86" s="113"/>
      <c r="C86" s="221" t="s">
        <v>3864</v>
      </c>
      <c r="D86" s="717"/>
      <c r="E86" s="717"/>
      <c r="F86" s="716"/>
    </row>
    <row r="87" spans="1:6" ht="15" customHeight="1" x14ac:dyDescent="0.25">
      <c r="A87" s="115"/>
      <c r="B87" s="113"/>
      <c r="C87" s="221" t="s">
        <v>3865</v>
      </c>
      <c r="D87" s="717"/>
      <c r="E87" s="717"/>
      <c r="F87" s="716"/>
    </row>
    <row r="88" spans="1:6" ht="15.75" hidden="1" x14ac:dyDescent="0.25">
      <c r="A88" s="115"/>
      <c r="B88" s="113"/>
      <c r="C88" s="221" t="s">
        <v>3866</v>
      </c>
      <c r="D88" s="717"/>
      <c r="E88" s="717"/>
      <c r="F88" s="716"/>
    </row>
    <row r="89" spans="1:6" ht="12.75" customHeight="1" x14ac:dyDescent="0.25">
      <c r="A89" s="115"/>
      <c r="B89" s="113"/>
      <c r="C89" s="221" t="s">
        <v>3867</v>
      </c>
      <c r="D89" s="717"/>
      <c r="E89" s="717"/>
      <c r="F89" s="716"/>
    </row>
    <row r="90" spans="1:6" ht="0.75" hidden="1" customHeight="1" x14ac:dyDescent="0.25">
      <c r="A90" s="115"/>
      <c r="B90" s="113"/>
      <c r="C90" s="220" t="s">
        <v>5089</v>
      </c>
      <c r="D90" s="717"/>
      <c r="E90" s="717"/>
      <c r="F90" s="716" t="e">
        <f t="shared" si="1"/>
        <v>#DIV/0!</v>
      </c>
    </row>
    <row r="91" spans="1:6" ht="15.75" x14ac:dyDescent="0.25">
      <c r="A91" s="115"/>
      <c r="B91" s="111">
        <v>10</v>
      </c>
      <c r="C91" s="218" t="s">
        <v>5251</v>
      </c>
      <c r="D91" s="716">
        <f>SUM(D96:D99)</f>
        <v>48851000</v>
      </c>
      <c r="E91" s="716">
        <f>SUM(E96:E99)</f>
        <v>36615805.57</v>
      </c>
      <c r="F91" s="716">
        <f t="shared" si="1"/>
        <v>74.95405533151829</v>
      </c>
    </row>
    <row r="92" spans="1:6" ht="15.75" x14ac:dyDescent="0.25">
      <c r="A92" s="115"/>
      <c r="B92" s="113"/>
      <c r="C92" s="221" t="s">
        <v>5243</v>
      </c>
      <c r="D92" s="717"/>
      <c r="E92" s="717"/>
      <c r="F92" s="716"/>
    </row>
    <row r="93" spans="1:6" ht="15.75" x14ac:dyDescent="0.25">
      <c r="A93" s="115"/>
      <c r="B93" s="113"/>
      <c r="C93" s="221" t="s">
        <v>5257</v>
      </c>
      <c r="D93" s="717"/>
      <c r="E93" s="717"/>
      <c r="F93" s="716"/>
    </row>
    <row r="94" spans="1:6" ht="15.75" x14ac:dyDescent="0.25">
      <c r="A94" s="115"/>
      <c r="B94" s="113"/>
      <c r="C94" s="221" t="s">
        <v>5252</v>
      </c>
      <c r="D94" s="717"/>
      <c r="E94" s="717"/>
      <c r="F94" s="716"/>
    </row>
    <row r="95" spans="1:6" ht="13.5" customHeight="1" x14ac:dyDescent="0.25">
      <c r="A95" s="115"/>
      <c r="B95" s="113"/>
      <c r="C95" s="221" t="s">
        <v>3864</v>
      </c>
      <c r="D95" s="717"/>
      <c r="E95" s="717"/>
      <c r="F95" s="716"/>
    </row>
    <row r="96" spans="1:6" ht="13.5" customHeight="1" x14ac:dyDescent="0.25">
      <c r="A96" s="115"/>
      <c r="B96" s="113"/>
      <c r="C96" s="221" t="s">
        <v>3865</v>
      </c>
      <c r="D96" s="717">
        <v>48851000</v>
      </c>
      <c r="E96" s="717">
        <v>36615805.57</v>
      </c>
      <c r="F96" s="716">
        <f t="shared" si="1"/>
        <v>74.95405533151829</v>
      </c>
    </row>
    <row r="97" spans="1:6" ht="14.25" customHeight="1" x14ac:dyDescent="0.25">
      <c r="A97" s="115"/>
      <c r="B97" s="113"/>
      <c r="C97" s="221" t="s">
        <v>3866</v>
      </c>
      <c r="D97" s="717"/>
      <c r="E97" s="717"/>
      <c r="F97" s="716"/>
    </row>
    <row r="98" spans="1:6" ht="13.5" customHeight="1" x14ac:dyDescent="0.25">
      <c r="A98" s="115"/>
      <c r="B98" s="113"/>
      <c r="C98" s="221" t="s">
        <v>3867</v>
      </c>
      <c r="D98" s="717"/>
      <c r="E98" s="717"/>
      <c r="F98" s="716"/>
    </row>
    <row r="99" spans="1:6" ht="13.5" customHeight="1" x14ac:dyDescent="0.25">
      <c r="A99" s="115"/>
      <c r="B99" s="113"/>
      <c r="C99" s="220" t="s">
        <v>5089</v>
      </c>
      <c r="D99" s="717"/>
      <c r="E99" s="717"/>
      <c r="F99" s="716"/>
    </row>
    <row r="100" spans="1:6" ht="26.25" customHeight="1" x14ac:dyDescent="0.25">
      <c r="A100" s="115"/>
      <c r="B100" s="111">
        <v>11</v>
      </c>
      <c r="C100" s="282" t="s">
        <v>5253</v>
      </c>
      <c r="D100" s="716">
        <f>SUM(D105:D108)</f>
        <v>6100000</v>
      </c>
      <c r="E100" s="716">
        <f>SUM(E105:E108)</f>
        <v>4992619.3</v>
      </c>
      <c r="F100" s="716">
        <f t="shared" si="1"/>
        <v>81.846218032786879</v>
      </c>
    </row>
    <row r="101" spans="1:6" ht="12.75" customHeight="1" x14ac:dyDescent="0.25">
      <c r="A101" s="115"/>
      <c r="B101" s="113"/>
      <c r="C101" s="221" t="s">
        <v>5241</v>
      </c>
      <c r="D101" s="717"/>
      <c r="E101" s="717"/>
      <c r="F101" s="716"/>
    </row>
    <row r="102" spans="1:6" ht="13.5" customHeight="1" x14ac:dyDescent="0.25">
      <c r="A102" s="115"/>
      <c r="B102" s="113"/>
      <c r="C102" s="221" t="s">
        <v>5237</v>
      </c>
      <c r="D102" s="717"/>
      <c r="E102" s="717"/>
      <c r="F102" s="716"/>
    </row>
    <row r="103" spans="1:6" ht="13.5" customHeight="1" x14ac:dyDescent="0.25">
      <c r="A103" s="115"/>
      <c r="B103" s="113"/>
      <c r="C103" s="221" t="s">
        <v>5254</v>
      </c>
      <c r="D103" s="717"/>
      <c r="E103" s="717"/>
      <c r="F103" s="716"/>
    </row>
    <row r="104" spans="1:6" ht="13.5" customHeight="1" x14ac:dyDescent="0.25">
      <c r="A104" s="115"/>
      <c r="B104" s="113"/>
      <c r="C104" s="221" t="s">
        <v>3864</v>
      </c>
      <c r="D104" s="717"/>
      <c r="E104" s="717"/>
      <c r="F104" s="716"/>
    </row>
    <row r="105" spans="1:6" ht="13.5" customHeight="1" x14ac:dyDescent="0.25">
      <c r="A105" s="115"/>
      <c r="B105" s="113"/>
      <c r="C105" s="221" t="s">
        <v>3865</v>
      </c>
      <c r="D105" s="717"/>
      <c r="E105" s="717"/>
      <c r="F105" s="716"/>
    </row>
    <row r="106" spans="1:6" ht="12.75" customHeight="1" x14ac:dyDescent="0.25">
      <c r="A106" s="115"/>
      <c r="B106" s="113"/>
      <c r="C106" s="221" t="s">
        <v>3866</v>
      </c>
      <c r="D106" s="717"/>
      <c r="E106" s="717"/>
      <c r="F106" s="716"/>
    </row>
    <row r="107" spans="1:6" ht="12.75" customHeight="1" x14ac:dyDescent="0.25">
      <c r="A107" s="115"/>
      <c r="B107" s="113"/>
      <c r="C107" s="221" t="s">
        <v>3867</v>
      </c>
      <c r="D107" s="717">
        <v>3965000</v>
      </c>
      <c r="E107" s="717">
        <v>3327832.87</v>
      </c>
      <c r="F107" s="716">
        <f t="shared" si="1"/>
        <v>83.93021109709963</v>
      </c>
    </row>
    <row r="108" spans="1:6" ht="12.75" customHeight="1" x14ac:dyDescent="0.25">
      <c r="A108" s="115"/>
      <c r="B108" s="113"/>
      <c r="C108" s="220" t="s">
        <v>5089</v>
      </c>
      <c r="D108" s="717">
        <v>2135000</v>
      </c>
      <c r="E108" s="717">
        <v>1664786.43</v>
      </c>
      <c r="F108" s="716">
        <f t="shared" si="1"/>
        <v>77.975945199063219</v>
      </c>
    </row>
    <row r="109" spans="1:6" ht="28.5" x14ac:dyDescent="0.25">
      <c r="A109" s="115"/>
      <c r="B109" s="111">
        <v>12</v>
      </c>
      <c r="C109" s="282" t="s">
        <v>5175</v>
      </c>
      <c r="D109" s="716">
        <f>SUM(D114:D117)</f>
        <v>15900000</v>
      </c>
      <c r="E109" s="716">
        <f>SUM(E114:E117)</f>
        <v>12978512.199999999</v>
      </c>
      <c r="F109" s="716">
        <f t="shared" si="1"/>
        <v>81.625862893081759</v>
      </c>
    </row>
    <row r="110" spans="1:6" ht="15.75" x14ac:dyDescent="0.25">
      <c r="A110" s="115"/>
      <c r="B110" s="113"/>
      <c r="C110" s="221" t="s">
        <v>5241</v>
      </c>
      <c r="D110" s="717"/>
      <c r="E110" s="717"/>
      <c r="F110" s="716"/>
    </row>
    <row r="111" spans="1:6" ht="15.75" x14ac:dyDescent="0.25">
      <c r="A111" s="115"/>
      <c r="B111" s="113"/>
      <c r="C111" s="221" t="s">
        <v>5237</v>
      </c>
      <c r="D111" s="717"/>
      <c r="E111" s="717"/>
      <c r="F111" s="716"/>
    </row>
    <row r="112" spans="1:6" ht="15.75" x14ac:dyDescent="0.25">
      <c r="A112" s="115"/>
      <c r="B112" s="113"/>
      <c r="C112" s="221" t="s">
        <v>5320</v>
      </c>
      <c r="D112" s="717"/>
      <c r="E112" s="717"/>
      <c r="F112" s="716"/>
    </row>
    <row r="113" spans="1:6" ht="15.75" x14ac:dyDescent="0.25">
      <c r="A113" s="115"/>
      <c r="B113" s="113"/>
      <c r="C113" s="221" t="s">
        <v>3864</v>
      </c>
      <c r="D113" s="717"/>
      <c r="E113" s="717"/>
      <c r="F113" s="716"/>
    </row>
    <row r="114" spans="1:6" ht="15.75" x14ac:dyDescent="0.25">
      <c r="A114" s="115"/>
      <c r="B114" s="113"/>
      <c r="C114" s="221" t="s">
        <v>3865</v>
      </c>
      <c r="D114" s="717">
        <v>13400000</v>
      </c>
      <c r="E114" s="717">
        <v>12978512.199999999</v>
      </c>
      <c r="F114" s="716">
        <f t="shared" si="1"/>
        <v>96.85456865671641</v>
      </c>
    </row>
    <row r="115" spans="1:6" ht="15.75" x14ac:dyDescent="0.25">
      <c r="A115" s="115"/>
      <c r="B115" s="113"/>
      <c r="C115" s="221" t="s">
        <v>3866</v>
      </c>
      <c r="D115" s="717"/>
      <c r="E115" s="717"/>
      <c r="F115" s="716"/>
    </row>
    <row r="116" spans="1:6" ht="15.75" x14ac:dyDescent="0.25">
      <c r="A116" s="115"/>
      <c r="B116" s="113"/>
      <c r="C116" s="221" t="s">
        <v>3867</v>
      </c>
      <c r="D116" s="717"/>
      <c r="E116" s="717"/>
      <c r="F116" s="716"/>
    </row>
    <row r="117" spans="1:6" ht="15.75" x14ac:dyDescent="0.25">
      <c r="A117" s="115"/>
      <c r="B117" s="113"/>
      <c r="C117" s="220" t="s">
        <v>5089</v>
      </c>
      <c r="D117" s="717">
        <v>2500000</v>
      </c>
      <c r="E117" s="717"/>
      <c r="F117" s="716">
        <f t="shared" si="1"/>
        <v>0</v>
      </c>
    </row>
    <row r="118" spans="1:6" ht="18" customHeight="1" x14ac:dyDescent="0.25">
      <c r="A118" s="115"/>
      <c r="B118" s="111">
        <v>13</v>
      </c>
      <c r="C118" s="282" t="s">
        <v>5180</v>
      </c>
      <c r="D118" s="716">
        <f>SUM(D123:D126)</f>
        <v>8900000</v>
      </c>
      <c r="E118" s="716">
        <f>SUM(E123:E126)</f>
        <v>7893567.5</v>
      </c>
      <c r="F118" s="716">
        <f t="shared" si="1"/>
        <v>88.691769662921345</v>
      </c>
    </row>
    <row r="119" spans="1:6" ht="15.75" x14ac:dyDescent="0.25">
      <c r="A119" s="115"/>
      <c r="B119" s="111"/>
      <c r="C119" s="221" t="s">
        <v>5243</v>
      </c>
      <c r="D119" s="716"/>
      <c r="E119" s="716"/>
      <c r="F119" s="716"/>
    </row>
    <row r="120" spans="1:6" ht="18" customHeight="1" x14ac:dyDescent="0.25">
      <c r="A120" s="115"/>
      <c r="B120" s="111"/>
      <c r="C120" s="221" t="s">
        <v>5237</v>
      </c>
      <c r="D120" s="717"/>
      <c r="E120" s="716"/>
      <c r="F120" s="716"/>
    </row>
    <row r="121" spans="1:6" ht="15.75" x14ac:dyDescent="0.25">
      <c r="A121" s="115"/>
      <c r="B121" s="111"/>
      <c r="C121" s="221" t="s">
        <v>5255</v>
      </c>
      <c r="D121" s="717"/>
      <c r="E121" s="716"/>
      <c r="F121" s="716"/>
    </row>
    <row r="122" spans="1:6" ht="15.75" x14ac:dyDescent="0.25">
      <c r="A122" s="115"/>
      <c r="B122" s="111"/>
      <c r="C122" s="221" t="s">
        <v>3864</v>
      </c>
      <c r="D122" s="717"/>
      <c r="E122" s="716"/>
      <c r="F122" s="716"/>
    </row>
    <row r="123" spans="1:6" ht="15.75" x14ac:dyDescent="0.25">
      <c r="A123" s="115"/>
      <c r="B123" s="111"/>
      <c r="C123" s="221" t="s">
        <v>3865</v>
      </c>
      <c r="D123" s="717">
        <v>8900000</v>
      </c>
      <c r="E123" s="718">
        <v>7893567.5</v>
      </c>
      <c r="F123" s="716">
        <f t="shared" si="1"/>
        <v>88.691769662921345</v>
      </c>
    </row>
    <row r="124" spans="1:6" ht="15.75" x14ac:dyDescent="0.25">
      <c r="A124" s="115"/>
      <c r="B124" s="111"/>
      <c r="C124" s="221" t="s">
        <v>3866</v>
      </c>
      <c r="D124" s="717"/>
      <c r="E124" s="716"/>
      <c r="F124" s="716"/>
    </row>
    <row r="125" spans="1:6" ht="20.25" customHeight="1" x14ac:dyDescent="0.25">
      <c r="A125" s="115"/>
      <c r="B125" s="111"/>
      <c r="C125" s="221" t="s">
        <v>3867</v>
      </c>
      <c r="D125" s="717"/>
      <c r="E125" s="716"/>
      <c r="F125" s="716"/>
    </row>
    <row r="126" spans="1:6" ht="18.75" customHeight="1" x14ac:dyDescent="0.25">
      <c r="A126" s="115"/>
      <c r="B126" s="216"/>
      <c r="C126" s="220" t="s">
        <v>5089</v>
      </c>
      <c r="D126" s="716"/>
      <c r="E126" s="716"/>
      <c r="F126" s="716"/>
    </row>
    <row r="127" spans="1:6" ht="33" customHeight="1" x14ac:dyDescent="0.25">
      <c r="A127" s="115"/>
      <c r="B127" s="111">
        <v>14</v>
      </c>
      <c r="C127" s="282" t="s">
        <v>5181</v>
      </c>
      <c r="D127" s="716">
        <f>SUM(D132:D135)</f>
        <v>8500000</v>
      </c>
      <c r="E127" s="716">
        <f>SUM(E132:E135)</f>
        <v>7175062.0999999996</v>
      </c>
      <c r="F127" s="716">
        <f t="shared" si="1"/>
        <v>84.412495294117633</v>
      </c>
    </row>
    <row r="128" spans="1:6" ht="15.75" x14ac:dyDescent="0.25">
      <c r="A128" s="115"/>
      <c r="B128" s="113"/>
      <c r="C128" s="221" t="s">
        <v>5243</v>
      </c>
      <c r="D128" s="717"/>
      <c r="E128" s="717"/>
      <c r="F128" s="716"/>
    </row>
    <row r="129" spans="1:6" ht="15.75" x14ac:dyDescent="0.25">
      <c r="A129" s="115"/>
      <c r="B129" s="113"/>
      <c r="C129" s="221" t="s">
        <v>5237</v>
      </c>
      <c r="D129" s="717"/>
      <c r="E129" s="717"/>
      <c r="F129" s="716"/>
    </row>
    <row r="130" spans="1:6" ht="15.75" x14ac:dyDescent="0.25">
      <c r="A130" s="115"/>
      <c r="B130" s="113"/>
      <c r="C130" s="221" t="s">
        <v>5256</v>
      </c>
      <c r="D130" s="717"/>
      <c r="E130" s="717"/>
      <c r="F130" s="716"/>
    </row>
    <row r="131" spans="1:6" ht="15.75" x14ac:dyDescent="0.25">
      <c r="A131" s="115"/>
      <c r="B131" s="113"/>
      <c r="C131" s="221" t="s">
        <v>3864</v>
      </c>
      <c r="D131" s="717"/>
      <c r="E131" s="717"/>
      <c r="F131" s="716"/>
    </row>
    <row r="132" spans="1:6" ht="15.75" x14ac:dyDescent="0.25">
      <c r="A132" s="115"/>
      <c r="B132" s="113"/>
      <c r="C132" s="221" t="s">
        <v>3865</v>
      </c>
      <c r="D132" s="717">
        <v>8500000</v>
      </c>
      <c r="E132" s="717">
        <v>7175062.0999999996</v>
      </c>
      <c r="F132" s="716">
        <f t="shared" si="1"/>
        <v>84.412495294117633</v>
      </c>
    </row>
    <row r="133" spans="1:6" ht="15.75" x14ac:dyDescent="0.25">
      <c r="A133" s="115"/>
      <c r="B133" s="113"/>
      <c r="C133" s="221" t="s">
        <v>3866</v>
      </c>
      <c r="D133" s="717"/>
      <c r="E133" s="717"/>
      <c r="F133" s="716"/>
    </row>
    <row r="134" spans="1:6" ht="18.75" customHeight="1" x14ac:dyDescent="0.25">
      <c r="A134" s="115"/>
      <c r="B134" s="113"/>
      <c r="C134" s="221" t="s">
        <v>3867</v>
      </c>
      <c r="D134" s="717"/>
      <c r="E134" s="717"/>
      <c r="F134" s="716"/>
    </row>
    <row r="135" spans="1:6" ht="19.5" customHeight="1" x14ac:dyDescent="0.25">
      <c r="A135" s="115"/>
      <c r="B135" s="113"/>
      <c r="C135" s="221" t="s">
        <v>3868</v>
      </c>
      <c r="D135" s="717"/>
      <c r="E135" s="717"/>
      <c r="F135" s="716"/>
    </row>
    <row r="136" spans="1:6" ht="18.75" customHeight="1" x14ac:dyDescent="0.25">
      <c r="A136" s="115"/>
      <c r="B136" s="113"/>
      <c r="C136" s="220" t="s">
        <v>5089</v>
      </c>
      <c r="D136" s="717"/>
      <c r="E136" s="717"/>
      <c r="F136" s="716"/>
    </row>
    <row r="137" spans="1:6" ht="30" customHeight="1" x14ac:dyDescent="0.25">
      <c r="A137" s="115"/>
      <c r="B137" s="111">
        <v>15</v>
      </c>
      <c r="C137" s="282" t="s">
        <v>5258</v>
      </c>
      <c r="D137" s="716">
        <f>SUM(D142:D145)</f>
        <v>2200000</v>
      </c>
      <c r="E137" s="716">
        <f>SUM(E142:E145)</f>
        <v>2136708</v>
      </c>
      <c r="F137" s="716">
        <f t="shared" si="1"/>
        <v>97.123090909090919</v>
      </c>
    </row>
    <row r="138" spans="1:6" ht="15.75" x14ac:dyDescent="0.25">
      <c r="A138" s="115"/>
      <c r="B138" s="113"/>
      <c r="C138" s="221" t="s">
        <v>5243</v>
      </c>
      <c r="D138" s="717"/>
      <c r="E138" s="717"/>
      <c r="F138" s="716"/>
    </row>
    <row r="139" spans="1:6" ht="15.75" x14ac:dyDescent="0.25">
      <c r="A139" s="115"/>
      <c r="B139" s="113"/>
      <c r="C139" s="221" t="s">
        <v>5257</v>
      </c>
      <c r="D139" s="717"/>
      <c r="E139" s="717"/>
      <c r="F139" s="716"/>
    </row>
    <row r="140" spans="1:6" ht="15.75" x14ac:dyDescent="0.25">
      <c r="A140" s="115"/>
      <c r="B140" s="113"/>
      <c r="C140" s="221" t="s">
        <v>5259</v>
      </c>
      <c r="D140" s="717"/>
      <c r="E140" s="717"/>
      <c r="F140" s="716"/>
    </row>
    <row r="141" spans="1:6" ht="15.75" x14ac:dyDescent="0.25">
      <c r="A141" s="115"/>
      <c r="B141" s="113"/>
      <c r="C141" s="221" t="s">
        <v>3864</v>
      </c>
      <c r="D141" s="717"/>
      <c r="E141" s="717"/>
      <c r="F141" s="716"/>
    </row>
    <row r="142" spans="1:6" ht="15.75" x14ac:dyDescent="0.25">
      <c r="A142" s="115"/>
      <c r="B142" s="113"/>
      <c r="C142" s="221" t="s">
        <v>3865</v>
      </c>
      <c r="D142" s="717">
        <v>2200000</v>
      </c>
      <c r="E142" s="717">
        <v>2136708</v>
      </c>
      <c r="F142" s="716">
        <f t="shared" ref="F142:F200" si="2">SUM(E142/D142)*100</f>
        <v>97.123090909090919</v>
      </c>
    </row>
    <row r="143" spans="1:6" ht="15.75" x14ac:dyDescent="0.25">
      <c r="A143" s="115"/>
      <c r="B143" s="113"/>
      <c r="C143" s="221" t="s">
        <v>3866</v>
      </c>
      <c r="D143" s="717"/>
      <c r="E143" s="717"/>
      <c r="F143" s="716"/>
    </row>
    <row r="144" spans="1:6" ht="15.75" x14ac:dyDescent="0.25">
      <c r="A144" s="115"/>
      <c r="B144" s="113"/>
      <c r="C144" s="221" t="s">
        <v>3867</v>
      </c>
      <c r="D144" s="717"/>
      <c r="E144" s="717"/>
      <c r="F144" s="716"/>
    </row>
    <row r="145" spans="1:6" ht="15.75" x14ac:dyDescent="0.25">
      <c r="A145" s="115"/>
      <c r="B145" s="113"/>
      <c r="C145" s="222" t="s">
        <v>5089</v>
      </c>
      <c r="D145" s="717"/>
      <c r="E145" s="717"/>
      <c r="F145" s="716"/>
    </row>
    <row r="146" spans="1:6" ht="15.75" x14ac:dyDescent="0.25">
      <c r="A146" s="115"/>
      <c r="B146" s="279">
        <v>16</v>
      </c>
      <c r="C146" s="218" t="s">
        <v>5260</v>
      </c>
      <c r="D146" s="716">
        <f>SUM(D151:D154)</f>
        <v>0</v>
      </c>
      <c r="E146" s="716">
        <f>SUM(E151:E154)</f>
        <v>0</v>
      </c>
      <c r="F146" s="716"/>
    </row>
    <row r="147" spans="1:6" ht="15.75" x14ac:dyDescent="0.25">
      <c r="A147" s="115"/>
      <c r="B147" s="113"/>
      <c r="C147" s="221" t="s">
        <v>5263</v>
      </c>
      <c r="D147" s="717"/>
      <c r="E147" s="717"/>
      <c r="F147" s="716"/>
    </row>
    <row r="148" spans="1:6" ht="15.75" x14ac:dyDescent="0.25">
      <c r="A148" s="115"/>
      <c r="B148" s="113"/>
      <c r="C148" s="221" t="s">
        <v>5257</v>
      </c>
      <c r="D148" s="717"/>
      <c r="E148" s="717"/>
      <c r="F148" s="716"/>
    </row>
    <row r="149" spans="1:6" ht="15.75" x14ac:dyDescent="0.25">
      <c r="A149" s="115"/>
      <c r="B149" s="113"/>
      <c r="C149" s="221" t="s">
        <v>5261</v>
      </c>
      <c r="D149" s="717"/>
      <c r="E149" s="717"/>
      <c r="F149" s="716"/>
    </row>
    <row r="150" spans="1:6" ht="15.75" x14ac:dyDescent="0.25">
      <c r="A150" s="115"/>
      <c r="B150" s="113"/>
      <c r="C150" s="221" t="s">
        <v>3864</v>
      </c>
      <c r="D150" s="717"/>
      <c r="E150" s="717"/>
      <c r="F150" s="716"/>
    </row>
    <row r="151" spans="1:6" ht="15.75" x14ac:dyDescent="0.25">
      <c r="A151" s="115"/>
      <c r="B151" s="113"/>
      <c r="C151" s="221" t="s">
        <v>3865</v>
      </c>
      <c r="D151" s="717"/>
      <c r="E151" s="717"/>
      <c r="F151" s="716"/>
    </row>
    <row r="152" spans="1:6" ht="15.75" x14ac:dyDescent="0.25">
      <c r="A152" s="115"/>
      <c r="B152" s="113"/>
      <c r="C152" s="221" t="s">
        <v>3866</v>
      </c>
      <c r="D152" s="717"/>
      <c r="E152" s="717"/>
      <c r="F152" s="716"/>
    </row>
    <row r="153" spans="1:6" ht="15.75" x14ac:dyDescent="0.25">
      <c r="A153" s="115"/>
      <c r="B153" s="113"/>
      <c r="C153" s="221" t="s">
        <v>3867</v>
      </c>
      <c r="D153" s="717"/>
      <c r="E153" s="717"/>
      <c r="F153" s="716"/>
    </row>
    <row r="154" spans="1:6" ht="15.75" x14ac:dyDescent="0.25">
      <c r="A154" s="115"/>
      <c r="B154" s="113"/>
      <c r="C154" s="222" t="s">
        <v>5089</v>
      </c>
      <c r="D154" s="717"/>
      <c r="E154" s="717"/>
      <c r="F154" s="716"/>
    </row>
    <row r="155" spans="1:6" ht="30" customHeight="1" x14ac:dyDescent="0.25">
      <c r="A155" s="115"/>
      <c r="B155" s="279">
        <v>17</v>
      </c>
      <c r="C155" s="284" t="s">
        <v>5262</v>
      </c>
      <c r="D155" s="716">
        <f>SUM(D160:D163)</f>
        <v>0</v>
      </c>
      <c r="E155" s="716">
        <f>SUM(E160:E163)</f>
        <v>0</v>
      </c>
      <c r="F155" s="716"/>
    </row>
    <row r="156" spans="1:6" ht="21" customHeight="1" x14ac:dyDescent="0.25">
      <c r="A156" s="115"/>
      <c r="B156" s="113"/>
      <c r="C156" s="221" t="s">
        <v>5263</v>
      </c>
      <c r="D156" s="717"/>
      <c r="E156" s="717"/>
      <c r="F156" s="716"/>
    </row>
    <row r="157" spans="1:6" ht="18" customHeight="1" x14ac:dyDescent="0.25">
      <c r="A157" s="115"/>
      <c r="B157" s="113"/>
      <c r="C157" s="221" t="s">
        <v>5264</v>
      </c>
      <c r="D157" s="717"/>
      <c r="E157" s="717"/>
      <c r="F157" s="716"/>
    </row>
    <row r="158" spans="1:6" ht="19.5" customHeight="1" x14ac:dyDescent="0.25">
      <c r="A158" s="115"/>
      <c r="B158" s="113"/>
      <c r="C158" s="221" t="s">
        <v>5265</v>
      </c>
      <c r="D158" s="717"/>
      <c r="E158" s="717"/>
      <c r="F158" s="716"/>
    </row>
    <row r="159" spans="1:6" ht="21" customHeight="1" x14ac:dyDescent="0.25">
      <c r="A159" s="115"/>
      <c r="B159" s="113"/>
      <c r="C159" s="221" t="s">
        <v>3864</v>
      </c>
      <c r="D159" s="717"/>
      <c r="E159" s="717"/>
      <c r="F159" s="716"/>
    </row>
    <row r="160" spans="1:6" ht="18.75" customHeight="1" x14ac:dyDescent="0.25">
      <c r="A160" s="115"/>
      <c r="B160" s="113"/>
      <c r="C160" s="221" t="s">
        <v>3865</v>
      </c>
      <c r="D160" s="717"/>
      <c r="E160" s="717"/>
      <c r="F160" s="716"/>
    </row>
    <row r="161" spans="1:6" ht="20.25" customHeight="1" x14ac:dyDescent="0.25">
      <c r="A161" s="115"/>
      <c r="B161" s="113"/>
      <c r="C161" s="221" t="s">
        <v>3866</v>
      </c>
      <c r="D161" s="717"/>
      <c r="E161" s="717"/>
      <c r="F161" s="716"/>
    </row>
    <row r="162" spans="1:6" ht="18.75" customHeight="1" x14ac:dyDescent="0.25">
      <c r="A162" s="115"/>
      <c r="B162" s="113"/>
      <c r="C162" s="221" t="s">
        <v>3867</v>
      </c>
      <c r="D162" s="717"/>
      <c r="E162" s="717"/>
      <c r="F162" s="716"/>
    </row>
    <row r="163" spans="1:6" ht="28.5" customHeight="1" x14ac:dyDescent="0.25">
      <c r="A163" s="115"/>
      <c r="B163" s="113"/>
      <c r="C163" s="222" t="s">
        <v>5089</v>
      </c>
      <c r="D163" s="717"/>
      <c r="E163" s="717"/>
      <c r="F163" s="716"/>
    </row>
    <row r="164" spans="1:6" ht="28.5" customHeight="1" x14ac:dyDescent="0.25">
      <c r="A164" s="115"/>
      <c r="B164" s="279">
        <v>18</v>
      </c>
      <c r="C164" s="283" t="s">
        <v>5266</v>
      </c>
      <c r="D164" s="716">
        <f>SUM(D169:D172)</f>
        <v>0</v>
      </c>
      <c r="E164" s="716">
        <f>SUM(E169:E172)</f>
        <v>0</v>
      </c>
      <c r="F164" s="716"/>
    </row>
    <row r="165" spans="1:6" ht="15.75" x14ac:dyDescent="0.25">
      <c r="A165" s="115"/>
      <c r="B165" s="113"/>
      <c r="C165" s="221" t="s">
        <v>5263</v>
      </c>
      <c r="D165" s="717"/>
      <c r="E165" s="717"/>
      <c r="F165" s="716"/>
    </row>
    <row r="166" spans="1:6" ht="15.75" x14ac:dyDescent="0.25">
      <c r="A166" s="115"/>
      <c r="B166" s="113"/>
      <c r="C166" s="221" t="s">
        <v>5264</v>
      </c>
      <c r="D166" s="717"/>
      <c r="E166" s="717"/>
      <c r="F166" s="716"/>
    </row>
    <row r="167" spans="1:6" ht="15.75" x14ac:dyDescent="0.25">
      <c r="A167" s="115"/>
      <c r="B167" s="113"/>
      <c r="C167" s="221" t="s">
        <v>5267</v>
      </c>
      <c r="D167" s="717"/>
      <c r="E167" s="717"/>
      <c r="F167" s="716"/>
    </row>
    <row r="168" spans="1:6" ht="15.75" x14ac:dyDescent="0.25">
      <c r="A168" s="115"/>
      <c r="B168" s="113"/>
      <c r="C168" s="221" t="s">
        <v>3864</v>
      </c>
      <c r="D168" s="717"/>
      <c r="E168" s="717"/>
      <c r="F168" s="716"/>
    </row>
    <row r="169" spans="1:6" ht="15.75" x14ac:dyDescent="0.25">
      <c r="A169" s="115"/>
      <c r="B169" s="113"/>
      <c r="C169" s="221" t="s">
        <v>3865</v>
      </c>
      <c r="D169" s="717"/>
      <c r="E169" s="717"/>
      <c r="F169" s="716"/>
    </row>
    <row r="170" spans="1:6" ht="15.75" x14ac:dyDescent="0.25">
      <c r="A170" s="115"/>
      <c r="B170" s="113"/>
      <c r="C170" s="221" t="s">
        <v>3866</v>
      </c>
      <c r="D170" s="717"/>
      <c r="E170" s="717"/>
      <c r="F170" s="716"/>
    </row>
    <row r="171" spans="1:6" ht="15.75" x14ac:dyDescent="0.25">
      <c r="A171" s="115"/>
      <c r="B171" s="113"/>
      <c r="C171" s="221" t="s">
        <v>3867</v>
      </c>
      <c r="D171" s="717"/>
      <c r="E171" s="717"/>
      <c r="F171" s="716"/>
    </row>
    <row r="172" spans="1:6" ht="15.75" x14ac:dyDescent="0.25">
      <c r="A172" s="115"/>
      <c r="B172" s="113"/>
      <c r="C172" s="222" t="s">
        <v>5089</v>
      </c>
      <c r="D172" s="717"/>
      <c r="E172" s="717"/>
      <c r="F172" s="716"/>
    </row>
    <row r="173" spans="1:6" ht="31.5" x14ac:dyDescent="0.25">
      <c r="A173" s="115"/>
      <c r="B173" s="279">
        <v>19</v>
      </c>
      <c r="C173" s="283" t="s">
        <v>5268</v>
      </c>
      <c r="D173" s="716">
        <f>SUM(D178:D181)</f>
        <v>0</v>
      </c>
      <c r="E173" s="716">
        <f>SUM(E178:E181)</f>
        <v>0</v>
      </c>
      <c r="F173" s="716"/>
    </row>
    <row r="174" spans="1:6" ht="15.75" x14ac:dyDescent="0.25">
      <c r="A174" s="115"/>
      <c r="B174" s="113"/>
      <c r="C174" s="221" t="s">
        <v>5263</v>
      </c>
      <c r="D174" s="717"/>
      <c r="E174" s="717"/>
      <c r="F174" s="716"/>
    </row>
    <row r="175" spans="1:6" ht="15.75" x14ac:dyDescent="0.25">
      <c r="A175" s="115"/>
      <c r="B175" s="113"/>
      <c r="C175" s="221" t="s">
        <v>5264</v>
      </c>
      <c r="D175" s="717"/>
      <c r="E175" s="717"/>
      <c r="F175" s="716"/>
    </row>
    <row r="176" spans="1:6" ht="15.75" x14ac:dyDescent="0.25">
      <c r="A176" s="115"/>
      <c r="B176" s="113"/>
      <c r="C176" s="221" t="s">
        <v>5269</v>
      </c>
      <c r="D176" s="717"/>
      <c r="E176" s="717"/>
      <c r="F176" s="716"/>
    </row>
    <row r="177" spans="1:6" ht="15.75" x14ac:dyDescent="0.25">
      <c r="A177" s="115"/>
      <c r="B177" s="113"/>
      <c r="C177" s="221" t="s">
        <v>3864</v>
      </c>
      <c r="D177" s="717"/>
      <c r="E177" s="717"/>
      <c r="F177" s="716"/>
    </row>
    <row r="178" spans="1:6" ht="15.75" x14ac:dyDescent="0.25">
      <c r="A178" s="115"/>
      <c r="B178" s="113"/>
      <c r="C178" s="221" t="s">
        <v>3865</v>
      </c>
      <c r="D178" s="717"/>
      <c r="E178" s="717"/>
      <c r="F178" s="716"/>
    </row>
    <row r="179" spans="1:6" ht="15.75" x14ac:dyDescent="0.25">
      <c r="A179" s="115"/>
      <c r="B179" s="113"/>
      <c r="C179" s="221" t="s">
        <v>3866</v>
      </c>
      <c r="D179" s="717"/>
      <c r="E179" s="717"/>
      <c r="F179" s="716"/>
    </row>
    <row r="180" spans="1:6" ht="15.75" x14ac:dyDescent="0.25">
      <c r="A180" s="115"/>
      <c r="B180" s="113"/>
      <c r="C180" s="221" t="s">
        <v>3867</v>
      </c>
      <c r="D180" s="717"/>
      <c r="E180" s="717"/>
      <c r="F180" s="716"/>
    </row>
    <row r="181" spans="1:6" ht="15.75" x14ac:dyDescent="0.25">
      <c r="A181" s="115"/>
      <c r="B181" s="113"/>
      <c r="C181" s="222" t="s">
        <v>5089</v>
      </c>
      <c r="D181" s="717"/>
      <c r="E181" s="717"/>
      <c r="F181" s="716"/>
    </row>
    <row r="182" spans="1:6" ht="31.5" x14ac:dyDescent="0.25">
      <c r="A182" s="115"/>
      <c r="B182" s="279">
        <v>20</v>
      </c>
      <c r="C182" s="283" t="s">
        <v>5270</v>
      </c>
      <c r="D182" s="716">
        <f>SUM(D187:D190)</f>
        <v>0</v>
      </c>
      <c r="E182" s="716">
        <f>SUM(E187:E190)</f>
        <v>0</v>
      </c>
      <c r="F182" s="716"/>
    </row>
    <row r="183" spans="1:6" ht="15.75" x14ac:dyDescent="0.25">
      <c r="A183" s="115"/>
      <c r="B183" s="113"/>
      <c r="C183" s="221" t="s">
        <v>5263</v>
      </c>
      <c r="D183" s="717"/>
      <c r="E183" s="717"/>
      <c r="F183" s="716"/>
    </row>
    <row r="184" spans="1:6" ht="15.75" x14ac:dyDescent="0.25">
      <c r="A184" s="115"/>
      <c r="B184" s="113"/>
      <c r="C184" s="221" t="s">
        <v>5257</v>
      </c>
      <c r="D184" s="717"/>
      <c r="E184" s="717"/>
      <c r="F184" s="716"/>
    </row>
    <row r="185" spans="1:6" ht="18.75" customHeight="1" x14ac:dyDescent="0.25">
      <c r="A185" s="115"/>
      <c r="B185" s="113"/>
      <c r="C185" s="221" t="s">
        <v>5271</v>
      </c>
      <c r="D185" s="717"/>
      <c r="E185" s="717"/>
      <c r="F185" s="716"/>
    </row>
    <row r="186" spans="1:6" ht="19.5" customHeight="1" x14ac:dyDescent="0.25">
      <c r="A186" s="115"/>
      <c r="B186" s="113"/>
      <c r="C186" s="221" t="s">
        <v>3864</v>
      </c>
      <c r="D186" s="717"/>
      <c r="E186" s="717"/>
      <c r="F186" s="716"/>
    </row>
    <row r="187" spans="1:6" ht="19.5" customHeight="1" x14ac:dyDescent="0.25">
      <c r="A187" s="115"/>
      <c r="B187" s="113"/>
      <c r="C187" s="221" t="s">
        <v>3865</v>
      </c>
      <c r="D187" s="717"/>
      <c r="E187" s="717"/>
      <c r="F187" s="716"/>
    </row>
    <row r="188" spans="1:6" ht="19.5" customHeight="1" x14ac:dyDescent="0.25">
      <c r="A188" s="115"/>
      <c r="B188" s="113"/>
      <c r="C188" s="221" t="s">
        <v>3866</v>
      </c>
      <c r="D188" s="717"/>
      <c r="E188" s="717"/>
      <c r="F188" s="716"/>
    </row>
    <row r="189" spans="1:6" ht="18" customHeight="1" x14ac:dyDescent="0.25">
      <c r="A189" s="115"/>
      <c r="B189" s="113"/>
      <c r="C189" s="221" t="s">
        <v>3867</v>
      </c>
      <c r="D189" s="717"/>
      <c r="E189" s="717"/>
      <c r="F189" s="716"/>
    </row>
    <row r="190" spans="1:6" ht="20.25" customHeight="1" x14ac:dyDescent="0.25">
      <c r="A190" s="115"/>
      <c r="B190" s="113"/>
      <c r="C190" s="222" t="s">
        <v>5089</v>
      </c>
      <c r="D190" s="717"/>
      <c r="E190" s="717"/>
      <c r="F190" s="716"/>
    </row>
    <row r="191" spans="1:6" ht="31.5" x14ac:dyDescent="0.25">
      <c r="A191" s="115"/>
      <c r="B191" s="279">
        <v>21</v>
      </c>
      <c r="C191" s="283" t="s">
        <v>5297</v>
      </c>
      <c r="D191" s="716">
        <f>SUM(D196:D199)</f>
        <v>0</v>
      </c>
      <c r="E191" s="716">
        <f>SUM(E196:E199)</f>
        <v>0</v>
      </c>
      <c r="F191" s="716"/>
    </row>
    <row r="192" spans="1:6" ht="15.75" x14ac:dyDescent="0.25">
      <c r="A192" s="115"/>
      <c r="B192" s="113"/>
      <c r="C192" s="221" t="s">
        <v>5263</v>
      </c>
      <c r="D192" s="717"/>
      <c r="E192" s="717"/>
      <c r="F192" s="716"/>
    </row>
    <row r="193" spans="1:6" ht="15.75" x14ac:dyDescent="0.25">
      <c r="A193" s="115"/>
      <c r="B193" s="113"/>
      <c r="C193" s="221" t="s">
        <v>5257</v>
      </c>
      <c r="D193" s="717"/>
      <c r="E193" s="717"/>
      <c r="F193" s="716"/>
    </row>
    <row r="194" spans="1:6" ht="15.75" x14ac:dyDescent="0.25">
      <c r="A194" s="115"/>
      <c r="B194" s="113"/>
      <c r="C194" s="221" t="s">
        <v>5321</v>
      </c>
      <c r="D194" s="717"/>
      <c r="E194" s="717"/>
      <c r="F194" s="716"/>
    </row>
    <row r="195" spans="1:6" ht="15.75" x14ac:dyDescent="0.25">
      <c r="A195" s="115"/>
      <c r="B195" s="113"/>
      <c r="C195" s="221" t="s">
        <v>3864</v>
      </c>
      <c r="D195" s="717"/>
      <c r="E195" s="717"/>
      <c r="F195" s="716"/>
    </row>
    <row r="196" spans="1:6" ht="15.75" x14ac:dyDescent="0.25">
      <c r="A196" s="115"/>
      <c r="B196" s="113"/>
      <c r="C196" s="221" t="s">
        <v>3865</v>
      </c>
      <c r="D196" s="717"/>
      <c r="E196" s="717"/>
      <c r="F196" s="716"/>
    </row>
    <row r="197" spans="1:6" ht="0.75" customHeight="1" x14ac:dyDescent="0.25">
      <c r="A197" s="115"/>
      <c r="B197" s="113"/>
      <c r="C197" s="221" t="s">
        <v>3866</v>
      </c>
      <c r="D197" s="717"/>
      <c r="E197" s="717"/>
      <c r="F197" s="716"/>
    </row>
    <row r="198" spans="1:6" ht="15.75" x14ac:dyDescent="0.25">
      <c r="A198" s="115"/>
      <c r="B198" s="113"/>
      <c r="C198" s="221" t="s">
        <v>3867</v>
      </c>
      <c r="D198" s="717"/>
      <c r="E198" s="717"/>
      <c r="F198" s="716"/>
    </row>
    <row r="199" spans="1:6" ht="15.75" hidden="1" x14ac:dyDescent="0.25">
      <c r="A199" s="115"/>
      <c r="B199" s="113"/>
      <c r="C199" s="222" t="s">
        <v>5089</v>
      </c>
      <c r="D199" s="717"/>
      <c r="E199" s="717"/>
      <c r="F199" s="716" t="e">
        <f t="shared" si="2"/>
        <v>#DIV/0!</v>
      </c>
    </row>
    <row r="200" spans="1:6" ht="15.75" x14ac:dyDescent="0.25">
      <c r="A200" s="115"/>
      <c r="B200" s="325">
        <v>22</v>
      </c>
      <c r="C200" s="283" t="s">
        <v>5323</v>
      </c>
      <c r="D200" s="716">
        <f>SUM(D205:D208)</f>
        <v>2800000</v>
      </c>
      <c r="E200" s="716">
        <f>SUM(E205:E208)</f>
        <v>2049380.82</v>
      </c>
      <c r="F200" s="716">
        <f t="shared" si="2"/>
        <v>73.192172142857146</v>
      </c>
    </row>
    <row r="201" spans="1:6" ht="15.75" x14ac:dyDescent="0.25">
      <c r="A201" s="115"/>
      <c r="B201" s="113"/>
      <c r="C201" s="221" t="s">
        <v>5243</v>
      </c>
      <c r="D201" s="717"/>
      <c r="E201" s="717"/>
      <c r="F201" s="716"/>
    </row>
    <row r="202" spans="1:6" ht="15.75" x14ac:dyDescent="0.25">
      <c r="A202" s="115"/>
      <c r="B202" s="113"/>
      <c r="C202" s="221" t="s">
        <v>5237</v>
      </c>
      <c r="D202" s="717"/>
      <c r="E202" s="717"/>
      <c r="F202" s="716"/>
    </row>
    <row r="203" spans="1:6" ht="15.75" x14ac:dyDescent="0.25">
      <c r="A203" s="115"/>
      <c r="B203" s="113"/>
      <c r="C203" s="221" t="s">
        <v>5335</v>
      </c>
      <c r="D203" s="717"/>
      <c r="E203" s="717"/>
      <c r="F203" s="716"/>
    </row>
    <row r="204" spans="1:6" ht="15.75" x14ac:dyDescent="0.25">
      <c r="A204" s="115"/>
      <c r="B204" s="113"/>
      <c r="C204" s="221" t="s">
        <v>3864</v>
      </c>
      <c r="D204" s="717"/>
      <c r="E204" s="717"/>
      <c r="F204" s="716"/>
    </row>
    <row r="205" spans="1:6" ht="15.75" x14ac:dyDescent="0.25">
      <c r="A205" s="115"/>
      <c r="B205" s="113"/>
      <c r="C205" s="221" t="s">
        <v>3865</v>
      </c>
      <c r="D205" s="717">
        <v>1300000</v>
      </c>
      <c r="E205" s="717">
        <v>952257</v>
      </c>
      <c r="F205" s="716">
        <f t="shared" ref="F205:F207" si="3">SUM(E205/D205)*100</f>
        <v>73.250538461538468</v>
      </c>
    </row>
    <row r="206" spans="1:6" ht="15.75" x14ac:dyDescent="0.25">
      <c r="A206" s="115"/>
      <c r="B206" s="113"/>
      <c r="C206" s="221" t="s">
        <v>3866</v>
      </c>
      <c r="D206" s="717"/>
      <c r="E206" s="717"/>
      <c r="F206" s="716"/>
    </row>
    <row r="207" spans="1:6" ht="15.75" x14ac:dyDescent="0.25">
      <c r="A207" s="115"/>
      <c r="B207" s="113"/>
      <c r="C207" s="221" t="s">
        <v>3867</v>
      </c>
      <c r="D207" s="717">
        <v>1500000</v>
      </c>
      <c r="E207" s="717">
        <v>1097123.82</v>
      </c>
      <c r="F207" s="716">
        <f t="shared" si="3"/>
        <v>73.141587999999999</v>
      </c>
    </row>
    <row r="208" spans="1:6" ht="15.75" x14ac:dyDescent="0.25">
      <c r="A208" s="115"/>
      <c r="B208" s="113"/>
      <c r="C208" s="222" t="s">
        <v>5089</v>
      </c>
      <c r="D208" s="717"/>
      <c r="E208" s="717"/>
      <c r="F208" s="717"/>
    </row>
    <row r="209" spans="1:6" ht="15.75" x14ac:dyDescent="0.25">
      <c r="A209" s="115"/>
      <c r="B209" s="325">
        <v>23</v>
      </c>
      <c r="C209" s="283" t="s">
        <v>5299</v>
      </c>
      <c r="D209" s="716">
        <f>SUM(D214:D217)</f>
        <v>0</v>
      </c>
      <c r="E209" s="716">
        <f>SUM(E214:E217)</f>
        <v>0</v>
      </c>
      <c r="F209" s="716">
        <f>SUM(F214:F217)</f>
        <v>0</v>
      </c>
    </row>
    <row r="210" spans="1:6" ht="15.75" x14ac:dyDescent="0.25">
      <c r="A210" s="115"/>
      <c r="B210" s="113"/>
      <c r="C210" s="221" t="s">
        <v>5263</v>
      </c>
      <c r="D210" s="717"/>
      <c r="E210" s="717"/>
      <c r="F210" s="717"/>
    </row>
    <row r="211" spans="1:6" ht="15.75" x14ac:dyDescent="0.25">
      <c r="A211" s="115"/>
      <c r="B211" s="113"/>
      <c r="C211" s="221" t="s">
        <v>5257</v>
      </c>
      <c r="D211" s="717"/>
      <c r="E211" s="717"/>
      <c r="F211" s="717"/>
    </row>
    <row r="212" spans="1:6" ht="15.75" x14ac:dyDescent="0.25">
      <c r="A212" s="115"/>
      <c r="B212" s="113"/>
      <c r="C212" s="221" t="s">
        <v>5300</v>
      </c>
      <c r="D212" s="717"/>
      <c r="E212" s="717"/>
      <c r="F212" s="717"/>
    </row>
    <row r="213" spans="1:6" ht="15.75" x14ac:dyDescent="0.25">
      <c r="A213" s="115"/>
      <c r="B213" s="113"/>
      <c r="C213" s="221" t="s">
        <v>3864</v>
      </c>
      <c r="D213" s="717"/>
      <c r="E213" s="717"/>
      <c r="F213" s="717"/>
    </row>
    <row r="214" spans="1:6" ht="15.75" x14ac:dyDescent="0.25">
      <c r="A214" s="115"/>
      <c r="B214" s="113"/>
      <c r="C214" s="221" t="s">
        <v>3865</v>
      </c>
      <c r="D214" s="717"/>
      <c r="E214" s="717"/>
      <c r="F214" s="717"/>
    </row>
    <row r="215" spans="1:6" ht="15" customHeight="1" x14ac:dyDescent="0.25">
      <c r="A215" s="115"/>
      <c r="B215" s="113"/>
      <c r="C215" s="221" t="s">
        <v>3866</v>
      </c>
      <c r="D215" s="717"/>
      <c r="E215" s="717"/>
      <c r="F215" s="717"/>
    </row>
    <row r="216" spans="1:6" ht="15.75" hidden="1" x14ac:dyDescent="0.25">
      <c r="A216" s="115"/>
      <c r="B216" s="113"/>
      <c r="C216" s="221" t="s">
        <v>3867</v>
      </c>
      <c r="D216" s="717"/>
      <c r="E216" s="717"/>
      <c r="F216" s="717"/>
    </row>
    <row r="217" spans="1:6" ht="9" hidden="1" customHeight="1" x14ac:dyDescent="0.25">
      <c r="A217" s="115"/>
      <c r="B217" s="113"/>
      <c r="C217" s="222" t="s">
        <v>5089</v>
      </c>
      <c r="D217" s="717"/>
      <c r="E217" s="717"/>
      <c r="F217" s="717"/>
    </row>
    <row r="218" spans="1:6" ht="19.5" customHeight="1" x14ac:dyDescent="0.25">
      <c r="A218" s="115"/>
      <c r="B218" s="328">
        <v>24</v>
      </c>
      <c r="C218" s="284" t="s">
        <v>5309</v>
      </c>
      <c r="D218" s="720">
        <f>SUM(D226)</f>
        <v>0</v>
      </c>
      <c r="E218" s="717"/>
      <c r="F218" s="717"/>
    </row>
    <row r="219" spans="1:6" ht="15.75" x14ac:dyDescent="0.25">
      <c r="A219" s="115"/>
      <c r="B219" s="113"/>
      <c r="C219" s="221" t="s">
        <v>5243</v>
      </c>
      <c r="D219" s="717"/>
      <c r="E219" s="717"/>
      <c r="F219" s="717"/>
    </row>
    <row r="220" spans="1:6" ht="15.75" x14ac:dyDescent="0.25">
      <c r="A220" s="115"/>
      <c r="B220" s="113"/>
      <c r="C220" s="221" t="s">
        <v>5237</v>
      </c>
      <c r="D220" s="717"/>
      <c r="E220" s="717"/>
      <c r="F220" s="717"/>
    </row>
    <row r="221" spans="1:6" ht="15.75" x14ac:dyDescent="0.25">
      <c r="A221" s="115"/>
      <c r="B221" s="113"/>
      <c r="C221" s="221" t="s">
        <v>5315</v>
      </c>
      <c r="D221" s="717"/>
      <c r="E221" s="717"/>
      <c r="F221" s="717"/>
    </row>
    <row r="222" spans="1:6" ht="15.75" x14ac:dyDescent="0.25">
      <c r="A222" s="115"/>
      <c r="B222" s="113"/>
      <c r="C222" s="221" t="s">
        <v>3864</v>
      </c>
      <c r="D222" s="717"/>
      <c r="E222" s="717"/>
      <c r="F222" s="717"/>
    </row>
    <row r="223" spans="1:6" ht="13.5" customHeight="1" x14ac:dyDescent="0.25">
      <c r="A223" s="115"/>
      <c r="B223" s="113"/>
      <c r="C223" s="221" t="s">
        <v>3865</v>
      </c>
      <c r="D223" s="717"/>
      <c r="E223" s="717"/>
      <c r="F223" s="717"/>
    </row>
    <row r="224" spans="1:6" ht="15.75" x14ac:dyDescent="0.25">
      <c r="A224" s="115"/>
      <c r="B224" s="113"/>
      <c r="C224" s="221" t="s">
        <v>3866</v>
      </c>
      <c r="D224" s="717"/>
      <c r="E224" s="717"/>
      <c r="F224" s="717"/>
    </row>
    <row r="225" spans="1:6" ht="15.75" x14ac:dyDescent="0.25">
      <c r="A225" s="115"/>
      <c r="B225" s="113"/>
      <c r="C225" s="221" t="s">
        <v>3867</v>
      </c>
      <c r="D225" s="717"/>
      <c r="E225" s="717"/>
      <c r="F225" s="717"/>
    </row>
    <row r="226" spans="1:6" ht="15.75" hidden="1" x14ac:dyDescent="0.25">
      <c r="A226" s="115"/>
      <c r="B226" s="113"/>
      <c r="C226" s="222" t="s">
        <v>5089</v>
      </c>
      <c r="D226" s="717"/>
      <c r="E226" s="717"/>
      <c r="F226" s="717"/>
    </row>
    <row r="227" spans="1:6" ht="31.5" x14ac:dyDescent="0.25">
      <c r="A227" s="115"/>
      <c r="B227" s="328">
        <v>25</v>
      </c>
      <c r="C227" s="284" t="s">
        <v>5336</v>
      </c>
      <c r="D227" s="720">
        <f>SUM(D232)</f>
        <v>0</v>
      </c>
      <c r="E227" s="717"/>
      <c r="F227" s="717"/>
    </row>
    <row r="228" spans="1:6" ht="15.75" x14ac:dyDescent="0.25">
      <c r="A228" s="115"/>
      <c r="B228" s="113"/>
      <c r="C228" s="221" t="s">
        <v>5243</v>
      </c>
      <c r="D228" s="717"/>
      <c r="E228" s="717"/>
      <c r="F228" s="717"/>
    </row>
    <row r="229" spans="1:6" ht="15.75" x14ac:dyDescent="0.25">
      <c r="A229" s="115"/>
      <c r="B229" s="113"/>
      <c r="C229" s="221" t="s">
        <v>5237</v>
      </c>
      <c r="D229" s="717"/>
      <c r="E229" s="717"/>
      <c r="F229" s="717"/>
    </row>
    <row r="230" spans="1:6" ht="15.75" x14ac:dyDescent="0.25">
      <c r="A230" s="115"/>
      <c r="B230" s="113"/>
      <c r="C230" s="221" t="s">
        <v>5337</v>
      </c>
      <c r="D230" s="717"/>
      <c r="E230" s="717"/>
      <c r="F230" s="717"/>
    </row>
    <row r="231" spans="1:6" ht="15.75" x14ac:dyDescent="0.25">
      <c r="A231" s="115"/>
      <c r="B231" s="113"/>
      <c r="C231" s="221" t="s">
        <v>3864</v>
      </c>
      <c r="D231" s="717"/>
      <c r="E231" s="717"/>
      <c r="F231" s="717"/>
    </row>
    <row r="232" spans="1:6" ht="15.75" x14ac:dyDescent="0.25">
      <c r="A232" s="115"/>
      <c r="B232" s="113"/>
      <c r="C232" s="221" t="s">
        <v>3865</v>
      </c>
      <c r="D232" s="717"/>
      <c r="E232" s="717"/>
      <c r="F232" s="717"/>
    </row>
    <row r="233" spans="1:6" ht="15.75" x14ac:dyDescent="0.25">
      <c r="A233" s="115"/>
      <c r="B233" s="113"/>
      <c r="C233" s="221" t="s">
        <v>3866</v>
      </c>
      <c r="D233" s="717"/>
      <c r="E233" s="717"/>
      <c r="F233" s="717"/>
    </row>
    <row r="234" spans="1:6" ht="15.75" x14ac:dyDescent="0.25">
      <c r="A234" s="115"/>
      <c r="B234" s="113"/>
      <c r="C234" s="221" t="s">
        <v>3867</v>
      </c>
      <c r="D234" s="717"/>
      <c r="E234" s="717"/>
      <c r="F234" s="717"/>
    </row>
    <row r="235" spans="1:6" ht="15.75" x14ac:dyDescent="0.25">
      <c r="A235" s="115"/>
      <c r="B235" s="113"/>
      <c r="C235" s="222" t="s">
        <v>5089</v>
      </c>
      <c r="D235" s="717"/>
      <c r="E235" s="717"/>
      <c r="F235" s="717"/>
    </row>
    <row r="236" spans="1:6" ht="0.75" customHeight="1" x14ac:dyDescent="0.25">
      <c r="A236" s="115"/>
      <c r="B236" s="113"/>
      <c r="C236" s="222"/>
      <c r="D236" s="717"/>
      <c r="E236" s="717"/>
      <c r="F236" s="717"/>
    </row>
    <row r="237" spans="1:6" ht="15.75" hidden="1" x14ac:dyDescent="0.25">
      <c r="A237" s="115"/>
      <c r="B237" s="113"/>
      <c r="C237" s="222"/>
      <c r="D237" s="717"/>
      <c r="E237" s="717"/>
      <c r="F237" s="717"/>
    </row>
    <row r="238" spans="1:6" ht="15.75" hidden="1" x14ac:dyDescent="0.25">
      <c r="A238" s="115"/>
      <c r="B238" s="113"/>
      <c r="C238" s="222"/>
      <c r="D238" s="717"/>
      <c r="E238" s="717"/>
      <c r="F238" s="717"/>
    </row>
    <row r="239" spans="1:6" ht="15.75" x14ac:dyDescent="0.25">
      <c r="A239" s="115">
        <v>512</v>
      </c>
      <c r="B239" s="316">
        <v>1</v>
      </c>
      <c r="C239" s="283" t="s">
        <v>5275</v>
      </c>
      <c r="D239" s="716">
        <f>SUM(D244:D247)</f>
        <v>0</v>
      </c>
      <c r="E239" s="716">
        <f>SUM(E244:E247)</f>
        <v>0</v>
      </c>
      <c r="F239" s="716">
        <f>SUM(F244:F247)</f>
        <v>0</v>
      </c>
    </row>
    <row r="240" spans="1:6" ht="15.75" x14ac:dyDescent="0.25">
      <c r="A240" s="115"/>
      <c r="B240" s="113"/>
      <c r="C240" s="221" t="s">
        <v>5243</v>
      </c>
      <c r="D240" s="717"/>
      <c r="E240" s="717"/>
      <c r="F240" s="717"/>
    </row>
    <row r="241" spans="1:6" ht="15.75" x14ac:dyDescent="0.25">
      <c r="A241" s="115"/>
      <c r="B241" s="113"/>
      <c r="C241" s="221" t="s">
        <v>5237</v>
      </c>
      <c r="D241" s="717"/>
      <c r="E241" s="717"/>
      <c r="F241" s="717"/>
    </row>
    <row r="242" spans="1:6" ht="15.75" x14ac:dyDescent="0.25">
      <c r="A242" s="115"/>
      <c r="B242" s="113"/>
      <c r="C242" s="221" t="s">
        <v>5298</v>
      </c>
      <c r="D242" s="717"/>
      <c r="E242" s="717"/>
      <c r="F242" s="717"/>
    </row>
    <row r="243" spans="1:6" ht="15.75" x14ac:dyDescent="0.25">
      <c r="A243" s="115"/>
      <c r="B243" s="113"/>
      <c r="C243" s="221" t="s">
        <v>3864</v>
      </c>
      <c r="D243" s="717"/>
      <c r="E243" s="717"/>
      <c r="F243" s="717"/>
    </row>
    <row r="244" spans="1:6" ht="15.75" x14ac:dyDescent="0.25">
      <c r="A244" s="115"/>
      <c r="B244" s="113"/>
      <c r="C244" s="221" t="s">
        <v>3865</v>
      </c>
      <c r="D244" s="717"/>
      <c r="E244" s="717"/>
      <c r="F244" s="717"/>
    </row>
    <row r="245" spans="1:6" ht="15.75" x14ac:dyDescent="0.25">
      <c r="A245" s="115"/>
      <c r="B245" s="113"/>
      <c r="C245" s="221" t="s">
        <v>3866</v>
      </c>
      <c r="D245" s="717"/>
      <c r="E245" s="717"/>
      <c r="F245" s="717"/>
    </row>
    <row r="246" spans="1:6" ht="15.75" x14ac:dyDescent="0.25">
      <c r="A246" s="115"/>
      <c r="B246" s="113"/>
      <c r="C246" s="221" t="s">
        <v>3867</v>
      </c>
      <c r="D246" s="717"/>
      <c r="E246" s="717"/>
      <c r="F246" s="717"/>
    </row>
    <row r="247" spans="1:6" ht="15.75" x14ac:dyDescent="0.25">
      <c r="A247" s="115"/>
      <c r="B247" s="113"/>
      <c r="C247" s="222" t="s">
        <v>5089</v>
      </c>
      <c r="D247" s="717"/>
      <c r="E247" s="717"/>
      <c r="F247" s="717"/>
    </row>
    <row r="248" spans="1:6" ht="15.75" x14ac:dyDescent="0.25">
      <c r="A248" s="115"/>
      <c r="B248" s="316">
        <v>2</v>
      </c>
      <c r="C248" s="283" t="s">
        <v>5276</v>
      </c>
      <c r="D248" s="716">
        <f>SUM(D253:D256)</f>
        <v>0</v>
      </c>
      <c r="E248" s="716">
        <f>SUM(E253:E256)</f>
        <v>0</v>
      </c>
      <c r="F248" s="716">
        <f>SUM(F253:F256)</f>
        <v>0</v>
      </c>
    </row>
    <row r="249" spans="1:6" ht="15.75" x14ac:dyDescent="0.25">
      <c r="A249" s="115"/>
      <c r="B249" s="113"/>
      <c r="C249" s="221" t="s">
        <v>5263</v>
      </c>
      <c r="D249" s="717"/>
      <c r="E249" s="717"/>
      <c r="F249" s="717"/>
    </row>
    <row r="250" spans="1:6" ht="15.75" x14ac:dyDescent="0.25">
      <c r="A250" s="115"/>
      <c r="B250" s="113"/>
      <c r="C250" s="221" t="s">
        <v>5257</v>
      </c>
      <c r="D250" s="717"/>
      <c r="E250" s="717"/>
      <c r="F250" s="717"/>
    </row>
    <row r="251" spans="1:6" ht="15.75" x14ac:dyDescent="0.25">
      <c r="A251" s="115"/>
      <c r="B251" s="113"/>
      <c r="C251" s="221" t="s">
        <v>5313</v>
      </c>
      <c r="D251" s="717"/>
      <c r="E251" s="717"/>
      <c r="F251" s="717"/>
    </row>
    <row r="252" spans="1:6" ht="15.75" x14ac:dyDescent="0.25">
      <c r="A252" s="115"/>
      <c r="B252" s="113"/>
      <c r="C252" s="221" t="s">
        <v>3864</v>
      </c>
      <c r="D252" s="717"/>
      <c r="E252" s="717"/>
      <c r="F252" s="717"/>
    </row>
    <row r="253" spans="1:6" ht="15.75" x14ac:dyDescent="0.25">
      <c r="A253" s="115"/>
      <c r="B253" s="113"/>
      <c r="C253" s="221" t="s">
        <v>3865</v>
      </c>
      <c r="D253" s="717"/>
      <c r="E253" s="717"/>
      <c r="F253" s="717"/>
    </row>
    <row r="254" spans="1:6" ht="15.75" hidden="1" x14ac:dyDescent="0.25">
      <c r="A254" s="115"/>
      <c r="B254" s="113"/>
      <c r="C254" s="221" t="s">
        <v>3866</v>
      </c>
      <c r="D254" s="717"/>
      <c r="E254" s="717"/>
      <c r="F254" s="717"/>
    </row>
    <row r="255" spans="1:6" ht="15" customHeight="1" x14ac:dyDescent="0.25">
      <c r="A255" s="115"/>
      <c r="B255" s="113"/>
      <c r="C255" s="221" t="s">
        <v>3867</v>
      </c>
      <c r="D255" s="717"/>
      <c r="E255" s="717"/>
      <c r="F255" s="717"/>
    </row>
    <row r="256" spans="1:6" ht="15.75" hidden="1" x14ac:dyDescent="0.25">
      <c r="A256" s="115"/>
      <c r="B256" s="113"/>
      <c r="C256" s="222" t="s">
        <v>5089</v>
      </c>
      <c r="D256" s="717"/>
      <c r="E256" s="717"/>
      <c r="F256" s="717"/>
    </row>
    <row r="257" spans="1:6" ht="25.5" customHeight="1" x14ac:dyDescent="0.25">
      <c r="A257" s="115"/>
      <c r="B257" s="316">
        <v>3</v>
      </c>
      <c r="C257" s="283" t="s">
        <v>5277</v>
      </c>
      <c r="D257" s="716">
        <f>SUM(D262:D265)</f>
        <v>0</v>
      </c>
      <c r="E257" s="716">
        <f>SUM(E262:E265)</f>
        <v>0</v>
      </c>
      <c r="F257" s="716">
        <f>SUM(F262:F265)</f>
        <v>0</v>
      </c>
    </row>
    <row r="258" spans="1:6" ht="15.75" x14ac:dyDescent="0.25">
      <c r="A258" s="115"/>
      <c r="B258" s="113"/>
      <c r="C258" s="221" t="s">
        <v>5243</v>
      </c>
      <c r="D258" s="717"/>
      <c r="E258" s="717"/>
      <c r="F258" s="717"/>
    </row>
    <row r="259" spans="1:6" ht="15.75" x14ac:dyDescent="0.25">
      <c r="A259" s="115"/>
      <c r="B259" s="113"/>
      <c r="C259" s="221" t="s">
        <v>5237</v>
      </c>
      <c r="D259" s="717"/>
      <c r="E259" s="717"/>
      <c r="F259" s="717"/>
    </row>
    <row r="260" spans="1:6" ht="15.75" x14ac:dyDescent="0.25">
      <c r="A260" s="115"/>
      <c r="B260" s="113"/>
      <c r="C260" s="221" t="s">
        <v>5314</v>
      </c>
      <c r="D260" s="717"/>
      <c r="E260" s="717"/>
      <c r="F260" s="717"/>
    </row>
    <row r="261" spans="1:6" ht="15.75" x14ac:dyDescent="0.25">
      <c r="A261" s="115"/>
      <c r="B261" s="113"/>
      <c r="C261" s="221" t="s">
        <v>3864</v>
      </c>
      <c r="D261" s="717"/>
      <c r="E261" s="717"/>
      <c r="F261" s="717"/>
    </row>
    <row r="262" spans="1:6" ht="15.75" x14ac:dyDescent="0.25">
      <c r="A262" s="115"/>
      <c r="B262" s="113"/>
      <c r="C262" s="221" t="s">
        <v>3865</v>
      </c>
      <c r="D262" s="717"/>
      <c r="E262" s="717"/>
      <c r="F262" s="717"/>
    </row>
    <row r="263" spans="1:6" ht="1.5" customHeight="1" x14ac:dyDescent="0.25">
      <c r="A263" s="115"/>
      <c r="B263" s="113"/>
      <c r="C263" s="221" t="s">
        <v>3866</v>
      </c>
      <c r="D263" s="717"/>
      <c r="E263" s="717"/>
      <c r="F263" s="717"/>
    </row>
    <row r="264" spans="1:6" ht="2.25" hidden="1" customHeight="1" x14ac:dyDescent="0.25">
      <c r="A264" s="115"/>
      <c r="B264" s="113"/>
      <c r="C264" s="221" t="s">
        <v>3867</v>
      </c>
      <c r="D264" s="717"/>
      <c r="E264" s="717"/>
      <c r="F264" s="717"/>
    </row>
    <row r="265" spans="1:6" ht="15.75" hidden="1" x14ac:dyDescent="0.25">
      <c r="A265" s="115"/>
      <c r="B265" s="113"/>
      <c r="C265" s="222" t="s">
        <v>5089</v>
      </c>
      <c r="D265" s="717"/>
      <c r="E265" s="717"/>
      <c r="F265" s="717"/>
    </row>
    <row r="266" spans="1:6" ht="15.75" x14ac:dyDescent="0.25">
      <c r="A266" s="115"/>
      <c r="B266" s="316">
        <v>4</v>
      </c>
      <c r="C266" s="283" t="s">
        <v>5090</v>
      </c>
      <c r="D266" s="716">
        <f>SUM(D271:D274)</f>
        <v>0</v>
      </c>
      <c r="E266" s="716">
        <f>SUM(E271:E274)</f>
        <v>0</v>
      </c>
      <c r="F266" s="716">
        <f>SUM(F271:F274)</f>
        <v>0</v>
      </c>
    </row>
    <row r="267" spans="1:6" ht="15.75" x14ac:dyDescent="0.25">
      <c r="A267" s="115"/>
      <c r="B267" s="113"/>
      <c r="C267" s="221" t="s">
        <v>5243</v>
      </c>
      <c r="D267" s="717"/>
      <c r="E267" s="717"/>
      <c r="F267" s="717"/>
    </row>
    <row r="268" spans="1:6" ht="15.75" x14ac:dyDescent="0.25">
      <c r="A268" s="115"/>
      <c r="B268" s="113"/>
      <c r="C268" s="221" t="s">
        <v>5257</v>
      </c>
      <c r="D268" s="717"/>
      <c r="E268" s="717"/>
      <c r="F268" s="717"/>
    </row>
    <row r="269" spans="1:6" ht="15.75" x14ac:dyDescent="0.25">
      <c r="A269" s="115"/>
      <c r="B269" s="113"/>
      <c r="C269" s="221" t="s">
        <v>5250</v>
      </c>
      <c r="D269" s="717"/>
      <c r="E269" s="717"/>
      <c r="F269" s="717"/>
    </row>
    <row r="270" spans="1:6" ht="15.75" x14ac:dyDescent="0.25">
      <c r="A270" s="115"/>
      <c r="B270" s="113"/>
      <c r="C270" s="221" t="s">
        <v>3864</v>
      </c>
      <c r="D270" s="717"/>
      <c r="E270" s="717"/>
      <c r="F270" s="717"/>
    </row>
    <row r="271" spans="1:6" ht="15.75" x14ac:dyDescent="0.25">
      <c r="A271" s="115"/>
      <c r="B271" s="113"/>
      <c r="C271" s="221" t="s">
        <v>3865</v>
      </c>
      <c r="D271" s="717"/>
      <c r="E271" s="717"/>
      <c r="F271" s="717"/>
    </row>
    <row r="272" spans="1:6" ht="15.75" x14ac:dyDescent="0.25">
      <c r="A272" s="115"/>
      <c r="B272" s="113"/>
      <c r="C272" s="221" t="s">
        <v>3866</v>
      </c>
      <c r="D272" s="717"/>
      <c r="E272" s="717"/>
      <c r="F272" s="717"/>
    </row>
    <row r="273" spans="1:6" ht="15.75" x14ac:dyDescent="0.25">
      <c r="A273" s="115"/>
      <c r="B273" s="113"/>
      <c r="C273" s="221" t="s">
        <v>3867</v>
      </c>
      <c r="D273" s="717"/>
      <c r="E273" s="717"/>
      <c r="F273" s="717"/>
    </row>
    <row r="274" spans="1:6" ht="15.75" x14ac:dyDescent="0.25">
      <c r="A274" s="115"/>
      <c r="B274" s="113"/>
      <c r="C274" s="222" t="s">
        <v>5089</v>
      </c>
      <c r="D274" s="717"/>
      <c r="E274" s="717"/>
      <c r="F274" s="717"/>
    </row>
    <row r="275" spans="1:6" ht="31.5" x14ac:dyDescent="0.25">
      <c r="A275" s="115"/>
      <c r="B275" s="316">
        <v>5</v>
      </c>
      <c r="C275" s="283" t="s">
        <v>5278</v>
      </c>
      <c r="D275" s="716">
        <f>SUM(D280:D283)</f>
        <v>500000</v>
      </c>
      <c r="E275" s="716">
        <f>SUM(E280:E283)</f>
        <v>0</v>
      </c>
      <c r="F275" s="716">
        <f>SUM(F280:F283)</f>
        <v>0</v>
      </c>
    </row>
    <row r="276" spans="1:6" ht="15.75" x14ac:dyDescent="0.25">
      <c r="A276" s="115"/>
      <c r="B276" s="113"/>
      <c r="C276" s="221" t="s">
        <v>5243</v>
      </c>
      <c r="D276" s="717"/>
      <c r="E276" s="717"/>
      <c r="F276" s="717"/>
    </row>
    <row r="277" spans="1:6" ht="15.75" x14ac:dyDescent="0.25">
      <c r="A277" s="115"/>
      <c r="B277" s="113"/>
      <c r="C277" s="221" t="s">
        <v>5257</v>
      </c>
      <c r="D277" s="717"/>
      <c r="E277" s="717"/>
      <c r="F277" s="717"/>
    </row>
    <row r="278" spans="1:6" ht="15.75" x14ac:dyDescent="0.25">
      <c r="A278" s="115"/>
      <c r="B278" s="113"/>
      <c r="C278" s="221" t="s">
        <v>5298</v>
      </c>
      <c r="D278" s="717"/>
      <c r="E278" s="717"/>
      <c r="F278" s="717"/>
    </row>
    <row r="279" spans="1:6" ht="15.75" x14ac:dyDescent="0.25">
      <c r="A279" s="115"/>
      <c r="B279" s="113"/>
      <c r="C279" s="221" t="s">
        <v>3864</v>
      </c>
      <c r="D279" s="717"/>
      <c r="E279" s="717"/>
      <c r="F279" s="717"/>
    </row>
    <row r="280" spans="1:6" ht="15.75" x14ac:dyDescent="0.25">
      <c r="A280" s="115"/>
      <c r="B280" s="113"/>
      <c r="C280" s="221" t="s">
        <v>3865</v>
      </c>
      <c r="D280" s="717">
        <v>500000</v>
      </c>
      <c r="E280" s="717">
        <v>0</v>
      </c>
      <c r="F280" s="717"/>
    </row>
    <row r="281" spans="1:6" ht="15.75" x14ac:dyDescent="0.25">
      <c r="A281" s="115"/>
      <c r="B281" s="113"/>
      <c r="C281" s="221" t="s">
        <v>3866</v>
      </c>
      <c r="D281" s="717"/>
      <c r="E281" s="717"/>
      <c r="F281" s="717"/>
    </row>
    <row r="282" spans="1:6" ht="15.75" x14ac:dyDescent="0.25">
      <c r="A282" s="115"/>
      <c r="B282" s="113"/>
      <c r="C282" s="221" t="s">
        <v>3867</v>
      </c>
      <c r="D282" s="717"/>
      <c r="E282" s="717"/>
      <c r="F282" s="717"/>
    </row>
    <row r="283" spans="1:6" ht="15.75" x14ac:dyDescent="0.25">
      <c r="A283" s="115"/>
      <c r="B283" s="113"/>
      <c r="C283" s="222" t="s">
        <v>5089</v>
      </c>
      <c r="D283" s="717"/>
      <c r="E283" s="717"/>
      <c r="F283" s="717"/>
    </row>
  </sheetData>
  <sheetProtection password="CA6E" sheet="1" objects="1" scenarios="1" selectLockedCells="1" selectUnlockedCells="1"/>
  <mergeCells count="6">
    <mergeCell ref="B6:B7"/>
    <mergeCell ref="C6:C7"/>
    <mergeCell ref="D6:F6"/>
    <mergeCell ref="C2:D2"/>
    <mergeCell ref="A4:F4"/>
    <mergeCell ref="C3:D3"/>
  </mergeCells>
  <pageMargins left="0.70866141732283472" right="0.70866141732283472" top="0.74803149606299213" bottom="0.74803149606299213" header="0.31496062992125984" footer="0.31496062992125984"/>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A1:K89"/>
  <sheetViews>
    <sheetView tabSelected="1" workbookViewId="0">
      <selection activeCell="L79" sqref="L79"/>
    </sheetView>
  </sheetViews>
  <sheetFormatPr defaultRowHeight="15" x14ac:dyDescent="0.25"/>
  <cols>
    <col min="1" max="1" width="6.7109375" style="83" customWidth="1"/>
    <col min="2" max="2" width="41.140625" style="83" customWidth="1"/>
    <col min="3" max="3" width="15.7109375" style="83" customWidth="1"/>
    <col min="4" max="4" width="16.28515625" style="83" customWidth="1"/>
    <col min="5" max="5" width="6" style="83" customWidth="1"/>
    <col min="6" max="6" width="14.5703125" style="83" customWidth="1"/>
    <col min="7" max="7" width="13.85546875" style="83" customWidth="1"/>
    <col min="8" max="8" width="6.7109375" style="83" customWidth="1"/>
    <col min="9" max="10" width="9.140625" style="83"/>
    <col min="11" max="11" width="13.7109375" style="83" bestFit="1" customWidth="1"/>
    <col min="12" max="16384" width="9.140625" style="83"/>
  </cols>
  <sheetData>
    <row r="1" spans="1:8" x14ac:dyDescent="0.25">
      <c r="B1" s="841" t="s">
        <v>5371</v>
      </c>
      <c r="C1" s="841"/>
      <c r="D1" s="841"/>
      <c r="E1" s="841"/>
      <c r="F1" s="841"/>
      <c r="G1" s="381"/>
    </row>
    <row r="2" spans="1:8" hidden="1" x14ac:dyDescent="0.25">
      <c r="B2" s="843"/>
      <c r="C2" s="843"/>
      <c r="D2" s="843"/>
      <c r="E2" s="843"/>
      <c r="F2" s="843"/>
      <c r="G2" s="382"/>
    </row>
    <row r="3" spans="1:8" ht="15" hidden="1" customHeight="1" x14ac:dyDescent="0.25">
      <c r="A3" s="842"/>
      <c r="B3" s="842"/>
      <c r="C3" s="842"/>
      <c r="D3" s="842"/>
      <c r="E3" s="842"/>
      <c r="F3" s="842"/>
      <c r="G3" s="842"/>
      <c r="H3" s="842"/>
    </row>
    <row r="4" spans="1:8" ht="22.5" customHeight="1" x14ac:dyDescent="0.25">
      <c r="A4" s="285"/>
      <c r="B4" s="844" t="s">
        <v>5434</v>
      </c>
      <c r="C4" s="844"/>
      <c r="D4" s="844"/>
      <c r="E4" s="844"/>
      <c r="F4" s="844"/>
      <c r="G4" s="844"/>
      <c r="H4" s="844"/>
    </row>
    <row r="5" spans="1:8" ht="114" x14ac:dyDescent="0.25">
      <c r="A5" s="286" t="s">
        <v>3758</v>
      </c>
      <c r="B5" s="286" t="s">
        <v>3759</v>
      </c>
      <c r="C5" s="287" t="s">
        <v>5417</v>
      </c>
      <c r="D5" s="287" t="s">
        <v>5373</v>
      </c>
      <c r="E5" s="287" t="s">
        <v>5418</v>
      </c>
      <c r="F5" s="287" t="s">
        <v>5416</v>
      </c>
      <c r="G5" s="287" t="s">
        <v>5419</v>
      </c>
      <c r="H5" s="287" t="s">
        <v>5420</v>
      </c>
    </row>
    <row r="6" spans="1:8" x14ac:dyDescent="0.25">
      <c r="A6" s="288" t="s">
        <v>3760</v>
      </c>
      <c r="B6" s="289">
        <v>2</v>
      </c>
      <c r="C6" s="290">
        <v>3</v>
      </c>
      <c r="D6" s="290"/>
      <c r="E6" s="290">
        <v>4</v>
      </c>
      <c r="F6" s="290">
        <v>5</v>
      </c>
      <c r="G6" s="290"/>
      <c r="H6" s="290">
        <v>6</v>
      </c>
    </row>
    <row r="7" spans="1:8" x14ac:dyDescent="0.25">
      <c r="A7" s="291" t="s">
        <v>3926</v>
      </c>
      <c r="B7" s="292" t="s">
        <v>4473</v>
      </c>
      <c r="C7" s="703">
        <f>SUM(C8,C17,C24,C30,C35,C41,C48,C50,C57)</f>
        <v>421545790</v>
      </c>
      <c r="D7" s="703">
        <f>SUM(D8,D17,D35,D41,D48,D50)</f>
        <v>373071461.21999997</v>
      </c>
      <c r="E7" s="703">
        <f>SUM(D7/C7)*100</f>
        <v>88.500815349146293</v>
      </c>
      <c r="F7" s="703">
        <f>SUM(F8,F17,F24,F30,F35,F41,F48,F50,F57)</f>
        <v>23586449.289999999</v>
      </c>
      <c r="G7" s="703">
        <f>SUM(G8,G17,G48,G50)</f>
        <v>25340682.809999999</v>
      </c>
      <c r="H7" s="703">
        <f>SUM(G7/F7)*100</f>
        <v>107.43746334359766</v>
      </c>
    </row>
    <row r="8" spans="1:8" x14ac:dyDescent="0.25">
      <c r="A8" s="293" t="s">
        <v>3761</v>
      </c>
      <c r="B8" s="294" t="s">
        <v>3762</v>
      </c>
      <c r="C8" s="704">
        <f>SUM(C9:C16)</f>
        <v>111363824</v>
      </c>
      <c r="D8" s="704">
        <f>SUM(D9:D14)</f>
        <v>107635450.97</v>
      </c>
      <c r="E8" s="703">
        <f t="shared" ref="E8:E70" si="0">SUM(D8/C8)*100</f>
        <v>96.652078838456561</v>
      </c>
      <c r="F8" s="704">
        <f>SUM(F9:F16)</f>
        <v>1705515</v>
      </c>
      <c r="G8" s="704">
        <f>SUM(G9:G16)</f>
        <v>6390944.8399999999</v>
      </c>
      <c r="H8" s="703">
        <f t="shared" ref="H8:H70" si="1">SUM(G8/F8)*100</f>
        <v>374.72228857559151</v>
      </c>
    </row>
    <row r="9" spans="1:8" x14ac:dyDescent="0.25">
      <c r="A9" s="295">
        <v>411</v>
      </c>
      <c r="B9" s="276" t="s">
        <v>3763</v>
      </c>
      <c r="C9" s="705">
        <f>SUMIF('ПО КОРИСНИЦИМА'!$F$9:$F$18203,'По основ. нам.'!A9,'ПО КОРИСНИЦИМА'!$H$9:$H$18203)</f>
        <v>88521910</v>
      </c>
      <c r="D9" s="705">
        <f>SUM('ПО КОРИСНИЦИМА'!I369,'ПО КОРИСНИЦИМА'!I1776,'ПО КОРИСНИЦИМА'!I8865,'ПО КОРИСНИЦИМА'!I11069,'ПО КОРИСНИЦИМА'!I11905,'ПО КОРИСНИЦИМА'!I14267,'ПО КОРИСНИЦИМА'!I14675,'ПО КОРИСНИЦИМА'!I18031)</f>
        <v>87560191.270000011</v>
      </c>
      <c r="E9" s="703">
        <f t="shared" si="0"/>
        <v>98.913581134885149</v>
      </c>
      <c r="F9" s="705">
        <f>SUMIF('ПО КОРИСНИЦИМА'!$F$9:$F$18203,'По основ. нам.'!A9,'ПО КОРИСНИЦИМА'!$K$9:$K$18203)</f>
        <v>486515</v>
      </c>
      <c r="G9" s="705">
        <f>SUM('ПО КОРИСНИЦИМА'!L11069,'ПО КОРИСНИЦИМА'!L14267,'ПО КОРИСНИЦИМА'!L14675,'ПО КОРИСНИЦИМА'!L1776)</f>
        <v>3500059.1</v>
      </c>
      <c r="H9" s="703">
        <f t="shared" si="1"/>
        <v>719.41442709885621</v>
      </c>
    </row>
    <row r="10" spans="1:8" x14ac:dyDescent="0.25">
      <c r="A10" s="295">
        <v>412</v>
      </c>
      <c r="B10" s="276" t="s">
        <v>3764</v>
      </c>
      <c r="C10" s="705">
        <f>SUMIF('ПО КОРИСНИЦИМА'!$F$9:$F$18203,'По основ. нам.'!A10,'ПО КОРИСНИЦИМА'!$H$9:$H$18203)</f>
        <v>15846962</v>
      </c>
      <c r="D10" s="705">
        <f>SUM('ПО КОРИСНИЦИМА'!I18032,'ПО КОРИСНИЦИМА'!I14676,'ПО КОРИСНИЦИМА'!I14268,'ПО КОРИСНИЦИМА'!I11906,'ПО КОРИСНИЦИМА'!I11070,'ПО КОРИСНИЦИМА'!I8866,'ПО КОРИСНИЦИМА'!I1777,'ПО КОРИСНИЦИМА'!I370)</f>
        <v>15649391.52</v>
      </c>
      <c r="E10" s="703">
        <f t="shared" si="0"/>
        <v>98.753259583761221</v>
      </c>
      <c r="F10" s="705">
        <f>SUMIF('ПО КОРИСНИЦИМА'!$F$9:$F$18203,'По основ. нам.'!A10,'ПО КОРИСНИЦИМА'!$K$9:$K$18203)</f>
        <v>120000</v>
      </c>
      <c r="G10" s="705">
        <f>SUM('ПО КОРИСНИЦИМА'!L1777,'ПО КОРИСНИЦИМА'!L11070,'ПО КОРИСНИЦИМА'!L14268,'ПО КОРИСНИЦИМА'!L14676)</f>
        <v>631926.67000000004</v>
      </c>
      <c r="H10" s="703">
        <f t="shared" si="1"/>
        <v>526.60555833333331</v>
      </c>
    </row>
    <row r="11" spans="1:8" x14ac:dyDescent="0.25">
      <c r="A11" s="296">
        <v>413</v>
      </c>
      <c r="B11" s="276" t="s">
        <v>3765</v>
      </c>
      <c r="C11" s="705">
        <f>SUMIF('ПО КОРИСНИЦИМА'!$F$9:$F$18203,'По основ. нам.'!A11,'ПО КОРИСНИЦИМА'!$H$9:$H$18203)</f>
        <v>272000</v>
      </c>
      <c r="D11" s="705">
        <f>SUM('ПО КОРИСНИЦИМА'!I1778)</f>
        <v>133900</v>
      </c>
      <c r="E11" s="703">
        <f t="shared" si="0"/>
        <v>49.227941176470594</v>
      </c>
      <c r="F11" s="705">
        <f>SUMIF('ПО КОРИСНИЦИМА'!$F$9:$F$18203,'По основ. нам.'!A11,'ПО КОРИСНИЦИМА'!$K$9:$K$18203)</f>
        <v>50000</v>
      </c>
      <c r="G11" s="705">
        <f>SUM('ПО КОРИСНИЦИМА'!L11907)</f>
        <v>39600</v>
      </c>
      <c r="H11" s="703">
        <f t="shared" si="1"/>
        <v>79.2</v>
      </c>
    </row>
    <row r="12" spans="1:8" x14ac:dyDescent="0.25">
      <c r="A12" s="295" t="s">
        <v>3766</v>
      </c>
      <c r="B12" s="276" t="s">
        <v>3767</v>
      </c>
      <c r="C12" s="705">
        <f>SUMIF('ПО КОРИСНИЦИМА'!$F$9:$F$18203,'По основ. нам.'!A12,'ПО КОРИСНИЦИМА'!$H$9:$H$18203)</f>
        <v>2756688</v>
      </c>
      <c r="D12" s="705">
        <f>SUM('ПО КОРИСНИЦИМА'!I14678,'ПО КОРИСНИЦИМА'!I14270,'ПО КОРИСНИЦИМА'!I11072,'ПО КОРИСНИЦИМА'!I1779)</f>
        <v>1035750.6</v>
      </c>
      <c r="E12" s="703">
        <f t="shared" si="0"/>
        <v>37.572282391043167</v>
      </c>
      <c r="F12" s="705">
        <f>SUMIF('ПО КОРИСНИЦИМА'!$F$9:$F$18203,'По основ. нам.'!A12,'ПО КОРИСНИЦИМА'!$K$9:$K$18203)</f>
        <v>750000</v>
      </c>
      <c r="G12" s="705">
        <f>SUM('ПО КОРИСНИЦИМА'!L14270)</f>
        <v>1911431.23</v>
      </c>
      <c r="H12" s="703">
        <f t="shared" si="1"/>
        <v>254.85749733333333</v>
      </c>
    </row>
    <row r="13" spans="1:8" x14ac:dyDescent="0.25">
      <c r="A13" s="295" t="s">
        <v>3768</v>
      </c>
      <c r="B13" s="276" t="s">
        <v>3769</v>
      </c>
      <c r="C13" s="705">
        <f>SUMIF('ПО КОРИСНИЦИМА'!$F$9:$F$18203,'По основ. нам.'!A13,'ПО КОРИСНИЦИМА'!$H$9:$H$18203)</f>
        <v>3100000</v>
      </c>
      <c r="D13" s="705">
        <f>SUM('ПО КОРИСНИЦИМА'!I1780,'ПО КОРИСНИЦИМА'!I11073,'ПО КОРИСНИЦИМА'!I14679)</f>
        <v>2619810.69</v>
      </c>
      <c r="E13" s="703">
        <f t="shared" si="0"/>
        <v>84.51002225806451</v>
      </c>
      <c r="F13" s="705">
        <f>SUMIF('ПО КОРИСНИЦИМА'!$F$9:$F$18203,'По основ. нам.'!A13,'ПО КОРИСНИЦИМА'!$K$9:$K$18203)</f>
        <v>299000</v>
      </c>
      <c r="G13" s="705">
        <f>SUM('ПО КОРИСНИЦИМА'!L1780,'ПО КОРИСНИЦИМА'!L11073,'ПО КОРИСНИЦИМА'!L14271,'ПО КОРИСНИЦИМА'!L14679)</f>
        <v>307927.84000000003</v>
      </c>
      <c r="H13" s="703">
        <f t="shared" si="1"/>
        <v>102.98589966555186</v>
      </c>
    </row>
    <row r="14" spans="1:8" x14ac:dyDescent="0.25">
      <c r="A14" s="295" t="s">
        <v>3770</v>
      </c>
      <c r="B14" s="276" t="s">
        <v>3771</v>
      </c>
      <c r="C14" s="705">
        <f>SUMIF('ПО КОРИСНИЦИМА'!$F$9:$F$18203,'По основ. нам.'!A14,'ПО КОРИСНИЦИМА'!$H$9:$H$18203)</f>
        <v>866264</v>
      </c>
      <c r="D14" s="705">
        <f>SUM('ПО КОРИСНИЦИМА'!I14680,'ПО КОРИСНИЦИМА'!I14272,'ПО КОРИСНИЦИМА'!I11074,'ПО КОРИСНИЦИМА'!I1781)</f>
        <v>636406.89</v>
      </c>
      <c r="E14" s="703">
        <f t="shared" si="0"/>
        <v>73.465697524080426</v>
      </c>
      <c r="F14" s="705">
        <f>SUMIF('ПО КОРИСНИЦИМА'!$F$9:$F$18203,'По основ. нам.'!A14,'ПО КОРИСНИЦИМА'!$K$9:$K$18203)</f>
        <v>0</v>
      </c>
      <c r="G14" s="705"/>
      <c r="H14" s="703"/>
    </row>
    <row r="15" spans="1:8" x14ac:dyDescent="0.25">
      <c r="A15" s="295">
        <v>417</v>
      </c>
      <c r="B15" s="276" t="s">
        <v>3772</v>
      </c>
      <c r="C15" s="705">
        <f>SUMIF('ПО КОРИСНИЦИМА'!$F$9:$F$18203,'По основ. нам.'!A15,'ПО КОРИСНИЦИМА'!$H$9:$H$18203)</f>
        <v>0</v>
      </c>
      <c r="D15" s="705"/>
      <c r="E15" s="703"/>
      <c r="F15" s="705">
        <f>SUMIF('ПО КОРИСНИЦИМА'!$F$9:$F$18203,'По основ. нам.'!A15,'ПО КОРИСНИЦИМА'!$K$9:$K$18203)</f>
        <v>0</v>
      </c>
      <c r="G15" s="705"/>
      <c r="H15" s="703"/>
    </row>
    <row r="16" spans="1:8" x14ac:dyDescent="0.25">
      <c r="A16" s="295">
        <v>418</v>
      </c>
      <c r="B16" s="276" t="s">
        <v>3773</v>
      </c>
      <c r="C16" s="705">
        <f>SUMIF('ПО КОРИСНИЦИМА'!$F$9:$F$18203,'По основ. нам.'!A16,'ПО КОРИСНИЦИМА'!$H$9:$H$18203)</f>
        <v>0</v>
      </c>
      <c r="D16" s="705"/>
      <c r="E16" s="703"/>
      <c r="F16" s="705">
        <f>SUMIF('ПО КОРИСНИЦИМА'!$F$9:$F$18203,'По основ. нам.'!A16,'ПО КОРИСНИЦИМА'!$K$9:$K$18203)</f>
        <v>0</v>
      </c>
      <c r="G16" s="705"/>
      <c r="H16" s="703"/>
    </row>
    <row r="17" spans="1:8" x14ac:dyDescent="0.25">
      <c r="A17" s="293" t="s">
        <v>3774</v>
      </c>
      <c r="B17" s="294" t="s">
        <v>3775</v>
      </c>
      <c r="C17" s="704">
        <f>SUM(C18:C23)</f>
        <v>186995492</v>
      </c>
      <c r="D17" s="704">
        <f>SUM(D18:D23)</f>
        <v>156792149.18000001</v>
      </c>
      <c r="E17" s="703">
        <f t="shared" si="0"/>
        <v>83.84809040209376</v>
      </c>
      <c r="F17" s="704">
        <f>SUM(F18:F23)</f>
        <v>20725834.289999999</v>
      </c>
      <c r="G17" s="704">
        <f>SUM(G18:G23)</f>
        <v>17938364.789999999</v>
      </c>
      <c r="H17" s="703">
        <f t="shared" si="1"/>
        <v>86.5507488818198</v>
      </c>
    </row>
    <row r="18" spans="1:8" x14ac:dyDescent="0.25">
      <c r="A18" s="295" t="s">
        <v>3776</v>
      </c>
      <c r="B18" s="276" t="s">
        <v>3777</v>
      </c>
      <c r="C18" s="705">
        <f>SUM('ПО КОРИСНИЦИМА'!H15376,'ПО КОРИСНИЦИМА'!H14980,'ПО КОРИСНИЦИМА'!H14881,'ПО КОРИСНИЦИМА'!H14782,'ПО КОРИСНИЦИМА'!H14683,'ПО КОРИСНИЦИМА'!H11913,'ПО КОРИСНИЦИМА'!H11077,'ПО КОРИСНИЦИМА'!H10857,'ПО КОРИСНИЦИМА'!H10659,'ПО КОРИСНИЦИМА'!H9071,'ПО КОРИСНИЦИМА'!H8873,'ПО КОРИСНИЦИМА'!H7840,'ПО КОРИСНИЦИМА'!H7460,'ПО КОРИСНИЦИМА'!H6889,'ПО КОРИСНИЦИМА'!H1886,'ПО КОРИСНИЦИМА'!H1784)</f>
        <v>29875550</v>
      </c>
      <c r="D18" s="705">
        <f>SUM('ПО КОРИСНИЦИМА'!I1784,'ПО КОРИСНИЦИМА'!I1886,'ПО КОРИСНИЦИМА'!I7460,'ПО КОРИСНИЦИМА'!I7840,'ПО КОРИСНИЦИМА'!I8873,'ПО КОРИСНИЦИМА'!I10659,'ПО КОРИСНИЦИМА'!I10857,'ПО КОРИСНИЦИМА'!I11077,'ПО КОРИСНИЦИМА'!I11913,'ПО КОРИСНИЦИМА'!I14683,'ПО КОРИСНИЦИМА'!I14881)</f>
        <v>25859490.540000003</v>
      </c>
      <c r="E18" s="703">
        <f t="shared" si="0"/>
        <v>86.557370625812752</v>
      </c>
      <c r="F18" s="705">
        <f>SUMIF('ПО КОРИСНИЦИМА'!$F$9:$F$18203,'По основ. нам.'!A18,'ПО КОРИСНИЦИМА'!$K$9:$K$18203)</f>
        <v>1821990</v>
      </c>
      <c r="G18" s="705">
        <v>1649740.05</v>
      </c>
      <c r="H18" s="703">
        <f t="shared" si="1"/>
        <v>90.546054039813612</v>
      </c>
    </row>
    <row r="19" spans="1:8" x14ac:dyDescent="0.25">
      <c r="A19" s="295">
        <v>422</v>
      </c>
      <c r="B19" s="276" t="s">
        <v>3778</v>
      </c>
      <c r="C19" s="705">
        <f>SUMIF('ПО КОРИСНИЦИМА'!$F$9:$F$18203,'По основ. нам.'!A19,'ПО КОРИСНИЦИМА'!$H$9:$H$18203)</f>
        <v>1700000</v>
      </c>
      <c r="D19" s="705">
        <f>SUM('ПО КОРИСНИЦИМА'!I18040,'ПО КОРИСНИЦИМА'!I14882,'ПО КОРИСНИЦИМА'!I14783,'ПО КОРИСНИЦИМА'!I14684,'ПО КОРИСНИЦИМА'!I11914,'ПО КОРИСНИЦИМА'!I11078,'ПО КОРИСНИЦИМА'!I8874,'ПО КОРИСНИЦИМА'!I1785,'ПО КОРИСНИЦИМА'!I378)</f>
        <v>1064270.7</v>
      </c>
      <c r="E19" s="703">
        <f t="shared" si="0"/>
        <v>62.60415882352941</v>
      </c>
      <c r="F19" s="705">
        <f>SUMIF('ПО КОРИСНИЦИМА'!$F$9:$F$18203,'По основ. нам.'!A19,'ПО КОРИСНИЦИМА'!$K$9:$K$18203)</f>
        <v>345000</v>
      </c>
      <c r="G19" s="705">
        <f>SUM('ПО КОРИСНИЦИМА'!L14276,'ПО КОРИСНИЦИМА'!L11914)</f>
        <v>231420.7</v>
      </c>
      <c r="H19" s="703">
        <f t="shared" si="1"/>
        <v>67.078463768115952</v>
      </c>
    </row>
    <row r="20" spans="1:8" x14ac:dyDescent="0.25">
      <c r="A20" s="295">
        <v>423</v>
      </c>
      <c r="B20" s="276" t="s">
        <v>3779</v>
      </c>
      <c r="C20" s="705">
        <f>SUM('ПО КОРИСНИЦИМА'!H22,'ПО КОРИСНИЦИМА'!H379,'ПО КОРИСНИЦИМА'!H480,'ПО КОРИСНИЦИМА'!H1786,'ПО КОРИСНИЦИМА'!H1888,'ПО КОРИСНИЦИМА'!H6891,'ПО КОРИСНИЦИМА'!H7842,'ПО КОРИСНИЦИМА'!H8875,'ПО КОРИСНИЦИМА'!H8974,'ПО КОРИСНИЦИМА'!H9073,'ПО КОРИСНИЦИМА'!H11079,'ПО КОРИСНИЦИМА'!H11915,'ПО КОРИСНИЦИМА'!H14685,'ПО КОРИСНИЦИМА'!H18041)</f>
        <v>26487769</v>
      </c>
      <c r="D20" s="705">
        <f>SUM('ПО КОРИСНИЦИМА'!I22,'ПО КОРИСНИЦИМА'!I379,'ПО КОРИСНИЦИМА'!I1786,'ПО КОРИСНИЦИМА'!I1888,'ПО КОРИСНИЦИМА'!I6891,'ПО КОРИСНИЦИМА'!I7842,'ПО КОРИСНИЦИМА'!I8875,'ПО КОРИСНИЦИМА'!I8974,'ПО КОРИСНИЦИМА'!I9073,'ПО КОРИСНИЦИМА'!I11079,'ПО КОРИСНИЦИМА'!I11915,'ПО КОРИСНИЦИМА'!I14685,'ПО КОРИСНИЦИМА'!I18041)</f>
        <v>21220290.530000001</v>
      </c>
      <c r="E20" s="703">
        <f t="shared" si="0"/>
        <v>80.113544217332915</v>
      </c>
      <c r="F20" s="705">
        <f>SUMIF('ПО КОРИСНИЦИМА'!$F$9:$F$18203,'По основ. нам.'!A20,'ПО КОРИСНИЦИМА'!$K$9:$K$18203)</f>
        <v>1584750</v>
      </c>
      <c r="G20" s="705">
        <f>SUM('ПО КОРИСНИЦИМА'!L1888,'ПО КОРИСНИЦИМА'!L6891,'ПО КОРИСНИЦИМА'!L8875,'ПО КОРИСНИЦИМА'!L8974,'ПО КОРИСНИЦИМА'!L9073,'ПО КОРИСНИЦИМА'!L11915,'ПО КОРИСНИЦИМА'!L14277)</f>
        <v>3801415.2800000003</v>
      </c>
      <c r="H20" s="703">
        <f t="shared" si="1"/>
        <v>239.87476131882005</v>
      </c>
    </row>
    <row r="21" spans="1:8" x14ac:dyDescent="0.25">
      <c r="A21" s="295" t="s">
        <v>3780</v>
      </c>
      <c r="B21" s="276" t="s">
        <v>3781</v>
      </c>
      <c r="C21" s="705">
        <f>SUM('ПО КОРИСНИЦИМА'!H481,'ПО КОРИСНИЦИМА'!H1787,'ПО КОРИСНИЦИМА'!H1889,'ПО КОРИСНИЦИМА'!H3033,'ПО КОРИСНИЦИМА'!H7843,'ПО КОРИСНИЦИМА'!H8538,'ПО КОРИСНИЦИМА'!H8876,'ПО КОРИСНИЦИМА'!H11080,'ПО КОРИСНИЦИМА'!H11916,'ПО КОРИСНИЦИМА'!H14686,'ПО КОРИСНИЦИМА'!H14785,'ПО КОРИСНИЦИМА'!H14884,'ПО КОРИСНИЦИМА'!H15379)</f>
        <v>69152100</v>
      </c>
      <c r="D21" s="705">
        <f>SUM('ПО КОРИСНИЦИМА'!I14785,'ПО КОРИСНИЦИМА'!I14884,'ПО КОРИСНИЦИМА'!I14686,'ПО КОРИСНИЦИМА'!I11916,'ПО КОРИСНИЦИМА'!I11080,'ПО КОРИСНИЦИМА'!I8538,'ПО КОРИСНИЦИМА'!I7843,'ПО КОРИСНИЦИМА'!I3033,'ПО КОРИСНИЦИМА'!I1889,'ПО КОРИСНИЦИМА'!I1787,'ПО КОРИСНИЦИМА'!I481)</f>
        <v>58276124.870000012</v>
      </c>
      <c r="E21" s="703">
        <f t="shared" si="0"/>
        <v>84.272386333892996</v>
      </c>
      <c r="F21" s="705">
        <f>SUMIF('ПО КОРИСНИЦИМА'!$F$9:$F$18203,'По основ. нам.'!A21,'ПО КОРИСНИЦИМА'!$K$9:$K$18203)</f>
        <v>12505630</v>
      </c>
      <c r="G21" s="705">
        <f>SUM('ПО КОРИСНИЦИМА'!L3033,'ПО КОРИСНИЦИМА'!L11916,'ПО КОРИСНИЦИМА'!L14278)</f>
        <v>8914446.5499999989</v>
      </c>
      <c r="H21" s="703">
        <f t="shared" si="1"/>
        <v>71.283466326766415</v>
      </c>
    </row>
    <row r="22" spans="1:8" x14ac:dyDescent="0.25">
      <c r="A22" s="295" t="s">
        <v>3782</v>
      </c>
      <c r="B22" s="276" t="s">
        <v>3783</v>
      </c>
      <c r="C22" s="705">
        <v>13984205</v>
      </c>
      <c r="D22" s="705">
        <f>SUM('ПО КОРИСНИЦИМА'!I14885,'ПО КОРИСНИЦИМА'!I14786,'ПО КОРИСНИЦИМА'!I14687,'ПО КОРИСНИЦИМА'!I11917,'ПО КОРИСНИЦИМА'!I11081,'ПО КОРИСНИЦИМА'!I10663,'ПО КОРИСНИЦИМА'!I8877,'ПО КОРИСНИЦИМА'!I8539,'ПО КОРИСНИЦИМА'!I7511,'ПО КОРИСНИЦИМА'!I1788)</f>
        <v>11586434.400000002</v>
      </c>
      <c r="E22" s="703">
        <f t="shared" si="0"/>
        <v>82.853722467598274</v>
      </c>
      <c r="F22" s="705">
        <f>SUMIF('ПО КОРИСНИЦИМА'!$F$9:$F$18203,'По основ. нам.'!A22,'ПО КОРИСНИЦИМА'!$K$9:$K$18203)</f>
        <v>955000</v>
      </c>
      <c r="G22" s="705">
        <f>SUM('ПО КОРИСНИЦИМА'!L14279,'ПО КОРИСНИЦИМА'!L11917,'ПО КОРИСНИЦИМА'!L1890)</f>
        <v>691899.34000000008</v>
      </c>
      <c r="H22" s="703">
        <f t="shared" si="1"/>
        <v>72.45019267015708</v>
      </c>
    </row>
    <row r="23" spans="1:8" x14ac:dyDescent="0.25">
      <c r="A23" s="295" t="s">
        <v>3784</v>
      </c>
      <c r="B23" s="276" t="s">
        <v>3785</v>
      </c>
      <c r="C23" s="705">
        <v>45795868</v>
      </c>
      <c r="D23" s="705">
        <f>SUM('ПО КОРИСНИЦИМА'!I18044,'ПО КОРИСНИЦИМА'!I15282,'ПО КОРИСНИЦИМА'!I14886,'ПО КОРИСНИЦИМА'!I14688,'ПО КОРИСНИЦИМА'!I11918,'ПО КОРИСНИЦИМА'!I11082,'ПО КОРИСНИЦИМА'!I10664,'ПО КОРИСНИЦИМА'!I8977,'ПО КОРИСНИЦИМА'!I8878,'ПО КОРИСНИЦИМА'!I8540,'ПО КОРИСНИЦИМА'!I7845,'ПО КОРИСНИЦИМА'!I6894,'ПО КОРИСНИЦИМА'!I1891,'ПО КОРИСНИЦИМА'!I1790)</f>
        <v>38785538.140000001</v>
      </c>
      <c r="E23" s="703">
        <f t="shared" si="0"/>
        <v>84.692221883424068</v>
      </c>
      <c r="F23" s="705">
        <f>SUMIF('ПО КОРИСНИЦИМА'!$F$9:$F$18203,'По основ. нам.'!A23,'ПО КОРИСНИЦИМА'!$K$9:$K$18203)</f>
        <v>3513464.29</v>
      </c>
      <c r="G23" s="705">
        <f>SUM('ПО КОРИСНИЦИМА'!L1790,'ПО КОРИСНИЦИМА'!L1891,'ПО КОРИСНИЦИМА'!L6894,'ПО КОРИСНИЦИМА'!L7512,'ПО КОРИСНИЦИМА'!L8878,'ПО КОРИСНИЦИМА'!L8977,'ПО КОРИСНИЦИМА'!L11082,'ПО КОРИСНИЦИМА'!L11918,'ПО КОРИСНИЦИМА'!L14280,'ПО КОРИСНИЦИМА'!L14688)</f>
        <v>2649442.87</v>
      </c>
      <c r="H23" s="703">
        <f t="shared" si="1"/>
        <v>75.40827659870709</v>
      </c>
    </row>
    <row r="24" spans="1:8" x14ac:dyDescent="0.25">
      <c r="A24" s="293" t="s">
        <v>3786</v>
      </c>
      <c r="B24" s="294" t="s">
        <v>3787</v>
      </c>
      <c r="C24" s="704">
        <f>SUM(C25:C29)</f>
        <v>0</v>
      </c>
      <c r="D24" s="704"/>
      <c r="E24" s="703"/>
      <c r="F24" s="704">
        <f>SUM(F25:F29)</f>
        <v>0</v>
      </c>
      <c r="G24" s="704"/>
      <c r="H24" s="703"/>
    </row>
    <row r="25" spans="1:8" x14ac:dyDescent="0.25">
      <c r="A25" s="295">
        <v>431</v>
      </c>
      <c r="B25" s="276" t="s">
        <v>3788</v>
      </c>
      <c r="C25" s="705">
        <f>SUMIF('ПО КОРИСНИЦИМА'!$F$9:$F$18203,'По основ. нам.'!A25,'ПО КОРИСНИЦИМА'!$H$9:$H$18203)</f>
        <v>0</v>
      </c>
      <c r="D25" s="705"/>
      <c r="E25" s="703"/>
      <c r="F25" s="705">
        <f>SUMIF('ПО КОРИСНИЦИМА'!$F$9:$F$18203,'По основ. нам.'!A25,'ПО КОРИСНИЦИМА'!$K$9:$K$18203)</f>
        <v>0</v>
      </c>
      <c r="G25" s="705"/>
      <c r="H25" s="703"/>
    </row>
    <row r="26" spans="1:8" x14ac:dyDescent="0.25">
      <c r="A26" s="295">
        <v>432</v>
      </c>
      <c r="B26" s="276" t="s">
        <v>3789</v>
      </c>
      <c r="C26" s="705">
        <f>SUMIF('ПО КОРИСНИЦИМА'!$F$9:$F$18203,'По основ. нам.'!A26,'ПО КОРИСНИЦИМА'!$H$9:$H$18203)</f>
        <v>0</v>
      </c>
      <c r="D26" s="705"/>
      <c r="E26" s="703"/>
      <c r="F26" s="705">
        <f>SUMIF('ПО КОРИСНИЦИМА'!$F$9:$F$18203,'По основ. нам.'!A26,'ПО КОРИСНИЦИМА'!$K$9:$K$18203)</f>
        <v>0</v>
      </c>
      <c r="G26" s="705"/>
      <c r="H26" s="703"/>
    </row>
    <row r="27" spans="1:8" x14ac:dyDescent="0.25">
      <c r="A27" s="295">
        <v>433</v>
      </c>
      <c r="B27" s="276" t="s">
        <v>3790</v>
      </c>
      <c r="C27" s="705">
        <f>SUMIF('ПО КОРИСНИЦИМА'!$F$9:$F$18203,'По основ. нам.'!A27,'ПО КОРИСНИЦИМА'!$H$9:$H$18203)</f>
        <v>0</v>
      </c>
      <c r="D27" s="705"/>
      <c r="E27" s="703"/>
      <c r="F27" s="705">
        <f>SUMIF('ПО КОРИСНИЦИМА'!$F$9:$F$18203,'По основ. нам.'!A27,'ПО КОРИСНИЦИМА'!$K$9:$K$18203)</f>
        <v>0</v>
      </c>
      <c r="G27" s="705"/>
      <c r="H27" s="703"/>
    </row>
    <row r="28" spans="1:8" x14ac:dyDescent="0.25">
      <c r="A28" s="295">
        <v>434</v>
      </c>
      <c r="B28" s="276" t="s">
        <v>3791</v>
      </c>
      <c r="C28" s="705">
        <f>SUMIF('ПО КОРИСНИЦИМА'!$F$9:$F$18203,'По основ. нам.'!A28,'ПО КОРИСНИЦИМА'!$H$9:$H$18203)</f>
        <v>0</v>
      </c>
      <c r="D28" s="705"/>
      <c r="E28" s="703"/>
      <c r="F28" s="705">
        <f>SUMIF('ПО КОРИСНИЦИМА'!$F$9:$F$18203,'По основ. нам.'!A28,'ПО КОРИСНИЦИМА'!$K$9:$K$18203)</f>
        <v>0</v>
      </c>
      <c r="G28" s="705"/>
      <c r="H28" s="703"/>
    </row>
    <row r="29" spans="1:8" x14ac:dyDescent="0.25">
      <c r="A29" s="295">
        <v>435</v>
      </c>
      <c r="B29" s="276" t="s">
        <v>3792</v>
      </c>
      <c r="C29" s="705">
        <f>SUMIF('ПО КОРИСНИЦИМА'!$F$9:$F$18203,'По основ. нам.'!A29,'ПО КОРИСНИЦИМА'!$H$9:$H$18203)</f>
        <v>0</v>
      </c>
      <c r="D29" s="705"/>
      <c r="E29" s="703"/>
      <c r="F29" s="705">
        <f>SUMIF('ПО КОРИСНИЦИМА'!$F$9:$F$18203,'По основ. нам.'!A29,'ПО КОРИСНИЦИМА'!$K$9:$K$18203)</f>
        <v>0</v>
      </c>
      <c r="G29" s="705"/>
      <c r="H29" s="703"/>
    </row>
    <row r="30" spans="1:8" x14ac:dyDescent="0.25">
      <c r="A30" s="293" t="s">
        <v>3793</v>
      </c>
      <c r="B30" s="294" t="s">
        <v>3794</v>
      </c>
      <c r="C30" s="704">
        <f>SUM(C31:C34)</f>
        <v>0</v>
      </c>
      <c r="D30" s="704"/>
      <c r="E30" s="703"/>
      <c r="F30" s="704">
        <f>SUM(F31:F34)</f>
        <v>0</v>
      </c>
      <c r="G30" s="704"/>
      <c r="H30" s="703"/>
    </row>
    <row r="31" spans="1:8" x14ac:dyDescent="0.25">
      <c r="A31" s="295">
        <v>441</v>
      </c>
      <c r="B31" s="276" t="s">
        <v>3795</v>
      </c>
      <c r="C31" s="705">
        <f>SUMIF('ПО КОРИСНИЦИМА'!$F$9:$F$18203,'По основ. нам.'!A31,'ПО КОРИСНИЦИМА'!$H$9:$H$18203)</f>
        <v>0</v>
      </c>
      <c r="D31" s="705"/>
      <c r="E31" s="703"/>
      <c r="F31" s="705">
        <f>SUMIF('ПО КОРИСНИЦИМА'!$F$9:$F$18203,'По основ. нам.'!A31,'ПО КОРИСНИЦИМА'!$K$9:$K$18203)</f>
        <v>0</v>
      </c>
      <c r="G31" s="705"/>
      <c r="H31" s="703"/>
    </row>
    <row r="32" spans="1:8" x14ac:dyDescent="0.25">
      <c r="A32" s="295">
        <v>442</v>
      </c>
      <c r="B32" s="276" t="s">
        <v>3796</v>
      </c>
      <c r="C32" s="705">
        <f>SUMIF('ПО КОРИСНИЦИМА'!$F$9:$F$18203,'По основ. нам.'!A32,'ПО КОРИСНИЦИМА'!$H$9:$H$18203)</f>
        <v>0</v>
      </c>
      <c r="D32" s="705"/>
      <c r="E32" s="703"/>
      <c r="F32" s="705">
        <f>SUMIF('ПО КОРИСНИЦИМА'!$F$9:$F$18203,'По основ. нам.'!A32,'ПО КОРИСНИЦИМА'!$K$9:$K$18203)</f>
        <v>0</v>
      </c>
      <c r="G32" s="705"/>
      <c r="H32" s="703"/>
    </row>
    <row r="33" spans="1:8" x14ac:dyDescent="0.25">
      <c r="A33" s="295">
        <v>443</v>
      </c>
      <c r="B33" s="276" t="s">
        <v>3797</v>
      </c>
      <c r="C33" s="705">
        <f>SUMIF('ПО КОРИСНИЦИМА'!$F$9:$F$18203,'По основ. нам.'!A33,'ПО КОРИСНИЦИМА'!$H$9:$H$18203)</f>
        <v>0</v>
      </c>
      <c r="D33" s="705"/>
      <c r="E33" s="703"/>
      <c r="F33" s="705">
        <f>SUMIF('ПО КОРИСНИЦИМА'!$F$9:$F$18203,'По основ. нам.'!A33,'ПО КОРИСНИЦИМА'!$K$9:$K$18203)</f>
        <v>0</v>
      </c>
      <c r="G33" s="705"/>
      <c r="H33" s="703"/>
    </row>
    <row r="34" spans="1:8" x14ac:dyDescent="0.25">
      <c r="A34" s="297">
        <v>444</v>
      </c>
      <c r="B34" s="298" t="s">
        <v>3798</v>
      </c>
      <c r="C34" s="705">
        <f>SUMIF('ПО КОРИСНИЦИМА'!$F$9:$F$18203,'По основ. нам.'!A34,'ПО КОРИСНИЦИМА'!$H$9:$H$18203)</f>
        <v>0</v>
      </c>
      <c r="D34" s="705"/>
      <c r="E34" s="703"/>
      <c r="F34" s="705">
        <f>SUMIF('ПО КОРИСНИЦИМА'!$F$9:$F$18203,'По основ. нам.'!A34,'ПО КОРИСНИЦИМА'!$K$9:$K$18203)</f>
        <v>0</v>
      </c>
      <c r="G34" s="705"/>
      <c r="H34" s="703"/>
    </row>
    <row r="35" spans="1:8" x14ac:dyDescent="0.25">
      <c r="A35" s="293" t="s">
        <v>3799</v>
      </c>
      <c r="B35" s="294" t="s">
        <v>3800</v>
      </c>
      <c r="C35" s="704">
        <f>SUM(C36:C40)</f>
        <v>24900000</v>
      </c>
      <c r="D35" s="704">
        <f>SUM(D36)</f>
        <v>23897421.359999999</v>
      </c>
      <c r="E35" s="703">
        <f t="shared" si="0"/>
        <v>95.973579759036141</v>
      </c>
      <c r="F35" s="704">
        <f>SUM(F36:F40)</f>
        <v>0</v>
      </c>
      <c r="G35" s="704"/>
      <c r="H35" s="703"/>
    </row>
    <row r="36" spans="1:8" x14ac:dyDescent="0.25">
      <c r="A36" s="295" t="s">
        <v>3856</v>
      </c>
      <c r="B36" s="83" t="s">
        <v>1692</v>
      </c>
      <c r="C36" s="705">
        <f>SUMIF('ПО КОРИСНИЦИМА'!$F$9:$F$18203,'По основ. нам.'!A36,'ПО КОРИСНИЦИМА'!$H$9:$H$18203)</f>
        <v>24900000</v>
      </c>
      <c r="D36" s="705">
        <f>SUM('ПО КОРИСНИЦИМА'!I393,'ПО КОРИСНИЦИМА'!I7855)</f>
        <v>23897421.359999999</v>
      </c>
      <c r="E36" s="703">
        <f t="shared" si="0"/>
        <v>95.973579759036141</v>
      </c>
      <c r="F36" s="705">
        <f>SUMIF('ПО КОРИСНИЦИМА'!$F$9:$F$18203,'По основ. нам.'!A36,'ПО КОРИСНИЦИМА'!$K$9:$K$18203)</f>
        <v>0</v>
      </c>
      <c r="G36" s="705"/>
      <c r="H36" s="703"/>
    </row>
    <row r="37" spans="1:8" x14ac:dyDescent="0.25">
      <c r="A37" s="295" t="s">
        <v>3857</v>
      </c>
      <c r="B37" s="83" t="s">
        <v>1701</v>
      </c>
      <c r="C37" s="705">
        <f>SUMIF('ПО КОРИСНИЦИМА'!$F$9:$F$18203,'По основ. нам.'!A37,'ПО КОРИСНИЦИМА'!$H$9:$H$18203)</f>
        <v>0</v>
      </c>
      <c r="D37" s="705"/>
      <c r="E37" s="703"/>
      <c r="F37" s="705">
        <f>SUMIF('ПО КОРИСНИЦИМА'!$F$9:$F$18203,'По основ. нам.'!A37,'ПО КОРИСНИЦИМА'!$K$9:$K$18203)</f>
        <v>0</v>
      </c>
      <c r="G37" s="705"/>
      <c r="H37" s="703"/>
    </row>
    <row r="38" spans="1:8" x14ac:dyDescent="0.25">
      <c r="A38" s="295" t="s">
        <v>3858</v>
      </c>
      <c r="B38" s="276" t="s">
        <v>3801</v>
      </c>
      <c r="C38" s="705">
        <f>SUMIF('ПО КОРИСНИЦИМА'!$F$9:$F$18203,'По основ. нам.'!A38,'ПО КОРИСНИЦИМА'!$H$9:$H$18203)</f>
        <v>0</v>
      </c>
      <c r="D38" s="705"/>
      <c r="E38" s="703"/>
      <c r="F38" s="705">
        <f>SUMIF('ПО КОРИСНИЦИМА'!$F$9:$F$18203,'По основ. нам.'!A38,'ПО КОРИСНИЦИМА'!$K$9:$K$18203)</f>
        <v>0</v>
      </c>
      <c r="G38" s="705"/>
      <c r="H38" s="703"/>
    </row>
    <row r="39" spans="1:8" x14ac:dyDescent="0.25">
      <c r="A39" s="295">
        <v>453</v>
      </c>
      <c r="B39" s="276" t="s">
        <v>3802</v>
      </c>
      <c r="C39" s="705">
        <f>SUMIF('ПО КОРИСНИЦИМА'!$F$9:$F$18203,'По основ. нам.'!A39,'ПО КОРИСНИЦИМА'!$H$9:$H$18203)</f>
        <v>0</v>
      </c>
      <c r="D39" s="705"/>
      <c r="E39" s="703"/>
      <c r="F39" s="705">
        <f>SUMIF('ПО КОРИСНИЦИМА'!$F$9:$F$18203,'По основ. нам.'!A39,'ПО КОРИСНИЦИМА'!$K$9:$K$18203)</f>
        <v>0</v>
      </c>
      <c r="G39" s="705"/>
      <c r="H39" s="703"/>
    </row>
    <row r="40" spans="1:8" x14ac:dyDescent="0.25">
      <c r="A40" s="295">
        <v>454</v>
      </c>
      <c r="B40" s="276" t="s">
        <v>3803</v>
      </c>
      <c r="C40" s="705">
        <f>SUMIF('ПО КОРИСНИЦИМА'!$F$9:$F$18203,'По основ. нам.'!A40,'ПО КОРИСНИЦИМА'!$H$9:$H$18203)</f>
        <v>0</v>
      </c>
      <c r="D40" s="705"/>
      <c r="E40" s="703"/>
      <c r="F40" s="705">
        <f>SUMIF('ПО КОРИСНИЦИМА'!$F$9:$F$18203,'По основ. нам.'!A40,'ПО КОРИСНИЦИМА'!$K$9:$K$18203)</f>
        <v>0</v>
      </c>
      <c r="G40" s="705"/>
      <c r="H40" s="703"/>
    </row>
    <row r="41" spans="1:8" x14ac:dyDescent="0.25">
      <c r="A41" s="293" t="s">
        <v>3804</v>
      </c>
      <c r="B41" s="294" t="s">
        <v>3715</v>
      </c>
      <c r="C41" s="704">
        <f>SUM(C42:C47)</f>
        <v>52266120</v>
      </c>
      <c r="D41" s="704">
        <f>SUM(D44:D47)</f>
        <v>46940092.57</v>
      </c>
      <c r="E41" s="703">
        <f t="shared" si="0"/>
        <v>89.80978991744557</v>
      </c>
      <c r="F41" s="704">
        <f>SUM(F42:F47)</f>
        <v>0</v>
      </c>
      <c r="G41" s="704"/>
      <c r="H41" s="703"/>
    </row>
    <row r="42" spans="1:8" x14ac:dyDescent="0.25">
      <c r="A42" s="299">
        <v>461</v>
      </c>
      <c r="B42" s="300" t="s">
        <v>3805</v>
      </c>
      <c r="C42" s="705">
        <f>SUMIF('ПО КОРИСНИЦИМА'!$F$9:$F$18203,'По основ. нам.'!A42,'ПО КОРИСНИЦИМА'!$H$9:$H$18203)</f>
        <v>0</v>
      </c>
      <c r="D42" s="705"/>
      <c r="E42" s="703"/>
      <c r="F42" s="705">
        <f>SUMIF('ПО КОРИСНИЦИМА'!$F$9:$F$18203,'По основ. нам.'!A42,'ПО КОРИСНИЦИМА'!$K$9:$K$18203)</f>
        <v>0</v>
      </c>
      <c r="G42" s="705"/>
      <c r="H42" s="703"/>
    </row>
    <row r="43" spans="1:8" ht="30" x14ac:dyDescent="0.25">
      <c r="A43" s="299">
        <v>462</v>
      </c>
      <c r="B43" s="300" t="s">
        <v>3806</v>
      </c>
      <c r="C43" s="705">
        <f>SUMIF('ПО КОРИСНИЦИМА'!$F$9:$F$18203,'По основ. нам.'!A43,'ПО КОРИСНИЦИМА'!$H$9:$H$18203)</f>
        <v>0</v>
      </c>
      <c r="D43" s="705"/>
      <c r="E43" s="703"/>
      <c r="F43" s="705">
        <f>SUMIF('ПО КОРИСНИЦИМА'!$F$9:$F$18203,'По основ. нам.'!A43,'ПО КОРИСНИЦИМА'!$K$9:$K$18203)</f>
        <v>0</v>
      </c>
      <c r="G43" s="705"/>
      <c r="H43" s="703"/>
    </row>
    <row r="44" spans="1:8" x14ac:dyDescent="0.25">
      <c r="A44" s="299">
        <v>4631</v>
      </c>
      <c r="B44" s="300" t="s">
        <v>3807</v>
      </c>
      <c r="C44" s="705">
        <f>SUMIF('ПО КОРИСНИЦИМА'!$F$9:$F$18203,'По основ. нам.'!A44,'ПО КОРИСНИЦИМА'!$H$9:$H$18203)</f>
        <v>34886900</v>
      </c>
      <c r="D44" s="705">
        <f>SUM('ПО КОРИСНИЦИМА'!I4236,'ПО КОРИСНИЦИМА'!I4370,'ПО КОРИСНИЦИМА'!I5922,'ПО КОРИСНИЦИМА'!I6066)</f>
        <v>31920773.899999999</v>
      </c>
      <c r="E44" s="703">
        <f t="shared" si="0"/>
        <v>91.497880006535411</v>
      </c>
      <c r="F44" s="705">
        <f>SUMIF('ПО КОРИСНИЦИМА'!$F$9:$F$18203,'По основ. нам.'!A44,'ПО КОРИСНИЦИМА'!$K$9:$K$18203)</f>
        <v>0</v>
      </c>
      <c r="G44" s="705"/>
      <c r="H44" s="703"/>
    </row>
    <row r="45" spans="1:8" ht="30" x14ac:dyDescent="0.25">
      <c r="A45" s="299">
        <v>4632</v>
      </c>
      <c r="B45" s="300" t="s">
        <v>3808</v>
      </c>
      <c r="C45" s="705">
        <f>SUMIF('ПО КОРИСНИЦИМА'!$F$9:$F$18203,'По основ. нам.'!A45,'ПО КОРИСНИЦИМА'!$H$9:$H$18203)</f>
        <v>1731200</v>
      </c>
      <c r="D45" s="705">
        <f>SUM('ПО КОРИСНИЦИМА'!I4707)</f>
        <v>931200</v>
      </c>
      <c r="E45" s="703">
        <f t="shared" si="0"/>
        <v>53.789279112754166</v>
      </c>
      <c r="F45" s="705">
        <f>SUMIF('ПО КОРИСНИЦИМА'!$F$9:$F$18203,'По основ. нам.'!A45,'ПО КОРИСНИЦИМА'!$K$9:$K$18203)</f>
        <v>0</v>
      </c>
      <c r="G45" s="705"/>
      <c r="H45" s="703"/>
    </row>
    <row r="46" spans="1:8" ht="30" x14ac:dyDescent="0.25">
      <c r="A46" s="299">
        <v>464</v>
      </c>
      <c r="B46" s="300" t="s">
        <v>3809</v>
      </c>
      <c r="C46" s="705">
        <f>SUMIF('ПО КОРИСНИЦИМА'!$F$9:$F$18203,'По основ. нам.'!A46,'ПО КОРИСНИЦИМА'!$H$9:$H$18203)</f>
        <v>3650000</v>
      </c>
      <c r="D46" s="705">
        <f>SUM('ПО КОРИСНИЦИМА'!I5216)</f>
        <v>3125836.02</v>
      </c>
      <c r="E46" s="703">
        <f t="shared" si="0"/>
        <v>85.639343013698635</v>
      </c>
      <c r="F46" s="705">
        <f>SUMIF('ПО КОРИСНИЦИМА'!$F$9:$F$18203,'По основ. нам.'!A46,'ПО КОРИСНИЦИМА'!$K$9:$K$18203)</f>
        <v>0</v>
      </c>
      <c r="G46" s="705"/>
      <c r="H46" s="703"/>
    </row>
    <row r="47" spans="1:8" x14ac:dyDescent="0.25">
      <c r="A47" s="299">
        <v>465</v>
      </c>
      <c r="B47" s="300" t="s">
        <v>3810</v>
      </c>
      <c r="C47" s="705">
        <f>SUMIF('ПО КОРИСНИЦИМА'!$F$9:$F$18203,'По основ. нам.'!A47,'ПО КОРИСНИЦИМА'!$H$9:$H$18203)</f>
        <v>11998020</v>
      </c>
      <c r="D47" s="705">
        <f>SUM('ПО КОРИСНИЦИМА'!I403,'ПО КОРИСНИЦИМА'!I1810,'ПО КОРИСНИЦИМА'!I8898,'ПО КОРИСНИЦИМА'!I11102,'ПО КОРИСНИЦИМА'!I11938,'ПО КОРИСНИЦИМА'!I14300,'ПО КОРИСНИЦИМА'!I14708,'ПО КОРИСНИЦИМА'!I18064)</f>
        <v>10962282.649999999</v>
      </c>
      <c r="E47" s="703">
        <f t="shared" si="0"/>
        <v>91.367431042788709</v>
      </c>
      <c r="F47" s="705">
        <f>SUMIF('ПО КОРИСНИЦИМА'!$F$9:$F$18203,'По основ. нам.'!A47,'ПО КОРИСНИЦИМА'!$K$9:$K$18203)</f>
        <v>0</v>
      </c>
      <c r="G47" s="705">
        <f>SUM('ПО КОРИСНИЦИМА'!R14885)</f>
        <v>0</v>
      </c>
      <c r="H47" s="703"/>
    </row>
    <row r="48" spans="1:8" x14ac:dyDescent="0.25">
      <c r="A48" s="293" t="s">
        <v>3811</v>
      </c>
      <c r="B48" s="294" t="s">
        <v>3812</v>
      </c>
      <c r="C48" s="704">
        <f>SUM(C49)</f>
        <v>4500000</v>
      </c>
      <c r="D48" s="704">
        <f>SUM(D49)</f>
        <v>2854584.27</v>
      </c>
      <c r="E48" s="703">
        <f t="shared" si="0"/>
        <v>63.435206000000001</v>
      </c>
      <c r="F48" s="704">
        <f>SUM(F49)</f>
        <v>240000</v>
      </c>
      <c r="G48" s="704">
        <f>SUM(G49)</f>
        <v>240000</v>
      </c>
      <c r="H48" s="703">
        <f t="shared" si="1"/>
        <v>100</v>
      </c>
    </row>
    <row r="49" spans="1:8" x14ac:dyDescent="0.25">
      <c r="A49" s="295">
        <v>472</v>
      </c>
      <c r="B49" s="276" t="s">
        <v>3813</v>
      </c>
      <c r="C49" s="705">
        <f>SUMIF('ПО КОРИСНИЦИМА'!$F$9:$F$18203,'По основ. нам.'!A49,'ПО КОРИСНИЦИМА'!$H$9:$H$18203)</f>
        <v>4500000</v>
      </c>
      <c r="D49" s="705">
        <f>SUM('ПО КОРИСНИЦИМА'!I4270)</f>
        <v>2854584.27</v>
      </c>
      <c r="E49" s="703">
        <f t="shared" si="0"/>
        <v>63.435206000000001</v>
      </c>
      <c r="F49" s="705">
        <f>SUMIF('ПО КОРИСНИЦИМА'!$F$9:$F$18203,'По основ. нам.'!A49,'ПО КОРИСНИЦИМА'!$K$9:$K$18203)</f>
        <v>240000</v>
      </c>
      <c r="G49" s="705">
        <f>SUM('ПО КОРИСНИЦИМА'!L4435)</f>
        <v>240000</v>
      </c>
      <c r="H49" s="703">
        <f t="shared" si="1"/>
        <v>100</v>
      </c>
    </row>
    <row r="50" spans="1:8" x14ac:dyDescent="0.25">
      <c r="A50" s="293" t="s">
        <v>3814</v>
      </c>
      <c r="B50" s="294" t="s">
        <v>3815</v>
      </c>
      <c r="C50" s="704">
        <f>SUM(C51:C56)</f>
        <v>40683107</v>
      </c>
      <c r="D50" s="704">
        <f>SUM(D51:D56)</f>
        <v>34951762.870000005</v>
      </c>
      <c r="E50" s="703">
        <f t="shared" si="0"/>
        <v>85.912226099152178</v>
      </c>
      <c r="F50" s="704">
        <f>SUM(F51:F56)</f>
        <v>915100</v>
      </c>
      <c r="G50" s="704">
        <f>SUM(G51:G55)</f>
        <v>771373.17999999993</v>
      </c>
      <c r="H50" s="703">
        <f t="shared" si="1"/>
        <v>84.293867336903062</v>
      </c>
    </row>
    <row r="51" spans="1:8" x14ac:dyDescent="0.25">
      <c r="A51" s="295">
        <v>481</v>
      </c>
      <c r="B51" s="276" t="s">
        <v>3816</v>
      </c>
      <c r="C51" s="705">
        <f>SUMIF('ПО КОРИСНИЦИМА'!$F$9:$F$18203,'По основ. нам.'!A51,'ПО КОРИСНИЦИМА'!$H$9:$H$18203)</f>
        <v>16293395</v>
      </c>
      <c r="D51" s="705">
        <f>SUM('ПО КОРИСНИЦИМА'!I47,'ПО КОРИСНИЦИМА'!I4611,'ПО КОРИСНИЦИМА'!I4810,'ПО КОРИСНИЦИМА'!I4909,'ПО КОРИСНИЦИМА'!I5257,'ПО КОРИСНИЦИМА'!I5574)</f>
        <v>14910995.689999999</v>
      </c>
      <c r="E51" s="703">
        <f t="shared" si="0"/>
        <v>91.515584628004163</v>
      </c>
      <c r="F51" s="705">
        <f>SUMIF('ПО КОРИСНИЦИМА'!$F$9:$F$18203,'По основ. нам.'!A51,'ПО КОРИСНИЦИМА'!$K$9:$K$18203)</f>
        <v>914100</v>
      </c>
      <c r="G51" s="705">
        <f>SUM('ПО КОРИСНИЦИМА'!L4941)</f>
        <v>368497</v>
      </c>
      <c r="H51" s="703">
        <f t="shared" si="1"/>
        <v>40.312547861284322</v>
      </c>
    </row>
    <row r="52" spans="1:8" x14ac:dyDescent="0.25">
      <c r="A52" s="295">
        <v>482</v>
      </c>
      <c r="B52" s="276" t="s">
        <v>3817</v>
      </c>
      <c r="C52" s="705">
        <f>SUMIF('ПО КОРИСНИЦИМА'!$F$9:$F$18203,'По основ. нам.'!A52,'ПО КОРИСНИЦИМА'!$H$9:$H$18203)</f>
        <v>5620000</v>
      </c>
      <c r="D52" s="705">
        <f>SUM('ПО КОРИСНИЦИМА'!I1813,'ПО КОРИСНИЦИМА'!I11105,'ПО КОРИСНИЦИМА'!I14711)</f>
        <v>5170020.91</v>
      </c>
      <c r="E52" s="703">
        <f t="shared" si="0"/>
        <v>91.993254626334519</v>
      </c>
      <c r="F52" s="705">
        <f>SUMIF('ПО КОРИСНИЦИМА'!$F$9:$F$18203,'По основ. нам.'!A52,'ПО КОРИСНИЦИМА'!$K$9:$K$18203)</f>
        <v>1000</v>
      </c>
      <c r="G52" s="705">
        <f>SUM('ПО КОРИСНИЦИМА'!L11941)</f>
        <v>0</v>
      </c>
      <c r="H52" s="703">
        <f t="shared" si="1"/>
        <v>0</v>
      </c>
    </row>
    <row r="53" spans="1:8" x14ac:dyDescent="0.25">
      <c r="A53" s="295">
        <v>483</v>
      </c>
      <c r="B53" s="276" t="s">
        <v>3818</v>
      </c>
      <c r="C53" s="705">
        <f>SUMIF('ПО КОРИСНИЦИМА'!$F$9:$F$18203,'По основ. нам.'!A53,'ПО КОРИСНИЦИМА'!$H$9:$H$18203)</f>
        <v>5661000</v>
      </c>
      <c r="D53" s="705">
        <f>SUM('ПО КОРИСНИЦИМА'!I14712,'ПО КОРИСНИЦИМА'!I407)</f>
        <v>4644281.5999999996</v>
      </c>
      <c r="E53" s="703">
        <f t="shared" si="0"/>
        <v>82.039950538774065</v>
      </c>
      <c r="F53" s="705">
        <f>SUMIF('ПО КОРИСНИЦИМА'!$F$9:$F$18203,'По основ. нам.'!A53,'ПО КОРИСНИЦИМА'!$K$9:$K$18203)</f>
        <v>0</v>
      </c>
      <c r="G53" s="705">
        <f>SUM('ПО КОРИСНИЦИМА'!L14712)</f>
        <v>402876.18</v>
      </c>
      <c r="H53" s="703"/>
    </row>
    <row r="54" spans="1:8" x14ac:dyDescent="0.25">
      <c r="A54" s="295">
        <v>484</v>
      </c>
      <c r="B54" s="276" t="s">
        <v>3819</v>
      </c>
      <c r="C54" s="705">
        <f>SUMIF('ПО КОРИСНИЦИМА'!$F$9:$F$18203,'По основ. нам.'!A54,'ПО КОРИСНИЦИМА'!$H$9:$H$18203)</f>
        <v>9652541</v>
      </c>
      <c r="D54" s="705">
        <f>SUM('ПО КОРИСНИЦИМА'!I508)</f>
        <v>7494271.2999999998</v>
      </c>
      <c r="E54" s="703">
        <f t="shared" si="0"/>
        <v>77.640398523041753</v>
      </c>
      <c r="F54" s="705">
        <f>SUMIF('ПО КОРИСНИЦИМА'!$F$9:$F$18203,'По основ. нам.'!A54,'ПО КОРИСНИЦИМА'!$K$9:$K$18203)</f>
        <v>0</v>
      </c>
      <c r="G54" s="705"/>
      <c r="H54" s="703"/>
    </row>
    <row r="55" spans="1:8" x14ac:dyDescent="0.25">
      <c r="A55" s="295">
        <v>485</v>
      </c>
      <c r="B55" s="276" t="s">
        <v>3820</v>
      </c>
      <c r="C55" s="705">
        <f>SUMIF('ПО КОРИСНИЦИМА'!$F$9:$F$18203,'По основ. нам.'!A55,'ПО КОРИСНИЦИМА'!$H$9:$H$18203)</f>
        <v>3456171</v>
      </c>
      <c r="D55" s="705">
        <f>SUM('ПО КОРИСНИЦИМА'!I409,'ПО КОРИСНИЦИМА'!I14714)</f>
        <v>2732193.37</v>
      </c>
      <c r="E55" s="703">
        <f t="shared" si="0"/>
        <v>79.052609665436108</v>
      </c>
      <c r="F55" s="705">
        <f>SUMIF('ПО КОРИСНИЦИМА'!$F$9:$F$18203,'По основ. нам.'!A55,'ПО КОРИСНИЦИМА'!$K$9:$K$18203)</f>
        <v>0</v>
      </c>
      <c r="G55" s="705"/>
      <c r="H55" s="703"/>
    </row>
    <row r="56" spans="1:8" x14ac:dyDescent="0.25">
      <c r="A56" s="295">
        <v>489</v>
      </c>
      <c r="B56" s="276" t="s">
        <v>3821</v>
      </c>
      <c r="C56" s="705">
        <f>SUMIF('ПО КОРИСНИЦИМА'!$F$9:$F$18203,'По основ. нам.'!A56,'ПО КОРИСНИЦИМА'!$H$9:$H$18203)</f>
        <v>0</v>
      </c>
      <c r="D56" s="705"/>
      <c r="E56" s="703"/>
      <c r="F56" s="705">
        <f>SUMIF('ПО КОРИСНИЦИМА'!$F$9:$F$18203,'По основ. нам.'!A56,'ПО КОРИСНИЦИМА'!$K$9:$K$18203)</f>
        <v>0</v>
      </c>
      <c r="G56" s="705"/>
      <c r="H56" s="703"/>
    </row>
    <row r="57" spans="1:8" ht="29.25" x14ac:dyDescent="0.25">
      <c r="A57" s="301">
        <v>490</v>
      </c>
      <c r="B57" s="302" t="s">
        <v>3822</v>
      </c>
      <c r="C57" s="704">
        <f>SUM(C58:C63)</f>
        <v>837247</v>
      </c>
      <c r="D57" s="704"/>
      <c r="E57" s="703">
        <f t="shared" si="0"/>
        <v>0</v>
      </c>
      <c r="F57" s="704">
        <f>SUM(F62:F63)</f>
        <v>0</v>
      </c>
      <c r="G57" s="704"/>
      <c r="H57" s="703"/>
    </row>
    <row r="58" spans="1:8" ht="30" x14ac:dyDescent="0.25">
      <c r="A58" s="303">
        <v>494</v>
      </c>
      <c r="B58" s="304" t="s">
        <v>4171</v>
      </c>
      <c r="C58" s="705">
        <f>SUMIF('ПО КОРИСНИЦИМА'!$F$9:$F$18203,'По основ. нам.'!A58,'ПО КОРИСНИЦИМА'!$H$9:$H$18203)</f>
        <v>0</v>
      </c>
      <c r="D58" s="705"/>
      <c r="E58" s="703"/>
      <c r="F58" s="705">
        <f>SUMIF('ПО КОРИСНИЦИМА'!$F$9:$F$18203,'По основ. нам.'!A58,'ПО КОРИСНИЦИМА'!$K$9:$K$18203)</f>
        <v>0</v>
      </c>
      <c r="G58" s="705"/>
      <c r="H58" s="703"/>
    </row>
    <row r="59" spans="1:8" ht="30" x14ac:dyDescent="0.25">
      <c r="A59" s="303">
        <v>495</v>
      </c>
      <c r="B59" s="304" t="s">
        <v>4172</v>
      </c>
      <c r="C59" s="705">
        <f>SUMIF('ПО КОРИСНИЦИМА'!$F$9:$F$18203,'По основ. нам.'!A59,'ПО КОРИСНИЦИМА'!$H$9:$H$18203)</f>
        <v>0</v>
      </c>
      <c r="D59" s="705"/>
      <c r="E59" s="703"/>
      <c r="F59" s="705">
        <f>SUMIF('ПО КОРИСНИЦИМА'!$F$9:$F$18203,'По основ. нам.'!A59,'ПО КОРИСНИЦИМА'!$K$9:$K$18203)</f>
        <v>0</v>
      </c>
      <c r="G59" s="705"/>
      <c r="H59" s="703"/>
    </row>
    <row r="60" spans="1:8" ht="35.25" customHeight="1" x14ac:dyDescent="0.25">
      <c r="A60" s="303">
        <v>496</v>
      </c>
      <c r="B60" s="304" t="s">
        <v>4173</v>
      </c>
      <c r="C60" s="705">
        <f>SUMIF('ПО КОРИСНИЦИМА'!$F$9:$F$18203,'По основ. нам.'!A60,'ПО КОРИСНИЦИМА'!$H$9:$H$18203)</f>
        <v>0</v>
      </c>
      <c r="D60" s="705"/>
      <c r="E60" s="703"/>
      <c r="F60" s="705">
        <f>SUMIF('ПО КОРИСНИЦИМА'!$F$9:$F$18203,'По основ. нам.'!A60,'ПО КОРИСНИЦИМА'!$K$9:$K$18203)</f>
        <v>0</v>
      </c>
      <c r="G60" s="705"/>
      <c r="H60" s="703"/>
    </row>
    <row r="61" spans="1:8" ht="21.75" customHeight="1" x14ac:dyDescent="0.25">
      <c r="A61" s="303">
        <v>499</v>
      </c>
      <c r="B61" s="304" t="s">
        <v>4174</v>
      </c>
      <c r="C61" s="705">
        <f>SUMIF('ПО КОРИСНИЦИМА'!$F$9:$F$18203,'По основ. нам.'!A61,'ПО КОРИСНИЦИМА'!$H$9:$H$18203)</f>
        <v>0</v>
      </c>
      <c r="D61" s="705"/>
      <c r="E61" s="703"/>
      <c r="F61" s="705">
        <f>SUMIF('ПО КОРИСНИЦИМА'!$F$9:$F$18203,'По основ. нам.'!A61,'ПО КОРИСНИЦИМА'!$K$9:$K$18203)</f>
        <v>0</v>
      </c>
      <c r="G61" s="705"/>
      <c r="H61" s="703"/>
    </row>
    <row r="62" spans="1:8" x14ac:dyDescent="0.25">
      <c r="A62" s="303">
        <v>49911</v>
      </c>
      <c r="B62" s="304" t="s">
        <v>3823</v>
      </c>
      <c r="C62" s="705">
        <f>SUMIF('ПО КОРИСНИЦИМА'!$F$9:$F$18203,'По основ. нам.'!A62,'ПО КОРИСНИЦИМА'!$H$9:$H$18203)</f>
        <v>420047</v>
      </c>
      <c r="D62" s="705"/>
      <c r="E62" s="703">
        <f t="shared" si="0"/>
        <v>0</v>
      </c>
      <c r="F62" s="705">
        <f>SUMIF('ПО КОРИСНИЦИМА'!$F$9:$F$18203,'По основ. нам.'!A62,'ПО КОРИСНИЦИМА'!$K$9:$K$18203)</f>
        <v>0</v>
      </c>
      <c r="G62" s="705"/>
      <c r="H62" s="703"/>
    </row>
    <row r="63" spans="1:8" x14ac:dyDescent="0.25">
      <c r="A63" s="295" t="s">
        <v>3824</v>
      </c>
      <c r="B63" s="276" t="s">
        <v>3825</v>
      </c>
      <c r="C63" s="705">
        <f>SUMIF('ПО КОРИСНИЦИМА'!$F$9:$F$18203,'По основ. нам.'!A63,'ПО КОРИСНИЦИМА'!$H$9:$H$18203)</f>
        <v>417200</v>
      </c>
      <c r="D63" s="705"/>
      <c r="E63" s="703">
        <f t="shared" si="0"/>
        <v>0</v>
      </c>
      <c r="F63" s="705">
        <f>SUMIF('ПО КОРИСНИЦИМА'!$F$9:$F$18203,'По основ. нам.'!A63,'ПО КОРИСНИЦИМА'!$K$9:$K$18203)</f>
        <v>0</v>
      </c>
      <c r="G63" s="705"/>
      <c r="H63" s="703"/>
    </row>
    <row r="64" spans="1:8" x14ac:dyDescent="0.25">
      <c r="A64" s="305" t="s">
        <v>3964</v>
      </c>
      <c r="B64" s="306" t="s">
        <v>4474</v>
      </c>
      <c r="C64" s="706">
        <f>SUM(C65,C71,C76)</f>
        <v>171533000</v>
      </c>
      <c r="D64" s="706">
        <f>SUM(D65,D76)</f>
        <v>131444482.44</v>
      </c>
      <c r="E64" s="703">
        <f t="shared" si="0"/>
        <v>76.62926809418596</v>
      </c>
      <c r="F64" s="706">
        <f>SUM(F65,F71,F76,F80)</f>
        <v>8774925.7100000009</v>
      </c>
      <c r="G64" s="706">
        <f>SUM(G65)</f>
        <v>8294803.8000000007</v>
      </c>
      <c r="H64" s="703">
        <f t="shared" si="1"/>
        <v>94.528478919737765</v>
      </c>
    </row>
    <row r="65" spans="1:8" x14ac:dyDescent="0.25">
      <c r="A65" s="293" t="s">
        <v>3826</v>
      </c>
      <c r="B65" s="294" t="s">
        <v>3827</v>
      </c>
      <c r="C65" s="704">
        <f>SUM(C66:C70)</f>
        <v>169133000</v>
      </c>
      <c r="D65" s="704">
        <f>SUM(D66:D70)</f>
        <v>129211343.34</v>
      </c>
      <c r="E65" s="703">
        <f t="shared" si="0"/>
        <v>76.396293650559031</v>
      </c>
      <c r="F65" s="704">
        <f>SUM(F66:F70)</f>
        <v>8774925.7100000009</v>
      </c>
      <c r="G65" s="704">
        <f>SUM(G66:G70)</f>
        <v>8294803.8000000007</v>
      </c>
      <c r="H65" s="703">
        <f t="shared" si="1"/>
        <v>94.528478919737765</v>
      </c>
    </row>
    <row r="66" spans="1:8" x14ac:dyDescent="0.25">
      <c r="A66" s="295">
        <v>511</v>
      </c>
      <c r="B66" s="276" t="s">
        <v>3828</v>
      </c>
      <c r="C66" s="705">
        <f>SUMIF('ПО КОРИСНИЦИМА'!$F$9:$F$18203,'По основ. нам.'!A66,'ПО КОРИСНИЦИМА'!$H$9:$H$18203)</f>
        <v>163386000</v>
      </c>
      <c r="D66" s="705">
        <f>SUM('ПО КОРИСНИЦИМА'!I16244,'ПО КОРИСНИЦИМА'!I16145,'ПО КОРИСНИЦИМА'!I15848,'ПО КОРИСНИЦИМА'!I15749,'ПО КОРИСНИЦИМА'!I15650,'ПО КОРИСНИЦИМА'!I15551,'ПО КОРИСНИЦИМА'!I14734,'ПО КОРИСНИЦИМА'!I4036,'ПО КОРИСНИЦИМА'!I3937,'ПО КОРИСНИЦИМА'!I3838,'ПО КОРИСНИЦИМА'!I3738,'ПО КОРИСНИЦИМА'!I3540,'ПО КОРИСНИЦИМА'!I3441,'ПО КОРИСНИЦИМА'!I3328,'ПО КОРИСНИЦИМА'!I3067,'ПО КОРИСНИЦИМА'!I2394,'ПО КОРИСНИЦИМА'!I1822)</f>
        <v>126551362.84999999</v>
      </c>
      <c r="E66" s="703">
        <f t="shared" si="0"/>
        <v>77.455450803618419</v>
      </c>
      <c r="F66" s="705">
        <f>SUMIF('ПО КОРИСНИЦИМА'!$F$9:$F$18203,'По основ. нам.'!A66,'ПО КОРИСНИЦИМА'!$K$9:$K$18203)</f>
        <v>7869053.0800000001</v>
      </c>
      <c r="G66" s="705">
        <f>SUM('ПО КОРИСНИЦИМА'!L1822,'ПО КОРИСНИЦИМА'!L2394,'ПО КОРИСНИЦИМА'!L14312,'ПО КОРИСНИЦИМА'!L16244)</f>
        <v>7449009.7700000005</v>
      </c>
      <c r="H66" s="703">
        <f t="shared" si="1"/>
        <v>94.662085695322318</v>
      </c>
    </row>
    <row r="67" spans="1:8" x14ac:dyDescent="0.25">
      <c r="A67" s="295">
        <v>512</v>
      </c>
      <c r="B67" s="276" t="s">
        <v>3829</v>
      </c>
      <c r="C67" s="705">
        <f>SUMIF('ПО КОРИСНИЦИМА'!$F$9:$F$18203,'По основ. нам.'!A67,'ПО КОРИСНИЦИМА'!$H$9:$H$18203)</f>
        <v>5497000</v>
      </c>
      <c r="D67" s="705">
        <f>SUM('ПО КОРИСНИЦИМА'!I516,'ПО КОРИСНИЦИМА'!I1825,'ПО КОРИСНИЦИМА'!I1924,'ПО КОРИСНИЦИМА'!I6927,'ПО КОРИСНИЦИМА'!I8911,'ПО КОРИСНИЦИМА'!I11115,'ПО КОРИСНИЦИМА'!I11951,'ПО КОРИСНИЦИМА'!I14721)</f>
        <v>2410294.9</v>
      </c>
      <c r="E67" s="703">
        <f t="shared" si="0"/>
        <v>43.84746043296343</v>
      </c>
      <c r="F67" s="705">
        <f>SUMIF('ПО КОРИСНИЦИМА'!$F$9:$F$18203,'По основ. нам.'!A67,'ПО КОРИСНИЦИМА'!$K$9:$K$18203)</f>
        <v>845872.63</v>
      </c>
      <c r="G67" s="705">
        <f>SUM('ПО КОРИСНИЦИМА'!L14313,'ПО КОРИСНИЦИМА'!L1924)</f>
        <v>786387.63</v>
      </c>
      <c r="H67" s="703">
        <f t="shared" si="1"/>
        <v>92.967617358656</v>
      </c>
    </row>
    <row r="68" spans="1:8" x14ac:dyDescent="0.25">
      <c r="A68" s="295">
        <v>513</v>
      </c>
      <c r="B68" s="276" t="s">
        <v>3830</v>
      </c>
      <c r="C68" s="705">
        <f>SUMIF('ПО КОРИСНИЦИМА'!$F$9:$F$18203,'По основ. нам.'!A68,'ПО КОРИСНИЦИМА'!$H$9:$H$18203)</f>
        <v>0</v>
      </c>
      <c r="D68" s="705"/>
      <c r="E68" s="703"/>
      <c r="F68" s="705">
        <f>SUMIF('ПО КОРИСНИЦИМА'!$F$9:$F$18203,'По основ. нам.'!A68,'ПО КОРИСНИЦИМА'!$K$9:$K$18203)</f>
        <v>0</v>
      </c>
      <c r="G68" s="705"/>
      <c r="H68" s="703"/>
    </row>
    <row r="69" spans="1:8" x14ac:dyDescent="0.25">
      <c r="A69" s="295">
        <v>514</v>
      </c>
      <c r="B69" s="276" t="s">
        <v>3831</v>
      </c>
      <c r="C69" s="705">
        <f>SUMIF('ПО КОРИСНИЦИМА'!$F$9:$F$18203,'По основ. нам.'!A69,'ПО КОРИСНИЦИМА'!$H$9:$H$18203)</f>
        <v>0</v>
      </c>
      <c r="D69" s="705"/>
      <c r="E69" s="703"/>
      <c r="F69" s="705">
        <f>SUMIF('ПО КОРИСНИЦИМА'!$F$9:$F$18203,'По основ. нам.'!A69,'ПО КОРИСНИЦИМА'!$K$9:$K$18203)</f>
        <v>0</v>
      </c>
      <c r="G69" s="705"/>
      <c r="H69" s="703"/>
    </row>
    <row r="70" spans="1:8" x14ac:dyDescent="0.25">
      <c r="A70" s="295">
        <v>515</v>
      </c>
      <c r="B70" s="276" t="s">
        <v>3832</v>
      </c>
      <c r="C70" s="705">
        <f>SUMIF('ПО КОРИСНИЦИМА'!$F$9:$F$18203,'По основ. нам.'!A70,'ПО КОРИСНИЦИМА'!$H$9:$H$18203)</f>
        <v>250000</v>
      </c>
      <c r="D70" s="705">
        <f>SUM('ПО КОРИСНИЦИМА'!I11954)</f>
        <v>249685.59</v>
      </c>
      <c r="E70" s="703">
        <f t="shared" si="0"/>
        <v>99.874235999999996</v>
      </c>
      <c r="F70" s="705">
        <f>SUMIF('ПО КОРИСНИЦИМА'!$F$9:$F$18203,'По основ. нам.'!A70,'ПО КОРИСНИЦИМА'!$K$9:$K$18203)</f>
        <v>60000</v>
      </c>
      <c r="G70" s="705">
        <f>SUM('ПО КОРИСНИЦИМА'!L11954)</f>
        <v>59406.400000000001</v>
      </c>
      <c r="H70" s="703">
        <f t="shared" si="1"/>
        <v>99.010666666666665</v>
      </c>
    </row>
    <row r="71" spans="1:8" x14ac:dyDescent="0.25">
      <c r="A71" s="293" t="s">
        <v>3833</v>
      </c>
      <c r="B71" s="294" t="s">
        <v>3834</v>
      </c>
      <c r="C71" s="704">
        <f>SUM(C72:C75)</f>
        <v>0</v>
      </c>
      <c r="D71" s="704"/>
      <c r="E71" s="703"/>
      <c r="F71" s="704">
        <f>SUM(F72:F74)</f>
        <v>0</v>
      </c>
      <c r="G71" s="704"/>
      <c r="H71" s="703"/>
    </row>
    <row r="72" spans="1:8" x14ac:dyDescent="0.25">
      <c r="A72" s="299">
        <v>521</v>
      </c>
      <c r="B72" s="307" t="s">
        <v>3835</v>
      </c>
      <c r="C72" s="705">
        <f>SUMIF('ПО КОРИСНИЦИМА'!$F$9:$F$18203,'По основ. нам.'!A72,'ПО КОРИСНИЦИМА'!$H$9:$H$18203)</f>
        <v>0</v>
      </c>
      <c r="D72" s="705"/>
      <c r="E72" s="703"/>
      <c r="F72" s="705">
        <f>SUMIF('ПО КОРИСНИЦИМА'!$F$9:$F$18203,'По основ. нам.'!A72,'ПО КОРИСНИЦИМА'!$K$9:$K$18203)</f>
        <v>0</v>
      </c>
      <c r="G72" s="705"/>
      <c r="H72" s="703"/>
    </row>
    <row r="73" spans="1:8" x14ac:dyDescent="0.25">
      <c r="A73" s="299">
        <v>522</v>
      </c>
      <c r="B73" s="307" t="s">
        <v>3836</v>
      </c>
      <c r="C73" s="705">
        <f>SUMIF('ПО КОРИСНИЦИМА'!$F$9:$F$18203,'По основ. нам.'!A73,'ПО КОРИСНИЦИМА'!$H$9:$H$18203)</f>
        <v>0</v>
      </c>
      <c r="D73" s="705"/>
      <c r="E73" s="703"/>
      <c r="F73" s="705">
        <f>SUMIF('ПО КОРИСНИЦИМА'!$F$9:$F$18203,'По основ. нам.'!A73,'ПО КОРИСНИЦИМА'!$K$9:$K$18203)</f>
        <v>0</v>
      </c>
      <c r="G73" s="705"/>
      <c r="H73" s="703"/>
    </row>
    <row r="74" spans="1:8" x14ac:dyDescent="0.25">
      <c r="A74" s="299">
        <v>523</v>
      </c>
      <c r="B74" s="308" t="s">
        <v>3837</v>
      </c>
      <c r="C74" s="705">
        <f>SUMIF('ПО КОРИСНИЦИМА'!$F$9:$F$18203,'По основ. нам.'!A74,'ПО КОРИСНИЦИМА'!$H$9:$H$18203)</f>
        <v>0</v>
      </c>
      <c r="D74" s="705"/>
      <c r="E74" s="703"/>
      <c r="F74" s="705">
        <f>SUMIF('ПО КОРИСНИЦИМА'!$F$9:$F$18203,'По основ. нам.'!A74,'ПО КОРИСНИЦИМА'!$K$9:$K$18203)</f>
        <v>0</v>
      </c>
      <c r="G74" s="705"/>
      <c r="H74" s="703"/>
    </row>
    <row r="75" spans="1:8" x14ac:dyDescent="0.25">
      <c r="A75" s="299">
        <v>531</v>
      </c>
      <c r="B75" s="308" t="s">
        <v>4175</v>
      </c>
      <c r="C75" s="705">
        <f>SUMIF('ПО КОРИСНИЦИМА'!$F$9:$F$18203,'По основ. нам.'!A75,'ПО КОРИСНИЦИМА'!$H$9:$H$18203)</f>
        <v>0</v>
      </c>
      <c r="D75" s="705"/>
      <c r="E75" s="703"/>
      <c r="F75" s="705"/>
      <c r="G75" s="705"/>
      <c r="H75" s="703"/>
    </row>
    <row r="76" spans="1:8" ht="15.75" customHeight="1" x14ac:dyDescent="0.25">
      <c r="A76" s="293" t="s">
        <v>3838</v>
      </c>
      <c r="B76" s="294" t="s">
        <v>3839</v>
      </c>
      <c r="C76" s="707">
        <f>SUM(C77:C79)</f>
        <v>2400000</v>
      </c>
      <c r="D76" s="707">
        <f>SUM(D77)</f>
        <v>2233139.1</v>
      </c>
      <c r="E76" s="703">
        <f t="shared" ref="E76:E88" si="2">SUM(D76/C76)*100</f>
        <v>93.047462499999995</v>
      </c>
      <c r="F76" s="708">
        <f>SUM(F77:F79)</f>
        <v>0</v>
      </c>
      <c r="G76" s="708"/>
      <c r="H76" s="703"/>
    </row>
    <row r="77" spans="1:8" x14ac:dyDescent="0.25">
      <c r="A77" s="299">
        <v>541</v>
      </c>
      <c r="B77" s="307" t="s">
        <v>3840</v>
      </c>
      <c r="C77" s="705">
        <f>SUMIF('ПО КОРИСНИЦИМА'!$F$9:$F$18203,'По основ. нам.'!A77,'ПО КОРИСНИЦИМА'!$H$9:$H$18203)</f>
        <v>2400000</v>
      </c>
      <c r="D77" s="705">
        <f>SUM('ПО КОРИСНИЦИМА'!I1833)</f>
        <v>2233139.1</v>
      </c>
      <c r="E77" s="703">
        <f t="shared" si="2"/>
        <v>93.047462499999995</v>
      </c>
      <c r="F77" s="705">
        <f>SUMIF('ПО КОРИСНИЦИМА'!$F$9:$F$18203,'По основ. нам.'!A77,'ПО КОРИСНИЦИМА'!$K$9:$K$18203)</f>
        <v>0</v>
      </c>
      <c r="G77" s="705"/>
      <c r="H77" s="703"/>
    </row>
    <row r="78" spans="1:8" x14ac:dyDescent="0.25">
      <c r="A78" s="299">
        <v>542</v>
      </c>
      <c r="B78" s="307" t="s">
        <v>3841</v>
      </c>
      <c r="C78" s="705">
        <f>SUMIF('ПО КОРИСНИЦИМА'!$F$9:$F$18203,'По основ. нам.'!A78,'ПО КОРИСНИЦИМА'!$H$9:$H$18203)</f>
        <v>0</v>
      </c>
      <c r="D78" s="705"/>
      <c r="E78" s="703"/>
      <c r="F78" s="705">
        <f>SUMIF('ПО КОРИСНИЦИМА'!$F$9:$F$18203,'По основ. нам.'!A78,'ПО КОРИСНИЦИМА'!$K$9:$K$18203)</f>
        <v>0</v>
      </c>
      <c r="G78" s="705"/>
      <c r="H78" s="703"/>
    </row>
    <row r="79" spans="1:8" x14ac:dyDescent="0.25">
      <c r="A79" s="299">
        <v>543</v>
      </c>
      <c r="B79" s="308" t="s">
        <v>3842</v>
      </c>
      <c r="C79" s="705">
        <f>SUMIF('ПО КОРИСНИЦИМА'!$F$9:$F$18203,'По основ. нам.'!A79,'ПО КОРИСНИЦИМА'!$H$9:$H$18203)</f>
        <v>0</v>
      </c>
      <c r="D79" s="705"/>
      <c r="E79" s="703"/>
      <c r="F79" s="705">
        <f>SUMIF('ПО КОРИСНИЦИМА'!$F$9:$F$18203,'По основ. нам.'!A79,'ПО КОРИСНИЦИМА'!$K$9:$K$18203)</f>
        <v>0</v>
      </c>
      <c r="G79" s="705"/>
      <c r="H79" s="703"/>
    </row>
    <row r="80" spans="1:8" ht="28.5" x14ac:dyDescent="0.25">
      <c r="A80" s="309">
        <v>550</v>
      </c>
      <c r="B80" s="310" t="s">
        <v>3843</v>
      </c>
      <c r="C80" s="708">
        <f>SUM(C81)</f>
        <v>0</v>
      </c>
      <c r="D80" s="708"/>
      <c r="E80" s="703"/>
      <c r="F80" s="708">
        <f>SUM(F81)</f>
        <v>0</v>
      </c>
      <c r="G80" s="708"/>
      <c r="H80" s="703"/>
    </row>
    <row r="81" spans="1:11" ht="21.75" customHeight="1" x14ac:dyDescent="0.25">
      <c r="A81" s="299">
        <v>551</v>
      </c>
      <c r="B81" s="311" t="s">
        <v>3844</v>
      </c>
      <c r="C81" s="705">
        <f>SUMIF('ПО КОРИСНИЦИМА'!$F$9:$F$18203,'По основ. нам.'!A81,'ПО КОРИСНИЦИМА'!$H$9:$H$18203)</f>
        <v>0</v>
      </c>
      <c r="D81" s="705"/>
      <c r="E81" s="703"/>
      <c r="F81" s="705">
        <f>SUMIF('ПО КОРИСНИЦИМА'!$F$9:$F$18203,'По основ. нам.'!A81,'ПО КОРИСНИЦИМА'!$K$9:$K$18203)</f>
        <v>0</v>
      </c>
      <c r="G81" s="705"/>
      <c r="H81" s="703"/>
    </row>
    <row r="82" spans="1:11" x14ac:dyDescent="0.25">
      <c r="A82" s="293" t="s">
        <v>3845</v>
      </c>
      <c r="B82" s="294" t="s">
        <v>3846</v>
      </c>
      <c r="C82" s="708">
        <f>SUM(C83:C85)</f>
        <v>0</v>
      </c>
      <c r="D82" s="708"/>
      <c r="E82" s="703"/>
      <c r="F82" s="708">
        <f>SUM(F83:F85)</f>
        <v>0</v>
      </c>
      <c r="G82" s="708"/>
      <c r="H82" s="703"/>
    </row>
    <row r="83" spans="1:11" x14ac:dyDescent="0.25">
      <c r="A83" s="295" t="s">
        <v>3847</v>
      </c>
      <c r="B83" s="276" t="s">
        <v>3848</v>
      </c>
      <c r="C83" s="705">
        <f>SUMIF('ПО КОРИСНИЦИМА'!$F$9:$F$18203,'По основ. нам.'!A83,'ПО КОРИСНИЦИМА'!$H$9:$H$18203)</f>
        <v>0</v>
      </c>
      <c r="D83" s="705"/>
      <c r="E83" s="703"/>
      <c r="F83" s="705">
        <f>SUMIF('ПО КОРИСНИЦИМА'!$F$9:$F$18203,'По основ. нам.'!A83,'ПО КОРИСНИЦИМА'!$K$9:$K$18203)</f>
        <v>0</v>
      </c>
      <c r="G83" s="705"/>
      <c r="H83" s="703"/>
    </row>
    <row r="84" spans="1:11" x14ac:dyDescent="0.25">
      <c r="A84" s="312" t="s">
        <v>3849</v>
      </c>
      <c r="B84" s="313" t="s">
        <v>3850</v>
      </c>
      <c r="C84" s="705">
        <f>SUMIF('ПО КОРИСНИЦИМА'!$F$9:$F$18203,'По основ. нам.'!A84,'ПО КОРИСНИЦИМА'!$H$9:$H$18203)</f>
        <v>0</v>
      </c>
      <c r="D84" s="705"/>
      <c r="E84" s="703"/>
      <c r="F84" s="705">
        <f>SUMIF('ПО КОРИСНИЦИМА'!$F$9:$F$18203,'По основ. нам.'!A84,'ПО КОРИСНИЦИМА'!$K$9:$K$18203)</f>
        <v>0</v>
      </c>
      <c r="G84" s="705"/>
      <c r="H84" s="703"/>
    </row>
    <row r="85" spans="1:11" x14ac:dyDescent="0.25">
      <c r="A85" s="312" t="s">
        <v>3851</v>
      </c>
      <c r="B85" s="313" t="s">
        <v>87</v>
      </c>
      <c r="C85" s="705">
        <f>SUMIF('ПО КОРИСНИЦИМА'!$F$9:$F$18203,'По основ. нам.'!A85,'ПО КОРИСНИЦИМА'!$H$9:$H$18203)</f>
        <v>0</v>
      </c>
      <c r="D85" s="705"/>
      <c r="E85" s="703"/>
      <c r="F85" s="705">
        <f>SUMIF('ПО КОРИСНИЦИМА'!$F$9:$F$18203,'По основ. нам.'!A85,'ПО КОРИСНИЦИМА'!$K$9:$K$18203)</f>
        <v>0</v>
      </c>
      <c r="G85" s="705"/>
      <c r="H85" s="703"/>
    </row>
    <row r="86" spans="1:11" x14ac:dyDescent="0.25">
      <c r="A86" s="293" t="s">
        <v>3852</v>
      </c>
      <c r="B86" s="294" t="s">
        <v>88</v>
      </c>
      <c r="C86" s="708">
        <f>SUMIF('ПО КОРИСНИЦИМА'!$F$9:$F$18203,'По основ. нам.'!A86,'ПО КОРИСНИЦИМА'!$H$9:$H$18203)</f>
        <v>0</v>
      </c>
      <c r="D86" s="708"/>
      <c r="E86" s="703"/>
      <c r="F86" s="708">
        <f>SUM(F87)</f>
        <v>0</v>
      </c>
      <c r="G86" s="708"/>
      <c r="H86" s="703"/>
    </row>
    <row r="87" spans="1:11" x14ac:dyDescent="0.25">
      <c r="A87" s="312" t="s">
        <v>3853</v>
      </c>
      <c r="B87" s="313" t="s">
        <v>3854</v>
      </c>
      <c r="C87" s="705">
        <f>SUMIF('ПО КОРИСНИЦИМА'!$F$9:$F$18203,'По основ. нам.'!A87,'ПО КОРИСНИЦИМА'!$H$9:$H$18203)</f>
        <v>0</v>
      </c>
      <c r="D87" s="705"/>
      <c r="E87" s="703"/>
      <c r="F87" s="705">
        <f>SUMIF('ПО КОРИСНИЦИМА'!$F$9:$F$18203,'По основ. нам.'!A87,'ПО КОРИСНИЦИМА'!$K$9:$K$18203)</f>
        <v>0</v>
      </c>
      <c r="G87" s="705"/>
      <c r="H87" s="703"/>
    </row>
    <row r="88" spans="1:11" x14ac:dyDescent="0.25">
      <c r="A88" s="314"/>
      <c r="B88" s="315" t="s">
        <v>3855</v>
      </c>
      <c r="C88" s="709">
        <f>SUM(C7,C64)</f>
        <v>593078790</v>
      </c>
      <c r="D88" s="709">
        <f>SUM(D64,D7)</f>
        <v>504515943.65999997</v>
      </c>
      <c r="E88" s="703">
        <f t="shared" si="2"/>
        <v>85.067271358667199</v>
      </c>
      <c r="F88" s="709">
        <f>SUM(F8,F17,F24,F30,F35,F41,F50,F48,F57,F65,F71,F76,F80,F82,F86)</f>
        <v>32361375</v>
      </c>
      <c r="G88" s="709">
        <f>SUM(G64,G7)</f>
        <v>33635486.609999999</v>
      </c>
      <c r="H88" s="703">
        <f t="shared" ref="H88" si="3">SUM(G88/F88)*100</f>
        <v>103.93713681819763</v>
      </c>
    </row>
    <row r="89" spans="1:11" x14ac:dyDescent="0.25">
      <c r="A89" s="109"/>
      <c r="B89" s="109"/>
      <c r="C89" s="110"/>
      <c r="D89" s="110"/>
      <c r="E89" s="109"/>
      <c r="F89" s="110"/>
      <c r="G89" s="110"/>
      <c r="H89" s="110"/>
      <c r="K89" s="380"/>
    </row>
  </sheetData>
  <sheetProtection password="CA6E" sheet="1" objects="1" scenarios="1" selectLockedCells="1" selectUnlockedCells="1"/>
  <mergeCells count="4">
    <mergeCell ref="B1:F1"/>
    <mergeCell ref="A3:H3"/>
    <mergeCell ref="B2:F2"/>
    <mergeCell ref="B4:H4"/>
  </mergeCells>
  <conditionalFormatting sqref="C89:D89 F89:H89">
    <cfRule type="cellIs" dxfId="3" priority="5" stopIfTrue="1" operator="notEqual">
      <formula>0</formula>
    </cfRule>
  </conditionalFormatting>
  <conditionalFormatting sqref="C9:D16 C18:D23 C25:D29 C31:D34 C36:D40 C42:D47 C49:D49 C51:D56 C62:D64 C66:D70 C77:D79 C81:D81 C83:D85 C87:D87 F9:G16 F18:G23 F25:G29 F31:G34 F36:G40 F42:G47 F49:G49 F51:G56 F66:G70 F72:G75 F77:G79 F81:G81 F83:G85 F87:G87 C72:D75 F62:G64">
    <cfRule type="expression" priority="4" stopIfTrue="1">
      <formula>NOT(ISERROR(SEARCH("411",C9)))</formula>
    </cfRule>
  </conditionalFormatting>
  <conditionalFormatting sqref="C58:D63">
    <cfRule type="expression" priority="3" stopIfTrue="1">
      <formula>NOT(ISERROR(SEARCH("411",C58)))</formula>
    </cfRule>
  </conditionalFormatting>
  <conditionalFormatting sqref="F58:G63">
    <cfRule type="expression" priority="2" stopIfTrue="1">
      <formula>NOT(ISERROR(SEARCH("411",F58)))</formula>
    </cfRule>
  </conditionalFormatting>
  <conditionalFormatting sqref="C89:H89">
    <cfRule type="cellIs" dxfId="2" priority="1" operator="notEqual">
      <formula>0</formula>
    </cfRule>
  </conditionalFormatting>
  <pageMargins left="0.70866141732283472" right="0.70866141732283472" top="0.74803149606299213" bottom="0.74803149606299213" header="0.31496062992125984" footer="0.31496062992125984"/>
  <pageSetup orientation="landscape" r:id="rId1"/>
  <cellWatches>
    <cellWatch r="C89"/>
  </cellWatch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sheetPr>
  <dimension ref="A1:J622"/>
  <sheetViews>
    <sheetView topLeftCell="A346" workbookViewId="0">
      <selection activeCell="O528" sqref="O528"/>
    </sheetView>
  </sheetViews>
  <sheetFormatPr defaultRowHeight="12.75" x14ac:dyDescent="0.2"/>
  <cols>
    <col min="1" max="1" width="7.42578125" style="224" customWidth="1"/>
    <col min="2" max="2" width="10" style="224" customWidth="1"/>
    <col min="3" max="3" width="49.140625" style="241" customWidth="1"/>
    <col min="4" max="4" width="13" style="243" customWidth="1"/>
    <col min="5" max="5" width="13.5703125" style="224" customWidth="1"/>
    <col min="6" max="6" width="6.7109375" style="224" customWidth="1"/>
    <col min="7" max="7" width="12.28515625" style="224" customWidth="1"/>
    <col min="8" max="8" width="14" style="243" customWidth="1"/>
    <col min="9" max="9" width="15.5703125" style="224" hidden="1" customWidth="1"/>
    <col min="10" max="10" width="6.28515625" style="224" customWidth="1"/>
    <col min="11" max="16384" width="9.140625" style="224"/>
  </cols>
  <sheetData>
    <row r="1" spans="1:10" ht="15" x14ac:dyDescent="0.2">
      <c r="C1" s="841" t="s">
        <v>5372</v>
      </c>
      <c r="D1" s="841"/>
      <c r="E1" s="841"/>
      <c r="F1" s="841"/>
      <c r="G1" s="841"/>
    </row>
    <row r="2" spans="1:10" ht="15" x14ac:dyDescent="0.2">
      <c r="C2" s="843"/>
      <c r="D2" s="843"/>
      <c r="E2" s="843"/>
      <c r="F2" s="336"/>
      <c r="G2" s="327"/>
    </row>
    <row r="3" spans="1:10" ht="18.75" customHeight="1" x14ac:dyDescent="0.2">
      <c r="A3" s="841" t="s">
        <v>5378</v>
      </c>
      <c r="B3" s="841"/>
      <c r="C3" s="841"/>
      <c r="D3" s="841"/>
      <c r="E3" s="841"/>
      <c r="F3" s="841"/>
      <c r="G3" s="841"/>
      <c r="H3" s="841"/>
    </row>
    <row r="4" spans="1:10" ht="21.75" hidden="1" customHeight="1" x14ac:dyDescent="0.2">
      <c r="A4" s="843"/>
      <c r="B4" s="843"/>
      <c r="C4" s="843"/>
      <c r="D4" s="843"/>
      <c r="E4" s="843"/>
      <c r="F4" s="843"/>
      <c r="G4" s="843"/>
      <c r="H4" s="843"/>
    </row>
    <row r="5" spans="1:10" ht="15" customHeight="1" x14ac:dyDescent="0.2">
      <c r="A5" s="855" t="s">
        <v>5282</v>
      </c>
      <c r="B5" s="855"/>
      <c r="C5" s="855"/>
      <c r="D5" s="855"/>
      <c r="E5" s="855"/>
      <c r="F5" s="855"/>
      <c r="G5" s="855"/>
      <c r="H5" s="855"/>
      <c r="I5" s="855"/>
    </row>
    <row r="6" spans="1:10" ht="15" customHeight="1" x14ac:dyDescent="0.2">
      <c r="A6" s="847" t="s">
        <v>3603</v>
      </c>
      <c r="B6" s="848"/>
      <c r="C6" s="849" t="s">
        <v>4153</v>
      </c>
      <c r="D6" s="850" t="s">
        <v>24</v>
      </c>
      <c r="E6" s="849" t="s">
        <v>5373</v>
      </c>
      <c r="F6" s="853" t="s">
        <v>5374</v>
      </c>
      <c r="G6" s="849" t="s">
        <v>5376</v>
      </c>
      <c r="H6" s="850" t="s">
        <v>5375</v>
      </c>
      <c r="I6" s="849" t="s">
        <v>4165</v>
      </c>
      <c r="J6" s="851" t="s">
        <v>5377</v>
      </c>
    </row>
    <row r="7" spans="1:10" ht="36" customHeight="1" x14ac:dyDescent="0.2">
      <c r="A7" s="768" t="s">
        <v>4050</v>
      </c>
      <c r="B7" s="768" t="s">
        <v>4152</v>
      </c>
      <c r="C7" s="849"/>
      <c r="D7" s="850"/>
      <c r="E7" s="849"/>
      <c r="F7" s="854"/>
      <c r="G7" s="849"/>
      <c r="H7" s="850"/>
      <c r="I7" s="849"/>
      <c r="J7" s="852"/>
    </row>
    <row r="8" spans="1:10" x14ac:dyDescent="0.2">
      <c r="A8" s="84" t="s">
        <v>3760</v>
      </c>
      <c r="B8" s="84" t="s">
        <v>4051</v>
      </c>
      <c r="C8" s="84" t="s">
        <v>4164</v>
      </c>
      <c r="D8" s="251">
        <v>4</v>
      </c>
      <c r="E8" s="252">
        <v>5</v>
      </c>
      <c r="F8" s="362"/>
      <c r="G8" s="252">
        <v>6</v>
      </c>
      <c r="H8" s="251">
        <v>7</v>
      </c>
      <c r="I8" s="225">
        <v>8</v>
      </c>
      <c r="J8" s="364"/>
    </row>
    <row r="9" spans="1:10" hidden="1" x14ac:dyDescent="0.2">
      <c r="A9" s="226" t="s">
        <v>3558</v>
      </c>
      <c r="B9" s="227"/>
      <c r="C9" s="206" t="s">
        <v>3665</v>
      </c>
      <c r="D9" s="253">
        <f>SUM(D10:D35)</f>
        <v>0</v>
      </c>
      <c r="E9" s="254">
        <f>IFERROR(D9/$D$602,"-")</f>
        <v>0</v>
      </c>
      <c r="F9" s="363"/>
      <c r="G9" s="255">
        <f>SUM(G10:G35)</f>
        <v>0</v>
      </c>
      <c r="H9" s="253">
        <f>D9+G9</f>
        <v>0</v>
      </c>
      <c r="I9" s="256"/>
      <c r="J9" s="364"/>
    </row>
    <row r="10" spans="1:10" hidden="1" x14ac:dyDescent="0.2">
      <c r="A10" s="229"/>
      <c r="B10" s="229" t="s">
        <v>4476</v>
      </c>
      <c r="C10" s="207" t="s">
        <v>4054</v>
      </c>
      <c r="D10" s="257">
        <f>SUMIF('ПО КОРИСНИЦИМА'!$G$8:$G$18203,"Свега за програмску активност 1101-0001:",'ПО КОРИСНИЦИМА'!$H$8:$H$18203)</f>
        <v>0</v>
      </c>
      <c r="E10" s="258">
        <f>IFERROR(D10/$D$602,"-")</f>
        <v>0</v>
      </c>
      <c r="F10" s="258"/>
      <c r="G10" s="259">
        <f>SUMIF('ПО КОРИСНИЦИМА'!$G$8:$G$18203,"Свега за програмску активност 1101-0001:",'ПО КОРИСНИЦИМА'!$K$8:$K$18203)</f>
        <v>0</v>
      </c>
      <c r="H10" s="257">
        <f>D10+G10</f>
        <v>0</v>
      </c>
      <c r="I10" s="260"/>
      <c r="J10" s="364"/>
    </row>
    <row r="11" spans="1:10" hidden="1" x14ac:dyDescent="0.2">
      <c r="A11" s="231"/>
      <c r="B11" s="231" t="s">
        <v>4477</v>
      </c>
      <c r="C11" s="208" t="s">
        <v>4053</v>
      </c>
      <c r="D11" s="261">
        <f>SUMIF('ПО КОРИСНИЦИМА'!$G$8:$G$18203,"Свега за програмску активност 1101-0002:",'ПО КОРИСНИЦИМА'!$H$8:$H$18203)</f>
        <v>0</v>
      </c>
      <c r="E11" s="262">
        <f>IFERROR(D11/$D$602,"-")</f>
        <v>0</v>
      </c>
      <c r="F11" s="262"/>
      <c r="G11" s="263">
        <f>SUMIF('ПО КОРИСНИЦИМА'!$G$8:$G$18203,"Свега за програмску активност 1101-0002:",'ПО КОРИСНИЦИМА'!$K$8:$K$18203)</f>
        <v>0</v>
      </c>
      <c r="H11" s="261">
        <f t="shared" ref="H11:H35" si="0">D11+G11</f>
        <v>0</v>
      </c>
      <c r="I11" s="264"/>
      <c r="J11" s="364"/>
    </row>
    <row r="12" spans="1:10" hidden="1" x14ac:dyDescent="0.2">
      <c r="A12" s="231"/>
      <c r="B12" s="231" t="s">
        <v>4478</v>
      </c>
      <c r="C12" s="208" t="str">
        <f>IFERROR(VLOOKUP(B12,'ПО КОРИСНИЦИМА'!$C$8:$L$18203,5,FALSE),"")</f>
        <v xml:space="preserve"> Попис и укњижење јавне имовине Града</v>
      </c>
      <c r="D12" s="265">
        <f>SUMIF('ПО КОРИСНИЦИМА'!$G$8:$G$18203,"Свега за пројекат 1101-П1:",'ПО КОРИСНИЦИМА'!$H$8:$H$18203)</f>
        <v>0</v>
      </c>
      <c r="E12" s="262">
        <f>IFERROR(D12/$D$602,"-")</f>
        <v>0</v>
      </c>
      <c r="F12" s="262"/>
      <c r="G12" s="266">
        <f>SUMIF('ПО КОРИСНИЦИМА'!$G$8:$G$18203,"Свега за пројекат 1101-П1:",'ПО КОРИСНИЦИМА'!$K$8:$K$18203)</f>
        <v>0</v>
      </c>
      <c r="H12" s="261">
        <f t="shared" si="0"/>
        <v>0</v>
      </c>
      <c r="I12" s="264"/>
      <c r="J12" s="364"/>
    </row>
    <row r="13" spans="1:10" hidden="1" x14ac:dyDescent="0.2">
      <c r="A13" s="231"/>
      <c r="B13" s="231" t="s">
        <v>4479</v>
      </c>
      <c r="C13" s="208" t="str">
        <f>IFERROR(VLOOKUP(B13,'ПО КОРИСНИЦИМА'!$C$8:$L$18203,5,FALSE),"")</f>
        <v/>
      </c>
      <c r="D13" s="265">
        <f>SUMIF('ПО КОРИСНИЦИМА'!$G$8:$G$18203,"Свега за пројекат 1101-П2:",'ПО КОРИСНИЦИМА'!$H$8:$H$18203)</f>
        <v>0</v>
      </c>
      <c r="E13" s="262">
        <f t="shared" ref="E13:E35" si="1">IFERROR(D13/$D$602,"-")</f>
        <v>0</v>
      </c>
      <c r="F13" s="262"/>
      <c r="G13" s="266">
        <f>SUMIF('ПО КОРИСНИЦИМА'!$G$8:$G$18203,"Свега за пројекат 1101-П2:",'ПО КОРИСНИЦИМА'!$K$8:$K$18203)</f>
        <v>0</v>
      </c>
      <c r="H13" s="261">
        <f t="shared" si="0"/>
        <v>0</v>
      </c>
      <c r="I13" s="267"/>
      <c r="J13" s="364"/>
    </row>
    <row r="14" spans="1:10" hidden="1" x14ac:dyDescent="0.2">
      <c r="A14" s="231"/>
      <c r="B14" s="231" t="s">
        <v>4480</v>
      </c>
      <c r="C14" s="208" t="str">
        <f>IFERROR(VLOOKUP(B14,'ПО КОРИСНИЦИМА'!$C$8:$L$18203,5,FALSE),"")</f>
        <v/>
      </c>
      <c r="D14" s="265">
        <f>SUMIF('ПО КОРИСНИЦИМА'!$G$8:$G$18203,"Свега за пројекат 1101-П3:",'ПО КОРИСНИЦИМА'!$H$8:$H$18203)</f>
        <v>0</v>
      </c>
      <c r="E14" s="262">
        <f t="shared" si="1"/>
        <v>0</v>
      </c>
      <c r="F14" s="262"/>
      <c r="G14" s="266">
        <f>SUMIF('ПО КОРИСНИЦИМА'!$G$8:$G$18203,"Свега за пројекат 1101-П3:",'ПО КОРИСНИЦИМА'!$K$8:$K$18203)</f>
        <v>0</v>
      </c>
      <c r="H14" s="261">
        <f t="shared" si="0"/>
        <v>0</v>
      </c>
      <c r="I14" s="267"/>
      <c r="J14" s="364"/>
    </row>
    <row r="15" spans="1:10" hidden="1" x14ac:dyDescent="0.2">
      <c r="A15" s="231"/>
      <c r="B15" s="231" t="s">
        <v>4481</v>
      </c>
      <c r="C15" s="208" t="str">
        <f>IFERROR(VLOOKUP(B15,'ПО КОРИСНИЦИМА'!$C$8:$L$18203,5,FALSE),"")</f>
        <v/>
      </c>
      <c r="D15" s="265">
        <f>SUMIF('ПО КОРИСНИЦИМА'!$G$8:$G$18203,"Свега за пројекат 1101-П4:",'ПО КОРИСНИЦИМА'!$H$8:$H$18203)</f>
        <v>0</v>
      </c>
      <c r="E15" s="262">
        <f t="shared" si="1"/>
        <v>0</v>
      </c>
      <c r="F15" s="262"/>
      <c r="G15" s="266">
        <f>SUMIF('ПО КОРИСНИЦИМА'!$G$8:$G$18203,"Свега за пројекат 1101-П4:",'ПО КОРИСНИЦИМА'!$K$8:$K$18203)</f>
        <v>0</v>
      </c>
      <c r="H15" s="261">
        <f t="shared" si="0"/>
        <v>0</v>
      </c>
      <c r="I15" s="267"/>
      <c r="J15" s="364"/>
    </row>
    <row r="16" spans="1:10" hidden="1" x14ac:dyDescent="0.2">
      <c r="A16" s="231"/>
      <c r="B16" s="231" t="s">
        <v>4482</v>
      </c>
      <c r="C16" s="208" t="str">
        <f>IFERROR(VLOOKUP(B16,'ПО КОРИСНИЦИМА'!$C$8:$L$18203,5,FALSE),"")</f>
        <v/>
      </c>
      <c r="D16" s="265">
        <f>SUMIF('ПО КОРИСНИЦИМА'!$G$8:$G$18203,"Свега за пројекат 1101-П5:",'ПО КОРИСНИЦИМА'!$H$8:$H$18203)</f>
        <v>0</v>
      </c>
      <c r="E16" s="262">
        <f t="shared" si="1"/>
        <v>0</v>
      </c>
      <c r="F16" s="262"/>
      <c r="G16" s="266">
        <f>SUMIF('ПО КОРИСНИЦИМА'!$G$8:$G$18203,"Свега за пројекат 1101-П5:",'ПО КОРИСНИЦИМА'!$K$8:$K$18203)</f>
        <v>0</v>
      </c>
      <c r="H16" s="261">
        <f t="shared" si="0"/>
        <v>0</v>
      </c>
      <c r="I16" s="267"/>
      <c r="J16" s="364"/>
    </row>
    <row r="17" spans="1:10" hidden="1" x14ac:dyDescent="0.2">
      <c r="A17" s="231"/>
      <c r="B17" s="231" t="s">
        <v>4483</v>
      </c>
      <c r="C17" s="208" t="str">
        <f>IFERROR(VLOOKUP(B17,'ПО КОРИСНИЦИМА'!$C$8:$L$18203,5,FALSE),"")</f>
        <v/>
      </c>
      <c r="D17" s="265">
        <f>SUMIF('ПО КОРИСНИЦИМА'!$G$8:$G$18203,"Свега за пројекат 1101-П6:",'ПО КОРИСНИЦИМА'!$H$8:$H$18203)</f>
        <v>0</v>
      </c>
      <c r="E17" s="262">
        <f t="shared" si="1"/>
        <v>0</v>
      </c>
      <c r="F17" s="262"/>
      <c r="G17" s="266">
        <f>SUMIF('ПО КОРИСНИЦИМА'!$G$8:$G$18203,"Свега за пројекат 1101-П6:",'ПО КОРИСНИЦИМА'!$K$8:$K$18203)</f>
        <v>0</v>
      </c>
      <c r="H17" s="261">
        <f>D17+G17</f>
        <v>0</v>
      </c>
      <c r="I17" s="267"/>
      <c r="J17" s="364"/>
    </row>
    <row r="18" spans="1:10" hidden="1" x14ac:dyDescent="0.2">
      <c r="A18" s="231"/>
      <c r="B18" s="231" t="s">
        <v>4484</v>
      </c>
      <c r="C18" s="208" t="str">
        <f>IFERROR(VLOOKUP(B18,'ПО КОРИСНИЦИМА'!$C$8:$L$18203,5,FALSE),"")</f>
        <v/>
      </c>
      <c r="D18" s="265">
        <f>SUMIF('ПО КОРИСНИЦИМА'!$G$8:$G$18203,"Свега за пројекат 1101-П7:",'ПО КОРИСНИЦИМА'!$H$8:$H$18203)</f>
        <v>0</v>
      </c>
      <c r="E18" s="262">
        <f t="shared" si="1"/>
        <v>0</v>
      </c>
      <c r="F18" s="262"/>
      <c r="G18" s="266">
        <f>SUMIF('ПО КОРИСНИЦИМА'!$G$8:$G$18203,"Свега за пројекат 1101-П7:",'ПО КОРИСНИЦИМА'!$K$8:$K$18203)</f>
        <v>0</v>
      </c>
      <c r="H18" s="261">
        <f t="shared" si="0"/>
        <v>0</v>
      </c>
      <c r="I18" s="267"/>
      <c r="J18" s="364"/>
    </row>
    <row r="19" spans="1:10" hidden="1" x14ac:dyDescent="0.2">
      <c r="A19" s="231"/>
      <c r="B19" s="231" t="s">
        <v>4485</v>
      </c>
      <c r="C19" s="208" t="str">
        <f>IFERROR(VLOOKUP(B19,'ПО КОРИСНИЦИМА'!$C$8:$L$18203,5,FALSE),"")</f>
        <v/>
      </c>
      <c r="D19" s="265">
        <f>SUMIF('ПО КОРИСНИЦИМА'!$G$8:$G$18203,"Свега за пројекат 1101-П8:",'ПО КОРИСНИЦИМА'!$H$8:$H$18203)</f>
        <v>0</v>
      </c>
      <c r="E19" s="262">
        <f t="shared" si="1"/>
        <v>0</v>
      </c>
      <c r="F19" s="262"/>
      <c r="G19" s="266">
        <f>SUMIF('ПО КОРИСНИЦИМА'!$G$8:$G$18203,"Свега за пројекат 1101-П8:",'ПО КОРИСНИЦИМА'!$K$8:$K$18203)</f>
        <v>0</v>
      </c>
      <c r="H19" s="261">
        <f t="shared" si="0"/>
        <v>0</v>
      </c>
      <c r="I19" s="267"/>
      <c r="J19" s="364"/>
    </row>
    <row r="20" spans="1:10" hidden="1" x14ac:dyDescent="0.2">
      <c r="A20" s="231"/>
      <c r="B20" s="231" t="s">
        <v>4486</v>
      </c>
      <c r="C20" s="208" t="str">
        <f>IFERROR(VLOOKUP(B20,'ПО КОРИСНИЦИМА'!$C$8:$L$18203,5,FALSE),"")</f>
        <v/>
      </c>
      <c r="D20" s="265">
        <f>SUMIF('ПО КОРИСНИЦИМА'!$G$8:$G$18203,"Свега за пројекат 1101-П9:",'ПО КОРИСНИЦИМА'!$H$8:$H$18203)</f>
        <v>0</v>
      </c>
      <c r="E20" s="262">
        <f t="shared" si="1"/>
        <v>0</v>
      </c>
      <c r="F20" s="262"/>
      <c r="G20" s="266">
        <f>SUMIF('ПО КОРИСНИЦИМА'!$G$8:$G$18203,"Свега за пројекат 1101-П9:",'ПО КОРИСНИЦИМА'!$K$8:$K$18203)</f>
        <v>0</v>
      </c>
      <c r="H20" s="261">
        <f t="shared" si="0"/>
        <v>0</v>
      </c>
      <c r="I20" s="267"/>
      <c r="J20" s="364"/>
    </row>
    <row r="21" spans="1:10" hidden="1" x14ac:dyDescent="0.2">
      <c r="A21" s="231"/>
      <c r="B21" s="231" t="s">
        <v>4487</v>
      </c>
      <c r="C21" s="208" t="str">
        <f>IFERROR(VLOOKUP(B21,'ПО КОРИСНИЦИМА'!$C$8:$L$18203,5,FALSE),"")</f>
        <v/>
      </c>
      <c r="D21" s="265">
        <f>SUMIF('ПО КОРИСНИЦИМА'!$G$8:$G$18203,"Свега за пројекат 1101-П10:",'ПО КОРИСНИЦИМА'!$H$8:$H$18203)</f>
        <v>0</v>
      </c>
      <c r="E21" s="262">
        <f t="shared" si="1"/>
        <v>0</v>
      </c>
      <c r="F21" s="262"/>
      <c r="G21" s="266">
        <f>SUMIF('ПО КОРИСНИЦИМА'!$G$8:$G$18203,"Свега за пројекат 1101-П10:",'ПО КОРИСНИЦИМА'!$K$8:$K$18203)</f>
        <v>0</v>
      </c>
      <c r="H21" s="261">
        <f t="shared" si="0"/>
        <v>0</v>
      </c>
      <c r="I21" s="267"/>
      <c r="J21" s="364"/>
    </row>
    <row r="22" spans="1:10" hidden="1" x14ac:dyDescent="0.2">
      <c r="A22" s="231"/>
      <c r="B22" s="231" t="s">
        <v>4488</v>
      </c>
      <c r="C22" s="208" t="str">
        <f>IFERROR(VLOOKUP(B22,'ПО КОРИСНИЦИМА'!$C$8:$L$18203,5,FALSE),"")</f>
        <v/>
      </c>
      <c r="D22" s="265">
        <f>SUMIF('ПО КОРИСНИЦИМА'!$G$8:$G$18203,"Свега за пројекат 1101-П11:",'ПО КОРИСНИЦИМА'!$H$8:$H$18203)</f>
        <v>0</v>
      </c>
      <c r="E22" s="262">
        <f t="shared" si="1"/>
        <v>0</v>
      </c>
      <c r="F22" s="262"/>
      <c r="G22" s="266">
        <f>SUMIF('ПО КОРИСНИЦИМА'!$G$8:$G$18203,"Свега за пројекат 1101-П11:",'ПО КОРИСНИЦИМА'!$K$8:$K$18203)</f>
        <v>0</v>
      </c>
      <c r="H22" s="261">
        <f t="shared" si="0"/>
        <v>0</v>
      </c>
      <c r="I22" s="267"/>
      <c r="J22" s="364"/>
    </row>
    <row r="23" spans="1:10" hidden="1" x14ac:dyDescent="0.2">
      <c r="A23" s="231"/>
      <c r="B23" s="231" t="s">
        <v>4489</v>
      </c>
      <c r="C23" s="208" t="str">
        <f>IFERROR(VLOOKUP(B23,'ПО КОРИСНИЦИМА'!$C$8:$L$18203,5,FALSE),"")</f>
        <v/>
      </c>
      <c r="D23" s="265">
        <f>SUMIF('ПО КОРИСНИЦИМА'!$G$8:$G$18203,"Свега за пројекат 1101-П12:",'ПО КОРИСНИЦИМА'!$H$8:$H$18203)</f>
        <v>0</v>
      </c>
      <c r="E23" s="262">
        <f t="shared" si="1"/>
        <v>0</v>
      </c>
      <c r="F23" s="262"/>
      <c r="G23" s="266">
        <f>SUMIF('ПО КОРИСНИЦИМА'!$G$8:$G$18203,"Свега за пројекат 1101-П12:",'ПО КОРИСНИЦИМА'!$K$8:$K$18203)</f>
        <v>0</v>
      </c>
      <c r="H23" s="261">
        <f t="shared" si="0"/>
        <v>0</v>
      </c>
      <c r="I23" s="267"/>
      <c r="J23" s="364"/>
    </row>
    <row r="24" spans="1:10" hidden="1" x14ac:dyDescent="0.2">
      <c r="A24" s="231"/>
      <c r="B24" s="231" t="s">
        <v>4490</v>
      </c>
      <c r="C24" s="208" t="str">
        <f>IFERROR(VLOOKUP(B24,'ПО КОРИСНИЦИМА'!$C$8:$L$18203,5,FALSE),"")</f>
        <v/>
      </c>
      <c r="D24" s="265">
        <f>SUMIF('ПО КОРИСНИЦИМА'!$G$8:$G$18203,"Свега за пројекат 1101-П13:",'ПО КОРИСНИЦИМА'!$H$8:$H$18203)</f>
        <v>0</v>
      </c>
      <c r="E24" s="262">
        <f t="shared" si="1"/>
        <v>0</v>
      </c>
      <c r="F24" s="262"/>
      <c r="G24" s="266">
        <f>SUMIF('ПО КОРИСНИЦИМА'!$G$8:$G$18203,"Свега за пројекат 1101-П13:",'ПО КОРИСНИЦИМА'!$K$8:$K$18203)</f>
        <v>0</v>
      </c>
      <c r="H24" s="261">
        <f t="shared" si="0"/>
        <v>0</v>
      </c>
      <c r="I24" s="267"/>
      <c r="J24" s="364"/>
    </row>
    <row r="25" spans="1:10" hidden="1" x14ac:dyDescent="0.2">
      <c r="A25" s="231"/>
      <c r="B25" s="231" t="s">
        <v>4491</v>
      </c>
      <c r="C25" s="208" t="str">
        <f>IFERROR(VLOOKUP(B25,'ПО КОРИСНИЦИМА'!$C$8:$L$18203,5,FALSE),"")</f>
        <v/>
      </c>
      <c r="D25" s="265">
        <f>SUMIF('ПО КОРИСНИЦИМА'!$G$8:$G$18203,"Свега за пројекат 1101-П14:",'ПО КОРИСНИЦИМА'!$H$8:$H$18203)</f>
        <v>0</v>
      </c>
      <c r="E25" s="262">
        <f t="shared" si="1"/>
        <v>0</v>
      </c>
      <c r="F25" s="262"/>
      <c r="G25" s="266">
        <f>SUMIF('ПО КОРИСНИЦИМА'!$G$8:$G$18203,"Свега за пројекат 1101-П14:",'ПО КОРИСНИЦИМА'!$K$8:$K$18203)</f>
        <v>0</v>
      </c>
      <c r="H25" s="261">
        <f t="shared" si="0"/>
        <v>0</v>
      </c>
      <c r="I25" s="264"/>
      <c r="J25" s="364"/>
    </row>
    <row r="26" spans="1:10" hidden="1" x14ac:dyDescent="0.2">
      <c r="A26" s="231"/>
      <c r="B26" s="231" t="s">
        <v>4492</v>
      </c>
      <c r="C26" s="208" t="str">
        <f>IFERROR(VLOOKUP(B26,'ПО КОРИСНИЦИМА'!$C$8:$L$18203,5,FALSE),"")</f>
        <v/>
      </c>
      <c r="D26" s="265">
        <f>SUMIF('ПО КОРИСНИЦИМА'!$G$8:$G$18203,"Свега за пројекат 1101-П15:",'ПО КОРИСНИЦИМА'!$H$8:$H$18203)</f>
        <v>0</v>
      </c>
      <c r="E26" s="262">
        <f t="shared" si="1"/>
        <v>0</v>
      </c>
      <c r="F26" s="262"/>
      <c r="G26" s="266">
        <f>SUMIF('ПО КОРИСНИЦИМА'!$G$8:$G$18203,"Свега за пројекат 1101-П15:",'ПО КОРИСНИЦИМА'!$K$8:$K$18203)</f>
        <v>0</v>
      </c>
      <c r="H26" s="261">
        <f t="shared" si="0"/>
        <v>0</v>
      </c>
      <c r="I26" s="264"/>
      <c r="J26" s="364"/>
    </row>
    <row r="27" spans="1:10" hidden="1" x14ac:dyDescent="0.2">
      <c r="A27" s="231"/>
      <c r="B27" s="231" t="s">
        <v>4493</v>
      </c>
      <c r="C27" s="208" t="str">
        <f>IFERROR(VLOOKUP(B27,'ПО КОРИСНИЦИМА'!$C$8:$L$18203,5,FALSE),"")</f>
        <v/>
      </c>
      <c r="D27" s="265">
        <f>SUMIF('ПО КОРИСНИЦИМА'!$G$8:$G$18203,"Свега за пројекат 1101-П16:",'ПО КОРИСНИЦИМА'!$H$8:$H$18203)</f>
        <v>0</v>
      </c>
      <c r="E27" s="262">
        <f t="shared" si="1"/>
        <v>0</v>
      </c>
      <c r="F27" s="262"/>
      <c r="G27" s="266">
        <f>SUMIF('ПО КОРИСНИЦИМА'!$G$8:$G$18203,"Свега за пројекат 1101-П16:",'ПО КОРИСНИЦИМА'!$K$8:$K$18203)</f>
        <v>0</v>
      </c>
      <c r="H27" s="261">
        <f t="shared" si="0"/>
        <v>0</v>
      </c>
      <c r="I27" s="267"/>
      <c r="J27" s="364"/>
    </row>
    <row r="28" spans="1:10" hidden="1" x14ac:dyDescent="0.2">
      <c r="A28" s="231"/>
      <c r="B28" s="231" t="s">
        <v>4494</v>
      </c>
      <c r="C28" s="208" t="str">
        <f>IFERROR(VLOOKUP(B28,'ПО КОРИСНИЦИМА'!$C$8:$L$18203,5,FALSE),"")</f>
        <v/>
      </c>
      <c r="D28" s="265">
        <f>SUMIF('ПО КОРИСНИЦИМА'!$G$8:$G$18203,"Свега за пројекат 1101-П17:",'ПО КОРИСНИЦИМА'!$H$8:$H$18203)</f>
        <v>0</v>
      </c>
      <c r="E28" s="262">
        <f t="shared" si="1"/>
        <v>0</v>
      </c>
      <c r="F28" s="262"/>
      <c r="G28" s="266">
        <f>SUMIF('ПО КОРИСНИЦИМА'!$G$8:$G$18203,"Свега за пројекат 1101-П17:",'ПО КОРИСНИЦИМА'!$K$8:$K$18203)</f>
        <v>0</v>
      </c>
      <c r="H28" s="261">
        <f t="shared" si="0"/>
        <v>0</v>
      </c>
      <c r="I28" s="267"/>
      <c r="J28" s="364"/>
    </row>
    <row r="29" spans="1:10" hidden="1" x14ac:dyDescent="0.2">
      <c r="A29" s="231"/>
      <c r="B29" s="231" t="s">
        <v>4495</v>
      </c>
      <c r="C29" s="208" t="str">
        <f>IFERROR(VLOOKUP(B29,'ПО КОРИСНИЦИМА'!$C$8:$L$18203,5,FALSE),"")</f>
        <v/>
      </c>
      <c r="D29" s="265">
        <f>SUMIF('ПО КОРИСНИЦИМА'!$G$8:$G$18203,"Свега за пројекат 1101-П18:",'ПО КОРИСНИЦИМА'!$H$8:$H$18203)</f>
        <v>0</v>
      </c>
      <c r="E29" s="262">
        <f t="shared" si="1"/>
        <v>0</v>
      </c>
      <c r="F29" s="262"/>
      <c r="G29" s="266">
        <f>SUMIF('ПО КОРИСНИЦИМА'!$G$8:$G$18203,"Свега за пројекат 1101-П18:",'ПО КОРИСНИЦИМА'!$K$8:$K$18203)</f>
        <v>0</v>
      </c>
      <c r="H29" s="261">
        <f t="shared" si="0"/>
        <v>0</v>
      </c>
      <c r="I29" s="267"/>
      <c r="J29" s="364"/>
    </row>
    <row r="30" spans="1:10" hidden="1" x14ac:dyDescent="0.2">
      <c r="A30" s="231"/>
      <c r="B30" s="231" t="s">
        <v>4496</v>
      </c>
      <c r="C30" s="208" t="str">
        <f>IFERROR(VLOOKUP(B30,'ПО КОРИСНИЦИМА'!$C$8:$L$18203,5,FALSE),"")</f>
        <v/>
      </c>
      <c r="D30" s="265">
        <f>SUMIF('ПО КОРИСНИЦИМА'!$G$8:$G$18203,"Свега за пројекат 1101-П19:",'ПО КОРИСНИЦИМА'!$H$8:$H$18203)</f>
        <v>0</v>
      </c>
      <c r="E30" s="262">
        <f t="shared" si="1"/>
        <v>0</v>
      </c>
      <c r="F30" s="262"/>
      <c r="G30" s="266">
        <f>SUMIF('ПО КОРИСНИЦИМА'!$G$8:$G$18203,"Свега за пројекат 1101-П19:",'ПО КОРИСНИЦИМА'!$K$8:$K$18203)</f>
        <v>0</v>
      </c>
      <c r="H30" s="261">
        <f t="shared" si="0"/>
        <v>0</v>
      </c>
      <c r="I30" s="267"/>
      <c r="J30" s="364"/>
    </row>
    <row r="31" spans="1:10" hidden="1" x14ac:dyDescent="0.2">
      <c r="A31" s="231"/>
      <c r="B31" s="231" t="s">
        <v>4497</v>
      </c>
      <c r="C31" s="208" t="str">
        <f>IFERROR(VLOOKUP(B31,'ПО КОРИСНИЦИМА'!$C$8:$L$18203,5,FALSE),"")</f>
        <v/>
      </c>
      <c r="D31" s="265">
        <f>SUMIF('ПО КОРИСНИЦИМА'!$G$8:$G$18203,"Свега за пројекат 1101-П20:",'ПО КОРИСНИЦИМА'!$H$8:$H$18203)</f>
        <v>0</v>
      </c>
      <c r="E31" s="262">
        <f t="shared" si="1"/>
        <v>0</v>
      </c>
      <c r="F31" s="262"/>
      <c r="G31" s="266">
        <f>SUMIF('ПО КОРИСНИЦИМА'!$G$8:$G$18203,"Свега за пројекат 1101-П20:",'ПО КОРИСНИЦИМА'!$K$8:$K$18203)</f>
        <v>0</v>
      </c>
      <c r="H31" s="261">
        <f t="shared" si="0"/>
        <v>0</v>
      </c>
      <c r="I31" s="267"/>
      <c r="J31" s="364"/>
    </row>
    <row r="32" spans="1:10" hidden="1" x14ac:dyDescent="0.2">
      <c r="A32" s="231"/>
      <c r="B32" s="231" t="s">
        <v>4498</v>
      </c>
      <c r="C32" s="208" t="str">
        <f>IFERROR(VLOOKUP(B32,'ПО КОРИСНИЦИМА'!$C$8:$L$18203,5,FALSE),"")</f>
        <v/>
      </c>
      <c r="D32" s="265">
        <f>SUMIF('ПО КОРИСНИЦИМА'!$G$8:$G$18203,"Свега за пројекат 1101-П21:",'ПО КОРИСНИЦИМА'!$H$8:$H$18203)</f>
        <v>0</v>
      </c>
      <c r="E32" s="262">
        <f t="shared" si="1"/>
        <v>0</v>
      </c>
      <c r="F32" s="262"/>
      <c r="G32" s="266">
        <f>SUMIF('ПО КОРИСНИЦИМА'!$G$8:$G$18203,"Свега за пројекат 1101-П21:",'ПО КОРИСНИЦИМА'!$K$8:$K$18203)</f>
        <v>0</v>
      </c>
      <c r="H32" s="261">
        <f t="shared" si="0"/>
        <v>0</v>
      </c>
      <c r="I32" s="267"/>
      <c r="J32" s="364"/>
    </row>
    <row r="33" spans="1:10" hidden="1" x14ac:dyDescent="0.2">
      <c r="A33" s="231"/>
      <c r="B33" s="231" t="s">
        <v>4499</v>
      </c>
      <c r="C33" s="208" t="str">
        <f>IFERROR(VLOOKUP(B33,'ПО КОРИСНИЦИМА'!$C$8:$L$18203,5,FALSE),"")</f>
        <v/>
      </c>
      <c r="D33" s="265">
        <f>SUMIF('ПО КОРИСНИЦИМА'!$G$8:$G$18203,"Свега за пројекат 1101-П22:",'ПО КОРИСНИЦИМА'!$H$8:$H$18203)</f>
        <v>0</v>
      </c>
      <c r="E33" s="262">
        <f t="shared" si="1"/>
        <v>0</v>
      </c>
      <c r="F33" s="262"/>
      <c r="G33" s="266">
        <f>SUMIF('ПО КОРИСНИЦИМА'!$G$8:$G$18203,"Свега за пројекат 1101-П22:",'ПО КОРИСНИЦИМА'!$K$8:$K$18203)</f>
        <v>0</v>
      </c>
      <c r="H33" s="261">
        <f t="shared" si="0"/>
        <v>0</v>
      </c>
      <c r="I33" s="267"/>
      <c r="J33" s="364"/>
    </row>
    <row r="34" spans="1:10" hidden="1" x14ac:dyDescent="0.2">
      <c r="A34" s="231"/>
      <c r="B34" s="231" t="s">
        <v>4500</v>
      </c>
      <c r="C34" s="208" t="str">
        <f>IFERROR(VLOOKUP(B34,'ПО КОРИСНИЦИМА'!$C$8:$L$18203,5,FALSE),"")</f>
        <v/>
      </c>
      <c r="D34" s="265">
        <f>SUMIF('ПО КОРИСНИЦИМА'!$G$8:$G$18203,"Свега за пројекат 1101-П23:",'ПО КОРИСНИЦИМА'!$H$8:$H$18203)</f>
        <v>0</v>
      </c>
      <c r="E34" s="262">
        <f t="shared" si="1"/>
        <v>0</v>
      </c>
      <c r="F34" s="262"/>
      <c r="G34" s="266">
        <f>SUMIF('ПО КОРИСНИЦИМА'!$G$8:$G$18203,"Свега за пројекат 1101-П23:",'ПО КОРИСНИЦИМА'!$K$8:$K$18203)</f>
        <v>0</v>
      </c>
      <c r="H34" s="261">
        <f t="shared" si="0"/>
        <v>0</v>
      </c>
      <c r="I34" s="267"/>
      <c r="J34" s="364"/>
    </row>
    <row r="35" spans="1:10" hidden="1" x14ac:dyDescent="0.2">
      <c r="A35" s="244"/>
      <c r="B35" s="244" t="s">
        <v>4501</v>
      </c>
      <c r="C35" s="245" t="str">
        <f>IFERROR(VLOOKUP(B35,'ПО КОРИСНИЦИМА'!$C$8:$L$18203,5,FALSE),"")</f>
        <v/>
      </c>
      <c r="D35" s="268">
        <f>SUMIF('ПО КОРИСНИЦИМА'!$G$8:$G$18203,"Свега за пројекат 1101-П24:",'ПО КОРИСНИЦИМА'!$H$8:$H$18203)</f>
        <v>0</v>
      </c>
      <c r="E35" s="269">
        <f t="shared" si="1"/>
        <v>0</v>
      </c>
      <c r="F35" s="269"/>
      <c r="G35" s="270">
        <f>SUMIF('ПО КОРИСНИЦИМА'!$G$8:$G$18203,"Свега за пројекат 1101-П24:",'ПО КОРИСНИЦИМА'!$K$8:$K$18203)</f>
        <v>0</v>
      </c>
      <c r="H35" s="271">
        <f t="shared" si="0"/>
        <v>0</v>
      </c>
      <c r="I35" s="272"/>
      <c r="J35" s="364"/>
    </row>
    <row r="36" spans="1:10" x14ac:dyDescent="0.2">
      <c r="A36" s="226" t="s">
        <v>3561</v>
      </c>
      <c r="B36" s="227"/>
      <c r="C36" s="206" t="s">
        <v>3666</v>
      </c>
      <c r="D36" s="253">
        <f>SUM(D37:D100)</f>
        <v>111982800</v>
      </c>
      <c r="E36" s="685">
        <f>SUM(E37:E59)</f>
        <v>96764535.589999989</v>
      </c>
      <c r="F36" s="694">
        <f>SUM(E36/D36)*100</f>
        <v>86.410176911097054</v>
      </c>
      <c r="G36" s="255">
        <f>SUM(G37:G100)</f>
        <v>1500000</v>
      </c>
      <c r="H36" s="253">
        <f>SUM(H37:H59)</f>
        <v>2679758.81</v>
      </c>
      <c r="I36" s="256"/>
      <c r="J36" s="688">
        <f>SUM(H36/G36)*100</f>
        <v>178.65058733333333</v>
      </c>
    </row>
    <row r="37" spans="1:10" x14ac:dyDescent="0.2">
      <c r="A37" s="229"/>
      <c r="B37" s="229" t="s">
        <v>4055</v>
      </c>
      <c r="C37" s="209" t="s">
        <v>183</v>
      </c>
      <c r="D37" s="257">
        <f>SUMIF('ПО КОРИСНИЦИМА'!$G$8:$G$18203,"Свега за програмску активност 0601-0001:",'ПО КОРИСНИЦИМА'!$H$8:$H$18203)</f>
        <v>54376800</v>
      </c>
      <c r="E37" s="683">
        <f>SUM('ПО КОРИСНИЦИМА'!I14770)</f>
        <v>50010229.919999994</v>
      </c>
      <c r="F37" s="694">
        <f t="shared" ref="F37:F100" si="2">SUM(E37/D37)*100</f>
        <v>91.969792117226461</v>
      </c>
      <c r="G37" s="259">
        <f>SUMIF('ПО КОРИСНИЦИМА'!$G$8:$G$18203,"Свега за програмску активност 0601-0001:",'ПО КОРИСНИЦИМА'!$K$8:$K$18203)</f>
        <v>0</v>
      </c>
      <c r="H37" s="257">
        <f>SUM('ПО КОРИСНИЦИМА'!L14752)</f>
        <v>1582634.99</v>
      </c>
      <c r="I37" s="260"/>
      <c r="J37" s="688"/>
    </row>
    <row r="38" spans="1:10" x14ac:dyDescent="0.2">
      <c r="A38" s="231"/>
      <c r="B38" s="231" t="s">
        <v>4056</v>
      </c>
      <c r="C38" s="210" t="s">
        <v>4057</v>
      </c>
      <c r="D38" s="261">
        <f>SUMIF('ПО КОРИСНИЦИМА'!$G$8:$G$18203,"Свега за програмску активност 0601-0002:",'ПО КОРИСНИЦИМА'!$H$8:$H$18203)</f>
        <v>620000</v>
      </c>
      <c r="E38" s="684">
        <f>SUM('ПО КОРИСНИЦИМА'!I14851)</f>
        <v>289033.25</v>
      </c>
      <c r="F38" s="694">
        <f t="shared" si="2"/>
        <v>46.618266129032257</v>
      </c>
      <c r="G38" s="263">
        <f>SUMIF('ПО КОРИСНИЦИМА'!$G$8:$G$18203,"Свега за програмску активност 0601-0002:",'ПО КОРИСНИЦИМА'!$K$8:$K$18203)</f>
        <v>0</v>
      </c>
      <c r="H38" s="261"/>
      <c r="I38" s="264"/>
      <c r="J38" s="688"/>
    </row>
    <row r="39" spans="1:10" x14ac:dyDescent="0.2">
      <c r="A39" s="231"/>
      <c r="B39" s="231" t="s">
        <v>4058</v>
      </c>
      <c r="C39" s="210" t="s">
        <v>4059</v>
      </c>
      <c r="D39" s="261">
        <f>SUMIF('ПО КОРИСНИЦИМА'!$G$8:$G$18203,"Свега за програмску активност 0601-0003:",'ПО КОРИСНИЦИМА'!$H$8:$H$18203)</f>
        <v>5416000</v>
      </c>
      <c r="E39" s="684">
        <f>SUM('ПО КОРИСНИЦИМА'!I14968)</f>
        <v>4488656.76</v>
      </c>
      <c r="F39" s="694">
        <f t="shared" si="2"/>
        <v>82.877709748892173</v>
      </c>
      <c r="G39" s="263">
        <f>SUMIF('ПО КОРИСНИЦИМА'!$G$8:$G$18203,"Свега за програмску активност 0601-0003:",'ПО КОРИСНИЦИМА'!$K$8:$K$18203)</f>
        <v>0</v>
      </c>
      <c r="H39" s="261"/>
      <c r="I39" s="264"/>
      <c r="J39" s="688"/>
    </row>
    <row r="40" spans="1:10" hidden="1" x14ac:dyDescent="0.2">
      <c r="A40" s="231"/>
      <c r="B40" s="231" t="s">
        <v>4060</v>
      </c>
      <c r="C40" s="210" t="s">
        <v>4061</v>
      </c>
      <c r="D40" s="261">
        <f>SUMIF('ПО КОРИСНИЦИМА'!$G$8:$G$18203,"Свега за програмску активност 0601-0004:",'ПО КОРИСНИЦИМА'!$H$8:$H$18203)</f>
        <v>0</v>
      </c>
      <c r="E40" s="684"/>
      <c r="F40" s="694" t="e">
        <f t="shared" si="2"/>
        <v>#DIV/0!</v>
      </c>
      <c r="G40" s="263">
        <f>SUMIF('ПО КОРИСНИЦИМА'!$G$8:$G$18203,"Свега за програмску активност 0601-0004:",'ПО КОРИСНИЦИМА'!$K$8:$K$18203)</f>
        <v>0</v>
      </c>
      <c r="H40" s="261"/>
      <c r="I40" s="264"/>
      <c r="J40" s="688"/>
    </row>
    <row r="41" spans="1:10" hidden="1" x14ac:dyDescent="0.2">
      <c r="A41" s="231"/>
      <c r="B41" s="231" t="s">
        <v>4062</v>
      </c>
      <c r="C41" s="210" t="s">
        <v>4063</v>
      </c>
      <c r="D41" s="261">
        <f>SUMIF('ПО КОРИСНИЦИМА'!$G$8:$G$18203,"Свега за програмску активност 0601-0005:",'ПО КОРИСНИЦИМА'!$H$8:$H$18203)</f>
        <v>0</v>
      </c>
      <c r="E41" s="684"/>
      <c r="F41" s="694" t="e">
        <f t="shared" si="2"/>
        <v>#DIV/0!</v>
      </c>
      <c r="G41" s="263">
        <f>SUMIF('ПО КОРИСНИЦИМА'!$G$8:$G$18203,"Свега за програмску активност 0601-0005:",'ПО КОРИСНИЦИМА'!$K$8:$K$18203)</f>
        <v>0</v>
      </c>
      <c r="H41" s="261"/>
      <c r="I41" s="264"/>
      <c r="J41" s="688"/>
    </row>
    <row r="42" spans="1:10" hidden="1" x14ac:dyDescent="0.2">
      <c r="A42" s="231"/>
      <c r="B42" s="231" t="s">
        <v>4064</v>
      </c>
      <c r="C42" s="210" t="s">
        <v>4065</v>
      </c>
      <c r="D42" s="261">
        <f>SUMIF('ПО КОРИСНИЦИМА'!$G$8:$G$18203,"Свега за програмску активност 0601-0006:",'ПО КОРИСНИЦИМА'!$H$8:$H$18203)</f>
        <v>0</v>
      </c>
      <c r="E42" s="684"/>
      <c r="F42" s="694" t="e">
        <f t="shared" si="2"/>
        <v>#DIV/0!</v>
      </c>
      <c r="G42" s="263">
        <f>SUMIF('ПО КОРИСНИЦИМА'!$G$8:$G$18203,"Свега за програмску активност 0601-0006:",'ПО КОРИСНИЦИМА'!$K$8:$K$18203)</f>
        <v>0</v>
      </c>
      <c r="H42" s="261"/>
      <c r="I42" s="264"/>
      <c r="J42" s="688"/>
    </row>
    <row r="43" spans="1:10" x14ac:dyDescent="0.2">
      <c r="A43" s="231"/>
      <c r="B43" s="231" t="s">
        <v>4066</v>
      </c>
      <c r="C43" s="210" t="s">
        <v>4214</v>
      </c>
      <c r="D43" s="261">
        <f>SUMIF('ПО КОРИСНИЦИМА'!$G$8:$G$18203,"Свега за програмску активност 0601-0007:",'ПО КОРИСНИЦИМА'!$H$8:$H$18203)</f>
        <v>70000</v>
      </c>
      <c r="E43" s="684">
        <f>SUM('ПО КОРИСНИЦИМА'!I15049)</f>
        <v>0</v>
      </c>
      <c r="F43" s="694">
        <f t="shared" si="2"/>
        <v>0</v>
      </c>
      <c r="G43" s="263">
        <f>SUMIF('ПО КОРИСНИЦИМА'!$G$8:$G$18203,"Свега за програмску активност 0601-0007:",'ПО КОРИСНИЦИМА'!$K$8:$K$18203)</f>
        <v>0</v>
      </c>
      <c r="H43" s="261"/>
      <c r="I43" s="264"/>
      <c r="J43" s="688"/>
    </row>
    <row r="44" spans="1:10" x14ac:dyDescent="0.2">
      <c r="A44" s="231"/>
      <c r="B44" s="231" t="s">
        <v>4067</v>
      </c>
      <c r="C44" s="210" t="s">
        <v>4068</v>
      </c>
      <c r="D44" s="261">
        <f>SUMIF('ПО КОРИСНИЦИМА'!$G$8:$G$18203,"Свега за програмску активност 0601-0008:",'ПО КОРИСНИЦИМА'!$H$8:$H$18203)</f>
        <v>3000000</v>
      </c>
      <c r="E44" s="684">
        <f>SUM('ПО КОРИСНИЦИМА'!I10944)</f>
        <v>1790360</v>
      </c>
      <c r="F44" s="694">
        <f t="shared" si="2"/>
        <v>59.678666666666672</v>
      </c>
      <c r="G44" s="263">
        <f>SUMIF('ПО КОРИСНИЦИМА'!$G$8:$G$18203,"Свега за програмску активност 0601-0008:",'ПО КОРИСНИЦИМА'!$K$8:$K$18203)</f>
        <v>0</v>
      </c>
      <c r="H44" s="261"/>
      <c r="I44" s="264"/>
      <c r="J44" s="688"/>
    </row>
    <row r="45" spans="1:10" hidden="1" x14ac:dyDescent="0.2">
      <c r="A45" s="231"/>
      <c r="B45" s="231" t="s">
        <v>4069</v>
      </c>
      <c r="C45" s="210" t="s">
        <v>4070</v>
      </c>
      <c r="D45" s="261">
        <f>SUMIF('ПО КОРИСНИЦИМА'!$G$8:$G$18203,"Свега за програмску активност 0601-0009:",'ПО КОРИСНИЦИМА'!$H$8:$H$18203)</f>
        <v>0</v>
      </c>
      <c r="E45" s="684"/>
      <c r="F45" s="694" t="e">
        <f t="shared" si="2"/>
        <v>#DIV/0!</v>
      </c>
      <c r="G45" s="263">
        <f>SUMIF('ПО КОРИСНИЦИМА'!$G$8:$G$18203,"Свега за програмску активност 0601-0009:",'ПО КОРИСНИЦИМА'!$K$8:$K$18203)</f>
        <v>0</v>
      </c>
      <c r="H45" s="261"/>
      <c r="I45" s="264"/>
      <c r="J45" s="688"/>
    </row>
    <row r="46" spans="1:10" x14ac:dyDescent="0.2">
      <c r="A46" s="231"/>
      <c r="B46" s="231" t="s">
        <v>4071</v>
      </c>
      <c r="C46" s="210" t="s">
        <v>4072</v>
      </c>
      <c r="D46" s="261">
        <f>SUMIF('ПО КОРИСНИЦИМА'!$G$8:$G$18203,"Свега за програмску активност 0601-0010:",'ПО КОРИСНИЦИМА'!$H$8:$H$18203)</f>
        <v>9900000</v>
      </c>
      <c r="E46" s="684">
        <f>SUM('ПО КОРИСНИЦИМА'!I10730)</f>
        <v>8422997.7799999993</v>
      </c>
      <c r="F46" s="694">
        <f t="shared" si="2"/>
        <v>85.080785656565652</v>
      </c>
      <c r="G46" s="263">
        <f>SUMIF('ПО КОРИСНИЦИМА'!$G$8:$G$18203,"Свега за програмску активност 0601-0010:",'ПО КОРИСНИЦИМА'!$K$8:$K$18203)</f>
        <v>0</v>
      </c>
      <c r="H46" s="261"/>
      <c r="I46" s="264"/>
      <c r="J46" s="688"/>
    </row>
    <row r="47" spans="1:10" x14ac:dyDescent="0.2">
      <c r="A47" s="231"/>
      <c r="B47" s="231" t="s">
        <v>4073</v>
      </c>
      <c r="C47" s="210" t="s">
        <v>4074</v>
      </c>
      <c r="D47" s="261">
        <f>SUMIF('ПО КОРИСНИЦИМА'!$G$8:$G$18203,"Свега за програмску активност 0601-0011:",'ПО КОРИСНИЦИМА'!$H$8:$H$18203)</f>
        <v>420000</v>
      </c>
      <c r="E47" s="684">
        <f>SUM('ПО КОРИСНИЦИМА'!I15364)</f>
        <v>210151</v>
      </c>
      <c r="F47" s="694">
        <f t="shared" si="2"/>
        <v>50.035952380952374</v>
      </c>
      <c r="G47" s="263">
        <f>SUMIF('ПО КОРИСНИЦИМА'!$G$8:$G$18203,"Свега за програмску активност 0601-0011:",'ПО КОРИСНИЦИМА'!$K$8:$K$18203)</f>
        <v>0</v>
      </c>
      <c r="H47" s="261"/>
      <c r="I47" s="264"/>
      <c r="J47" s="688"/>
    </row>
    <row r="48" spans="1:10" hidden="1" x14ac:dyDescent="0.2">
      <c r="A48" s="231"/>
      <c r="B48" s="231" t="s">
        <v>4075</v>
      </c>
      <c r="C48" s="210" t="s">
        <v>4076</v>
      </c>
      <c r="D48" s="261">
        <f>SUMIF('ПО КОРИСНИЦИМА'!$G$8:$G$18203,"Свега за програмску активност 0601-0012:",'ПО КОРИСНИЦИМА'!$H$8:$H$18203)</f>
        <v>0</v>
      </c>
      <c r="E48" s="684"/>
      <c r="F48" s="694" t="e">
        <f t="shared" si="2"/>
        <v>#DIV/0!</v>
      </c>
      <c r="G48" s="263">
        <f>SUMIF('ПО КОРИСНИЦИМА'!$G$8:$G$18203,"Свега за програмску активност 0601-0012:",'ПО КОРИСНИЦИМА'!$K$8:$K$18203)</f>
        <v>0</v>
      </c>
      <c r="H48" s="261"/>
      <c r="I48" s="264"/>
      <c r="J48" s="688"/>
    </row>
    <row r="49" spans="1:10" hidden="1" x14ac:dyDescent="0.2">
      <c r="A49" s="231"/>
      <c r="B49" s="231" t="s">
        <v>4077</v>
      </c>
      <c r="C49" s="210" t="s">
        <v>4078</v>
      </c>
      <c r="D49" s="261">
        <f>SUMIF('ПО КОРИСНИЦИМА'!$G$8:$G$18203,"Свега за програмску активност 0601-0013:",'ПО КОРИСНИЦИМА'!$H$8:$H$18203)</f>
        <v>0</v>
      </c>
      <c r="E49" s="684"/>
      <c r="F49" s="694" t="e">
        <f t="shared" si="2"/>
        <v>#DIV/0!</v>
      </c>
      <c r="G49" s="263">
        <f>SUMIF('ПО КОРИСНИЦИМА'!$G$8:$G$18203,"Свега за програмску активност 0601-0013:",'ПО КОРИСНИЦИМА'!$K$8:$K$18203)</f>
        <v>0</v>
      </c>
      <c r="H49" s="261"/>
      <c r="I49" s="264"/>
      <c r="J49" s="688"/>
    </row>
    <row r="50" spans="1:10" x14ac:dyDescent="0.2">
      <c r="A50" s="231"/>
      <c r="B50" s="231" t="s">
        <v>4079</v>
      </c>
      <c r="C50" s="210" t="s">
        <v>4080</v>
      </c>
      <c r="D50" s="261">
        <f>SUMIF('ПО КОРИСНИЦИМА'!$G$8:$G$18203,"Свега за програмску активност 0601-0014:",'ПО КОРИСНИЦИМА'!$H$8:$H$18203)</f>
        <v>270000</v>
      </c>
      <c r="E50" s="684">
        <f>SUM('ПО КОРИСНИЦИМА'!I15445)</f>
        <v>0</v>
      </c>
      <c r="F50" s="694">
        <f t="shared" si="2"/>
        <v>0</v>
      </c>
      <c r="G50" s="263">
        <f>SUMIF('ПО КОРИСНИЦИМА'!$G$8:$G$18203,"Свега за програмску активност 0601-0014:",'ПО КОРИСНИЦИМА'!$K$8:$K$18203)</f>
        <v>0</v>
      </c>
      <c r="H50" s="261"/>
      <c r="I50" s="264"/>
      <c r="J50" s="688"/>
    </row>
    <row r="51" spans="1:10" x14ac:dyDescent="0.2">
      <c r="A51" s="231"/>
      <c r="B51" s="231" t="s">
        <v>4504</v>
      </c>
      <c r="C51" s="208" t="str">
        <f>IFERROR(VLOOKUP(B51,'ПО КОРИСНИЦИМА'!$C$8:$L$18203,5,FALSE),"")</f>
        <v>Изградња магистралног цевовода Врхпоље - Горња Трешњица</v>
      </c>
      <c r="D51" s="265">
        <f>SUMIF('ПО КОРИСНИЦИМА'!$G$8:$G$18203,"Свега за пројекат 0601-П1:",'ПО КОРИСНИЦИМА'!$H$8:$H$18203)</f>
        <v>15900000</v>
      </c>
      <c r="E51" s="684">
        <f>SUM('ПО КОРИСНИЦИМА'!I15601)</f>
        <v>12978512.199999999</v>
      </c>
      <c r="F51" s="694">
        <f t="shared" si="2"/>
        <v>81.625862893081759</v>
      </c>
      <c r="G51" s="266">
        <f>SUMIF('ПО КОРИСНИЦИМА'!$G$8:$G$18203,"Свега за пројекат 0601-П1:",'ПО КОРИСНИЦИМА'!$K$8:$K$18203)</f>
        <v>0</v>
      </c>
      <c r="H51" s="261"/>
      <c r="I51" s="264"/>
      <c r="J51" s="688"/>
    </row>
    <row r="52" spans="1:10" x14ac:dyDescent="0.2">
      <c r="A52" s="231"/>
      <c r="B52" s="231" t="s">
        <v>4505</v>
      </c>
      <c r="C52" s="208" t="str">
        <f>IFERROR(VLOOKUP(B52,'ПО КОРИСНИЦИМА'!$C$8:$L$18203,5,FALSE),"")</f>
        <v>Фекална пумпна станица</v>
      </c>
      <c r="D52" s="265">
        <f>SUMIF('ПО КОРИСНИЦИМА'!$G$8:$G$18203,"Свега за пројекат 0601-П2:",'ПО КОРИСНИЦИМА'!$H$8:$H$18203)</f>
        <v>8900000</v>
      </c>
      <c r="E52" s="684">
        <f>SUM('ПО КОРИСНИЦИМА'!I15666)</f>
        <v>7893567.5</v>
      </c>
      <c r="F52" s="694">
        <f t="shared" si="2"/>
        <v>88.691769662921345</v>
      </c>
      <c r="G52" s="266">
        <f>SUMIF('ПО КОРИСНИЦИМА'!$G$8:$G$18203,"Свега за пројекат 0601-П2:",'ПО КОРИСНИЦИМА'!$K$8:$K$18203)</f>
        <v>0</v>
      </c>
      <c r="H52" s="261"/>
      <c r="I52" s="264"/>
      <c r="J52" s="688"/>
    </row>
    <row r="53" spans="1:10" x14ac:dyDescent="0.2">
      <c r="A53" s="231"/>
      <c r="B53" s="231" t="s">
        <v>4506</v>
      </c>
      <c r="C53" s="208" t="str">
        <f>IFERROR(VLOOKUP(B53,'ПО КОРИСНИЦИМА'!$C$8:$L$18203,5,FALSE),"")</f>
        <v>Колектор од Старе пекаре до магистралног пута Љубовија - М.Зворник</v>
      </c>
      <c r="D53" s="265">
        <f>SUMIF('ПО КОРИСНИЦИМА'!$G$8:$G$18203,"Свега за пројекат 0601-П3:",'ПО КОРИСНИЦИМА'!$H$8:$H$18203)</f>
        <v>8500000</v>
      </c>
      <c r="E53" s="684">
        <f>SUM('ПО КОРИСНИЦИМА'!I15749)</f>
        <v>7172062.0999999996</v>
      </c>
      <c r="F53" s="694">
        <f t="shared" si="2"/>
        <v>84.377201176470578</v>
      </c>
      <c r="G53" s="266">
        <f>SUMIF('ПО КОРИСНИЦИМА'!$G$8:$G$18203,"Свега за пројекат 0601-П3:",'ПО КОРИСНИЦИМА'!$K$8:$K$18203)</f>
        <v>0</v>
      </c>
      <c r="H53" s="261"/>
      <c r="I53" s="264"/>
      <c r="J53" s="688"/>
    </row>
    <row r="54" spans="1:10" x14ac:dyDescent="0.2">
      <c r="A54" s="231"/>
      <c r="B54" s="231" t="s">
        <v>4507</v>
      </c>
      <c r="C54" s="208" t="str">
        <f>IFERROR(VLOOKUP(B54,'ПО КОРИСНИЦИМА'!$C$8:$L$18203,5,FALSE),"")</f>
        <v>Водовод и канализација у Омладинској улици</v>
      </c>
      <c r="D54" s="265">
        <f>SUMIF('ПО КОРИСНИЦИМА'!$G$8:$G$18203,"Свега за пројекат 0601-П4:",'ПО КОРИСНИЦИМА'!$H$8:$H$18203)</f>
        <v>2200000</v>
      </c>
      <c r="E54" s="684">
        <f>SUM('ПО КОРИСНИЦИМА'!I15898)</f>
        <v>2136708</v>
      </c>
      <c r="F54" s="694">
        <f t="shared" si="2"/>
        <v>97.123090909090919</v>
      </c>
      <c r="G54" s="266">
        <f>SUMIF('ПО КОРИСНИЦИМА'!$G$8:$G$18203,"Свега за пројекат 0601-П4:",'ПО КОРИСНИЦИМА'!$K$8:$K$18203)</f>
        <v>0</v>
      </c>
      <c r="H54" s="261"/>
      <c r="I54" s="264"/>
      <c r="J54" s="688"/>
    </row>
    <row r="55" spans="1:10" hidden="1" x14ac:dyDescent="0.2">
      <c r="A55" s="231"/>
      <c r="B55" s="231" t="s">
        <v>4508</v>
      </c>
      <c r="C55" s="208" t="str">
        <f>IFERROR(VLOOKUP(B55,'ПО КОРИСНИЦИМА'!$C$8:$L$18203,5,FALSE),"")</f>
        <v>Водовод и канализација у Првомајској улици</v>
      </c>
      <c r="D55" s="265">
        <f>SUMIF('ПО КОРИСНИЦИМА'!$G$8:$G$18203,"Свега за пројекат 0601-П5:",'ПО КОРИСНИЦИМА'!$H$8:$H$18203)</f>
        <v>0</v>
      </c>
      <c r="E55" s="684"/>
      <c r="F55" s="694" t="e">
        <f t="shared" si="2"/>
        <v>#DIV/0!</v>
      </c>
      <c r="G55" s="266">
        <f>SUMIF('ПО КОРИСНИЦИМА'!$G$8:$G$18203,"Свега за пројекат 0601-П5:",'ПО КОРИСНИЦИМА'!$K$8:$K$18203)</f>
        <v>0</v>
      </c>
      <c r="H55" s="261"/>
      <c r="I55" s="267"/>
      <c r="J55" s="688"/>
    </row>
    <row r="56" spans="1:10" hidden="1" x14ac:dyDescent="0.2">
      <c r="A56" s="231"/>
      <c r="B56" s="231" t="s">
        <v>4509</v>
      </c>
      <c r="C56" s="208" t="str">
        <f>IFERROR(VLOOKUP(B56,'ПО КОРИСНИЦИМА'!$C$8:$L$18203,5,FALSE),"")</f>
        <v>Уређење Новог гробља</v>
      </c>
      <c r="D56" s="265">
        <f>SUMIF('ПО КОРИСНИЦИМА'!$G$8:$G$18203,"Свега за пројекат 0601-П6:",'ПО КОРИСНИЦИМА'!$H$8:$H$18203)</f>
        <v>0</v>
      </c>
      <c r="E56" s="684"/>
      <c r="F56" s="694" t="e">
        <f t="shared" si="2"/>
        <v>#DIV/0!</v>
      </c>
      <c r="G56" s="266">
        <f>SUMIF('ПО КОРИСНИЦИМА'!$G$8:$G$18203,"Свега за пројекат 0601-П6:",'ПО КОРИСНИЦИМА'!$K$8:$K$18203)</f>
        <v>0</v>
      </c>
      <c r="H56" s="261"/>
      <c r="I56" s="267"/>
      <c r="J56" s="688"/>
    </row>
    <row r="57" spans="1:10" x14ac:dyDescent="0.2">
      <c r="A57" s="231"/>
      <c r="B57" s="231" t="s">
        <v>4510</v>
      </c>
      <c r="C57" s="208" t="str">
        <f>IFERROR(VLOOKUP(B57,'ПО КОРИСНИЦИМА'!$C$8:$L$18203,5,FALSE),"")</f>
        <v>Израда пројектне документације</v>
      </c>
      <c r="D57" s="265">
        <f>SUMIF('ПО КОРИСНИЦИМА'!$G$8:$G$18203,"Свега за пројекат 0601-П7:",'ПО КОРИСНИЦИМА'!$H$8:$H$18203)</f>
        <v>1110000</v>
      </c>
      <c r="E57" s="684">
        <f>SUM('ПО КОРИСНИЦИМА'!I16195)</f>
        <v>420000</v>
      </c>
      <c r="F57" s="694">
        <f t="shared" si="2"/>
        <v>37.837837837837839</v>
      </c>
      <c r="G57" s="266">
        <f>SUMIF('ПО КОРИСНИЦИМА'!$G$8:$G$18203,"Свега за пројекат 0601-П7:",'ПО КОРИСНИЦИМА'!$K$8:$K$18203)</f>
        <v>0</v>
      </c>
      <c r="H57" s="261"/>
      <c r="I57" s="267"/>
      <c r="J57" s="688"/>
    </row>
    <row r="58" spans="1:10" x14ac:dyDescent="0.2">
      <c r="A58" s="231"/>
      <c r="B58" s="231" t="s">
        <v>4511</v>
      </c>
      <c r="C58" s="208" t="str">
        <f>IFERROR(VLOOKUP(B58,'ПО КОРИСНИЦИМА'!$C$8:$L$18203,5,FALSE),"")</f>
        <v>Изградња Трим стазе</v>
      </c>
      <c r="D58" s="265">
        <f>SUMIF('ПО КОРИСНИЦИМА'!$G$8:$G$18203,"Свега за пројекат 0601-П8:",'ПО КОРИСНИЦИМА'!$H$8:$H$18203)</f>
        <v>1300000</v>
      </c>
      <c r="E58" s="684">
        <f>SUM('ПО КОРИСНИЦИМА'!I16244)</f>
        <v>952257.08</v>
      </c>
      <c r="F58" s="694">
        <f t="shared" si="2"/>
        <v>73.250544615384612</v>
      </c>
      <c r="G58" s="266">
        <f>SUMIF('ПО КОРИСНИЦИМА'!$G$8:$G$18203,"Свега за пројекат 0601-П8:",'ПО КОРИСНИЦИМА'!$K$8:$K$18203)</f>
        <v>1500000</v>
      </c>
      <c r="H58" s="261">
        <f>SUM('ПО КОРИСНИЦИМА'!L16266)</f>
        <v>1097123.82</v>
      </c>
      <c r="I58" s="267"/>
      <c r="J58" s="688">
        <f t="shared" ref="J58:J100" si="3">SUM(H58/G58)*100</f>
        <v>73.141587999999999</v>
      </c>
    </row>
    <row r="59" spans="1:10" ht="12" customHeight="1" x14ac:dyDescent="0.2">
      <c r="A59" s="231"/>
      <c r="B59" s="231" t="s">
        <v>4512</v>
      </c>
      <c r="C59" s="208" t="str">
        <f>IFERROR(VLOOKUP(B59,'ПО КОРИСНИЦИМА'!$C$8:$L$18203,5,FALSE),"")</f>
        <v>Набавка материјала за главни одводни колектор</v>
      </c>
      <c r="D59" s="265">
        <f>SUMIF('ПО КОРИСНИЦИМА'!$G$8:$G$18203,"Свега за пројекат 0601-П9:",'ПО КОРИСНИЦИМА'!$H$8:$H$18203)</f>
        <v>0</v>
      </c>
      <c r="E59" s="684"/>
      <c r="F59" s="694"/>
      <c r="G59" s="266">
        <f>SUMIF('ПО КОРИСНИЦИМА'!$G$8:$G$18203,"Свега за пројекат 0601-П9:",'ПО КОРИСНИЦИМА'!$K$8:$K$18203)</f>
        <v>0</v>
      </c>
      <c r="H59" s="261"/>
      <c r="I59" s="267"/>
      <c r="J59" s="688"/>
    </row>
    <row r="60" spans="1:10" ht="0.75" hidden="1" customHeight="1" x14ac:dyDescent="0.2">
      <c r="A60" s="231"/>
      <c r="B60" s="231" t="s">
        <v>4513</v>
      </c>
      <c r="C60" s="208" t="str">
        <f>IFERROR(VLOOKUP(B60,'ПО КОРИСНИЦИМА'!$C$8:$L$18203,5,FALSE),"")</f>
        <v/>
      </c>
      <c r="D60" s="265">
        <f>SUMIF('ПО КОРИСНИЦИМА'!$G$8:$G$18203,"Свега за пројекат 0601-П10:",'ПО КОРИСНИЦИМА'!$H$8:$H$18203)</f>
        <v>0</v>
      </c>
      <c r="E60" s="262"/>
      <c r="F60" s="694" t="e">
        <f t="shared" si="2"/>
        <v>#DIV/0!</v>
      </c>
      <c r="G60" s="266">
        <f>SUMIF('ПО КОРИСНИЦИМА'!$G$8:$G$18203,"Свега за пројекат 0601-П10:",'ПО КОРИСНИЦИМА'!$K$8:$K$18203)</f>
        <v>0</v>
      </c>
      <c r="H60" s="261"/>
      <c r="I60" s="267"/>
      <c r="J60" s="688" t="e">
        <f t="shared" si="3"/>
        <v>#DIV/0!</v>
      </c>
    </row>
    <row r="61" spans="1:10" hidden="1" x14ac:dyDescent="0.2">
      <c r="A61" s="231"/>
      <c r="B61" s="231" t="s">
        <v>4514</v>
      </c>
      <c r="C61" s="208" t="str">
        <f>IFERROR(VLOOKUP(B61,'ПО КОРИСНИЦИМА'!$C$8:$L$18203,5,FALSE),"")</f>
        <v/>
      </c>
      <c r="D61" s="265">
        <f>SUMIF('ПО КОРИСНИЦИМА'!$G$8:$G$18203,"Свега за пројекат 0601-П11:",'ПО КОРИСНИЦИМА'!$H$8:$H$18203)</f>
        <v>0</v>
      </c>
      <c r="E61" s="262"/>
      <c r="F61" s="694" t="e">
        <f t="shared" si="2"/>
        <v>#DIV/0!</v>
      </c>
      <c r="G61" s="266">
        <f>SUMIF('ПО КОРИСНИЦИМА'!$G$8:$G$18203,"Свега за пројекат 0601-П11:",'ПО КОРИСНИЦИМА'!$K$8:$K$18203)</f>
        <v>0</v>
      </c>
      <c r="H61" s="261"/>
      <c r="I61" s="267"/>
      <c r="J61" s="688" t="e">
        <f t="shared" si="3"/>
        <v>#DIV/0!</v>
      </c>
    </row>
    <row r="62" spans="1:10" hidden="1" x14ac:dyDescent="0.2">
      <c r="A62" s="231"/>
      <c r="B62" s="231" t="s">
        <v>4515</v>
      </c>
      <c r="C62" s="208" t="str">
        <f>IFERROR(VLOOKUP(B62,'ПО КОРИСНИЦИМА'!$C$8:$L$18203,5,FALSE),"")</f>
        <v/>
      </c>
      <c r="D62" s="265">
        <f>SUMIF('ПО КОРИСНИЦИМА'!$G$8:$G$18203,"Свега за пројекат 0601-П12:",'ПО КОРИСНИЦИМА'!$H$8:$H$18203)</f>
        <v>0</v>
      </c>
      <c r="E62" s="262"/>
      <c r="F62" s="694" t="e">
        <f t="shared" si="2"/>
        <v>#DIV/0!</v>
      </c>
      <c r="G62" s="266">
        <f>SUMIF('ПО КОРИСНИЦИМА'!$G$8:$G$18203,"Свега за пројекат 0601-П12:",'ПО КОРИСНИЦИМА'!$K$8:$K$18203)</f>
        <v>0</v>
      </c>
      <c r="H62" s="261"/>
      <c r="I62" s="267"/>
      <c r="J62" s="688" t="e">
        <f t="shared" si="3"/>
        <v>#DIV/0!</v>
      </c>
    </row>
    <row r="63" spans="1:10" hidden="1" x14ac:dyDescent="0.2">
      <c r="A63" s="231"/>
      <c r="B63" s="231" t="s">
        <v>4516</v>
      </c>
      <c r="C63" s="208" t="str">
        <f>IFERROR(VLOOKUP(B63,'ПО КОРИСНИЦИМА'!$C$8:$L$18203,5,FALSE),"")</f>
        <v/>
      </c>
      <c r="D63" s="265">
        <f>SUMIF('ПО КОРИСНИЦИМА'!$G$8:$G$18203,"Свега за пројекат 0601-П13:",'ПО КОРИСНИЦИМА'!$H$8:$H$18203)</f>
        <v>0</v>
      </c>
      <c r="E63" s="262"/>
      <c r="F63" s="694" t="e">
        <f t="shared" si="2"/>
        <v>#DIV/0!</v>
      </c>
      <c r="G63" s="266">
        <f>SUMIF('ПО КОРИСНИЦИМА'!$G$8:$G$18203,"Свега за пројекат 0601-П13:",'ПО КОРИСНИЦИМА'!$K$8:$K$18203)</f>
        <v>0</v>
      </c>
      <c r="H63" s="261"/>
      <c r="I63" s="267"/>
      <c r="J63" s="688" t="e">
        <f t="shared" si="3"/>
        <v>#DIV/0!</v>
      </c>
    </row>
    <row r="64" spans="1:10" hidden="1" x14ac:dyDescent="0.2">
      <c r="A64" s="231"/>
      <c r="B64" s="231" t="s">
        <v>4517</v>
      </c>
      <c r="C64" s="208" t="str">
        <f>IFERROR(VLOOKUP(B64,'ПО КОРИСНИЦИМА'!$C$8:$L$18203,5,FALSE),"")</f>
        <v/>
      </c>
      <c r="D64" s="265">
        <f>SUMIF('ПО КОРИСНИЦИМА'!$G$8:$G$18203,"Свега за пројекат 0601-П14:",'ПО КОРИСНИЦИМА'!$H$8:$H$18203)</f>
        <v>0</v>
      </c>
      <c r="E64" s="262"/>
      <c r="F64" s="694" t="e">
        <f t="shared" si="2"/>
        <v>#DIV/0!</v>
      </c>
      <c r="G64" s="266">
        <f>SUMIF('ПО КОРИСНИЦИМА'!$G$8:$G$18203,"Свега за пројекат 0601-П14:",'ПО КОРИСНИЦИМА'!$K$8:$K$18203)</f>
        <v>0</v>
      </c>
      <c r="H64" s="261"/>
      <c r="I64" s="267"/>
      <c r="J64" s="688" t="e">
        <f t="shared" si="3"/>
        <v>#DIV/0!</v>
      </c>
    </row>
    <row r="65" spans="1:10" hidden="1" x14ac:dyDescent="0.2">
      <c r="A65" s="231"/>
      <c r="B65" s="231" t="s">
        <v>4518</v>
      </c>
      <c r="C65" s="208" t="str">
        <f>IFERROR(VLOOKUP(B65,'ПО КОРИСНИЦИМА'!$C$8:$L$18203,5,FALSE),"")</f>
        <v/>
      </c>
      <c r="D65" s="265">
        <f>SUMIF('ПО КОРИСНИЦИМА'!$G$8:$G$18203,"Свега за пројекат 0601-П15:",'ПО КОРИСНИЦИМА'!$H$8:$H$18203)</f>
        <v>0</v>
      </c>
      <c r="E65" s="262"/>
      <c r="F65" s="694" t="e">
        <f t="shared" si="2"/>
        <v>#DIV/0!</v>
      </c>
      <c r="G65" s="266">
        <f>SUMIF('ПО КОРИСНИЦИМА'!$G$8:$G$18203,"Свега за пројекат 0601-П15:",'ПО КОРИСНИЦИМА'!$K$8:$K$18203)</f>
        <v>0</v>
      </c>
      <c r="H65" s="261"/>
      <c r="I65" s="267"/>
      <c r="J65" s="688" t="e">
        <f t="shared" si="3"/>
        <v>#DIV/0!</v>
      </c>
    </row>
    <row r="66" spans="1:10" hidden="1" x14ac:dyDescent="0.2">
      <c r="A66" s="231"/>
      <c r="B66" s="231" t="s">
        <v>4519</v>
      </c>
      <c r="C66" s="208" t="str">
        <f>IFERROR(VLOOKUP(B66,'ПО КОРИСНИЦИМА'!$C$8:$L$18203,5,FALSE),"")</f>
        <v/>
      </c>
      <c r="D66" s="265">
        <f>SUMIF('ПО КОРИСНИЦИМА'!$G$8:$G$18203,"Свега за пројекат 0601-П16:",'ПО КОРИСНИЦИМА'!$H$8:$H$18203)</f>
        <v>0</v>
      </c>
      <c r="E66" s="262"/>
      <c r="F66" s="694" t="e">
        <f t="shared" si="2"/>
        <v>#DIV/0!</v>
      </c>
      <c r="G66" s="266">
        <f>SUMIF('ПО КОРИСНИЦИМА'!$G$8:$G$18203,"Свега за пројекат 0601-П16:",'ПО КОРИСНИЦИМА'!$K$8:$K$18203)</f>
        <v>0</v>
      </c>
      <c r="H66" s="261"/>
      <c r="I66" s="267"/>
      <c r="J66" s="688" t="e">
        <f t="shared" si="3"/>
        <v>#DIV/0!</v>
      </c>
    </row>
    <row r="67" spans="1:10" hidden="1" x14ac:dyDescent="0.2">
      <c r="A67" s="231"/>
      <c r="B67" s="231" t="s">
        <v>4520</v>
      </c>
      <c r="C67" s="208" t="str">
        <f>IFERROR(VLOOKUP(B67,'ПО КОРИСНИЦИМА'!$C$8:$L$18203,5,FALSE),"")</f>
        <v/>
      </c>
      <c r="D67" s="265">
        <f>SUMIF('ПО КОРИСНИЦИМА'!$G$8:$G$18203,"Свега за пројекат 0601-П17:",'ПО КОРИСНИЦИМА'!$H$8:$H$18203)</f>
        <v>0</v>
      </c>
      <c r="E67" s="262"/>
      <c r="F67" s="694" t="e">
        <f t="shared" si="2"/>
        <v>#DIV/0!</v>
      </c>
      <c r="G67" s="266">
        <f>SUMIF('ПО КОРИСНИЦИМА'!$G$8:$G$18203,"Свега за пројекат 0601-П17:",'ПО КОРИСНИЦИМА'!$K$8:$K$18203)</f>
        <v>0</v>
      </c>
      <c r="H67" s="261"/>
      <c r="I67" s="267"/>
      <c r="J67" s="688" t="e">
        <f t="shared" si="3"/>
        <v>#DIV/0!</v>
      </c>
    </row>
    <row r="68" spans="1:10" hidden="1" x14ac:dyDescent="0.2">
      <c r="A68" s="231"/>
      <c r="B68" s="231" t="s">
        <v>4521</v>
      </c>
      <c r="C68" s="208" t="str">
        <f>IFERROR(VLOOKUP(B68,'ПО КОРИСНИЦИМА'!$C$8:$L$18203,5,FALSE),"")</f>
        <v/>
      </c>
      <c r="D68" s="265">
        <f>SUMIF('ПО КОРИСНИЦИМА'!$G$8:$G$18203,"Свега за пројекат 0601-П18:",'ПО КОРИСНИЦИМА'!$H$8:$H$18203)</f>
        <v>0</v>
      </c>
      <c r="E68" s="262"/>
      <c r="F68" s="694" t="e">
        <f t="shared" si="2"/>
        <v>#DIV/0!</v>
      </c>
      <c r="G68" s="266">
        <f>SUMIF('ПО КОРИСНИЦИМА'!$G$8:$G$18203,"Свега за пројекат 0601-П18:",'ПО КОРИСНИЦИМА'!$K$8:$K$18203)</f>
        <v>0</v>
      </c>
      <c r="H68" s="261"/>
      <c r="I68" s="267"/>
      <c r="J68" s="688" t="e">
        <f t="shared" si="3"/>
        <v>#DIV/0!</v>
      </c>
    </row>
    <row r="69" spans="1:10" hidden="1" x14ac:dyDescent="0.2">
      <c r="A69" s="231"/>
      <c r="B69" s="231" t="s">
        <v>4522</v>
      </c>
      <c r="C69" s="208" t="str">
        <f>IFERROR(VLOOKUP(B69,'ПО КОРИСНИЦИМА'!$C$8:$L$18203,5,FALSE),"")</f>
        <v/>
      </c>
      <c r="D69" s="265">
        <f>SUMIF('ПО КОРИСНИЦИМА'!$G$8:$G$18203,"Свега за пројекат 0601-П19:",'ПО КОРИСНИЦИМА'!$H$8:$H$18203)</f>
        <v>0</v>
      </c>
      <c r="E69" s="262"/>
      <c r="F69" s="694" t="e">
        <f t="shared" si="2"/>
        <v>#DIV/0!</v>
      </c>
      <c r="G69" s="266">
        <f>SUMIF('ПО КОРИСНИЦИМА'!$G$8:$G$18203,"Свега за пројекат 0601-П19:",'ПО КОРИСНИЦИМА'!$K$8:$K$18203)</f>
        <v>0</v>
      </c>
      <c r="H69" s="261"/>
      <c r="I69" s="267"/>
      <c r="J69" s="688" t="e">
        <f t="shared" si="3"/>
        <v>#DIV/0!</v>
      </c>
    </row>
    <row r="70" spans="1:10" hidden="1" x14ac:dyDescent="0.2">
      <c r="A70" s="231"/>
      <c r="B70" s="231" t="s">
        <v>4523</v>
      </c>
      <c r="C70" s="208" t="str">
        <f>IFERROR(VLOOKUP(B70,'ПО КОРИСНИЦИМА'!$C$8:$L$18203,5,FALSE),"")</f>
        <v/>
      </c>
      <c r="D70" s="265">
        <f>SUMIF('ПО КОРИСНИЦИМА'!$G$8:$G$18203,"Свега за пројекат 0601-П20:",'ПО КОРИСНИЦИМА'!$H$8:$H$18203)</f>
        <v>0</v>
      </c>
      <c r="E70" s="262"/>
      <c r="F70" s="694" t="e">
        <f t="shared" si="2"/>
        <v>#DIV/0!</v>
      </c>
      <c r="G70" s="266">
        <f>SUMIF('ПО КОРИСНИЦИМА'!$G$8:$G$18203,"Свега за пројекат 0601-П20:",'ПО КОРИСНИЦИМА'!$K$8:$K$18203)</f>
        <v>0</v>
      </c>
      <c r="H70" s="261"/>
      <c r="I70" s="267"/>
      <c r="J70" s="688" t="e">
        <f t="shared" si="3"/>
        <v>#DIV/0!</v>
      </c>
    </row>
    <row r="71" spans="1:10" hidden="1" x14ac:dyDescent="0.2">
      <c r="A71" s="231"/>
      <c r="B71" s="231" t="s">
        <v>4524</v>
      </c>
      <c r="C71" s="208" t="str">
        <f>IFERROR(VLOOKUP(B71,'ПО КОРИСНИЦИМА'!$C$8:$L$18203,5,FALSE),"")</f>
        <v/>
      </c>
      <c r="D71" s="265">
        <f>SUMIF('ПО КОРИСНИЦИМА'!$G$8:$G$18203,"Свега за пројекат 0601-П21:",'ПО КОРИСНИЦИМА'!$H$8:$H$18203)</f>
        <v>0</v>
      </c>
      <c r="E71" s="262"/>
      <c r="F71" s="694" t="e">
        <f t="shared" si="2"/>
        <v>#DIV/0!</v>
      </c>
      <c r="G71" s="266">
        <f>SUMIF('ПО КОРИСНИЦИМА'!$G$8:$G$18203,"Свега за пројекат 0601-П21:",'ПО КОРИСНИЦИМА'!$K$8:$K$18203)</f>
        <v>0</v>
      </c>
      <c r="H71" s="261"/>
      <c r="I71" s="267"/>
      <c r="J71" s="688" t="e">
        <f t="shared" si="3"/>
        <v>#DIV/0!</v>
      </c>
    </row>
    <row r="72" spans="1:10" hidden="1" x14ac:dyDescent="0.2">
      <c r="A72" s="231"/>
      <c r="B72" s="231" t="s">
        <v>4525</v>
      </c>
      <c r="C72" s="208" t="str">
        <f>IFERROR(VLOOKUP(B72,'ПО КОРИСНИЦИМА'!$C$8:$L$18203,5,FALSE),"")</f>
        <v/>
      </c>
      <c r="D72" s="265">
        <f>SUMIF('ПО КОРИСНИЦИМА'!$G$8:$G$18203,"Свега за пројекат 0601-П22:",'ПО КОРИСНИЦИМА'!$H$8:$H$18203)</f>
        <v>0</v>
      </c>
      <c r="E72" s="262"/>
      <c r="F72" s="694" t="e">
        <f t="shared" si="2"/>
        <v>#DIV/0!</v>
      </c>
      <c r="G72" s="266">
        <f>SUMIF('ПО КОРИСНИЦИМА'!$G$8:$G$18203,"Свега за пројекат 0601-П22:",'ПО КОРИСНИЦИМА'!$K$8:$K$18203)</f>
        <v>0</v>
      </c>
      <c r="H72" s="261"/>
      <c r="I72" s="267"/>
      <c r="J72" s="688" t="e">
        <f t="shared" si="3"/>
        <v>#DIV/0!</v>
      </c>
    </row>
    <row r="73" spans="1:10" hidden="1" x14ac:dyDescent="0.2">
      <c r="A73" s="231"/>
      <c r="B73" s="231" t="s">
        <v>4526</v>
      </c>
      <c r="C73" s="208" t="str">
        <f>IFERROR(VLOOKUP(B73,'ПО КОРИСНИЦИМА'!$C$8:$L$18203,5,FALSE),"")</f>
        <v/>
      </c>
      <c r="D73" s="265">
        <f>SUMIF('ПО КОРИСНИЦИМА'!$G$8:$G$18203,"Свега за пројекат 0601-П23:",'ПО КОРИСНИЦИМА'!$H$8:$H$18203)</f>
        <v>0</v>
      </c>
      <c r="E73" s="262"/>
      <c r="F73" s="694" t="e">
        <f t="shared" si="2"/>
        <v>#DIV/0!</v>
      </c>
      <c r="G73" s="266">
        <f>SUMIF('ПО КОРИСНИЦИМА'!$G$8:$G$18203,"Свега за пројекат 0601-П23:",'ПО КОРИСНИЦИМА'!$K$8:$K$18203)</f>
        <v>0</v>
      </c>
      <c r="H73" s="261"/>
      <c r="I73" s="267"/>
      <c r="J73" s="688" t="e">
        <f t="shared" si="3"/>
        <v>#DIV/0!</v>
      </c>
    </row>
    <row r="74" spans="1:10" hidden="1" x14ac:dyDescent="0.2">
      <c r="A74" s="231"/>
      <c r="B74" s="231" t="s">
        <v>4527</v>
      </c>
      <c r="C74" s="208" t="str">
        <f>IFERROR(VLOOKUP(B74,'ПО КОРИСНИЦИМА'!$C$8:$L$18203,5,FALSE),"")</f>
        <v/>
      </c>
      <c r="D74" s="265">
        <f>SUMIF('ПО КОРИСНИЦИМА'!$G$8:$G$18203,"Свега за пројекат 0601-П24:",'ПО КОРИСНИЦИМА'!$H$8:$H$18203)</f>
        <v>0</v>
      </c>
      <c r="E74" s="262"/>
      <c r="F74" s="694" t="e">
        <f t="shared" si="2"/>
        <v>#DIV/0!</v>
      </c>
      <c r="G74" s="266">
        <f>SUMIF('ПО КОРИСНИЦИМА'!$G$8:$G$18203,"Свега за пројекат 0601-П24:",'ПО КОРИСНИЦИМА'!$K$8:$K$18203)</f>
        <v>0</v>
      </c>
      <c r="H74" s="261"/>
      <c r="I74" s="267"/>
      <c r="J74" s="688" t="e">
        <f t="shared" si="3"/>
        <v>#DIV/0!</v>
      </c>
    </row>
    <row r="75" spans="1:10" hidden="1" x14ac:dyDescent="0.2">
      <c r="A75" s="231"/>
      <c r="B75" s="231" t="s">
        <v>4528</v>
      </c>
      <c r="C75" s="208" t="str">
        <f>IFERROR(VLOOKUP(B75,'ПО КОРИСНИЦИМА'!$C$8:$L$18203,5,FALSE),"")</f>
        <v/>
      </c>
      <c r="D75" s="265">
        <f>SUMIF('ПО КОРИСНИЦИМА'!$G$8:$G$18203,"Свега за пројекат 0601-П25:",'ПО КОРИСНИЦИМА'!$H$8:$H$18203)</f>
        <v>0</v>
      </c>
      <c r="E75" s="262"/>
      <c r="F75" s="694" t="e">
        <f t="shared" si="2"/>
        <v>#DIV/0!</v>
      </c>
      <c r="G75" s="266">
        <f>SUMIF('ПО КОРИСНИЦИМА'!$G$8:$G$18203,"Свега за пројекат 0601-П25:",'ПО КОРИСНИЦИМА'!$K$8:$K$18203)</f>
        <v>0</v>
      </c>
      <c r="H75" s="261"/>
      <c r="I75" s="267"/>
      <c r="J75" s="688" t="e">
        <f t="shared" si="3"/>
        <v>#DIV/0!</v>
      </c>
    </row>
    <row r="76" spans="1:10" hidden="1" x14ac:dyDescent="0.2">
      <c r="A76" s="231"/>
      <c r="B76" s="231" t="s">
        <v>4529</v>
      </c>
      <c r="C76" s="208" t="str">
        <f>IFERROR(VLOOKUP(B76,'ПО КОРИСНИЦИМА'!$C$8:$L$18203,5,FALSE),"")</f>
        <v/>
      </c>
      <c r="D76" s="265">
        <f>SUMIF('ПО КОРИСНИЦИМА'!$G$8:$G$18203,"Свега за пројекат 0601-П26:",'ПО КОРИСНИЦИМА'!$H$8:$H$18203)</f>
        <v>0</v>
      </c>
      <c r="E76" s="262"/>
      <c r="F76" s="694" t="e">
        <f t="shared" si="2"/>
        <v>#DIV/0!</v>
      </c>
      <c r="G76" s="266">
        <f>SUMIF('ПО КОРИСНИЦИМА'!$G$8:$G$18203,"Свега за пројекат 0601-П26:",'ПО КОРИСНИЦИМА'!$K$8:$K$18203)</f>
        <v>0</v>
      </c>
      <c r="H76" s="261"/>
      <c r="I76" s="267"/>
      <c r="J76" s="688" t="e">
        <f t="shared" si="3"/>
        <v>#DIV/0!</v>
      </c>
    </row>
    <row r="77" spans="1:10" hidden="1" x14ac:dyDescent="0.2">
      <c r="A77" s="231"/>
      <c r="B77" s="231" t="s">
        <v>4530</v>
      </c>
      <c r="C77" s="208" t="str">
        <f>IFERROR(VLOOKUP(B77,'ПО КОРИСНИЦИМА'!$C$8:$L$18203,5,FALSE),"")</f>
        <v/>
      </c>
      <c r="D77" s="265">
        <f>SUMIF('ПО КОРИСНИЦИМА'!$G$8:$G$18203,"Свега за пројекат 0601-П27:",'ПО КОРИСНИЦИМА'!$H$8:$H$18203)</f>
        <v>0</v>
      </c>
      <c r="E77" s="262"/>
      <c r="F77" s="694" t="e">
        <f t="shared" si="2"/>
        <v>#DIV/0!</v>
      </c>
      <c r="G77" s="266">
        <f>SUMIF('ПО КОРИСНИЦИМА'!$G$8:$G$18203,"Свега за пројекат 0601-П27:",'ПО КОРИСНИЦИМА'!$K$8:$K$18203)</f>
        <v>0</v>
      </c>
      <c r="H77" s="261"/>
      <c r="I77" s="267"/>
      <c r="J77" s="688" t="e">
        <f t="shared" si="3"/>
        <v>#DIV/0!</v>
      </c>
    </row>
    <row r="78" spans="1:10" hidden="1" x14ac:dyDescent="0.2">
      <c r="A78" s="231"/>
      <c r="B78" s="231" t="s">
        <v>4531</v>
      </c>
      <c r="C78" s="208" t="str">
        <f>IFERROR(VLOOKUP(B78,'ПО КОРИСНИЦИМА'!$C$8:$L$18203,5,FALSE),"")</f>
        <v/>
      </c>
      <c r="D78" s="265">
        <f>SUMIF('ПО КОРИСНИЦИМА'!$G$8:$G$18203,"Свега за пројекат 0601-П28:",'ПО КОРИСНИЦИМА'!$H$8:$H$18203)</f>
        <v>0</v>
      </c>
      <c r="E78" s="262"/>
      <c r="F78" s="694" t="e">
        <f t="shared" si="2"/>
        <v>#DIV/0!</v>
      </c>
      <c r="G78" s="266">
        <f>SUMIF('ПО КОРИСНИЦИМА'!$G$8:$G$18203,"Свега за пројекат 0601-П28:",'ПО КОРИСНИЦИМА'!$K$8:$K$18203)</f>
        <v>0</v>
      </c>
      <c r="H78" s="261"/>
      <c r="I78" s="267"/>
      <c r="J78" s="688" t="e">
        <f t="shared" si="3"/>
        <v>#DIV/0!</v>
      </c>
    </row>
    <row r="79" spans="1:10" hidden="1" x14ac:dyDescent="0.2">
      <c r="A79" s="231"/>
      <c r="B79" s="231" t="s">
        <v>4532</v>
      </c>
      <c r="C79" s="208" t="str">
        <f>IFERROR(VLOOKUP(B79,'ПО КОРИСНИЦИМА'!$C$8:$L$18203,5,FALSE),"")</f>
        <v/>
      </c>
      <c r="D79" s="265">
        <f>SUMIF('ПО КОРИСНИЦИМА'!$G$8:$G$18203,"Свега за пројекат 0601-П29:",'ПО КОРИСНИЦИМА'!$H$8:$H$18203)</f>
        <v>0</v>
      </c>
      <c r="E79" s="262"/>
      <c r="F79" s="694" t="e">
        <f t="shared" si="2"/>
        <v>#DIV/0!</v>
      </c>
      <c r="G79" s="266">
        <f>SUMIF('ПО КОРИСНИЦИМА'!$G$8:$G$18203,"Свега за пројекат 0601-П29:",'ПО КОРИСНИЦИМА'!$K$8:$K$18203)</f>
        <v>0</v>
      </c>
      <c r="H79" s="261"/>
      <c r="I79" s="267"/>
      <c r="J79" s="688" t="e">
        <f t="shared" si="3"/>
        <v>#DIV/0!</v>
      </c>
    </row>
    <row r="80" spans="1:10" hidden="1" x14ac:dyDescent="0.2">
      <c r="A80" s="231"/>
      <c r="B80" s="231" t="s">
        <v>4533</v>
      </c>
      <c r="C80" s="208" t="str">
        <f>IFERROR(VLOOKUP(B80,'ПО КОРИСНИЦИМА'!$C$8:$L$18203,5,FALSE),"")</f>
        <v/>
      </c>
      <c r="D80" s="265">
        <f>SUMIF('ПО КОРИСНИЦИМА'!$G$8:$G$18203,"Свега за пројекат 0601-П30:",'ПО КОРИСНИЦИМА'!$H$8:$H$18203)</f>
        <v>0</v>
      </c>
      <c r="E80" s="262"/>
      <c r="F80" s="694" t="e">
        <f t="shared" si="2"/>
        <v>#DIV/0!</v>
      </c>
      <c r="G80" s="266">
        <f>SUMIF('ПО КОРИСНИЦИМА'!$G$8:$G$18203,"Свега за пројекат 0601-П30:",'ПО КОРИСНИЦИМА'!$K$8:$K$18203)</f>
        <v>0</v>
      </c>
      <c r="H80" s="261"/>
      <c r="I80" s="267"/>
      <c r="J80" s="688" t="e">
        <f t="shared" si="3"/>
        <v>#DIV/0!</v>
      </c>
    </row>
    <row r="81" spans="1:10" hidden="1" x14ac:dyDescent="0.2">
      <c r="A81" s="231"/>
      <c r="B81" s="231" t="s">
        <v>4534</v>
      </c>
      <c r="C81" s="208" t="str">
        <f>IFERROR(VLOOKUP(B81,'ПО КОРИСНИЦИМА'!$C$8:$L$18203,5,FALSE),"")</f>
        <v/>
      </c>
      <c r="D81" s="265">
        <f>SUMIF('ПО КОРИСНИЦИМА'!$G$8:$G$18203,"Свега за пројекат 0601-П31:",'ПО КОРИСНИЦИМА'!$H$8:$H$18203)</f>
        <v>0</v>
      </c>
      <c r="E81" s="262"/>
      <c r="F81" s="694" t="e">
        <f t="shared" si="2"/>
        <v>#DIV/0!</v>
      </c>
      <c r="G81" s="266">
        <f>SUMIF('ПО КОРИСНИЦИМА'!$G$8:$G$18203,"Свега за пројекат 0601-П31:",'ПО КОРИСНИЦИМА'!$K$8:$K$18203)</f>
        <v>0</v>
      </c>
      <c r="H81" s="261"/>
      <c r="I81" s="267"/>
      <c r="J81" s="688" t="e">
        <f t="shared" si="3"/>
        <v>#DIV/0!</v>
      </c>
    </row>
    <row r="82" spans="1:10" hidden="1" x14ac:dyDescent="0.2">
      <c r="A82" s="231"/>
      <c r="B82" s="231" t="s">
        <v>4535</v>
      </c>
      <c r="C82" s="208" t="str">
        <f>IFERROR(VLOOKUP(B82,'ПО КОРИСНИЦИМА'!$C$8:$L$18203,5,FALSE),"")</f>
        <v/>
      </c>
      <c r="D82" s="265">
        <f>SUMIF('ПО КОРИСНИЦИМА'!$G$8:$G$18203,"Свега за пројекат 0601-П32:",'ПО КОРИСНИЦИМА'!$H$8:$H$18203)</f>
        <v>0</v>
      </c>
      <c r="E82" s="262"/>
      <c r="F82" s="694" t="e">
        <f t="shared" si="2"/>
        <v>#DIV/0!</v>
      </c>
      <c r="G82" s="266">
        <f>SUMIF('ПО КОРИСНИЦИМА'!$G$8:$G$18203,"Свега за пројекат 0601-П32:",'ПО КОРИСНИЦИМА'!$K$8:$K$18203)</f>
        <v>0</v>
      </c>
      <c r="H82" s="261"/>
      <c r="I82" s="267"/>
      <c r="J82" s="688" t="e">
        <f t="shared" si="3"/>
        <v>#DIV/0!</v>
      </c>
    </row>
    <row r="83" spans="1:10" hidden="1" x14ac:dyDescent="0.2">
      <c r="A83" s="231"/>
      <c r="B83" s="231" t="s">
        <v>4536</v>
      </c>
      <c r="C83" s="208" t="str">
        <f>IFERROR(VLOOKUP(B83,'ПО КОРИСНИЦИМА'!$C$8:$L$18203,5,FALSE),"")</f>
        <v/>
      </c>
      <c r="D83" s="265">
        <f>SUMIF('ПО КОРИСНИЦИМА'!$G$8:$G$18203,"Свега за пројекат 0601-П33:",'ПО КОРИСНИЦИМА'!$H$8:$H$18203)</f>
        <v>0</v>
      </c>
      <c r="E83" s="262"/>
      <c r="F83" s="694" t="e">
        <f t="shared" si="2"/>
        <v>#DIV/0!</v>
      </c>
      <c r="G83" s="266">
        <f>SUMIF('ПО КОРИСНИЦИМА'!$G$8:$G$18203,"Свега за пројекат 0601-П33:",'ПО КОРИСНИЦИМА'!$K$8:$K$18203)</f>
        <v>0</v>
      </c>
      <c r="H83" s="261"/>
      <c r="I83" s="267"/>
      <c r="J83" s="688" t="e">
        <f t="shared" si="3"/>
        <v>#DIV/0!</v>
      </c>
    </row>
    <row r="84" spans="1:10" hidden="1" x14ac:dyDescent="0.2">
      <c r="A84" s="231"/>
      <c r="B84" s="231" t="s">
        <v>4537</v>
      </c>
      <c r="C84" s="208" t="str">
        <f>IFERROR(VLOOKUP(B84,'ПО КОРИСНИЦИМА'!$C$8:$L$18203,5,FALSE),"")</f>
        <v/>
      </c>
      <c r="D84" s="265">
        <f>SUMIF('ПО КОРИСНИЦИМА'!$G$8:$G$18203,"Свега за пројекат 0601-П34:",'ПО КОРИСНИЦИМА'!$H$8:$H$18203)</f>
        <v>0</v>
      </c>
      <c r="E84" s="262"/>
      <c r="F84" s="694" t="e">
        <f t="shared" si="2"/>
        <v>#DIV/0!</v>
      </c>
      <c r="G84" s="266">
        <f>SUMIF('ПО КОРИСНИЦИМА'!$G$8:$G$18203,"Свега за пројекат 0601-П34:",'ПО КОРИСНИЦИМА'!$K$8:$K$18203)</f>
        <v>0</v>
      </c>
      <c r="H84" s="261"/>
      <c r="I84" s="267"/>
      <c r="J84" s="688" t="e">
        <f t="shared" si="3"/>
        <v>#DIV/0!</v>
      </c>
    </row>
    <row r="85" spans="1:10" hidden="1" x14ac:dyDescent="0.2">
      <c r="A85" s="231"/>
      <c r="B85" s="231" t="s">
        <v>4538</v>
      </c>
      <c r="C85" s="208" t="str">
        <f>IFERROR(VLOOKUP(B85,'ПО КОРИСНИЦИМА'!$C$8:$L$18203,5,FALSE),"")</f>
        <v/>
      </c>
      <c r="D85" s="265">
        <f>SUMIF('ПО КОРИСНИЦИМА'!$G$8:$G$18203,"Свега за пројекат 0601-П35:",'ПО КОРИСНИЦИМА'!$H$8:$H$18203)</f>
        <v>0</v>
      </c>
      <c r="E85" s="262"/>
      <c r="F85" s="694" t="e">
        <f t="shared" si="2"/>
        <v>#DIV/0!</v>
      </c>
      <c r="G85" s="266">
        <f>SUMIF('ПО КОРИСНИЦИМА'!$G$8:$G$18203,"Свега за пројекат 0601-П35:",'ПО КОРИСНИЦИМА'!$K$8:$K$18203)</f>
        <v>0</v>
      </c>
      <c r="H85" s="261"/>
      <c r="I85" s="267"/>
      <c r="J85" s="688" t="e">
        <f t="shared" si="3"/>
        <v>#DIV/0!</v>
      </c>
    </row>
    <row r="86" spans="1:10" hidden="1" x14ac:dyDescent="0.2">
      <c r="A86" s="231"/>
      <c r="B86" s="231" t="s">
        <v>4539</v>
      </c>
      <c r="C86" s="208" t="str">
        <f>IFERROR(VLOOKUP(B86,'ПО КОРИСНИЦИМА'!$C$8:$L$18203,5,FALSE),"")</f>
        <v/>
      </c>
      <c r="D86" s="265">
        <f>SUMIF('ПО КОРИСНИЦИМА'!$G$8:$G$18203,"Свега за пројекат 0601-П36:",'ПО КОРИСНИЦИМА'!$H$8:$H$18203)</f>
        <v>0</v>
      </c>
      <c r="E86" s="262"/>
      <c r="F86" s="694" t="e">
        <f t="shared" si="2"/>
        <v>#DIV/0!</v>
      </c>
      <c r="G86" s="266">
        <f>SUMIF('ПО КОРИСНИЦИМА'!$G$8:$G$18203,"Свега за пројекат 0601-П36:",'ПО КОРИСНИЦИМА'!$K$8:$K$18203)</f>
        <v>0</v>
      </c>
      <c r="H86" s="261"/>
      <c r="I86" s="267"/>
      <c r="J86" s="688" t="e">
        <f t="shared" si="3"/>
        <v>#DIV/0!</v>
      </c>
    </row>
    <row r="87" spans="1:10" hidden="1" x14ac:dyDescent="0.2">
      <c r="A87" s="231"/>
      <c r="B87" s="231" t="s">
        <v>4540</v>
      </c>
      <c r="C87" s="208" t="str">
        <f>IFERROR(VLOOKUP(B87,'ПО КОРИСНИЦИМА'!$C$8:$L$18203,5,FALSE),"")</f>
        <v/>
      </c>
      <c r="D87" s="265">
        <f>SUMIF('ПО КОРИСНИЦИМА'!$G$8:$G$18203,"Свега за пројекат 0601-П37:",'ПО КОРИСНИЦИМА'!$H$8:$H$18203)</f>
        <v>0</v>
      </c>
      <c r="E87" s="262"/>
      <c r="F87" s="694" t="e">
        <f t="shared" si="2"/>
        <v>#DIV/0!</v>
      </c>
      <c r="G87" s="266">
        <f>SUMIF('ПО КОРИСНИЦИМА'!$G$8:$G$18203,"Свега за пројекат 0601-П37:",'ПО КОРИСНИЦИМА'!$K$8:$K$18203)</f>
        <v>0</v>
      </c>
      <c r="H87" s="261"/>
      <c r="I87" s="264"/>
      <c r="J87" s="688" t="e">
        <f t="shared" si="3"/>
        <v>#DIV/0!</v>
      </c>
    </row>
    <row r="88" spans="1:10" hidden="1" x14ac:dyDescent="0.2">
      <c r="A88" s="233"/>
      <c r="B88" s="231" t="s">
        <v>4541</v>
      </c>
      <c r="C88" s="208" t="str">
        <f>IFERROR(VLOOKUP(B88,'ПО КОРИСНИЦИМА'!$C$8:$L$18203,5,FALSE),"")</f>
        <v/>
      </c>
      <c r="D88" s="265">
        <f>SUMIF('ПО КОРИСНИЦИМА'!$G$8:$G$18203,"Свега за пројекат 0601-П38:",'ПО КОРИСНИЦИМА'!$H$8:$H$18203)</f>
        <v>0</v>
      </c>
      <c r="E88" s="262"/>
      <c r="F88" s="694" t="e">
        <f t="shared" si="2"/>
        <v>#DIV/0!</v>
      </c>
      <c r="G88" s="266">
        <f>SUMIF('ПО КОРИСНИЦИМА'!$G$8:$G$18203,"Свега за пројекат 0601-П38:",'ПО КОРИСНИЦИМА'!$K$8:$K$18203)</f>
        <v>0</v>
      </c>
      <c r="H88" s="261"/>
      <c r="I88" s="273"/>
      <c r="J88" s="688" t="e">
        <f t="shared" si="3"/>
        <v>#DIV/0!</v>
      </c>
    </row>
    <row r="89" spans="1:10" hidden="1" x14ac:dyDescent="0.2">
      <c r="A89" s="231"/>
      <c r="B89" s="231" t="s">
        <v>4542</v>
      </c>
      <c r="C89" s="208" t="str">
        <f>IFERROR(VLOOKUP(B89,'ПО КОРИСНИЦИМА'!$C$8:$L$18203,5,FALSE),"")</f>
        <v/>
      </c>
      <c r="D89" s="265">
        <f>SUMIF('ПО КОРИСНИЦИМА'!$G$8:$G$18203,"Свега за пројекат 0601-П39:",'ПО КОРИСНИЦИМА'!$H$8:$H$18203)</f>
        <v>0</v>
      </c>
      <c r="E89" s="262"/>
      <c r="F89" s="694" t="e">
        <f t="shared" si="2"/>
        <v>#DIV/0!</v>
      </c>
      <c r="G89" s="266">
        <f>SUMIF('ПО КОРИСНИЦИМА'!$G$8:$G$18203,"Свега за пројекат 0601-П39:",'ПО КОРИСНИЦИМА'!$K$8:$K$18203)</f>
        <v>0</v>
      </c>
      <c r="H89" s="261"/>
      <c r="I89" s="267"/>
      <c r="J89" s="688" t="e">
        <f t="shared" si="3"/>
        <v>#DIV/0!</v>
      </c>
    </row>
    <row r="90" spans="1:10" hidden="1" x14ac:dyDescent="0.2">
      <c r="A90" s="231"/>
      <c r="B90" s="231" t="s">
        <v>4543</v>
      </c>
      <c r="C90" s="208" t="str">
        <f>IFERROR(VLOOKUP(B90,'ПО КОРИСНИЦИМА'!$C$8:$L$18203,5,FALSE),"")</f>
        <v/>
      </c>
      <c r="D90" s="265">
        <f>SUMIF('ПО КОРИСНИЦИМА'!$G$8:$G$18203,"Свега за пројекат 0601-П40:",'ПО КОРИСНИЦИМА'!$H$8:$H$18203)</f>
        <v>0</v>
      </c>
      <c r="E90" s="262"/>
      <c r="F90" s="694" t="e">
        <f t="shared" si="2"/>
        <v>#DIV/0!</v>
      </c>
      <c r="G90" s="266">
        <f>SUMIF('ПО КОРИСНИЦИМА'!$G$8:$G$18203,"Свега за пројекат 0601-П40:",'ПО КОРИСНИЦИМА'!$K$8:$K$18203)</f>
        <v>0</v>
      </c>
      <c r="H90" s="261"/>
      <c r="I90" s="267"/>
      <c r="J90" s="688" t="e">
        <f t="shared" si="3"/>
        <v>#DIV/0!</v>
      </c>
    </row>
    <row r="91" spans="1:10" hidden="1" x14ac:dyDescent="0.2">
      <c r="A91" s="231"/>
      <c r="B91" s="231" t="s">
        <v>4544</v>
      </c>
      <c r="C91" s="208" t="str">
        <f>IFERROR(VLOOKUP(B91,'ПО КОРИСНИЦИМА'!$C$8:$L$18203,5,FALSE),"")</f>
        <v/>
      </c>
      <c r="D91" s="265">
        <f>SUMIF('ПО КОРИСНИЦИМА'!$G$8:$G$18203,"Свега за пројекат 0601-П41:",'ПО КОРИСНИЦИМА'!$H$8:$H$18203)</f>
        <v>0</v>
      </c>
      <c r="E91" s="262"/>
      <c r="F91" s="694" t="e">
        <f t="shared" si="2"/>
        <v>#DIV/0!</v>
      </c>
      <c r="G91" s="266">
        <f>SUMIF('ПО КОРИСНИЦИМА'!$G$8:$G$18203,"Свега за пројекат 0601-П41:",'ПО КОРИСНИЦИМА'!$K$8:$K$18203)</f>
        <v>0</v>
      </c>
      <c r="H91" s="261"/>
      <c r="I91" s="267"/>
      <c r="J91" s="688" t="e">
        <f t="shared" si="3"/>
        <v>#DIV/0!</v>
      </c>
    </row>
    <row r="92" spans="1:10" hidden="1" x14ac:dyDescent="0.2">
      <c r="A92" s="231"/>
      <c r="B92" s="231" t="s">
        <v>4545</v>
      </c>
      <c r="C92" s="208" t="str">
        <f>IFERROR(VLOOKUP(B92,'ПО КОРИСНИЦИМА'!$C$8:$L$18203,5,FALSE),"")</f>
        <v/>
      </c>
      <c r="D92" s="265">
        <f>SUMIF('ПО КОРИСНИЦИМА'!$G$8:$G$18203,"Свега за пројекат 0601-П42:",'ПО КОРИСНИЦИМА'!$H$8:$H$18203)</f>
        <v>0</v>
      </c>
      <c r="E92" s="262"/>
      <c r="F92" s="694" t="e">
        <f t="shared" si="2"/>
        <v>#DIV/0!</v>
      </c>
      <c r="G92" s="266">
        <f>SUMIF('ПО КОРИСНИЦИМА'!$G$8:$G$18203,"Свега за пројекат 0601-П42:",'ПО КОРИСНИЦИМА'!$K$8:$K$18203)</f>
        <v>0</v>
      </c>
      <c r="H92" s="261"/>
      <c r="I92" s="267"/>
      <c r="J92" s="688" t="e">
        <f t="shared" si="3"/>
        <v>#DIV/0!</v>
      </c>
    </row>
    <row r="93" spans="1:10" hidden="1" x14ac:dyDescent="0.2">
      <c r="A93" s="231"/>
      <c r="B93" s="231" t="s">
        <v>4546</v>
      </c>
      <c r="C93" s="208" t="str">
        <f>IFERROR(VLOOKUP(B93,'ПО КОРИСНИЦИМА'!$C$8:$L$18203,5,FALSE),"")</f>
        <v/>
      </c>
      <c r="D93" s="265">
        <f>SUMIF('ПО КОРИСНИЦИМА'!$G$8:$G$18203,"Свега за пројекат 0601-П43:",'ПО КОРИСНИЦИМА'!$H$8:$H$18203)</f>
        <v>0</v>
      </c>
      <c r="E93" s="262"/>
      <c r="F93" s="694" t="e">
        <f t="shared" si="2"/>
        <v>#DIV/0!</v>
      </c>
      <c r="G93" s="266">
        <f>SUMIF('ПО КОРИСНИЦИМА'!$G$8:$G$18203,"Свега за пројекат 0601-П43:",'ПО КОРИСНИЦИМА'!$K$8:$K$18203)</f>
        <v>0</v>
      </c>
      <c r="H93" s="261"/>
      <c r="I93" s="267"/>
      <c r="J93" s="688" t="e">
        <f t="shared" si="3"/>
        <v>#DIV/0!</v>
      </c>
    </row>
    <row r="94" spans="1:10" hidden="1" x14ac:dyDescent="0.2">
      <c r="A94" s="231"/>
      <c r="B94" s="231" t="s">
        <v>4547</v>
      </c>
      <c r="C94" s="208" t="str">
        <f>IFERROR(VLOOKUP(B94,'ПО КОРИСНИЦИМА'!$C$8:$L$18203,5,FALSE),"")</f>
        <v/>
      </c>
      <c r="D94" s="265">
        <f>SUMIF('ПО КОРИСНИЦИМА'!$G$8:$G$18203,"Свега за пројекат 0601-П44:",'ПО КОРИСНИЦИМА'!$H$8:$H$18203)</f>
        <v>0</v>
      </c>
      <c r="E94" s="262"/>
      <c r="F94" s="694" t="e">
        <f t="shared" si="2"/>
        <v>#DIV/0!</v>
      </c>
      <c r="G94" s="266">
        <f>SUMIF('ПО КОРИСНИЦИМА'!$G$8:$G$18203,"Свега за пројекат 0601-П44:",'ПО КОРИСНИЦИМА'!$K$8:$K$18203)</f>
        <v>0</v>
      </c>
      <c r="H94" s="261"/>
      <c r="I94" s="267"/>
      <c r="J94" s="688" t="e">
        <f t="shared" si="3"/>
        <v>#DIV/0!</v>
      </c>
    </row>
    <row r="95" spans="1:10" hidden="1" x14ac:dyDescent="0.2">
      <c r="A95" s="231"/>
      <c r="B95" s="231" t="s">
        <v>4548</v>
      </c>
      <c r="C95" s="208" t="str">
        <f>IFERROR(VLOOKUP(B95,'ПО КОРИСНИЦИМА'!$C$8:$L$18203,5,FALSE),"")</f>
        <v/>
      </c>
      <c r="D95" s="265">
        <f>SUMIF('ПО КОРИСНИЦИМА'!$G$8:$G$18203,"Свега за пројекат 0601-П45:",'ПО КОРИСНИЦИМА'!$H$8:$H$18203)</f>
        <v>0</v>
      </c>
      <c r="E95" s="262"/>
      <c r="F95" s="694" t="e">
        <f t="shared" si="2"/>
        <v>#DIV/0!</v>
      </c>
      <c r="G95" s="266">
        <f>SUMIF('ПО КОРИСНИЦИМА'!$G$8:$G$18203,"Свега за пројекат 0601-П45:",'ПО КОРИСНИЦИМА'!$K$8:$K$18203)</f>
        <v>0</v>
      </c>
      <c r="H95" s="261"/>
      <c r="I95" s="267"/>
      <c r="J95" s="688" t="e">
        <f t="shared" si="3"/>
        <v>#DIV/0!</v>
      </c>
    </row>
    <row r="96" spans="1:10" hidden="1" x14ac:dyDescent="0.2">
      <c r="A96" s="231"/>
      <c r="B96" s="231" t="s">
        <v>4549</v>
      </c>
      <c r="C96" s="208" t="str">
        <f>IFERROR(VLOOKUP(B96,'ПО КОРИСНИЦИМА'!$C$8:$L$18203,5,FALSE),"")</f>
        <v/>
      </c>
      <c r="D96" s="265">
        <f>SUMIF('ПО КОРИСНИЦИМА'!$G$8:$G$18203,"Свега за пројекат 0601-П46:",'ПО КОРИСНИЦИМА'!$H$8:$H$18203)</f>
        <v>0</v>
      </c>
      <c r="E96" s="262"/>
      <c r="F96" s="694" t="e">
        <f t="shared" si="2"/>
        <v>#DIV/0!</v>
      </c>
      <c r="G96" s="266">
        <f>SUMIF('ПО КОРИСНИЦИМА'!$G$8:$G$18203,"Свега за пројекат 0601-П46:",'ПО КОРИСНИЦИМА'!$K$8:$K$18203)</f>
        <v>0</v>
      </c>
      <c r="H96" s="261"/>
      <c r="I96" s="267"/>
      <c r="J96" s="688" t="e">
        <f t="shared" si="3"/>
        <v>#DIV/0!</v>
      </c>
    </row>
    <row r="97" spans="1:10" hidden="1" x14ac:dyDescent="0.2">
      <c r="A97" s="231"/>
      <c r="B97" s="231" t="s">
        <v>4550</v>
      </c>
      <c r="C97" s="208" t="str">
        <f>IFERROR(VLOOKUP(B97,'ПО КОРИСНИЦИМА'!$C$8:$L$18203,5,FALSE),"")</f>
        <v/>
      </c>
      <c r="D97" s="265">
        <f>SUMIF('ПО КОРИСНИЦИМА'!$G$8:$G$18203,"Свега за пројекат 0601-П47:",'ПО КОРИСНИЦИМА'!$H$8:$H$18203)</f>
        <v>0</v>
      </c>
      <c r="E97" s="262"/>
      <c r="F97" s="694" t="e">
        <f t="shared" si="2"/>
        <v>#DIV/0!</v>
      </c>
      <c r="G97" s="266">
        <f>SUMIF('ПО КОРИСНИЦИМА'!$G$8:$G$18203,"Свега за пројекат 0601-П47:",'ПО КОРИСНИЦИМА'!$K$8:$K$18203)</f>
        <v>0</v>
      </c>
      <c r="H97" s="261"/>
      <c r="I97" s="267"/>
      <c r="J97" s="688" t="e">
        <f t="shared" si="3"/>
        <v>#DIV/0!</v>
      </c>
    </row>
    <row r="98" spans="1:10" hidden="1" x14ac:dyDescent="0.2">
      <c r="A98" s="231"/>
      <c r="B98" s="231" t="s">
        <v>4551</v>
      </c>
      <c r="C98" s="208" t="str">
        <f>IFERROR(VLOOKUP(B98,'ПО КОРИСНИЦИМА'!$C$8:$L$18203,5,FALSE),"")</f>
        <v/>
      </c>
      <c r="D98" s="265">
        <f>SUMIF('ПО КОРИСНИЦИМА'!$G$8:$G$18203,"Свега за пројекат 0601-П48:",'ПО КОРИСНИЦИМА'!$H$8:$H$18203)</f>
        <v>0</v>
      </c>
      <c r="E98" s="262"/>
      <c r="F98" s="694" t="e">
        <f t="shared" si="2"/>
        <v>#DIV/0!</v>
      </c>
      <c r="G98" s="266">
        <f>SUMIF('ПО КОРИСНИЦИМА'!$G$8:$G$18203,"Свега за пројекат 0601-П48:",'ПО КОРИСНИЦИМА'!$K$8:$K$18203)</f>
        <v>0</v>
      </c>
      <c r="H98" s="261"/>
      <c r="I98" s="267"/>
      <c r="J98" s="688" t="e">
        <f t="shared" si="3"/>
        <v>#DIV/0!</v>
      </c>
    </row>
    <row r="99" spans="1:10" hidden="1" x14ac:dyDescent="0.2">
      <c r="A99" s="231"/>
      <c r="B99" s="231" t="s">
        <v>4552</v>
      </c>
      <c r="C99" s="208" t="str">
        <f>IFERROR(VLOOKUP(B99,'ПО КОРИСНИЦИМА'!$C$8:$L$18203,5,FALSE),"")</f>
        <v/>
      </c>
      <c r="D99" s="265">
        <f>SUMIF('ПО КОРИСНИЦИМА'!$G$8:$G$18203,"Свега за пројекат 0601-П49:",'ПО КОРИСНИЦИМА'!$H$8:$H$18203)</f>
        <v>0</v>
      </c>
      <c r="E99" s="262"/>
      <c r="F99" s="694" t="e">
        <f t="shared" si="2"/>
        <v>#DIV/0!</v>
      </c>
      <c r="G99" s="266">
        <f>SUMIF('ПО КОРИСНИЦИМА'!$G$8:$G$18203,"Свега за пројекат 0601-П49:",'ПО КОРИСНИЦИМА'!$K$8:$K$18203)</f>
        <v>0</v>
      </c>
      <c r="H99" s="261"/>
      <c r="I99" s="267"/>
      <c r="J99" s="688" t="e">
        <f t="shared" si="3"/>
        <v>#DIV/0!</v>
      </c>
    </row>
    <row r="100" spans="1:10" ht="12.75" hidden="1" customHeight="1" x14ac:dyDescent="0.2">
      <c r="A100" s="244"/>
      <c r="B100" s="244" t="s">
        <v>4553</v>
      </c>
      <c r="C100" s="245" t="str">
        <f>IFERROR(VLOOKUP(B100,'ПО КОРИСНИЦИМА'!$C$8:$L$18203,5,FALSE),"")</f>
        <v/>
      </c>
      <c r="D100" s="268">
        <f>SUMIF('ПО КОРИСНИЦИМА'!$G$8:$G$18203,"Свега за пројекат 0601-П50:",'ПО КОРИСНИЦИМА'!$H$8:$H$18203)</f>
        <v>0</v>
      </c>
      <c r="E100" s="269"/>
      <c r="F100" s="694" t="e">
        <f t="shared" si="2"/>
        <v>#DIV/0!</v>
      </c>
      <c r="G100" s="270">
        <f>SUMIF('ПО КОРИСНИЦИМА'!$G$8:$G$18203,"Свега за пројекат 0601-П50:",'ПО КОРИСНИЦИМА'!$K$8:$K$18203)</f>
        <v>0</v>
      </c>
      <c r="H100" s="271"/>
      <c r="I100" s="272"/>
      <c r="J100" s="688" t="e">
        <f t="shared" si="3"/>
        <v>#DIV/0!</v>
      </c>
    </row>
    <row r="101" spans="1:10" hidden="1" x14ac:dyDescent="0.2">
      <c r="A101" s="226" t="s">
        <v>3564</v>
      </c>
      <c r="B101" s="227"/>
      <c r="C101" s="206" t="s">
        <v>3667</v>
      </c>
      <c r="D101" s="253">
        <f>SUM(D102:D130)</f>
        <v>0</v>
      </c>
      <c r="E101" s="254"/>
      <c r="F101" s="694" t="e">
        <f t="shared" ref="F101:F164" si="4">SUM(E101/D101)*100</f>
        <v>#DIV/0!</v>
      </c>
      <c r="G101" s="255">
        <f>SUM(G102:G130)</f>
        <v>0</v>
      </c>
      <c r="H101" s="253"/>
      <c r="I101" s="256"/>
      <c r="J101" s="688" t="e">
        <f t="shared" ref="J101:J133" si="5">SUM(H101/G101)*100</f>
        <v>#DIV/0!</v>
      </c>
    </row>
    <row r="102" spans="1:10" hidden="1" x14ac:dyDescent="0.2">
      <c r="A102" s="229"/>
      <c r="B102" s="229" t="s">
        <v>4081</v>
      </c>
      <c r="C102" s="209" t="s">
        <v>4082</v>
      </c>
      <c r="D102" s="257">
        <f>SUMIF('ПО КОРИСНИЦИМА'!$G$8:$G$18203,"Свега за програмску активност 1501-0001:",'ПО КОРИСНИЦИМА'!$H$8:$H$18203)</f>
        <v>0</v>
      </c>
      <c r="E102" s="258"/>
      <c r="F102" s="694" t="e">
        <f t="shared" si="4"/>
        <v>#DIV/0!</v>
      </c>
      <c r="G102" s="259">
        <f>SUMIF('ПО КОРИСНИЦИМА'!$G$8:$G$18203,"Свега за програмску активност 1501-0001:",'ПО КОРИСНИЦИМА'!$K$8:$K$18203)</f>
        <v>0</v>
      </c>
      <c r="H102" s="257"/>
      <c r="I102" s="260"/>
      <c r="J102" s="688" t="e">
        <f t="shared" si="5"/>
        <v>#DIV/0!</v>
      </c>
    </row>
    <row r="103" spans="1:10" hidden="1" x14ac:dyDescent="0.2">
      <c r="A103" s="231"/>
      <c r="B103" s="231" t="s">
        <v>4083</v>
      </c>
      <c r="C103" s="210" t="s">
        <v>4084</v>
      </c>
      <c r="D103" s="261">
        <f>SUMIF('ПО КОРИСНИЦИМА'!$G$8:$G$18203,"Свега за програмску активност 1501-0002:",'ПО КОРИСНИЦИМА'!$H$8:$H$18203)</f>
        <v>0</v>
      </c>
      <c r="E103" s="262"/>
      <c r="F103" s="694" t="e">
        <f t="shared" si="4"/>
        <v>#DIV/0!</v>
      </c>
      <c r="G103" s="263">
        <f>SUMIF('ПО КОРИСНИЦИМА'!$G$8:$G$18203,"Свега за програмску активност 1501-0002:",'ПО КОРИСНИЦИМА'!$K$8:$K$18203)</f>
        <v>0</v>
      </c>
      <c r="H103" s="261"/>
      <c r="I103" s="264"/>
      <c r="J103" s="688" t="e">
        <f t="shared" si="5"/>
        <v>#DIV/0!</v>
      </c>
    </row>
    <row r="104" spans="1:10" hidden="1" x14ac:dyDescent="0.2">
      <c r="A104" s="231"/>
      <c r="B104" s="231" t="s">
        <v>4085</v>
      </c>
      <c r="C104" s="210" t="s">
        <v>4086</v>
      </c>
      <c r="D104" s="261">
        <f>SUMIF('ПО КОРИСНИЦИМА'!$G$8:$G$18203,"Свега за програмску активност 1501-0003:",'ПО КОРИСНИЦИМА'!$H$8:$H$18203)</f>
        <v>0</v>
      </c>
      <c r="E104" s="262"/>
      <c r="F104" s="694" t="e">
        <f t="shared" si="4"/>
        <v>#DIV/0!</v>
      </c>
      <c r="G104" s="263">
        <f>SUMIF('ПО КОРИСНИЦИМА'!$G$8:$G$18203,"Свега за програмску активност 1501-0003:",'ПО КОРИСНИЦИМА'!$K$8:$K$18203)</f>
        <v>0</v>
      </c>
      <c r="H104" s="261"/>
      <c r="I104" s="264"/>
      <c r="J104" s="688" t="e">
        <f t="shared" si="5"/>
        <v>#DIV/0!</v>
      </c>
    </row>
    <row r="105" spans="1:10" hidden="1" x14ac:dyDescent="0.2">
      <c r="A105" s="231"/>
      <c r="B105" s="231" t="s">
        <v>4087</v>
      </c>
      <c r="C105" s="210" t="s">
        <v>4088</v>
      </c>
      <c r="D105" s="261">
        <f>SUMIF('ПО КОРИСНИЦИМА'!$G$8:$G$18203,"Свега за програмску активност 1501-0004:",'ПО КОРИСНИЦИМА'!$H$8:$H$18203)</f>
        <v>0</v>
      </c>
      <c r="E105" s="262"/>
      <c r="F105" s="694" t="e">
        <f t="shared" si="4"/>
        <v>#DIV/0!</v>
      </c>
      <c r="G105" s="263">
        <f>SUMIF('ПО КОРИСНИЦИМА'!$G$8:$G$18203,"Свега за програмску активност 1501-0004:",'ПО КОРИСНИЦИМА'!$K$8:$K$18203)</f>
        <v>0</v>
      </c>
      <c r="H105" s="261"/>
      <c r="I105" s="264"/>
      <c r="J105" s="688" t="e">
        <f t="shared" si="5"/>
        <v>#DIV/0!</v>
      </c>
    </row>
    <row r="106" spans="1:10" hidden="1" x14ac:dyDescent="0.2">
      <c r="A106" s="231"/>
      <c r="B106" s="231" t="s">
        <v>4089</v>
      </c>
      <c r="C106" s="210" t="s">
        <v>4090</v>
      </c>
      <c r="D106" s="261">
        <f>SUMIF('ПО КОРИСНИЦИМА'!$G$8:$G$18203,"Свега за програмску активност 1501-0005:",'ПО КОРИСНИЦИМА'!$H$8:$H$18203)</f>
        <v>0</v>
      </c>
      <c r="E106" s="262"/>
      <c r="F106" s="694" t="e">
        <f t="shared" si="4"/>
        <v>#DIV/0!</v>
      </c>
      <c r="G106" s="263">
        <f>SUMIF('ПО КОРИСНИЦИМА'!$G$8:$G$18203,"Свега за програмску активност 1501-0005:",'ПО КОРИСНИЦИМА'!$K$8:$K$18203)</f>
        <v>0</v>
      </c>
      <c r="H106" s="261"/>
      <c r="I106" s="264"/>
      <c r="J106" s="688" t="e">
        <f t="shared" si="5"/>
        <v>#DIV/0!</v>
      </c>
    </row>
    <row r="107" spans="1:10" hidden="1" x14ac:dyDescent="0.2">
      <c r="A107" s="231"/>
      <c r="B107" s="231" t="s">
        <v>4554</v>
      </c>
      <c r="C107" s="208" t="str">
        <f>IFERROR(VLOOKUP(B107,'ПО КОРИСНИЦИМА'!$C$8:$L$18203,5,FALSE),"")</f>
        <v>Стручна пракса 2015</v>
      </c>
      <c r="D107" s="265">
        <f>SUMIF('ПО КОРИСНИЦИМА'!$G$8:$G$18203,"Свега за пројекат 1501-П1:",'ПО КОРИСНИЦИМА'!$H$8:$H$18203)</f>
        <v>0</v>
      </c>
      <c r="E107" s="262"/>
      <c r="F107" s="694" t="e">
        <f t="shared" si="4"/>
        <v>#DIV/0!</v>
      </c>
      <c r="G107" s="266">
        <f>SUMIF('ПО КОРИСНИЦИМА'!$G$8:$G$18203,"Свега за пројекат 1501-П1:",'ПО КОРИСНИЦИМА'!$K$8:$K$18203)</f>
        <v>0</v>
      </c>
      <c r="H107" s="261"/>
      <c r="I107" s="264"/>
      <c r="J107" s="688" t="e">
        <f t="shared" si="5"/>
        <v>#DIV/0!</v>
      </c>
    </row>
    <row r="108" spans="1:10" hidden="1" x14ac:dyDescent="0.2">
      <c r="A108" s="231"/>
      <c r="B108" s="231" t="s">
        <v>4555</v>
      </c>
      <c r="C108" s="208" t="str">
        <f>IFERROR(VLOOKUP(B108,'ПО КОРИСНИЦИМА'!$C$8:$L$18203,5,FALSE),"")</f>
        <v>Школа заваривања 2015</v>
      </c>
      <c r="D108" s="265">
        <f>SUMIF('ПО КОРИСНИЦИМА'!$G$8:$G$18203,"Свега за пројекат 1501-П2:",'ПО КОРИСНИЦИМА'!$H$8:$H$18203)</f>
        <v>0</v>
      </c>
      <c r="E108" s="262"/>
      <c r="F108" s="694" t="e">
        <f t="shared" si="4"/>
        <v>#DIV/0!</v>
      </c>
      <c r="G108" s="266">
        <f>SUMIF('ПО КОРИСНИЦИМА'!$G$8:$G$18203,"Свега за пројекат 1501-П2:",'ПО КОРИСНИЦИМА'!$K$8:$K$18203)</f>
        <v>0</v>
      </c>
      <c r="H108" s="261"/>
      <c r="I108" s="267"/>
      <c r="J108" s="688" t="e">
        <f t="shared" si="5"/>
        <v>#DIV/0!</v>
      </c>
    </row>
    <row r="109" spans="1:10" hidden="1" x14ac:dyDescent="0.2">
      <c r="A109" s="231"/>
      <c r="B109" s="231" t="s">
        <v>4556</v>
      </c>
      <c r="C109" s="208" t="str">
        <f>IFERROR(VLOOKUP(B109,'ПО КОРИСНИЦИМА'!$C$8:$L$18203,5,FALSE),"")</f>
        <v/>
      </c>
      <c r="D109" s="265">
        <f>SUMIF('ПО КОРИСНИЦИМА'!$G$8:$G$18203,"Свега за пројекат 1501-П3:",'ПО КОРИСНИЦИМА'!$H$8:$H$18203)</f>
        <v>0</v>
      </c>
      <c r="E109" s="262"/>
      <c r="F109" s="694" t="e">
        <f t="shared" si="4"/>
        <v>#DIV/0!</v>
      </c>
      <c r="G109" s="266">
        <f>SUMIF('ПО КОРИСНИЦИМА'!$G$8:$G$18203,"Свега за пројекат 1501-П3:",'ПО КОРИСНИЦИМА'!$K$8:$K$18203)</f>
        <v>0</v>
      </c>
      <c r="H109" s="261"/>
      <c r="I109" s="267"/>
      <c r="J109" s="688" t="e">
        <f t="shared" si="5"/>
        <v>#DIV/0!</v>
      </c>
    </row>
    <row r="110" spans="1:10" hidden="1" x14ac:dyDescent="0.2">
      <c r="A110" s="231"/>
      <c r="B110" s="231" t="s">
        <v>4557</v>
      </c>
      <c r="C110" s="210"/>
      <c r="D110" s="265">
        <f>SUMIF('ПО КОРИСНИЦИМА'!$G$8:$G$18203,"Свега за пројекат 1501-П4:",'ПО КОРИСНИЦИМА'!$H$8:$H$18203)</f>
        <v>0</v>
      </c>
      <c r="E110" s="262"/>
      <c r="F110" s="694" t="e">
        <f t="shared" si="4"/>
        <v>#DIV/0!</v>
      </c>
      <c r="G110" s="266">
        <f>SUMIF('ПО КОРИСНИЦИМА'!$G$8:$G$18203,"Свега за пројекат 1501-П4:",'ПО КОРИСНИЦИМА'!$K$8:$K$18203)</f>
        <v>0</v>
      </c>
      <c r="H110" s="261"/>
      <c r="I110" s="267"/>
      <c r="J110" s="688" t="e">
        <f t="shared" si="5"/>
        <v>#DIV/0!</v>
      </c>
    </row>
    <row r="111" spans="1:10" hidden="1" x14ac:dyDescent="0.2">
      <c r="A111" s="231"/>
      <c r="B111" s="231" t="s">
        <v>4558</v>
      </c>
      <c r="C111" s="210"/>
      <c r="D111" s="265">
        <f>SUMIF('ПО КОРИСНИЦИМА'!$G$8:$G$18203,"Свега за пројекат 1501-П5:",'ПО КОРИСНИЦИМА'!$H$8:$H$18203)</f>
        <v>0</v>
      </c>
      <c r="E111" s="262"/>
      <c r="F111" s="694" t="e">
        <f t="shared" si="4"/>
        <v>#DIV/0!</v>
      </c>
      <c r="G111" s="266">
        <f>SUMIF('ПО КОРИСНИЦИМА'!$G$8:$G$18203,"Свега за пројекат 1501-П5:",'ПО КОРИСНИЦИМА'!$K$8:$K$18203)</f>
        <v>0</v>
      </c>
      <c r="H111" s="261"/>
      <c r="I111" s="267"/>
      <c r="J111" s="688" t="e">
        <f t="shared" si="5"/>
        <v>#DIV/0!</v>
      </c>
    </row>
    <row r="112" spans="1:10" hidden="1" x14ac:dyDescent="0.2">
      <c r="A112" s="231"/>
      <c r="B112" s="231" t="s">
        <v>4559</v>
      </c>
      <c r="C112" s="210"/>
      <c r="D112" s="265">
        <f>SUMIF('ПО КОРИСНИЦИМА'!$G$8:$G$18203,"Свега за пројекат 1501-П6:",'ПО КОРИСНИЦИМА'!$H$8:$H$18203)</f>
        <v>0</v>
      </c>
      <c r="E112" s="262"/>
      <c r="F112" s="694" t="e">
        <f t="shared" si="4"/>
        <v>#DIV/0!</v>
      </c>
      <c r="G112" s="266">
        <f>SUMIF('ПО КОРИСНИЦИМА'!$G$8:$G$18203,"Свега за пројекат 1501-П6:",'ПО КОРИСНИЦИМА'!$K$8:$K$18203)</f>
        <v>0</v>
      </c>
      <c r="H112" s="261"/>
      <c r="I112" s="267"/>
      <c r="J112" s="688" t="e">
        <f t="shared" si="5"/>
        <v>#DIV/0!</v>
      </c>
    </row>
    <row r="113" spans="1:10" hidden="1" x14ac:dyDescent="0.2">
      <c r="A113" s="231"/>
      <c r="B113" s="231" t="s">
        <v>4560</v>
      </c>
      <c r="C113" s="210"/>
      <c r="D113" s="265">
        <f>SUMIF('ПО КОРИСНИЦИМА'!$G$8:$G$18203,"Свега за пројекат 1501-П7:",'ПО КОРИСНИЦИМА'!$H$8:$H$18203)</f>
        <v>0</v>
      </c>
      <c r="E113" s="262"/>
      <c r="F113" s="694" t="e">
        <f t="shared" si="4"/>
        <v>#DIV/0!</v>
      </c>
      <c r="G113" s="266">
        <f>SUMIF('ПО КОРИСНИЦИМА'!$G$8:$G$18203,"Свега за пројекат 1501-П7:",'ПО КОРИСНИЦИМА'!$K$8:$K$18203)</f>
        <v>0</v>
      </c>
      <c r="H113" s="261"/>
      <c r="I113" s="267"/>
      <c r="J113" s="688" t="e">
        <f t="shared" si="5"/>
        <v>#DIV/0!</v>
      </c>
    </row>
    <row r="114" spans="1:10" hidden="1" x14ac:dyDescent="0.2">
      <c r="A114" s="231"/>
      <c r="B114" s="231" t="s">
        <v>4561</v>
      </c>
      <c r="C114" s="210"/>
      <c r="D114" s="265">
        <f>SUMIF('ПО КОРИСНИЦИМА'!$G$8:$G$18203,"Свега за пројекат 1501-П8:",'ПО КОРИСНИЦИМА'!$H$8:$H$18203)</f>
        <v>0</v>
      </c>
      <c r="E114" s="262"/>
      <c r="F114" s="694" t="e">
        <f t="shared" si="4"/>
        <v>#DIV/0!</v>
      </c>
      <c r="G114" s="266">
        <f>SUMIF('ПО КОРИСНИЦИМА'!$G$8:$G$18203,"Свега за пројекат 1501-П8:",'ПО КОРИСНИЦИМА'!$K$8:$K$18203)</f>
        <v>0</v>
      </c>
      <c r="H114" s="261"/>
      <c r="I114" s="267"/>
      <c r="J114" s="688" t="e">
        <f t="shared" si="5"/>
        <v>#DIV/0!</v>
      </c>
    </row>
    <row r="115" spans="1:10" hidden="1" x14ac:dyDescent="0.2">
      <c r="A115" s="231"/>
      <c r="B115" s="231" t="s">
        <v>4562</v>
      </c>
      <c r="C115" s="210"/>
      <c r="D115" s="265">
        <f>SUMIF('ПО КОРИСНИЦИМА'!$G$8:$G$18203,"Свега за пројекат 1501-П9:",'ПО КОРИСНИЦИМА'!$H$8:$H$18203)</f>
        <v>0</v>
      </c>
      <c r="E115" s="262"/>
      <c r="F115" s="694" t="e">
        <f t="shared" si="4"/>
        <v>#DIV/0!</v>
      </c>
      <c r="G115" s="266">
        <f>SUMIF('ПО КОРИСНИЦИМА'!$G$8:$G$18203,"Свега за пројекат 1501-П9:",'ПО КОРИСНИЦИМА'!$K$8:$K$18203)</f>
        <v>0</v>
      </c>
      <c r="H115" s="261"/>
      <c r="I115" s="267"/>
      <c r="J115" s="688" t="e">
        <f t="shared" si="5"/>
        <v>#DIV/0!</v>
      </c>
    </row>
    <row r="116" spans="1:10" hidden="1" x14ac:dyDescent="0.2">
      <c r="A116" s="231"/>
      <c r="B116" s="231" t="s">
        <v>4563</v>
      </c>
      <c r="C116" s="210"/>
      <c r="D116" s="265">
        <f>SUMIF('ПО КОРИСНИЦИМА'!$G$8:$G$18203,"Свега за пројекат 1501-П10:",'ПО КОРИСНИЦИМА'!$H$8:$H$18203)</f>
        <v>0</v>
      </c>
      <c r="E116" s="262"/>
      <c r="F116" s="694" t="e">
        <f t="shared" si="4"/>
        <v>#DIV/0!</v>
      </c>
      <c r="G116" s="266">
        <f>SUMIF('ПО КОРИСНИЦИМА'!$G$8:$G$18203,"Свега за пројекат 1501-П10:",'ПО КОРИСНИЦИМА'!$K$8:$K$18203)</f>
        <v>0</v>
      </c>
      <c r="H116" s="261"/>
      <c r="I116" s="267"/>
      <c r="J116" s="688" t="e">
        <f t="shared" si="5"/>
        <v>#DIV/0!</v>
      </c>
    </row>
    <row r="117" spans="1:10" hidden="1" x14ac:dyDescent="0.2">
      <c r="A117" s="231"/>
      <c r="B117" s="231" t="s">
        <v>4564</v>
      </c>
      <c r="C117" s="210"/>
      <c r="D117" s="265">
        <f>SUMIF('ПО КОРИСНИЦИМА'!$G$8:$G$18203,"Свега за пројекат 1501-П11:",'ПО КОРИСНИЦИМА'!$H$8:$H$18203)</f>
        <v>0</v>
      </c>
      <c r="E117" s="262"/>
      <c r="F117" s="694" t="e">
        <f t="shared" si="4"/>
        <v>#DIV/0!</v>
      </c>
      <c r="G117" s="266">
        <f>SUMIF('ПО КОРИСНИЦИМА'!$G$8:$G$18203,"Свега за пројекат 1501-П11:",'ПО КОРИСНИЦИМА'!$K$8:$K$18203)</f>
        <v>0</v>
      </c>
      <c r="H117" s="261"/>
      <c r="I117" s="267"/>
      <c r="J117" s="688" t="e">
        <f t="shared" si="5"/>
        <v>#DIV/0!</v>
      </c>
    </row>
    <row r="118" spans="1:10" hidden="1" x14ac:dyDescent="0.2">
      <c r="A118" s="231"/>
      <c r="B118" s="231" t="s">
        <v>4565</v>
      </c>
      <c r="C118" s="210"/>
      <c r="D118" s="265">
        <f>SUMIF('ПО КОРИСНИЦИМА'!$G$8:$G$18203,"Свега за пројекат 1501-П12:",'ПО КОРИСНИЦИМА'!$H$8:$H$18203)</f>
        <v>0</v>
      </c>
      <c r="E118" s="262"/>
      <c r="F118" s="694" t="e">
        <f t="shared" si="4"/>
        <v>#DIV/0!</v>
      </c>
      <c r="G118" s="266">
        <f>SUMIF('ПО КОРИСНИЦИМА'!$G$8:$G$18203,"Свега за пројекат 1501-П12:",'ПО КОРИСНИЦИМА'!$K$8:$K$18203)</f>
        <v>0</v>
      </c>
      <c r="H118" s="261"/>
      <c r="I118" s="267"/>
      <c r="J118" s="688" t="e">
        <f t="shared" si="5"/>
        <v>#DIV/0!</v>
      </c>
    </row>
    <row r="119" spans="1:10" hidden="1" x14ac:dyDescent="0.2">
      <c r="A119" s="231"/>
      <c r="B119" s="231" t="s">
        <v>4566</v>
      </c>
      <c r="C119" s="210"/>
      <c r="D119" s="265">
        <f>SUMIF('ПО КОРИСНИЦИМА'!$G$8:$G$18203,"Свега за пројекат 1501-П13:",'ПО КОРИСНИЦИМА'!$H$8:$H$18203)</f>
        <v>0</v>
      </c>
      <c r="E119" s="262"/>
      <c r="F119" s="694" t="e">
        <f t="shared" si="4"/>
        <v>#DIV/0!</v>
      </c>
      <c r="G119" s="266">
        <f>SUMIF('ПО КОРИСНИЦИМА'!$G$8:$G$18203,"Свега за пројекат 1501-П13:",'ПО КОРИСНИЦИМА'!$K$8:$K$18203)</f>
        <v>0</v>
      </c>
      <c r="H119" s="261"/>
      <c r="I119" s="267"/>
      <c r="J119" s="688" t="e">
        <f t="shared" si="5"/>
        <v>#DIV/0!</v>
      </c>
    </row>
    <row r="120" spans="1:10" hidden="1" x14ac:dyDescent="0.2">
      <c r="A120" s="231"/>
      <c r="B120" s="231" t="s">
        <v>4567</v>
      </c>
      <c r="C120" s="210"/>
      <c r="D120" s="265">
        <f>SUMIF('ПО КОРИСНИЦИМА'!$G$8:$G$18203,"Свега за пројекат 1501-П14:",'ПО КОРИСНИЦИМА'!$H$8:$H$18203)</f>
        <v>0</v>
      </c>
      <c r="E120" s="262"/>
      <c r="F120" s="694" t="e">
        <f t="shared" si="4"/>
        <v>#DIV/0!</v>
      </c>
      <c r="G120" s="266">
        <f>SUMIF('ПО КОРИСНИЦИМА'!$G$8:$G$18203,"Свега за пројекат 1501-П14:",'ПО КОРИСНИЦИМА'!$K$8:$K$18203)</f>
        <v>0</v>
      </c>
      <c r="H120" s="261"/>
      <c r="I120" s="267"/>
      <c r="J120" s="688" t="e">
        <f t="shared" si="5"/>
        <v>#DIV/0!</v>
      </c>
    </row>
    <row r="121" spans="1:10" hidden="1" x14ac:dyDescent="0.2">
      <c r="A121" s="231"/>
      <c r="B121" s="231" t="s">
        <v>4568</v>
      </c>
      <c r="C121" s="210"/>
      <c r="D121" s="265">
        <f>SUMIF('ПО КОРИСНИЦИМА'!$G$8:$G$18203,"Свега за пројекат 1501-П15:",'ПО КОРИСНИЦИМА'!$H$8:$H$18203)</f>
        <v>0</v>
      </c>
      <c r="E121" s="262"/>
      <c r="F121" s="694" t="e">
        <f t="shared" si="4"/>
        <v>#DIV/0!</v>
      </c>
      <c r="G121" s="266">
        <f>SUMIF('ПО КОРИСНИЦИМА'!$G$8:$G$18203,"Свега за пројекат 1501-П15:",'ПО КОРИСНИЦИМА'!$K$8:$K$18203)</f>
        <v>0</v>
      </c>
      <c r="H121" s="261"/>
      <c r="I121" s="267"/>
      <c r="J121" s="688" t="e">
        <f t="shared" si="5"/>
        <v>#DIV/0!</v>
      </c>
    </row>
    <row r="122" spans="1:10" hidden="1" x14ac:dyDescent="0.2">
      <c r="A122" s="231"/>
      <c r="B122" s="231" t="s">
        <v>4569</v>
      </c>
      <c r="C122" s="210"/>
      <c r="D122" s="265">
        <f>SUMIF('ПО КОРИСНИЦИМА'!$G$8:$G$18203,"Свега за пројекат 1501-П16:",'ПО КОРИСНИЦИМА'!$H$8:$H$18203)</f>
        <v>0</v>
      </c>
      <c r="E122" s="262"/>
      <c r="F122" s="694" t="e">
        <f t="shared" si="4"/>
        <v>#DIV/0!</v>
      </c>
      <c r="G122" s="266">
        <f>SUMIF('ПО КОРИСНИЦИМА'!$G$8:$G$18203,"Свега за пројекат 1501-П16:",'ПО КОРИСНИЦИМА'!$K$8:$K$18203)</f>
        <v>0</v>
      </c>
      <c r="H122" s="261"/>
      <c r="I122" s="267"/>
      <c r="J122" s="688" t="e">
        <f t="shared" si="5"/>
        <v>#DIV/0!</v>
      </c>
    </row>
    <row r="123" spans="1:10" hidden="1" x14ac:dyDescent="0.2">
      <c r="A123" s="231"/>
      <c r="B123" s="231" t="s">
        <v>4570</v>
      </c>
      <c r="C123" s="210"/>
      <c r="D123" s="265">
        <f>SUMIF('ПО КОРИСНИЦИМА'!$G$8:$G$18203,"Свега за пројекат 1501-П17:",'ПО КОРИСНИЦИМА'!$H$8:$H$18203)</f>
        <v>0</v>
      </c>
      <c r="E123" s="262"/>
      <c r="F123" s="694" t="e">
        <f t="shared" si="4"/>
        <v>#DIV/0!</v>
      </c>
      <c r="G123" s="266">
        <f>SUMIF('ПО КОРИСНИЦИМА'!$G$8:$G$18203,"Свега за пројекат 1501-П17:",'ПО КОРИСНИЦИМА'!$K$8:$K$18203)</f>
        <v>0</v>
      </c>
      <c r="H123" s="261"/>
      <c r="I123" s="267"/>
      <c r="J123" s="688" t="e">
        <f t="shared" si="5"/>
        <v>#DIV/0!</v>
      </c>
    </row>
    <row r="124" spans="1:10" hidden="1" x14ac:dyDescent="0.2">
      <c r="A124" s="231"/>
      <c r="B124" s="231" t="s">
        <v>4571</v>
      </c>
      <c r="C124" s="210"/>
      <c r="D124" s="265">
        <f>SUMIF('ПО КОРИСНИЦИМА'!$G$8:$G$18203,"Свега за пројекат 1501-П18:",'ПО КОРИСНИЦИМА'!$H$8:$H$18203)</f>
        <v>0</v>
      </c>
      <c r="E124" s="262"/>
      <c r="F124" s="694" t="e">
        <f t="shared" si="4"/>
        <v>#DIV/0!</v>
      </c>
      <c r="G124" s="266">
        <f>SUMIF('ПО КОРИСНИЦИМА'!$G$8:$G$18203,"Свега за пројекат 1501-П18:",'ПО КОРИСНИЦИМА'!$K$8:$K$18203)</f>
        <v>0</v>
      </c>
      <c r="H124" s="261"/>
      <c r="I124" s="267"/>
      <c r="J124" s="688" t="e">
        <f t="shared" si="5"/>
        <v>#DIV/0!</v>
      </c>
    </row>
    <row r="125" spans="1:10" hidden="1" x14ac:dyDescent="0.2">
      <c r="A125" s="231"/>
      <c r="B125" s="231" t="s">
        <v>4572</v>
      </c>
      <c r="C125" s="210"/>
      <c r="D125" s="265">
        <f>SUMIF('ПО КОРИСНИЦИМА'!$G$8:$G$18203,"Свега за пројекат 1501-П19:",'ПО КОРИСНИЦИМА'!$H$8:$H$18203)</f>
        <v>0</v>
      </c>
      <c r="E125" s="262"/>
      <c r="F125" s="694" t="e">
        <f t="shared" si="4"/>
        <v>#DIV/0!</v>
      </c>
      <c r="G125" s="266">
        <f>SUMIF('ПО КОРИСНИЦИМА'!$G$8:$G$18203,"Свега за пројекат 1501-П19:",'ПО КОРИСНИЦИМА'!$K$8:$K$18203)</f>
        <v>0</v>
      </c>
      <c r="H125" s="261"/>
      <c r="I125" s="264"/>
      <c r="J125" s="688" t="e">
        <f t="shared" si="5"/>
        <v>#DIV/0!</v>
      </c>
    </row>
    <row r="126" spans="1:10" hidden="1" x14ac:dyDescent="0.2">
      <c r="A126" s="231"/>
      <c r="B126" s="231" t="s">
        <v>4573</v>
      </c>
      <c r="C126" s="210"/>
      <c r="D126" s="265">
        <f>SUMIF('ПО КОРИСНИЦИМА'!$G$8:$G$18203,"Свега за пројекат 1501-П20:",'ПО КОРИСНИЦИМА'!$H$8:$H$18203)</f>
        <v>0</v>
      </c>
      <c r="E126" s="262"/>
      <c r="F126" s="694" t="e">
        <f t="shared" si="4"/>
        <v>#DIV/0!</v>
      </c>
      <c r="G126" s="266">
        <f>SUMIF('ПО КОРИСНИЦИМА'!$G$8:$G$18203,"Свега за пројекат 1501-П20:",'ПО КОРИСНИЦИМА'!$K$8:$K$18203)</f>
        <v>0</v>
      </c>
      <c r="H126" s="261"/>
      <c r="I126" s="264"/>
      <c r="J126" s="688" t="e">
        <f t="shared" si="5"/>
        <v>#DIV/0!</v>
      </c>
    </row>
    <row r="127" spans="1:10" hidden="1" x14ac:dyDescent="0.2">
      <c r="A127" s="231"/>
      <c r="B127" s="231" t="s">
        <v>4574</v>
      </c>
      <c r="C127" s="210"/>
      <c r="D127" s="265">
        <f>SUMIF('ПО КОРИСНИЦИМА'!$G$8:$G$18203,"Свега за пројекат 1501-П21:",'ПО КОРИСНИЦИМА'!$H$8:$H$18203)</f>
        <v>0</v>
      </c>
      <c r="E127" s="262"/>
      <c r="F127" s="694" t="e">
        <f t="shared" si="4"/>
        <v>#DIV/0!</v>
      </c>
      <c r="G127" s="266">
        <f>SUMIF('ПО КОРИСНИЦИМА'!$G$8:$G$18203,"Свега за пројекат 1501-П21:",'ПО КОРИСНИЦИМА'!$K$8:$K$18203)</f>
        <v>0</v>
      </c>
      <c r="H127" s="261"/>
      <c r="I127" s="264"/>
      <c r="J127" s="688" t="e">
        <f t="shared" si="5"/>
        <v>#DIV/0!</v>
      </c>
    </row>
    <row r="128" spans="1:10" hidden="1" x14ac:dyDescent="0.2">
      <c r="A128" s="231"/>
      <c r="B128" s="231" t="s">
        <v>4575</v>
      </c>
      <c r="C128" s="210"/>
      <c r="D128" s="265">
        <f>SUMIF('ПО КОРИСНИЦИМА'!$G$8:$G$18203,"Свега за пројекат 1501-П22:",'ПО КОРИСНИЦИМА'!$H$8:$H$18203)</f>
        <v>0</v>
      </c>
      <c r="E128" s="262"/>
      <c r="F128" s="694" t="e">
        <f t="shared" si="4"/>
        <v>#DIV/0!</v>
      </c>
      <c r="G128" s="266">
        <f>SUMIF('ПО КОРИСНИЦИМА'!$G$8:$G$18203,"Свега за пројекат 1501-П22:",'ПО КОРИСНИЦИМА'!$K$8:$K$18203)</f>
        <v>0</v>
      </c>
      <c r="H128" s="261"/>
      <c r="I128" s="264"/>
      <c r="J128" s="688" t="e">
        <f t="shared" si="5"/>
        <v>#DIV/0!</v>
      </c>
    </row>
    <row r="129" spans="1:10" hidden="1" x14ac:dyDescent="0.2">
      <c r="A129" s="231"/>
      <c r="B129" s="231" t="s">
        <v>4576</v>
      </c>
      <c r="C129" s="210"/>
      <c r="D129" s="265">
        <f>SUMIF('ПО КОРИСНИЦИМА'!$G$8:$G$18203,"Свега за пројекат 1501-П23:",'ПО КОРИСНИЦИМА'!$H$8:$H$18203)</f>
        <v>0</v>
      </c>
      <c r="E129" s="262"/>
      <c r="F129" s="694" t="e">
        <f t="shared" si="4"/>
        <v>#DIV/0!</v>
      </c>
      <c r="G129" s="266">
        <f>SUMIF('ПО КОРИСНИЦИМА'!$G$8:$G$18203,"Свега за пројекат 1501-П23:",'ПО КОРИСНИЦИМА'!$K$8:$K$18203)</f>
        <v>0</v>
      </c>
      <c r="H129" s="261"/>
      <c r="I129" s="264"/>
      <c r="J129" s="688" t="e">
        <f t="shared" si="5"/>
        <v>#DIV/0!</v>
      </c>
    </row>
    <row r="130" spans="1:10" hidden="1" x14ac:dyDescent="0.2">
      <c r="A130" s="233"/>
      <c r="B130" s="231" t="s">
        <v>4577</v>
      </c>
      <c r="C130" s="211"/>
      <c r="D130" s="265">
        <f>SUMIF('ПО КОРИСНИЦИМА'!$G$8:$G$18203,"Свега за пројекат 1501-П24:",'ПО КОРИСНИЦИМА'!$H$8:$H$18203)</f>
        <v>0</v>
      </c>
      <c r="E130" s="262"/>
      <c r="F130" s="694" t="e">
        <f t="shared" si="4"/>
        <v>#DIV/0!</v>
      </c>
      <c r="G130" s="266">
        <f>SUMIF('ПО КОРИСНИЦИМА'!$G$8:$G$18203,"Свега за пројекат 1501-П24:",'ПО КОРИСНИЦИМА'!$K$8:$K$18203)</f>
        <v>0</v>
      </c>
      <c r="H130" s="261"/>
      <c r="I130" s="273"/>
      <c r="J130" s="688" t="e">
        <f t="shared" si="5"/>
        <v>#DIV/0!</v>
      </c>
    </row>
    <row r="131" spans="1:10" s="234" customFormat="1" x14ac:dyDescent="0.2">
      <c r="A131" s="226" t="s">
        <v>3567</v>
      </c>
      <c r="B131" s="227"/>
      <c r="C131" s="206" t="s">
        <v>3668</v>
      </c>
      <c r="D131" s="253">
        <f>SUM(D132:D157)</f>
        <v>9093015</v>
      </c>
      <c r="E131" s="685">
        <f>SUM(E132:E134)</f>
        <v>7003241.6400000006</v>
      </c>
      <c r="F131" s="694">
        <f t="shared" si="4"/>
        <v>77.017816862723748</v>
      </c>
      <c r="G131" s="255">
        <f>SUM(G132:G157)</f>
        <v>500000</v>
      </c>
      <c r="H131" s="253">
        <f>SUM(H132:H134)</f>
        <v>3148717.58</v>
      </c>
      <c r="I131" s="274"/>
      <c r="J131" s="769">
        <f t="shared" si="5"/>
        <v>629.743516</v>
      </c>
    </row>
    <row r="132" spans="1:10" x14ac:dyDescent="0.2">
      <c r="A132" s="229"/>
      <c r="B132" s="235" t="s">
        <v>4109</v>
      </c>
      <c r="C132" s="212" t="s">
        <v>4091</v>
      </c>
      <c r="D132" s="257">
        <f>SUMIF('ПО КОРИСНИЦИМА'!$G$8:$G$18203,"Свега за програмску активност 1502-0001:",'ПО КОРИСНИЦИМА'!$H$8:$H$18203)</f>
        <v>3073015</v>
      </c>
      <c r="E132" s="683">
        <f>SUM('ПО КОРИСНИЦИМА'!I8944)</f>
        <v>2034878.84</v>
      </c>
      <c r="F132" s="694">
        <f t="shared" si="4"/>
        <v>66.217667014316561</v>
      </c>
      <c r="G132" s="686">
        <f>SUMIF('ПО КОРИСНИЦИМА'!$G$8:$G$18203,"Свега за програмску активност 1502-0001:",'ПО КОРИСНИЦИМА'!$K$8:$K$18203)</f>
        <v>0</v>
      </c>
      <c r="H132" s="687">
        <f>SUM('ПО КОРИСНИЦИМА'!L8960)</f>
        <v>389753.88</v>
      </c>
      <c r="I132" s="686"/>
      <c r="J132" s="688"/>
    </row>
    <row r="133" spans="1:10" x14ac:dyDescent="0.2">
      <c r="A133" s="231"/>
      <c r="B133" s="236" t="s">
        <v>4295</v>
      </c>
      <c r="C133" s="213" t="s">
        <v>4092</v>
      </c>
      <c r="D133" s="261">
        <f>SUMIF('ПО КОРИСНИЦИМА'!$G$8:$G$18203,"Свега за програмску активност 1502-0002:",'ПО КОРИСНИЦИМА'!$H$8:$H$18203)</f>
        <v>1500000</v>
      </c>
      <c r="E133" s="684">
        <f>SUM('ПО КОРИСНИЦИМА'!I9041)</f>
        <v>1035088.6100000001</v>
      </c>
      <c r="F133" s="694">
        <f t="shared" si="4"/>
        <v>69.00590733333334</v>
      </c>
      <c r="G133" s="689">
        <f>SUMIF('ПО КОРИСНИЦИМА'!$G$8:$G$18203,"Свега за програмску активност 1502-0002:",'ПО КОРИСНИЦИМА'!$K$8:$K$18203)</f>
        <v>500000</v>
      </c>
      <c r="H133" s="690">
        <f>SUM('ПО КОРИСНИЦИМА'!L9059)</f>
        <v>782308</v>
      </c>
      <c r="I133" s="691"/>
      <c r="J133" s="688">
        <f t="shared" si="5"/>
        <v>156.4616</v>
      </c>
    </row>
    <row r="134" spans="1:10" x14ac:dyDescent="0.2">
      <c r="A134" s="236"/>
      <c r="B134" s="231" t="s">
        <v>4578</v>
      </c>
      <c r="C134" s="208" t="str">
        <f>IFERROR(VLOOKUP(B134,'ПО КОРИСНИЦИМА'!$C$8:$L$18203,5,FALSE),"")</f>
        <v>Дринска регата</v>
      </c>
      <c r="D134" s="265">
        <f>SUMIF('ПО КОРИСНИЦИМА'!$G$8:$G$18203,"Свега за пројекат 1502-П1:",'ПО КОРИСНИЦИМА'!$H$8:$H$18203)</f>
        <v>4520000</v>
      </c>
      <c r="E134" s="684">
        <f>SUM('ПО КОРИСНИЦИМА'!I9142)</f>
        <v>3933274.19</v>
      </c>
      <c r="F134" s="694">
        <f t="shared" si="4"/>
        <v>87.019340486725667</v>
      </c>
      <c r="G134" s="692">
        <f>SUMIF('ПО КОРИСНИЦИМА'!$G$8:$G$18203,"Свега за пројекат 1502-П1:",'ПО КОРИСНИЦИМА'!$K$8:$K$18203)</f>
        <v>0</v>
      </c>
      <c r="H134" s="690">
        <f>SUM('ПО КОРИСНИЦИМА'!L9157)</f>
        <v>1976655.7</v>
      </c>
      <c r="I134" s="691"/>
      <c r="J134" s="688"/>
    </row>
    <row r="135" spans="1:10" hidden="1" x14ac:dyDescent="0.2">
      <c r="A135" s="236"/>
      <c r="B135" s="231" t="s">
        <v>4579</v>
      </c>
      <c r="C135" s="208" t="str">
        <f>IFERROR(VLOOKUP(B135,'ПО КОРИСНИЦИМА'!$C$8:$L$18203,5,FALSE),"")</f>
        <v>Међународна смотра фолклора</v>
      </c>
      <c r="D135" s="265">
        <f>SUMIF('ПО КОРИСНИЦИМА'!$G$8:$G$18203,"Свега за пројекат 1502-П2:",'ПО КОРИСНИЦИМА'!$H$8:$H$18203)</f>
        <v>0</v>
      </c>
      <c r="E135" s="684"/>
      <c r="F135" s="694" t="e">
        <f t="shared" si="4"/>
        <v>#DIV/0!</v>
      </c>
      <c r="G135" s="692">
        <f>SUMIF('ПО КОРИСНИЦИМА'!$G$8:$G$18203,"Свега за пројекат 1502-П2:",'ПО КОРИСНИЦИМА'!$K$8:$K$18203)</f>
        <v>0</v>
      </c>
      <c r="H135" s="690"/>
      <c r="I135" s="689"/>
      <c r="J135" s="688"/>
    </row>
    <row r="136" spans="1:10" hidden="1" x14ac:dyDescent="0.2">
      <c r="A136" s="236"/>
      <c r="B136" s="231" t="s">
        <v>4580</v>
      </c>
      <c r="C136" s="208" t="str">
        <f>IFERROR(VLOOKUP(B136,'ПО КОРИСНИЦИМА'!$C$8:$L$18203,5,FALSE),"")</f>
        <v>Етно сајам</v>
      </c>
      <c r="D136" s="265">
        <f>SUMIF('ПО КОРИСНИЦИМА'!$G$8:$G$18203,"Свега за пројекат 1502-П3:",'ПО КОРИСНИЦИМА'!$H$8:$H$18203)</f>
        <v>0</v>
      </c>
      <c r="E136" s="684"/>
      <c r="F136" s="694" t="e">
        <f t="shared" si="4"/>
        <v>#DIV/0!</v>
      </c>
      <c r="G136" s="692">
        <f>SUMIF('ПО КОРИСНИЦИМА'!$G$8:$G$18203,"Свега за пројекат 1502-П3:",'ПО КОРИСНИЦИМА'!$K$8:$K$18203)</f>
        <v>0</v>
      </c>
      <c r="H136" s="690"/>
      <c r="I136" s="689"/>
      <c r="J136" s="688"/>
    </row>
    <row r="137" spans="1:10" hidden="1" x14ac:dyDescent="0.2">
      <c r="A137" s="236"/>
      <c r="B137" s="231" t="s">
        <v>4581</v>
      </c>
      <c r="C137" s="208" t="str">
        <f>IFERROR(VLOOKUP(B137,'ПО КОРИСНИЦИМА'!$C$8:$L$18203,5,FALSE),"")</f>
        <v>Меморијал Бакије Бакића</v>
      </c>
      <c r="D137" s="265">
        <f>SUMIF('ПО КОРИСНИЦИМА'!$G$8:$G$18203,"Свега за пројекат 1502-П4:",'ПО КОРИСНИЦИМА'!$H$8:$H$18203)</f>
        <v>0</v>
      </c>
      <c r="E137" s="684"/>
      <c r="F137" s="694" t="e">
        <f t="shared" si="4"/>
        <v>#DIV/0!</v>
      </c>
      <c r="G137" s="692">
        <f>SUMIF('ПО КОРИСНИЦИМА'!$G$8:$G$18203,"Свега за пројекат 1502-П4:",'ПО КОРИСНИЦИМА'!$K$8:$K$18203)</f>
        <v>0</v>
      </c>
      <c r="H137" s="690"/>
      <c r="I137" s="689"/>
      <c r="J137" s="688"/>
    </row>
    <row r="138" spans="1:10" hidden="1" x14ac:dyDescent="0.2">
      <c r="A138" s="236"/>
      <c r="B138" s="231" t="s">
        <v>4582</v>
      </c>
      <c r="C138" s="208" t="str">
        <f>IFERROR(VLOOKUP(B138,'ПО КОРИСНИЦИМА'!$C$8:$L$18203,5,FALSE),"")</f>
        <v>Новогодишње украшавање града</v>
      </c>
      <c r="D138" s="265">
        <f>SUMIF('ПО КОРИСНИЦИМА'!$G$8:$G$18203,"Свега за пројекат 1502-П5:",'ПО КОРИСНИЦИМА'!$H$8:$H$18203)</f>
        <v>0</v>
      </c>
      <c r="E138" s="684"/>
      <c r="F138" s="694" t="e">
        <f t="shared" si="4"/>
        <v>#DIV/0!</v>
      </c>
      <c r="G138" s="692">
        <f>SUMIF('ПО КОРИСНИЦИМА'!$G$8:$G$18203,"Свега за пројекат 1502-П5:",'ПО КОРИСНИЦИМА'!$K$8:$K$18203)</f>
        <v>0</v>
      </c>
      <c r="H138" s="690"/>
      <c r="I138" s="689"/>
      <c r="J138" s="688"/>
    </row>
    <row r="139" spans="1:10" hidden="1" x14ac:dyDescent="0.2">
      <c r="A139" s="236"/>
      <c r="B139" s="231" t="s">
        <v>4583</v>
      </c>
      <c r="C139" s="208" t="str">
        <f>IFERROR(VLOOKUP(B139,'ПО КОРИСНИЦИМА'!$C$8:$L$18203,5,FALSE),"")</f>
        <v>Постављање Ски лифта "Суво Рудиште"</v>
      </c>
      <c r="D139" s="265">
        <f>SUMIF('ПО КОРИСНИЦИМА'!$G$8:$G$18203,"Свега за пројекат 1502-П6:",'ПО КОРИСНИЦИМА'!$H$8:$H$18203)</f>
        <v>0</v>
      </c>
      <c r="E139" s="684"/>
      <c r="F139" s="694" t="e">
        <f t="shared" si="4"/>
        <v>#DIV/0!</v>
      </c>
      <c r="G139" s="692">
        <f>SUMIF('ПО КОРИСНИЦИМА'!$G$8:$G$18203,"Свега за пројекат 1502-П6:",'ПО КОРИСНИЦИМА'!$K$8:$K$18203)</f>
        <v>0</v>
      </c>
      <c r="H139" s="690"/>
      <c r="I139" s="689"/>
      <c r="J139" s="688"/>
    </row>
    <row r="140" spans="1:10" hidden="1" x14ac:dyDescent="0.2">
      <c r="A140" s="236"/>
      <c r="B140" s="231" t="s">
        <v>4584</v>
      </c>
      <c r="C140" s="208" t="str">
        <f>IFERROR(VLOOKUP(B140,'ПО КОРИСНИЦИМА'!$C$8:$L$18203,5,FALSE),"")</f>
        <v/>
      </c>
      <c r="D140" s="265">
        <f>SUMIF('ПО КОРИСНИЦИМА'!$G$8:$G$18203,"Свега за пројекат 1502-П7:",'ПО КОРИСНИЦИМА'!$H$8:$H$18203)</f>
        <v>0</v>
      </c>
      <c r="E140" s="684"/>
      <c r="F140" s="694" t="e">
        <f t="shared" si="4"/>
        <v>#DIV/0!</v>
      </c>
      <c r="G140" s="692">
        <f>SUMIF('ПО КОРИСНИЦИМА'!$G$8:$G$18203,"Свега за пројекат 1502-П7:",'ПО КОРИСНИЦИМА'!$K$8:$K$18203)</f>
        <v>0</v>
      </c>
      <c r="H140" s="690"/>
      <c r="I140" s="689"/>
      <c r="J140" s="688"/>
    </row>
    <row r="141" spans="1:10" hidden="1" x14ac:dyDescent="0.2">
      <c r="A141" s="236"/>
      <c r="B141" s="231" t="s">
        <v>4585</v>
      </c>
      <c r="C141" s="208" t="str">
        <f>IFERROR(VLOOKUP(B141,'ПО КОРИСНИЦИМА'!$C$8:$L$18203,5,FALSE),"")</f>
        <v/>
      </c>
      <c r="D141" s="265">
        <f>SUMIF('ПО КОРИСНИЦИМА'!$G$8:$G$18203,"Свега за пројекат 1502-П8:",'ПО КОРИСНИЦИМА'!$H$8:$H$18203)</f>
        <v>0</v>
      </c>
      <c r="E141" s="684"/>
      <c r="F141" s="694" t="e">
        <f t="shared" si="4"/>
        <v>#DIV/0!</v>
      </c>
      <c r="G141" s="692">
        <f>SUMIF('ПО КОРИСНИЦИМА'!$G$8:$G$18203,"Свега за пројекат 1502-П8:",'ПО КОРИСНИЦИМА'!$K$8:$K$18203)</f>
        <v>0</v>
      </c>
      <c r="H141" s="690"/>
      <c r="I141" s="689"/>
      <c r="J141" s="688"/>
    </row>
    <row r="142" spans="1:10" hidden="1" x14ac:dyDescent="0.2">
      <c r="A142" s="236"/>
      <c r="B142" s="231" t="s">
        <v>4586</v>
      </c>
      <c r="C142" s="208" t="str">
        <f>IFERROR(VLOOKUP(B142,'ПО КОРИСНИЦИМА'!$C$8:$L$18203,5,FALSE),"")</f>
        <v/>
      </c>
      <c r="D142" s="265">
        <f>SUMIF('ПО КОРИСНИЦИМА'!$G$8:$G$18203,"Свега за пројекат 1502-П9:",'ПО КОРИСНИЦИМА'!$H$8:$H$18203)</f>
        <v>0</v>
      </c>
      <c r="E142" s="684"/>
      <c r="F142" s="694" t="e">
        <f t="shared" si="4"/>
        <v>#DIV/0!</v>
      </c>
      <c r="G142" s="692">
        <f>SUMIF('ПО КОРИСНИЦИМА'!$G$8:$G$18203,"Свега за пројекат 1502-П9:",'ПО КОРИСНИЦИМА'!$K$8:$K$18203)</f>
        <v>0</v>
      </c>
      <c r="H142" s="690"/>
      <c r="I142" s="689"/>
      <c r="J142" s="688"/>
    </row>
    <row r="143" spans="1:10" hidden="1" x14ac:dyDescent="0.2">
      <c r="A143" s="236"/>
      <c r="B143" s="231" t="s">
        <v>4587</v>
      </c>
      <c r="C143" s="208" t="str">
        <f>IFERROR(VLOOKUP(B143,'ПО КОРИСНИЦИМА'!$C$8:$L$18203,5,FALSE),"")</f>
        <v/>
      </c>
      <c r="D143" s="265">
        <f>SUMIF('ПО КОРИСНИЦИМА'!$G$8:$G$18203,"Свега за пројекат 1502-П10:",'ПО КОРИСНИЦИМА'!$H$8:$H$18203)</f>
        <v>0</v>
      </c>
      <c r="E143" s="684"/>
      <c r="F143" s="694" t="e">
        <f t="shared" si="4"/>
        <v>#DIV/0!</v>
      </c>
      <c r="G143" s="692">
        <f>SUMIF('ПО КОРИСНИЦИМА'!$G$8:$G$18203,"Свега за пројекат 1502-П10:",'ПО КОРИСНИЦИМА'!$K$8:$K$18203)</f>
        <v>0</v>
      </c>
      <c r="H143" s="690"/>
      <c r="I143" s="689"/>
      <c r="J143" s="688"/>
    </row>
    <row r="144" spans="1:10" hidden="1" x14ac:dyDescent="0.2">
      <c r="A144" s="236"/>
      <c r="B144" s="231" t="s">
        <v>4588</v>
      </c>
      <c r="C144" s="208" t="str">
        <f>IFERROR(VLOOKUP(B144,'ПО КОРИСНИЦИМА'!$C$8:$L$18203,5,FALSE),"")</f>
        <v/>
      </c>
      <c r="D144" s="265">
        <f>SUMIF('ПО КОРИСНИЦИМА'!$G$8:$G$18203,"Свега за пројекат 1502-П11:",'ПО КОРИСНИЦИМА'!$H$8:$H$18203)</f>
        <v>0</v>
      </c>
      <c r="E144" s="684"/>
      <c r="F144" s="694" t="e">
        <f t="shared" si="4"/>
        <v>#DIV/0!</v>
      </c>
      <c r="G144" s="692">
        <f>SUMIF('ПО КОРИСНИЦИМА'!$G$8:$G$18203,"Свега за пројекат 1502-П11:",'ПО КОРИСНИЦИМА'!$K$8:$K$18203)</f>
        <v>0</v>
      </c>
      <c r="H144" s="690"/>
      <c r="I144" s="689"/>
      <c r="J144" s="688"/>
    </row>
    <row r="145" spans="1:10" hidden="1" x14ac:dyDescent="0.2">
      <c r="A145" s="236"/>
      <c r="B145" s="231" t="s">
        <v>4589</v>
      </c>
      <c r="C145" s="208" t="str">
        <f>IFERROR(VLOOKUP(B145,'ПО КОРИСНИЦИМА'!$C$8:$L$18203,5,FALSE),"")</f>
        <v/>
      </c>
      <c r="D145" s="265">
        <f>SUMIF('ПО КОРИСНИЦИМА'!$G$8:$G$18203,"Свега за пројекат 1502-П12:",'ПО КОРИСНИЦИМА'!$H$8:$H$18203)</f>
        <v>0</v>
      </c>
      <c r="E145" s="684"/>
      <c r="F145" s="694" t="e">
        <f t="shared" si="4"/>
        <v>#DIV/0!</v>
      </c>
      <c r="G145" s="692">
        <f>SUMIF('ПО КОРИСНИЦИМА'!$G$8:$G$18203,"Свега за пројекат 1502-П12:",'ПО КОРИСНИЦИМА'!$K$8:$K$18203)</f>
        <v>0</v>
      </c>
      <c r="H145" s="690"/>
      <c r="I145" s="689"/>
      <c r="J145" s="688"/>
    </row>
    <row r="146" spans="1:10" hidden="1" x14ac:dyDescent="0.2">
      <c r="A146" s="236"/>
      <c r="B146" s="231" t="s">
        <v>4590</v>
      </c>
      <c r="C146" s="208" t="str">
        <f>IFERROR(VLOOKUP(B146,'ПО КОРИСНИЦИМА'!$C$8:$L$18203,5,FALSE),"")</f>
        <v/>
      </c>
      <c r="D146" s="265">
        <f>SUMIF('ПО КОРИСНИЦИМА'!$G$8:$G$18203,"Свега за пројекат 1502-П13:",'ПО КОРИСНИЦИМА'!$H$8:$H$18203)</f>
        <v>0</v>
      </c>
      <c r="E146" s="684"/>
      <c r="F146" s="694" t="e">
        <f t="shared" si="4"/>
        <v>#DIV/0!</v>
      </c>
      <c r="G146" s="692">
        <f>SUMIF('ПО КОРИСНИЦИМА'!$G$8:$G$18203,"Свега за пројекат 1502-П13:",'ПО КОРИСНИЦИМА'!$K$8:$K$18203)</f>
        <v>0</v>
      </c>
      <c r="H146" s="690"/>
      <c r="I146" s="689"/>
      <c r="J146" s="688"/>
    </row>
    <row r="147" spans="1:10" hidden="1" x14ac:dyDescent="0.2">
      <c r="A147" s="236"/>
      <c r="B147" s="231" t="s">
        <v>4591</v>
      </c>
      <c r="C147" s="208" t="str">
        <f>IFERROR(VLOOKUP(B147,'ПО КОРИСНИЦИМА'!$C$8:$L$18203,5,FALSE),"")</f>
        <v/>
      </c>
      <c r="D147" s="265">
        <f>SUMIF('ПО КОРИСНИЦИМА'!$G$8:$G$18203,"Свега за пројекат 1502-П14:",'ПО КОРИСНИЦИМА'!$H$8:$H$18203)</f>
        <v>0</v>
      </c>
      <c r="E147" s="684"/>
      <c r="F147" s="694" t="e">
        <f t="shared" si="4"/>
        <v>#DIV/0!</v>
      </c>
      <c r="G147" s="692">
        <f>SUMIF('ПО КОРИСНИЦИМА'!$G$8:$G$18203,"Свега за пројекат 1502-П14:",'ПО КОРИСНИЦИМА'!$K$8:$K$18203)</f>
        <v>0</v>
      </c>
      <c r="H147" s="690"/>
      <c r="I147" s="689"/>
      <c r="J147" s="688"/>
    </row>
    <row r="148" spans="1:10" hidden="1" x14ac:dyDescent="0.2">
      <c r="A148" s="236"/>
      <c r="B148" s="231" t="s">
        <v>4592</v>
      </c>
      <c r="C148" s="208" t="str">
        <f>IFERROR(VLOOKUP(B148,'ПО КОРИСНИЦИМА'!$C$8:$L$18203,5,FALSE),"")</f>
        <v/>
      </c>
      <c r="D148" s="265">
        <f>SUMIF('ПО КОРИСНИЦИМА'!$G$8:$G$18203,"Свега за пројекат 1502-П15:",'ПО КОРИСНИЦИМА'!$H$8:$H$18203)</f>
        <v>0</v>
      </c>
      <c r="E148" s="684"/>
      <c r="F148" s="694" t="e">
        <f t="shared" si="4"/>
        <v>#DIV/0!</v>
      </c>
      <c r="G148" s="692">
        <f>SUMIF('ПО КОРИСНИЦИМА'!$G$8:$G$18203,"Свега за пројекат 1502-П15:",'ПО КОРИСНИЦИМА'!$K$8:$K$18203)</f>
        <v>0</v>
      </c>
      <c r="H148" s="690"/>
      <c r="I148" s="689"/>
      <c r="J148" s="688"/>
    </row>
    <row r="149" spans="1:10" hidden="1" x14ac:dyDescent="0.2">
      <c r="A149" s="236"/>
      <c r="B149" s="231" t="s">
        <v>4593</v>
      </c>
      <c r="C149" s="208" t="str">
        <f>IFERROR(VLOOKUP(B149,'ПО КОРИСНИЦИМА'!$C$8:$L$18203,5,FALSE),"")</f>
        <v/>
      </c>
      <c r="D149" s="265">
        <f>SUMIF('ПО КОРИСНИЦИМА'!$G$8:$G$18203,"Свега за пројекат 1502-П16:",'ПО КОРИСНИЦИМА'!$H$8:$H$18203)</f>
        <v>0</v>
      </c>
      <c r="E149" s="684"/>
      <c r="F149" s="694" t="e">
        <f t="shared" si="4"/>
        <v>#DIV/0!</v>
      </c>
      <c r="G149" s="692">
        <f>SUMIF('ПО КОРИСНИЦИМА'!$G$8:$G$18203,"Свега за пројекат 1502-П16:",'ПО КОРИСНИЦИМА'!$K$8:$K$18203)</f>
        <v>0</v>
      </c>
      <c r="H149" s="690"/>
      <c r="I149" s="689"/>
      <c r="J149" s="688"/>
    </row>
    <row r="150" spans="1:10" hidden="1" x14ac:dyDescent="0.2">
      <c r="A150" s="236"/>
      <c r="B150" s="231" t="s">
        <v>4594</v>
      </c>
      <c r="C150" s="208" t="str">
        <f>IFERROR(VLOOKUP(B150,'ПО КОРИСНИЦИМА'!$C$8:$L$18203,5,FALSE),"")</f>
        <v/>
      </c>
      <c r="D150" s="265">
        <f>SUMIF('ПО КОРИСНИЦИМА'!$G$8:$G$18203,"Свега за пројекат 1502-П17:",'ПО КОРИСНИЦИМА'!$H$8:$H$18203)</f>
        <v>0</v>
      </c>
      <c r="E150" s="684"/>
      <c r="F150" s="694" t="e">
        <f t="shared" si="4"/>
        <v>#DIV/0!</v>
      </c>
      <c r="G150" s="692">
        <f>SUMIF('ПО КОРИСНИЦИМА'!$G$8:$G$18203,"Свега за пројекат 1502-П17:",'ПО КОРИСНИЦИМА'!$K$8:$K$18203)</f>
        <v>0</v>
      </c>
      <c r="H150" s="690"/>
      <c r="I150" s="689"/>
      <c r="J150" s="688"/>
    </row>
    <row r="151" spans="1:10" hidden="1" x14ac:dyDescent="0.2">
      <c r="A151" s="236"/>
      <c r="B151" s="231" t="s">
        <v>4595</v>
      </c>
      <c r="C151" s="208" t="str">
        <f>IFERROR(VLOOKUP(B151,'ПО КОРИСНИЦИМА'!$C$8:$L$18203,5,FALSE),"")</f>
        <v/>
      </c>
      <c r="D151" s="265">
        <f>SUMIF('ПО КОРИСНИЦИМА'!$G$8:$G$18203,"Свега за пројекат 1502-П18:",'ПО КОРИСНИЦИМА'!$H$8:$H$18203)</f>
        <v>0</v>
      </c>
      <c r="E151" s="684"/>
      <c r="F151" s="694" t="e">
        <f t="shared" si="4"/>
        <v>#DIV/0!</v>
      </c>
      <c r="G151" s="692">
        <f>SUMIF('ПО КОРИСНИЦИМА'!$G$8:$G$18203,"Свега за пројекат 1502-П18:",'ПО КОРИСНИЦИМА'!$K$8:$K$18203)</f>
        <v>0</v>
      </c>
      <c r="H151" s="690"/>
      <c r="I151" s="689"/>
      <c r="J151" s="688"/>
    </row>
    <row r="152" spans="1:10" hidden="1" x14ac:dyDescent="0.2">
      <c r="A152" s="236"/>
      <c r="B152" s="231" t="s">
        <v>4596</v>
      </c>
      <c r="C152" s="208" t="str">
        <f>IFERROR(VLOOKUP(B152,'ПО КОРИСНИЦИМА'!$C$8:$L$18203,5,FALSE),"")</f>
        <v/>
      </c>
      <c r="D152" s="265">
        <f>SUMIF('ПО КОРИСНИЦИМА'!$G$8:$G$18203,"Свега за пројекат 1502-П19:",'ПО КОРИСНИЦИМА'!$H$8:$H$18203)</f>
        <v>0</v>
      </c>
      <c r="E152" s="684"/>
      <c r="F152" s="694" t="e">
        <f t="shared" si="4"/>
        <v>#DIV/0!</v>
      </c>
      <c r="G152" s="692">
        <f>SUMIF('ПО КОРИСНИЦИМА'!$G$8:$G$18203,"Свега за пројекат 1502-П19:",'ПО КОРИСНИЦИМА'!$K$8:$K$18203)</f>
        <v>0</v>
      </c>
      <c r="H152" s="690"/>
      <c r="I152" s="689"/>
      <c r="J152" s="688"/>
    </row>
    <row r="153" spans="1:10" hidden="1" x14ac:dyDescent="0.2">
      <c r="A153" s="236"/>
      <c r="B153" s="231" t="s">
        <v>4597</v>
      </c>
      <c r="C153" s="208" t="str">
        <f>IFERROR(VLOOKUP(B153,'ПО КОРИСНИЦИМА'!$C$8:$L$18203,5,FALSE),"")</f>
        <v/>
      </c>
      <c r="D153" s="265">
        <f>SUMIF('ПО КОРИСНИЦИМА'!$G$8:$G$18203,"Свега за пројекат 1502-П20:",'ПО КОРИСНИЦИМА'!$H$8:$H$18203)</f>
        <v>0</v>
      </c>
      <c r="E153" s="684"/>
      <c r="F153" s="694" t="e">
        <f t="shared" si="4"/>
        <v>#DIV/0!</v>
      </c>
      <c r="G153" s="692">
        <f>SUMIF('ПО КОРИСНИЦИМА'!$G$8:$G$18203,"Свега за пројекат 1502-П20:",'ПО КОРИСНИЦИМА'!$K$8:$K$18203)</f>
        <v>0</v>
      </c>
      <c r="H153" s="690"/>
      <c r="I153" s="689"/>
      <c r="J153" s="688"/>
    </row>
    <row r="154" spans="1:10" hidden="1" x14ac:dyDescent="0.2">
      <c r="A154" s="236"/>
      <c r="B154" s="231" t="s">
        <v>4598</v>
      </c>
      <c r="C154" s="208" t="str">
        <f>IFERROR(VLOOKUP(B154,'ПО КОРИСНИЦИМА'!$C$8:$L$18203,5,FALSE),"")</f>
        <v/>
      </c>
      <c r="D154" s="265">
        <f>SUMIF('ПО КОРИСНИЦИМА'!$G$8:$G$18203,"Свега за пројекат 1502-П21:",'ПО КОРИСНИЦИМА'!$H$8:$H$18203)</f>
        <v>0</v>
      </c>
      <c r="E154" s="684"/>
      <c r="F154" s="694" t="e">
        <f t="shared" si="4"/>
        <v>#DIV/0!</v>
      </c>
      <c r="G154" s="692">
        <f>SUMIF('ПО КОРИСНИЦИМА'!$G$8:$G$18203,"Свега за пројекат 1502-П21:",'ПО КОРИСНИЦИМА'!$K$8:$K$18203)</f>
        <v>0</v>
      </c>
      <c r="H154" s="690"/>
      <c r="I154" s="689"/>
      <c r="J154" s="688"/>
    </row>
    <row r="155" spans="1:10" hidden="1" x14ac:dyDescent="0.2">
      <c r="A155" s="236"/>
      <c r="B155" s="231" t="s">
        <v>4599</v>
      </c>
      <c r="C155" s="208" t="str">
        <f>IFERROR(VLOOKUP(B155,'ПО КОРИСНИЦИМА'!$C$8:$L$18203,5,FALSE),"")</f>
        <v/>
      </c>
      <c r="D155" s="265">
        <f>SUMIF('ПО КОРИСНИЦИМА'!$G$8:$G$18203,"Свега за пројекат 1502-П22:",'ПО КОРИСНИЦИМА'!$H$8:$H$18203)</f>
        <v>0</v>
      </c>
      <c r="E155" s="684"/>
      <c r="F155" s="694" t="e">
        <f t="shared" si="4"/>
        <v>#DIV/0!</v>
      </c>
      <c r="G155" s="692">
        <f>SUMIF('ПО КОРИСНИЦИМА'!$G$8:$G$18203,"Свега за пројекат 1502-П22:",'ПО КОРИСНИЦИМА'!$K$8:$K$18203)</f>
        <v>0</v>
      </c>
      <c r="H155" s="690"/>
      <c r="I155" s="691"/>
      <c r="J155" s="688"/>
    </row>
    <row r="156" spans="1:10" hidden="1" x14ac:dyDescent="0.2">
      <c r="A156" s="236"/>
      <c r="B156" s="231" t="s">
        <v>4600</v>
      </c>
      <c r="C156" s="208" t="str">
        <f>IFERROR(VLOOKUP(B156,'ПО КОРИСНИЦИМА'!$C$8:$L$18203,5,FALSE),"")</f>
        <v/>
      </c>
      <c r="D156" s="265">
        <f>SUMIF('ПО КОРИСНИЦИМА'!$G$8:$G$18203,"Свега за пројекат 1502-П23:",'ПО КОРИСНИЦИМА'!$H$8:$H$18203)</f>
        <v>0</v>
      </c>
      <c r="E156" s="684"/>
      <c r="F156" s="694" t="e">
        <f t="shared" si="4"/>
        <v>#DIV/0!</v>
      </c>
      <c r="G156" s="692">
        <f>SUMIF('ПО КОРИСНИЦИМА'!$G$8:$G$18203,"Свега за пројекат 1502-П23:",'ПО КОРИСНИЦИМА'!$K$8:$K$18203)</f>
        <v>0</v>
      </c>
      <c r="H156" s="690"/>
      <c r="I156" s="691"/>
      <c r="J156" s="688"/>
    </row>
    <row r="157" spans="1:10" hidden="1" x14ac:dyDescent="0.2">
      <c r="A157" s="237"/>
      <c r="B157" s="231" t="s">
        <v>4601</v>
      </c>
      <c r="C157" s="208" t="str">
        <f>IFERROR(VLOOKUP(B157,'ПО КОРИСНИЦИМА'!$C$8:$L$18203,5,FALSE),"")</f>
        <v/>
      </c>
      <c r="D157" s="265">
        <f>SUMIF('ПО КОРИСНИЦИМА'!$G$8:$G$18203,"Свега за пројекат 1502-П24:",'ПО КОРИСНИЦИМА'!$H$8:$H$18203)</f>
        <v>0</v>
      </c>
      <c r="E157" s="684"/>
      <c r="F157" s="694" t="e">
        <f t="shared" si="4"/>
        <v>#DIV/0!</v>
      </c>
      <c r="G157" s="692">
        <f>SUMIF('ПО КОРИСНИЦИМА'!$G$8:$G$18203,"Свега за пројекат 1502-П24:",'ПО КОРИСНИЦИМА'!$K$8:$K$18203)</f>
        <v>0</v>
      </c>
      <c r="H157" s="690"/>
      <c r="I157" s="693"/>
      <c r="J157" s="688"/>
    </row>
    <row r="158" spans="1:10" s="234" customFormat="1" x14ac:dyDescent="0.2">
      <c r="A158" s="226" t="s">
        <v>3570</v>
      </c>
      <c r="B158" s="227"/>
      <c r="C158" s="206" t="s">
        <v>3669</v>
      </c>
      <c r="D158" s="253">
        <f>SUM(D159:D176)</f>
        <v>25200487</v>
      </c>
      <c r="E158" s="685">
        <f>SUM(E160)</f>
        <v>23252506.77</v>
      </c>
      <c r="F158" s="694">
        <f t="shared" si="4"/>
        <v>92.270069106204176</v>
      </c>
      <c r="G158" s="695">
        <f>SUM(G159:G176)</f>
        <v>0</v>
      </c>
      <c r="H158" s="696"/>
      <c r="I158" s="695"/>
      <c r="J158" s="770"/>
    </row>
    <row r="159" spans="1:10" hidden="1" x14ac:dyDescent="0.2">
      <c r="A159" s="229"/>
      <c r="B159" s="238" t="s">
        <v>4110</v>
      </c>
      <c r="C159" s="207" t="s">
        <v>4093</v>
      </c>
      <c r="D159" s="257">
        <f>SUMIF('ПО КОРИСНИЦИМА'!$G$8:$G$18203,"Свега за програмску активност 0101-0001:",'ПО КОРИСНИЦИМА'!$H$8:$H$18203)</f>
        <v>0</v>
      </c>
      <c r="E159" s="683"/>
      <c r="F159" s="694" t="e">
        <f t="shared" si="4"/>
        <v>#DIV/0!</v>
      </c>
      <c r="G159" s="686">
        <f>SUMIF('ПО КОРИСНИЦИМА'!$G$8:$G$18203,"Свега за програмску активност 0101-0001:",'ПО КОРИСНИЦИМА'!$K$8:$K$18203)</f>
        <v>0</v>
      </c>
      <c r="H159" s="687"/>
      <c r="I159" s="686"/>
      <c r="J159" s="688"/>
    </row>
    <row r="160" spans="1:10" x14ac:dyDescent="0.2">
      <c r="A160" s="231"/>
      <c r="B160" s="236" t="s">
        <v>4108</v>
      </c>
      <c r="C160" s="208" t="s">
        <v>4094</v>
      </c>
      <c r="D160" s="261">
        <f>SUMIF('ПО КОРИСНИЦИМА'!$G$8:$G$18203,"Свега за програмску активност 0101-0002:",'ПО КОРИСНИЦИМА'!$H$8:$H$18203)</f>
        <v>25200487</v>
      </c>
      <c r="E160" s="684">
        <f>SUM('ПО КОРИСНИЦИМА'!I8147)</f>
        <v>23252506.77</v>
      </c>
      <c r="F160" s="694">
        <f t="shared" si="4"/>
        <v>92.270069106204176</v>
      </c>
      <c r="G160" s="689">
        <f>SUMIF('ПО КОРИСНИЦИМА'!$G$8:$G$18203,"Свега за програмску активност 0101-0002:",'ПО КОРИСНИЦИМА'!$K$8:$K$18203)</f>
        <v>0</v>
      </c>
      <c r="H160" s="690"/>
      <c r="I160" s="691"/>
      <c r="J160" s="688"/>
    </row>
    <row r="161" spans="1:10" hidden="1" x14ac:dyDescent="0.2">
      <c r="A161" s="236"/>
      <c r="B161" s="239" t="s">
        <v>4602</v>
      </c>
      <c r="C161" s="208" t="str">
        <f>IFERROR(VLOOKUP(B161,'ПО КОРИСНИЦИМА'!$C$8:$L$18203,5,FALSE),"")</f>
        <v xml:space="preserve">Набавка стеоних јуница </v>
      </c>
      <c r="D161" s="265">
        <f>SUMIF('ПО КОРИСНИЦИМА'!$G$8:$G$18203,"Свега за пројекат 0101-П1:",'ПО КОРИСНИЦИМА'!$H$8:$H$18203)</f>
        <v>0</v>
      </c>
      <c r="E161" s="684"/>
      <c r="F161" s="694" t="e">
        <f t="shared" si="4"/>
        <v>#DIV/0!</v>
      </c>
      <c r="G161" s="692">
        <f>SUMIF('ПО КОРИСНИЦИМА'!$G$8:$G$18203,"Свега за пројекат 1502-П1:",'ПО КОРИСНИЦИМА'!$K$8:$K$18203)</f>
        <v>0</v>
      </c>
      <c r="H161" s="690"/>
      <c r="I161" s="691"/>
      <c r="J161" s="688"/>
    </row>
    <row r="162" spans="1:10" hidden="1" x14ac:dyDescent="0.2">
      <c r="A162" s="236"/>
      <c r="B162" s="239" t="s">
        <v>4603</v>
      </c>
      <c r="C162" s="208" t="str">
        <f>IFERROR(VLOOKUP(B162,'ПО КОРИСНИЦИМА'!$C$8:$L$18203,5,FALSE),"")</f>
        <v/>
      </c>
      <c r="D162" s="265">
        <f>SUMIF('ПО КОРИСНИЦИМА'!$G$8:$G$18203,"Свега за пројекат 0101-П2:",'ПО КОРИСНИЦИМА'!$H$8:$H$18203)</f>
        <v>0</v>
      </c>
      <c r="E162" s="684"/>
      <c r="F162" s="694" t="e">
        <f t="shared" si="4"/>
        <v>#DIV/0!</v>
      </c>
      <c r="G162" s="692">
        <f>SUMIF('ПО КОРИСНИЦИМА'!$G$8:$G$18203,"Свега за пројекат 0101-П2:",'ПО КОРИСНИЦИМА'!$K$8:$K$18203)</f>
        <v>0</v>
      </c>
      <c r="H162" s="690"/>
      <c r="I162" s="689"/>
      <c r="J162" s="688"/>
    </row>
    <row r="163" spans="1:10" hidden="1" x14ac:dyDescent="0.2">
      <c r="A163" s="236"/>
      <c r="B163" s="239" t="s">
        <v>4604</v>
      </c>
      <c r="C163" s="208" t="str">
        <f>IFERROR(VLOOKUP(B163,'ПО КОРИСНИЦИМА'!$C$8:$L$18203,5,FALSE),"")</f>
        <v/>
      </c>
      <c r="D163" s="265">
        <f>SUMIF('ПО КОРИСНИЦИМА'!$G$8:$G$18203,"Свега за пројекат 0101-П3:",'ПО КОРИСНИЦИМА'!$H$8:$H$18203)</f>
        <v>0</v>
      </c>
      <c r="E163" s="684"/>
      <c r="F163" s="694" t="e">
        <f t="shared" si="4"/>
        <v>#DIV/0!</v>
      </c>
      <c r="G163" s="692">
        <f>SUMIF('ПО КОРИСНИЦИМА'!$G$8:$G$18203,"Свега за пројекат 0101-П3:",'ПО КОРИСНИЦИМА'!$K$8:$K$18203)</f>
        <v>0</v>
      </c>
      <c r="H163" s="690"/>
      <c r="I163" s="689"/>
      <c r="J163" s="688"/>
    </row>
    <row r="164" spans="1:10" hidden="1" x14ac:dyDescent="0.2">
      <c r="A164" s="236"/>
      <c r="B164" s="239" t="s">
        <v>4605</v>
      </c>
      <c r="C164" s="208" t="str">
        <f>IFERROR(VLOOKUP(B164,'ПО КОРИСНИЦИМА'!$C$8:$L$18203,5,FALSE),"")</f>
        <v/>
      </c>
      <c r="D164" s="265">
        <f>SUMIF('ПО КОРИСНИЦИМА'!$G$8:$G$18203,"Свега за пројекат 0101-П4:",'ПО КОРИСНИЦИМА'!$H$8:$H$18203)</f>
        <v>0</v>
      </c>
      <c r="E164" s="684"/>
      <c r="F164" s="694" t="e">
        <f t="shared" si="4"/>
        <v>#DIV/0!</v>
      </c>
      <c r="G164" s="692">
        <f>SUMIF('ПО КОРИСНИЦИМА'!$G$8:$G$18203,"Свега за пројекат 0101-П4:",'ПО КОРИСНИЦИМА'!$K$8:$K$18203)</f>
        <v>0</v>
      </c>
      <c r="H164" s="690"/>
      <c r="I164" s="689"/>
      <c r="J164" s="688"/>
    </row>
    <row r="165" spans="1:10" hidden="1" x14ac:dyDescent="0.2">
      <c r="A165" s="236"/>
      <c r="B165" s="239" t="s">
        <v>4606</v>
      </c>
      <c r="C165" s="208" t="str">
        <f>IFERROR(VLOOKUP(B165,'ПО КОРИСНИЦИМА'!$C$8:$L$18203,5,FALSE),"")</f>
        <v/>
      </c>
      <c r="D165" s="265">
        <f>SUMIF('ПО КОРИСНИЦИМА'!$G$8:$G$18203,"Свега за пројекат 0101-П5:",'ПО КОРИСНИЦИМА'!$H$8:$H$18203)</f>
        <v>0</v>
      </c>
      <c r="E165" s="684"/>
      <c r="F165" s="694" t="e">
        <f t="shared" ref="F165:F228" si="6">SUM(E165/D165)*100</f>
        <v>#DIV/0!</v>
      </c>
      <c r="G165" s="692">
        <f>SUMIF('ПО КОРИСНИЦИМА'!$G$8:$G$18203,"Свега за пројекат 0101-П5:",'ПО КОРИСНИЦИМА'!$K$8:$K$18203)</f>
        <v>0</v>
      </c>
      <c r="H165" s="690"/>
      <c r="I165" s="689"/>
      <c r="J165" s="688"/>
    </row>
    <row r="166" spans="1:10" hidden="1" x14ac:dyDescent="0.2">
      <c r="A166" s="236"/>
      <c r="B166" s="239" t="s">
        <v>4607</v>
      </c>
      <c r="C166" s="208" t="str">
        <f>IFERROR(VLOOKUP(B166,'ПО КОРИСНИЦИМА'!$C$8:$L$18203,5,FALSE),"")</f>
        <v/>
      </c>
      <c r="D166" s="265">
        <f>SUMIF('ПО КОРИСНИЦИМА'!$G$8:$G$18203,"Свега за пројекат 0101-П6:",'ПО КОРИСНИЦИМА'!$H$8:$H$18203)</f>
        <v>0</v>
      </c>
      <c r="E166" s="684"/>
      <c r="F166" s="694" t="e">
        <f t="shared" si="6"/>
        <v>#DIV/0!</v>
      </c>
      <c r="G166" s="692">
        <f>SUMIF('ПО КОРИСНИЦИМА'!$G$8:$G$18203,"Свега за пројекат 0101-П6:",'ПО КОРИСНИЦИМА'!$K$8:$K$18203)</f>
        <v>0</v>
      </c>
      <c r="H166" s="690"/>
      <c r="I166" s="689"/>
      <c r="J166" s="688"/>
    </row>
    <row r="167" spans="1:10" hidden="1" x14ac:dyDescent="0.2">
      <c r="A167" s="236"/>
      <c r="B167" s="239" t="s">
        <v>4608</v>
      </c>
      <c r="C167" s="208" t="str">
        <f>IFERROR(VLOOKUP(B167,'ПО КОРИСНИЦИМА'!$C$8:$L$18203,5,FALSE),"")</f>
        <v/>
      </c>
      <c r="D167" s="265">
        <f>SUMIF('ПО КОРИСНИЦИМА'!$G$8:$G$18203,"Свега за пројекат 0101-П7:",'ПО КОРИСНИЦИМА'!$H$8:$H$18203)</f>
        <v>0</v>
      </c>
      <c r="E167" s="684"/>
      <c r="F167" s="694" t="e">
        <f t="shared" si="6"/>
        <v>#DIV/0!</v>
      </c>
      <c r="G167" s="692">
        <f>SUMIF('ПО КОРИСНИЦИМА'!$G$8:$G$18203,"Свега за пројекат 0101-П7:",'ПО КОРИСНИЦИМА'!$K$8:$K$18203)</f>
        <v>0</v>
      </c>
      <c r="H167" s="690"/>
      <c r="I167" s="689"/>
      <c r="J167" s="688"/>
    </row>
    <row r="168" spans="1:10" hidden="1" x14ac:dyDescent="0.2">
      <c r="A168" s="236"/>
      <c r="B168" s="239" t="s">
        <v>4609</v>
      </c>
      <c r="C168" s="208" t="str">
        <f>IFERROR(VLOOKUP(B168,'ПО КОРИСНИЦИМА'!$C$8:$L$18203,5,FALSE),"")</f>
        <v/>
      </c>
      <c r="D168" s="265">
        <f>SUMIF('ПО КОРИСНИЦИМА'!$G$8:$G$18203,"Свега за пројекат 0101-П8:",'ПО КОРИСНИЦИМА'!$H$8:$H$18203)</f>
        <v>0</v>
      </c>
      <c r="E168" s="684"/>
      <c r="F168" s="694" t="e">
        <f t="shared" si="6"/>
        <v>#DIV/0!</v>
      </c>
      <c r="G168" s="692">
        <f>SUMIF('ПО КОРИСНИЦИМА'!$G$8:$G$18203,"Свега за пројекат 0101-П8:",'ПО КОРИСНИЦИМА'!$K$8:$K$18203)</f>
        <v>0</v>
      </c>
      <c r="H168" s="690"/>
      <c r="I168" s="689"/>
      <c r="J168" s="688"/>
    </row>
    <row r="169" spans="1:10" hidden="1" x14ac:dyDescent="0.2">
      <c r="A169" s="236"/>
      <c r="B169" s="239" t="s">
        <v>4610</v>
      </c>
      <c r="C169" s="208" t="str">
        <f>IFERROR(VLOOKUP(B169,'ПО КОРИСНИЦИМА'!$C$8:$L$18203,5,FALSE),"")</f>
        <v/>
      </c>
      <c r="D169" s="265">
        <f>SUMIF('ПО КОРИСНИЦИМА'!$G$8:$G$18203,"Свега за пројекат 0101-П9:",'ПО КОРИСНИЦИМА'!$H$8:$H$18203)</f>
        <v>0</v>
      </c>
      <c r="E169" s="684"/>
      <c r="F169" s="694" t="e">
        <f t="shared" si="6"/>
        <v>#DIV/0!</v>
      </c>
      <c r="G169" s="692">
        <f>SUMIF('ПО КОРИСНИЦИМА'!$G$8:$G$18203,"Свега за пројекат 0101-П9:",'ПО КОРИСНИЦИМА'!$K$8:$K$18203)</f>
        <v>0</v>
      </c>
      <c r="H169" s="690"/>
      <c r="I169" s="689"/>
      <c r="J169" s="688"/>
    </row>
    <row r="170" spans="1:10" hidden="1" x14ac:dyDescent="0.2">
      <c r="A170" s="236"/>
      <c r="B170" s="239" t="s">
        <v>4611</v>
      </c>
      <c r="C170" s="208" t="str">
        <f>IFERROR(VLOOKUP(B170,'ПО КОРИСНИЦИМА'!$C$8:$L$18203,5,FALSE),"")</f>
        <v/>
      </c>
      <c r="D170" s="265">
        <f>SUMIF('ПО КОРИСНИЦИМА'!$G$8:$G$18203,"Свега за пројекат 0101-П10:",'ПО КОРИСНИЦИМА'!$H$8:$H$18203)</f>
        <v>0</v>
      </c>
      <c r="E170" s="684"/>
      <c r="F170" s="694" t="e">
        <f t="shared" si="6"/>
        <v>#DIV/0!</v>
      </c>
      <c r="G170" s="692">
        <f>SUMIF('ПО КОРИСНИЦИМА'!$G$8:$G$18203,"Свега за пројекат 0101-П10:",'ПО КОРИСНИЦИМА'!$K$8:$K$18203)</f>
        <v>0</v>
      </c>
      <c r="H170" s="690"/>
      <c r="I170" s="689"/>
      <c r="J170" s="688"/>
    </row>
    <row r="171" spans="1:10" hidden="1" x14ac:dyDescent="0.2">
      <c r="A171" s="236"/>
      <c r="B171" s="239" t="s">
        <v>4612</v>
      </c>
      <c r="C171" s="208" t="str">
        <f>IFERROR(VLOOKUP(B171,'ПО КОРИСНИЦИМА'!$C$8:$L$18203,5,FALSE),"")</f>
        <v/>
      </c>
      <c r="D171" s="265">
        <f>SUMIF('ПО КОРИСНИЦИМА'!$G$8:$G$18203,"Свега за пројекат 0101-П11:",'ПО КОРИСНИЦИМА'!$H$8:$H$18203)</f>
        <v>0</v>
      </c>
      <c r="E171" s="684"/>
      <c r="F171" s="694" t="e">
        <f t="shared" si="6"/>
        <v>#DIV/0!</v>
      </c>
      <c r="G171" s="692">
        <f>SUMIF('ПО КОРИСНИЦИМА'!$G$8:$G$18203,"Свега за пројекат 0101-П11:",'ПО КОРИСНИЦИМА'!$K$8:$K$18203)</f>
        <v>0</v>
      </c>
      <c r="H171" s="690"/>
      <c r="I171" s="689"/>
      <c r="J171" s="688"/>
    </row>
    <row r="172" spans="1:10" hidden="1" x14ac:dyDescent="0.2">
      <c r="A172" s="236"/>
      <c r="B172" s="239" t="s">
        <v>4613</v>
      </c>
      <c r="C172" s="208" t="str">
        <f>IFERROR(VLOOKUP(B172,'ПО КОРИСНИЦИМА'!$C$8:$L$18203,5,FALSE),"")</f>
        <v/>
      </c>
      <c r="D172" s="265">
        <f>SUMIF('ПО КОРИСНИЦИМА'!$G$8:$G$18203,"Свега за пројекат 0101-П12:",'ПО КОРИСНИЦИМА'!$H$8:$H$18203)</f>
        <v>0</v>
      </c>
      <c r="E172" s="684"/>
      <c r="F172" s="694" t="e">
        <f t="shared" si="6"/>
        <v>#DIV/0!</v>
      </c>
      <c r="G172" s="692">
        <f>SUMIF('ПО КОРИСНИЦИМА'!$G$8:$G$18203,"Свега за пројекат 0101-П12:",'ПО КОРИСНИЦИМА'!$K$8:$K$18203)</f>
        <v>0</v>
      </c>
      <c r="H172" s="690"/>
      <c r="I172" s="689"/>
      <c r="J172" s="688"/>
    </row>
    <row r="173" spans="1:10" hidden="1" x14ac:dyDescent="0.2">
      <c r="A173" s="236"/>
      <c r="B173" s="239" t="s">
        <v>4614</v>
      </c>
      <c r="C173" s="208" t="str">
        <f>IFERROR(VLOOKUP(B173,'ПО КОРИСНИЦИМА'!$C$8:$L$18203,5,FALSE),"")</f>
        <v/>
      </c>
      <c r="D173" s="265">
        <f>SUMIF('ПО КОРИСНИЦИМА'!$G$8:$G$18203,"Свега за пројекат 0101-П13:",'ПО КОРИСНИЦИМА'!$H$8:$H$18203)</f>
        <v>0</v>
      </c>
      <c r="E173" s="684"/>
      <c r="F173" s="694" t="e">
        <f t="shared" si="6"/>
        <v>#DIV/0!</v>
      </c>
      <c r="G173" s="692">
        <f>SUMIF('ПО КОРИСНИЦИМА'!$G$8:$G$18203,"Свега за пројекат 0101-П13:",'ПО КОРИСНИЦИМА'!$K$8:$K$18203)</f>
        <v>0</v>
      </c>
      <c r="H173" s="690"/>
      <c r="I173" s="689"/>
      <c r="J173" s="688"/>
    </row>
    <row r="174" spans="1:10" hidden="1" x14ac:dyDescent="0.2">
      <c r="A174" s="236"/>
      <c r="B174" s="239" t="s">
        <v>4615</v>
      </c>
      <c r="C174" s="208" t="str">
        <f>IFERROR(VLOOKUP(B174,'ПО КОРИСНИЦИМА'!$C$8:$L$18203,5,FALSE),"")</f>
        <v/>
      </c>
      <c r="D174" s="265">
        <f>SUMIF('ПО КОРИСНИЦИМА'!$G$8:$G$18203,"Свега за пројекат 0101-П14:",'ПО КОРИСНИЦИМА'!$H$8:$H$18203)</f>
        <v>0</v>
      </c>
      <c r="E174" s="684"/>
      <c r="F174" s="694" t="e">
        <f t="shared" si="6"/>
        <v>#DIV/0!</v>
      </c>
      <c r="G174" s="692">
        <f>SUMIF('ПО КОРИСНИЦИМА'!$G$8:$G$18203,"Свега за пројекат 0101-П14:",'ПО КОРИСНИЦИМА'!$K$8:$K$18203)</f>
        <v>0</v>
      </c>
      <c r="H174" s="690"/>
      <c r="I174" s="691"/>
      <c r="J174" s="688"/>
    </row>
    <row r="175" spans="1:10" hidden="1" x14ac:dyDescent="0.2">
      <c r="A175" s="236"/>
      <c r="B175" s="239" t="s">
        <v>4616</v>
      </c>
      <c r="C175" s="208" t="str">
        <f>IFERROR(VLOOKUP(B175,'ПО КОРИСНИЦИМА'!$C$8:$L$18203,5,FALSE),"")</f>
        <v/>
      </c>
      <c r="D175" s="265">
        <f>SUMIF('ПО КОРИСНИЦИМА'!$G$8:$G$18203,"Свега за пројекат 0101-П15:",'ПО КОРИСНИЦИМА'!$H$8:$H$18203)</f>
        <v>0</v>
      </c>
      <c r="E175" s="684"/>
      <c r="F175" s="694" t="e">
        <f t="shared" si="6"/>
        <v>#DIV/0!</v>
      </c>
      <c r="G175" s="692">
        <f>SUMIF('ПО КОРИСНИЦИМА'!$G$8:$G$18203,"Свега за пројекат 0101-П15:",'ПО КОРИСНИЦИМА'!$K$8:$K$18203)</f>
        <v>0</v>
      </c>
      <c r="H175" s="690"/>
      <c r="I175" s="691"/>
      <c r="J175" s="688"/>
    </row>
    <row r="176" spans="1:10" hidden="1" x14ac:dyDescent="0.2">
      <c r="A176" s="237"/>
      <c r="B176" s="239" t="s">
        <v>4617</v>
      </c>
      <c r="C176" s="208" t="str">
        <f>IFERROR(VLOOKUP(B176,'ПО КОРИСНИЦИМА'!$C$8:$L$18203,5,FALSE),"")</f>
        <v/>
      </c>
      <c r="D176" s="265">
        <f>SUMIF('ПО КОРИСНИЦИМА'!$G$8:$G$18203,"Свега за пројекат 0101-П16:",'ПО КОРИСНИЦИМА'!$H$8:$H$18203)</f>
        <v>0</v>
      </c>
      <c r="E176" s="684"/>
      <c r="F176" s="694" t="e">
        <f t="shared" si="6"/>
        <v>#DIV/0!</v>
      </c>
      <c r="G176" s="692">
        <f>SUMIF('ПО КОРИСНИЦИМА'!$G$8:$G$18203,"Свега за пројекат 0101-П16:",'ПО КОРИСНИЦИМА'!$K$8:$K$18203)</f>
        <v>0</v>
      </c>
      <c r="H176" s="690"/>
      <c r="I176" s="693"/>
      <c r="J176" s="688"/>
    </row>
    <row r="177" spans="1:10" s="234" customFormat="1" x14ac:dyDescent="0.2">
      <c r="A177" s="226" t="s">
        <v>3573</v>
      </c>
      <c r="B177" s="227"/>
      <c r="C177" s="206" t="s">
        <v>3670</v>
      </c>
      <c r="D177" s="253">
        <f>SUM(D178:D196)</f>
        <v>4649049</v>
      </c>
      <c r="E177" s="685">
        <f>SUM(E179:E182)</f>
        <v>1548472.9100000001</v>
      </c>
      <c r="F177" s="694">
        <f t="shared" si="6"/>
        <v>33.307304569171031</v>
      </c>
      <c r="G177" s="695">
        <f>SUM(G178:G196)</f>
        <v>0</v>
      </c>
      <c r="H177" s="696"/>
      <c r="I177" s="695"/>
      <c r="J177" s="770"/>
    </row>
    <row r="178" spans="1:10" hidden="1" x14ac:dyDescent="0.2">
      <c r="A178" s="229"/>
      <c r="B178" s="192" t="s">
        <v>4095</v>
      </c>
      <c r="C178" s="209" t="s">
        <v>4096</v>
      </c>
      <c r="D178" s="257">
        <f>SUMIF('ПО КОРИСНИЦИМА'!$G$8:$G$18203,"Свега за програмску активност 0401-0001:",'ПО КОРИСНИЦИМА'!$H$8:$H$18203)</f>
        <v>0</v>
      </c>
      <c r="E178" s="683"/>
      <c r="F178" s="694" t="e">
        <f t="shared" si="6"/>
        <v>#DIV/0!</v>
      </c>
      <c r="G178" s="686">
        <f>SUMIF('ПО КОРИСНИЦИМА'!$G$8:$G$18203,"Свега за програмску активност 0401-0001:",'ПО КОРИСНИЦИМА'!$K$8:$K$18203)</f>
        <v>0</v>
      </c>
      <c r="H178" s="687"/>
      <c r="I178" s="686"/>
      <c r="J178" s="688"/>
    </row>
    <row r="179" spans="1:10" x14ac:dyDescent="0.2">
      <c r="A179" s="231"/>
      <c r="B179" s="85" t="s">
        <v>4097</v>
      </c>
      <c r="C179" s="210" t="s">
        <v>4098</v>
      </c>
      <c r="D179" s="261">
        <f>SUMIF('ПО КОРИСНИЦИМА'!$G$8:$G$18203,"Свега за програмску активност 0401-0002:",'ПО КОРИСНИЦИМА'!$H$8:$H$18203)</f>
        <v>3849049</v>
      </c>
      <c r="E179" s="684">
        <f>SUM('ПО КОРИСНИЦИМА'!I8606)</f>
        <v>1548472.9100000001</v>
      </c>
      <c r="F179" s="694">
        <f t="shared" si="6"/>
        <v>40.23001292007455</v>
      </c>
      <c r="G179" s="689">
        <f>SUMIF('ПО КОРИСНИЦИМА'!$G$8:$G$18203,"Свега за програмску активност 0401-0002:",'ПО КОРИСНИЦИМА'!$K$8:$K$18203)</f>
        <v>0</v>
      </c>
      <c r="H179" s="690"/>
      <c r="I179" s="691"/>
      <c r="J179" s="688"/>
    </row>
    <row r="180" spans="1:10" hidden="1" x14ac:dyDescent="0.2">
      <c r="A180" s="231"/>
      <c r="B180" s="85" t="s">
        <v>4099</v>
      </c>
      <c r="C180" s="210" t="s">
        <v>4100</v>
      </c>
      <c r="D180" s="261">
        <f>SUMIF('ПО КОРИСНИЦИМА'!$G$8:$G$18203,"Свега за програмску активност 0401-0003:",'ПО КОРИСНИЦИМА'!$H$8:$H$18203)</f>
        <v>0</v>
      </c>
      <c r="E180" s="684"/>
      <c r="F180" s="694" t="e">
        <f t="shared" si="6"/>
        <v>#DIV/0!</v>
      </c>
      <c r="G180" s="689">
        <f>SUMIF('ПО КОРИСНИЦИМА'!$G$8:$G$18203,"Свега за програмску активност 0401-0003:",'ПО КОРИСНИЦИМА'!$K$8:$K$18203)</f>
        <v>0</v>
      </c>
      <c r="H180" s="690"/>
      <c r="I180" s="691"/>
      <c r="J180" s="688"/>
    </row>
    <row r="181" spans="1:10" hidden="1" x14ac:dyDescent="0.2">
      <c r="A181" s="231"/>
      <c r="B181" s="85" t="s">
        <v>4101</v>
      </c>
      <c r="C181" s="210" t="s">
        <v>4102</v>
      </c>
      <c r="D181" s="261">
        <f>SUMIF('ПО КОРИСНИЦИМА'!$G$8:$G$18203,"Свега за програмску активност 0401-0004:",'ПО КОРИСНИЦИМА'!$H$8:$H$18203)</f>
        <v>0</v>
      </c>
      <c r="E181" s="684"/>
      <c r="F181" s="694" t="e">
        <f t="shared" si="6"/>
        <v>#DIV/0!</v>
      </c>
      <c r="G181" s="689">
        <f>SUMIF('ПО КОРИСНИЦИМА'!$G$8:$G$18203,"Свега за програмску активност 0401-0004:",'ПО КОРИСНИЦИМА'!$K$8:$K$18203)</f>
        <v>0</v>
      </c>
      <c r="H181" s="690"/>
      <c r="I181" s="691"/>
      <c r="J181" s="688"/>
    </row>
    <row r="182" spans="1:10" x14ac:dyDescent="0.2">
      <c r="A182" s="231"/>
      <c r="B182" s="85" t="s">
        <v>4618</v>
      </c>
      <c r="C182" s="208" t="str">
        <f>IFERROR(VLOOKUP(B182,'ПО КОРИСНИЦИМА'!$C$8:$L$18203,5,FALSE),"")</f>
        <v>Набавка контејнера</v>
      </c>
      <c r="D182" s="265">
        <v>800000</v>
      </c>
      <c r="E182" s="684">
        <v>0</v>
      </c>
      <c r="F182" s="694">
        <f t="shared" si="6"/>
        <v>0</v>
      </c>
      <c r="G182" s="692">
        <f>SUMIF('ПО КОРИСНИЦИМА'!$G$8:$G$18203,"Свега за пројекат 0401-П1:",'ПО КОРИСНИЦИМА'!$K$8:$K$18203)</f>
        <v>0</v>
      </c>
      <c r="H182" s="690"/>
      <c r="I182" s="691"/>
      <c r="J182" s="688"/>
    </row>
    <row r="183" spans="1:10" hidden="1" x14ac:dyDescent="0.2">
      <c r="A183" s="231"/>
      <c r="B183" s="85" t="s">
        <v>4619</v>
      </c>
      <c r="C183" s="208" t="str">
        <f>IFERROR(VLOOKUP(B183,'ПО КОРИСНИЦИМА'!$C$8:$L$18203,5,FALSE),"")</f>
        <v/>
      </c>
      <c r="D183" s="265">
        <f>SUMIF('ПО КОРИСНИЦИМА'!$G$8:$G$18203,"Свега за пројекат 0401-П2:",'ПО КОРИСНИЦИМА'!$H$8:$H$18203)</f>
        <v>0</v>
      </c>
      <c r="E183" s="684"/>
      <c r="F183" s="694" t="e">
        <f t="shared" si="6"/>
        <v>#DIV/0!</v>
      </c>
      <c r="G183" s="692">
        <f>SUMIF('ПО КОРИСНИЦИМА'!$G$8:$G$18203,"Свега за пројекат 0401-П2:",'ПО КОРИСНИЦИМА'!$K$8:$K$18203)</f>
        <v>0</v>
      </c>
      <c r="H183" s="690"/>
      <c r="I183" s="691"/>
      <c r="J183" s="688" t="e">
        <f t="shared" ref="J183:J199" si="7">SUM(H183/G183)*100</f>
        <v>#DIV/0!</v>
      </c>
    </row>
    <row r="184" spans="1:10" hidden="1" x14ac:dyDescent="0.2">
      <c r="A184" s="231"/>
      <c r="B184" s="85" t="s">
        <v>4620</v>
      </c>
      <c r="C184" s="208" t="str">
        <f>IFERROR(VLOOKUP(B184,'ПО КОРИСНИЦИМА'!$C$8:$L$18203,5,FALSE),"")</f>
        <v/>
      </c>
      <c r="D184" s="265">
        <f>SUMIF('ПО КОРИСНИЦИМА'!$G$8:$G$18203,"Свега за пројекат 0401-П3:",'ПО КОРИСНИЦИМА'!$H$8:$H$18203)</f>
        <v>0</v>
      </c>
      <c r="E184" s="684"/>
      <c r="F184" s="694" t="e">
        <f t="shared" si="6"/>
        <v>#DIV/0!</v>
      </c>
      <c r="G184" s="692">
        <f>SUMIF('ПО КОРИСНИЦИМА'!$G$8:$G$18203,"Свега за пројекат 0401-П3:",'ПО КОРИСНИЦИМА'!$K$8:$K$18203)</f>
        <v>0</v>
      </c>
      <c r="H184" s="690"/>
      <c r="I184" s="691"/>
      <c r="J184" s="688" t="e">
        <f t="shared" si="7"/>
        <v>#DIV/0!</v>
      </c>
    </row>
    <row r="185" spans="1:10" hidden="1" x14ac:dyDescent="0.2">
      <c r="A185" s="231"/>
      <c r="B185" s="85" t="s">
        <v>4621</v>
      </c>
      <c r="C185" s="208" t="str">
        <f>IFERROR(VLOOKUP(B185,'ПО КОРИСНИЦИМА'!$C$8:$L$18203,5,FALSE),"")</f>
        <v/>
      </c>
      <c r="D185" s="265">
        <f>SUMIF('ПО КОРИСНИЦИМА'!$G$8:$G$18203,"Свега за пројекат 0401-П4:",'ПО КОРИСНИЦИМА'!$H$8:$H$18203)</f>
        <v>0</v>
      </c>
      <c r="E185" s="684"/>
      <c r="F185" s="694" t="e">
        <f t="shared" si="6"/>
        <v>#DIV/0!</v>
      </c>
      <c r="G185" s="692">
        <f>SUMIF('ПО КОРИСНИЦИМА'!$G$8:$G$18203,"Свега за пројекат 0401-П4:",'ПО КОРИСНИЦИМА'!$K$8:$K$18203)</f>
        <v>0</v>
      </c>
      <c r="H185" s="690"/>
      <c r="I185" s="689"/>
      <c r="J185" s="688" t="e">
        <f t="shared" si="7"/>
        <v>#DIV/0!</v>
      </c>
    </row>
    <row r="186" spans="1:10" hidden="1" x14ac:dyDescent="0.2">
      <c r="A186" s="231"/>
      <c r="B186" s="85" t="s">
        <v>4622</v>
      </c>
      <c r="C186" s="208" t="str">
        <f>IFERROR(VLOOKUP(B186,'ПО КОРИСНИЦИМА'!$C$8:$L$18203,5,FALSE),"")</f>
        <v/>
      </c>
      <c r="D186" s="265"/>
      <c r="E186" s="684"/>
      <c r="F186" s="694" t="e">
        <f t="shared" si="6"/>
        <v>#DIV/0!</v>
      </c>
      <c r="G186" s="692">
        <f>SUMIF('ПО КОРИСНИЦИМА'!$G$8:$G$18203,"Свега за пројекат 0401-П5:",'ПО КОРИСНИЦИМА'!$K$8:$K$18203)</f>
        <v>0</v>
      </c>
      <c r="H186" s="690"/>
      <c r="I186" s="689"/>
      <c r="J186" s="688" t="e">
        <f t="shared" si="7"/>
        <v>#DIV/0!</v>
      </c>
    </row>
    <row r="187" spans="1:10" hidden="1" x14ac:dyDescent="0.2">
      <c r="A187" s="231"/>
      <c r="B187" s="85" t="s">
        <v>4623</v>
      </c>
      <c r="C187" s="208" t="str">
        <f>IFERROR(VLOOKUP(B187,'ПО КОРИСНИЦИМА'!$C$8:$L$18203,5,FALSE),"")</f>
        <v/>
      </c>
      <c r="D187" s="265">
        <f>SUMIF('ПО КОРИСНИЦИМА'!$G$8:$G$18203,"Свега за пројекат 0401-П6:",'ПО КОРИСНИЦИМА'!$H$8:$H$18203)</f>
        <v>0</v>
      </c>
      <c r="E187" s="684"/>
      <c r="F187" s="694" t="e">
        <f t="shared" si="6"/>
        <v>#DIV/0!</v>
      </c>
      <c r="G187" s="692">
        <f>SUMIF('ПО КОРИСНИЦИМА'!$G$8:$G$18203,"Свега за пројекат 0401-П6:",'ПО КОРИСНИЦИМА'!$K$8:$K$18203)</f>
        <v>0</v>
      </c>
      <c r="H187" s="690"/>
      <c r="I187" s="689"/>
      <c r="J187" s="688" t="e">
        <f t="shared" si="7"/>
        <v>#DIV/0!</v>
      </c>
    </row>
    <row r="188" spans="1:10" hidden="1" x14ac:dyDescent="0.2">
      <c r="A188" s="231"/>
      <c r="B188" s="85" t="s">
        <v>4624</v>
      </c>
      <c r="C188" s="208" t="str">
        <f>IFERROR(VLOOKUP(B188,'ПО КОРИСНИЦИМА'!$C$8:$L$18203,5,FALSE),"")</f>
        <v/>
      </c>
      <c r="D188" s="265">
        <f>SUMIF('ПО КОРИСНИЦИМА'!$G$8:$G$18203,"Свега за пројекат 0401-П7:",'ПО КОРИСНИЦИМА'!$H$8:$H$18203)</f>
        <v>0</v>
      </c>
      <c r="E188" s="684"/>
      <c r="F188" s="694" t="e">
        <f t="shared" si="6"/>
        <v>#DIV/0!</v>
      </c>
      <c r="G188" s="692">
        <f>SUMIF('ПО КОРИСНИЦИМА'!$G$8:$G$18203,"Свега за пројекат 0401-П7:",'ПО КОРИСНИЦИМА'!$K$8:$K$18203)</f>
        <v>0</v>
      </c>
      <c r="H188" s="690"/>
      <c r="I188" s="689"/>
      <c r="J188" s="688" t="e">
        <f t="shared" si="7"/>
        <v>#DIV/0!</v>
      </c>
    </row>
    <row r="189" spans="1:10" hidden="1" x14ac:dyDescent="0.2">
      <c r="A189" s="231"/>
      <c r="B189" s="85" t="s">
        <v>4625</v>
      </c>
      <c r="C189" s="208" t="str">
        <f>IFERROR(VLOOKUP(B189,'ПО КОРИСНИЦИМА'!$C$8:$L$18203,5,FALSE),"")</f>
        <v/>
      </c>
      <c r="D189" s="265">
        <f>SUMIF('ПО КОРИСНИЦИМА'!$G$8:$G$18203,"Свега за пројекат 0401-П8:",'ПО КОРИСНИЦИМА'!$H$8:$H$18203)</f>
        <v>0</v>
      </c>
      <c r="E189" s="684"/>
      <c r="F189" s="694" t="e">
        <f t="shared" si="6"/>
        <v>#DIV/0!</v>
      </c>
      <c r="G189" s="692">
        <f>SUMIF('ПО КОРИСНИЦИМА'!$G$8:$G$18203,"Свега за пројекат 0401-П8:",'ПО КОРИСНИЦИМА'!$K$8:$K$18203)</f>
        <v>0</v>
      </c>
      <c r="H189" s="690"/>
      <c r="I189" s="689"/>
      <c r="J189" s="688" t="e">
        <f t="shared" si="7"/>
        <v>#DIV/0!</v>
      </c>
    </row>
    <row r="190" spans="1:10" hidden="1" x14ac:dyDescent="0.2">
      <c r="A190" s="231"/>
      <c r="B190" s="85" t="s">
        <v>4626</v>
      </c>
      <c r="C190" s="208" t="str">
        <f>IFERROR(VLOOKUP(B190,'ПО КОРИСНИЦИМА'!$C$8:$L$18203,5,FALSE),"")</f>
        <v/>
      </c>
      <c r="D190" s="265">
        <f>SUMIF('ПО КОРИСНИЦИМА'!$G$8:$G$18203,"Свега за пројекат 0401-П9:",'ПО КОРИСНИЦИМА'!$H$8:$H$18203)</f>
        <v>0</v>
      </c>
      <c r="E190" s="684"/>
      <c r="F190" s="694" t="e">
        <f t="shared" si="6"/>
        <v>#DIV/0!</v>
      </c>
      <c r="G190" s="692">
        <f>SUMIF('ПО КОРИСНИЦИМА'!$G$8:$G$18203,"Свега за пројекат 0401-П9:",'ПО КОРИСНИЦИМА'!$K$8:$K$18203)</f>
        <v>0</v>
      </c>
      <c r="H190" s="690"/>
      <c r="I190" s="689"/>
      <c r="J190" s="688" t="e">
        <f t="shared" si="7"/>
        <v>#DIV/0!</v>
      </c>
    </row>
    <row r="191" spans="1:10" hidden="1" x14ac:dyDescent="0.2">
      <c r="A191" s="231"/>
      <c r="B191" s="85" t="s">
        <v>4627</v>
      </c>
      <c r="C191" s="208" t="str">
        <f>IFERROR(VLOOKUP(B191,'ПО КОРИСНИЦИМА'!$C$8:$L$18203,5,FALSE),"")</f>
        <v/>
      </c>
      <c r="D191" s="265">
        <f>SUMIF('ПО КОРИСНИЦИМА'!$G$8:$G$18203,"Свега за пројекат 0401-П10:",'ПО КОРИСНИЦИМА'!$H$8:$H$18203)</f>
        <v>0</v>
      </c>
      <c r="E191" s="684"/>
      <c r="F191" s="694" t="e">
        <f t="shared" si="6"/>
        <v>#DIV/0!</v>
      </c>
      <c r="G191" s="692">
        <f>SUMIF('ПО КОРИСНИЦИМА'!$G$8:$G$18203,"Свега за пројекат 0401-П10:",'ПО КОРИСНИЦИМА'!$K$8:$K$18203)</f>
        <v>0</v>
      </c>
      <c r="H191" s="690"/>
      <c r="I191" s="689"/>
      <c r="J191" s="688" t="e">
        <f t="shared" si="7"/>
        <v>#DIV/0!</v>
      </c>
    </row>
    <row r="192" spans="1:10" hidden="1" x14ac:dyDescent="0.2">
      <c r="A192" s="231"/>
      <c r="B192" s="85" t="s">
        <v>4628</v>
      </c>
      <c r="C192" s="208" t="str">
        <f>IFERROR(VLOOKUP(B192,'ПО КОРИСНИЦИМА'!$C$8:$L$18203,5,FALSE),"")</f>
        <v/>
      </c>
      <c r="D192" s="265">
        <f>SUMIF('ПО КОРИСНИЦИМА'!$G$8:$G$18203,"Свега за пројекат 0401-П11:",'ПО КОРИСНИЦИМА'!$H$8:$H$18203)</f>
        <v>0</v>
      </c>
      <c r="E192" s="684"/>
      <c r="F192" s="694" t="e">
        <f t="shared" si="6"/>
        <v>#DIV/0!</v>
      </c>
      <c r="G192" s="692">
        <f>SUMIF('ПО КОРИСНИЦИМА'!$G$8:$G$18203,"Свега за пројекат 0401-П11:",'ПО КОРИСНИЦИМА'!$K$8:$K$18203)</f>
        <v>0</v>
      </c>
      <c r="H192" s="690"/>
      <c r="I192" s="689"/>
      <c r="J192" s="688" t="e">
        <f t="shared" si="7"/>
        <v>#DIV/0!</v>
      </c>
    </row>
    <row r="193" spans="1:10" hidden="1" x14ac:dyDescent="0.2">
      <c r="A193" s="231"/>
      <c r="B193" s="85" t="s">
        <v>4629</v>
      </c>
      <c r="C193" s="208" t="str">
        <f>IFERROR(VLOOKUP(B193,'ПО КОРИСНИЦИМА'!$C$8:$L$18203,5,FALSE),"")</f>
        <v/>
      </c>
      <c r="D193" s="265">
        <f>SUMIF('ПО КОРИСНИЦИМА'!$G$8:$G$18203,"Свега за пројекат 0401-П12:",'ПО КОРИСНИЦИМА'!$H$8:$H$18203)</f>
        <v>0</v>
      </c>
      <c r="E193" s="684"/>
      <c r="F193" s="694" t="e">
        <f t="shared" si="6"/>
        <v>#DIV/0!</v>
      </c>
      <c r="G193" s="692">
        <f>SUMIF('ПО КОРИСНИЦИМА'!$G$8:$G$18203,"Свега за пројекат 0401-П12:",'ПО КОРИСНИЦИМА'!$K$8:$K$18203)</f>
        <v>0</v>
      </c>
      <c r="H193" s="690"/>
      <c r="I193" s="691"/>
      <c r="J193" s="688" t="e">
        <f t="shared" si="7"/>
        <v>#DIV/0!</v>
      </c>
    </row>
    <row r="194" spans="1:10" hidden="1" x14ac:dyDescent="0.2">
      <c r="A194" s="231"/>
      <c r="B194" s="85" t="s">
        <v>4630</v>
      </c>
      <c r="C194" s="208" t="str">
        <f>IFERROR(VLOOKUP(B194,'ПО КОРИСНИЦИМА'!$C$8:$L$18203,5,FALSE),"")</f>
        <v/>
      </c>
      <c r="D194" s="265">
        <f>SUMIF('ПО КОРИСНИЦИМА'!$G$8:$G$18203,"Свега за пројекат 0401-П13:",'ПО КОРИСНИЦИМА'!$H$8:$H$18203)</f>
        <v>0</v>
      </c>
      <c r="E194" s="684"/>
      <c r="F194" s="694" t="e">
        <f t="shared" si="6"/>
        <v>#DIV/0!</v>
      </c>
      <c r="G194" s="692">
        <f>SUMIF('ПО КОРИСНИЦИМА'!$G$8:$G$18203,"Свега за пројекат 0401-П13:",'ПО КОРИСНИЦИМА'!$K$8:$K$18203)</f>
        <v>0</v>
      </c>
      <c r="H194" s="690"/>
      <c r="I194" s="691"/>
      <c r="J194" s="688" t="e">
        <f t="shared" si="7"/>
        <v>#DIV/0!</v>
      </c>
    </row>
    <row r="195" spans="1:10" hidden="1" x14ac:dyDescent="0.2">
      <c r="A195" s="231"/>
      <c r="B195" s="85" t="s">
        <v>4631</v>
      </c>
      <c r="C195" s="208" t="str">
        <f>IFERROR(VLOOKUP(B195,'ПО КОРИСНИЦИМА'!$C$8:$L$18203,5,FALSE),"")</f>
        <v/>
      </c>
      <c r="D195" s="265">
        <f>SUMIF('ПО КОРИСНИЦИМА'!$G$8:$G$18203,"Свега за пројекат 0401-П14:",'ПО КОРИСНИЦИМА'!$H$8:$H$18203)</f>
        <v>0</v>
      </c>
      <c r="E195" s="684"/>
      <c r="F195" s="694" t="e">
        <f t="shared" si="6"/>
        <v>#DIV/0!</v>
      </c>
      <c r="G195" s="692">
        <f>SUMIF('ПО КОРИСНИЦИМА'!$G$8:$G$18203,"Свега за пројекат 0401-П14:",'ПО КОРИСНИЦИМА'!$K$8:$K$18203)</f>
        <v>0</v>
      </c>
      <c r="H195" s="690"/>
      <c r="I195" s="691"/>
      <c r="J195" s="688" t="e">
        <f t="shared" si="7"/>
        <v>#DIV/0!</v>
      </c>
    </row>
    <row r="196" spans="1:10" hidden="1" x14ac:dyDescent="0.2">
      <c r="A196" s="237"/>
      <c r="B196" s="85" t="s">
        <v>4632</v>
      </c>
      <c r="C196" s="208" t="str">
        <f>IFERROR(VLOOKUP(B196,'ПО КОРИСНИЦИМА'!$C$8:$L$18203,5,FALSE),"")</f>
        <v/>
      </c>
      <c r="D196" s="265">
        <f>SUMIF('ПО КОРИСНИЦИМА'!$G$8:$G$18203,"Свега за пројекат 0401-П15:",'ПО КОРИСНИЦИМА'!$H$8:$H$18203)</f>
        <v>0</v>
      </c>
      <c r="E196" s="684"/>
      <c r="F196" s="694" t="e">
        <f t="shared" si="6"/>
        <v>#DIV/0!</v>
      </c>
      <c r="G196" s="692">
        <f>SUMIF('ПО КОРИСНИЦИМА'!$G$8:$G$18203,"Свега за пројекат 0401-П15:",'ПО КОРИСНИЦИМА'!$K$8:$K$18203)</f>
        <v>0</v>
      </c>
      <c r="H196" s="690"/>
      <c r="I196" s="693"/>
      <c r="J196" s="688" t="e">
        <f t="shared" si="7"/>
        <v>#DIV/0!</v>
      </c>
    </row>
    <row r="197" spans="1:10" s="234" customFormat="1" x14ac:dyDescent="0.2">
      <c r="A197" s="226" t="s">
        <v>3576</v>
      </c>
      <c r="B197" s="227"/>
      <c r="C197" s="206" t="s">
        <v>3671</v>
      </c>
      <c r="D197" s="253">
        <f>SUM(D198:D249)</f>
        <v>225867158</v>
      </c>
      <c r="E197" s="685">
        <f>SUM(E199:E249)</f>
        <v>186022569.17999995</v>
      </c>
      <c r="F197" s="694">
        <f t="shared" si="6"/>
        <v>82.359281812896384</v>
      </c>
      <c r="G197" s="695">
        <f>SUM(G198:G249)</f>
        <v>12162010</v>
      </c>
      <c r="H197" s="697">
        <f>SUM(H199)</f>
        <v>10246359.07</v>
      </c>
      <c r="I197" s="695"/>
      <c r="J197" s="770">
        <f t="shared" si="7"/>
        <v>84.248895289512177</v>
      </c>
    </row>
    <row r="198" spans="1:10" hidden="1" x14ac:dyDescent="0.2">
      <c r="A198" s="229"/>
      <c r="B198" s="235" t="s">
        <v>4151</v>
      </c>
      <c r="C198" s="212" t="s">
        <v>4103</v>
      </c>
      <c r="D198" s="257">
        <f>SUMIF('ПО КОРИСНИЦИМА'!$G$8:$G$18203,"Свега за програмску активност 0701-0001:",'ПО КОРИСНИЦИМА'!$H$8:$H$18203)</f>
        <v>0</v>
      </c>
      <c r="E198" s="683"/>
      <c r="F198" s="694" t="e">
        <f t="shared" si="6"/>
        <v>#DIV/0!</v>
      </c>
      <c r="G198" s="686">
        <f>SUMIF('ПО КОРИСНИЦИМА'!$G$8:$G$18203,"Свега за програмску активност 0701-0001:",'ПО КОРИСНИЦИМА'!$K$8:$K$18203)</f>
        <v>0</v>
      </c>
      <c r="H198" s="687"/>
      <c r="I198" s="686"/>
      <c r="J198" s="688" t="e">
        <f t="shared" si="7"/>
        <v>#DIV/0!</v>
      </c>
    </row>
    <row r="199" spans="1:10" x14ac:dyDescent="0.2">
      <c r="A199" s="231"/>
      <c r="B199" s="239" t="s">
        <v>4475</v>
      </c>
      <c r="C199" s="213" t="s">
        <v>4104</v>
      </c>
      <c r="D199" s="261">
        <f>SUMIF('ПО КОРИСНИЦИМА'!$G$8:$G$18203,"Свега за програмску активност 0701-0002:",'ПО КОРИСНИЦИМА'!$H$8:$H$18203)</f>
        <v>160067158</v>
      </c>
      <c r="E199" s="684">
        <f>SUM('ПО КОРИСНИЦИМА'!I3131,'ПО КОРИСНИЦИМА'!I7014,'ПО КОРИСНИЦИМА'!I11464)</f>
        <v>132750050.51999998</v>
      </c>
      <c r="F199" s="694">
        <f t="shared" si="6"/>
        <v>82.933971077314922</v>
      </c>
      <c r="G199" s="689">
        <f>SUMIF('ПО КОРИСНИЦИМА'!$G$8:$G$18203,"Свега за програмску активност 0701-0002:",'ПО КОРИСНИЦИМА'!$K$8:$K$18203)</f>
        <v>12162010</v>
      </c>
      <c r="H199" s="690">
        <f>SUM('ПО КОРИСНИЦИМА'!L3129,'ПО КОРИСНИЦИМА'!L7014,'ПО КОРИСНИЦИМА'!L11479)</f>
        <v>10246359.07</v>
      </c>
      <c r="I199" s="691"/>
      <c r="J199" s="688">
        <f t="shared" si="7"/>
        <v>84.248895289512177</v>
      </c>
    </row>
    <row r="200" spans="1:10" x14ac:dyDescent="0.2">
      <c r="A200" s="236"/>
      <c r="B200" s="236" t="s">
        <v>4633</v>
      </c>
      <c r="C200" s="208" t="str">
        <f>IFERROR(VLOOKUP(B200,'ПО КОРИСНИЦИМА'!$C$8:$L$18203,5,FALSE),"")</f>
        <v>Реконструкција улице С.Чупића-В.Мишића-7.јула са уређењем и реконструкцијом градског парка</v>
      </c>
      <c r="D200" s="265">
        <f>SUMIF('ПО КОРИСНИЦИМА'!$G$8:$G$18203,"Свега за пројекат 0701-П1:",'ПО КОРИСНИЦИМА'!$H$8:$H$18203)</f>
        <v>2700000</v>
      </c>
      <c r="E200" s="684">
        <f>SUM('ПО КОРИСНИЦИМА'!I3378)</f>
        <v>2699963.16</v>
      </c>
      <c r="F200" s="694">
        <f t="shared" si="6"/>
        <v>99.998635555555566</v>
      </c>
      <c r="G200" s="692">
        <f>SUMIF('ПО КОРИСНИЦИМА'!$G$8:$G$18203,"Свега за пројекат 0701-П1:",'ПО КОРИСНИЦИМА'!$K$8:$K$18203)</f>
        <v>0</v>
      </c>
      <c r="H200" s="690"/>
      <c r="I200" s="691"/>
      <c r="J200" s="688"/>
    </row>
    <row r="201" spans="1:10" x14ac:dyDescent="0.2">
      <c r="A201" s="236"/>
      <c r="B201" s="236" t="s">
        <v>4634</v>
      </c>
      <c r="C201" s="208" t="str">
        <f>IFERROR(VLOOKUP(B201,'ПО КОРИСНИЦИМА'!$C$8:$L$18203,5,FALSE),"")</f>
        <v>Изградња пута Жичара-Т.Приседо- Разбојиште- Кошље</v>
      </c>
      <c r="D201" s="265">
        <f>SUMIF('ПО КОРИСНИЦИМА'!$G$8:$G$18203,"Свега за пројекат 0701-П2:",'ПО КОРИСНИЦИМА'!$H$8:$H$18203)</f>
        <v>27700000</v>
      </c>
      <c r="E201" s="684">
        <f>SUM('ПО КОРИСНИЦИМА'!I3491)</f>
        <v>27503799.109999999</v>
      </c>
      <c r="F201" s="694">
        <f t="shared" si="6"/>
        <v>99.291693537906127</v>
      </c>
      <c r="G201" s="692">
        <f>SUMIF('ПО КОРИСНИЦИМА'!$G$8:$G$18203,"Свега за пројекат 0701-П2:",'ПО КОРИСНИЦИМА'!$K$8:$K$18203)</f>
        <v>0</v>
      </c>
      <c r="H201" s="690"/>
      <c r="I201" s="689"/>
      <c r="J201" s="688"/>
    </row>
    <row r="202" spans="1:10" x14ac:dyDescent="0.2">
      <c r="A202" s="236"/>
      <c r="B202" s="236" t="s">
        <v>4635</v>
      </c>
      <c r="C202" s="208" t="str">
        <f>IFERROR(VLOOKUP(B202,'ПО КОРИСНИЦИМА'!$C$8:$L$18203,5,FALSE),"")</f>
        <v>Рехабилитација локалног пута  Грабовица - Поднемић Манастир Свете Тројице</v>
      </c>
      <c r="D202" s="265">
        <f>SUMIF('ПО КОРИСНИЦИМА'!$G$8:$G$18203,"Свега за пројекат 0701-П3:",'ПО КОРИСНИЦИМА'!$H$8:$H$18203)</f>
        <v>2500000</v>
      </c>
      <c r="E202" s="684">
        <f>SUM('ПО КОРИСНИЦИМА'!I3590)</f>
        <v>2350440.5299999998</v>
      </c>
      <c r="F202" s="694">
        <f t="shared" si="6"/>
        <v>94.017621199999994</v>
      </c>
      <c r="G202" s="692">
        <f>SUMIF('ПО КОРИСНИЦИМА'!$G$8:$G$18203,"Свега за пројекат 0701-П3:",'ПО КОРИСНИЦИМА'!$K$8:$K$18203)</f>
        <v>0</v>
      </c>
      <c r="H202" s="690"/>
      <c r="I202" s="689"/>
      <c r="J202" s="688"/>
    </row>
    <row r="203" spans="1:10" x14ac:dyDescent="0.2">
      <c r="A203" s="236"/>
      <c r="B203" s="236" t="s">
        <v>4636</v>
      </c>
      <c r="C203" s="208" t="str">
        <f>IFERROR(VLOOKUP(B203,'ПО КОРИСНИЦИМА'!$C$8:$L$18203,5,FALSE),"")</f>
        <v xml:space="preserve">Рехабилитација Радничке улице </v>
      </c>
      <c r="D203" s="265">
        <f>SUMIF('ПО КОРИСНИЦИМА'!$G$8:$G$18203,"Свега за пројекат 0701-П4:",'ПО КОРИСНИЦИМА'!$H$8:$H$18203)</f>
        <v>0</v>
      </c>
      <c r="E203" s="684"/>
      <c r="F203" s="694"/>
      <c r="G203" s="692">
        <f>SUMIF('ПО КОРИСНИЦИМА'!$G$8:$G$18203,"Свега за пројекат 0701-П4:",'ПО КОРИСНИЦИМА'!$K$8:$K$18203)</f>
        <v>0</v>
      </c>
      <c r="H203" s="690"/>
      <c r="I203" s="689"/>
      <c r="J203" s="688"/>
    </row>
    <row r="204" spans="1:10" x14ac:dyDescent="0.2">
      <c r="A204" s="236"/>
      <c r="B204" s="236" t="s">
        <v>4637</v>
      </c>
      <c r="C204" s="208" t="str">
        <f>IFERROR(VLOOKUP(B204,'ПО КОРИСНИЦИМА'!$C$8:$L$18203,5,FALSE),"")</f>
        <v xml:space="preserve">Рехабилитација Косовске улице </v>
      </c>
      <c r="D204" s="265">
        <f>SUMIF('ПО КОРИСНИЦИМА'!$G$8:$G$18203,"Свега за пројекат 0701-П5:",'ПО КОРИСНИЦИМА'!$H$8:$H$18203)</f>
        <v>3400000</v>
      </c>
      <c r="E204" s="684">
        <f>SUM('ПО КОРИСНИЦИМА'!I3788)</f>
        <v>2282667.2000000002</v>
      </c>
      <c r="F204" s="694">
        <f t="shared" si="6"/>
        <v>67.137270588235296</v>
      </c>
      <c r="G204" s="692">
        <f>SUMIF('ПО КОРИСНИЦИМА'!$G$8:$G$18203,"Свега за пројекат 0701-П5:",'ПО КОРИСНИЦИМА'!$K$8:$K$18203)</f>
        <v>0</v>
      </c>
      <c r="H204" s="690"/>
      <c r="I204" s="689"/>
      <c r="J204" s="688"/>
    </row>
    <row r="205" spans="1:10" x14ac:dyDescent="0.2">
      <c r="A205" s="236"/>
      <c r="B205" s="236" t="s">
        <v>4638</v>
      </c>
      <c r="C205" s="208" t="str">
        <f>IFERROR(VLOOKUP(B205,'ПО КОРИСНИЦИМА'!$C$8:$L$18203,5,FALSE),"")</f>
        <v>Рехабилитација Омладинске улице</v>
      </c>
      <c r="D205" s="265">
        <f>SUMIF('ПО КОРИСНИЦИМА'!$G$8:$G$18203,"Свега за пројекат 0701-П6:",'ПО КОРИСНИЦИМА'!$H$8:$H$18203)</f>
        <v>5000000</v>
      </c>
      <c r="E205" s="684">
        <f>SUM('ПО КОРИСНИЦИМА'!I3888)</f>
        <v>0</v>
      </c>
      <c r="F205" s="694">
        <f t="shared" si="6"/>
        <v>0</v>
      </c>
      <c r="G205" s="692">
        <f>SUMIF('ПО КОРИСНИЦИМА'!$G$8:$G$18203,"Свега за пројекат 0701-П6:",'ПО КОРИСНИЦИМА'!$K$8:$K$18203)</f>
        <v>0</v>
      </c>
      <c r="H205" s="690"/>
      <c r="I205" s="689"/>
      <c r="J205" s="688"/>
    </row>
    <row r="206" spans="1:10" x14ac:dyDescent="0.2">
      <c r="A206" s="236"/>
      <c r="B206" s="236" t="s">
        <v>4639</v>
      </c>
      <c r="C206" s="208" t="str">
        <f>IFERROR(VLOOKUP(B206,'ПО КОРИСНИЦИМА'!$C$8:$L$18203,5,FALSE),"")</f>
        <v>Саобраћајна инфраструктура у индустријској зони уз државни пут 2. реда број 144</v>
      </c>
      <c r="D206" s="265">
        <f>SUMIF('ПО КОРИСНИЦИМА'!$G$8:$G$18203,"Свега за пројекат 0701-П7:",'ПО КОРИСНИЦИМА'!$H$8:$H$18203)</f>
        <v>11000000</v>
      </c>
      <c r="E206" s="684">
        <f>SUM('ПО КОРИСНИЦИМА'!I3987)</f>
        <v>7444176.6600000001</v>
      </c>
      <c r="F206" s="694">
        <f t="shared" si="6"/>
        <v>67.674333272727267</v>
      </c>
      <c r="G206" s="692">
        <f>SUMIF('ПО КОРИСНИЦИМА'!$G$8:$G$18203,"Свега за пројекат 0701-П7:",'ПО КОРИСНИЦИМА'!$K$8:$K$18203)</f>
        <v>0</v>
      </c>
      <c r="H206" s="690"/>
      <c r="I206" s="689"/>
      <c r="J206" s="688"/>
    </row>
    <row r="207" spans="1:10" x14ac:dyDescent="0.2">
      <c r="A207" s="236"/>
      <c r="B207" s="236" t="s">
        <v>4640</v>
      </c>
      <c r="C207" s="208" t="str">
        <f>IFERROR(VLOOKUP(B207,'ПО КОРИСНИЦИМА'!$C$8:$L$18203,5,FALSE),"")</f>
        <v>Изградња нисконапонске мреже на територији општине Љубовија</v>
      </c>
      <c r="D207" s="265">
        <f>SUMIF('ПО КОРИСНИЦИМА'!$G$8:$G$18203,"Свега за пројекат 0701-П8:",'ПО КОРИСНИЦИМА'!$H$8:$H$18203)</f>
        <v>13500000</v>
      </c>
      <c r="E207" s="684">
        <f>SUM('ПО КОРИСНИЦИМА'!I4086)</f>
        <v>10991472</v>
      </c>
      <c r="F207" s="694">
        <f t="shared" si="6"/>
        <v>81.418311111111109</v>
      </c>
      <c r="G207" s="692">
        <f>SUMIF('ПО КОРИСНИЦИМА'!$G$8:$G$18203,"Свега за пројекат 0701-П8:",'ПО КОРИСНИЦИМА'!$K$8:$K$18203)</f>
        <v>0</v>
      </c>
      <c r="H207" s="690"/>
      <c r="I207" s="689"/>
      <c r="J207" s="688"/>
    </row>
    <row r="208" spans="1:10" hidden="1" x14ac:dyDescent="0.2">
      <c r="A208" s="236"/>
      <c r="B208" s="236"/>
      <c r="C208" s="208"/>
      <c r="D208" s="265"/>
      <c r="E208" s="684"/>
      <c r="F208" s="694" t="e">
        <f t="shared" si="6"/>
        <v>#DIV/0!</v>
      </c>
      <c r="G208" s="692">
        <f>SUMIF('ПО КОРИСНИЦИМА'!$G$8:$G$18203,"Свега за пројекат 0701-П9:",'ПО КОРИСНИЦИМА'!$K$8:$K$18203)</f>
        <v>0</v>
      </c>
      <c r="H208" s="690"/>
      <c r="I208" s="689"/>
      <c r="J208" s="688"/>
    </row>
    <row r="209" spans="1:10" hidden="1" x14ac:dyDescent="0.2">
      <c r="A209" s="236"/>
      <c r="B209" s="236" t="s">
        <v>4642</v>
      </c>
      <c r="C209" s="208" t="str">
        <f>IFERROR(VLOOKUP(B209,'ПО КОРИСНИЦИМА'!$C$8:$L$18203,5,FALSE),"")</f>
        <v/>
      </c>
      <c r="D209" s="265">
        <f>SUMIF('ПО КОРИСНИЦИМА'!$G$8:$G$18203,"Свега за пројекат 0701-П10:",'ПО КОРИСНИЦИМА'!$H$8:$H$18203)</f>
        <v>0</v>
      </c>
      <c r="E209" s="684"/>
      <c r="F209" s="694" t="e">
        <f t="shared" si="6"/>
        <v>#DIV/0!</v>
      </c>
      <c r="G209" s="692">
        <f>SUMIF('ПО КОРИСНИЦИМА'!$G$8:$G$18203,"Свега за пројекат 0701-П10:",'ПО КОРИСНИЦИМА'!$K$8:$K$18203)</f>
        <v>0</v>
      </c>
      <c r="H209" s="690"/>
      <c r="I209" s="689"/>
      <c r="J209" s="688"/>
    </row>
    <row r="210" spans="1:10" hidden="1" x14ac:dyDescent="0.2">
      <c r="A210" s="236"/>
      <c r="B210" s="236" t="s">
        <v>4643</v>
      </c>
      <c r="C210" s="208" t="str">
        <f>IFERROR(VLOOKUP(B210,'ПО КОРИСНИЦИМА'!$C$8:$L$18203,5,FALSE),"")</f>
        <v/>
      </c>
      <c r="D210" s="265">
        <f>SUMIF('ПО КОРИСНИЦИМА'!$G$8:$G$18203,"Свега за пројекат 0701-П11:",'ПО КОРИСНИЦИМА'!$H$8:$H$18203)</f>
        <v>0</v>
      </c>
      <c r="E210" s="684"/>
      <c r="F210" s="694" t="e">
        <f t="shared" si="6"/>
        <v>#DIV/0!</v>
      </c>
      <c r="G210" s="692">
        <f>SUMIF('ПО КОРИСНИЦИМА'!$G$8:$G$18203,"Свега за пројекат 0701-П11:",'ПО КОРИСНИЦИМА'!$K$8:$K$18203)</f>
        <v>0</v>
      </c>
      <c r="H210" s="690"/>
      <c r="I210" s="689"/>
      <c r="J210" s="688"/>
    </row>
    <row r="211" spans="1:10" hidden="1" x14ac:dyDescent="0.2">
      <c r="A211" s="236"/>
      <c r="B211" s="236" t="s">
        <v>4644</v>
      </c>
      <c r="C211" s="208" t="str">
        <f>IFERROR(VLOOKUP(B211,'ПО КОРИСНИЦИМА'!$C$8:$L$18203,5,FALSE),"")</f>
        <v/>
      </c>
      <c r="D211" s="265">
        <f>SUMIF('ПО КОРИСНИЦИМА'!$G$8:$G$18203,"Свега за пројекат 0701-П12:",'ПО КОРИСНИЦИМА'!$H$8:$H$18203)</f>
        <v>0</v>
      </c>
      <c r="E211" s="684"/>
      <c r="F211" s="694" t="e">
        <f t="shared" si="6"/>
        <v>#DIV/0!</v>
      </c>
      <c r="G211" s="692">
        <f>SUMIF('ПО КОРИСНИЦИМА'!$G$8:$G$18203,"Свега за пројекат 0701-П12:",'ПО КОРИСНИЦИМА'!$K$8:$K$18203)</f>
        <v>0</v>
      </c>
      <c r="H211" s="690"/>
      <c r="I211" s="689"/>
      <c r="J211" s="688"/>
    </row>
    <row r="212" spans="1:10" hidden="1" x14ac:dyDescent="0.2">
      <c r="A212" s="236"/>
      <c r="B212" s="236" t="s">
        <v>4645</v>
      </c>
      <c r="C212" s="208" t="str">
        <f>IFERROR(VLOOKUP(B212,'ПО КОРИСНИЦИМА'!$C$8:$L$18203,5,FALSE),"")</f>
        <v/>
      </c>
      <c r="D212" s="265">
        <f>SUMIF('ПО КОРИСНИЦИМА'!$G$8:$G$18203,"Свега за пројекат 0701-П13:",'ПО КОРИСНИЦИМА'!$H$8:$H$18203)</f>
        <v>0</v>
      </c>
      <c r="E212" s="684"/>
      <c r="F212" s="694" t="e">
        <f t="shared" si="6"/>
        <v>#DIV/0!</v>
      </c>
      <c r="G212" s="692">
        <f>SUMIF('ПО КОРИСНИЦИМА'!$G$8:$G$18203,"Свега за пројекат 0701-П13:",'ПО КОРИСНИЦИМА'!$K$8:$K$18203)</f>
        <v>0</v>
      </c>
      <c r="H212" s="690"/>
      <c r="I212" s="689"/>
      <c r="J212" s="688"/>
    </row>
    <row r="213" spans="1:10" hidden="1" x14ac:dyDescent="0.2">
      <c r="A213" s="236"/>
      <c r="B213" s="236" t="s">
        <v>4646</v>
      </c>
      <c r="C213" s="208" t="str">
        <f>IFERROR(VLOOKUP(B213,'ПО КОРИСНИЦИМА'!$C$8:$L$18203,5,FALSE),"")</f>
        <v/>
      </c>
      <c r="D213" s="265">
        <f>SUMIF('ПО КОРИСНИЦИМА'!$G$8:$G$18203,"Свега за пројекат 0701-П14:",'ПО КОРИСНИЦИМА'!$H$8:$H$18203)</f>
        <v>0</v>
      </c>
      <c r="E213" s="684"/>
      <c r="F213" s="694" t="e">
        <f t="shared" si="6"/>
        <v>#DIV/0!</v>
      </c>
      <c r="G213" s="692">
        <f>SUMIF('ПО КОРИСНИЦИМА'!$G$8:$G$18203,"Свега за пројекат 0701-П14:",'ПО КОРИСНИЦИМА'!$K$8:$K$18203)</f>
        <v>0</v>
      </c>
      <c r="H213" s="690"/>
      <c r="I213" s="689"/>
      <c r="J213" s="688"/>
    </row>
    <row r="214" spans="1:10" hidden="1" x14ac:dyDescent="0.2">
      <c r="A214" s="236"/>
      <c r="B214" s="236" t="s">
        <v>4647</v>
      </c>
      <c r="C214" s="208" t="str">
        <f>IFERROR(VLOOKUP(B214,'ПО КОРИСНИЦИМА'!$C$8:$L$18203,5,FALSE),"")</f>
        <v/>
      </c>
      <c r="D214" s="265">
        <f>SUMIF('ПО КОРИСНИЦИМА'!$G$8:$G$18203,"Свега за пројекат 0701-П15:",'ПО КОРИСНИЦИМА'!$H$8:$H$18203)</f>
        <v>0</v>
      </c>
      <c r="E214" s="684"/>
      <c r="F214" s="694" t="e">
        <f t="shared" si="6"/>
        <v>#DIV/0!</v>
      </c>
      <c r="G214" s="692">
        <f>SUMIF('ПО КОРИСНИЦИМА'!$G$8:$G$18203,"Свега за пројекат 0701-П15:",'ПО КОРИСНИЦИМА'!$K$8:$K$18203)</f>
        <v>0</v>
      </c>
      <c r="H214" s="690"/>
      <c r="I214" s="689"/>
      <c r="J214" s="688"/>
    </row>
    <row r="215" spans="1:10" hidden="1" x14ac:dyDescent="0.2">
      <c r="A215" s="236"/>
      <c r="B215" s="236" t="s">
        <v>4648</v>
      </c>
      <c r="C215" s="208" t="str">
        <f>IFERROR(VLOOKUP(B215,'ПО КОРИСНИЦИМА'!$C$8:$L$18203,5,FALSE),"")</f>
        <v/>
      </c>
      <c r="D215" s="265">
        <f>SUMIF('ПО КОРИСНИЦИМА'!$G$8:$G$18203,"Свега за пројекат 0701-П16:",'ПО КОРИСНИЦИМА'!$H$8:$H$18203)</f>
        <v>0</v>
      </c>
      <c r="E215" s="684"/>
      <c r="F215" s="694" t="e">
        <f t="shared" si="6"/>
        <v>#DIV/0!</v>
      </c>
      <c r="G215" s="692">
        <f>SUMIF('ПО КОРИСНИЦИМА'!$G$8:$G$18203,"Свега за пројекат 0701-П16:",'ПО КОРИСНИЦИМА'!$K$8:$K$18203)</f>
        <v>0</v>
      </c>
      <c r="H215" s="690"/>
      <c r="I215" s="689"/>
      <c r="J215" s="688"/>
    </row>
    <row r="216" spans="1:10" hidden="1" x14ac:dyDescent="0.2">
      <c r="A216" s="236"/>
      <c r="B216" s="236" t="s">
        <v>4649</v>
      </c>
      <c r="C216" s="208" t="str">
        <f>IFERROR(VLOOKUP(B216,'ПО КОРИСНИЦИМА'!$C$8:$L$18203,5,FALSE),"")</f>
        <v/>
      </c>
      <c r="D216" s="265">
        <f>SUMIF('ПО КОРИСНИЦИМА'!$G$8:$G$18203,"Свега за пројекат 0701-П17:",'ПО КОРИСНИЦИМА'!$H$8:$H$18203)</f>
        <v>0</v>
      </c>
      <c r="E216" s="684"/>
      <c r="F216" s="694" t="e">
        <f t="shared" si="6"/>
        <v>#DIV/0!</v>
      </c>
      <c r="G216" s="692">
        <f>SUMIF('ПО КОРИСНИЦИМА'!$G$8:$G$18203,"Свега за пројекат 0701-П17:",'ПО КОРИСНИЦИМА'!$K$8:$K$18203)</f>
        <v>0</v>
      </c>
      <c r="H216" s="690"/>
      <c r="I216" s="689"/>
      <c r="J216" s="688"/>
    </row>
    <row r="217" spans="1:10" hidden="1" x14ac:dyDescent="0.2">
      <c r="A217" s="236"/>
      <c r="B217" s="236" t="s">
        <v>4650</v>
      </c>
      <c r="C217" s="208" t="str">
        <f>IFERROR(VLOOKUP(B217,'ПО КОРИСНИЦИМА'!$C$8:$L$18203,5,FALSE),"")</f>
        <v/>
      </c>
      <c r="D217" s="265">
        <f>SUMIF('ПО КОРИСНИЦИМА'!$G$8:$G$18203,"Свега за пројекат 0701-П18:",'ПО КОРИСНИЦИМА'!$H$8:$H$18203)</f>
        <v>0</v>
      </c>
      <c r="E217" s="684"/>
      <c r="F217" s="694" t="e">
        <f t="shared" si="6"/>
        <v>#DIV/0!</v>
      </c>
      <c r="G217" s="692">
        <f>SUMIF('ПО КОРИСНИЦИМА'!$G$8:$G$18203,"Свега за пројекат 0701-П18:",'ПО КОРИСНИЦИМА'!$K$8:$K$18203)</f>
        <v>0</v>
      </c>
      <c r="H217" s="690"/>
      <c r="I217" s="689"/>
      <c r="J217" s="688"/>
    </row>
    <row r="218" spans="1:10" hidden="1" x14ac:dyDescent="0.2">
      <c r="A218" s="236"/>
      <c r="B218" s="236" t="s">
        <v>4651</v>
      </c>
      <c r="C218" s="208" t="str">
        <f>IFERROR(VLOOKUP(B218,'ПО КОРИСНИЦИМА'!$C$8:$L$18203,5,FALSE),"")</f>
        <v/>
      </c>
      <c r="D218" s="265">
        <f>SUMIF('ПО КОРИСНИЦИМА'!$G$8:$G$18203,"Свега за пројекат 0701-П19:",'ПО КОРИСНИЦИМА'!$H$8:$H$18203)</f>
        <v>0</v>
      </c>
      <c r="E218" s="684"/>
      <c r="F218" s="694" t="e">
        <f t="shared" si="6"/>
        <v>#DIV/0!</v>
      </c>
      <c r="G218" s="692">
        <f>SUMIF('ПО КОРИСНИЦИМА'!$G$8:$G$18203,"Свега за пројекат 0701-П19:",'ПО КОРИСНИЦИМА'!$K$8:$K$18203)</f>
        <v>0</v>
      </c>
      <c r="H218" s="690"/>
      <c r="I218" s="689"/>
      <c r="J218" s="688"/>
    </row>
    <row r="219" spans="1:10" hidden="1" x14ac:dyDescent="0.2">
      <c r="A219" s="236"/>
      <c r="B219" s="236" t="s">
        <v>4652</v>
      </c>
      <c r="C219" s="208" t="str">
        <f>IFERROR(VLOOKUP(B219,'ПО КОРИСНИЦИМА'!$C$8:$L$18203,5,FALSE),"")</f>
        <v/>
      </c>
      <c r="D219" s="265">
        <f>SUMIF('ПО КОРИСНИЦИМА'!$G$8:$G$18203,"Свега за пројекат 0701-П20:",'ПО КОРИСНИЦИМА'!$H$8:$H$18203)</f>
        <v>0</v>
      </c>
      <c r="E219" s="684"/>
      <c r="F219" s="694" t="e">
        <f t="shared" si="6"/>
        <v>#DIV/0!</v>
      </c>
      <c r="G219" s="692">
        <f>SUMIF('ПО КОРИСНИЦИМА'!$G$8:$G$18203,"Свега за пројекат 0701-П20:",'ПО КОРИСНИЦИМА'!$K$8:$K$18203)</f>
        <v>0</v>
      </c>
      <c r="H219" s="690"/>
      <c r="I219" s="689"/>
      <c r="J219" s="688"/>
    </row>
    <row r="220" spans="1:10" hidden="1" x14ac:dyDescent="0.2">
      <c r="A220" s="236"/>
      <c r="B220" s="236" t="s">
        <v>4653</v>
      </c>
      <c r="C220" s="208" t="str">
        <f>IFERROR(VLOOKUP(B220,'ПО КОРИСНИЦИМА'!$C$8:$L$18203,5,FALSE),"")</f>
        <v/>
      </c>
      <c r="D220" s="265">
        <f>SUMIF('ПО КОРИСНИЦИМА'!$G$8:$G$18203,"Свега за пројекат 0701-П21:",'ПО КОРИСНИЦИМА'!$H$8:$H$18203)</f>
        <v>0</v>
      </c>
      <c r="E220" s="684"/>
      <c r="F220" s="694" t="e">
        <f t="shared" si="6"/>
        <v>#DIV/0!</v>
      </c>
      <c r="G220" s="692">
        <f>SUMIF('ПО КОРИСНИЦИМА'!$G$8:$G$18203,"Свега за пројекат 0701-П21:",'ПО КОРИСНИЦИМА'!$K$8:$K$18203)</f>
        <v>0</v>
      </c>
      <c r="H220" s="690"/>
      <c r="I220" s="689"/>
      <c r="J220" s="688"/>
    </row>
    <row r="221" spans="1:10" hidden="1" x14ac:dyDescent="0.2">
      <c r="A221" s="236"/>
      <c r="B221" s="236" t="s">
        <v>4654</v>
      </c>
      <c r="C221" s="208" t="str">
        <f>IFERROR(VLOOKUP(B221,'ПО КОРИСНИЦИМА'!$C$8:$L$18203,5,FALSE),"")</f>
        <v/>
      </c>
      <c r="D221" s="265">
        <f>SUMIF('ПО КОРИСНИЦИМА'!$G$8:$G$18203,"Свега за пројекат 0701-П22:",'ПО КОРИСНИЦИМА'!$H$8:$H$18203)</f>
        <v>0</v>
      </c>
      <c r="E221" s="684"/>
      <c r="F221" s="694" t="e">
        <f t="shared" si="6"/>
        <v>#DIV/0!</v>
      </c>
      <c r="G221" s="692">
        <f>SUMIF('ПО КОРИСНИЦИМА'!$G$8:$G$18203,"Свега за пројекат 0701-П22:",'ПО КОРИСНИЦИМА'!$K$8:$K$18203)</f>
        <v>0</v>
      </c>
      <c r="H221" s="690"/>
      <c r="I221" s="689"/>
      <c r="J221" s="688"/>
    </row>
    <row r="222" spans="1:10" hidden="1" x14ac:dyDescent="0.2">
      <c r="A222" s="236"/>
      <c r="B222" s="236" t="s">
        <v>4655</v>
      </c>
      <c r="C222" s="208" t="str">
        <f>IFERROR(VLOOKUP(B222,'ПО КОРИСНИЦИМА'!$C$8:$L$18203,5,FALSE),"")</f>
        <v/>
      </c>
      <c r="D222" s="265">
        <f>SUMIF('ПО КОРИСНИЦИМА'!$G$8:$G$18203,"Свега за пројекат 0701-П23:",'ПО КОРИСНИЦИМА'!$H$8:$H$18203)</f>
        <v>0</v>
      </c>
      <c r="E222" s="684"/>
      <c r="F222" s="694" t="e">
        <f t="shared" si="6"/>
        <v>#DIV/0!</v>
      </c>
      <c r="G222" s="692">
        <f>SUMIF('ПО КОРИСНИЦИМА'!$G$8:$G$18203,"Свега за пројекат 0701-П23:",'ПО КОРИСНИЦИМА'!$K$8:$K$18203)</f>
        <v>0</v>
      </c>
      <c r="H222" s="690"/>
      <c r="I222" s="689"/>
      <c r="J222" s="688"/>
    </row>
    <row r="223" spans="1:10" hidden="1" x14ac:dyDescent="0.2">
      <c r="A223" s="236"/>
      <c r="B223" s="236" t="s">
        <v>4656</v>
      </c>
      <c r="C223" s="208" t="str">
        <f>IFERROR(VLOOKUP(B223,'ПО КОРИСНИЦИМА'!$C$8:$L$18203,5,FALSE),"")</f>
        <v/>
      </c>
      <c r="D223" s="265">
        <f>SUMIF('ПО КОРИСНИЦИМА'!$G$8:$G$18203,"Свега за пројекат 0701-П24:",'ПО КОРИСНИЦИМА'!$H$8:$H$18203)</f>
        <v>0</v>
      </c>
      <c r="E223" s="684"/>
      <c r="F223" s="694" t="e">
        <f t="shared" si="6"/>
        <v>#DIV/0!</v>
      </c>
      <c r="G223" s="692">
        <f>SUMIF('ПО КОРИСНИЦИМА'!$G$8:$G$18203,"Свега за пројекат 0701-П24:",'ПО КОРИСНИЦИМА'!$K$8:$K$18203)</f>
        <v>0</v>
      </c>
      <c r="H223" s="690"/>
      <c r="I223" s="689"/>
      <c r="J223" s="688"/>
    </row>
    <row r="224" spans="1:10" hidden="1" x14ac:dyDescent="0.2">
      <c r="A224" s="236"/>
      <c r="B224" s="236" t="s">
        <v>4657</v>
      </c>
      <c r="C224" s="208" t="str">
        <f>IFERROR(VLOOKUP(B224,'ПО КОРИСНИЦИМА'!$C$8:$L$18203,5,FALSE),"")</f>
        <v/>
      </c>
      <c r="D224" s="265">
        <f>SUMIF('ПО КОРИСНИЦИМА'!$G$8:$G$18203,"Свега за пројекат 0701-П25:",'ПО КОРИСНИЦИМА'!$H$8:$H$18203)</f>
        <v>0</v>
      </c>
      <c r="E224" s="684"/>
      <c r="F224" s="694" t="e">
        <f t="shared" si="6"/>
        <v>#DIV/0!</v>
      </c>
      <c r="G224" s="692">
        <f>SUMIF('ПО КОРИСНИЦИМА'!$G$8:$G$18203,"Свега за пројекат 0701-П25:",'ПО КОРИСНИЦИМА'!$K$8:$K$18203)</f>
        <v>0</v>
      </c>
      <c r="H224" s="690"/>
      <c r="I224" s="689"/>
      <c r="J224" s="688"/>
    </row>
    <row r="225" spans="1:10" hidden="1" x14ac:dyDescent="0.2">
      <c r="A225" s="236"/>
      <c r="B225" s="236" t="s">
        <v>4658</v>
      </c>
      <c r="C225" s="208" t="str">
        <f>IFERROR(VLOOKUP(B225,'ПО КОРИСНИЦИМА'!$C$8:$L$18203,5,FALSE),"")</f>
        <v/>
      </c>
      <c r="D225" s="265">
        <f>SUMIF('ПО КОРИСНИЦИМА'!$G$8:$G$18203,"Свега за пројекат 0701-П26:",'ПО КОРИСНИЦИМА'!$H$8:$H$18203)</f>
        <v>0</v>
      </c>
      <c r="E225" s="684"/>
      <c r="F225" s="694" t="e">
        <f t="shared" si="6"/>
        <v>#DIV/0!</v>
      </c>
      <c r="G225" s="692">
        <f>SUMIF('ПО КОРИСНИЦИМА'!$G$8:$G$18203,"Свега за пројекат 0701-П26:",'ПО КОРИСНИЦИМА'!$K$8:$K$18203)</f>
        <v>0</v>
      </c>
      <c r="H225" s="690"/>
      <c r="I225" s="689"/>
      <c r="J225" s="688"/>
    </row>
    <row r="226" spans="1:10" hidden="1" x14ac:dyDescent="0.2">
      <c r="A226" s="236"/>
      <c r="B226" s="236" t="s">
        <v>4659</v>
      </c>
      <c r="C226" s="208" t="str">
        <f>IFERROR(VLOOKUP(B226,'ПО КОРИСНИЦИМА'!$C$8:$L$18203,5,FALSE),"")</f>
        <v/>
      </c>
      <c r="D226" s="265">
        <f>SUMIF('ПО КОРИСНИЦИМА'!$G$8:$G$18203,"Свега за пројекат 0701-П27:",'ПО КОРИСНИЦИМА'!$H$8:$H$18203)</f>
        <v>0</v>
      </c>
      <c r="E226" s="684"/>
      <c r="F226" s="694" t="e">
        <f t="shared" si="6"/>
        <v>#DIV/0!</v>
      </c>
      <c r="G226" s="692">
        <f>SUMIF('ПО КОРИСНИЦИМА'!$G$8:$G$18203,"Свега за пројекат 0701-П27:",'ПО КОРИСНИЦИМА'!$K$8:$K$18203)</f>
        <v>0</v>
      </c>
      <c r="H226" s="690"/>
      <c r="I226" s="689"/>
      <c r="J226" s="688"/>
    </row>
    <row r="227" spans="1:10" hidden="1" x14ac:dyDescent="0.2">
      <c r="A227" s="236"/>
      <c r="B227" s="236" t="s">
        <v>4660</v>
      </c>
      <c r="C227" s="208" t="str">
        <f>IFERROR(VLOOKUP(B227,'ПО КОРИСНИЦИМА'!$C$8:$L$18203,5,FALSE),"")</f>
        <v/>
      </c>
      <c r="D227" s="265">
        <f>SUMIF('ПО КОРИСНИЦИМА'!$G$8:$G$18203,"Свега за пројекат 0701-П28:",'ПО КОРИСНИЦИМА'!$H$8:$H$18203)</f>
        <v>0</v>
      </c>
      <c r="E227" s="684"/>
      <c r="F227" s="694" t="e">
        <f t="shared" si="6"/>
        <v>#DIV/0!</v>
      </c>
      <c r="G227" s="692">
        <f>SUMIF('ПО КОРИСНИЦИМА'!$G$8:$G$18203,"Свега за пројекат 0701-П28:",'ПО КОРИСНИЦИМА'!$K$8:$K$18203)</f>
        <v>0</v>
      </c>
      <c r="H227" s="690"/>
      <c r="I227" s="689"/>
      <c r="J227" s="688"/>
    </row>
    <row r="228" spans="1:10" hidden="1" x14ac:dyDescent="0.2">
      <c r="A228" s="236"/>
      <c r="B228" s="236" t="s">
        <v>4661</v>
      </c>
      <c r="C228" s="208" t="str">
        <f>IFERROR(VLOOKUP(B228,'ПО КОРИСНИЦИМА'!$C$8:$L$18203,5,FALSE),"")</f>
        <v/>
      </c>
      <c r="D228" s="265">
        <f>SUMIF('ПО КОРИСНИЦИМА'!$G$8:$G$18203,"Свега за пројекат 0701-П29:",'ПО КОРИСНИЦИМА'!$H$8:$H$18203)</f>
        <v>0</v>
      </c>
      <c r="E228" s="684"/>
      <c r="F228" s="694" t="e">
        <f t="shared" si="6"/>
        <v>#DIV/0!</v>
      </c>
      <c r="G228" s="692">
        <f>SUMIF('ПО КОРИСНИЦИМА'!$G$8:$G$18203,"Свега за пројекат 0701-П29:",'ПО КОРИСНИЦИМА'!$K$8:$K$18203)</f>
        <v>0</v>
      </c>
      <c r="H228" s="690"/>
      <c r="I228" s="689"/>
      <c r="J228" s="688"/>
    </row>
    <row r="229" spans="1:10" hidden="1" x14ac:dyDescent="0.2">
      <c r="A229" s="236"/>
      <c r="B229" s="236" t="s">
        <v>4662</v>
      </c>
      <c r="C229" s="208" t="str">
        <f>IFERROR(VLOOKUP(B229,'ПО КОРИСНИЦИМА'!$C$8:$L$18203,5,FALSE),"")</f>
        <v/>
      </c>
      <c r="D229" s="265">
        <f>SUMIF('ПО КОРИСНИЦИМА'!$G$8:$G$18203,"Свега за пројекат 0701-П30:",'ПО КОРИСНИЦИМА'!$H$8:$H$18203)</f>
        <v>0</v>
      </c>
      <c r="E229" s="684"/>
      <c r="F229" s="694" t="e">
        <f t="shared" ref="F229:F292" si="8">SUM(E229/D229)*100</f>
        <v>#DIV/0!</v>
      </c>
      <c r="G229" s="692">
        <f>SUMIF('ПО КОРИСНИЦИМА'!$G$8:$G$18203,"Свега за пројекат 0701-П30:",'ПО КОРИСНИЦИМА'!$K$8:$K$18203)</f>
        <v>0</v>
      </c>
      <c r="H229" s="690"/>
      <c r="I229" s="689"/>
      <c r="J229" s="688"/>
    </row>
    <row r="230" spans="1:10" hidden="1" x14ac:dyDescent="0.2">
      <c r="A230" s="236"/>
      <c r="B230" s="236" t="s">
        <v>4663</v>
      </c>
      <c r="C230" s="208" t="str">
        <f>IFERROR(VLOOKUP(B230,'ПО КОРИСНИЦИМА'!$C$8:$L$18203,5,FALSE),"")</f>
        <v/>
      </c>
      <c r="D230" s="265">
        <f>SUMIF('ПО КОРИСНИЦИМА'!$G$8:$G$18203,"Свега за пројекат 0701-П31:",'ПО КОРИСНИЦИМА'!$H$8:$H$18203)</f>
        <v>0</v>
      </c>
      <c r="E230" s="684"/>
      <c r="F230" s="694" t="e">
        <f t="shared" si="8"/>
        <v>#DIV/0!</v>
      </c>
      <c r="G230" s="692">
        <f>SUMIF('ПО КОРИСНИЦИМА'!$G$8:$G$18203,"Свега за пројекат 0701-П31:",'ПО КОРИСНИЦИМА'!$K$8:$K$18203)</f>
        <v>0</v>
      </c>
      <c r="H230" s="690"/>
      <c r="I230" s="689"/>
      <c r="J230" s="688"/>
    </row>
    <row r="231" spans="1:10" hidden="1" x14ac:dyDescent="0.2">
      <c r="A231" s="236"/>
      <c r="B231" s="236" t="s">
        <v>4664</v>
      </c>
      <c r="C231" s="208" t="str">
        <f>IFERROR(VLOOKUP(B231,'ПО КОРИСНИЦИМА'!$C$8:$L$18203,5,FALSE),"")</f>
        <v/>
      </c>
      <c r="D231" s="265">
        <f>SUMIF('ПО КОРИСНИЦИМА'!$G$8:$G$18203,"Свега за пројекат 0701-П32:",'ПО КОРИСНИЦИМА'!$H$8:$H$18203)</f>
        <v>0</v>
      </c>
      <c r="E231" s="684"/>
      <c r="F231" s="694" t="e">
        <f t="shared" si="8"/>
        <v>#DIV/0!</v>
      </c>
      <c r="G231" s="692">
        <f>SUMIF('ПО КОРИСНИЦИМА'!$G$8:$G$18203,"Свега за пројекат 0701-П32:",'ПО КОРИСНИЦИМА'!$K$8:$K$18203)</f>
        <v>0</v>
      </c>
      <c r="H231" s="690"/>
      <c r="I231" s="689"/>
      <c r="J231" s="688"/>
    </row>
    <row r="232" spans="1:10" hidden="1" x14ac:dyDescent="0.2">
      <c r="A232" s="236"/>
      <c r="B232" s="236" t="s">
        <v>4665</v>
      </c>
      <c r="C232" s="208" t="str">
        <f>IFERROR(VLOOKUP(B232,'ПО КОРИСНИЦИМА'!$C$8:$L$18203,5,FALSE),"")</f>
        <v/>
      </c>
      <c r="D232" s="265">
        <f>SUMIF('ПО КОРИСНИЦИМА'!$G$8:$G$18203,"Свега за пројекат 0701-П33:",'ПО КОРИСНИЦИМА'!$H$8:$H$18203)</f>
        <v>0</v>
      </c>
      <c r="E232" s="684"/>
      <c r="F232" s="694" t="e">
        <f t="shared" si="8"/>
        <v>#DIV/0!</v>
      </c>
      <c r="G232" s="692">
        <f>SUMIF('ПО КОРИСНИЦИМА'!$G$8:$G$18203,"Свега за пројекат 0701-П33:",'ПО КОРИСНИЦИМА'!$K$8:$K$18203)</f>
        <v>0</v>
      </c>
      <c r="H232" s="690"/>
      <c r="I232" s="689"/>
      <c r="J232" s="688"/>
    </row>
    <row r="233" spans="1:10" hidden="1" x14ac:dyDescent="0.2">
      <c r="A233" s="236"/>
      <c r="B233" s="236" t="s">
        <v>4666</v>
      </c>
      <c r="C233" s="208" t="str">
        <f>IFERROR(VLOOKUP(B233,'ПО КОРИСНИЦИМА'!$C$8:$L$18203,5,FALSE),"")</f>
        <v/>
      </c>
      <c r="D233" s="265">
        <f>SUMIF('ПО КОРИСНИЦИМА'!$G$8:$G$18203,"Свега за пројекат 0701-П34:",'ПО КОРИСНИЦИМА'!$H$8:$H$18203)</f>
        <v>0</v>
      </c>
      <c r="E233" s="684"/>
      <c r="F233" s="694" t="e">
        <f t="shared" si="8"/>
        <v>#DIV/0!</v>
      </c>
      <c r="G233" s="692">
        <f>SUMIF('ПО КОРИСНИЦИМА'!$G$8:$G$18203,"Свега за пројекат 0701-П34:",'ПО КОРИСНИЦИМА'!$K$8:$K$18203)</f>
        <v>0</v>
      </c>
      <c r="H233" s="690"/>
      <c r="I233" s="689"/>
      <c r="J233" s="688"/>
    </row>
    <row r="234" spans="1:10" hidden="1" x14ac:dyDescent="0.2">
      <c r="A234" s="236"/>
      <c r="B234" s="236" t="s">
        <v>4667</v>
      </c>
      <c r="C234" s="208" t="str">
        <f>IFERROR(VLOOKUP(B234,'ПО КОРИСНИЦИМА'!$C$8:$L$18203,5,FALSE),"")</f>
        <v/>
      </c>
      <c r="D234" s="265">
        <f>SUMIF('ПО КОРИСНИЦИМА'!$G$8:$G$18203,"Свега за пројекат 0701-П35:",'ПО КОРИСНИЦИМА'!$H$8:$H$18203)</f>
        <v>0</v>
      </c>
      <c r="E234" s="684"/>
      <c r="F234" s="694" t="e">
        <f t="shared" si="8"/>
        <v>#DIV/0!</v>
      </c>
      <c r="G234" s="692">
        <f>SUMIF('ПО КОРИСНИЦИМА'!$G$8:$G$18203,"Свега за пројекат 0701-П35:",'ПО КОРИСНИЦИМА'!$K$8:$K$18203)</f>
        <v>0</v>
      </c>
      <c r="H234" s="690"/>
      <c r="I234" s="689"/>
      <c r="J234" s="688"/>
    </row>
    <row r="235" spans="1:10" hidden="1" x14ac:dyDescent="0.2">
      <c r="A235" s="236"/>
      <c r="B235" s="236" t="s">
        <v>4668</v>
      </c>
      <c r="C235" s="208" t="str">
        <f>IFERROR(VLOOKUP(B235,'ПО КОРИСНИЦИМА'!$C$8:$L$18203,5,FALSE),"")</f>
        <v/>
      </c>
      <c r="D235" s="265">
        <f>SUMIF('ПО КОРИСНИЦИМА'!$G$8:$G$18203,"Свега за пројекат 0701-П36:",'ПО КОРИСНИЦИМА'!$H$8:$H$18203)</f>
        <v>0</v>
      </c>
      <c r="E235" s="684"/>
      <c r="F235" s="694" t="e">
        <f t="shared" si="8"/>
        <v>#DIV/0!</v>
      </c>
      <c r="G235" s="692">
        <f>SUMIF('ПО КОРИСНИЦИМА'!$G$8:$G$18203,"Свега за пројекат 0701-П36:",'ПО КОРИСНИЦИМА'!$K$8:$K$18203)</f>
        <v>0</v>
      </c>
      <c r="H235" s="690"/>
      <c r="I235" s="689"/>
      <c r="J235" s="688"/>
    </row>
    <row r="236" spans="1:10" hidden="1" x14ac:dyDescent="0.2">
      <c r="A236" s="236"/>
      <c r="B236" s="236" t="s">
        <v>4669</v>
      </c>
      <c r="C236" s="208" t="str">
        <f>IFERROR(VLOOKUP(B236,'ПО КОРИСНИЦИМА'!$C$8:$L$18203,5,FALSE),"")</f>
        <v/>
      </c>
      <c r="D236" s="265">
        <f>SUMIF('ПО КОРИСНИЦИМА'!$G$8:$G$18203,"Свега за пројекат 0701-П37:",'ПО КОРИСНИЦИМА'!$H$8:$H$18203)</f>
        <v>0</v>
      </c>
      <c r="E236" s="684"/>
      <c r="F236" s="694" t="e">
        <f t="shared" si="8"/>
        <v>#DIV/0!</v>
      </c>
      <c r="G236" s="692">
        <f>SUMIF('ПО КОРИСНИЦИМА'!$G$8:$G$18203,"Свега за пројекат 0701-П37:",'ПО КОРИСНИЦИМА'!$K$8:$K$18203)</f>
        <v>0</v>
      </c>
      <c r="H236" s="690"/>
      <c r="I236" s="689"/>
      <c r="J236" s="688"/>
    </row>
    <row r="237" spans="1:10" hidden="1" x14ac:dyDescent="0.2">
      <c r="A237" s="236"/>
      <c r="B237" s="236" t="s">
        <v>4670</v>
      </c>
      <c r="C237" s="208" t="str">
        <f>IFERROR(VLOOKUP(B237,'ПО КОРИСНИЦИМА'!$C$8:$L$18203,5,FALSE),"")</f>
        <v/>
      </c>
      <c r="D237" s="265">
        <f>SUMIF('ПО КОРИСНИЦИМА'!$G$8:$G$18203,"Свега за пројекат 0701-П38:",'ПО КОРИСНИЦИМА'!$H$8:$H$18203)</f>
        <v>0</v>
      </c>
      <c r="E237" s="684"/>
      <c r="F237" s="694" t="e">
        <f t="shared" si="8"/>
        <v>#DIV/0!</v>
      </c>
      <c r="G237" s="692">
        <f>SUMIF('ПО КОРИСНИЦИМА'!$G$8:$G$18203,"Свега за пројекат 0701-П38:",'ПО КОРИСНИЦИМА'!$K$8:$K$18203)</f>
        <v>0</v>
      </c>
      <c r="H237" s="690"/>
      <c r="I237" s="689"/>
      <c r="J237" s="688"/>
    </row>
    <row r="238" spans="1:10" hidden="1" x14ac:dyDescent="0.2">
      <c r="A238" s="236"/>
      <c r="B238" s="236" t="s">
        <v>4671</v>
      </c>
      <c r="C238" s="208" t="str">
        <f>IFERROR(VLOOKUP(B238,'ПО КОРИСНИЦИМА'!$C$8:$L$18203,5,FALSE),"")</f>
        <v/>
      </c>
      <c r="D238" s="265">
        <f>SUMIF('ПО КОРИСНИЦИМА'!$G$8:$G$18203,"Свега за пројекат 0701-П39:",'ПО КОРИСНИЦИМА'!$H$8:$H$18203)</f>
        <v>0</v>
      </c>
      <c r="E238" s="684"/>
      <c r="F238" s="694" t="e">
        <f t="shared" si="8"/>
        <v>#DIV/0!</v>
      </c>
      <c r="G238" s="692">
        <f>SUMIF('ПО КОРИСНИЦИМА'!$G$8:$G$18203,"Свега за пројекат 0701-П39:",'ПО КОРИСНИЦИМА'!$K$8:$K$18203)</f>
        <v>0</v>
      </c>
      <c r="H238" s="690"/>
      <c r="I238" s="689"/>
      <c r="J238" s="688"/>
    </row>
    <row r="239" spans="1:10" hidden="1" x14ac:dyDescent="0.2">
      <c r="A239" s="236"/>
      <c r="B239" s="236" t="s">
        <v>4672</v>
      </c>
      <c r="C239" s="208" t="str">
        <f>IFERROR(VLOOKUP(B239,'ПО КОРИСНИЦИМА'!$C$8:$L$18203,5,FALSE),"")</f>
        <v/>
      </c>
      <c r="D239" s="265">
        <f>SUMIF('ПО КОРИСНИЦИМА'!$G$8:$G$18203,"Свега за пројекат 0701-П40:",'ПО КОРИСНИЦИМА'!$H$8:$H$18203)</f>
        <v>0</v>
      </c>
      <c r="E239" s="684"/>
      <c r="F239" s="694" t="e">
        <f t="shared" si="8"/>
        <v>#DIV/0!</v>
      </c>
      <c r="G239" s="692">
        <f>SUMIF('ПО КОРИСНИЦИМА'!$G$8:$G$18203,"Свега за пројекат 0701-П40:",'ПО КОРИСНИЦИМА'!$K$8:$K$18203)</f>
        <v>0</v>
      </c>
      <c r="H239" s="690"/>
      <c r="I239" s="689"/>
      <c r="J239" s="688"/>
    </row>
    <row r="240" spans="1:10" hidden="1" x14ac:dyDescent="0.2">
      <c r="A240" s="236"/>
      <c r="B240" s="236" t="s">
        <v>4673</v>
      </c>
      <c r="C240" s="208" t="str">
        <f>IFERROR(VLOOKUP(B240,'ПО КОРИСНИЦИМА'!$C$8:$L$18203,5,FALSE),"")</f>
        <v/>
      </c>
      <c r="D240" s="265">
        <f>SUMIF('ПО КОРИСНИЦИМА'!$G$8:$G$18203,"Свега за пројекат 0701-П41:",'ПО КОРИСНИЦИМА'!$H$8:$H$18203)</f>
        <v>0</v>
      </c>
      <c r="E240" s="684"/>
      <c r="F240" s="694" t="e">
        <f t="shared" si="8"/>
        <v>#DIV/0!</v>
      </c>
      <c r="G240" s="692">
        <f>SUMIF('ПО КОРИСНИЦИМА'!$G$8:$G$18203,"Свега за пројекат 0701-П41:",'ПО КОРИСНИЦИМА'!$K$8:$K$18203)</f>
        <v>0</v>
      </c>
      <c r="H240" s="690"/>
      <c r="I240" s="689"/>
      <c r="J240" s="688"/>
    </row>
    <row r="241" spans="1:10" hidden="1" x14ac:dyDescent="0.2">
      <c r="A241" s="236"/>
      <c r="B241" s="236" t="s">
        <v>4674</v>
      </c>
      <c r="C241" s="208" t="str">
        <f>IFERROR(VLOOKUP(B241,'ПО КОРИСНИЦИМА'!$C$8:$L$18203,5,FALSE),"")</f>
        <v/>
      </c>
      <c r="D241" s="265">
        <f>SUMIF('ПО КОРИСНИЦИМА'!$G$8:$G$18203,"Свега за пројекат 0701-П42:",'ПО КОРИСНИЦИМА'!$H$8:$H$18203)</f>
        <v>0</v>
      </c>
      <c r="E241" s="684"/>
      <c r="F241" s="694" t="e">
        <f t="shared" si="8"/>
        <v>#DIV/0!</v>
      </c>
      <c r="G241" s="692">
        <f>SUMIF('ПО КОРИСНИЦИМА'!$G$8:$G$18203,"Свега за пројекат 0701-П42:",'ПО КОРИСНИЦИМА'!$K$8:$K$18203)</f>
        <v>0</v>
      </c>
      <c r="H241" s="690"/>
      <c r="I241" s="689"/>
      <c r="J241" s="688"/>
    </row>
    <row r="242" spans="1:10" hidden="1" x14ac:dyDescent="0.2">
      <c r="A242" s="236"/>
      <c r="B242" s="236" t="s">
        <v>4675</v>
      </c>
      <c r="C242" s="208" t="str">
        <f>IFERROR(VLOOKUP(B242,'ПО КОРИСНИЦИМА'!$C$8:$L$18203,5,FALSE),"")</f>
        <v/>
      </c>
      <c r="D242" s="265">
        <f>SUMIF('ПО КОРИСНИЦИМА'!$G$8:$G$18203,"Свега за пројекат 0701-П43:",'ПО КОРИСНИЦИМА'!$H$8:$H$18203)</f>
        <v>0</v>
      </c>
      <c r="E242" s="684"/>
      <c r="F242" s="694" t="e">
        <f t="shared" si="8"/>
        <v>#DIV/0!</v>
      </c>
      <c r="G242" s="692">
        <f>SUMIF('ПО КОРИСНИЦИМА'!$G$8:$G$18203,"Свега за пројекат 0701-П43:",'ПО КОРИСНИЦИМА'!$K$8:$K$18203)</f>
        <v>0</v>
      </c>
      <c r="H242" s="690"/>
      <c r="I242" s="689"/>
      <c r="J242" s="688"/>
    </row>
    <row r="243" spans="1:10" hidden="1" x14ac:dyDescent="0.2">
      <c r="A243" s="236"/>
      <c r="B243" s="236" t="s">
        <v>4676</v>
      </c>
      <c r="C243" s="208" t="str">
        <f>IFERROR(VLOOKUP(B243,'ПО КОРИСНИЦИМА'!$C$8:$L$18203,5,FALSE),"")</f>
        <v/>
      </c>
      <c r="D243" s="265">
        <f>SUMIF('ПО КОРИСНИЦИМА'!$G$8:$G$18203,"Свега за пројекат 0701-П44:",'ПО КОРИСНИЦИМА'!$H$8:$H$18203)</f>
        <v>0</v>
      </c>
      <c r="E243" s="684"/>
      <c r="F243" s="694" t="e">
        <f t="shared" si="8"/>
        <v>#DIV/0!</v>
      </c>
      <c r="G243" s="692">
        <f>SUMIF('ПО КОРИСНИЦИМА'!$G$8:$G$18203,"Свега за пројекат 0701-П44:",'ПО КОРИСНИЦИМА'!$K$8:$K$18203)</f>
        <v>0</v>
      </c>
      <c r="H243" s="690"/>
      <c r="I243" s="689"/>
      <c r="J243" s="688"/>
    </row>
    <row r="244" spans="1:10" hidden="1" x14ac:dyDescent="0.2">
      <c r="A244" s="236"/>
      <c r="B244" s="236" t="s">
        <v>4677</v>
      </c>
      <c r="C244" s="208" t="str">
        <f>IFERROR(VLOOKUP(B244,'ПО КОРИСНИЦИМА'!$C$8:$L$18203,5,FALSE),"")</f>
        <v/>
      </c>
      <c r="D244" s="265">
        <f>SUMIF('ПО КОРИСНИЦИМА'!$G$8:$G$18203,"Свега за пројекат 0701-П45:",'ПО КОРИСНИЦИМА'!$H$8:$H$18203)</f>
        <v>0</v>
      </c>
      <c r="E244" s="684"/>
      <c r="F244" s="694" t="e">
        <f t="shared" si="8"/>
        <v>#DIV/0!</v>
      </c>
      <c r="G244" s="692">
        <f>SUMIF('ПО КОРИСНИЦИМА'!$G$8:$G$18203,"Свега за пројекат 0701-П45:",'ПО КОРИСНИЦИМА'!$K$8:$K$18203)</f>
        <v>0</v>
      </c>
      <c r="H244" s="690"/>
      <c r="I244" s="689"/>
      <c r="J244" s="688"/>
    </row>
    <row r="245" spans="1:10" hidden="1" x14ac:dyDescent="0.2">
      <c r="A245" s="236"/>
      <c r="B245" s="236" t="s">
        <v>4678</v>
      </c>
      <c r="C245" s="208" t="str">
        <f>IFERROR(VLOOKUP(B245,'ПО КОРИСНИЦИМА'!$C$8:$L$18203,5,FALSE),"")</f>
        <v/>
      </c>
      <c r="D245" s="265">
        <f>SUMIF('ПО КОРИСНИЦИМА'!$G$8:$G$18203,"Свега за пројекат 0701-П46:",'ПО КОРИСНИЦИМА'!$H$8:$H$18203)</f>
        <v>0</v>
      </c>
      <c r="E245" s="684"/>
      <c r="F245" s="694" t="e">
        <f t="shared" si="8"/>
        <v>#DIV/0!</v>
      </c>
      <c r="G245" s="692">
        <f>SUMIF('ПО КОРИСНИЦИМА'!$G$8:$G$18203,"Свега за пројекат 0701-П46:",'ПО КОРИСНИЦИМА'!$K$8:$K$18203)</f>
        <v>0</v>
      </c>
      <c r="H245" s="690"/>
      <c r="I245" s="689"/>
      <c r="J245" s="688"/>
    </row>
    <row r="246" spans="1:10" hidden="1" x14ac:dyDescent="0.2">
      <c r="A246" s="236"/>
      <c r="B246" s="236" t="s">
        <v>4679</v>
      </c>
      <c r="C246" s="208" t="str">
        <f>IFERROR(VLOOKUP(B246,'ПО КОРИСНИЦИМА'!$C$8:$L$18203,5,FALSE),"")</f>
        <v/>
      </c>
      <c r="D246" s="265">
        <f>SUMIF('ПО КОРИСНИЦИМА'!$G$8:$G$18203,"Свега за пројекат 0701-П47:",'ПО КОРИСНИЦИМА'!$H$8:$H$18203)</f>
        <v>0</v>
      </c>
      <c r="E246" s="684"/>
      <c r="F246" s="694" t="e">
        <f t="shared" si="8"/>
        <v>#DIV/0!</v>
      </c>
      <c r="G246" s="692">
        <f>SUMIF('ПО КОРИСНИЦИМА'!$G$8:$G$18203,"Свега за пројекат 0701-П47:",'ПО КОРИСНИЦИМА'!$K$8:$K$18203)</f>
        <v>0</v>
      </c>
      <c r="H246" s="690"/>
      <c r="I246" s="689"/>
      <c r="J246" s="688"/>
    </row>
    <row r="247" spans="1:10" hidden="1" x14ac:dyDescent="0.2">
      <c r="A247" s="236"/>
      <c r="B247" s="236" t="s">
        <v>4680</v>
      </c>
      <c r="C247" s="208" t="str">
        <f>IFERROR(VLOOKUP(B247,'ПО КОРИСНИЦИМА'!$C$8:$L$18203,5,FALSE),"")</f>
        <v/>
      </c>
      <c r="D247" s="265">
        <f>SUMIF('ПО КОРИСНИЦИМА'!$G$8:$G$18203,"Свега за пројекат 0701-П48:",'ПО КОРИСНИЦИМА'!$H$8:$H$18203)</f>
        <v>0</v>
      </c>
      <c r="E247" s="684"/>
      <c r="F247" s="694" t="e">
        <f t="shared" si="8"/>
        <v>#DIV/0!</v>
      </c>
      <c r="G247" s="692">
        <f>SUMIF('ПО КОРИСНИЦИМА'!$G$8:$G$18203,"Свега за пројекат 0701-П48:",'ПО КОРИСНИЦИМА'!$K$8:$K$18203)</f>
        <v>0</v>
      </c>
      <c r="H247" s="690"/>
      <c r="I247" s="689"/>
      <c r="J247" s="688"/>
    </row>
    <row r="248" spans="1:10" hidden="1" x14ac:dyDescent="0.2">
      <c r="A248" s="236"/>
      <c r="B248" s="236" t="s">
        <v>4681</v>
      </c>
      <c r="C248" s="208" t="str">
        <f>IFERROR(VLOOKUP(B248,'ПО КОРИСНИЦИМА'!$C$8:$L$18203,5,FALSE),"")</f>
        <v/>
      </c>
      <c r="D248" s="265">
        <f>SUMIF('ПО КОРИСНИЦИМА'!$G$8:$G$18203,"Свега за пројекат 0701-П49:",'ПО КОРИСНИЦИМА'!$H$8:$H$18203)</f>
        <v>0</v>
      </c>
      <c r="E248" s="684"/>
      <c r="F248" s="694" t="e">
        <f t="shared" si="8"/>
        <v>#DIV/0!</v>
      </c>
      <c r="G248" s="692">
        <f>SUMIF('ПО КОРИСНИЦИМА'!$G$8:$G$18203,"Свега за пројекат 0701-П49:",'ПО КОРИСНИЦИМА'!$K$8:$K$18203)</f>
        <v>0</v>
      </c>
      <c r="H248" s="690"/>
      <c r="I248" s="698"/>
      <c r="J248" s="688"/>
    </row>
    <row r="249" spans="1:10" ht="12.75" customHeight="1" x14ac:dyDescent="0.2">
      <c r="A249" s="237"/>
      <c r="B249" s="236" t="s">
        <v>4641</v>
      </c>
      <c r="C249" s="208" t="str">
        <f>IFERROR(VLOOKUP(B249,'ПО КОРИСНИЦИМА'!$C$8:$L$18203,5,FALSE),"")</f>
        <v>Изградња тротоара у улици Милана Тешића</v>
      </c>
      <c r="D249" s="265">
        <v>0</v>
      </c>
      <c r="E249" s="684"/>
      <c r="F249" s="694"/>
      <c r="G249" s="692">
        <f>SUMIF('ПО КОРИСНИЦИМА'!$G$8:$G$18203,"Свега за пројекат 0701-П50:",'ПО КОРИСНИЦИМА'!$K$8:$K$18203)</f>
        <v>0</v>
      </c>
      <c r="H249" s="690"/>
      <c r="I249" s="699"/>
      <c r="J249" s="688"/>
    </row>
    <row r="250" spans="1:10" s="234" customFormat="1" x14ac:dyDescent="0.2">
      <c r="A250" s="226" t="s">
        <v>3579</v>
      </c>
      <c r="B250" s="227"/>
      <c r="C250" s="206" t="s">
        <v>3672</v>
      </c>
      <c r="D250" s="253">
        <f>SUM(D251:D281)</f>
        <v>17864000</v>
      </c>
      <c r="E250" s="685">
        <f>SUM(E251:E253)</f>
        <v>16297753.660000002</v>
      </c>
      <c r="F250" s="694">
        <f t="shared" si="8"/>
        <v>91.232387259292452</v>
      </c>
      <c r="G250" s="695">
        <f>SUM(G251:G281)</f>
        <v>10686100</v>
      </c>
      <c r="H250" s="696">
        <f>SUM(H251)</f>
        <v>9986349.370000001</v>
      </c>
      <c r="I250" s="695"/>
      <c r="J250" s="770">
        <f t="shared" ref="J250:J281" si="9">SUM(H250/G250)*100</f>
        <v>93.451767904099725</v>
      </c>
    </row>
    <row r="251" spans="1:10" x14ac:dyDescent="0.2">
      <c r="A251" s="229"/>
      <c r="B251" s="238" t="s">
        <v>4330</v>
      </c>
      <c r="C251" s="212" t="s">
        <v>4105</v>
      </c>
      <c r="D251" s="257">
        <f>SUMIF('ПО КОРИСНИЦИМА'!$G$8:$G$18203,"Свега за програмску активност 2001-0001:",'ПО КОРИСНИЦИМА'!$H$8:$H$18203)</f>
        <v>17864000</v>
      </c>
      <c r="E251" s="683">
        <f>SUM('ПО КОРИСНИЦИМА'!I14379)</f>
        <v>16297753.660000002</v>
      </c>
      <c r="F251" s="694">
        <f t="shared" si="8"/>
        <v>91.232387259292452</v>
      </c>
      <c r="G251" s="686">
        <f>SUMIF('ПО КОРИСНИЦИМА'!$G$8:$G$18203,"Свега за програмску активност 2001-0001:",'ПО КОРИСНИЦИМА'!$K$8:$K$18203)</f>
        <v>10406100</v>
      </c>
      <c r="H251" s="687">
        <f>SUM('ПО КОРИСНИЦИМА'!L14361)</f>
        <v>9986349.370000001</v>
      </c>
      <c r="I251" s="700"/>
      <c r="J251" s="688">
        <f t="shared" si="9"/>
        <v>95.966302168920166</v>
      </c>
    </row>
    <row r="252" spans="1:10" hidden="1" x14ac:dyDescent="0.2">
      <c r="A252" s="236"/>
      <c r="B252" s="236" t="s">
        <v>5160</v>
      </c>
      <c r="C252" s="208" t="str">
        <f>IFERROR(VLOOKUP(B252,'ПО КОРИСНИЦИМА'!$C$8:$L$18203,5,FALSE),"")</f>
        <v/>
      </c>
      <c r="D252" s="265"/>
      <c r="E252" s="684"/>
      <c r="F252" s="694" t="e">
        <f t="shared" si="8"/>
        <v>#DIV/0!</v>
      </c>
      <c r="G252" s="692">
        <f>SUMIF('ПО КОРИСНИЦИМА'!$G$8:$G$18203,"Свега за пројекат 2001-П1:",'ПО КОРИСНИЦИМА'!$K$8:$K$18203)</f>
        <v>0</v>
      </c>
      <c r="H252" s="690"/>
      <c r="I252" s="701"/>
      <c r="J252" s="688" t="e">
        <f t="shared" si="9"/>
        <v>#DIV/0!</v>
      </c>
    </row>
    <row r="253" spans="1:10" x14ac:dyDescent="0.2">
      <c r="A253" s="236"/>
      <c r="B253" s="236" t="s">
        <v>5161</v>
      </c>
      <c r="C253" s="208" t="str">
        <f>IFERROR(VLOOKUP(B253,'ПО КОРИСНИЦИМА'!$C$8:$L$18203,5,FALSE),"")</f>
        <v>Пројекат реконструкције санитарног чвора</v>
      </c>
      <c r="D253" s="265"/>
      <c r="E253" s="684"/>
      <c r="F253" s="694"/>
      <c r="G253" s="692">
        <v>280000</v>
      </c>
      <c r="H253" s="690"/>
      <c r="I253" s="692"/>
      <c r="J253" s="688">
        <f t="shared" si="9"/>
        <v>0</v>
      </c>
    </row>
    <row r="254" spans="1:10" hidden="1" x14ac:dyDescent="0.2">
      <c r="A254" s="236"/>
      <c r="B254" s="236" t="s">
        <v>4682</v>
      </c>
      <c r="C254" s="208" t="str">
        <f>IFERROR(VLOOKUP(B254,'ПО КОРИСНИЦИМА'!$C$8:$L$18203,5,FALSE),"")</f>
        <v/>
      </c>
      <c r="D254" s="265">
        <f>SUMIF('ПО КОРИСНИЦИМА'!$G$8:$G$18203,"Свега за пројекат 2001-П3:",'ПО КОРИСНИЦИМА'!$H$8:$H$18203)</f>
        <v>0</v>
      </c>
      <c r="E254" s="684"/>
      <c r="F254" s="694" t="e">
        <f t="shared" si="8"/>
        <v>#DIV/0!</v>
      </c>
      <c r="G254" s="692"/>
      <c r="H254" s="690"/>
      <c r="I254" s="692"/>
      <c r="J254" s="688" t="e">
        <f t="shared" si="9"/>
        <v>#DIV/0!</v>
      </c>
    </row>
    <row r="255" spans="1:10" hidden="1" x14ac:dyDescent="0.2">
      <c r="A255" s="236"/>
      <c r="B255" s="236" t="s">
        <v>4683</v>
      </c>
      <c r="C255" s="208" t="str">
        <f>IFERROR(VLOOKUP(B255,'ПО КОРИСНИЦИМА'!$C$8:$L$18203,5,FALSE),"")</f>
        <v/>
      </c>
      <c r="D255" s="265">
        <f>SUMIF('ПО КОРИСНИЦИМА'!$G$8:$G$18203,"Свега за пројекат 2001-П4:",'ПО КОРИСНИЦИМА'!$H$8:$H$18203)</f>
        <v>0</v>
      </c>
      <c r="E255" s="684"/>
      <c r="F255" s="694" t="e">
        <f t="shared" si="8"/>
        <v>#DIV/0!</v>
      </c>
      <c r="G255" s="692">
        <f>SUMIF('ПО КОРИСНИЦИМА'!$G$8:$G$18203,"Свега за пројекат 2001-П4:",'ПО КОРИСНИЦИМА'!$K$8:$K$18203)</f>
        <v>0</v>
      </c>
      <c r="H255" s="690"/>
      <c r="I255" s="692"/>
      <c r="J255" s="688" t="e">
        <f t="shared" si="9"/>
        <v>#DIV/0!</v>
      </c>
    </row>
    <row r="256" spans="1:10" hidden="1" x14ac:dyDescent="0.2">
      <c r="A256" s="236"/>
      <c r="B256" s="236" t="s">
        <v>4684</v>
      </c>
      <c r="C256" s="208" t="str">
        <f>IFERROR(VLOOKUP(B256,'ПО КОРИСНИЦИМА'!$C$8:$L$18203,5,FALSE),"")</f>
        <v/>
      </c>
      <c r="D256" s="265">
        <f>SUMIF('ПО КОРИСНИЦИМА'!$G$8:$G$18203,"Свега за пројекат 2001-П5:",'ПО КОРИСНИЦИМА'!$H$8:$H$18203)</f>
        <v>0</v>
      </c>
      <c r="E256" s="684"/>
      <c r="F256" s="694" t="e">
        <f t="shared" si="8"/>
        <v>#DIV/0!</v>
      </c>
      <c r="G256" s="692"/>
      <c r="H256" s="690"/>
      <c r="I256" s="692"/>
      <c r="J256" s="688" t="e">
        <f t="shared" si="9"/>
        <v>#DIV/0!</v>
      </c>
    </row>
    <row r="257" spans="1:10" hidden="1" x14ac:dyDescent="0.2">
      <c r="A257" s="236"/>
      <c r="B257" s="236" t="s">
        <v>4685</v>
      </c>
      <c r="C257" s="208"/>
      <c r="D257" s="265"/>
      <c r="E257" s="684"/>
      <c r="F257" s="694" t="e">
        <f t="shared" si="8"/>
        <v>#DIV/0!</v>
      </c>
      <c r="G257" s="692"/>
      <c r="H257" s="690"/>
      <c r="I257" s="692"/>
      <c r="J257" s="688" t="e">
        <f t="shared" si="9"/>
        <v>#DIV/0!</v>
      </c>
    </row>
    <row r="258" spans="1:10" hidden="1" x14ac:dyDescent="0.2">
      <c r="A258" s="236"/>
      <c r="B258" s="236" t="s">
        <v>4686</v>
      </c>
      <c r="C258" s="208"/>
      <c r="D258" s="265">
        <f>SUMIF('ПО КОРИСНИЦИМА'!$G$8:$G$18203,"Свега за пројекат 2001-П7:",'ПО КОРИСНИЦИМА'!$H$8:$H$18203)</f>
        <v>0</v>
      </c>
      <c r="E258" s="684"/>
      <c r="F258" s="694" t="e">
        <f t="shared" si="8"/>
        <v>#DIV/0!</v>
      </c>
      <c r="G258" s="692"/>
      <c r="H258" s="690"/>
      <c r="I258" s="692"/>
      <c r="J258" s="688" t="e">
        <f t="shared" si="9"/>
        <v>#DIV/0!</v>
      </c>
    </row>
    <row r="259" spans="1:10" hidden="1" x14ac:dyDescent="0.2">
      <c r="A259" s="236"/>
      <c r="B259" s="236" t="s">
        <v>4687</v>
      </c>
      <c r="C259" s="208" t="str">
        <f>IFERROR(VLOOKUP(B259,'ПО КОРИСНИЦИМА'!$C$8:$L$18203,5,FALSE),"")</f>
        <v/>
      </c>
      <c r="D259" s="265">
        <f>SUMIF('ПО КОРИСНИЦИМА'!$G$8:$G$18203,"Свега за пројекат 2001-П8:",'ПО КОРИСНИЦИМА'!$H$8:$H$18203)</f>
        <v>0</v>
      </c>
      <c r="E259" s="684"/>
      <c r="F259" s="694" t="e">
        <f t="shared" si="8"/>
        <v>#DIV/0!</v>
      </c>
      <c r="G259" s="692">
        <f>SUMIF('ПО КОРИСНИЦИМА'!$G$8:$G$18203,"Свега за пројекат 2001-П8:",'ПО КОРИСНИЦИМА'!$K$8:$K$18203)</f>
        <v>0</v>
      </c>
      <c r="H259" s="690"/>
      <c r="I259" s="692"/>
      <c r="J259" s="688" t="e">
        <f t="shared" si="9"/>
        <v>#DIV/0!</v>
      </c>
    </row>
    <row r="260" spans="1:10" hidden="1" x14ac:dyDescent="0.2">
      <c r="A260" s="236"/>
      <c r="B260" s="236" t="s">
        <v>4688</v>
      </c>
      <c r="C260" s="208" t="str">
        <f>IFERROR(VLOOKUP(B260,'ПО КОРИСНИЦИМА'!$C$8:$L$18203,5,FALSE),"")</f>
        <v/>
      </c>
      <c r="D260" s="265">
        <f>SUMIF('ПО КОРИСНИЦИМА'!$G$8:$G$18203,"Свега за пројекат 2001-П9:",'ПО КОРИСНИЦИМА'!$H$8:$H$18203)</f>
        <v>0</v>
      </c>
      <c r="E260" s="684"/>
      <c r="F260" s="694" t="e">
        <f t="shared" si="8"/>
        <v>#DIV/0!</v>
      </c>
      <c r="G260" s="692">
        <f>SUMIF('ПО КОРИСНИЦИМА'!$G$8:$G$18203,"Свега за пројекат 2001-П9:",'ПО КОРИСНИЦИМА'!$K$8:$K$18203)</f>
        <v>0</v>
      </c>
      <c r="H260" s="690"/>
      <c r="I260" s="692"/>
      <c r="J260" s="688" t="e">
        <f t="shared" si="9"/>
        <v>#DIV/0!</v>
      </c>
    </row>
    <row r="261" spans="1:10" hidden="1" x14ac:dyDescent="0.2">
      <c r="A261" s="236"/>
      <c r="B261" s="236" t="s">
        <v>4689</v>
      </c>
      <c r="C261" s="208" t="str">
        <f>IFERROR(VLOOKUP(B261,'ПО КОРИСНИЦИМА'!$C$8:$L$18203,5,FALSE),"")</f>
        <v/>
      </c>
      <c r="D261" s="265">
        <f>SUMIF('ПО КОРИСНИЦИМА'!$G$8:$G$18203,"Свега за пројекат 2001-П10:",'ПО КОРИСНИЦИМА'!$H$8:$H$18203)</f>
        <v>0</v>
      </c>
      <c r="E261" s="684"/>
      <c r="F261" s="694" t="e">
        <f t="shared" si="8"/>
        <v>#DIV/0!</v>
      </c>
      <c r="G261" s="692">
        <f>SUMIF('ПО КОРИСНИЦИМА'!$G$8:$G$18203,"Свега за пројекат 2001-П10:",'ПО КОРИСНИЦИМА'!$K$8:$K$18203)</f>
        <v>0</v>
      </c>
      <c r="H261" s="690"/>
      <c r="I261" s="692"/>
      <c r="J261" s="688" t="e">
        <f t="shared" si="9"/>
        <v>#DIV/0!</v>
      </c>
    </row>
    <row r="262" spans="1:10" hidden="1" x14ac:dyDescent="0.2">
      <c r="A262" s="236"/>
      <c r="B262" s="236" t="s">
        <v>4690</v>
      </c>
      <c r="C262" s="208" t="str">
        <f>IFERROR(VLOOKUP(B262,'ПО КОРИСНИЦИМА'!$C$8:$L$18203,5,FALSE),"")</f>
        <v/>
      </c>
      <c r="D262" s="265">
        <f>SUMIF('ПО КОРИСНИЦИМА'!$G$8:$G$18203,"Свега за пројекат 2001-П11:",'ПО КОРИСНИЦИМА'!$H$8:$H$18203)</f>
        <v>0</v>
      </c>
      <c r="E262" s="684"/>
      <c r="F262" s="694" t="e">
        <f t="shared" si="8"/>
        <v>#DIV/0!</v>
      </c>
      <c r="G262" s="692">
        <f>SUMIF('ПО КОРИСНИЦИМА'!$G$8:$G$18203,"Свега за пројекат 2001-П11:",'ПО КОРИСНИЦИМА'!$K$8:$K$18203)</f>
        <v>0</v>
      </c>
      <c r="H262" s="690"/>
      <c r="I262" s="692"/>
      <c r="J262" s="688" t="e">
        <f t="shared" si="9"/>
        <v>#DIV/0!</v>
      </c>
    </row>
    <row r="263" spans="1:10" hidden="1" x14ac:dyDescent="0.2">
      <c r="A263" s="236"/>
      <c r="B263" s="236" t="s">
        <v>4691</v>
      </c>
      <c r="C263" s="208" t="str">
        <f>IFERROR(VLOOKUP(B263,'ПО КОРИСНИЦИМА'!$C$8:$L$18203,5,FALSE),"")</f>
        <v/>
      </c>
      <c r="D263" s="265">
        <f>SUMIF('ПО КОРИСНИЦИМА'!$G$8:$G$18203,"Свега за пројекат 2001-П12:",'ПО КОРИСНИЦИМА'!$H$8:$H$18203)</f>
        <v>0</v>
      </c>
      <c r="E263" s="684"/>
      <c r="F263" s="694" t="e">
        <f t="shared" si="8"/>
        <v>#DIV/0!</v>
      </c>
      <c r="G263" s="692">
        <f>SUMIF('ПО КОРИСНИЦИМА'!$G$8:$G$18203,"Свега за пројекат 2001-П12:",'ПО КОРИСНИЦИМА'!$K$8:$K$18203)</f>
        <v>0</v>
      </c>
      <c r="H263" s="690"/>
      <c r="I263" s="692"/>
      <c r="J263" s="688" t="e">
        <f t="shared" si="9"/>
        <v>#DIV/0!</v>
      </c>
    </row>
    <row r="264" spans="1:10" hidden="1" x14ac:dyDescent="0.2">
      <c r="A264" s="236"/>
      <c r="B264" s="236" t="s">
        <v>4692</v>
      </c>
      <c r="C264" s="208" t="str">
        <f>IFERROR(VLOOKUP(B264,'ПО КОРИСНИЦИМА'!$C$8:$L$18203,5,FALSE),"")</f>
        <v/>
      </c>
      <c r="D264" s="265">
        <f>SUMIF('ПО КОРИСНИЦИМА'!$G$8:$G$18203,"Свега за пројекат 2001-П13:",'ПО КОРИСНИЦИМА'!$H$8:$H$18203)</f>
        <v>0</v>
      </c>
      <c r="E264" s="684"/>
      <c r="F264" s="694" t="e">
        <f t="shared" si="8"/>
        <v>#DIV/0!</v>
      </c>
      <c r="G264" s="692">
        <f>SUMIF('ПО КОРИСНИЦИМА'!$G$8:$G$18203,"Свега за пројекат 2001-П13:",'ПО КОРИСНИЦИМА'!$K$8:$K$18203)</f>
        <v>0</v>
      </c>
      <c r="H264" s="690"/>
      <c r="I264" s="692"/>
      <c r="J264" s="688" t="e">
        <f t="shared" si="9"/>
        <v>#DIV/0!</v>
      </c>
    </row>
    <row r="265" spans="1:10" hidden="1" x14ac:dyDescent="0.2">
      <c r="A265" s="236"/>
      <c r="B265" s="236" t="s">
        <v>4693</v>
      </c>
      <c r="C265" s="208" t="str">
        <f>IFERROR(VLOOKUP(B265,'ПО КОРИСНИЦИМА'!$C$8:$L$18203,5,FALSE),"")</f>
        <v/>
      </c>
      <c r="D265" s="265">
        <f>SUMIF('ПО КОРИСНИЦИМА'!$G$8:$G$18203,"Свега за пројекат 2001-П14:",'ПО КОРИСНИЦИМА'!$H$8:$H$18203)</f>
        <v>0</v>
      </c>
      <c r="E265" s="684"/>
      <c r="F265" s="694" t="e">
        <f t="shared" si="8"/>
        <v>#DIV/0!</v>
      </c>
      <c r="G265" s="692">
        <f>SUMIF('ПО КОРИСНИЦИМА'!$G$8:$G$18203,"Свега за пројекат 2001-П14:",'ПО КОРИСНИЦИМА'!$K$8:$K$18203)</f>
        <v>0</v>
      </c>
      <c r="H265" s="690"/>
      <c r="I265" s="692"/>
      <c r="J265" s="688" t="e">
        <f t="shared" si="9"/>
        <v>#DIV/0!</v>
      </c>
    </row>
    <row r="266" spans="1:10" hidden="1" x14ac:dyDescent="0.2">
      <c r="A266" s="236"/>
      <c r="B266" s="236" t="s">
        <v>4694</v>
      </c>
      <c r="C266" s="208" t="str">
        <f>IFERROR(VLOOKUP(B266,'ПО КОРИСНИЦИМА'!$C$8:$L$18203,5,FALSE),"")</f>
        <v/>
      </c>
      <c r="D266" s="265">
        <f>SUMIF('ПО КОРИСНИЦИМА'!$G$8:$G$18203,"Свега за пројекат 2001-П15:",'ПО КОРИСНИЦИМА'!$H$8:$H$18203)</f>
        <v>0</v>
      </c>
      <c r="E266" s="684"/>
      <c r="F266" s="694" t="e">
        <f t="shared" si="8"/>
        <v>#DIV/0!</v>
      </c>
      <c r="G266" s="692">
        <f>SUMIF('ПО КОРИСНИЦИМА'!$G$8:$G$18203,"Свега за пројекат 2001-П15:",'ПО КОРИСНИЦИМА'!$K$8:$K$18203)</f>
        <v>0</v>
      </c>
      <c r="H266" s="690"/>
      <c r="I266" s="692"/>
      <c r="J266" s="688" t="e">
        <f t="shared" si="9"/>
        <v>#DIV/0!</v>
      </c>
    </row>
    <row r="267" spans="1:10" hidden="1" x14ac:dyDescent="0.2">
      <c r="A267" s="236"/>
      <c r="B267" s="236" t="s">
        <v>4695</v>
      </c>
      <c r="C267" s="208" t="str">
        <f>IFERROR(VLOOKUP(B267,'ПО КОРИСНИЦИМА'!$C$8:$L$18203,5,FALSE),"")</f>
        <v/>
      </c>
      <c r="D267" s="265">
        <f>SUMIF('ПО КОРИСНИЦИМА'!$G$8:$G$18203,"Свега за пројекат 2001-П16:",'ПО КОРИСНИЦИМА'!$H$8:$H$18203)</f>
        <v>0</v>
      </c>
      <c r="E267" s="684"/>
      <c r="F267" s="694" t="e">
        <f t="shared" si="8"/>
        <v>#DIV/0!</v>
      </c>
      <c r="G267" s="692">
        <f>SUMIF('ПО КОРИСНИЦИМА'!$G$8:$G$18203,"Свега за пројекат 2001-П16:",'ПО КОРИСНИЦИМА'!$K$8:$K$18203)</f>
        <v>0</v>
      </c>
      <c r="H267" s="690"/>
      <c r="I267" s="692"/>
      <c r="J267" s="688" t="e">
        <f t="shared" si="9"/>
        <v>#DIV/0!</v>
      </c>
    </row>
    <row r="268" spans="1:10" hidden="1" x14ac:dyDescent="0.2">
      <c r="A268" s="236"/>
      <c r="B268" s="236" t="s">
        <v>4696</v>
      </c>
      <c r="C268" s="208" t="str">
        <f>IFERROR(VLOOKUP(B268,'ПО КОРИСНИЦИМА'!$C$8:$L$18203,5,FALSE),"")</f>
        <v/>
      </c>
      <c r="D268" s="265">
        <f>SUMIF('ПО КОРИСНИЦИМА'!$G$8:$G$18203,"Свега за пројекат 2001-П17:",'ПО КОРИСНИЦИМА'!$H$8:$H$18203)</f>
        <v>0</v>
      </c>
      <c r="E268" s="684"/>
      <c r="F268" s="694" t="e">
        <f t="shared" si="8"/>
        <v>#DIV/0!</v>
      </c>
      <c r="G268" s="692">
        <f>SUMIF('ПО КОРИСНИЦИМА'!$G$8:$G$18203,"Свега за пројекат 2001-П17:",'ПО КОРИСНИЦИМА'!$K$8:$K$18203)</f>
        <v>0</v>
      </c>
      <c r="H268" s="690"/>
      <c r="I268" s="692"/>
      <c r="J268" s="688" t="e">
        <f t="shared" si="9"/>
        <v>#DIV/0!</v>
      </c>
    </row>
    <row r="269" spans="1:10" hidden="1" x14ac:dyDescent="0.2">
      <c r="A269" s="236"/>
      <c r="B269" s="236" t="s">
        <v>4697</v>
      </c>
      <c r="C269" s="208" t="str">
        <f>IFERROR(VLOOKUP(B269,'ПО КОРИСНИЦИМА'!$C$8:$L$18203,5,FALSE),"")</f>
        <v/>
      </c>
      <c r="D269" s="265">
        <f>SUMIF('ПО КОРИСНИЦИМА'!$G$8:$G$18203,"Свега за пројекат 2001-П18:",'ПО КОРИСНИЦИМА'!$H$8:$H$18203)</f>
        <v>0</v>
      </c>
      <c r="E269" s="684"/>
      <c r="F269" s="694" t="e">
        <f t="shared" si="8"/>
        <v>#DIV/0!</v>
      </c>
      <c r="G269" s="692">
        <f>SUMIF('ПО КОРИСНИЦИМА'!$G$8:$G$18203,"Свега за пројекат 2001-П18:",'ПО КОРИСНИЦИМА'!$K$8:$K$18203)</f>
        <v>0</v>
      </c>
      <c r="H269" s="690"/>
      <c r="I269" s="692"/>
      <c r="J269" s="688" t="e">
        <f t="shared" si="9"/>
        <v>#DIV/0!</v>
      </c>
    </row>
    <row r="270" spans="1:10" hidden="1" x14ac:dyDescent="0.2">
      <c r="A270" s="236"/>
      <c r="B270" s="236" t="s">
        <v>4698</v>
      </c>
      <c r="C270" s="208" t="str">
        <f>IFERROR(VLOOKUP(B270,'ПО КОРИСНИЦИМА'!$C$8:$L$18203,5,FALSE),"")</f>
        <v/>
      </c>
      <c r="D270" s="265">
        <f>SUMIF('ПО КОРИСНИЦИМА'!$G$8:$G$18203,"Свега за пројекат 2001-П19:",'ПО КОРИСНИЦИМА'!$H$8:$H$18203)</f>
        <v>0</v>
      </c>
      <c r="E270" s="684"/>
      <c r="F270" s="694" t="e">
        <f t="shared" si="8"/>
        <v>#DIV/0!</v>
      </c>
      <c r="G270" s="692">
        <f>SUMIF('ПО КОРИСНИЦИМА'!$G$8:$G$18203,"Свега за пројекат 2001-П19:",'ПО КОРИСНИЦИМА'!$K$8:$K$18203)</f>
        <v>0</v>
      </c>
      <c r="H270" s="690"/>
      <c r="I270" s="692"/>
      <c r="J270" s="688" t="e">
        <f t="shared" si="9"/>
        <v>#DIV/0!</v>
      </c>
    </row>
    <row r="271" spans="1:10" hidden="1" x14ac:dyDescent="0.2">
      <c r="A271" s="236"/>
      <c r="B271" s="236" t="s">
        <v>4699</v>
      </c>
      <c r="C271" s="208" t="str">
        <f>IFERROR(VLOOKUP(B271,'ПО КОРИСНИЦИМА'!$C$8:$L$18203,5,FALSE),"")</f>
        <v/>
      </c>
      <c r="D271" s="265">
        <f>SUMIF('ПО КОРИСНИЦИМА'!$G$8:$G$18203,"Свега за пројекат 2001-П20:",'ПО КОРИСНИЦИМА'!$H$8:$H$18203)</f>
        <v>0</v>
      </c>
      <c r="E271" s="684"/>
      <c r="F271" s="694" t="e">
        <f t="shared" si="8"/>
        <v>#DIV/0!</v>
      </c>
      <c r="G271" s="692">
        <f>SUMIF('ПО КОРИСНИЦИМА'!$G$8:$G$18203,"Свега за пројекат 2001-П20:",'ПО КОРИСНИЦИМА'!$K$8:$K$18203)</f>
        <v>0</v>
      </c>
      <c r="H271" s="690"/>
      <c r="I271" s="701"/>
      <c r="J271" s="688" t="e">
        <f t="shared" si="9"/>
        <v>#DIV/0!</v>
      </c>
    </row>
    <row r="272" spans="1:10" hidden="1" x14ac:dyDescent="0.2">
      <c r="A272" s="236"/>
      <c r="B272" s="236" t="s">
        <v>4700</v>
      </c>
      <c r="C272" s="208" t="str">
        <f>IFERROR(VLOOKUP(B272,'ПО КОРИСНИЦИМА'!$C$8:$L$18203,5,FALSE),"")</f>
        <v/>
      </c>
      <c r="D272" s="265">
        <f>SUMIF('ПО КОРИСНИЦИМА'!$G$8:$G$18203,"Свега за пројекат 2001-П21:",'ПО КОРИСНИЦИМА'!$H$8:$H$18203)</f>
        <v>0</v>
      </c>
      <c r="E272" s="684"/>
      <c r="F272" s="694" t="e">
        <f t="shared" si="8"/>
        <v>#DIV/0!</v>
      </c>
      <c r="G272" s="692">
        <f>SUMIF('ПО КОРИСНИЦИМА'!$G$8:$G$18203,"Свега за пројекат 2001-П21:",'ПО КОРИСНИЦИМА'!$K$8:$K$18203)</f>
        <v>0</v>
      </c>
      <c r="H272" s="690"/>
      <c r="I272" s="692"/>
      <c r="J272" s="688" t="e">
        <f t="shared" si="9"/>
        <v>#DIV/0!</v>
      </c>
    </row>
    <row r="273" spans="1:10" hidden="1" x14ac:dyDescent="0.2">
      <c r="A273" s="236"/>
      <c r="B273" s="236" t="s">
        <v>4701</v>
      </c>
      <c r="C273" s="208" t="str">
        <f>IFERROR(VLOOKUP(B273,'ПО КОРИСНИЦИМА'!$C$8:$L$18203,5,FALSE),"")</f>
        <v/>
      </c>
      <c r="D273" s="265">
        <f>SUMIF('ПО КОРИСНИЦИМА'!$G$8:$G$18203,"Свега за пројекат 2001-П22:",'ПО КОРИСНИЦИМА'!$H$8:$H$18203)</f>
        <v>0</v>
      </c>
      <c r="E273" s="684"/>
      <c r="F273" s="694" t="e">
        <f t="shared" si="8"/>
        <v>#DIV/0!</v>
      </c>
      <c r="G273" s="692">
        <f>SUMIF('ПО КОРИСНИЦИМА'!$G$8:$G$18203,"Свега за пројекат 2001-П22:",'ПО КОРИСНИЦИМА'!$K$8:$K$18203)</f>
        <v>0</v>
      </c>
      <c r="H273" s="690"/>
      <c r="I273" s="692"/>
      <c r="J273" s="688" t="e">
        <f t="shared" si="9"/>
        <v>#DIV/0!</v>
      </c>
    </row>
    <row r="274" spans="1:10" hidden="1" x14ac:dyDescent="0.2">
      <c r="A274" s="236"/>
      <c r="B274" s="236" t="s">
        <v>4702</v>
      </c>
      <c r="C274" s="208" t="str">
        <f>IFERROR(VLOOKUP(B274,'ПО КОРИСНИЦИМА'!$C$8:$L$18203,5,FALSE),"")</f>
        <v/>
      </c>
      <c r="D274" s="265">
        <f>SUMIF('ПО КОРИСНИЦИМА'!$G$8:$G$18203,"Свега за пројекат 2001-П23:",'ПО КОРИСНИЦИМА'!$H$8:$H$18203)</f>
        <v>0</v>
      </c>
      <c r="E274" s="684"/>
      <c r="F274" s="694" t="e">
        <f t="shared" si="8"/>
        <v>#DIV/0!</v>
      </c>
      <c r="G274" s="692">
        <f>SUMIF('ПО КОРИСНИЦИМА'!$G$8:$G$18203,"Свега за пројекат 2001-П23:",'ПО КОРИСНИЦИМА'!$K$8:$K$18203)</f>
        <v>0</v>
      </c>
      <c r="H274" s="690"/>
      <c r="I274" s="692"/>
      <c r="J274" s="688" t="e">
        <f t="shared" si="9"/>
        <v>#DIV/0!</v>
      </c>
    </row>
    <row r="275" spans="1:10" hidden="1" x14ac:dyDescent="0.2">
      <c r="A275" s="236"/>
      <c r="B275" s="236" t="s">
        <v>4703</v>
      </c>
      <c r="C275" s="208" t="str">
        <f>IFERROR(VLOOKUP(B275,'ПО КОРИСНИЦИМА'!$C$8:$L$18203,5,FALSE),"")</f>
        <v/>
      </c>
      <c r="D275" s="265">
        <f>SUMIF('ПО КОРИСНИЦИМА'!$G$8:$G$18203,"Свега за пројекат 2001-П24:",'ПО КОРИСНИЦИМА'!$H$8:$H$18203)</f>
        <v>0</v>
      </c>
      <c r="E275" s="684"/>
      <c r="F275" s="694" t="e">
        <f t="shared" si="8"/>
        <v>#DIV/0!</v>
      </c>
      <c r="G275" s="692">
        <f>SUMIF('ПО КОРИСНИЦИМА'!$G$8:$G$18203,"Свега за пројекат 2001-П24:",'ПО КОРИСНИЦИМА'!$K$8:$K$18203)</f>
        <v>0</v>
      </c>
      <c r="H275" s="690"/>
      <c r="I275" s="692"/>
      <c r="J275" s="688" t="e">
        <f t="shared" si="9"/>
        <v>#DIV/0!</v>
      </c>
    </row>
    <row r="276" spans="1:10" hidden="1" x14ac:dyDescent="0.2">
      <c r="A276" s="236"/>
      <c r="B276" s="236" t="s">
        <v>4704</v>
      </c>
      <c r="C276" s="208" t="str">
        <f>IFERROR(VLOOKUP(B276,'ПО КОРИСНИЦИМА'!$C$8:$L$18203,5,FALSE),"")</f>
        <v/>
      </c>
      <c r="D276" s="265">
        <f>SUMIF('ПО КОРИСНИЦИМА'!$G$8:$G$18203,"Свега за пројекат 2001-П25:",'ПО КОРИСНИЦИМА'!$H$8:$H$18203)</f>
        <v>0</v>
      </c>
      <c r="E276" s="684"/>
      <c r="F276" s="694" t="e">
        <f t="shared" si="8"/>
        <v>#DIV/0!</v>
      </c>
      <c r="G276" s="692">
        <f>SUMIF('ПО КОРИСНИЦИМА'!$G$8:$G$18203,"Свега за пројекат 2001-П25:",'ПО КОРИСНИЦИМА'!$K$8:$K$18203)</f>
        <v>0</v>
      </c>
      <c r="H276" s="690"/>
      <c r="I276" s="692"/>
      <c r="J276" s="688" t="e">
        <f t="shared" si="9"/>
        <v>#DIV/0!</v>
      </c>
    </row>
    <row r="277" spans="1:10" hidden="1" x14ac:dyDescent="0.2">
      <c r="A277" s="236"/>
      <c r="B277" s="236" t="s">
        <v>4705</v>
      </c>
      <c r="C277" s="208" t="str">
        <f>IFERROR(VLOOKUP(B277,'ПО КОРИСНИЦИМА'!$C$8:$L$18203,5,FALSE),"")</f>
        <v/>
      </c>
      <c r="D277" s="265">
        <f>SUMIF('ПО КОРИСНИЦИМА'!$G$8:$G$18203,"Свега за пројекат 2001-П26:",'ПО КОРИСНИЦИМА'!$H$8:$H$18203)</f>
        <v>0</v>
      </c>
      <c r="E277" s="684"/>
      <c r="F277" s="694" t="e">
        <f t="shared" si="8"/>
        <v>#DIV/0!</v>
      </c>
      <c r="G277" s="692">
        <f>SUMIF('ПО КОРИСНИЦИМА'!$G$8:$G$18203,"Свега за пројекат 2001-П26:",'ПО КОРИСНИЦИМА'!$K$8:$K$18203)</f>
        <v>0</v>
      </c>
      <c r="H277" s="690"/>
      <c r="I277" s="692"/>
      <c r="J277" s="688" t="e">
        <f t="shared" si="9"/>
        <v>#DIV/0!</v>
      </c>
    </row>
    <row r="278" spans="1:10" hidden="1" x14ac:dyDescent="0.2">
      <c r="A278" s="236"/>
      <c r="B278" s="236" t="s">
        <v>4706</v>
      </c>
      <c r="C278" s="208" t="str">
        <f>IFERROR(VLOOKUP(B278,'ПО КОРИСНИЦИМА'!$C$8:$L$18203,5,FALSE),"")</f>
        <v/>
      </c>
      <c r="D278" s="265">
        <f>SUMIF('ПО КОРИСНИЦИМА'!$G$8:$G$18203,"Свега за пројекат 2001-П27:",'ПО КОРИСНИЦИМА'!$H$8:$H$18203)</f>
        <v>0</v>
      </c>
      <c r="E278" s="684"/>
      <c r="F278" s="694" t="e">
        <f t="shared" si="8"/>
        <v>#DIV/0!</v>
      </c>
      <c r="G278" s="692">
        <f>SUMIF('ПО КОРИСНИЦИМА'!$G$8:$G$18203,"Свега за пројекат 2001-П27:",'ПО КОРИСНИЦИМА'!$K$8:$K$18203)</f>
        <v>0</v>
      </c>
      <c r="H278" s="690"/>
      <c r="I278" s="692"/>
      <c r="J278" s="688" t="e">
        <f t="shared" si="9"/>
        <v>#DIV/0!</v>
      </c>
    </row>
    <row r="279" spans="1:10" hidden="1" x14ac:dyDescent="0.2">
      <c r="A279" s="236"/>
      <c r="B279" s="236" t="s">
        <v>4707</v>
      </c>
      <c r="C279" s="208" t="str">
        <f>IFERROR(VLOOKUP(B279,'ПО КОРИСНИЦИМА'!$C$8:$L$18203,5,FALSE),"")</f>
        <v/>
      </c>
      <c r="D279" s="265">
        <f>SUMIF('ПО КОРИСНИЦИМА'!$G$8:$G$18203,"Свега за пројекат 2001-П28:",'ПО КОРИСНИЦИМА'!$H$8:$H$18203)</f>
        <v>0</v>
      </c>
      <c r="E279" s="684"/>
      <c r="F279" s="694" t="e">
        <f t="shared" si="8"/>
        <v>#DIV/0!</v>
      </c>
      <c r="G279" s="692">
        <f>SUMIF('ПО КОРИСНИЦИМА'!$G$8:$G$18203,"Свега за пројекат 2001-П28:",'ПО КОРИСНИЦИМА'!$K$8:$K$18203)</f>
        <v>0</v>
      </c>
      <c r="H279" s="690"/>
      <c r="I279" s="698"/>
      <c r="J279" s="688" t="e">
        <f t="shared" si="9"/>
        <v>#DIV/0!</v>
      </c>
    </row>
    <row r="280" spans="1:10" hidden="1" x14ac:dyDescent="0.2">
      <c r="A280" s="236"/>
      <c r="B280" s="236" t="s">
        <v>4708</v>
      </c>
      <c r="C280" s="208" t="str">
        <f>IFERROR(VLOOKUP(B280,'ПО КОРИСНИЦИМА'!$C$8:$L$18203,5,FALSE),"")</f>
        <v/>
      </c>
      <c r="D280" s="265">
        <f>SUMIF('ПО КОРИСНИЦИМА'!$G$8:$G$18203,"Свега за пројекат 2001-П29:",'ПО КОРИСНИЦИМА'!$H$8:$H$18203)</f>
        <v>0</v>
      </c>
      <c r="E280" s="684"/>
      <c r="F280" s="694" t="e">
        <f t="shared" si="8"/>
        <v>#DIV/0!</v>
      </c>
      <c r="G280" s="692">
        <f>SUMIF('ПО КОРИСНИЦИМА'!$G$8:$G$18203,"Свега за пројекат 2001-П29:",'ПО КОРИСНИЦИМА'!$K$8:$K$18203)</f>
        <v>0</v>
      </c>
      <c r="H280" s="690"/>
      <c r="I280" s="698"/>
      <c r="J280" s="688" t="e">
        <f t="shared" si="9"/>
        <v>#DIV/0!</v>
      </c>
    </row>
    <row r="281" spans="1:10" hidden="1" x14ac:dyDescent="0.2">
      <c r="A281" s="237"/>
      <c r="B281" s="236" t="s">
        <v>4769</v>
      </c>
      <c r="C281" s="208" t="str">
        <f>IFERROR(VLOOKUP(B281,'ПО КОРИСНИЦИМА'!$C$8:$L$18203,5,FALSE),"")</f>
        <v/>
      </c>
      <c r="D281" s="265">
        <f>SUMIF('ПО КОРИСНИЦИМА'!$G$8:$G$18203,"Свега за пројекат 2001-П30:",'ПО КОРИСНИЦИМА'!$H$8:$H$18203)</f>
        <v>0</v>
      </c>
      <c r="E281" s="684"/>
      <c r="F281" s="694" t="e">
        <f t="shared" si="8"/>
        <v>#DIV/0!</v>
      </c>
      <c r="G281" s="692">
        <f>SUMIF('ПО КОРИСНИЦИМА'!$G$8:$G$18203,"Свега за пројекат 2001-П30:",'ПО КОРИСНИЦИМА'!$K$8:$K$18203)</f>
        <v>0</v>
      </c>
      <c r="H281" s="690"/>
      <c r="I281" s="693"/>
      <c r="J281" s="688" t="e">
        <f t="shared" si="9"/>
        <v>#DIV/0!</v>
      </c>
    </row>
    <row r="282" spans="1:10" s="234" customFormat="1" x14ac:dyDescent="0.2">
      <c r="A282" s="226" t="s">
        <v>3582</v>
      </c>
      <c r="B282" s="227"/>
      <c r="C282" s="206" t="s">
        <v>3673</v>
      </c>
      <c r="D282" s="253">
        <f>SUM(D283:D313)</f>
        <v>29050000</v>
      </c>
      <c r="E282" s="685">
        <f>SUM(E283)</f>
        <v>26297279.23</v>
      </c>
      <c r="F282" s="694">
        <f t="shared" si="8"/>
        <v>90.524197005163515</v>
      </c>
      <c r="G282" s="695">
        <f>SUM(G283:G313)</f>
        <v>0</v>
      </c>
      <c r="H282" s="696"/>
      <c r="I282" s="695"/>
      <c r="J282" s="770"/>
    </row>
    <row r="283" spans="1:10" x14ac:dyDescent="0.2">
      <c r="A283" s="229"/>
      <c r="B283" s="238" t="s">
        <v>4111</v>
      </c>
      <c r="C283" s="212" t="s">
        <v>4106</v>
      </c>
      <c r="D283" s="257">
        <f>SUMIF('ПО КОРИСНИЦИМА'!$G$8:$G$18203,"Свега за програмску активност 2002-0001:",'ПО КОРИСНИЦИМА'!$H$8:$H$18203)</f>
        <v>29050000</v>
      </c>
      <c r="E283" s="683">
        <f>SUM('ПО КОРИСНИЦИМА'!I6362)</f>
        <v>26297279.23</v>
      </c>
      <c r="F283" s="694">
        <f t="shared" si="8"/>
        <v>90.524197005163515</v>
      </c>
      <c r="G283" s="686">
        <f>SUMIF('ПО КОРИСНИЦИМА'!$G$8:$G$18203,"Свега за програмску активност 2002-0001:",'ПО КОРИСНИЦИМА'!$K$8:$K$18203)</f>
        <v>0</v>
      </c>
      <c r="H283" s="687"/>
      <c r="I283" s="686"/>
      <c r="J283" s="688"/>
    </row>
    <row r="284" spans="1:10" hidden="1" x14ac:dyDescent="0.2">
      <c r="A284" s="229"/>
      <c r="B284" s="238" t="s">
        <v>4709</v>
      </c>
      <c r="C284" s="208" t="str">
        <f>IFERROR(VLOOKUP(B284,'ПО КОРИСНИЦИМА'!$C$8:$L$18203,5,FALSE),"")</f>
        <v>Школа у природи</v>
      </c>
      <c r="D284" s="265">
        <f>SUMIF('ПО КОРИСНИЦИМА'!$G$8:$G$18203,"Свега за пројекат 2002-П1:",'ПО КОРИСНИЦИМА'!$H$8:$H$18203)</f>
        <v>0</v>
      </c>
      <c r="E284" s="684"/>
      <c r="F284" s="694" t="e">
        <f t="shared" si="8"/>
        <v>#DIV/0!</v>
      </c>
      <c r="G284" s="692">
        <f>SUMIF('ПО КОРИСНИЦИМА'!$G$8:$G$18203,"Свега за пројекат 2002-П1:",'ПО КОРИСНИЦИМА'!$K$8:$K$18203)</f>
        <v>0</v>
      </c>
      <c r="H284" s="687"/>
      <c r="I284" s="686"/>
      <c r="J284" s="688"/>
    </row>
    <row r="285" spans="1:10" hidden="1" x14ac:dyDescent="0.2">
      <c r="A285" s="229"/>
      <c r="B285" s="238" t="s">
        <v>4710</v>
      </c>
      <c r="C285" s="208" t="str">
        <f>IFERROR(VLOOKUP(B285,'ПО КОРИСНИЦИМА'!$C$8:$L$18203,5,FALSE),"")</f>
        <v>Изградња школе у Бресници</v>
      </c>
      <c r="D285" s="265">
        <f>SUMIF('ПО КОРИСНИЦИМА'!$G$8:$G$18203,"Свега за пројекат 2002-П2:",'ПО КОРИСНИЦИМА'!$H$8:$H$18203)</f>
        <v>0</v>
      </c>
      <c r="E285" s="684"/>
      <c r="F285" s="694" t="e">
        <f t="shared" si="8"/>
        <v>#DIV/0!</v>
      </c>
      <c r="G285" s="692">
        <f>SUMIF('ПО КОРИСНИЦИМА'!$G$8:$G$18203,"Свега за пројекат 2002-П2:",'ПО КОРИСНИЦИМА'!$K$8:$K$18203)</f>
        <v>0</v>
      </c>
      <c r="H285" s="687"/>
      <c r="I285" s="686"/>
      <c r="J285" s="688"/>
    </row>
    <row r="286" spans="1:10" hidden="1" x14ac:dyDescent="0.2">
      <c r="A286" s="229"/>
      <c r="B286" s="238" t="s">
        <v>4711</v>
      </c>
      <c r="C286" s="208" t="str">
        <f>IFERROR(VLOOKUP(B286,'ПО КОРИСНИЦИМА'!$C$8:$L$18203,5,FALSE),"")</f>
        <v/>
      </c>
      <c r="D286" s="265">
        <f>SUMIF('ПО КОРИСНИЦИМА'!$G$8:$G$18203,"Свега за пројекат 2002-П3:",'ПО КОРИСНИЦИМА'!$H$8:$H$18203)</f>
        <v>0</v>
      </c>
      <c r="E286" s="684"/>
      <c r="F286" s="694" t="e">
        <f t="shared" si="8"/>
        <v>#DIV/0!</v>
      </c>
      <c r="G286" s="692">
        <f>SUMIF('ПО КОРИСНИЦИМА'!$G$8:$G$18203,"Свега за пројекат 2002-П3:",'ПО КОРИСНИЦИМА'!$K$8:$K$18203)</f>
        <v>0</v>
      </c>
      <c r="H286" s="687"/>
      <c r="I286" s="686"/>
      <c r="J286" s="688"/>
    </row>
    <row r="287" spans="1:10" hidden="1" x14ac:dyDescent="0.2">
      <c r="A287" s="229"/>
      <c r="B287" s="238" t="s">
        <v>4712</v>
      </c>
      <c r="C287" s="208" t="str">
        <f>IFERROR(VLOOKUP(B287,'ПО КОРИСНИЦИМА'!$C$8:$L$18203,5,FALSE),"")</f>
        <v/>
      </c>
      <c r="D287" s="265">
        <f>SUMIF('ПО КОРИСНИЦИМА'!$G$8:$G$18203,"Свега за пројекат 2002-П4:",'ПО КОРИСНИЦИМА'!$H$8:$H$18203)</f>
        <v>0</v>
      </c>
      <c r="E287" s="684"/>
      <c r="F287" s="694" t="e">
        <f t="shared" si="8"/>
        <v>#DIV/0!</v>
      </c>
      <c r="G287" s="692">
        <f>SUMIF('ПО КОРИСНИЦИМА'!$G$8:$G$18203,"Свега за пројекат 2002-П4:",'ПО КОРИСНИЦИМА'!$K$8:$K$18203)</f>
        <v>0</v>
      </c>
      <c r="H287" s="687"/>
      <c r="I287" s="686"/>
      <c r="J287" s="688"/>
    </row>
    <row r="288" spans="1:10" hidden="1" x14ac:dyDescent="0.2">
      <c r="A288" s="229"/>
      <c r="B288" s="238" t="s">
        <v>4713</v>
      </c>
      <c r="C288" s="208" t="str">
        <f>IFERROR(VLOOKUP(B288,'ПО КОРИСНИЦИМА'!$C$8:$L$18203,5,FALSE),"")</f>
        <v/>
      </c>
      <c r="D288" s="265">
        <f>SUMIF('ПО КОРИСНИЦИМА'!$G$8:$G$18203,"Свега за пројекат 2002-П5:",'ПО КОРИСНИЦИМА'!$H$8:$H$18203)</f>
        <v>0</v>
      </c>
      <c r="E288" s="684"/>
      <c r="F288" s="694" t="e">
        <f t="shared" si="8"/>
        <v>#DIV/0!</v>
      </c>
      <c r="G288" s="692">
        <f>SUMIF('ПО КОРИСНИЦИМА'!$G$8:$G$18203,"Свега за пројекат 2002-П5:",'ПО КОРИСНИЦИМА'!$K$8:$K$18203)</f>
        <v>0</v>
      </c>
      <c r="H288" s="687"/>
      <c r="I288" s="686"/>
      <c r="J288" s="688"/>
    </row>
    <row r="289" spans="1:10" hidden="1" x14ac:dyDescent="0.2">
      <c r="A289" s="229"/>
      <c r="B289" s="238" t="s">
        <v>4714</v>
      </c>
      <c r="C289" s="208" t="str">
        <f>IFERROR(VLOOKUP(B289,'ПО КОРИСНИЦИМА'!$C$8:$L$18203,5,FALSE),"")</f>
        <v/>
      </c>
      <c r="D289" s="265">
        <f>SUMIF('ПО КОРИСНИЦИМА'!$G$8:$G$18203,"Свега за пројекат 2002-П6:",'ПО КОРИСНИЦИМА'!$H$8:$H$18203)</f>
        <v>0</v>
      </c>
      <c r="E289" s="684"/>
      <c r="F289" s="694" t="e">
        <f t="shared" si="8"/>
        <v>#DIV/0!</v>
      </c>
      <c r="G289" s="692">
        <f>SUMIF('ПО КОРИСНИЦИМА'!$G$8:$G$18203,"Свега за пројекат 2002-П6:",'ПО КОРИСНИЦИМА'!$K$8:$K$18203)</f>
        <v>0</v>
      </c>
      <c r="H289" s="687"/>
      <c r="I289" s="686"/>
      <c r="J289" s="688"/>
    </row>
    <row r="290" spans="1:10" hidden="1" x14ac:dyDescent="0.2">
      <c r="A290" s="229"/>
      <c r="B290" s="238" t="s">
        <v>4715</v>
      </c>
      <c r="C290" s="208" t="str">
        <f>IFERROR(VLOOKUP(B290,'ПО КОРИСНИЦИМА'!$C$8:$L$18203,5,FALSE),"")</f>
        <v/>
      </c>
      <c r="D290" s="265">
        <f>SUMIF('ПО КОРИСНИЦИМА'!$G$8:$G$18203,"Свега за пројекат 2002-П7:",'ПО КОРИСНИЦИМА'!$H$8:$H$18203)</f>
        <v>0</v>
      </c>
      <c r="E290" s="684"/>
      <c r="F290" s="694" t="e">
        <f t="shared" si="8"/>
        <v>#DIV/0!</v>
      </c>
      <c r="G290" s="692">
        <f>SUMIF('ПО КОРИСНИЦИМА'!$G$8:$G$18203,"Свега за пројекат 2002-П7:",'ПО КОРИСНИЦИМА'!$K$8:$K$18203)</f>
        <v>0</v>
      </c>
      <c r="H290" s="687"/>
      <c r="I290" s="686"/>
      <c r="J290" s="688"/>
    </row>
    <row r="291" spans="1:10" hidden="1" x14ac:dyDescent="0.2">
      <c r="A291" s="229"/>
      <c r="B291" s="238" t="s">
        <v>4716</v>
      </c>
      <c r="C291" s="208" t="str">
        <f>IFERROR(VLOOKUP(B291,'ПО КОРИСНИЦИМА'!$C$8:$L$18203,5,FALSE),"")</f>
        <v/>
      </c>
      <c r="D291" s="265">
        <f>SUMIF('ПО КОРИСНИЦИМА'!$G$8:$G$18203,"Свега за пројекат 2002-П8:",'ПО КОРИСНИЦИМА'!$H$8:$H$18203)</f>
        <v>0</v>
      </c>
      <c r="E291" s="684"/>
      <c r="F291" s="694" t="e">
        <f t="shared" si="8"/>
        <v>#DIV/0!</v>
      </c>
      <c r="G291" s="692">
        <f>SUMIF('ПО КОРИСНИЦИМА'!$G$8:$G$18203,"Свега за пројекат 2002-П8:",'ПО КОРИСНИЦИМА'!$K$8:$K$18203)</f>
        <v>0</v>
      </c>
      <c r="H291" s="687"/>
      <c r="I291" s="686"/>
      <c r="J291" s="688"/>
    </row>
    <row r="292" spans="1:10" hidden="1" x14ac:dyDescent="0.2">
      <c r="A292" s="229"/>
      <c r="B292" s="238" t="s">
        <v>4717</v>
      </c>
      <c r="C292" s="208" t="str">
        <f>IFERROR(VLOOKUP(B292,'ПО КОРИСНИЦИМА'!$C$8:$L$18203,5,FALSE),"")</f>
        <v/>
      </c>
      <c r="D292" s="265">
        <f>SUMIF('ПО КОРИСНИЦИМА'!$G$8:$G$18203,"Свега за пројекат 2002-П9:",'ПО КОРИСНИЦИМА'!$H$8:$H$18203)</f>
        <v>0</v>
      </c>
      <c r="E292" s="684"/>
      <c r="F292" s="694" t="e">
        <f t="shared" si="8"/>
        <v>#DIV/0!</v>
      </c>
      <c r="G292" s="692">
        <f>SUMIF('ПО КОРИСНИЦИМА'!$G$8:$G$18203,"Свега за пројекат 2002-П9:",'ПО КОРИСНИЦИМА'!$K$8:$K$18203)</f>
        <v>0</v>
      </c>
      <c r="H292" s="687"/>
      <c r="I292" s="686"/>
      <c r="J292" s="688"/>
    </row>
    <row r="293" spans="1:10" hidden="1" x14ac:dyDescent="0.2">
      <c r="A293" s="229"/>
      <c r="B293" s="238" t="s">
        <v>4718</v>
      </c>
      <c r="C293" s="208" t="str">
        <f>IFERROR(VLOOKUP(B293,'ПО КОРИСНИЦИМА'!$C$8:$L$18203,5,FALSE),"")</f>
        <v/>
      </c>
      <c r="D293" s="265">
        <f>SUMIF('ПО КОРИСНИЦИМА'!$G$8:$G$18203,"Свега за пројекат 2002-П10:",'ПО КОРИСНИЦИМА'!$H$8:$H$18203)</f>
        <v>0</v>
      </c>
      <c r="E293" s="684"/>
      <c r="F293" s="694" t="e">
        <f t="shared" ref="F293:F356" si="10">SUM(E293/D293)*100</f>
        <v>#DIV/0!</v>
      </c>
      <c r="G293" s="692">
        <f>SUMIF('ПО КОРИСНИЦИМА'!$G$8:$G$18203,"Свега за пројекат 2002-П10:",'ПО КОРИСНИЦИМА'!$K$8:$K$18203)</f>
        <v>0</v>
      </c>
      <c r="H293" s="687"/>
      <c r="I293" s="686"/>
      <c r="J293" s="688"/>
    </row>
    <row r="294" spans="1:10" hidden="1" x14ac:dyDescent="0.2">
      <c r="A294" s="229"/>
      <c r="B294" s="238" t="s">
        <v>4719</v>
      </c>
      <c r="C294" s="208" t="str">
        <f>IFERROR(VLOOKUP(B294,'ПО КОРИСНИЦИМА'!$C$8:$L$18203,5,FALSE),"")</f>
        <v/>
      </c>
      <c r="D294" s="265">
        <f>SUMIF('ПО КОРИСНИЦИМА'!$G$8:$G$18203,"Свега за пројекат 2002-П11:",'ПО КОРИСНИЦИМА'!$H$8:$H$18203)</f>
        <v>0</v>
      </c>
      <c r="E294" s="684"/>
      <c r="F294" s="694" t="e">
        <f t="shared" si="10"/>
        <v>#DIV/0!</v>
      </c>
      <c r="G294" s="692">
        <f>SUMIF('ПО КОРИСНИЦИМА'!$G$8:$G$18203,"Свега за пројекат 2002-П11:",'ПО КОРИСНИЦИМА'!$K$8:$K$18203)</f>
        <v>0</v>
      </c>
      <c r="H294" s="687"/>
      <c r="I294" s="686"/>
      <c r="J294" s="688"/>
    </row>
    <row r="295" spans="1:10" hidden="1" x14ac:dyDescent="0.2">
      <c r="A295" s="229"/>
      <c r="B295" s="238" t="s">
        <v>4720</v>
      </c>
      <c r="C295" s="208" t="str">
        <f>IFERROR(VLOOKUP(B295,'ПО КОРИСНИЦИМА'!$C$8:$L$18203,5,FALSE),"")</f>
        <v/>
      </c>
      <c r="D295" s="265">
        <f>SUMIF('ПО КОРИСНИЦИМА'!$G$8:$G$18203,"Свега за пројекат 2002-П12:",'ПО КОРИСНИЦИМА'!$H$8:$H$18203)</f>
        <v>0</v>
      </c>
      <c r="E295" s="684"/>
      <c r="F295" s="694" t="e">
        <f t="shared" si="10"/>
        <v>#DIV/0!</v>
      </c>
      <c r="G295" s="692">
        <f>SUMIF('ПО КОРИСНИЦИМА'!$G$8:$G$18203,"Свега за пројекат 2002-П12:",'ПО КОРИСНИЦИМА'!$K$8:$K$18203)</f>
        <v>0</v>
      </c>
      <c r="H295" s="687"/>
      <c r="I295" s="686"/>
      <c r="J295" s="688"/>
    </row>
    <row r="296" spans="1:10" hidden="1" x14ac:dyDescent="0.2">
      <c r="A296" s="229"/>
      <c r="B296" s="238" t="s">
        <v>4721</v>
      </c>
      <c r="C296" s="208" t="str">
        <f>IFERROR(VLOOKUP(B296,'ПО КОРИСНИЦИМА'!$C$8:$L$18203,5,FALSE),"")</f>
        <v/>
      </c>
      <c r="D296" s="265">
        <f>SUMIF('ПО КОРИСНИЦИМА'!$G$8:$G$18203,"Свега за пројекат 2002-П13:",'ПО КОРИСНИЦИМА'!$H$8:$H$18203)</f>
        <v>0</v>
      </c>
      <c r="E296" s="684"/>
      <c r="F296" s="694" t="e">
        <f t="shared" si="10"/>
        <v>#DIV/0!</v>
      </c>
      <c r="G296" s="692">
        <f>SUMIF('ПО КОРИСНИЦИМА'!$G$8:$G$18203,"Свега за пројекат 2002-П13:",'ПО КОРИСНИЦИМА'!$K$8:$K$18203)</f>
        <v>0</v>
      </c>
      <c r="H296" s="687"/>
      <c r="I296" s="686"/>
      <c r="J296" s="688"/>
    </row>
    <row r="297" spans="1:10" hidden="1" x14ac:dyDescent="0.2">
      <c r="A297" s="229"/>
      <c r="B297" s="238" t="s">
        <v>4722</v>
      </c>
      <c r="C297" s="208" t="str">
        <f>IFERROR(VLOOKUP(B297,'ПО КОРИСНИЦИМА'!$C$8:$L$18203,5,FALSE),"")</f>
        <v/>
      </c>
      <c r="D297" s="265">
        <f>SUMIF('ПО КОРИСНИЦИМА'!$G$8:$G$18203,"Свега за пројекат 2002-П14:",'ПО КОРИСНИЦИМА'!$H$8:$H$18203)</f>
        <v>0</v>
      </c>
      <c r="E297" s="684"/>
      <c r="F297" s="694" t="e">
        <f t="shared" si="10"/>
        <v>#DIV/0!</v>
      </c>
      <c r="G297" s="692">
        <f>SUMIF('ПО КОРИСНИЦИМА'!$G$8:$G$18203,"Свега за пројекат 2002-П14:",'ПО КОРИСНИЦИМА'!$K$8:$K$18203)</f>
        <v>0</v>
      </c>
      <c r="H297" s="687"/>
      <c r="I297" s="686"/>
      <c r="J297" s="688"/>
    </row>
    <row r="298" spans="1:10" hidden="1" x14ac:dyDescent="0.2">
      <c r="A298" s="229"/>
      <c r="B298" s="238" t="s">
        <v>4723</v>
      </c>
      <c r="C298" s="208" t="str">
        <f>IFERROR(VLOOKUP(B298,'ПО КОРИСНИЦИМА'!$C$8:$L$18203,5,FALSE),"")</f>
        <v/>
      </c>
      <c r="D298" s="265">
        <f>SUMIF('ПО КОРИСНИЦИМА'!$G$8:$G$18203,"Свега за пројекат 2002-П15:",'ПО КОРИСНИЦИМА'!$H$8:$H$18203)</f>
        <v>0</v>
      </c>
      <c r="E298" s="684"/>
      <c r="F298" s="694" t="e">
        <f t="shared" si="10"/>
        <v>#DIV/0!</v>
      </c>
      <c r="G298" s="692">
        <f>SUMIF('ПО КОРИСНИЦИМА'!$G$8:$G$18203,"Свега за пројекат 2002-П15:",'ПО КОРИСНИЦИМА'!$K$8:$K$18203)</f>
        <v>0</v>
      </c>
      <c r="H298" s="687"/>
      <c r="I298" s="686"/>
      <c r="J298" s="688"/>
    </row>
    <row r="299" spans="1:10" hidden="1" x14ac:dyDescent="0.2">
      <c r="A299" s="229"/>
      <c r="B299" s="238" t="s">
        <v>4724</v>
      </c>
      <c r="C299" s="208" t="str">
        <f>IFERROR(VLOOKUP(B299,'ПО КОРИСНИЦИМА'!$C$8:$L$18203,5,FALSE),"")</f>
        <v/>
      </c>
      <c r="D299" s="265">
        <f>SUMIF('ПО КОРИСНИЦИМА'!$G$8:$G$18203,"Свега за пројекат 2002-П16:",'ПО КОРИСНИЦИМА'!$H$8:$H$18203)</f>
        <v>0</v>
      </c>
      <c r="E299" s="684"/>
      <c r="F299" s="694" t="e">
        <f t="shared" si="10"/>
        <v>#DIV/0!</v>
      </c>
      <c r="G299" s="692">
        <f>SUMIF('ПО КОРИСНИЦИМА'!$G$8:$G$18203,"Свега за пројекат 2002-П16:",'ПО КОРИСНИЦИМА'!$K$8:$K$18203)</f>
        <v>0</v>
      </c>
      <c r="H299" s="687"/>
      <c r="I299" s="686"/>
      <c r="J299" s="688"/>
    </row>
    <row r="300" spans="1:10" hidden="1" x14ac:dyDescent="0.2">
      <c r="A300" s="229"/>
      <c r="B300" s="238" t="s">
        <v>4725</v>
      </c>
      <c r="C300" s="208" t="str">
        <f>IFERROR(VLOOKUP(B300,'ПО КОРИСНИЦИМА'!$C$8:$L$18203,5,FALSE),"")</f>
        <v/>
      </c>
      <c r="D300" s="265">
        <f>SUMIF('ПО КОРИСНИЦИМА'!$G$8:$G$18203,"Свега за пројекат 2002-П17:",'ПО КОРИСНИЦИМА'!$H$8:$H$18203)</f>
        <v>0</v>
      </c>
      <c r="E300" s="684"/>
      <c r="F300" s="694" t="e">
        <f t="shared" si="10"/>
        <v>#DIV/0!</v>
      </c>
      <c r="G300" s="692">
        <f>SUMIF('ПО КОРИСНИЦИМА'!$G$8:$G$18203,"Свега за пројекат 2002-П17:",'ПО КОРИСНИЦИМА'!$K$8:$K$18203)</f>
        <v>0</v>
      </c>
      <c r="H300" s="687"/>
      <c r="I300" s="686"/>
      <c r="J300" s="688"/>
    </row>
    <row r="301" spans="1:10" hidden="1" x14ac:dyDescent="0.2">
      <c r="A301" s="229"/>
      <c r="B301" s="238" t="s">
        <v>4726</v>
      </c>
      <c r="C301" s="208" t="str">
        <f>IFERROR(VLOOKUP(B301,'ПО КОРИСНИЦИМА'!$C$8:$L$18203,5,FALSE),"")</f>
        <v/>
      </c>
      <c r="D301" s="265">
        <f>SUMIF('ПО КОРИСНИЦИМА'!$G$8:$G$18203,"Свега за пројекат 2002-П18:",'ПО КОРИСНИЦИМА'!$H$8:$H$18203)</f>
        <v>0</v>
      </c>
      <c r="E301" s="684"/>
      <c r="F301" s="694" t="e">
        <f t="shared" si="10"/>
        <v>#DIV/0!</v>
      </c>
      <c r="G301" s="692">
        <f>SUMIF('ПО КОРИСНИЦИМА'!$G$8:$G$18203,"Свега за пројекат 2002-П18:",'ПО КОРИСНИЦИМА'!$K$8:$K$18203)</f>
        <v>0</v>
      </c>
      <c r="H301" s="687"/>
      <c r="I301" s="686"/>
      <c r="J301" s="688"/>
    </row>
    <row r="302" spans="1:10" hidden="1" x14ac:dyDescent="0.2">
      <c r="A302" s="229"/>
      <c r="B302" s="238" t="s">
        <v>4727</v>
      </c>
      <c r="C302" s="208" t="str">
        <f>IFERROR(VLOOKUP(B302,'ПО КОРИСНИЦИМА'!$C$8:$L$18203,5,FALSE),"")</f>
        <v/>
      </c>
      <c r="D302" s="265">
        <f>SUMIF('ПО КОРИСНИЦИМА'!$G$8:$G$18203,"Свега за пројекат 2002-П19:",'ПО КОРИСНИЦИМА'!$H$8:$H$18203)</f>
        <v>0</v>
      </c>
      <c r="E302" s="684"/>
      <c r="F302" s="694" t="e">
        <f t="shared" si="10"/>
        <v>#DIV/0!</v>
      </c>
      <c r="G302" s="692">
        <f>SUMIF('ПО КОРИСНИЦИМА'!$G$8:$G$18203,"Свега за пројекат 2002-П19:",'ПО КОРИСНИЦИМА'!$K$8:$K$18203)</f>
        <v>0</v>
      </c>
      <c r="H302" s="687"/>
      <c r="I302" s="686"/>
      <c r="J302" s="688"/>
    </row>
    <row r="303" spans="1:10" hidden="1" x14ac:dyDescent="0.2">
      <c r="A303" s="229"/>
      <c r="B303" s="238" t="s">
        <v>4728</v>
      </c>
      <c r="C303" s="208" t="str">
        <f>IFERROR(VLOOKUP(B303,'ПО КОРИСНИЦИМА'!$C$8:$L$18203,5,FALSE),"")</f>
        <v/>
      </c>
      <c r="D303" s="265">
        <f>SUMIF('ПО КОРИСНИЦИМА'!$G$8:$G$18203,"Свега за пројекат 2002-П20:",'ПО КОРИСНИЦИМА'!$H$8:$H$18203)</f>
        <v>0</v>
      </c>
      <c r="E303" s="684"/>
      <c r="F303" s="694" t="e">
        <f t="shared" si="10"/>
        <v>#DIV/0!</v>
      </c>
      <c r="G303" s="692">
        <f>SUMIF('ПО КОРИСНИЦИМА'!$G$8:$G$18203,"Свега за пројекат 2002-П20:",'ПО КОРИСНИЦИМА'!$K$8:$K$18203)</f>
        <v>0</v>
      </c>
      <c r="H303" s="687"/>
      <c r="I303" s="686"/>
      <c r="J303" s="688"/>
    </row>
    <row r="304" spans="1:10" hidden="1" x14ac:dyDescent="0.2">
      <c r="A304" s="229"/>
      <c r="B304" s="238" t="s">
        <v>4729</v>
      </c>
      <c r="C304" s="208" t="str">
        <f>IFERROR(VLOOKUP(B304,'ПО КОРИСНИЦИМА'!$C$8:$L$18203,5,FALSE),"")</f>
        <v/>
      </c>
      <c r="D304" s="265">
        <f>SUMIF('ПО КОРИСНИЦИМА'!$G$8:$G$18203,"Свега за пројекат 2002-П21:",'ПО КОРИСНИЦИМА'!$H$8:$H$18203)</f>
        <v>0</v>
      </c>
      <c r="E304" s="684"/>
      <c r="F304" s="694" t="e">
        <f t="shared" si="10"/>
        <v>#DIV/0!</v>
      </c>
      <c r="G304" s="692">
        <f>SUMIF('ПО КОРИСНИЦИМА'!$G$8:$G$18203,"Свега за пројекат 2002-П21:",'ПО КОРИСНИЦИМА'!$K$8:$K$18203)</f>
        <v>0</v>
      </c>
      <c r="H304" s="687"/>
      <c r="I304" s="686"/>
      <c r="J304" s="688"/>
    </row>
    <row r="305" spans="1:10" hidden="1" x14ac:dyDescent="0.2">
      <c r="A305" s="229"/>
      <c r="B305" s="238" t="s">
        <v>4730</v>
      </c>
      <c r="C305" s="208" t="str">
        <f>IFERROR(VLOOKUP(B305,'ПО КОРИСНИЦИМА'!$C$8:$L$18203,5,FALSE),"")</f>
        <v/>
      </c>
      <c r="D305" s="265">
        <f>SUMIF('ПО КОРИСНИЦИМА'!$G$8:$G$18203,"Свега за пројекат 2002-П22:",'ПО КОРИСНИЦИМА'!$H$8:$H$18203)</f>
        <v>0</v>
      </c>
      <c r="E305" s="684"/>
      <c r="F305" s="694" t="e">
        <f t="shared" si="10"/>
        <v>#DIV/0!</v>
      </c>
      <c r="G305" s="692">
        <f>SUMIF('ПО КОРИСНИЦИМА'!$G$8:$G$18203,"Свега за пројекат 2002-П22:",'ПО КОРИСНИЦИМА'!$K$8:$K$18203)</f>
        <v>0</v>
      </c>
      <c r="H305" s="687"/>
      <c r="I305" s="686"/>
      <c r="J305" s="688"/>
    </row>
    <row r="306" spans="1:10" hidden="1" x14ac:dyDescent="0.2">
      <c r="A306" s="229"/>
      <c r="B306" s="238" t="s">
        <v>4731</v>
      </c>
      <c r="C306" s="208" t="str">
        <f>IFERROR(VLOOKUP(B306,'ПО КОРИСНИЦИМА'!$C$8:$L$18203,5,FALSE),"")</f>
        <v/>
      </c>
      <c r="D306" s="265">
        <f>SUMIF('ПО КОРИСНИЦИМА'!$G$8:$G$18203,"Свега за пројекат 2002-П23:",'ПО КОРИСНИЦИМА'!$H$8:$H$18203)</f>
        <v>0</v>
      </c>
      <c r="E306" s="684"/>
      <c r="F306" s="694" t="e">
        <f t="shared" si="10"/>
        <v>#DIV/0!</v>
      </c>
      <c r="G306" s="692">
        <f>SUMIF('ПО КОРИСНИЦИМА'!$G$8:$G$18203,"Свега за пројекат 2002-П23:",'ПО КОРИСНИЦИМА'!$K$8:$K$18203)</f>
        <v>0</v>
      </c>
      <c r="H306" s="687"/>
      <c r="I306" s="686"/>
      <c r="J306" s="688"/>
    </row>
    <row r="307" spans="1:10" hidden="1" x14ac:dyDescent="0.2">
      <c r="A307" s="229"/>
      <c r="B307" s="238" t="s">
        <v>4732</v>
      </c>
      <c r="C307" s="208" t="str">
        <f>IFERROR(VLOOKUP(B307,'ПО КОРИСНИЦИМА'!$C$8:$L$18203,5,FALSE),"")</f>
        <v/>
      </c>
      <c r="D307" s="265">
        <f>SUMIF('ПО КОРИСНИЦИМА'!$G$8:$G$18203,"Свега за пројекат 2002-П24:",'ПО КОРИСНИЦИМА'!$H$8:$H$18203)</f>
        <v>0</v>
      </c>
      <c r="E307" s="684"/>
      <c r="F307" s="694" t="e">
        <f t="shared" si="10"/>
        <v>#DIV/0!</v>
      </c>
      <c r="G307" s="692">
        <f>SUMIF('ПО КОРИСНИЦИМА'!$G$8:$G$18203,"Свега за пројекат 2002-П24:",'ПО КОРИСНИЦИМА'!$K$8:$K$18203)</f>
        <v>0</v>
      </c>
      <c r="H307" s="687"/>
      <c r="I307" s="686"/>
      <c r="J307" s="688"/>
    </row>
    <row r="308" spans="1:10" hidden="1" x14ac:dyDescent="0.2">
      <c r="A308" s="229"/>
      <c r="B308" s="238" t="s">
        <v>4733</v>
      </c>
      <c r="C308" s="208" t="str">
        <f>IFERROR(VLOOKUP(B308,'ПО КОРИСНИЦИМА'!$C$8:$L$18203,5,FALSE),"")</f>
        <v/>
      </c>
      <c r="D308" s="265">
        <f>SUMIF('ПО КОРИСНИЦИМА'!$G$8:$G$18203,"Свега за пројекат 2002-П25:",'ПО КОРИСНИЦИМА'!$H$8:$H$18203)</f>
        <v>0</v>
      </c>
      <c r="E308" s="684"/>
      <c r="F308" s="694" t="e">
        <f t="shared" si="10"/>
        <v>#DIV/0!</v>
      </c>
      <c r="G308" s="692">
        <f>SUMIF('ПО КОРИСНИЦИМА'!$G$8:$G$18203,"Свега за пројекат 2002-П25:",'ПО КОРИСНИЦИМА'!$K$8:$K$18203)</f>
        <v>0</v>
      </c>
      <c r="H308" s="687"/>
      <c r="I308" s="686"/>
      <c r="J308" s="688"/>
    </row>
    <row r="309" spans="1:10" hidden="1" x14ac:dyDescent="0.2">
      <c r="A309" s="236"/>
      <c r="B309" s="238" t="s">
        <v>4734</v>
      </c>
      <c r="C309" s="208" t="str">
        <f>IFERROR(VLOOKUP(B309,'ПО КОРИСНИЦИМА'!$C$8:$L$18203,5,FALSE),"")</f>
        <v/>
      </c>
      <c r="D309" s="265">
        <f>SUMIF('ПО КОРИСНИЦИМА'!$G$8:$G$18203,"Свега за пројекат 2002-П26:",'ПО КОРИСНИЦИМА'!$H$8:$H$18203)</f>
        <v>0</v>
      </c>
      <c r="E309" s="684"/>
      <c r="F309" s="694" t="e">
        <f t="shared" si="10"/>
        <v>#DIV/0!</v>
      </c>
      <c r="G309" s="692">
        <f>SUMIF('ПО КОРИСНИЦИМА'!$G$8:$G$18203,"Свега за пројекат 2002-П26:",'ПО КОРИСНИЦИМА'!$K$8:$K$18203)</f>
        <v>0</v>
      </c>
      <c r="H309" s="687"/>
      <c r="I309" s="691"/>
      <c r="J309" s="688"/>
    </row>
    <row r="310" spans="1:10" hidden="1" x14ac:dyDescent="0.2">
      <c r="A310" s="236"/>
      <c r="B310" s="238" t="s">
        <v>4735</v>
      </c>
      <c r="C310" s="208" t="str">
        <f>IFERROR(VLOOKUP(B310,'ПО КОРИСНИЦИМА'!$C$8:$L$18203,5,FALSE),"")</f>
        <v/>
      </c>
      <c r="D310" s="265">
        <f>SUMIF('ПО КОРИСНИЦИМА'!$G$8:$G$18203,"Свега за пројекат 2002-П27:",'ПО КОРИСНИЦИМА'!$H$8:$H$18203)</f>
        <v>0</v>
      </c>
      <c r="E310" s="684"/>
      <c r="F310" s="694" t="e">
        <f t="shared" si="10"/>
        <v>#DIV/0!</v>
      </c>
      <c r="G310" s="692">
        <f>SUMIF('ПО КОРИСНИЦИМА'!$G$8:$G$18203,"Свега за пројекат 2002-П27:",'ПО КОРИСНИЦИМА'!$K$8:$K$18203)</f>
        <v>0</v>
      </c>
      <c r="H310" s="687"/>
      <c r="I310" s="691"/>
      <c r="J310" s="688"/>
    </row>
    <row r="311" spans="1:10" hidden="1" x14ac:dyDescent="0.2">
      <c r="A311" s="236"/>
      <c r="B311" s="238" t="s">
        <v>4736</v>
      </c>
      <c r="C311" s="208" t="str">
        <f>IFERROR(VLOOKUP(B311,'ПО КОРИСНИЦИМА'!$C$8:$L$18203,5,FALSE),"")</f>
        <v/>
      </c>
      <c r="D311" s="265">
        <f>SUMIF('ПО КОРИСНИЦИМА'!$G$8:$G$18203,"Свега за пројекат 2002-П28:",'ПО КОРИСНИЦИМА'!$H$8:$H$18203)</f>
        <v>0</v>
      </c>
      <c r="E311" s="684"/>
      <c r="F311" s="694" t="e">
        <f t="shared" si="10"/>
        <v>#DIV/0!</v>
      </c>
      <c r="G311" s="692">
        <f>SUMIF('ПО КОРИСНИЦИМА'!$G$8:$G$18203,"Свега за пројекат 2002-П28:",'ПО КОРИСНИЦИМА'!$K$8:$K$18203)</f>
        <v>0</v>
      </c>
      <c r="H311" s="687"/>
      <c r="I311" s="691"/>
      <c r="J311" s="688"/>
    </row>
    <row r="312" spans="1:10" hidden="1" x14ac:dyDescent="0.2">
      <c r="A312" s="236"/>
      <c r="B312" s="238" t="s">
        <v>4737</v>
      </c>
      <c r="C312" s="208" t="str">
        <f>IFERROR(VLOOKUP(B312,'ПО КОРИСНИЦИМА'!$C$8:$L$18203,5,FALSE),"")</f>
        <v/>
      </c>
      <c r="D312" s="265">
        <f>SUMIF('ПО КОРИСНИЦИМА'!$G$8:$G$18203,"Свега за пројекат 2002-П29:",'ПО КОРИСНИЦИМА'!$H$8:$H$18203)</f>
        <v>0</v>
      </c>
      <c r="E312" s="684"/>
      <c r="F312" s="694" t="e">
        <f t="shared" si="10"/>
        <v>#DIV/0!</v>
      </c>
      <c r="G312" s="692">
        <f>SUMIF('ПО КОРИСНИЦИМА'!$G$8:$G$18203,"Свега за пројекат 2002-П29:",'ПО КОРИСНИЦИМА'!$K$8:$K$18203)</f>
        <v>0</v>
      </c>
      <c r="H312" s="687"/>
      <c r="I312" s="691"/>
      <c r="J312" s="688"/>
    </row>
    <row r="313" spans="1:10" hidden="1" x14ac:dyDescent="0.2">
      <c r="A313" s="237"/>
      <c r="B313" s="238" t="s">
        <v>4738</v>
      </c>
      <c r="C313" s="208" t="str">
        <f>IFERROR(VLOOKUP(B313,'ПО КОРИСНИЦИМА'!$C$8:$L$18203,5,FALSE),"")</f>
        <v/>
      </c>
      <c r="D313" s="265">
        <f>SUMIF('ПО КОРИСНИЦИМА'!$G$8:$G$18203,"Свега за пројекат 2002-П30:",'ПО КОРИСНИЦИМА'!$H$8:$H$18203)</f>
        <v>0</v>
      </c>
      <c r="E313" s="684"/>
      <c r="F313" s="694" t="e">
        <f t="shared" si="10"/>
        <v>#DIV/0!</v>
      </c>
      <c r="G313" s="692">
        <f>SUMIF('ПО КОРИСНИЦИМА'!$G$8:$G$18203,"Свега за пројекат 2002-П30:",'ПО КОРИСНИЦИМА'!$K$8:$K$18203)</f>
        <v>0</v>
      </c>
      <c r="H313" s="687"/>
      <c r="I313" s="693"/>
      <c r="J313" s="688"/>
    </row>
    <row r="314" spans="1:10" s="234" customFormat="1" x14ac:dyDescent="0.2">
      <c r="A314" s="226" t="s">
        <v>3585</v>
      </c>
      <c r="B314" s="227"/>
      <c r="C314" s="206" t="s">
        <v>3674</v>
      </c>
      <c r="D314" s="253">
        <f>SUM(D315:D345)</f>
        <v>5679900</v>
      </c>
      <c r="E314" s="685">
        <f>SUM(E315)</f>
        <v>5191999.67</v>
      </c>
      <c r="F314" s="694">
        <f t="shared" si="10"/>
        <v>91.410054226306798</v>
      </c>
      <c r="G314" s="695">
        <f>SUM(G315:G345)</f>
        <v>0</v>
      </c>
      <c r="H314" s="696"/>
      <c r="I314" s="695"/>
      <c r="J314" s="770"/>
    </row>
    <row r="315" spans="1:10" x14ac:dyDescent="0.2">
      <c r="A315" s="230"/>
      <c r="B315" s="238" t="s">
        <v>4335</v>
      </c>
      <c r="C315" s="212" t="s">
        <v>4107</v>
      </c>
      <c r="D315" s="257">
        <f>SUMIF('ПО КОРИСНИЦИМА'!$G$8:$G$18203,"Свега за програмску активност 2003-0001:",'ПО КОРИСНИЦИМА'!$H$8:$H$18203)</f>
        <v>5679900</v>
      </c>
      <c r="E315" s="684">
        <f>SUM('ПО КОРИСНИЦИМА'!I6021)</f>
        <v>5191999.67</v>
      </c>
      <c r="F315" s="694">
        <f t="shared" si="10"/>
        <v>91.410054226306798</v>
      </c>
      <c r="G315" s="686">
        <f>SUMIF('ПО КОРИСНИЦИМА'!$G$8:$G$18203,"Свега за програмску активност 2003-0001:",'ПО КОРИСНИЦИМА'!$K$8:$K$18203)</f>
        <v>0</v>
      </c>
      <c r="H315" s="687"/>
      <c r="I315" s="686"/>
      <c r="J315" s="688"/>
    </row>
    <row r="316" spans="1:10" hidden="1" x14ac:dyDescent="0.2">
      <c r="A316" s="236"/>
      <c r="B316" s="236" t="s">
        <v>4739</v>
      </c>
      <c r="C316" s="208" t="str">
        <f>IFERROR(VLOOKUP(B316,'ПО КОРИСНИЦИМА'!$C$8:$L$18203,5,FALSE),"")</f>
        <v xml:space="preserve">Пројекат: </v>
      </c>
      <c r="D316" s="265">
        <f>SUMIF('ПО КОРИСНИЦИМА'!$G$8:$G$18203,"Свега за пројекат 2003-П1:",'ПО КОРИСНИЦИМА'!$H$8:$H$18203)</f>
        <v>0</v>
      </c>
      <c r="E316" s="684"/>
      <c r="F316" s="694" t="e">
        <f t="shared" si="10"/>
        <v>#DIV/0!</v>
      </c>
      <c r="G316" s="692">
        <f>SUMIF('ПО КОРИСНИЦИМА'!$G$8:$G$18203,"Свега за пројекат 2003-П1:",'ПО КОРИСНИЦИМА'!$K$8:$K$18203)</f>
        <v>0</v>
      </c>
      <c r="H316" s="687"/>
      <c r="I316" s="691"/>
      <c r="J316" s="688" t="e">
        <f t="shared" ref="J316:J356" si="11">SUM(H316/G316)*100</f>
        <v>#DIV/0!</v>
      </c>
    </row>
    <row r="317" spans="1:10" hidden="1" x14ac:dyDescent="0.2">
      <c r="A317" s="236"/>
      <c r="B317" s="236" t="s">
        <v>4740</v>
      </c>
      <c r="C317" s="208" t="str">
        <f>IFERROR(VLOOKUP(B317,'ПО КОРИСНИЦИМА'!$C$8:$L$18203,5,FALSE),"")</f>
        <v xml:space="preserve">Пројекат: </v>
      </c>
      <c r="D317" s="265">
        <f>SUMIF('ПО КОРИСНИЦИМА'!$G$8:$G$18203,"Свега за пројекат 2003-П2:",'ПО КОРИСНИЦИМА'!$H$8:$H$18203)</f>
        <v>0</v>
      </c>
      <c r="E317" s="684"/>
      <c r="F317" s="694" t="e">
        <f t="shared" si="10"/>
        <v>#DIV/0!</v>
      </c>
      <c r="G317" s="692">
        <f>SUMIF('ПО КОРИСНИЦИМА'!$G$8:$G$18203,"Свега за пројекат 2003-П2:",'ПО КОРИСНИЦИМА'!$K$8:$K$18203)</f>
        <v>0</v>
      </c>
      <c r="H317" s="687"/>
      <c r="I317" s="689"/>
      <c r="J317" s="688" t="e">
        <f t="shared" si="11"/>
        <v>#DIV/0!</v>
      </c>
    </row>
    <row r="318" spans="1:10" hidden="1" x14ac:dyDescent="0.2">
      <c r="A318" s="236"/>
      <c r="B318" s="236" t="s">
        <v>4741</v>
      </c>
      <c r="C318" s="208" t="str">
        <f>IFERROR(VLOOKUP(B318,'ПО КОРИСНИЦИМА'!$C$8:$L$18203,5,FALSE),"")</f>
        <v/>
      </c>
      <c r="D318" s="265">
        <f>SUMIF('ПО КОРИСНИЦИМА'!$G$8:$G$18203,"Свега за пројекат 2003-П3:",'ПО КОРИСНИЦИМА'!$H$8:$H$18203)</f>
        <v>0</v>
      </c>
      <c r="E318" s="684"/>
      <c r="F318" s="694" t="e">
        <f t="shared" si="10"/>
        <v>#DIV/0!</v>
      </c>
      <c r="G318" s="692">
        <f>SUMIF('ПО КОРИСНИЦИМА'!$G$8:$G$18203,"Свега за пројекат 2003-П3:",'ПО КОРИСНИЦИМА'!$K$8:$K$18203)</f>
        <v>0</v>
      </c>
      <c r="H318" s="687"/>
      <c r="I318" s="689"/>
      <c r="J318" s="688" t="e">
        <f t="shared" si="11"/>
        <v>#DIV/0!</v>
      </c>
    </row>
    <row r="319" spans="1:10" hidden="1" x14ac:dyDescent="0.2">
      <c r="A319" s="236"/>
      <c r="B319" s="236" t="s">
        <v>4742</v>
      </c>
      <c r="C319" s="208" t="str">
        <f>IFERROR(VLOOKUP(B319,'ПО КОРИСНИЦИМА'!$C$8:$L$18203,5,FALSE),"")</f>
        <v/>
      </c>
      <c r="D319" s="265">
        <f>SUMIF('ПО КОРИСНИЦИМА'!$G$8:$G$18203,"Свега за пројекат 2003-П4:",'ПО КОРИСНИЦИМА'!$H$8:$H$18203)</f>
        <v>0</v>
      </c>
      <c r="E319" s="684"/>
      <c r="F319" s="694" t="e">
        <f t="shared" si="10"/>
        <v>#DIV/0!</v>
      </c>
      <c r="G319" s="692">
        <f>SUMIF('ПО КОРИСНИЦИМА'!$G$8:$G$18203,"Свега за пројекат 2003-П4:",'ПО КОРИСНИЦИМА'!$K$8:$K$18203)</f>
        <v>0</v>
      </c>
      <c r="H319" s="687"/>
      <c r="I319" s="689"/>
      <c r="J319" s="688" t="e">
        <f t="shared" si="11"/>
        <v>#DIV/0!</v>
      </c>
    </row>
    <row r="320" spans="1:10" hidden="1" x14ac:dyDescent="0.2">
      <c r="A320" s="236"/>
      <c r="B320" s="236" t="s">
        <v>4743</v>
      </c>
      <c r="C320" s="208" t="str">
        <f>IFERROR(VLOOKUP(B320,'ПО КОРИСНИЦИМА'!$C$8:$L$18203,5,FALSE),"")</f>
        <v/>
      </c>
      <c r="D320" s="265">
        <f>SUMIF('ПО КОРИСНИЦИМА'!$G$8:$G$18203,"Свега за пројекат 2003-П5:",'ПО КОРИСНИЦИМА'!$H$8:$H$18203)</f>
        <v>0</v>
      </c>
      <c r="E320" s="684"/>
      <c r="F320" s="694" t="e">
        <f t="shared" si="10"/>
        <v>#DIV/0!</v>
      </c>
      <c r="G320" s="692">
        <f>SUMIF('ПО КОРИСНИЦИМА'!$G$8:$G$18203,"Свега за пројекат 2003-П5:",'ПО КОРИСНИЦИМА'!$K$8:$K$18203)</f>
        <v>0</v>
      </c>
      <c r="H320" s="687"/>
      <c r="I320" s="689"/>
      <c r="J320" s="688" t="e">
        <f t="shared" si="11"/>
        <v>#DIV/0!</v>
      </c>
    </row>
    <row r="321" spans="1:10" hidden="1" x14ac:dyDescent="0.2">
      <c r="A321" s="236"/>
      <c r="B321" s="236" t="s">
        <v>4744</v>
      </c>
      <c r="C321" s="208" t="str">
        <f>IFERROR(VLOOKUP(B321,'ПО КОРИСНИЦИМА'!$C$8:$L$18203,5,FALSE),"")</f>
        <v/>
      </c>
      <c r="D321" s="265">
        <f>SUMIF('ПО КОРИСНИЦИМА'!$G$8:$G$18203,"Свега за пројекат 2003-П6:",'ПО КОРИСНИЦИМА'!$H$8:$H$18203)</f>
        <v>0</v>
      </c>
      <c r="E321" s="684"/>
      <c r="F321" s="694" t="e">
        <f t="shared" si="10"/>
        <v>#DIV/0!</v>
      </c>
      <c r="G321" s="692">
        <f>SUMIF('ПО КОРИСНИЦИМА'!$G$8:$G$18203,"Свега за пројекат 2003-П6:",'ПО КОРИСНИЦИМА'!$K$8:$K$18203)</f>
        <v>0</v>
      </c>
      <c r="H321" s="687"/>
      <c r="I321" s="689"/>
      <c r="J321" s="688" t="e">
        <f t="shared" si="11"/>
        <v>#DIV/0!</v>
      </c>
    </row>
    <row r="322" spans="1:10" hidden="1" x14ac:dyDescent="0.2">
      <c r="A322" s="236"/>
      <c r="B322" s="236" t="s">
        <v>4745</v>
      </c>
      <c r="C322" s="208" t="str">
        <f>IFERROR(VLOOKUP(B322,'ПО КОРИСНИЦИМА'!$C$8:$L$18203,5,FALSE),"")</f>
        <v/>
      </c>
      <c r="D322" s="265">
        <f>SUMIF('ПО КОРИСНИЦИМА'!$G$8:$G$18203,"Свега за пројекат 2003-П7:",'ПО КОРИСНИЦИМА'!$H$8:$H$18203)</f>
        <v>0</v>
      </c>
      <c r="E322" s="684"/>
      <c r="F322" s="694" t="e">
        <f t="shared" si="10"/>
        <v>#DIV/0!</v>
      </c>
      <c r="G322" s="692">
        <f>SUMIF('ПО КОРИСНИЦИМА'!$G$8:$G$18203,"Свега за пројекат 2003-П7:",'ПО КОРИСНИЦИМА'!$K$8:$K$18203)</f>
        <v>0</v>
      </c>
      <c r="H322" s="687"/>
      <c r="I322" s="689"/>
      <c r="J322" s="688" t="e">
        <f t="shared" si="11"/>
        <v>#DIV/0!</v>
      </c>
    </row>
    <row r="323" spans="1:10" hidden="1" x14ac:dyDescent="0.2">
      <c r="A323" s="236"/>
      <c r="B323" s="236" t="s">
        <v>4746</v>
      </c>
      <c r="C323" s="208" t="str">
        <f>IFERROR(VLOOKUP(B323,'ПО КОРИСНИЦИМА'!$C$8:$L$18203,5,FALSE),"")</f>
        <v/>
      </c>
      <c r="D323" s="265">
        <f>SUMIF('ПО КОРИСНИЦИМА'!$G$8:$G$18203,"Свега за пројекат 2003-П8:",'ПО КОРИСНИЦИМА'!$H$8:$H$18203)</f>
        <v>0</v>
      </c>
      <c r="E323" s="684"/>
      <c r="F323" s="694" t="e">
        <f t="shared" si="10"/>
        <v>#DIV/0!</v>
      </c>
      <c r="G323" s="692">
        <f>SUMIF('ПО КОРИСНИЦИМА'!$G$8:$G$18203,"Свега за пројекат 2003-П8:",'ПО КОРИСНИЦИМА'!$K$8:$K$18203)</f>
        <v>0</v>
      </c>
      <c r="H323" s="687"/>
      <c r="I323" s="689"/>
      <c r="J323" s="688" t="e">
        <f t="shared" si="11"/>
        <v>#DIV/0!</v>
      </c>
    </row>
    <row r="324" spans="1:10" hidden="1" x14ac:dyDescent="0.2">
      <c r="A324" s="236"/>
      <c r="B324" s="236" t="s">
        <v>4747</v>
      </c>
      <c r="C324" s="208" t="str">
        <f>IFERROR(VLOOKUP(B324,'ПО КОРИСНИЦИМА'!$C$8:$L$18203,5,FALSE),"")</f>
        <v/>
      </c>
      <c r="D324" s="265">
        <f>SUMIF('ПО КОРИСНИЦИМА'!$G$8:$G$18203,"Свега за пројекат 2003-П9:",'ПО КОРИСНИЦИМА'!$H$8:$H$18203)</f>
        <v>0</v>
      </c>
      <c r="E324" s="684"/>
      <c r="F324" s="694" t="e">
        <f t="shared" si="10"/>
        <v>#DIV/0!</v>
      </c>
      <c r="G324" s="692">
        <f>SUMIF('ПО КОРИСНИЦИМА'!$G$8:$G$18203,"Свега за пројекат 2003-П9:",'ПО КОРИСНИЦИМА'!$K$8:$K$18203)</f>
        <v>0</v>
      </c>
      <c r="H324" s="687"/>
      <c r="I324" s="689"/>
      <c r="J324" s="688" t="e">
        <f t="shared" si="11"/>
        <v>#DIV/0!</v>
      </c>
    </row>
    <row r="325" spans="1:10" hidden="1" x14ac:dyDescent="0.2">
      <c r="A325" s="236"/>
      <c r="B325" s="236" t="s">
        <v>4748</v>
      </c>
      <c r="C325" s="208" t="str">
        <f>IFERROR(VLOOKUP(B325,'ПО КОРИСНИЦИМА'!$C$8:$L$18203,5,FALSE),"")</f>
        <v/>
      </c>
      <c r="D325" s="265">
        <f>SUMIF('ПО КОРИСНИЦИМА'!$G$8:$G$18203,"Свега за пројекат 2003-П10:",'ПО КОРИСНИЦИМА'!$H$8:$H$18203)</f>
        <v>0</v>
      </c>
      <c r="E325" s="684"/>
      <c r="F325" s="694" t="e">
        <f t="shared" si="10"/>
        <v>#DIV/0!</v>
      </c>
      <c r="G325" s="692">
        <f>SUMIF('ПО КОРИСНИЦИМА'!$G$8:$G$18203,"Свега за пројекат 2003-П10:",'ПО КОРИСНИЦИМА'!$K$8:$K$18203)</f>
        <v>0</v>
      </c>
      <c r="H325" s="687"/>
      <c r="I325" s="689"/>
      <c r="J325" s="688" t="e">
        <f t="shared" si="11"/>
        <v>#DIV/0!</v>
      </c>
    </row>
    <row r="326" spans="1:10" hidden="1" x14ac:dyDescent="0.2">
      <c r="A326" s="236"/>
      <c r="B326" s="236" t="s">
        <v>4749</v>
      </c>
      <c r="C326" s="208" t="str">
        <f>IFERROR(VLOOKUP(B326,'ПО КОРИСНИЦИМА'!$C$8:$L$18203,5,FALSE),"")</f>
        <v/>
      </c>
      <c r="D326" s="265">
        <f>SUMIF('ПО КОРИСНИЦИМА'!$G$8:$G$18203,"Свега за пројекат 2003-П11:",'ПО КОРИСНИЦИМА'!$H$8:$H$18203)</f>
        <v>0</v>
      </c>
      <c r="E326" s="684"/>
      <c r="F326" s="694" t="e">
        <f t="shared" si="10"/>
        <v>#DIV/0!</v>
      </c>
      <c r="G326" s="692">
        <f>SUMIF('ПО КОРИСНИЦИМА'!$G$8:$G$18203,"Свега за пројекат 2003-П11:",'ПО КОРИСНИЦИМА'!$K$8:$K$18203)</f>
        <v>0</v>
      </c>
      <c r="H326" s="687"/>
      <c r="I326" s="689"/>
      <c r="J326" s="688" t="e">
        <f t="shared" si="11"/>
        <v>#DIV/0!</v>
      </c>
    </row>
    <row r="327" spans="1:10" hidden="1" x14ac:dyDescent="0.2">
      <c r="A327" s="236"/>
      <c r="B327" s="236" t="s">
        <v>4750</v>
      </c>
      <c r="C327" s="208" t="str">
        <f>IFERROR(VLOOKUP(B327,'ПО КОРИСНИЦИМА'!$C$8:$L$18203,5,FALSE),"")</f>
        <v/>
      </c>
      <c r="D327" s="265">
        <f>SUMIF('ПО КОРИСНИЦИМА'!$G$8:$G$18203,"Свега за пројекат 2003-П12:",'ПО КОРИСНИЦИМА'!$H$8:$H$18203)</f>
        <v>0</v>
      </c>
      <c r="E327" s="684"/>
      <c r="F327" s="694" t="e">
        <f t="shared" si="10"/>
        <v>#DIV/0!</v>
      </c>
      <c r="G327" s="692">
        <f>SUMIF('ПО КОРИСНИЦИМА'!$G$8:$G$18203,"Свега за пројекат 2003-П12:",'ПО КОРИСНИЦИМА'!$K$8:$K$18203)</f>
        <v>0</v>
      </c>
      <c r="H327" s="687"/>
      <c r="I327" s="689"/>
      <c r="J327" s="688" t="e">
        <f t="shared" si="11"/>
        <v>#DIV/0!</v>
      </c>
    </row>
    <row r="328" spans="1:10" hidden="1" x14ac:dyDescent="0.2">
      <c r="A328" s="236"/>
      <c r="B328" s="236" t="s">
        <v>4751</v>
      </c>
      <c r="C328" s="208" t="str">
        <f>IFERROR(VLOOKUP(B328,'ПО КОРИСНИЦИМА'!$C$8:$L$18203,5,FALSE),"")</f>
        <v/>
      </c>
      <c r="D328" s="265">
        <f>SUMIF('ПО КОРИСНИЦИМА'!$G$8:$G$18203,"Свега за пројекат 2003-П13:",'ПО КОРИСНИЦИМА'!$H$8:$H$18203)</f>
        <v>0</v>
      </c>
      <c r="E328" s="684"/>
      <c r="F328" s="694" t="e">
        <f t="shared" si="10"/>
        <v>#DIV/0!</v>
      </c>
      <c r="G328" s="692">
        <f>SUMIF('ПО КОРИСНИЦИМА'!$G$8:$G$18203,"Свега за пројекат 2003-П13:",'ПО КОРИСНИЦИМА'!$K$8:$K$18203)</f>
        <v>0</v>
      </c>
      <c r="H328" s="687"/>
      <c r="I328" s="689"/>
      <c r="J328" s="688" t="e">
        <f t="shared" si="11"/>
        <v>#DIV/0!</v>
      </c>
    </row>
    <row r="329" spans="1:10" hidden="1" x14ac:dyDescent="0.2">
      <c r="A329" s="236"/>
      <c r="B329" s="236" t="s">
        <v>4752</v>
      </c>
      <c r="C329" s="208" t="str">
        <f>IFERROR(VLOOKUP(B329,'ПО КОРИСНИЦИМА'!$C$8:$L$18203,5,FALSE),"")</f>
        <v/>
      </c>
      <c r="D329" s="265">
        <f>SUMIF('ПО КОРИСНИЦИМА'!$G$8:$G$18203,"Свега за пројекат 2003-П14:",'ПО КОРИСНИЦИМА'!$H$8:$H$18203)</f>
        <v>0</v>
      </c>
      <c r="E329" s="684"/>
      <c r="F329" s="694" t="e">
        <f t="shared" si="10"/>
        <v>#DIV/0!</v>
      </c>
      <c r="G329" s="692">
        <f>SUMIF('ПО КОРИСНИЦИМА'!$G$8:$G$18203,"Свега за пројекат 2003-П14:",'ПО КОРИСНИЦИМА'!$K$8:$K$18203)</f>
        <v>0</v>
      </c>
      <c r="H329" s="687"/>
      <c r="I329" s="689"/>
      <c r="J329" s="688" t="e">
        <f t="shared" si="11"/>
        <v>#DIV/0!</v>
      </c>
    </row>
    <row r="330" spans="1:10" hidden="1" x14ac:dyDescent="0.2">
      <c r="A330" s="236"/>
      <c r="B330" s="236" t="s">
        <v>4753</v>
      </c>
      <c r="C330" s="208" t="str">
        <f>IFERROR(VLOOKUP(B330,'ПО КОРИСНИЦИМА'!$C$8:$L$18203,5,FALSE),"")</f>
        <v/>
      </c>
      <c r="D330" s="265">
        <f>SUMIF('ПО КОРИСНИЦИМА'!$G$8:$G$18203,"Свега за пројекат 2003-П15:",'ПО КОРИСНИЦИМА'!$H$8:$H$18203)</f>
        <v>0</v>
      </c>
      <c r="E330" s="684"/>
      <c r="F330" s="694" t="e">
        <f t="shared" si="10"/>
        <v>#DIV/0!</v>
      </c>
      <c r="G330" s="692">
        <f>SUMIF('ПО КОРИСНИЦИМА'!$G$8:$G$18203,"Свега за пројекат 2003-П15:",'ПО КОРИСНИЦИМА'!$K$8:$K$18203)</f>
        <v>0</v>
      </c>
      <c r="H330" s="687"/>
      <c r="I330" s="689"/>
      <c r="J330" s="688" t="e">
        <f t="shared" si="11"/>
        <v>#DIV/0!</v>
      </c>
    </row>
    <row r="331" spans="1:10" hidden="1" x14ac:dyDescent="0.2">
      <c r="A331" s="236"/>
      <c r="B331" s="236" t="s">
        <v>4754</v>
      </c>
      <c r="C331" s="208" t="str">
        <f>IFERROR(VLOOKUP(B331,'ПО КОРИСНИЦИМА'!$C$8:$L$18203,5,FALSE),"")</f>
        <v/>
      </c>
      <c r="D331" s="265">
        <f>SUMIF('ПО КОРИСНИЦИМА'!$G$8:$G$18203,"Свега за пројекат 2003-П16:",'ПО КОРИСНИЦИМА'!$H$8:$H$18203)</f>
        <v>0</v>
      </c>
      <c r="E331" s="684"/>
      <c r="F331" s="694" t="e">
        <f t="shared" si="10"/>
        <v>#DIV/0!</v>
      </c>
      <c r="G331" s="692">
        <f>SUMIF('ПО КОРИСНИЦИМА'!$G$8:$G$18203,"Свега за пројекат 2003-П16:",'ПО КОРИСНИЦИМА'!$K$8:$K$18203)</f>
        <v>0</v>
      </c>
      <c r="H331" s="687"/>
      <c r="I331" s="689"/>
      <c r="J331" s="688" t="e">
        <f t="shared" si="11"/>
        <v>#DIV/0!</v>
      </c>
    </row>
    <row r="332" spans="1:10" hidden="1" x14ac:dyDescent="0.2">
      <c r="A332" s="236"/>
      <c r="B332" s="236" t="s">
        <v>4755</v>
      </c>
      <c r="C332" s="208" t="str">
        <f>IFERROR(VLOOKUP(B332,'ПО КОРИСНИЦИМА'!$C$8:$L$18203,5,FALSE),"")</f>
        <v/>
      </c>
      <c r="D332" s="265">
        <f>SUMIF('ПО КОРИСНИЦИМА'!$G$8:$G$18203,"Свега за пројекат 2003-П17:",'ПО КОРИСНИЦИМА'!$H$8:$H$18203)</f>
        <v>0</v>
      </c>
      <c r="E332" s="684"/>
      <c r="F332" s="694" t="e">
        <f t="shared" si="10"/>
        <v>#DIV/0!</v>
      </c>
      <c r="G332" s="692">
        <f>SUMIF('ПО КОРИСНИЦИМА'!$G$8:$G$18203,"Свега за пројекат 2003-П17:",'ПО КОРИСНИЦИМА'!$K$8:$K$18203)</f>
        <v>0</v>
      </c>
      <c r="H332" s="687"/>
      <c r="I332" s="689"/>
      <c r="J332" s="688" t="e">
        <f t="shared" si="11"/>
        <v>#DIV/0!</v>
      </c>
    </row>
    <row r="333" spans="1:10" hidden="1" x14ac:dyDescent="0.2">
      <c r="A333" s="236"/>
      <c r="B333" s="236" t="s">
        <v>4756</v>
      </c>
      <c r="C333" s="208" t="str">
        <f>IFERROR(VLOOKUP(B333,'ПО КОРИСНИЦИМА'!$C$8:$L$18203,5,FALSE),"")</f>
        <v/>
      </c>
      <c r="D333" s="265">
        <f>SUMIF('ПО КОРИСНИЦИМА'!$G$8:$G$18203,"Свега за пројекат 2003-П18:",'ПО КОРИСНИЦИМА'!$H$8:$H$18203)</f>
        <v>0</v>
      </c>
      <c r="E333" s="684"/>
      <c r="F333" s="694" t="e">
        <f t="shared" si="10"/>
        <v>#DIV/0!</v>
      </c>
      <c r="G333" s="692">
        <f>SUMIF('ПО КОРИСНИЦИМА'!$G$8:$G$18203,"Свега за пројекат 2003-П18:",'ПО КОРИСНИЦИМА'!$K$8:$K$18203)</f>
        <v>0</v>
      </c>
      <c r="H333" s="687"/>
      <c r="I333" s="689"/>
      <c r="J333" s="688" t="e">
        <f t="shared" si="11"/>
        <v>#DIV/0!</v>
      </c>
    </row>
    <row r="334" spans="1:10" hidden="1" x14ac:dyDescent="0.2">
      <c r="A334" s="236"/>
      <c r="B334" s="236" t="s">
        <v>4757</v>
      </c>
      <c r="C334" s="208" t="str">
        <f>IFERROR(VLOOKUP(B334,'ПО КОРИСНИЦИМА'!$C$8:$L$18203,5,FALSE),"")</f>
        <v/>
      </c>
      <c r="D334" s="265">
        <f>SUMIF('ПО КОРИСНИЦИМА'!$G$8:$G$18203,"Свега за пројекат 2003-П19:",'ПО КОРИСНИЦИМА'!$H$8:$H$18203)</f>
        <v>0</v>
      </c>
      <c r="E334" s="684"/>
      <c r="F334" s="694" t="e">
        <f t="shared" si="10"/>
        <v>#DIV/0!</v>
      </c>
      <c r="G334" s="692">
        <f>SUMIF('ПО КОРИСНИЦИМА'!$G$8:$G$18203,"Свега за пројекат 2003-П19:",'ПО КОРИСНИЦИМА'!$K$8:$K$18203)</f>
        <v>0</v>
      </c>
      <c r="H334" s="687"/>
      <c r="I334" s="689"/>
      <c r="J334" s="688" t="e">
        <f t="shared" si="11"/>
        <v>#DIV/0!</v>
      </c>
    </row>
    <row r="335" spans="1:10" hidden="1" x14ac:dyDescent="0.2">
      <c r="A335" s="236"/>
      <c r="B335" s="236" t="s">
        <v>4758</v>
      </c>
      <c r="C335" s="208" t="str">
        <f>IFERROR(VLOOKUP(B335,'ПО КОРИСНИЦИМА'!$C$8:$L$18203,5,FALSE),"")</f>
        <v/>
      </c>
      <c r="D335" s="265">
        <f>SUMIF('ПО КОРИСНИЦИМА'!$G$8:$G$18203,"Свега за пројекат 2003-П20:",'ПО КОРИСНИЦИМА'!$H$8:$H$18203)</f>
        <v>0</v>
      </c>
      <c r="E335" s="684"/>
      <c r="F335" s="694" t="e">
        <f t="shared" si="10"/>
        <v>#DIV/0!</v>
      </c>
      <c r="G335" s="692">
        <f>SUMIF('ПО КОРИСНИЦИМА'!$G$8:$G$18203,"Свега за пројекат 2003-П20:",'ПО КОРИСНИЦИМА'!$K$8:$K$18203)</f>
        <v>0</v>
      </c>
      <c r="H335" s="687"/>
      <c r="I335" s="689"/>
      <c r="J335" s="688" t="e">
        <f t="shared" si="11"/>
        <v>#DIV/0!</v>
      </c>
    </row>
    <row r="336" spans="1:10" hidden="1" x14ac:dyDescent="0.2">
      <c r="A336" s="236"/>
      <c r="B336" s="236" t="s">
        <v>4759</v>
      </c>
      <c r="C336" s="208" t="str">
        <f>IFERROR(VLOOKUP(B336,'ПО КОРИСНИЦИМА'!$C$8:$L$18203,5,FALSE),"")</f>
        <v/>
      </c>
      <c r="D336" s="265">
        <f>SUMIF('ПО КОРИСНИЦИМА'!$G$8:$G$18203,"Свега за пројекат 2003-П21:",'ПО КОРИСНИЦИМА'!$H$8:$H$18203)</f>
        <v>0</v>
      </c>
      <c r="E336" s="684"/>
      <c r="F336" s="694" t="e">
        <f t="shared" si="10"/>
        <v>#DIV/0!</v>
      </c>
      <c r="G336" s="692">
        <f>SUMIF('ПО КОРИСНИЦИМА'!$G$8:$G$18203,"Свега за пројекат 2003-П21:",'ПО КОРИСНИЦИМА'!$K$8:$K$18203)</f>
        <v>0</v>
      </c>
      <c r="H336" s="687"/>
      <c r="I336" s="689"/>
      <c r="J336" s="688" t="e">
        <f t="shared" si="11"/>
        <v>#DIV/0!</v>
      </c>
    </row>
    <row r="337" spans="1:10" hidden="1" x14ac:dyDescent="0.2">
      <c r="A337" s="236"/>
      <c r="B337" s="236" t="s">
        <v>4760</v>
      </c>
      <c r="C337" s="208" t="str">
        <f>IFERROR(VLOOKUP(B337,'ПО КОРИСНИЦИМА'!$C$8:$L$18203,5,FALSE),"")</f>
        <v/>
      </c>
      <c r="D337" s="265">
        <f>SUMIF('ПО КОРИСНИЦИМА'!$G$8:$G$18203,"Свега за пројекат 2003-П22:",'ПО КОРИСНИЦИМА'!$H$8:$H$18203)</f>
        <v>0</v>
      </c>
      <c r="E337" s="684"/>
      <c r="F337" s="694" t="e">
        <f t="shared" si="10"/>
        <v>#DIV/0!</v>
      </c>
      <c r="G337" s="692">
        <f>SUMIF('ПО КОРИСНИЦИМА'!$G$8:$G$18203,"Свега за пројекат 2003-П22:",'ПО КОРИСНИЦИМА'!$K$8:$K$18203)</f>
        <v>0</v>
      </c>
      <c r="H337" s="687"/>
      <c r="I337" s="689"/>
      <c r="J337" s="688" t="e">
        <f t="shared" si="11"/>
        <v>#DIV/0!</v>
      </c>
    </row>
    <row r="338" spans="1:10" hidden="1" x14ac:dyDescent="0.2">
      <c r="A338" s="236"/>
      <c r="B338" s="236" t="s">
        <v>4761</v>
      </c>
      <c r="C338" s="208" t="str">
        <f>IFERROR(VLOOKUP(B338,'ПО КОРИСНИЦИМА'!$C$8:$L$18203,5,FALSE),"")</f>
        <v/>
      </c>
      <c r="D338" s="265">
        <f>SUMIF('ПО КОРИСНИЦИМА'!$G$8:$G$18203,"Свега за пројекат 2003-П23:",'ПО КОРИСНИЦИМА'!$H$8:$H$18203)</f>
        <v>0</v>
      </c>
      <c r="E338" s="684"/>
      <c r="F338" s="694" t="e">
        <f t="shared" si="10"/>
        <v>#DIV/0!</v>
      </c>
      <c r="G338" s="692">
        <f>SUMIF('ПО КОРИСНИЦИМА'!$G$8:$G$18203,"Свега за пројекат 2003-П23:",'ПО КОРИСНИЦИМА'!$K$8:$K$18203)</f>
        <v>0</v>
      </c>
      <c r="H338" s="687"/>
      <c r="I338" s="689"/>
      <c r="J338" s="688" t="e">
        <f t="shared" si="11"/>
        <v>#DIV/0!</v>
      </c>
    </row>
    <row r="339" spans="1:10" hidden="1" x14ac:dyDescent="0.2">
      <c r="A339" s="236"/>
      <c r="B339" s="236" t="s">
        <v>4762</v>
      </c>
      <c r="C339" s="208" t="str">
        <f>IFERROR(VLOOKUP(B339,'ПО КОРИСНИЦИМА'!$C$8:$L$18203,5,FALSE),"")</f>
        <v/>
      </c>
      <c r="D339" s="265">
        <f>SUMIF('ПО КОРИСНИЦИМА'!$G$8:$G$18203,"Свега за пројекат 2003-П24:",'ПО КОРИСНИЦИМА'!$H$8:$H$18203)</f>
        <v>0</v>
      </c>
      <c r="E339" s="684"/>
      <c r="F339" s="694" t="e">
        <f t="shared" si="10"/>
        <v>#DIV/0!</v>
      </c>
      <c r="G339" s="692">
        <f>SUMIF('ПО КОРИСНИЦИМА'!$G$8:$G$18203,"Свега за пројекат 2003-П24:",'ПО КОРИСНИЦИМА'!$K$8:$K$18203)</f>
        <v>0</v>
      </c>
      <c r="H339" s="687"/>
      <c r="I339" s="689"/>
      <c r="J339" s="688" t="e">
        <f t="shared" si="11"/>
        <v>#DIV/0!</v>
      </c>
    </row>
    <row r="340" spans="1:10" hidden="1" x14ac:dyDescent="0.2">
      <c r="A340" s="236"/>
      <c r="B340" s="236" t="s">
        <v>4763</v>
      </c>
      <c r="C340" s="208" t="str">
        <f>IFERROR(VLOOKUP(B340,'ПО КОРИСНИЦИМА'!$C$8:$L$18203,5,FALSE),"")</f>
        <v/>
      </c>
      <c r="D340" s="265">
        <f>SUMIF('ПО КОРИСНИЦИМА'!$G$8:$G$18203,"Свега за пројекат 2003-П25:",'ПО КОРИСНИЦИМА'!$H$8:$H$18203)</f>
        <v>0</v>
      </c>
      <c r="E340" s="684"/>
      <c r="F340" s="694" t="e">
        <f t="shared" si="10"/>
        <v>#DIV/0!</v>
      </c>
      <c r="G340" s="692">
        <f>SUMIF('ПО КОРИСНИЦИМА'!$G$8:$G$18203,"Свега за пројекат 2003-П25:",'ПО КОРИСНИЦИМА'!$K$8:$K$18203)</f>
        <v>0</v>
      </c>
      <c r="H340" s="687"/>
      <c r="I340" s="689"/>
      <c r="J340" s="688" t="e">
        <f t="shared" si="11"/>
        <v>#DIV/0!</v>
      </c>
    </row>
    <row r="341" spans="1:10" hidden="1" x14ac:dyDescent="0.2">
      <c r="A341" s="236"/>
      <c r="B341" s="236" t="s">
        <v>4764</v>
      </c>
      <c r="C341" s="208" t="str">
        <f>IFERROR(VLOOKUP(B341,'ПО КОРИСНИЦИМА'!$C$8:$L$18203,5,FALSE),"")</f>
        <v/>
      </c>
      <c r="D341" s="265">
        <f>SUMIF('ПО КОРИСНИЦИМА'!$G$8:$G$18203,"Свега за пројекат 2003-П26:",'ПО КОРИСНИЦИМА'!$H$8:$H$18203)</f>
        <v>0</v>
      </c>
      <c r="E341" s="684"/>
      <c r="F341" s="694" t="e">
        <f t="shared" si="10"/>
        <v>#DIV/0!</v>
      </c>
      <c r="G341" s="692">
        <f>SUMIF('ПО КОРИСНИЦИМА'!$G$8:$G$18203,"Свега за пројекат 2003-П26:",'ПО КОРИСНИЦИМА'!$K$8:$K$18203)</f>
        <v>0</v>
      </c>
      <c r="H341" s="687"/>
      <c r="I341" s="689"/>
      <c r="J341" s="688" t="e">
        <f t="shared" si="11"/>
        <v>#DIV/0!</v>
      </c>
    </row>
    <row r="342" spans="1:10" hidden="1" x14ac:dyDescent="0.2">
      <c r="A342" s="236"/>
      <c r="B342" s="236" t="s">
        <v>4765</v>
      </c>
      <c r="C342" s="208" t="str">
        <f>IFERROR(VLOOKUP(B342,'ПО КОРИСНИЦИМА'!$C$8:$L$18203,5,FALSE),"")</f>
        <v/>
      </c>
      <c r="D342" s="265">
        <f>SUMIF('ПО КОРИСНИЦИМА'!$G$8:$G$18203,"Свега за пројекат 2003-П27:",'ПО КОРИСНИЦИМА'!$H$8:$H$18203)</f>
        <v>0</v>
      </c>
      <c r="E342" s="684"/>
      <c r="F342" s="694" t="e">
        <f t="shared" si="10"/>
        <v>#DIV/0!</v>
      </c>
      <c r="G342" s="692">
        <f>SUMIF('ПО КОРИСНИЦИМА'!$G$8:$G$18203,"Свега за пројекат 2003-П27:",'ПО КОРИСНИЦИМА'!$K$8:$K$18203)</f>
        <v>0</v>
      </c>
      <c r="H342" s="687"/>
      <c r="I342" s="689"/>
      <c r="J342" s="688" t="e">
        <f t="shared" si="11"/>
        <v>#DIV/0!</v>
      </c>
    </row>
    <row r="343" spans="1:10" hidden="1" x14ac:dyDescent="0.2">
      <c r="A343" s="236"/>
      <c r="B343" s="236" t="s">
        <v>4766</v>
      </c>
      <c r="C343" s="208" t="str">
        <f>IFERROR(VLOOKUP(B343,'ПО КОРИСНИЦИМА'!$C$8:$L$18203,5,FALSE),"")</f>
        <v/>
      </c>
      <c r="D343" s="265">
        <f>SUMIF('ПО КОРИСНИЦИМА'!$G$8:$G$18203,"Свега за пројекат 2003-П28:",'ПО КОРИСНИЦИМА'!$H$8:$H$18203)</f>
        <v>0</v>
      </c>
      <c r="E343" s="684"/>
      <c r="F343" s="694" t="e">
        <f t="shared" si="10"/>
        <v>#DIV/0!</v>
      </c>
      <c r="G343" s="692">
        <f>SUMIF('ПО КОРИСНИЦИМА'!$G$8:$G$18203,"Свега за пројекат 2003-П28:",'ПО КОРИСНИЦИМА'!$K$8:$K$18203)</f>
        <v>0</v>
      </c>
      <c r="H343" s="687"/>
      <c r="I343" s="691"/>
      <c r="J343" s="688" t="e">
        <f t="shared" si="11"/>
        <v>#DIV/0!</v>
      </c>
    </row>
    <row r="344" spans="1:10" hidden="1" x14ac:dyDescent="0.2">
      <c r="A344" s="236"/>
      <c r="B344" s="236" t="s">
        <v>4767</v>
      </c>
      <c r="C344" s="208" t="str">
        <f>IFERROR(VLOOKUP(B344,'ПО КОРИСНИЦИМА'!$C$8:$L$18203,5,FALSE),"")</f>
        <v/>
      </c>
      <c r="D344" s="265">
        <f>SUMIF('ПО КОРИСНИЦИМА'!$G$8:$G$18203,"Свега за пројекат 2003-П29:",'ПО КОРИСНИЦИМА'!$H$8:$H$18203)</f>
        <v>0</v>
      </c>
      <c r="E344" s="684"/>
      <c r="F344" s="694" t="e">
        <f t="shared" si="10"/>
        <v>#DIV/0!</v>
      </c>
      <c r="G344" s="692">
        <f>SUMIF('ПО КОРИСНИЦИМА'!$G$8:$G$18203,"Свега за пројекат 2003-П29:",'ПО КОРИСНИЦИМА'!$K$8:$K$18203)</f>
        <v>0</v>
      </c>
      <c r="H344" s="687"/>
      <c r="I344" s="691"/>
      <c r="J344" s="688" t="e">
        <f t="shared" si="11"/>
        <v>#DIV/0!</v>
      </c>
    </row>
    <row r="345" spans="1:10" hidden="1" x14ac:dyDescent="0.2">
      <c r="A345" s="237"/>
      <c r="B345" s="236" t="s">
        <v>4768</v>
      </c>
      <c r="C345" s="208" t="str">
        <f>IFERROR(VLOOKUP(B345,'ПО КОРИСНИЦИМА'!$C$8:$L$18203,5,FALSE),"")</f>
        <v/>
      </c>
      <c r="D345" s="265">
        <f>SUMIF('ПО КОРИСНИЦИМА'!$G$8:$G$18203,"Свега за пројекат 2003-П30:",'ПО КОРИСНИЦИМА'!$H$8:$H$18203)</f>
        <v>0</v>
      </c>
      <c r="E345" s="684"/>
      <c r="F345" s="694" t="e">
        <f t="shared" si="10"/>
        <v>#DIV/0!</v>
      </c>
      <c r="G345" s="692">
        <f>SUMIF('ПО КОРИСНИЦИМА'!$G$8:$G$18203,"Свега за пројекат 2003-П30:",'ПО КОРИСНИЦИМА'!$K$8:$K$18203)</f>
        <v>0</v>
      </c>
      <c r="H345" s="687"/>
      <c r="I345" s="693"/>
      <c r="J345" s="688" t="e">
        <f t="shared" si="11"/>
        <v>#DIV/0!</v>
      </c>
    </row>
    <row r="346" spans="1:10" s="234" customFormat="1" x14ac:dyDescent="0.2">
      <c r="A346" s="226" t="s">
        <v>3588</v>
      </c>
      <c r="B346" s="227"/>
      <c r="C346" s="206" t="s">
        <v>3675</v>
      </c>
      <c r="D346" s="253">
        <f>SUM(D347:D381)</f>
        <v>9100200</v>
      </c>
      <c r="E346" s="685">
        <f>SUM(E347:E354)</f>
        <v>6432678.2699999996</v>
      </c>
      <c r="F346" s="694">
        <f t="shared" si="10"/>
        <v>70.687218632557531</v>
      </c>
      <c r="G346" s="695">
        <f>SUM(G347:G381)</f>
        <v>1154100</v>
      </c>
      <c r="H346" s="696">
        <f>SUM(H347:H354)</f>
        <v>608497</v>
      </c>
      <c r="I346" s="695"/>
      <c r="J346" s="770">
        <f t="shared" si="11"/>
        <v>52.724807209080673</v>
      </c>
    </row>
    <row r="347" spans="1:10" x14ac:dyDescent="0.2">
      <c r="A347" s="230"/>
      <c r="B347" s="235" t="s">
        <v>4112</v>
      </c>
      <c r="C347" s="214" t="s">
        <v>4113</v>
      </c>
      <c r="D347" s="257">
        <f>SUMIF('ПО КОРИСНИЦИМА'!$G$8:$G$18203,"Свега за програмску активност 0901-0001:",'ПО КОРИСНИЦИМА'!$H$8:$H$18203)</f>
        <v>4657000</v>
      </c>
      <c r="E347" s="683">
        <f>SUM('ПО КОРИСНИЦИМА'!I4315)</f>
        <v>3009569.27</v>
      </c>
      <c r="F347" s="694">
        <f t="shared" si="10"/>
        <v>64.624635387588583</v>
      </c>
      <c r="G347" s="686">
        <f>SUMIF('ПО КОРИСНИЦИМА'!$G$8:$G$18203,"Свега за програмску активност 0901-0001:",'ПО КОРИСНИЦИМА'!$K$8:$K$18203)</f>
        <v>0</v>
      </c>
      <c r="H347" s="702"/>
      <c r="I347" s="686"/>
      <c r="J347" s="688"/>
    </row>
    <row r="348" spans="1:10" x14ac:dyDescent="0.2">
      <c r="A348" s="232"/>
      <c r="B348" s="239" t="s">
        <v>4114</v>
      </c>
      <c r="C348" s="215" t="s">
        <v>4115</v>
      </c>
      <c r="D348" s="261">
        <f>SUMIF('ПО КОРИСНИЦИМА'!$G$8:$G$18203,"Свега за програмску активност 0901-0002:",'ПО КОРИСНИЦИМА'!$H$8:$H$18203)</f>
        <v>800000</v>
      </c>
      <c r="E348" s="684">
        <f>SUM('ПО КОРИСНИЦИМА'!I4397)</f>
        <v>276510</v>
      </c>
      <c r="F348" s="694">
        <f t="shared" si="10"/>
        <v>34.563749999999999</v>
      </c>
      <c r="G348" s="689">
        <f>SUMIF('ПО КОРИСНИЦИМА'!$G$8:$G$18203,"Свега за програмску активност 0901-0002:",'ПО КОРИСНИЦИМА'!$K$8:$K$18203)</f>
        <v>240000</v>
      </c>
      <c r="H348" s="702">
        <f>SUM('ПО КОРИСНИЦИМА'!L4437)</f>
        <v>240000</v>
      </c>
      <c r="I348" s="691"/>
      <c r="J348" s="688">
        <f t="shared" si="11"/>
        <v>100</v>
      </c>
    </row>
    <row r="349" spans="1:10" hidden="1" x14ac:dyDescent="0.2">
      <c r="A349" s="232"/>
      <c r="B349" s="239" t="s">
        <v>4116</v>
      </c>
      <c r="C349" s="215" t="s">
        <v>4117</v>
      </c>
      <c r="D349" s="261">
        <f>SUMIF('ПО КОРИСНИЦИМА'!$G$8:$G$18203,"Свега за програмску активност 0901-0003:",'ПО КОРИСНИЦИМА'!$H$8:$H$18203)</f>
        <v>0</v>
      </c>
      <c r="E349" s="684"/>
      <c r="F349" s="694" t="e">
        <f t="shared" si="10"/>
        <v>#DIV/0!</v>
      </c>
      <c r="G349" s="689">
        <f>SUMIF('ПО КОРИСНИЦИМА'!$G$8:$G$18203,"Свега за програмску активност 0901-0003:",'ПО КОРИСНИЦИМА'!$K$8:$K$18203)</f>
        <v>0</v>
      </c>
      <c r="H349" s="702"/>
      <c r="I349" s="691"/>
      <c r="J349" s="688" t="e">
        <f t="shared" si="11"/>
        <v>#DIV/0!</v>
      </c>
    </row>
    <row r="350" spans="1:10" hidden="1" x14ac:dyDescent="0.2">
      <c r="A350" s="232"/>
      <c r="B350" s="239" t="s">
        <v>4118</v>
      </c>
      <c r="C350" s="215" t="s">
        <v>4119</v>
      </c>
      <c r="D350" s="261">
        <f>SUMIF('ПО КОРИСНИЦИМА'!$G$8:$G$18203,"Свега за програмску активност 0901-0004:",'ПО КОРИСНИЦИМА'!$H$8:$H$18203)</f>
        <v>0</v>
      </c>
      <c r="E350" s="684"/>
      <c r="F350" s="694" t="e">
        <f t="shared" si="10"/>
        <v>#DIV/0!</v>
      </c>
      <c r="G350" s="689">
        <f>SUMIF('ПО КОРИСНИЦИМА'!$G$8:$G$18203,"Свега за програмску активност 0901-0004:",'ПО КОРИСНИЦИМА'!$K$8:$K$18203)</f>
        <v>0</v>
      </c>
      <c r="H350" s="702"/>
      <c r="I350" s="691"/>
      <c r="J350" s="688" t="e">
        <f t="shared" si="11"/>
        <v>#DIV/0!</v>
      </c>
    </row>
    <row r="351" spans="1:10" x14ac:dyDescent="0.2">
      <c r="A351" s="232"/>
      <c r="B351" s="239" t="s">
        <v>4120</v>
      </c>
      <c r="C351" s="215" t="s">
        <v>4121</v>
      </c>
      <c r="D351" s="261">
        <f>SUMIF('ПО КОРИСНИЦИМА'!$G$8:$G$18203,"Свега за програмску активност 0901-0005:",'ПО КОРИСНИЦИМА'!$H$8:$H$18203)</f>
        <v>586000</v>
      </c>
      <c r="E351" s="684">
        <f>SUM('ПО КОРИСНИЦИМА'!I4638)</f>
        <v>593402</v>
      </c>
      <c r="F351" s="694">
        <f t="shared" si="10"/>
        <v>101.26313993174061</v>
      </c>
      <c r="G351" s="689">
        <f>SUMIF('ПО КОРИСНИЦИМА'!$G$8:$G$18203,"Свега за програмску активност 0901-0005:",'ПО КОРИСНИЦИМА'!$K$8:$K$18203)</f>
        <v>0</v>
      </c>
      <c r="H351" s="702"/>
      <c r="I351" s="691"/>
      <c r="J351" s="688"/>
    </row>
    <row r="352" spans="1:10" x14ac:dyDescent="0.2">
      <c r="A352" s="232"/>
      <c r="B352" s="239" t="s">
        <v>4770</v>
      </c>
      <c r="C352" s="208" t="str">
        <f>IFERROR(VLOOKUP(B352,'ПО КОРИСНИЦИМА'!$C$8:$L$18203,5,FALSE),"")</f>
        <v>Пројекат Набавка опреме</v>
      </c>
      <c r="D352" s="265">
        <v>931200</v>
      </c>
      <c r="E352" s="684">
        <f>SUM('ПО КОРИСНИЦИМА'!I4707)</f>
        <v>931200</v>
      </c>
      <c r="F352" s="694">
        <f t="shared" si="10"/>
        <v>100</v>
      </c>
      <c r="G352" s="692">
        <f>SUMIF('ПО КОРИСНИЦИМА'!$G$8:$G$18203,"Свега за пројекат 0901-П1:",'ПО КОРИСНИЦИМА'!$K$8:$K$18203)</f>
        <v>0</v>
      </c>
      <c r="H352" s="702"/>
      <c r="I352" s="691"/>
      <c r="J352" s="688"/>
    </row>
    <row r="353" spans="1:10" x14ac:dyDescent="0.2">
      <c r="A353" s="232"/>
      <c r="B353" s="239" t="s">
        <v>4771</v>
      </c>
      <c r="C353" s="208" t="str">
        <f>IFERROR(VLOOKUP(B353,'ПО КОРИСНИЦИМА'!$C$8:$L$18203,5,FALSE),"")</f>
        <v>Пројекат "Помоћ у кући"</v>
      </c>
      <c r="D353" s="265">
        <f>SUMIF('ПО КОРИСНИЦИМА'!$G$8:$G$18203,"Свега за пројекат 0901-П2:",'ПО КОРИСНИЦИМА'!$H$8:$H$18203)</f>
        <v>1726000</v>
      </c>
      <c r="E353" s="684">
        <f>SUM('ПО КОРИСНИЦИМА'!I4854)</f>
        <v>1473088</v>
      </c>
      <c r="F353" s="694">
        <f t="shared" si="10"/>
        <v>85.346929316338347</v>
      </c>
      <c r="G353" s="692">
        <f>SUMIF('ПО КОРИСНИЦИМА'!$G$8:$G$18203,"Свега за пројекат 0901-П2:",'ПО КОРИСНИЦИМА'!$K$8:$K$18203)</f>
        <v>0</v>
      </c>
      <c r="H353" s="702"/>
      <c r="I353" s="691"/>
      <c r="J353" s="688"/>
    </row>
    <row r="354" spans="1:10" x14ac:dyDescent="0.2">
      <c r="A354" s="232"/>
      <c r="B354" s="239" t="s">
        <v>4772</v>
      </c>
      <c r="C354" s="208" t="str">
        <f>IFERROR(VLOOKUP(B354,'ПО КОРИСНИЦИМА'!$C$8:$L$18203,5,FALSE),"")</f>
        <v>Пројекат "Дневни боравак"</v>
      </c>
      <c r="D354" s="265">
        <f>SUMIF('ПО КОРИСНИЦИМА'!$G$8:$G$18203,"Свега за пројекат 0901-П3:",'ПО КОРИСНИЦИМА'!$H$8:$H$18203)</f>
        <v>400000</v>
      </c>
      <c r="E354" s="684">
        <f>SUM('ПО КОРИСНИЦИМА'!I4953)</f>
        <v>148909</v>
      </c>
      <c r="F354" s="694">
        <f t="shared" si="10"/>
        <v>37.227249999999998</v>
      </c>
      <c r="G354" s="692">
        <f>SUMIF('ПО КОРИСНИЦИМА'!$G$8:$G$18203,"Свега за пројекат 0901-П3:",'ПО КОРИСНИЦИМА'!$K$8:$K$18203)</f>
        <v>914100</v>
      </c>
      <c r="H354" s="702">
        <f>SUM('ПО КОРИСНИЦИМА'!L4941)</f>
        <v>368497</v>
      </c>
      <c r="I354" s="689"/>
      <c r="J354" s="688">
        <f t="shared" si="11"/>
        <v>40.312547861284322</v>
      </c>
    </row>
    <row r="355" spans="1:10" hidden="1" x14ac:dyDescent="0.2">
      <c r="A355" s="232"/>
      <c r="B355" s="239" t="s">
        <v>4773</v>
      </c>
      <c r="C355" s="208" t="str">
        <f>IFERROR(VLOOKUP(B355,'ПО КОРИСНИЦИМА'!$C$8:$L$18203,5,FALSE),"")</f>
        <v/>
      </c>
      <c r="D355" s="265"/>
      <c r="E355" s="684"/>
      <c r="F355" s="694" t="e">
        <f t="shared" si="10"/>
        <v>#DIV/0!</v>
      </c>
      <c r="G355" s="692">
        <f>SUMIF('ПО КОРИСНИЦИМА'!$G$8:$G$18203,"Свега за пројекат 0901-П4:",'ПО КОРИСНИЦИМА'!$K$8:$K$18203)</f>
        <v>0</v>
      </c>
      <c r="H355" s="702"/>
      <c r="I355" s="689"/>
      <c r="J355" s="688" t="e">
        <f t="shared" si="11"/>
        <v>#DIV/0!</v>
      </c>
    </row>
    <row r="356" spans="1:10" hidden="1" x14ac:dyDescent="0.2">
      <c r="A356" s="232"/>
      <c r="B356" s="239" t="s">
        <v>4774</v>
      </c>
      <c r="C356" s="208" t="str">
        <f>IFERROR(VLOOKUP(B356,'ПО КОРИСНИЦИМА'!$C$8:$L$18203,5,FALSE),"")</f>
        <v/>
      </c>
      <c r="D356" s="265">
        <f>SUMIF('ПО КОРИСНИЦИМА'!$G$8:$G$18203,"Свега за пројекат 0901-П5:",'ПО КОРИСНИЦИМА'!$H$8:$H$18203)</f>
        <v>0</v>
      </c>
      <c r="E356" s="684"/>
      <c r="F356" s="694" t="e">
        <f t="shared" si="10"/>
        <v>#DIV/0!</v>
      </c>
      <c r="G356" s="692">
        <f>SUMIF('ПО КОРИСНИЦИМА'!$G$8:$G$18203,"Свега за пројекат 0901-П5:",'ПО КОРИСНИЦИМА'!$K$8:$K$18203)</f>
        <v>0</v>
      </c>
      <c r="H356" s="702"/>
      <c r="I356" s="689"/>
      <c r="J356" s="688" t="e">
        <f t="shared" si="11"/>
        <v>#DIV/0!</v>
      </c>
    </row>
    <row r="357" spans="1:10" hidden="1" x14ac:dyDescent="0.2">
      <c r="A357" s="232"/>
      <c r="B357" s="239" t="s">
        <v>4775</v>
      </c>
      <c r="C357" s="208" t="str">
        <f>IFERROR(VLOOKUP(B357,'ПО КОРИСНИЦИМА'!$C$8:$L$18203,5,FALSE),"")</f>
        <v/>
      </c>
      <c r="D357" s="265">
        <f>SUMIF('ПО КОРИСНИЦИМА'!$G$8:$G$18203,"Свега за пројекат 0901-П6:",'ПО КОРИСНИЦИМА'!$H$8:$H$18203)</f>
        <v>0</v>
      </c>
      <c r="E357" s="684"/>
      <c r="F357" s="694" t="e">
        <f t="shared" ref="F357:F420" si="12">SUM(E357/D357)*100</f>
        <v>#DIV/0!</v>
      </c>
      <c r="G357" s="692">
        <f>SUMIF('ПО КОРИСНИЦИМА'!$G$8:$G$18203,"Свега за пројекат 0901-П6:",'ПО КОРИСНИЦИМА'!$K$8:$K$18203)</f>
        <v>0</v>
      </c>
      <c r="H357" s="702"/>
      <c r="I357" s="689"/>
      <c r="J357" s="688" t="e">
        <f t="shared" ref="J357:J415" si="13">SUM(H357/G357)*100</f>
        <v>#DIV/0!</v>
      </c>
    </row>
    <row r="358" spans="1:10" hidden="1" x14ac:dyDescent="0.2">
      <c r="A358" s="232"/>
      <c r="B358" s="239" t="s">
        <v>4776</v>
      </c>
      <c r="C358" s="208" t="str">
        <f>IFERROR(VLOOKUP(B358,'ПО КОРИСНИЦИМА'!$C$8:$L$18203,5,FALSE),"")</f>
        <v/>
      </c>
      <c r="D358" s="265">
        <f>SUMIF('ПО КОРИСНИЦИМА'!$G$8:$G$18203,"Свега за пројекат 0901-П7:",'ПО КОРИСНИЦИМА'!$H$8:$H$18203)</f>
        <v>0</v>
      </c>
      <c r="E358" s="684"/>
      <c r="F358" s="694" t="e">
        <f t="shared" si="12"/>
        <v>#DIV/0!</v>
      </c>
      <c r="G358" s="692">
        <f>SUMIF('ПО КОРИСНИЦИМА'!$G$8:$G$18203,"Свега за пројекат 0901-П7:",'ПО КОРИСНИЦИМА'!$K$8:$K$18203)</f>
        <v>0</v>
      </c>
      <c r="H358" s="702"/>
      <c r="I358" s="689"/>
      <c r="J358" s="688" t="e">
        <f t="shared" si="13"/>
        <v>#DIV/0!</v>
      </c>
    </row>
    <row r="359" spans="1:10" hidden="1" x14ac:dyDescent="0.2">
      <c r="A359" s="232"/>
      <c r="B359" s="239" t="s">
        <v>4777</v>
      </c>
      <c r="C359" s="208" t="str">
        <f>IFERROR(VLOOKUP(B359,'ПО КОРИСНИЦИМА'!$C$8:$L$18203,5,FALSE),"")</f>
        <v/>
      </c>
      <c r="D359" s="265">
        <f>SUMIF('ПО КОРИСНИЦИМА'!$G$8:$G$18203,"Свега за пројекат 0901-П8:",'ПО КОРИСНИЦИМА'!$H$8:$H$18203)</f>
        <v>0</v>
      </c>
      <c r="E359" s="684"/>
      <c r="F359" s="694" t="e">
        <f t="shared" si="12"/>
        <v>#DIV/0!</v>
      </c>
      <c r="G359" s="692">
        <f>SUMIF('ПО КОРИСНИЦИМА'!$G$8:$G$18203,"Свега за пројекат 0901-П8:",'ПО КОРИСНИЦИМА'!$K$8:$K$18203)</f>
        <v>0</v>
      </c>
      <c r="H359" s="702"/>
      <c r="I359" s="689"/>
      <c r="J359" s="688" t="e">
        <f t="shared" si="13"/>
        <v>#DIV/0!</v>
      </c>
    </row>
    <row r="360" spans="1:10" hidden="1" x14ac:dyDescent="0.2">
      <c r="A360" s="232"/>
      <c r="B360" s="239" t="s">
        <v>4778</v>
      </c>
      <c r="C360" s="208" t="str">
        <f>IFERROR(VLOOKUP(B360,'ПО КОРИСНИЦИМА'!$C$8:$L$18203,5,FALSE),"")</f>
        <v/>
      </c>
      <c r="D360" s="265">
        <f>SUMIF('ПО КОРИСНИЦИМА'!$G$8:$G$18203,"Свега за пројекат 0901-П9:",'ПО КОРИСНИЦИМА'!$H$8:$H$18203)</f>
        <v>0</v>
      </c>
      <c r="E360" s="684"/>
      <c r="F360" s="694" t="e">
        <f t="shared" si="12"/>
        <v>#DIV/0!</v>
      </c>
      <c r="G360" s="692">
        <f>SUMIF('ПО КОРИСНИЦИМА'!$G$8:$G$18203,"Свега за пројекат 0901-П9:",'ПО КОРИСНИЦИМА'!$K$8:$K$18203)</f>
        <v>0</v>
      </c>
      <c r="H360" s="702"/>
      <c r="I360" s="689"/>
      <c r="J360" s="688" t="e">
        <f t="shared" si="13"/>
        <v>#DIV/0!</v>
      </c>
    </row>
    <row r="361" spans="1:10" hidden="1" x14ac:dyDescent="0.2">
      <c r="A361" s="232"/>
      <c r="B361" s="239" t="s">
        <v>4779</v>
      </c>
      <c r="C361" s="208" t="str">
        <f>IFERROR(VLOOKUP(B361,'ПО КОРИСНИЦИМА'!$C$8:$L$18203,5,FALSE),"")</f>
        <v/>
      </c>
      <c r="D361" s="265">
        <f>SUMIF('ПО КОРИСНИЦИМА'!$G$8:$G$18203,"Свега за пројекат 0901-П10:",'ПО КОРИСНИЦИМА'!$H$8:$H$18203)</f>
        <v>0</v>
      </c>
      <c r="E361" s="684"/>
      <c r="F361" s="694" t="e">
        <f t="shared" si="12"/>
        <v>#DIV/0!</v>
      </c>
      <c r="G361" s="692">
        <f>SUMIF('ПО КОРИСНИЦИМА'!$G$8:$G$18203,"Свега за пројекат 0901-П10:",'ПО КОРИСНИЦИМА'!$K$8:$K$18203)</f>
        <v>0</v>
      </c>
      <c r="H361" s="702"/>
      <c r="I361" s="689"/>
      <c r="J361" s="688" t="e">
        <f t="shared" si="13"/>
        <v>#DIV/0!</v>
      </c>
    </row>
    <row r="362" spans="1:10" hidden="1" x14ac:dyDescent="0.2">
      <c r="A362" s="232"/>
      <c r="B362" s="239" t="s">
        <v>4780</v>
      </c>
      <c r="C362" s="208" t="str">
        <f>IFERROR(VLOOKUP(B362,'ПО КОРИСНИЦИМА'!$C$8:$L$18203,5,FALSE),"")</f>
        <v/>
      </c>
      <c r="D362" s="265">
        <f>SUMIF('ПО КОРИСНИЦИМА'!$G$8:$G$18203,"Свега за пројекат 0901-П11:",'ПО КОРИСНИЦИМА'!$H$8:$H$18203)</f>
        <v>0</v>
      </c>
      <c r="E362" s="684"/>
      <c r="F362" s="694" t="e">
        <f t="shared" si="12"/>
        <v>#DIV/0!</v>
      </c>
      <c r="G362" s="692">
        <f>SUMIF('ПО КОРИСНИЦИМА'!$G$8:$G$18203,"Свега за пројекат 0901-П11:",'ПО КОРИСНИЦИМА'!$K$8:$K$18203)</f>
        <v>0</v>
      </c>
      <c r="H362" s="702"/>
      <c r="I362" s="689"/>
      <c r="J362" s="688" t="e">
        <f t="shared" si="13"/>
        <v>#DIV/0!</v>
      </c>
    </row>
    <row r="363" spans="1:10" hidden="1" x14ac:dyDescent="0.2">
      <c r="A363" s="232"/>
      <c r="B363" s="239" t="s">
        <v>4781</v>
      </c>
      <c r="C363" s="208" t="str">
        <f>IFERROR(VLOOKUP(B363,'ПО КОРИСНИЦИМА'!$C$8:$L$18203,5,FALSE),"")</f>
        <v/>
      </c>
      <c r="D363" s="265">
        <f>SUMIF('ПО КОРИСНИЦИМА'!$G$8:$G$18203,"Свега за пројекат 0901-П12:",'ПО КОРИСНИЦИМА'!$H$8:$H$18203)</f>
        <v>0</v>
      </c>
      <c r="E363" s="684"/>
      <c r="F363" s="694" t="e">
        <f t="shared" si="12"/>
        <v>#DIV/0!</v>
      </c>
      <c r="G363" s="692">
        <f>SUMIF('ПО КОРИСНИЦИМА'!$G$8:$G$18203,"Свега за пројекат 0901-П12:",'ПО КОРИСНИЦИМА'!$K$8:$K$18203)</f>
        <v>0</v>
      </c>
      <c r="H363" s="702"/>
      <c r="I363" s="689"/>
      <c r="J363" s="688" t="e">
        <f t="shared" si="13"/>
        <v>#DIV/0!</v>
      </c>
    </row>
    <row r="364" spans="1:10" hidden="1" x14ac:dyDescent="0.2">
      <c r="A364" s="232"/>
      <c r="B364" s="239" t="s">
        <v>4782</v>
      </c>
      <c r="C364" s="208" t="str">
        <f>IFERROR(VLOOKUP(B364,'ПО КОРИСНИЦИМА'!$C$8:$L$18203,5,FALSE),"")</f>
        <v/>
      </c>
      <c r="D364" s="265">
        <f>SUMIF('ПО КОРИСНИЦИМА'!$G$8:$G$18203,"Свега за пројекат 0901-П13:",'ПО КОРИСНИЦИМА'!$H$8:$H$18203)</f>
        <v>0</v>
      </c>
      <c r="E364" s="684"/>
      <c r="F364" s="694" t="e">
        <f t="shared" si="12"/>
        <v>#DIV/0!</v>
      </c>
      <c r="G364" s="692">
        <f>SUMIF('ПО КОРИСНИЦИМА'!$G$8:$G$18203,"Свега за пројекат 0901-П13:",'ПО КОРИСНИЦИМА'!$K$8:$K$18203)</f>
        <v>0</v>
      </c>
      <c r="H364" s="702"/>
      <c r="I364" s="689"/>
      <c r="J364" s="688" t="e">
        <f t="shared" si="13"/>
        <v>#DIV/0!</v>
      </c>
    </row>
    <row r="365" spans="1:10" hidden="1" x14ac:dyDescent="0.2">
      <c r="A365" s="232"/>
      <c r="B365" s="239" t="s">
        <v>4783</v>
      </c>
      <c r="C365" s="208" t="str">
        <f>IFERROR(VLOOKUP(B365,'ПО КОРИСНИЦИМА'!$C$8:$L$18203,5,FALSE),"")</f>
        <v/>
      </c>
      <c r="D365" s="265">
        <f>SUMIF('ПО КОРИСНИЦИМА'!$G$8:$G$18203,"Свега за пројекат 0901-П14:",'ПО КОРИСНИЦИМА'!$H$8:$H$18203)</f>
        <v>0</v>
      </c>
      <c r="E365" s="684"/>
      <c r="F365" s="694" t="e">
        <f t="shared" si="12"/>
        <v>#DIV/0!</v>
      </c>
      <c r="G365" s="692">
        <f>SUMIF('ПО КОРИСНИЦИМА'!$G$8:$G$18203,"Свега за пројекат 0901-П14:",'ПО КОРИСНИЦИМА'!$K$8:$K$18203)</f>
        <v>0</v>
      </c>
      <c r="H365" s="702"/>
      <c r="I365" s="689"/>
      <c r="J365" s="688" t="e">
        <f t="shared" si="13"/>
        <v>#DIV/0!</v>
      </c>
    </row>
    <row r="366" spans="1:10" hidden="1" x14ac:dyDescent="0.2">
      <c r="A366" s="232"/>
      <c r="B366" s="239" t="s">
        <v>4784</v>
      </c>
      <c r="C366" s="208" t="str">
        <f>IFERROR(VLOOKUP(B366,'ПО КОРИСНИЦИМА'!$C$8:$L$18203,5,FALSE),"")</f>
        <v/>
      </c>
      <c r="D366" s="265">
        <f>SUMIF('ПО КОРИСНИЦИМА'!$G$8:$G$18203,"Свега за пројекат 0901-П15:",'ПО КОРИСНИЦИМА'!$H$8:$H$18203)</f>
        <v>0</v>
      </c>
      <c r="E366" s="684"/>
      <c r="F366" s="694" t="e">
        <f t="shared" si="12"/>
        <v>#DIV/0!</v>
      </c>
      <c r="G366" s="692">
        <f>SUMIF('ПО КОРИСНИЦИМА'!$G$8:$G$18203,"Свега за пројекат 0901-П15:",'ПО КОРИСНИЦИМА'!$K$8:$K$18203)</f>
        <v>0</v>
      </c>
      <c r="H366" s="702"/>
      <c r="I366" s="689"/>
      <c r="J366" s="688" t="e">
        <f t="shared" si="13"/>
        <v>#DIV/0!</v>
      </c>
    </row>
    <row r="367" spans="1:10" hidden="1" x14ac:dyDescent="0.2">
      <c r="A367" s="232"/>
      <c r="B367" s="239" t="s">
        <v>4785</v>
      </c>
      <c r="C367" s="208" t="str">
        <f>IFERROR(VLOOKUP(B367,'ПО КОРИСНИЦИМА'!$C$8:$L$18203,5,FALSE),"")</f>
        <v/>
      </c>
      <c r="D367" s="265">
        <f>SUMIF('ПО КОРИСНИЦИМА'!$G$8:$G$18203,"Свега за пројекат 0901-П16:",'ПО КОРИСНИЦИМА'!$H$8:$H$18203)</f>
        <v>0</v>
      </c>
      <c r="E367" s="684"/>
      <c r="F367" s="694" t="e">
        <f t="shared" si="12"/>
        <v>#DIV/0!</v>
      </c>
      <c r="G367" s="692">
        <f>SUMIF('ПО КОРИСНИЦИМА'!$G$8:$G$18203,"Свега за пројекат 0901-П16:",'ПО КОРИСНИЦИМА'!$K$8:$K$18203)</f>
        <v>0</v>
      </c>
      <c r="H367" s="702"/>
      <c r="I367" s="689"/>
      <c r="J367" s="688" t="e">
        <f t="shared" si="13"/>
        <v>#DIV/0!</v>
      </c>
    </row>
    <row r="368" spans="1:10" hidden="1" x14ac:dyDescent="0.2">
      <c r="A368" s="232"/>
      <c r="B368" s="239" t="s">
        <v>4786</v>
      </c>
      <c r="C368" s="208" t="str">
        <f>IFERROR(VLOOKUP(B368,'ПО КОРИСНИЦИМА'!$C$8:$L$18203,5,FALSE),"")</f>
        <v/>
      </c>
      <c r="D368" s="265">
        <f>SUMIF('ПО КОРИСНИЦИМА'!$G$8:$G$18203,"Свега за пројекат 0901-П17:",'ПО КОРИСНИЦИМА'!$H$8:$H$18203)</f>
        <v>0</v>
      </c>
      <c r="E368" s="684"/>
      <c r="F368" s="694" t="e">
        <f t="shared" si="12"/>
        <v>#DIV/0!</v>
      </c>
      <c r="G368" s="692">
        <f>SUMIF('ПО КОРИСНИЦИМА'!$G$8:$G$18203,"Свега за пројекат 0901-П17:",'ПО КОРИСНИЦИМА'!$K$8:$K$18203)</f>
        <v>0</v>
      </c>
      <c r="H368" s="702"/>
      <c r="I368" s="689"/>
      <c r="J368" s="688" t="e">
        <f t="shared" si="13"/>
        <v>#DIV/0!</v>
      </c>
    </row>
    <row r="369" spans="1:10" hidden="1" x14ac:dyDescent="0.2">
      <c r="A369" s="232"/>
      <c r="B369" s="239" t="s">
        <v>4787</v>
      </c>
      <c r="C369" s="208" t="str">
        <f>IFERROR(VLOOKUP(B369,'ПО КОРИСНИЦИМА'!$C$8:$L$18203,5,FALSE),"")</f>
        <v/>
      </c>
      <c r="D369" s="265">
        <f>SUMIF('ПО КОРИСНИЦИМА'!$G$8:$G$18203,"Свега за пројекат 0901-П18:",'ПО КОРИСНИЦИМА'!$H$8:$H$18203)</f>
        <v>0</v>
      </c>
      <c r="E369" s="684"/>
      <c r="F369" s="694" t="e">
        <f t="shared" si="12"/>
        <v>#DIV/0!</v>
      </c>
      <c r="G369" s="692">
        <f>SUMIF('ПО КОРИСНИЦИМА'!$G$8:$G$18203,"Свега за пројекат 0901-П18:",'ПО КОРИСНИЦИМА'!$K$8:$K$18203)</f>
        <v>0</v>
      </c>
      <c r="H369" s="702"/>
      <c r="I369" s="689"/>
      <c r="J369" s="688" t="e">
        <f t="shared" si="13"/>
        <v>#DIV/0!</v>
      </c>
    </row>
    <row r="370" spans="1:10" hidden="1" x14ac:dyDescent="0.2">
      <c r="A370" s="232"/>
      <c r="B370" s="239" t="s">
        <v>4788</v>
      </c>
      <c r="C370" s="208" t="str">
        <f>IFERROR(VLOOKUP(B370,'ПО КОРИСНИЦИМА'!$C$8:$L$18203,5,FALSE),"")</f>
        <v/>
      </c>
      <c r="D370" s="265">
        <f>SUMIF('ПО КОРИСНИЦИМА'!$G$8:$G$18203,"Свега за пројекат 0901-П19:",'ПО КОРИСНИЦИМА'!$H$8:$H$18203)</f>
        <v>0</v>
      </c>
      <c r="E370" s="684"/>
      <c r="F370" s="694" t="e">
        <f t="shared" si="12"/>
        <v>#DIV/0!</v>
      </c>
      <c r="G370" s="692">
        <f>SUMIF('ПО КОРИСНИЦИМА'!$G$8:$G$18203,"Свега за пројекат 0901-П19:",'ПО КОРИСНИЦИМА'!$K$8:$K$18203)</f>
        <v>0</v>
      </c>
      <c r="H370" s="702"/>
      <c r="I370" s="689"/>
      <c r="J370" s="688" t="e">
        <f t="shared" si="13"/>
        <v>#DIV/0!</v>
      </c>
    </row>
    <row r="371" spans="1:10" hidden="1" x14ac:dyDescent="0.2">
      <c r="A371" s="232"/>
      <c r="B371" s="239" t="s">
        <v>4789</v>
      </c>
      <c r="C371" s="208" t="str">
        <f>IFERROR(VLOOKUP(B371,'ПО КОРИСНИЦИМА'!$C$8:$L$18203,5,FALSE),"")</f>
        <v/>
      </c>
      <c r="D371" s="265">
        <f>SUMIF('ПО КОРИСНИЦИМА'!$G$8:$G$18203,"Свега за пројекат 0901-П20:",'ПО КОРИСНИЦИМА'!$H$8:$H$18203)</f>
        <v>0</v>
      </c>
      <c r="E371" s="684"/>
      <c r="F371" s="694" t="e">
        <f t="shared" si="12"/>
        <v>#DIV/0!</v>
      </c>
      <c r="G371" s="692">
        <f>SUMIF('ПО КОРИСНИЦИМА'!$G$8:$G$18203,"Свега за пројекат 0901-П20:",'ПО КОРИСНИЦИМА'!$K$8:$K$18203)</f>
        <v>0</v>
      </c>
      <c r="H371" s="702"/>
      <c r="I371" s="689"/>
      <c r="J371" s="688" t="e">
        <f t="shared" si="13"/>
        <v>#DIV/0!</v>
      </c>
    </row>
    <row r="372" spans="1:10" hidden="1" x14ac:dyDescent="0.2">
      <c r="A372" s="232"/>
      <c r="B372" s="239" t="s">
        <v>4790</v>
      </c>
      <c r="C372" s="208" t="str">
        <f>IFERROR(VLOOKUP(B372,'ПО КОРИСНИЦИМА'!$C$8:$L$18203,5,FALSE),"")</f>
        <v/>
      </c>
      <c r="D372" s="265">
        <f>SUMIF('ПО КОРИСНИЦИМА'!$G$8:$G$18203,"Свега за пројекат 0901-П21:",'ПО КОРИСНИЦИМА'!$H$8:$H$18203)</f>
        <v>0</v>
      </c>
      <c r="E372" s="684"/>
      <c r="F372" s="694" t="e">
        <f t="shared" si="12"/>
        <v>#DIV/0!</v>
      </c>
      <c r="G372" s="692">
        <f>SUMIF('ПО КОРИСНИЦИМА'!$G$8:$G$18203,"Свега за пројекат 0901-П21:",'ПО КОРИСНИЦИМА'!$K$8:$K$18203)</f>
        <v>0</v>
      </c>
      <c r="H372" s="702"/>
      <c r="I372" s="689"/>
      <c r="J372" s="688" t="e">
        <f t="shared" si="13"/>
        <v>#DIV/0!</v>
      </c>
    </row>
    <row r="373" spans="1:10" hidden="1" x14ac:dyDescent="0.2">
      <c r="A373" s="232"/>
      <c r="B373" s="239" t="s">
        <v>4791</v>
      </c>
      <c r="C373" s="208" t="str">
        <f>IFERROR(VLOOKUP(B373,'ПО КОРИСНИЦИМА'!$C$8:$L$18203,5,FALSE),"")</f>
        <v/>
      </c>
      <c r="D373" s="265">
        <f>SUMIF('ПО КОРИСНИЦИМА'!$G$8:$G$18203,"Свега за пројекат 0901-П22:",'ПО КОРИСНИЦИМА'!$H$8:$H$18203)</f>
        <v>0</v>
      </c>
      <c r="E373" s="684"/>
      <c r="F373" s="694" t="e">
        <f t="shared" si="12"/>
        <v>#DIV/0!</v>
      </c>
      <c r="G373" s="692">
        <f>SUMIF('ПО КОРИСНИЦИМА'!$G$8:$G$18203,"Свега за пројекат 0901-П22:",'ПО КОРИСНИЦИМА'!$K$8:$K$18203)</f>
        <v>0</v>
      </c>
      <c r="H373" s="702"/>
      <c r="I373" s="689"/>
      <c r="J373" s="688" t="e">
        <f t="shared" si="13"/>
        <v>#DIV/0!</v>
      </c>
    </row>
    <row r="374" spans="1:10" hidden="1" x14ac:dyDescent="0.2">
      <c r="A374" s="232"/>
      <c r="B374" s="239" t="s">
        <v>4792</v>
      </c>
      <c r="C374" s="208" t="str">
        <f>IFERROR(VLOOKUP(B374,'ПО КОРИСНИЦИМА'!$C$8:$L$18203,5,FALSE),"")</f>
        <v/>
      </c>
      <c r="D374" s="265">
        <f>SUMIF('ПО КОРИСНИЦИМА'!$G$8:$G$18203,"Свега за пројекат 0901-П23:",'ПО КОРИСНИЦИМА'!$H$8:$H$18203)</f>
        <v>0</v>
      </c>
      <c r="E374" s="684"/>
      <c r="F374" s="694" t="e">
        <f t="shared" si="12"/>
        <v>#DIV/0!</v>
      </c>
      <c r="G374" s="692">
        <f>SUMIF('ПО КОРИСНИЦИМА'!$G$8:$G$18203,"Свега за пројекат 0901-П23:",'ПО КОРИСНИЦИМА'!$K$8:$K$18203)</f>
        <v>0</v>
      </c>
      <c r="H374" s="702"/>
      <c r="I374" s="689"/>
      <c r="J374" s="688" t="e">
        <f t="shared" si="13"/>
        <v>#DIV/0!</v>
      </c>
    </row>
    <row r="375" spans="1:10" hidden="1" x14ac:dyDescent="0.2">
      <c r="A375" s="232"/>
      <c r="B375" s="239" t="s">
        <v>4793</v>
      </c>
      <c r="C375" s="208" t="str">
        <f>IFERROR(VLOOKUP(B375,'ПО КОРИСНИЦИМА'!$C$8:$L$18203,5,FALSE),"")</f>
        <v/>
      </c>
      <c r="D375" s="265">
        <f>SUMIF('ПО КОРИСНИЦИМА'!$G$8:$G$18203,"Свега за пројекат 0901-П24:",'ПО КОРИСНИЦИМА'!$H$8:$H$18203)</f>
        <v>0</v>
      </c>
      <c r="E375" s="684"/>
      <c r="F375" s="694" t="e">
        <f t="shared" si="12"/>
        <v>#DIV/0!</v>
      </c>
      <c r="G375" s="692">
        <f>SUMIF('ПО КОРИСНИЦИМА'!$G$8:$G$18203,"Свега за пројекат 0901-П24:",'ПО КОРИСНИЦИМА'!$K$8:$K$18203)</f>
        <v>0</v>
      </c>
      <c r="H375" s="702"/>
      <c r="I375" s="689"/>
      <c r="J375" s="688" t="e">
        <f t="shared" si="13"/>
        <v>#DIV/0!</v>
      </c>
    </row>
    <row r="376" spans="1:10" hidden="1" x14ac:dyDescent="0.2">
      <c r="A376" s="232"/>
      <c r="B376" s="239" t="s">
        <v>4794</v>
      </c>
      <c r="C376" s="208" t="str">
        <f>IFERROR(VLOOKUP(B376,'ПО КОРИСНИЦИМА'!$C$8:$L$18203,5,FALSE),"")</f>
        <v/>
      </c>
      <c r="D376" s="265">
        <f>SUMIF('ПО КОРИСНИЦИМА'!$G$8:$G$18203,"Свега за пројекат 0901-П25:",'ПО КОРИСНИЦИМА'!$H$8:$H$18203)</f>
        <v>0</v>
      </c>
      <c r="E376" s="684"/>
      <c r="F376" s="694" t="e">
        <f t="shared" si="12"/>
        <v>#DIV/0!</v>
      </c>
      <c r="G376" s="692">
        <f>SUMIF('ПО КОРИСНИЦИМА'!$G$8:$G$18203,"Свега за пројекат 0901-П25:",'ПО КОРИСНИЦИМА'!$K$8:$K$18203)</f>
        <v>0</v>
      </c>
      <c r="H376" s="702"/>
      <c r="I376" s="689"/>
      <c r="J376" s="688" t="e">
        <f t="shared" si="13"/>
        <v>#DIV/0!</v>
      </c>
    </row>
    <row r="377" spans="1:10" hidden="1" x14ac:dyDescent="0.2">
      <c r="A377" s="232"/>
      <c r="B377" s="239" t="s">
        <v>4795</v>
      </c>
      <c r="C377" s="208" t="str">
        <f>IFERROR(VLOOKUP(B377,'ПО КОРИСНИЦИМА'!$C$8:$L$18203,5,FALSE),"")</f>
        <v/>
      </c>
      <c r="D377" s="265">
        <f>SUMIF('ПО КОРИСНИЦИМА'!$G$8:$G$18203,"Свега за пројекат 0901-П26:",'ПО КОРИСНИЦИМА'!$H$8:$H$18203)</f>
        <v>0</v>
      </c>
      <c r="E377" s="684"/>
      <c r="F377" s="694" t="e">
        <f t="shared" si="12"/>
        <v>#DIV/0!</v>
      </c>
      <c r="G377" s="692">
        <f>SUMIF('ПО КОРИСНИЦИМА'!$G$8:$G$18203,"Свега за пројекат 0901-П26:",'ПО КОРИСНИЦИМА'!$K$8:$K$18203)</f>
        <v>0</v>
      </c>
      <c r="H377" s="702"/>
      <c r="I377" s="689"/>
      <c r="J377" s="688" t="e">
        <f t="shared" si="13"/>
        <v>#DIV/0!</v>
      </c>
    </row>
    <row r="378" spans="1:10" hidden="1" x14ac:dyDescent="0.2">
      <c r="A378" s="232"/>
      <c r="B378" s="239" t="s">
        <v>4796</v>
      </c>
      <c r="C378" s="208" t="str">
        <f>IFERROR(VLOOKUP(B378,'ПО КОРИСНИЦИМА'!$C$8:$L$18203,5,FALSE),"")</f>
        <v/>
      </c>
      <c r="D378" s="265">
        <f>SUMIF('ПО КОРИСНИЦИМА'!$G$8:$G$18203,"Свега за пројекат 0901-П27:",'ПО КОРИСНИЦИМА'!$H$8:$H$18203)</f>
        <v>0</v>
      </c>
      <c r="E378" s="684"/>
      <c r="F378" s="694" t="e">
        <f t="shared" si="12"/>
        <v>#DIV/0!</v>
      </c>
      <c r="G378" s="692">
        <f>SUMIF('ПО КОРИСНИЦИМА'!$G$8:$G$18203,"Свега за пројекат 0901-П27:",'ПО КОРИСНИЦИМА'!$K$8:$K$18203)</f>
        <v>0</v>
      </c>
      <c r="H378" s="702"/>
      <c r="I378" s="689"/>
      <c r="J378" s="688" t="e">
        <f t="shared" si="13"/>
        <v>#DIV/0!</v>
      </c>
    </row>
    <row r="379" spans="1:10" hidden="1" x14ac:dyDescent="0.2">
      <c r="A379" s="232"/>
      <c r="B379" s="239" t="s">
        <v>4797</v>
      </c>
      <c r="C379" s="208" t="str">
        <f>IFERROR(VLOOKUP(B379,'ПО КОРИСНИЦИМА'!$C$8:$L$18203,5,FALSE),"")</f>
        <v/>
      </c>
      <c r="D379" s="265">
        <f>SUMIF('ПО КОРИСНИЦИМА'!$G$8:$G$18203,"Свега за пројекат 0901-П28:",'ПО КОРИСНИЦИМА'!$H$8:$H$18203)</f>
        <v>0</v>
      </c>
      <c r="E379" s="684"/>
      <c r="F379" s="694" t="e">
        <f t="shared" si="12"/>
        <v>#DIV/0!</v>
      </c>
      <c r="G379" s="692">
        <f>SUMIF('ПО КОРИСНИЦИМА'!$G$8:$G$18203,"Свега за пројекат 0901-П28:",'ПО КОРИСНИЦИМА'!$K$8:$K$18203)</f>
        <v>0</v>
      </c>
      <c r="H379" s="702"/>
      <c r="I379" s="689"/>
      <c r="J379" s="688" t="e">
        <f t="shared" si="13"/>
        <v>#DIV/0!</v>
      </c>
    </row>
    <row r="380" spans="1:10" hidden="1" x14ac:dyDescent="0.2">
      <c r="A380" s="232"/>
      <c r="B380" s="239" t="s">
        <v>4798</v>
      </c>
      <c r="C380" s="208" t="str">
        <f>IFERROR(VLOOKUP(B380,'ПО КОРИСНИЦИМА'!$C$8:$L$18203,5,FALSE),"")</f>
        <v/>
      </c>
      <c r="D380" s="265">
        <f>SUMIF('ПО КОРИСНИЦИМА'!$G$8:$G$18203,"Свега за пројекат 0901-П29:",'ПО КОРИСНИЦИМА'!$H$8:$H$18203)</f>
        <v>0</v>
      </c>
      <c r="E380" s="684"/>
      <c r="F380" s="694" t="e">
        <f t="shared" si="12"/>
        <v>#DIV/0!</v>
      </c>
      <c r="G380" s="692">
        <f>SUMIF('ПО КОРИСНИЦИМА'!$G$8:$G$18203,"Свега за пројекат 0901-П29:",'ПО КОРИСНИЦИМА'!$K$8:$K$18203)</f>
        <v>0</v>
      </c>
      <c r="H380" s="702"/>
      <c r="I380" s="689"/>
      <c r="J380" s="688" t="e">
        <f t="shared" si="13"/>
        <v>#DIV/0!</v>
      </c>
    </row>
    <row r="381" spans="1:10" hidden="1" x14ac:dyDescent="0.2">
      <c r="A381" s="232"/>
      <c r="B381" s="239" t="s">
        <v>4799</v>
      </c>
      <c r="C381" s="208" t="str">
        <f>IFERROR(VLOOKUP(B381,'ПО КОРИСНИЦИМА'!$C$8:$L$18203,5,FALSE),"")</f>
        <v/>
      </c>
      <c r="D381" s="265">
        <f>SUMIF('ПО КОРИСНИЦИМА'!$G$8:$G$18203,"Свега за пројекат 0901-П30:",'ПО КОРИСНИЦИМА'!$H$8:$H$18203)</f>
        <v>0</v>
      </c>
      <c r="E381" s="684"/>
      <c r="F381" s="694" t="e">
        <f t="shared" si="12"/>
        <v>#DIV/0!</v>
      </c>
      <c r="G381" s="692">
        <f>SUMIF('ПО КОРИСНИЦИМА'!$G$8:$G$18203,"Свега за пројекат 0901-П30:",'ПО КОРИСНИЦИМА'!$K$8:$K$18203)</f>
        <v>0</v>
      </c>
      <c r="H381" s="702"/>
      <c r="I381" s="689"/>
      <c r="J381" s="688" t="e">
        <f t="shared" si="13"/>
        <v>#DIV/0!</v>
      </c>
    </row>
    <row r="382" spans="1:10" s="234" customFormat="1" x14ac:dyDescent="0.2">
      <c r="A382" s="226" t="s">
        <v>3591</v>
      </c>
      <c r="B382" s="227"/>
      <c r="C382" s="206" t="s">
        <v>3676</v>
      </c>
      <c r="D382" s="253">
        <f>SUM(D383:D413)</f>
        <v>3650000</v>
      </c>
      <c r="E382" s="685">
        <f>SUM(E383)</f>
        <v>3125836.02</v>
      </c>
      <c r="F382" s="694">
        <f t="shared" si="12"/>
        <v>85.639343013698635</v>
      </c>
      <c r="G382" s="695">
        <f>SUM(G383:G413)</f>
        <v>0</v>
      </c>
      <c r="H382" s="696"/>
      <c r="I382" s="695"/>
      <c r="J382" s="770"/>
    </row>
    <row r="383" spans="1:10" x14ac:dyDescent="0.2">
      <c r="A383" s="230"/>
      <c r="B383" s="235" t="s">
        <v>4127</v>
      </c>
      <c r="C383" s="212" t="s">
        <v>4122</v>
      </c>
      <c r="D383" s="257">
        <f>SUMIF('ПО КОРИСНИЦИМА'!$G$8:$G$18203,"Свега за програмску активност 1801-0001:",'ПО КОРИСНИЦИМА'!$H$8:$H$18203)</f>
        <v>3650000</v>
      </c>
      <c r="E383" s="683">
        <f>SUM('ПО КОРИСНИЦИМА'!I5082)</f>
        <v>3125836.02</v>
      </c>
      <c r="F383" s="694">
        <f t="shared" si="12"/>
        <v>85.639343013698635</v>
      </c>
      <c r="G383" s="686">
        <f>SUMIF('ПО КОРИСНИЦИМА'!$G$8:$G$18203,"Свега за програмску активност 1801-0001:",'ПО КОРИСНИЦИМА'!$K$8:$K$18203)</f>
        <v>0</v>
      </c>
      <c r="H383" s="687"/>
      <c r="I383" s="686"/>
      <c r="J383" s="688"/>
    </row>
    <row r="384" spans="1:10" hidden="1" x14ac:dyDescent="0.2">
      <c r="A384" s="236"/>
      <c r="B384" s="236" t="s">
        <v>4800</v>
      </c>
      <c r="C384" s="208" t="str">
        <f>IFERROR(VLOOKUP(B384,'ПО КОРИСНИЦИМА'!$C$8:$L$18203,5,FALSE),"")</f>
        <v>Суфинансирање вештачке оплодње</v>
      </c>
      <c r="D384" s="265">
        <f>SUMIF('ПО КОРИСНИЦИМА'!$G$8:$G$18203,"Свега за пројекат 1801-П1:",'ПО КОРИСНИЦИМА'!$H$8:$H$18203)</f>
        <v>0</v>
      </c>
      <c r="E384" s="684"/>
      <c r="F384" s="694" t="e">
        <f t="shared" si="12"/>
        <v>#DIV/0!</v>
      </c>
      <c r="G384" s="692">
        <f>SUMIF('ПО КОРИСНИЦИМА'!$G$8:$G$18203,"Свега за пројекат 1801-П1:",'ПО КОРИСНИЦИМА'!$K$8:$K$18203)</f>
        <v>0</v>
      </c>
      <c r="H384" s="690"/>
      <c r="I384" s="691"/>
      <c r="J384" s="688" t="e">
        <f t="shared" si="13"/>
        <v>#DIV/0!</v>
      </c>
    </row>
    <row r="385" spans="1:10" hidden="1" x14ac:dyDescent="0.2">
      <c r="A385" s="236"/>
      <c r="B385" s="236" t="s">
        <v>4801</v>
      </c>
      <c r="C385" s="208" t="str">
        <f>IFERROR(VLOOKUP(B385,'ПО КОРИСНИЦИМА'!$C$8:$L$18203,5,FALSE),"")</f>
        <v/>
      </c>
      <c r="D385" s="265">
        <f>SUMIF('ПО КОРИСНИЦИМА'!$G$8:$G$18203,"Свега за пројекат 1801-П2:",'ПО КОРИСНИЦИМА'!$H$8:$H$18203)</f>
        <v>0</v>
      </c>
      <c r="E385" s="684"/>
      <c r="F385" s="694" t="e">
        <f t="shared" si="12"/>
        <v>#DIV/0!</v>
      </c>
      <c r="G385" s="692">
        <f>SUMIF('ПО КОРИСНИЦИМА'!$G$8:$G$18203,"Свега за пројекат 1801-П2:",'ПО КОРИСНИЦИМА'!$K$8:$K$18203)</f>
        <v>0</v>
      </c>
      <c r="H385" s="690"/>
      <c r="I385" s="689"/>
      <c r="J385" s="688" t="e">
        <f t="shared" si="13"/>
        <v>#DIV/0!</v>
      </c>
    </row>
    <row r="386" spans="1:10" hidden="1" x14ac:dyDescent="0.2">
      <c r="A386" s="236"/>
      <c r="B386" s="236" t="s">
        <v>4802</v>
      </c>
      <c r="C386" s="208" t="str">
        <f>IFERROR(VLOOKUP(B386,'ПО КОРИСНИЦИМА'!$C$8:$L$18203,5,FALSE),"")</f>
        <v/>
      </c>
      <c r="D386" s="265">
        <f>SUMIF('ПО КОРИСНИЦИМА'!$G$8:$G$18203,"Свега за пројекат 1801-П3:",'ПО КОРИСНИЦИМА'!$H$8:$H$18203)</f>
        <v>0</v>
      </c>
      <c r="E386" s="684"/>
      <c r="F386" s="694" t="e">
        <f t="shared" si="12"/>
        <v>#DIV/0!</v>
      </c>
      <c r="G386" s="692">
        <f>SUMIF('ПО КОРИСНИЦИМА'!$G$8:$G$18203,"Свега за пројекат 1801-П3:",'ПО КОРИСНИЦИМА'!$K$8:$K$18203)</f>
        <v>0</v>
      </c>
      <c r="H386" s="690"/>
      <c r="I386" s="689"/>
      <c r="J386" s="688" t="e">
        <f t="shared" si="13"/>
        <v>#DIV/0!</v>
      </c>
    </row>
    <row r="387" spans="1:10" hidden="1" x14ac:dyDescent="0.2">
      <c r="A387" s="236"/>
      <c r="B387" s="236" t="s">
        <v>4803</v>
      </c>
      <c r="C387" s="208" t="str">
        <f>IFERROR(VLOOKUP(B387,'ПО КОРИСНИЦИМА'!$C$8:$L$18203,5,FALSE),"")</f>
        <v/>
      </c>
      <c r="D387" s="265">
        <f>SUMIF('ПО КОРИСНИЦИМА'!$G$8:$G$18203,"Свега за пројекат 1801-П4:",'ПО КОРИСНИЦИМА'!$H$8:$H$18203)</f>
        <v>0</v>
      </c>
      <c r="E387" s="684"/>
      <c r="F387" s="694" t="e">
        <f t="shared" si="12"/>
        <v>#DIV/0!</v>
      </c>
      <c r="G387" s="692">
        <f>SUMIF('ПО КОРИСНИЦИМА'!$G$8:$G$18203,"Свега за пројекат 1801-П4:",'ПО КОРИСНИЦИМА'!$K$8:$K$18203)</f>
        <v>0</v>
      </c>
      <c r="H387" s="690"/>
      <c r="I387" s="689"/>
      <c r="J387" s="688" t="e">
        <f t="shared" si="13"/>
        <v>#DIV/0!</v>
      </c>
    </row>
    <row r="388" spans="1:10" hidden="1" x14ac:dyDescent="0.2">
      <c r="A388" s="236"/>
      <c r="B388" s="236" t="s">
        <v>4804</v>
      </c>
      <c r="C388" s="208" t="str">
        <f>IFERROR(VLOOKUP(B388,'ПО КОРИСНИЦИМА'!$C$8:$L$18203,5,FALSE),"")</f>
        <v/>
      </c>
      <c r="D388" s="265">
        <f>SUMIF('ПО КОРИСНИЦИМА'!$G$8:$G$18203,"Свега за пројекат 1801-П5:",'ПО КОРИСНИЦИМА'!$H$8:$H$18203)</f>
        <v>0</v>
      </c>
      <c r="E388" s="684"/>
      <c r="F388" s="694" t="e">
        <f t="shared" si="12"/>
        <v>#DIV/0!</v>
      </c>
      <c r="G388" s="692">
        <f>SUMIF('ПО КОРИСНИЦИМА'!$G$8:$G$18203,"Свега за пројекат 1801-П5:",'ПО КОРИСНИЦИМА'!$K$8:$K$18203)</f>
        <v>0</v>
      </c>
      <c r="H388" s="690"/>
      <c r="I388" s="689"/>
      <c r="J388" s="688" t="e">
        <f t="shared" si="13"/>
        <v>#DIV/0!</v>
      </c>
    </row>
    <row r="389" spans="1:10" hidden="1" x14ac:dyDescent="0.2">
      <c r="A389" s="236"/>
      <c r="B389" s="236" t="s">
        <v>4805</v>
      </c>
      <c r="C389" s="208" t="str">
        <f>IFERROR(VLOOKUP(B389,'ПО КОРИСНИЦИМА'!$C$8:$L$18203,5,FALSE),"")</f>
        <v/>
      </c>
      <c r="D389" s="265">
        <f>SUMIF('ПО КОРИСНИЦИМА'!$G$8:$G$18203,"Свега за пројекат 1801-П6:",'ПО КОРИСНИЦИМА'!$H$8:$H$18203)</f>
        <v>0</v>
      </c>
      <c r="E389" s="684"/>
      <c r="F389" s="694" t="e">
        <f t="shared" si="12"/>
        <v>#DIV/0!</v>
      </c>
      <c r="G389" s="692">
        <f>SUMIF('ПО КОРИСНИЦИМА'!$G$8:$G$18203,"Свега за пројекат 1801-П6:",'ПО КОРИСНИЦИМА'!$K$8:$K$18203)</f>
        <v>0</v>
      </c>
      <c r="H389" s="690"/>
      <c r="I389" s="689"/>
      <c r="J389" s="688" t="e">
        <f t="shared" si="13"/>
        <v>#DIV/0!</v>
      </c>
    </row>
    <row r="390" spans="1:10" hidden="1" x14ac:dyDescent="0.2">
      <c r="A390" s="236"/>
      <c r="B390" s="236" t="s">
        <v>4806</v>
      </c>
      <c r="C390" s="208" t="str">
        <f>IFERROR(VLOOKUP(B390,'ПО КОРИСНИЦИМА'!$C$8:$L$18203,5,FALSE),"")</f>
        <v/>
      </c>
      <c r="D390" s="265">
        <f>SUMIF('ПО КОРИСНИЦИМА'!$G$8:$G$18203,"Свега за пројекат 1801-П7:",'ПО КОРИСНИЦИМА'!$H$8:$H$18203)</f>
        <v>0</v>
      </c>
      <c r="E390" s="684"/>
      <c r="F390" s="694" t="e">
        <f t="shared" si="12"/>
        <v>#DIV/0!</v>
      </c>
      <c r="G390" s="692">
        <f>SUMIF('ПО КОРИСНИЦИМА'!$G$8:$G$18203,"Свега за пројекат 1801-П7:",'ПО КОРИСНИЦИМА'!$K$8:$K$18203)</f>
        <v>0</v>
      </c>
      <c r="H390" s="690"/>
      <c r="I390" s="689"/>
      <c r="J390" s="688" t="e">
        <f t="shared" si="13"/>
        <v>#DIV/0!</v>
      </c>
    </row>
    <row r="391" spans="1:10" hidden="1" x14ac:dyDescent="0.2">
      <c r="A391" s="236"/>
      <c r="B391" s="236" t="s">
        <v>4807</v>
      </c>
      <c r="C391" s="208" t="str">
        <f>IFERROR(VLOOKUP(B391,'ПО КОРИСНИЦИМА'!$C$8:$L$18203,5,FALSE),"")</f>
        <v/>
      </c>
      <c r="D391" s="265">
        <f>SUMIF('ПО КОРИСНИЦИМА'!$G$8:$G$18203,"Свега за пројекат 1801-П8:",'ПО КОРИСНИЦИМА'!$H$8:$H$18203)</f>
        <v>0</v>
      </c>
      <c r="E391" s="684"/>
      <c r="F391" s="694" t="e">
        <f t="shared" si="12"/>
        <v>#DIV/0!</v>
      </c>
      <c r="G391" s="692">
        <f>SUMIF('ПО КОРИСНИЦИМА'!$G$8:$G$18203,"Свега за пројекат 1801-П8:",'ПО КОРИСНИЦИМА'!$K$8:$K$18203)</f>
        <v>0</v>
      </c>
      <c r="H391" s="690"/>
      <c r="I391" s="689"/>
      <c r="J391" s="688" t="e">
        <f t="shared" si="13"/>
        <v>#DIV/0!</v>
      </c>
    </row>
    <row r="392" spans="1:10" hidden="1" x14ac:dyDescent="0.2">
      <c r="A392" s="236"/>
      <c r="B392" s="236" t="s">
        <v>4808</v>
      </c>
      <c r="C392" s="208" t="str">
        <f>IFERROR(VLOOKUP(B392,'ПО КОРИСНИЦИМА'!$C$8:$L$18203,5,FALSE),"")</f>
        <v/>
      </c>
      <c r="D392" s="265">
        <f>SUMIF('ПО КОРИСНИЦИМА'!$G$8:$G$18203,"Свега за пројекат 1801-П9:",'ПО КОРИСНИЦИМА'!$H$8:$H$18203)</f>
        <v>0</v>
      </c>
      <c r="E392" s="684"/>
      <c r="F392" s="694" t="e">
        <f t="shared" si="12"/>
        <v>#DIV/0!</v>
      </c>
      <c r="G392" s="692">
        <f>SUMIF('ПО КОРИСНИЦИМА'!$G$8:$G$18203,"Свега за пројекат 1801-П9:",'ПО КОРИСНИЦИМА'!$K$8:$K$18203)</f>
        <v>0</v>
      </c>
      <c r="H392" s="690"/>
      <c r="I392" s="689"/>
      <c r="J392" s="688" t="e">
        <f t="shared" si="13"/>
        <v>#DIV/0!</v>
      </c>
    </row>
    <row r="393" spans="1:10" hidden="1" x14ac:dyDescent="0.2">
      <c r="A393" s="236"/>
      <c r="B393" s="236" t="s">
        <v>4809</v>
      </c>
      <c r="C393" s="208" t="str">
        <f>IFERROR(VLOOKUP(B393,'ПО КОРИСНИЦИМА'!$C$8:$L$18203,5,FALSE),"")</f>
        <v/>
      </c>
      <c r="D393" s="265">
        <f>SUMIF('ПО КОРИСНИЦИМА'!$G$8:$G$18203,"Свега за пројекат 1801-П10:",'ПО КОРИСНИЦИМА'!$H$8:$H$18203)</f>
        <v>0</v>
      </c>
      <c r="E393" s="684"/>
      <c r="F393" s="694" t="e">
        <f t="shared" si="12"/>
        <v>#DIV/0!</v>
      </c>
      <c r="G393" s="692">
        <f>SUMIF('ПО КОРИСНИЦИМА'!$G$8:$G$18203,"Свега за пројекат 1801-П10:",'ПО КОРИСНИЦИМА'!$K$8:$K$18203)</f>
        <v>0</v>
      </c>
      <c r="H393" s="690"/>
      <c r="I393" s="689"/>
      <c r="J393" s="688" t="e">
        <f t="shared" si="13"/>
        <v>#DIV/0!</v>
      </c>
    </row>
    <row r="394" spans="1:10" hidden="1" x14ac:dyDescent="0.2">
      <c r="A394" s="236"/>
      <c r="B394" s="236" t="s">
        <v>4810</v>
      </c>
      <c r="C394" s="208" t="str">
        <f>IFERROR(VLOOKUP(B394,'ПО КОРИСНИЦИМА'!$C$8:$L$18203,5,FALSE),"")</f>
        <v/>
      </c>
      <c r="D394" s="265">
        <f>SUMIF('ПО КОРИСНИЦИМА'!$G$8:$G$18203,"Свега за пројекат 1801-П11:",'ПО КОРИСНИЦИМА'!$H$8:$H$18203)</f>
        <v>0</v>
      </c>
      <c r="E394" s="684"/>
      <c r="F394" s="694" t="e">
        <f t="shared" si="12"/>
        <v>#DIV/0!</v>
      </c>
      <c r="G394" s="692">
        <f>SUMIF('ПО КОРИСНИЦИМА'!$G$8:$G$18203,"Свега за пројекат 1801-П11:",'ПО КОРИСНИЦИМА'!$K$8:$K$18203)</f>
        <v>0</v>
      </c>
      <c r="H394" s="690"/>
      <c r="I394" s="689"/>
      <c r="J394" s="688" t="e">
        <f t="shared" si="13"/>
        <v>#DIV/0!</v>
      </c>
    </row>
    <row r="395" spans="1:10" hidden="1" x14ac:dyDescent="0.2">
      <c r="A395" s="236"/>
      <c r="B395" s="236" t="s">
        <v>4811</v>
      </c>
      <c r="C395" s="208" t="str">
        <f>IFERROR(VLOOKUP(B395,'ПО КОРИСНИЦИМА'!$C$8:$L$18203,5,FALSE),"")</f>
        <v/>
      </c>
      <c r="D395" s="265">
        <f>SUMIF('ПО КОРИСНИЦИМА'!$G$8:$G$18203,"Свега за пројекат 1801-П12:",'ПО КОРИСНИЦИМА'!$H$8:$H$18203)</f>
        <v>0</v>
      </c>
      <c r="E395" s="684"/>
      <c r="F395" s="694" t="e">
        <f t="shared" si="12"/>
        <v>#DIV/0!</v>
      </c>
      <c r="G395" s="692">
        <f>SUMIF('ПО КОРИСНИЦИМА'!$G$8:$G$18203,"Свега за пројекат 1801-П12:",'ПО КОРИСНИЦИМА'!$K$8:$K$18203)</f>
        <v>0</v>
      </c>
      <c r="H395" s="690"/>
      <c r="I395" s="689"/>
      <c r="J395" s="688" t="e">
        <f t="shared" si="13"/>
        <v>#DIV/0!</v>
      </c>
    </row>
    <row r="396" spans="1:10" hidden="1" x14ac:dyDescent="0.2">
      <c r="A396" s="236"/>
      <c r="B396" s="236" t="s">
        <v>4812</v>
      </c>
      <c r="C396" s="208" t="str">
        <f>IFERROR(VLOOKUP(B396,'ПО КОРИСНИЦИМА'!$C$8:$L$18203,5,FALSE),"")</f>
        <v/>
      </c>
      <c r="D396" s="265">
        <f>SUMIF('ПО КОРИСНИЦИМА'!$G$8:$G$18203,"Свега за пројекат 1801-П13:",'ПО КОРИСНИЦИМА'!$H$8:$H$18203)</f>
        <v>0</v>
      </c>
      <c r="E396" s="684"/>
      <c r="F396" s="694" t="e">
        <f t="shared" si="12"/>
        <v>#DIV/0!</v>
      </c>
      <c r="G396" s="692">
        <f>SUMIF('ПО КОРИСНИЦИМА'!$G$8:$G$18203,"Свега за пројекат 1801-П13:",'ПО КОРИСНИЦИМА'!$K$8:$K$18203)</f>
        <v>0</v>
      </c>
      <c r="H396" s="690"/>
      <c r="I396" s="689"/>
      <c r="J396" s="688" t="e">
        <f t="shared" si="13"/>
        <v>#DIV/0!</v>
      </c>
    </row>
    <row r="397" spans="1:10" hidden="1" x14ac:dyDescent="0.2">
      <c r="A397" s="236"/>
      <c r="B397" s="236" t="s">
        <v>4813</v>
      </c>
      <c r="C397" s="208" t="str">
        <f>IFERROR(VLOOKUP(B397,'ПО КОРИСНИЦИМА'!$C$8:$L$18203,5,FALSE),"")</f>
        <v/>
      </c>
      <c r="D397" s="265">
        <f>SUMIF('ПО КОРИСНИЦИМА'!$G$8:$G$18203,"Свега за пројекат 1801-П14:",'ПО КОРИСНИЦИМА'!$H$8:$H$18203)</f>
        <v>0</v>
      </c>
      <c r="E397" s="684"/>
      <c r="F397" s="694" t="e">
        <f t="shared" si="12"/>
        <v>#DIV/0!</v>
      </c>
      <c r="G397" s="692">
        <f>SUMIF('ПО КОРИСНИЦИМА'!$G$8:$G$18203,"Свега за пројекат 1801-П14:",'ПО КОРИСНИЦИМА'!$K$8:$K$18203)</f>
        <v>0</v>
      </c>
      <c r="H397" s="690"/>
      <c r="I397" s="689"/>
      <c r="J397" s="688" t="e">
        <f t="shared" si="13"/>
        <v>#DIV/0!</v>
      </c>
    </row>
    <row r="398" spans="1:10" hidden="1" x14ac:dyDescent="0.2">
      <c r="A398" s="236"/>
      <c r="B398" s="236" t="s">
        <v>4814</v>
      </c>
      <c r="C398" s="208" t="str">
        <f>IFERROR(VLOOKUP(B398,'ПО КОРИСНИЦИМА'!$C$8:$L$18203,5,FALSE),"")</f>
        <v/>
      </c>
      <c r="D398" s="265">
        <f>SUMIF('ПО КОРИСНИЦИМА'!$G$8:$G$18203,"Свега за пројекат 1801-П15:",'ПО КОРИСНИЦИМА'!$H$8:$H$18203)</f>
        <v>0</v>
      </c>
      <c r="E398" s="684"/>
      <c r="F398" s="694" t="e">
        <f t="shared" si="12"/>
        <v>#DIV/0!</v>
      </c>
      <c r="G398" s="692">
        <f>SUMIF('ПО КОРИСНИЦИМА'!$G$8:$G$18203,"Свега за пројекат 1801-П15:",'ПО КОРИСНИЦИМА'!$K$8:$K$18203)</f>
        <v>0</v>
      </c>
      <c r="H398" s="690"/>
      <c r="I398" s="689"/>
      <c r="J398" s="688" t="e">
        <f t="shared" si="13"/>
        <v>#DIV/0!</v>
      </c>
    </row>
    <row r="399" spans="1:10" hidden="1" x14ac:dyDescent="0.2">
      <c r="A399" s="236"/>
      <c r="B399" s="236" t="s">
        <v>4815</v>
      </c>
      <c r="C399" s="208" t="str">
        <f>IFERROR(VLOOKUP(B399,'ПО КОРИСНИЦИМА'!$C$8:$L$18203,5,FALSE),"")</f>
        <v/>
      </c>
      <c r="D399" s="265">
        <f>SUMIF('ПО КОРИСНИЦИМА'!$G$8:$G$18203,"Свега за пројекат 1801-П16:",'ПО КОРИСНИЦИМА'!$H$8:$H$18203)</f>
        <v>0</v>
      </c>
      <c r="E399" s="684"/>
      <c r="F399" s="694" t="e">
        <f t="shared" si="12"/>
        <v>#DIV/0!</v>
      </c>
      <c r="G399" s="692">
        <f>SUMIF('ПО КОРИСНИЦИМА'!$G$8:$G$18203,"Свега за пројекат 1801-П16:",'ПО КОРИСНИЦИМА'!$K$8:$K$18203)</f>
        <v>0</v>
      </c>
      <c r="H399" s="690"/>
      <c r="I399" s="689"/>
      <c r="J399" s="688" t="e">
        <f t="shared" si="13"/>
        <v>#DIV/0!</v>
      </c>
    </row>
    <row r="400" spans="1:10" hidden="1" x14ac:dyDescent="0.2">
      <c r="A400" s="236"/>
      <c r="B400" s="236" t="s">
        <v>4816</v>
      </c>
      <c r="C400" s="208" t="str">
        <f>IFERROR(VLOOKUP(B400,'ПО КОРИСНИЦИМА'!$C$8:$L$18203,5,FALSE),"")</f>
        <v/>
      </c>
      <c r="D400" s="265">
        <f>SUMIF('ПО КОРИСНИЦИМА'!$G$8:$G$18203,"Свега за пројекат 1801-П17:",'ПО КОРИСНИЦИМА'!$H$8:$H$18203)</f>
        <v>0</v>
      </c>
      <c r="E400" s="684"/>
      <c r="F400" s="694" t="e">
        <f t="shared" si="12"/>
        <v>#DIV/0!</v>
      </c>
      <c r="G400" s="692">
        <f>SUMIF('ПО КОРИСНИЦИМА'!$G$8:$G$18203,"Свега за пројекат 1801-П17:",'ПО КОРИСНИЦИМА'!$K$8:$K$18203)</f>
        <v>0</v>
      </c>
      <c r="H400" s="690"/>
      <c r="I400" s="689"/>
      <c r="J400" s="688" t="e">
        <f t="shared" si="13"/>
        <v>#DIV/0!</v>
      </c>
    </row>
    <row r="401" spans="1:10" hidden="1" x14ac:dyDescent="0.2">
      <c r="A401" s="236"/>
      <c r="B401" s="236" t="s">
        <v>4817</v>
      </c>
      <c r="C401" s="208" t="str">
        <f>IFERROR(VLOOKUP(B401,'ПО КОРИСНИЦИМА'!$C$8:$L$18203,5,FALSE),"")</f>
        <v/>
      </c>
      <c r="D401" s="265">
        <f>SUMIF('ПО КОРИСНИЦИМА'!$G$8:$G$18203,"Свега за пројекат 1801-П18:",'ПО КОРИСНИЦИМА'!$H$8:$H$18203)</f>
        <v>0</v>
      </c>
      <c r="E401" s="684"/>
      <c r="F401" s="694" t="e">
        <f t="shared" si="12"/>
        <v>#DIV/0!</v>
      </c>
      <c r="G401" s="692">
        <f>SUMIF('ПО КОРИСНИЦИМА'!$G$8:$G$18203,"Свега за пројекат 1801-П18:",'ПО КОРИСНИЦИМА'!$K$8:$K$18203)</f>
        <v>0</v>
      </c>
      <c r="H401" s="690"/>
      <c r="I401" s="689"/>
      <c r="J401" s="688" t="e">
        <f t="shared" si="13"/>
        <v>#DIV/0!</v>
      </c>
    </row>
    <row r="402" spans="1:10" hidden="1" x14ac:dyDescent="0.2">
      <c r="A402" s="236"/>
      <c r="B402" s="236" t="s">
        <v>4818</v>
      </c>
      <c r="C402" s="208" t="str">
        <f>IFERROR(VLOOKUP(B402,'ПО КОРИСНИЦИМА'!$C$8:$L$18203,5,FALSE),"")</f>
        <v/>
      </c>
      <c r="D402" s="265">
        <f>SUMIF('ПО КОРИСНИЦИМА'!$G$8:$G$18203,"Свега за пројекат 1801-П19:",'ПО КОРИСНИЦИМА'!$H$8:$H$18203)</f>
        <v>0</v>
      </c>
      <c r="E402" s="684"/>
      <c r="F402" s="694" t="e">
        <f t="shared" si="12"/>
        <v>#DIV/0!</v>
      </c>
      <c r="G402" s="692">
        <f>SUMIF('ПО КОРИСНИЦИМА'!$G$8:$G$18203,"Свега за пројекат 1801-П19:",'ПО КОРИСНИЦИМА'!$K$8:$K$18203)</f>
        <v>0</v>
      </c>
      <c r="H402" s="690"/>
      <c r="I402" s="689"/>
      <c r="J402" s="688" t="e">
        <f t="shared" si="13"/>
        <v>#DIV/0!</v>
      </c>
    </row>
    <row r="403" spans="1:10" hidden="1" x14ac:dyDescent="0.2">
      <c r="A403" s="236"/>
      <c r="B403" s="236" t="s">
        <v>4819</v>
      </c>
      <c r="C403" s="208" t="str">
        <f>IFERROR(VLOOKUP(B403,'ПО КОРИСНИЦИМА'!$C$8:$L$18203,5,FALSE),"")</f>
        <v/>
      </c>
      <c r="D403" s="265">
        <f>SUMIF('ПО КОРИСНИЦИМА'!$G$8:$G$18203,"Свега за пројекат 1801-П20:",'ПО КОРИСНИЦИМА'!$H$8:$H$18203)</f>
        <v>0</v>
      </c>
      <c r="E403" s="684"/>
      <c r="F403" s="694" t="e">
        <f t="shared" si="12"/>
        <v>#DIV/0!</v>
      </c>
      <c r="G403" s="692">
        <f>SUMIF('ПО КОРИСНИЦИМА'!$G$8:$G$18203,"Свега за пројекат 1801-П20:",'ПО КОРИСНИЦИМА'!$K$8:$K$18203)</f>
        <v>0</v>
      </c>
      <c r="H403" s="690"/>
      <c r="I403" s="689"/>
      <c r="J403" s="688" t="e">
        <f t="shared" si="13"/>
        <v>#DIV/0!</v>
      </c>
    </row>
    <row r="404" spans="1:10" hidden="1" x14ac:dyDescent="0.2">
      <c r="A404" s="236"/>
      <c r="B404" s="236" t="s">
        <v>4820</v>
      </c>
      <c r="C404" s="208" t="str">
        <f>IFERROR(VLOOKUP(B404,'ПО КОРИСНИЦИМА'!$C$8:$L$18203,5,FALSE),"")</f>
        <v/>
      </c>
      <c r="D404" s="265">
        <f>SUMIF('ПО КОРИСНИЦИМА'!$G$8:$G$18203,"Свега за пројекат 1801-П21:",'ПО КОРИСНИЦИМА'!$H$8:$H$18203)</f>
        <v>0</v>
      </c>
      <c r="E404" s="684"/>
      <c r="F404" s="694" t="e">
        <f t="shared" si="12"/>
        <v>#DIV/0!</v>
      </c>
      <c r="G404" s="692">
        <f>SUMIF('ПО КОРИСНИЦИМА'!$G$8:$G$18203,"Свега за пројекат 1801-П21:",'ПО КОРИСНИЦИМА'!$K$8:$K$18203)</f>
        <v>0</v>
      </c>
      <c r="H404" s="690"/>
      <c r="I404" s="689"/>
      <c r="J404" s="688" t="e">
        <f t="shared" si="13"/>
        <v>#DIV/0!</v>
      </c>
    </row>
    <row r="405" spans="1:10" hidden="1" x14ac:dyDescent="0.2">
      <c r="A405" s="236"/>
      <c r="B405" s="236" t="s">
        <v>4821</v>
      </c>
      <c r="C405" s="208" t="str">
        <f>IFERROR(VLOOKUP(B405,'ПО КОРИСНИЦИМА'!$C$8:$L$18203,5,FALSE),"")</f>
        <v/>
      </c>
      <c r="D405" s="265">
        <f>SUMIF('ПО КОРИСНИЦИМА'!$G$8:$G$18203,"Свега за пројекат 1801-П22:",'ПО КОРИСНИЦИМА'!$H$8:$H$18203)</f>
        <v>0</v>
      </c>
      <c r="E405" s="684"/>
      <c r="F405" s="694" t="e">
        <f t="shared" si="12"/>
        <v>#DIV/0!</v>
      </c>
      <c r="G405" s="692">
        <f>SUMIF('ПО КОРИСНИЦИМА'!$G$8:$G$18203,"Свега за пројекат 1801-П22:",'ПО КОРИСНИЦИМА'!$K$8:$K$18203)</f>
        <v>0</v>
      </c>
      <c r="H405" s="690"/>
      <c r="I405" s="689"/>
      <c r="J405" s="688" t="e">
        <f t="shared" si="13"/>
        <v>#DIV/0!</v>
      </c>
    </row>
    <row r="406" spans="1:10" hidden="1" x14ac:dyDescent="0.2">
      <c r="A406" s="236"/>
      <c r="B406" s="236" t="s">
        <v>4822</v>
      </c>
      <c r="C406" s="208" t="str">
        <f>IFERROR(VLOOKUP(B406,'ПО КОРИСНИЦИМА'!$C$8:$L$18203,5,FALSE),"")</f>
        <v/>
      </c>
      <c r="D406" s="265">
        <f>SUMIF('ПО КОРИСНИЦИМА'!$G$8:$G$18203,"Свега за пројекат 1801-П23:",'ПО КОРИСНИЦИМА'!$H$8:$H$18203)</f>
        <v>0</v>
      </c>
      <c r="E406" s="684"/>
      <c r="F406" s="694" t="e">
        <f t="shared" si="12"/>
        <v>#DIV/0!</v>
      </c>
      <c r="G406" s="692">
        <f>SUMIF('ПО КОРИСНИЦИМА'!$G$8:$G$18203,"Свега за пројекат 1801-П23:",'ПО КОРИСНИЦИМА'!$K$8:$K$18203)</f>
        <v>0</v>
      </c>
      <c r="H406" s="690"/>
      <c r="I406" s="689"/>
      <c r="J406" s="688" t="e">
        <f t="shared" si="13"/>
        <v>#DIV/0!</v>
      </c>
    </row>
    <row r="407" spans="1:10" hidden="1" x14ac:dyDescent="0.2">
      <c r="A407" s="236"/>
      <c r="B407" s="236" t="s">
        <v>4823</v>
      </c>
      <c r="C407" s="208" t="str">
        <f>IFERROR(VLOOKUP(B407,'ПО КОРИСНИЦИМА'!$C$8:$L$18203,5,FALSE),"")</f>
        <v/>
      </c>
      <c r="D407" s="265">
        <f>SUMIF('ПО КОРИСНИЦИМА'!$G$8:$G$18203,"Свега за пројекат 1801-П24:",'ПО КОРИСНИЦИМА'!$H$8:$H$18203)</f>
        <v>0</v>
      </c>
      <c r="E407" s="684"/>
      <c r="F407" s="694" t="e">
        <f t="shared" si="12"/>
        <v>#DIV/0!</v>
      </c>
      <c r="G407" s="692">
        <f>SUMIF('ПО КОРИСНИЦИМА'!$G$8:$G$18203,"Свега за пројекат 1801-П24:",'ПО КОРИСНИЦИМА'!$K$8:$K$18203)</f>
        <v>0</v>
      </c>
      <c r="H407" s="690"/>
      <c r="I407" s="689"/>
      <c r="J407" s="688" t="e">
        <f t="shared" si="13"/>
        <v>#DIV/0!</v>
      </c>
    </row>
    <row r="408" spans="1:10" hidden="1" x14ac:dyDescent="0.2">
      <c r="A408" s="236"/>
      <c r="B408" s="236" t="s">
        <v>4824</v>
      </c>
      <c r="C408" s="208" t="str">
        <f>IFERROR(VLOOKUP(B408,'ПО КОРИСНИЦИМА'!$C$8:$L$18203,5,FALSE),"")</f>
        <v/>
      </c>
      <c r="D408" s="265">
        <f>SUMIF('ПО КОРИСНИЦИМА'!$G$8:$G$18203,"Свега за пројекат 1801-П25:",'ПО КОРИСНИЦИМА'!$H$8:$H$18203)</f>
        <v>0</v>
      </c>
      <c r="E408" s="684"/>
      <c r="F408" s="694" t="e">
        <f t="shared" si="12"/>
        <v>#DIV/0!</v>
      </c>
      <c r="G408" s="692">
        <f>SUMIF('ПО КОРИСНИЦИМА'!$G$8:$G$18203,"Свега за пројекат 1801-П25:",'ПО КОРИСНИЦИМА'!$K$8:$K$18203)</f>
        <v>0</v>
      </c>
      <c r="H408" s="690"/>
      <c r="I408" s="689"/>
      <c r="J408" s="688" t="e">
        <f t="shared" si="13"/>
        <v>#DIV/0!</v>
      </c>
    </row>
    <row r="409" spans="1:10" hidden="1" x14ac:dyDescent="0.2">
      <c r="A409" s="236"/>
      <c r="B409" s="236" t="s">
        <v>4825</v>
      </c>
      <c r="C409" s="208" t="str">
        <f>IFERROR(VLOOKUP(B409,'ПО КОРИСНИЦИМА'!$C$8:$L$18203,5,FALSE),"")</f>
        <v/>
      </c>
      <c r="D409" s="265">
        <f>SUMIF('ПО КОРИСНИЦИМА'!$G$8:$G$18203,"Свега за пројекат 1801-П26:",'ПО КОРИСНИЦИМА'!$H$8:$H$18203)</f>
        <v>0</v>
      </c>
      <c r="E409" s="684"/>
      <c r="F409" s="694" t="e">
        <f t="shared" si="12"/>
        <v>#DIV/0!</v>
      </c>
      <c r="G409" s="692">
        <f>SUMIF('ПО КОРИСНИЦИМА'!$G$8:$G$18203,"Свега за пројекат 1801-П26:",'ПО КОРИСНИЦИМА'!$K$8:$K$18203)</f>
        <v>0</v>
      </c>
      <c r="H409" s="690"/>
      <c r="I409" s="689"/>
      <c r="J409" s="688" t="e">
        <f t="shared" si="13"/>
        <v>#DIV/0!</v>
      </c>
    </row>
    <row r="410" spans="1:10" hidden="1" x14ac:dyDescent="0.2">
      <c r="A410" s="236"/>
      <c r="B410" s="236" t="s">
        <v>4826</v>
      </c>
      <c r="C410" s="208" t="str">
        <f>IFERROR(VLOOKUP(B410,'ПО КОРИСНИЦИМА'!$C$8:$L$18203,5,FALSE),"")</f>
        <v/>
      </c>
      <c r="D410" s="265">
        <f>SUMIF('ПО КОРИСНИЦИМА'!$G$8:$G$18203,"Свега за пројекат 1801-П27:",'ПО КОРИСНИЦИМА'!$H$8:$H$18203)</f>
        <v>0</v>
      </c>
      <c r="E410" s="684"/>
      <c r="F410" s="694" t="e">
        <f t="shared" si="12"/>
        <v>#DIV/0!</v>
      </c>
      <c r="G410" s="692">
        <f>SUMIF('ПО КОРИСНИЦИМА'!$G$8:$G$18203,"Свега за пројекат 1801-П27:",'ПО КОРИСНИЦИМА'!$K$8:$K$18203)</f>
        <v>0</v>
      </c>
      <c r="H410" s="690"/>
      <c r="I410" s="691"/>
      <c r="J410" s="688" t="e">
        <f t="shared" si="13"/>
        <v>#DIV/0!</v>
      </c>
    </row>
    <row r="411" spans="1:10" hidden="1" x14ac:dyDescent="0.2">
      <c r="A411" s="236"/>
      <c r="B411" s="236" t="s">
        <v>4827</v>
      </c>
      <c r="C411" s="208" t="str">
        <f>IFERROR(VLOOKUP(B411,'ПО КОРИСНИЦИМА'!$C$8:$L$18203,5,FALSE),"")</f>
        <v/>
      </c>
      <c r="D411" s="265">
        <f>SUMIF('ПО КОРИСНИЦИМА'!$G$8:$G$18203,"Свега за пројекат 1801-П28:",'ПО КОРИСНИЦИМА'!$H$8:$H$18203)</f>
        <v>0</v>
      </c>
      <c r="E411" s="684"/>
      <c r="F411" s="694" t="e">
        <f t="shared" si="12"/>
        <v>#DIV/0!</v>
      </c>
      <c r="G411" s="692">
        <f>SUMIF('ПО КОРИСНИЦИМА'!$G$8:$G$18203,"Свега за пројекат 1801-П28:",'ПО КОРИСНИЦИМА'!$K$8:$K$18203)</f>
        <v>0</v>
      </c>
      <c r="H411" s="690"/>
      <c r="I411" s="691"/>
      <c r="J411" s="688" t="e">
        <f t="shared" si="13"/>
        <v>#DIV/0!</v>
      </c>
    </row>
    <row r="412" spans="1:10" hidden="1" x14ac:dyDescent="0.2">
      <c r="A412" s="236"/>
      <c r="B412" s="236" t="s">
        <v>4828</v>
      </c>
      <c r="C412" s="208" t="str">
        <f>IFERROR(VLOOKUP(B412,'ПО КОРИСНИЦИМА'!$C$8:$L$18203,5,FALSE),"")</f>
        <v/>
      </c>
      <c r="D412" s="265">
        <f>SUMIF('ПО КОРИСНИЦИМА'!$G$8:$G$18203,"Свега за пројекат 1801-П29:",'ПО КОРИСНИЦИМА'!$H$8:$H$18203)</f>
        <v>0</v>
      </c>
      <c r="E412" s="684"/>
      <c r="F412" s="694" t="e">
        <f t="shared" si="12"/>
        <v>#DIV/0!</v>
      </c>
      <c r="G412" s="692">
        <f>SUMIF('ПО КОРИСНИЦИМА'!$G$8:$G$18203,"Свега за пројекат 1801-П29:",'ПО КОРИСНИЦИМА'!$K$8:$K$18203)</f>
        <v>0</v>
      </c>
      <c r="H412" s="690"/>
      <c r="I412" s="691"/>
      <c r="J412" s="688" t="e">
        <f t="shared" si="13"/>
        <v>#DIV/0!</v>
      </c>
    </row>
    <row r="413" spans="1:10" hidden="1" x14ac:dyDescent="0.2">
      <c r="A413" s="237"/>
      <c r="B413" s="236" t="s">
        <v>4829</v>
      </c>
      <c r="C413" s="208" t="str">
        <f>IFERROR(VLOOKUP(B413,'ПО КОРИСНИЦИМА'!$C$8:$L$18203,5,FALSE),"")</f>
        <v/>
      </c>
      <c r="D413" s="265">
        <f>SUMIF('ПО КОРИСНИЦИМА'!$G$8:$G$18203,"Свега за пројекат 1801-П30:",'ПО КОРИСНИЦИМА'!$H$8:$H$18203)</f>
        <v>0</v>
      </c>
      <c r="E413" s="684"/>
      <c r="F413" s="694" t="e">
        <f t="shared" si="12"/>
        <v>#DIV/0!</v>
      </c>
      <c r="G413" s="692">
        <f>SUMIF('ПО КОРИСНИЦИМА'!$G$8:$G$18203,"Свега за пројекат 1801-П30:",'ПО КОРИСНИЦИМА'!$K$8:$K$18203)</f>
        <v>0</v>
      </c>
      <c r="H413" s="690"/>
      <c r="I413" s="693"/>
      <c r="J413" s="688" t="e">
        <f t="shared" si="13"/>
        <v>#DIV/0!</v>
      </c>
    </row>
    <row r="414" spans="1:10" s="234" customFormat="1" x14ac:dyDescent="0.2">
      <c r="A414" s="226" t="s">
        <v>3594</v>
      </c>
      <c r="B414" s="227"/>
      <c r="C414" s="206" t="s">
        <v>3677</v>
      </c>
      <c r="D414" s="253">
        <f>SUM(D415:D466)</f>
        <v>13254155</v>
      </c>
      <c r="E414" s="685">
        <f>SUM(E415:E416)</f>
        <v>12078865.870000001</v>
      </c>
      <c r="F414" s="694">
        <f t="shared" si="12"/>
        <v>91.13267401807208</v>
      </c>
      <c r="G414" s="695">
        <f>SUM(G415:G466)</f>
        <v>744000</v>
      </c>
      <c r="H414" s="696">
        <f>SUM(H415:H416)</f>
        <v>549354.56999999995</v>
      </c>
      <c r="I414" s="695"/>
      <c r="J414" s="770">
        <f t="shared" si="13"/>
        <v>73.837979838709671</v>
      </c>
    </row>
    <row r="415" spans="1:10" x14ac:dyDescent="0.2">
      <c r="A415" s="230"/>
      <c r="B415" s="193" t="s">
        <v>4125</v>
      </c>
      <c r="C415" s="209" t="s">
        <v>4123</v>
      </c>
      <c r="D415" s="257">
        <f>SUMIF('ПО КОРИСНИЦИМА'!$G$8:$G$18203,"Свега за програмску активност 1201-0001:",'ПО КОРИСНИЦИМА'!$H$8:$H$18203)</f>
        <v>9282155</v>
      </c>
      <c r="E415" s="683">
        <f>SUM('ПО КОРИСНИЦИМА'!I12137)</f>
        <v>8459930.870000001</v>
      </c>
      <c r="F415" s="694">
        <f t="shared" si="12"/>
        <v>91.141883215697234</v>
      </c>
      <c r="G415" s="686">
        <f>SUMIF('ПО КОРИСНИЦИМА'!$G$8:$G$18203,"Свега за програмску активност 1201-0001:",'ПО КОРИСНИЦИМА'!$K$8:$K$18203)</f>
        <v>744000</v>
      </c>
      <c r="H415" s="687">
        <f>SUM('ПО КОРИСНИЦИМА'!L12124)</f>
        <v>549354.56999999995</v>
      </c>
      <c r="I415" s="686"/>
      <c r="J415" s="688">
        <f t="shared" si="13"/>
        <v>73.837979838709671</v>
      </c>
    </row>
    <row r="416" spans="1:10" x14ac:dyDescent="0.2">
      <c r="A416" s="232"/>
      <c r="B416" s="86" t="s">
        <v>4126</v>
      </c>
      <c r="C416" s="215" t="s">
        <v>4124</v>
      </c>
      <c r="D416" s="261">
        <f>SUMIF('ПО КОРИСНИЦИМА'!$G$8:$G$18203,"Свега за програмску активност 1201-0002:",'ПО КОРИСНИЦИМА'!$H$8:$H$18203)</f>
        <v>3972000</v>
      </c>
      <c r="E416" s="683">
        <f>SUM('ПО КОРИСНИЦИМА'!I5618)</f>
        <v>3618935</v>
      </c>
      <c r="F416" s="694">
        <f t="shared" si="12"/>
        <v>91.11115307150051</v>
      </c>
      <c r="G416" s="689">
        <f>SUMIF('ПО КОРИСНИЦИМА'!$G$8:$G$18203,"Свега за програмску активност 1201-0002:",'ПО КОРИСНИЦИМА'!$K$8:$K$18203)</f>
        <v>0</v>
      </c>
      <c r="H416" s="690"/>
      <c r="I416" s="691"/>
      <c r="J416" s="688"/>
    </row>
    <row r="417" spans="1:10" hidden="1" x14ac:dyDescent="0.2">
      <c r="A417" s="236"/>
      <c r="B417" s="236" t="s">
        <v>4830</v>
      </c>
      <c r="C417" s="208" t="str">
        <f>IFERROR(VLOOKUP(B417,'ПО КОРИСНИЦИМА'!$C$8:$L$18203,5,FALSE),"")</f>
        <v>Публикација књиге ....</v>
      </c>
      <c r="D417" s="265">
        <f>SUMIF('ПО КОРИСНИЦИМА'!$G$8:$G$18203,"Свега за пројекат 1201-П1:",'ПО КОРИСНИЦИМА'!$H$8:$H$18203)</f>
        <v>0</v>
      </c>
      <c r="E417" s="684"/>
      <c r="F417" s="694" t="e">
        <f t="shared" si="12"/>
        <v>#DIV/0!</v>
      </c>
      <c r="G417" s="692">
        <f>SUMIF('ПО КОРИСНИЦИМА'!$G$8:$G$18203,"Свега за пројекат 1201-П1:",'ПО КОРИСНИЦИМА'!$K$8:$K$18203)</f>
        <v>0</v>
      </c>
      <c r="H417" s="690"/>
      <c r="I417" s="691"/>
      <c r="J417" s="688"/>
    </row>
    <row r="418" spans="1:10" hidden="1" x14ac:dyDescent="0.2">
      <c r="A418" s="236"/>
      <c r="B418" s="236" t="s">
        <v>4831</v>
      </c>
      <c r="C418" s="208" t="str">
        <f>IFERROR(VLOOKUP(B418,'ПО КОРИСНИЦИМА'!$C$8:$L$18203,5,FALSE),"")</f>
        <v>Изградња и опремање зграде Позоришта</v>
      </c>
      <c r="D418" s="265">
        <f>SUMIF('ПО КОРИСНИЦИМА'!$G$8:$G$18203,"Свега за пројекат 1201-П2:",'ПО КОРИСНИЦИМА'!$H$8:$H$18203)</f>
        <v>0</v>
      </c>
      <c r="E418" s="683"/>
      <c r="F418" s="694" t="e">
        <f t="shared" si="12"/>
        <v>#DIV/0!</v>
      </c>
      <c r="G418" s="692">
        <f>SUMIF('ПО КОРИСНИЦИМА'!$G$8:$G$18203,"Свега за пројекат 1201-П2:",'ПО КОРИСНИЦИМА'!$K$8:$K$18203)</f>
        <v>0</v>
      </c>
      <c r="H418" s="690"/>
      <c r="I418" s="689"/>
      <c r="J418" s="688"/>
    </row>
    <row r="419" spans="1:10" hidden="1" x14ac:dyDescent="0.2">
      <c r="A419" s="236"/>
      <c r="B419" s="236" t="s">
        <v>4832</v>
      </c>
      <c r="C419" s="208" t="str">
        <f>IFERROR(VLOOKUP(B419,'ПО КОРИСНИЦИМА'!$C$8:$L$18203,5,FALSE),"")</f>
        <v xml:space="preserve">Пројекат: </v>
      </c>
      <c r="D419" s="265">
        <f>SUMIF('ПО КОРИСНИЦИМА'!$G$8:$G$18203,"Свега за пројекат 1201-П3:",'ПО КОРИСНИЦИМА'!$H$8:$H$18203)</f>
        <v>0</v>
      </c>
      <c r="E419" s="683"/>
      <c r="F419" s="694" t="e">
        <f t="shared" si="12"/>
        <v>#DIV/0!</v>
      </c>
      <c r="G419" s="692">
        <f>SUMIF('ПО КОРИСНИЦИМА'!$G$8:$G$18203,"Свега за пројекат 1201-П3:",'ПО КОРИСНИЦИМА'!$K$8:$K$18203)</f>
        <v>0</v>
      </c>
      <c r="H419" s="690"/>
      <c r="I419" s="689"/>
      <c r="J419" s="688"/>
    </row>
    <row r="420" spans="1:10" hidden="1" x14ac:dyDescent="0.2">
      <c r="A420" s="236"/>
      <c r="B420" s="236" t="s">
        <v>4833</v>
      </c>
      <c r="C420" s="208" t="str">
        <f>IFERROR(VLOOKUP(B420,'ПО КОРИСНИЦИМА'!$C$8:$L$18203,5,FALSE),"")</f>
        <v xml:space="preserve">Пројекат: </v>
      </c>
      <c r="D420" s="265">
        <f>SUMIF('ПО КОРИСНИЦИМА'!$G$8:$G$18203,"Свега за пројекат 1201-П4:",'ПО КОРИСНИЦИМА'!$H$8:$H$18203)</f>
        <v>0</v>
      </c>
      <c r="E420" s="683"/>
      <c r="F420" s="694" t="e">
        <f t="shared" si="12"/>
        <v>#DIV/0!</v>
      </c>
      <c r="G420" s="692">
        <f>SUMIF('ПО КОРИСНИЦИМА'!$G$8:$G$18203,"Свега за пројекат 1201-П4:",'ПО КОРИСНИЦИМА'!$K$8:$K$18203)</f>
        <v>0</v>
      </c>
      <c r="H420" s="690"/>
      <c r="I420" s="689"/>
      <c r="J420" s="688"/>
    </row>
    <row r="421" spans="1:10" hidden="1" x14ac:dyDescent="0.2">
      <c r="A421" s="236"/>
      <c r="B421" s="236" t="s">
        <v>4834</v>
      </c>
      <c r="C421" s="208" t="str">
        <f>IFERROR(VLOOKUP(B421,'ПО КОРИСНИЦИМА'!$C$8:$L$18203,5,FALSE),"")</f>
        <v xml:space="preserve">Пројекат: </v>
      </c>
      <c r="D421" s="265">
        <f>SUMIF('ПО КОРИСНИЦИМА'!$G$8:$G$18203,"Свега за пројекат 1201-П5:",'ПО КОРИСНИЦИМА'!$H$8:$H$18203)</f>
        <v>0</v>
      </c>
      <c r="E421" s="683"/>
      <c r="F421" s="694" t="e">
        <f t="shared" ref="F421:F484" si="14">SUM(E421/D421)*100</f>
        <v>#DIV/0!</v>
      </c>
      <c r="G421" s="692">
        <f>SUMIF('ПО КОРИСНИЦИМА'!$G$8:$G$18203,"Свега за пројекат 1201-П5:",'ПО КОРИСНИЦИМА'!$K$8:$K$18203)</f>
        <v>0</v>
      </c>
      <c r="H421" s="690"/>
      <c r="I421" s="689"/>
      <c r="J421" s="688"/>
    </row>
    <row r="422" spans="1:10" hidden="1" x14ac:dyDescent="0.2">
      <c r="A422" s="236"/>
      <c r="B422" s="236" t="s">
        <v>4835</v>
      </c>
      <c r="C422" s="208" t="str">
        <f>IFERROR(VLOOKUP(B422,'ПО КОРИСНИЦИМА'!$C$8:$L$18203,5,FALSE),"")</f>
        <v xml:space="preserve">Пројекат: </v>
      </c>
      <c r="D422" s="265">
        <f>SUMIF('ПО КОРИСНИЦИМА'!$G$8:$G$18203,"Свега за пројекат 1201-П6:",'ПО КОРИСНИЦИМА'!$H$8:$H$18203)</f>
        <v>0</v>
      </c>
      <c r="E422" s="683"/>
      <c r="F422" s="694" t="e">
        <f t="shared" si="14"/>
        <v>#DIV/0!</v>
      </c>
      <c r="G422" s="692">
        <f>SUMIF('ПО КОРИСНИЦИМА'!$G$8:$G$18203,"Свега за пројекат 1201-П6:",'ПО КОРИСНИЦИМА'!$K$8:$K$18203)</f>
        <v>0</v>
      </c>
      <c r="H422" s="690"/>
      <c r="I422" s="689"/>
      <c r="J422" s="688"/>
    </row>
    <row r="423" spans="1:10" hidden="1" x14ac:dyDescent="0.2">
      <c r="A423" s="236"/>
      <c r="B423" s="236" t="s">
        <v>4836</v>
      </c>
      <c r="C423" s="208" t="str">
        <f>IFERROR(VLOOKUP(B423,'ПО КОРИСНИЦИМА'!$C$8:$L$18203,5,FALSE),"")</f>
        <v xml:space="preserve">Пројекат: </v>
      </c>
      <c r="D423" s="265">
        <f>SUMIF('ПО КОРИСНИЦИМА'!$G$8:$G$18203,"Свега за пројекат 1201-П7:",'ПО КОРИСНИЦИМА'!$H$8:$H$18203)</f>
        <v>0</v>
      </c>
      <c r="E423" s="683"/>
      <c r="F423" s="694" t="e">
        <f t="shared" si="14"/>
        <v>#DIV/0!</v>
      </c>
      <c r="G423" s="692">
        <f>SUMIF('ПО КОРИСНИЦИМА'!$G$8:$G$18203,"Свега за пројекат 1201-П7:",'ПО КОРИСНИЦИМА'!$K$8:$K$18203)</f>
        <v>0</v>
      </c>
      <c r="H423" s="690"/>
      <c r="I423" s="689"/>
      <c r="J423" s="688"/>
    </row>
    <row r="424" spans="1:10" hidden="1" x14ac:dyDescent="0.2">
      <c r="A424" s="236"/>
      <c r="B424" s="236" t="s">
        <v>4837</v>
      </c>
      <c r="C424" s="208" t="str">
        <f>IFERROR(VLOOKUP(B424,'ПО КОРИСНИЦИМА'!$C$8:$L$18203,5,FALSE),"")</f>
        <v xml:space="preserve">Пројекат: </v>
      </c>
      <c r="D424" s="265">
        <f>SUMIF('ПО КОРИСНИЦИМА'!$G$8:$G$18203,"Свега за пројекат 1201-П8:",'ПО КОРИСНИЦИМА'!$H$8:$H$18203)</f>
        <v>0</v>
      </c>
      <c r="E424" s="683"/>
      <c r="F424" s="694" t="e">
        <f t="shared" si="14"/>
        <v>#DIV/0!</v>
      </c>
      <c r="G424" s="692">
        <f>SUMIF('ПО КОРИСНИЦИМА'!$G$8:$G$18203,"Свега за пројекат 1201-П8:",'ПО КОРИСНИЦИМА'!$K$8:$K$18203)</f>
        <v>0</v>
      </c>
      <c r="H424" s="690"/>
      <c r="I424" s="689"/>
      <c r="J424" s="688"/>
    </row>
    <row r="425" spans="1:10" hidden="1" x14ac:dyDescent="0.2">
      <c r="A425" s="236"/>
      <c r="B425" s="236" t="s">
        <v>4838</v>
      </c>
      <c r="C425" s="208" t="str">
        <f>IFERROR(VLOOKUP(B425,'ПО КОРИСНИЦИМА'!$C$8:$L$18203,5,FALSE),"")</f>
        <v xml:space="preserve">Пројекат: </v>
      </c>
      <c r="D425" s="265">
        <f>SUMIF('ПО КОРИСНИЦИМА'!$G$8:$G$18203,"Свега за пројекат 1201-П9:",'ПО КОРИСНИЦИМА'!$H$8:$H$18203)</f>
        <v>0</v>
      </c>
      <c r="E425" s="683"/>
      <c r="F425" s="694" t="e">
        <f t="shared" si="14"/>
        <v>#DIV/0!</v>
      </c>
      <c r="G425" s="692">
        <f>SUMIF('ПО КОРИСНИЦИМА'!$G$8:$G$18203,"Свега за пројекат 1201-П9:",'ПО КОРИСНИЦИМА'!$K$8:$K$18203)</f>
        <v>0</v>
      </c>
      <c r="H425" s="690"/>
      <c r="I425" s="689"/>
      <c r="J425" s="688"/>
    </row>
    <row r="426" spans="1:10" hidden="1" x14ac:dyDescent="0.2">
      <c r="A426" s="236"/>
      <c r="B426" s="236" t="s">
        <v>4839</v>
      </c>
      <c r="C426" s="208" t="str">
        <f>IFERROR(VLOOKUP(B426,'ПО КОРИСНИЦИМА'!$C$8:$L$18203,5,FALSE),"")</f>
        <v xml:space="preserve">Пројекат: </v>
      </c>
      <c r="D426" s="265">
        <f>SUMIF('ПО КОРИСНИЦИМА'!$G$8:$G$18203,"Свега за пројекат 1201-П10:",'ПО КОРИСНИЦИМА'!$H$8:$H$18203)</f>
        <v>0</v>
      </c>
      <c r="E426" s="683"/>
      <c r="F426" s="694" t="e">
        <f t="shared" si="14"/>
        <v>#DIV/0!</v>
      </c>
      <c r="G426" s="692">
        <f>SUMIF('ПО КОРИСНИЦИМА'!$G$8:$G$18203,"Свега за пројекат 1201-П10:",'ПО КОРИСНИЦИМА'!$K$8:$K$18203)</f>
        <v>0</v>
      </c>
      <c r="H426" s="690"/>
      <c r="I426" s="689"/>
      <c r="J426" s="688"/>
    </row>
    <row r="427" spans="1:10" hidden="1" x14ac:dyDescent="0.2">
      <c r="A427" s="236"/>
      <c r="B427" s="236" t="s">
        <v>4840</v>
      </c>
      <c r="C427" s="208" t="str">
        <f>IFERROR(VLOOKUP(B427,'ПО КОРИСНИЦИМА'!$C$8:$L$18203,5,FALSE),"")</f>
        <v xml:space="preserve">Пројекат: </v>
      </c>
      <c r="D427" s="265">
        <f>SUMIF('ПО КОРИСНИЦИМА'!$G$8:$G$18203,"Свега за пројекат 1201-П11:",'ПО КОРИСНИЦИМА'!$H$8:$H$18203)</f>
        <v>0</v>
      </c>
      <c r="E427" s="683"/>
      <c r="F427" s="694" t="e">
        <f t="shared" si="14"/>
        <v>#DIV/0!</v>
      </c>
      <c r="G427" s="692">
        <f>SUMIF('ПО КОРИСНИЦИМА'!$G$8:$G$18203,"Свега за пројекат 1201-П11:",'ПО КОРИСНИЦИМА'!$K$8:$K$18203)</f>
        <v>0</v>
      </c>
      <c r="H427" s="690"/>
      <c r="I427" s="689"/>
      <c r="J427" s="688"/>
    </row>
    <row r="428" spans="1:10" hidden="1" x14ac:dyDescent="0.2">
      <c r="A428" s="236"/>
      <c r="B428" s="236" t="s">
        <v>4841</v>
      </c>
      <c r="C428" s="208" t="str">
        <f>IFERROR(VLOOKUP(B428,'ПО КОРИСНИЦИМА'!$C$8:$L$18203,5,FALSE),"")</f>
        <v xml:space="preserve">Пројекат: </v>
      </c>
      <c r="D428" s="265">
        <f>SUMIF('ПО КОРИСНИЦИМА'!$G$8:$G$18203,"Свега за пројекат 1201-П12:",'ПО КОРИСНИЦИМА'!$H$8:$H$18203)</f>
        <v>0</v>
      </c>
      <c r="E428" s="683"/>
      <c r="F428" s="694" t="e">
        <f t="shared" si="14"/>
        <v>#DIV/0!</v>
      </c>
      <c r="G428" s="692">
        <f>SUMIF('ПО КОРИСНИЦИМА'!$G$8:$G$18203,"Свега за пројекат 1201-П12:",'ПО КОРИСНИЦИМА'!$K$8:$K$18203)</f>
        <v>0</v>
      </c>
      <c r="H428" s="690"/>
      <c r="I428" s="689"/>
      <c r="J428" s="688"/>
    </row>
    <row r="429" spans="1:10" hidden="1" x14ac:dyDescent="0.2">
      <c r="A429" s="236"/>
      <c r="B429" s="236" t="s">
        <v>4842</v>
      </c>
      <c r="C429" s="208" t="str">
        <f>IFERROR(VLOOKUP(B429,'ПО КОРИСНИЦИМА'!$C$8:$L$18203,5,FALSE),"")</f>
        <v/>
      </c>
      <c r="D429" s="265">
        <f>SUMIF('ПО КОРИСНИЦИМА'!$G$8:$G$18203,"Свега за пројекат 1201-П13:",'ПО КОРИСНИЦИМА'!$H$8:$H$18203)</f>
        <v>0</v>
      </c>
      <c r="E429" s="683"/>
      <c r="F429" s="694" t="e">
        <f t="shared" si="14"/>
        <v>#DIV/0!</v>
      </c>
      <c r="G429" s="692">
        <f>SUMIF('ПО КОРИСНИЦИМА'!$G$8:$G$18203,"Свега за пројекат 1201-П13:",'ПО КОРИСНИЦИМА'!$K$8:$K$18203)</f>
        <v>0</v>
      </c>
      <c r="H429" s="690"/>
      <c r="I429" s="689"/>
      <c r="J429" s="688"/>
    </row>
    <row r="430" spans="1:10" hidden="1" x14ac:dyDescent="0.2">
      <c r="A430" s="236"/>
      <c r="B430" s="236" t="s">
        <v>4843</v>
      </c>
      <c r="C430" s="208" t="str">
        <f>IFERROR(VLOOKUP(B430,'ПО КОРИСНИЦИМА'!$C$8:$L$18203,5,FALSE),"")</f>
        <v/>
      </c>
      <c r="D430" s="265">
        <f>SUMIF('ПО КОРИСНИЦИМА'!$G$8:$G$18203,"Свега за пројекат 1201-П14:",'ПО КОРИСНИЦИМА'!$H$8:$H$18203)</f>
        <v>0</v>
      </c>
      <c r="E430" s="683"/>
      <c r="F430" s="694" t="e">
        <f t="shared" si="14"/>
        <v>#DIV/0!</v>
      </c>
      <c r="G430" s="692">
        <f>SUMIF('ПО КОРИСНИЦИМА'!$G$8:$G$18203,"Свега за пројекат 1201-П14:",'ПО КОРИСНИЦИМА'!$K$8:$K$18203)</f>
        <v>0</v>
      </c>
      <c r="H430" s="690"/>
      <c r="I430" s="689"/>
      <c r="J430" s="688"/>
    </row>
    <row r="431" spans="1:10" hidden="1" x14ac:dyDescent="0.2">
      <c r="A431" s="236"/>
      <c r="B431" s="236" t="s">
        <v>4844</v>
      </c>
      <c r="C431" s="208" t="str">
        <f>IFERROR(VLOOKUP(B431,'ПО КОРИСНИЦИМА'!$C$8:$L$18203,5,FALSE),"")</f>
        <v/>
      </c>
      <c r="D431" s="265">
        <f>SUMIF('ПО КОРИСНИЦИМА'!$G$8:$G$18203,"Свега за пројекат 1201-П15:",'ПО КОРИСНИЦИМА'!$H$8:$H$18203)</f>
        <v>0</v>
      </c>
      <c r="E431" s="683"/>
      <c r="F431" s="694" t="e">
        <f t="shared" si="14"/>
        <v>#DIV/0!</v>
      </c>
      <c r="G431" s="692">
        <f>SUMIF('ПО КОРИСНИЦИМА'!$G$8:$G$18203,"Свега за пројекат 1201-П15:",'ПО КОРИСНИЦИМА'!$K$8:$K$18203)</f>
        <v>0</v>
      </c>
      <c r="H431" s="690"/>
      <c r="I431" s="689"/>
      <c r="J431" s="688"/>
    </row>
    <row r="432" spans="1:10" hidden="1" x14ac:dyDescent="0.2">
      <c r="A432" s="236"/>
      <c r="B432" s="236" t="s">
        <v>4845</v>
      </c>
      <c r="C432" s="208" t="str">
        <f>IFERROR(VLOOKUP(B432,'ПО КОРИСНИЦИМА'!$C$8:$L$18203,5,FALSE),"")</f>
        <v/>
      </c>
      <c r="D432" s="265">
        <f>SUMIF('ПО КОРИСНИЦИМА'!$G$8:$G$18203,"Свега за пројекат 1201-П16:",'ПО КОРИСНИЦИМА'!$H$8:$H$18203)</f>
        <v>0</v>
      </c>
      <c r="E432" s="683"/>
      <c r="F432" s="694" t="e">
        <f t="shared" si="14"/>
        <v>#DIV/0!</v>
      </c>
      <c r="G432" s="692">
        <f>SUMIF('ПО КОРИСНИЦИМА'!$G$8:$G$18203,"Свега за пројекат 1201-П16:",'ПО КОРИСНИЦИМА'!$K$8:$K$18203)</f>
        <v>0</v>
      </c>
      <c r="H432" s="690"/>
      <c r="I432" s="689"/>
      <c r="J432" s="688"/>
    </row>
    <row r="433" spans="1:10" hidden="1" x14ac:dyDescent="0.2">
      <c r="A433" s="236"/>
      <c r="B433" s="236" t="s">
        <v>4846</v>
      </c>
      <c r="C433" s="208" t="str">
        <f>IFERROR(VLOOKUP(B433,'ПО КОРИСНИЦИМА'!$C$8:$L$18203,5,FALSE),"")</f>
        <v/>
      </c>
      <c r="D433" s="265">
        <f>SUMIF('ПО КОРИСНИЦИМА'!$G$8:$G$18203,"Свега за пројекат 1201-П17:",'ПО КОРИСНИЦИМА'!$H$8:$H$18203)</f>
        <v>0</v>
      </c>
      <c r="E433" s="683"/>
      <c r="F433" s="694" t="e">
        <f t="shared" si="14"/>
        <v>#DIV/0!</v>
      </c>
      <c r="G433" s="692">
        <f>SUMIF('ПО КОРИСНИЦИМА'!$G$8:$G$18203,"Свега за пројекат 1201-П17:",'ПО КОРИСНИЦИМА'!$K$8:$K$18203)</f>
        <v>0</v>
      </c>
      <c r="H433" s="690"/>
      <c r="I433" s="689"/>
      <c r="J433" s="688"/>
    </row>
    <row r="434" spans="1:10" hidden="1" x14ac:dyDescent="0.2">
      <c r="A434" s="236"/>
      <c r="B434" s="236" t="s">
        <v>4847</v>
      </c>
      <c r="C434" s="208" t="str">
        <f>IFERROR(VLOOKUP(B434,'ПО КОРИСНИЦИМА'!$C$8:$L$18203,5,FALSE),"")</f>
        <v/>
      </c>
      <c r="D434" s="265">
        <f>SUMIF('ПО КОРИСНИЦИМА'!$G$8:$G$18203,"Свега за пројекат 1201-П18:",'ПО КОРИСНИЦИМА'!$H$8:$H$18203)</f>
        <v>0</v>
      </c>
      <c r="E434" s="683"/>
      <c r="F434" s="694" t="e">
        <f t="shared" si="14"/>
        <v>#DIV/0!</v>
      </c>
      <c r="G434" s="692">
        <f>SUMIF('ПО КОРИСНИЦИМА'!$G$8:$G$18203,"Свега за пројекат 1201-П18:",'ПО КОРИСНИЦИМА'!$K$8:$K$18203)</f>
        <v>0</v>
      </c>
      <c r="H434" s="690"/>
      <c r="I434" s="689"/>
      <c r="J434" s="688"/>
    </row>
    <row r="435" spans="1:10" hidden="1" x14ac:dyDescent="0.2">
      <c r="A435" s="236"/>
      <c r="B435" s="236" t="s">
        <v>4848</v>
      </c>
      <c r="C435" s="208" t="str">
        <f>IFERROR(VLOOKUP(B435,'ПО КОРИСНИЦИМА'!$C$8:$L$18203,5,FALSE),"")</f>
        <v/>
      </c>
      <c r="D435" s="265">
        <f>SUMIF('ПО КОРИСНИЦИМА'!$G$8:$G$18203,"Свега за пројекат 1201-П19:",'ПО КОРИСНИЦИМА'!$H$8:$H$18203)</f>
        <v>0</v>
      </c>
      <c r="E435" s="683"/>
      <c r="F435" s="694" t="e">
        <f t="shared" si="14"/>
        <v>#DIV/0!</v>
      </c>
      <c r="G435" s="692">
        <f>SUMIF('ПО КОРИСНИЦИМА'!$G$8:$G$18203,"Свега за пројекат 1201-П19:",'ПО КОРИСНИЦИМА'!$K$8:$K$18203)</f>
        <v>0</v>
      </c>
      <c r="H435" s="690"/>
      <c r="I435" s="689"/>
      <c r="J435" s="688"/>
    </row>
    <row r="436" spans="1:10" hidden="1" x14ac:dyDescent="0.2">
      <c r="A436" s="236"/>
      <c r="B436" s="236" t="s">
        <v>4849</v>
      </c>
      <c r="C436" s="208" t="str">
        <f>IFERROR(VLOOKUP(B436,'ПО КОРИСНИЦИМА'!$C$8:$L$18203,5,FALSE),"")</f>
        <v/>
      </c>
      <c r="D436" s="265">
        <f>SUMIF('ПО КОРИСНИЦИМА'!$G$8:$G$18203,"Свега за пројекат 1201-П20:",'ПО КОРИСНИЦИМА'!$H$8:$H$18203)</f>
        <v>0</v>
      </c>
      <c r="E436" s="683"/>
      <c r="F436" s="694" t="e">
        <f t="shared" si="14"/>
        <v>#DIV/0!</v>
      </c>
      <c r="G436" s="692">
        <f>SUMIF('ПО КОРИСНИЦИМА'!$G$8:$G$18203,"Свега за пројекат 1201-П20:",'ПО КОРИСНИЦИМА'!$K$8:$K$18203)</f>
        <v>0</v>
      </c>
      <c r="H436" s="690"/>
      <c r="I436" s="689"/>
      <c r="J436" s="688"/>
    </row>
    <row r="437" spans="1:10" hidden="1" x14ac:dyDescent="0.2">
      <c r="A437" s="236"/>
      <c r="B437" s="236" t="s">
        <v>4850</v>
      </c>
      <c r="C437" s="208" t="str">
        <f>IFERROR(VLOOKUP(B437,'ПО КОРИСНИЦИМА'!$C$8:$L$18203,5,FALSE),"")</f>
        <v/>
      </c>
      <c r="D437" s="265">
        <f>SUMIF('ПО КОРИСНИЦИМА'!$G$8:$G$18203,"Свега за пројекат 1201-П21:",'ПО КОРИСНИЦИМА'!$H$8:$H$18203)</f>
        <v>0</v>
      </c>
      <c r="E437" s="683"/>
      <c r="F437" s="694" t="e">
        <f t="shared" si="14"/>
        <v>#DIV/0!</v>
      </c>
      <c r="G437" s="692">
        <f>SUMIF('ПО КОРИСНИЦИМА'!$G$8:$G$18203,"Свега за пројекат 1201-П21:",'ПО КОРИСНИЦИМА'!$K$8:$K$18203)</f>
        <v>0</v>
      </c>
      <c r="H437" s="690"/>
      <c r="I437" s="689"/>
      <c r="J437" s="688"/>
    </row>
    <row r="438" spans="1:10" hidden="1" x14ac:dyDescent="0.2">
      <c r="A438" s="236"/>
      <c r="B438" s="236" t="s">
        <v>4851</v>
      </c>
      <c r="C438" s="208" t="str">
        <f>IFERROR(VLOOKUP(B438,'ПО КОРИСНИЦИМА'!$C$8:$L$18203,5,FALSE),"")</f>
        <v/>
      </c>
      <c r="D438" s="265">
        <f>SUMIF('ПО КОРИСНИЦИМА'!$G$8:$G$18203,"Свега за пројекат 1201-П22:",'ПО КОРИСНИЦИМА'!$H$8:$H$18203)</f>
        <v>0</v>
      </c>
      <c r="E438" s="683"/>
      <c r="F438" s="694" t="e">
        <f t="shared" si="14"/>
        <v>#DIV/0!</v>
      </c>
      <c r="G438" s="692">
        <f>SUMIF('ПО КОРИСНИЦИМА'!$G$8:$G$18203,"Свега за пројекат 1201-П22:",'ПО КОРИСНИЦИМА'!$K$8:$K$18203)</f>
        <v>0</v>
      </c>
      <c r="H438" s="690"/>
      <c r="I438" s="689"/>
      <c r="J438" s="688"/>
    </row>
    <row r="439" spans="1:10" hidden="1" x14ac:dyDescent="0.2">
      <c r="A439" s="236"/>
      <c r="B439" s="236" t="s">
        <v>4852</v>
      </c>
      <c r="C439" s="208" t="str">
        <f>IFERROR(VLOOKUP(B439,'ПО КОРИСНИЦИМА'!$C$8:$L$18203,5,FALSE),"")</f>
        <v/>
      </c>
      <c r="D439" s="265">
        <f>SUMIF('ПО КОРИСНИЦИМА'!$G$8:$G$18203,"Свега за пројекат 1201-П23:",'ПО КОРИСНИЦИМА'!$H$8:$H$18203)</f>
        <v>0</v>
      </c>
      <c r="E439" s="683"/>
      <c r="F439" s="694" t="e">
        <f t="shared" si="14"/>
        <v>#DIV/0!</v>
      </c>
      <c r="G439" s="692">
        <f>SUMIF('ПО КОРИСНИЦИМА'!$G$8:$G$18203,"Свега за пројекат 1201-П23:",'ПО КОРИСНИЦИМА'!$K$8:$K$18203)</f>
        <v>0</v>
      </c>
      <c r="H439" s="690"/>
      <c r="I439" s="689"/>
      <c r="J439" s="688"/>
    </row>
    <row r="440" spans="1:10" hidden="1" x14ac:dyDescent="0.2">
      <c r="A440" s="236"/>
      <c r="B440" s="236" t="s">
        <v>4853</v>
      </c>
      <c r="C440" s="208" t="str">
        <f>IFERROR(VLOOKUP(B440,'ПО КОРИСНИЦИМА'!$C$8:$L$18203,5,FALSE),"")</f>
        <v/>
      </c>
      <c r="D440" s="265">
        <f>SUMIF('ПО КОРИСНИЦИМА'!$G$8:$G$18203,"Свега за пројекат 1201-П24:",'ПО КОРИСНИЦИМА'!$H$8:$H$18203)</f>
        <v>0</v>
      </c>
      <c r="E440" s="683"/>
      <c r="F440" s="694" t="e">
        <f t="shared" si="14"/>
        <v>#DIV/0!</v>
      </c>
      <c r="G440" s="692">
        <f>SUMIF('ПО КОРИСНИЦИМА'!$G$8:$G$18203,"Свега за пројекат 1201-П24:",'ПО КОРИСНИЦИМА'!$K$8:$K$18203)</f>
        <v>0</v>
      </c>
      <c r="H440" s="690"/>
      <c r="I440" s="689"/>
      <c r="J440" s="688"/>
    </row>
    <row r="441" spans="1:10" hidden="1" x14ac:dyDescent="0.2">
      <c r="A441" s="236"/>
      <c r="B441" s="236" t="s">
        <v>4854</v>
      </c>
      <c r="C441" s="208" t="str">
        <f>IFERROR(VLOOKUP(B441,'ПО КОРИСНИЦИМА'!$C$8:$L$18203,5,FALSE),"")</f>
        <v/>
      </c>
      <c r="D441" s="265">
        <f>SUMIF('ПО КОРИСНИЦИМА'!$G$8:$G$18203,"Свега за пројекат 1201-П25:",'ПО КОРИСНИЦИМА'!$H$8:$H$18203)</f>
        <v>0</v>
      </c>
      <c r="E441" s="683"/>
      <c r="F441" s="694" t="e">
        <f t="shared" si="14"/>
        <v>#DIV/0!</v>
      </c>
      <c r="G441" s="692">
        <f>SUMIF('ПО КОРИСНИЦИМА'!$G$8:$G$18203,"Свега за пројекат 1201-П25:",'ПО КОРИСНИЦИМА'!$K$8:$K$18203)</f>
        <v>0</v>
      </c>
      <c r="H441" s="690"/>
      <c r="I441" s="689"/>
      <c r="J441" s="688"/>
    </row>
    <row r="442" spans="1:10" hidden="1" x14ac:dyDescent="0.2">
      <c r="A442" s="236"/>
      <c r="B442" s="236" t="s">
        <v>4855</v>
      </c>
      <c r="C442" s="208" t="str">
        <f>IFERROR(VLOOKUP(B442,'ПО КОРИСНИЦИМА'!$C$8:$L$18203,5,FALSE),"")</f>
        <v/>
      </c>
      <c r="D442" s="265">
        <f>SUMIF('ПО КОРИСНИЦИМА'!$G$8:$G$18203,"Свега за пројекат 1201-П26:",'ПО КОРИСНИЦИМА'!$H$8:$H$18203)</f>
        <v>0</v>
      </c>
      <c r="E442" s="683"/>
      <c r="F442" s="694" t="e">
        <f t="shared" si="14"/>
        <v>#DIV/0!</v>
      </c>
      <c r="G442" s="692">
        <f>SUMIF('ПО КОРИСНИЦИМА'!$G$8:$G$18203,"Свега за пројекат 1201-П26:",'ПО КОРИСНИЦИМА'!$K$8:$K$18203)</f>
        <v>0</v>
      </c>
      <c r="H442" s="690"/>
      <c r="I442" s="689"/>
      <c r="J442" s="688"/>
    </row>
    <row r="443" spans="1:10" hidden="1" x14ac:dyDescent="0.2">
      <c r="A443" s="236"/>
      <c r="B443" s="236" t="s">
        <v>4856</v>
      </c>
      <c r="C443" s="208" t="str">
        <f>IFERROR(VLOOKUP(B443,'ПО КОРИСНИЦИМА'!$C$8:$L$18203,5,FALSE),"")</f>
        <v/>
      </c>
      <c r="D443" s="265">
        <f>SUMIF('ПО КОРИСНИЦИМА'!$G$8:$G$18203,"Свега за пројекат 1201-П27:",'ПО КОРИСНИЦИМА'!$H$8:$H$18203)</f>
        <v>0</v>
      </c>
      <c r="E443" s="683"/>
      <c r="F443" s="694" t="e">
        <f t="shared" si="14"/>
        <v>#DIV/0!</v>
      </c>
      <c r="G443" s="692">
        <f>SUMIF('ПО КОРИСНИЦИМА'!$G$8:$G$18203,"Свега за пројекат 1201-П27:",'ПО КОРИСНИЦИМА'!$K$8:$K$18203)</f>
        <v>0</v>
      </c>
      <c r="H443" s="690"/>
      <c r="I443" s="689"/>
      <c r="J443" s="688"/>
    </row>
    <row r="444" spans="1:10" hidden="1" x14ac:dyDescent="0.2">
      <c r="A444" s="236"/>
      <c r="B444" s="236" t="s">
        <v>4857</v>
      </c>
      <c r="C444" s="208" t="str">
        <f>IFERROR(VLOOKUP(B444,'ПО КОРИСНИЦИМА'!$C$8:$L$18203,5,FALSE),"")</f>
        <v/>
      </c>
      <c r="D444" s="265">
        <f>SUMIF('ПО КОРИСНИЦИМА'!$G$8:$G$18203,"Свега за пројекат 1201-П28:",'ПО КОРИСНИЦИМА'!$H$8:$H$18203)</f>
        <v>0</v>
      </c>
      <c r="E444" s="683"/>
      <c r="F444" s="694" t="e">
        <f t="shared" si="14"/>
        <v>#DIV/0!</v>
      </c>
      <c r="G444" s="692">
        <f>SUMIF('ПО КОРИСНИЦИМА'!$G$8:$G$18203,"Свега за пројекат 1201-П28:",'ПО КОРИСНИЦИМА'!$K$8:$K$18203)</f>
        <v>0</v>
      </c>
      <c r="H444" s="690"/>
      <c r="I444" s="689"/>
      <c r="J444" s="688"/>
    </row>
    <row r="445" spans="1:10" hidden="1" x14ac:dyDescent="0.2">
      <c r="A445" s="236"/>
      <c r="B445" s="236" t="s">
        <v>4858</v>
      </c>
      <c r="C445" s="208" t="str">
        <f>IFERROR(VLOOKUP(B445,'ПО КОРИСНИЦИМА'!$C$8:$L$18203,5,FALSE),"")</f>
        <v/>
      </c>
      <c r="D445" s="265">
        <f>SUMIF('ПО КОРИСНИЦИМА'!$G$8:$G$18203,"Свега за пројекат 1201-П29:",'ПО КОРИСНИЦИМА'!$H$8:$H$18203)</f>
        <v>0</v>
      </c>
      <c r="E445" s="683"/>
      <c r="F445" s="694" t="e">
        <f t="shared" si="14"/>
        <v>#DIV/0!</v>
      </c>
      <c r="G445" s="692">
        <f>SUMIF('ПО КОРИСНИЦИМА'!$G$8:$G$18203,"Свега за пројекат 1201-П29:",'ПО КОРИСНИЦИМА'!$K$8:$K$18203)</f>
        <v>0</v>
      </c>
      <c r="H445" s="690"/>
      <c r="I445" s="689"/>
      <c r="J445" s="688"/>
    </row>
    <row r="446" spans="1:10" hidden="1" x14ac:dyDescent="0.2">
      <c r="A446" s="236"/>
      <c r="B446" s="236" t="s">
        <v>4859</v>
      </c>
      <c r="C446" s="208" t="str">
        <f>IFERROR(VLOOKUP(B446,'ПО КОРИСНИЦИМА'!$C$8:$L$18203,5,FALSE),"")</f>
        <v/>
      </c>
      <c r="D446" s="265">
        <f>SUMIF('ПО КОРИСНИЦИМА'!$G$8:$G$18203,"Свега за пројекат 1201-П30:",'ПО КОРИСНИЦИМА'!$H$8:$H$18203)</f>
        <v>0</v>
      </c>
      <c r="E446" s="683"/>
      <c r="F446" s="694" t="e">
        <f t="shared" si="14"/>
        <v>#DIV/0!</v>
      </c>
      <c r="G446" s="692">
        <f>SUMIF('ПО КОРИСНИЦИМА'!$G$8:$G$18203,"Свега за пројекат 1201-П30:",'ПО КОРИСНИЦИМА'!$K$8:$K$18203)</f>
        <v>0</v>
      </c>
      <c r="H446" s="690"/>
      <c r="I446" s="689"/>
      <c r="J446" s="688"/>
    </row>
    <row r="447" spans="1:10" hidden="1" x14ac:dyDescent="0.2">
      <c r="A447" s="236"/>
      <c r="B447" s="236" t="s">
        <v>4860</v>
      </c>
      <c r="C447" s="208" t="str">
        <f>IFERROR(VLOOKUP(B447,'ПО КОРИСНИЦИМА'!$C$8:$L$18203,5,FALSE),"")</f>
        <v/>
      </c>
      <c r="D447" s="265">
        <f>SUMIF('ПО КОРИСНИЦИМА'!$G$8:$G$18203,"Свега за пројекат 1201-П31:",'ПО КОРИСНИЦИМА'!$H$8:$H$18203)</f>
        <v>0</v>
      </c>
      <c r="E447" s="683"/>
      <c r="F447" s="694" t="e">
        <f t="shared" si="14"/>
        <v>#DIV/0!</v>
      </c>
      <c r="G447" s="692">
        <f>SUMIF('ПО КОРИСНИЦИМА'!$G$8:$G$18203,"Свега за пројекат 1201-П31:",'ПО КОРИСНИЦИМА'!$K$8:$K$18203)</f>
        <v>0</v>
      </c>
      <c r="H447" s="690"/>
      <c r="I447" s="689"/>
      <c r="J447" s="688"/>
    </row>
    <row r="448" spans="1:10" hidden="1" x14ac:dyDescent="0.2">
      <c r="A448" s="236"/>
      <c r="B448" s="236" t="s">
        <v>4861</v>
      </c>
      <c r="C448" s="208" t="str">
        <f>IFERROR(VLOOKUP(B448,'ПО КОРИСНИЦИМА'!$C$8:$L$18203,5,FALSE),"")</f>
        <v/>
      </c>
      <c r="D448" s="265">
        <f>SUMIF('ПО КОРИСНИЦИМА'!$G$8:$G$18203,"Свега за пројекат 1201-П32:",'ПО КОРИСНИЦИМА'!$H$8:$H$18203)</f>
        <v>0</v>
      </c>
      <c r="E448" s="683"/>
      <c r="F448" s="694" t="e">
        <f t="shared" si="14"/>
        <v>#DIV/0!</v>
      </c>
      <c r="G448" s="692">
        <f>SUMIF('ПО КОРИСНИЦИМА'!$G$8:$G$18203,"Свега за пројекат 1201-П32:",'ПО КОРИСНИЦИМА'!$K$8:$K$18203)</f>
        <v>0</v>
      </c>
      <c r="H448" s="690"/>
      <c r="I448" s="689"/>
      <c r="J448" s="688"/>
    </row>
    <row r="449" spans="1:10" hidden="1" x14ac:dyDescent="0.2">
      <c r="A449" s="236"/>
      <c r="B449" s="236" t="s">
        <v>4862</v>
      </c>
      <c r="C449" s="208" t="str">
        <f>IFERROR(VLOOKUP(B449,'ПО КОРИСНИЦИМА'!$C$8:$L$18203,5,FALSE),"")</f>
        <v/>
      </c>
      <c r="D449" s="265">
        <f>SUMIF('ПО КОРИСНИЦИМА'!$G$8:$G$18203,"Свега за пројекат 1201-П33:",'ПО КОРИСНИЦИМА'!$H$8:$H$18203)</f>
        <v>0</v>
      </c>
      <c r="E449" s="683"/>
      <c r="F449" s="694" t="e">
        <f t="shared" si="14"/>
        <v>#DIV/0!</v>
      </c>
      <c r="G449" s="692">
        <f>SUMIF('ПО КОРИСНИЦИМА'!$G$8:$G$18203,"Свега за пројекат 1201-П33:",'ПО КОРИСНИЦИМА'!$K$8:$K$18203)</f>
        <v>0</v>
      </c>
      <c r="H449" s="690"/>
      <c r="I449" s="689"/>
      <c r="J449" s="688"/>
    </row>
    <row r="450" spans="1:10" hidden="1" x14ac:dyDescent="0.2">
      <c r="A450" s="236"/>
      <c r="B450" s="236" t="s">
        <v>4863</v>
      </c>
      <c r="C450" s="208" t="str">
        <f>IFERROR(VLOOKUP(B450,'ПО КОРИСНИЦИМА'!$C$8:$L$18203,5,FALSE),"")</f>
        <v/>
      </c>
      <c r="D450" s="265">
        <f>SUMIF('ПО КОРИСНИЦИМА'!$G$8:$G$18203,"Свега за пројекат 1201-П34:",'ПО КОРИСНИЦИМА'!$H$8:$H$18203)</f>
        <v>0</v>
      </c>
      <c r="E450" s="683"/>
      <c r="F450" s="694" t="e">
        <f t="shared" si="14"/>
        <v>#DIV/0!</v>
      </c>
      <c r="G450" s="692">
        <f>SUMIF('ПО КОРИСНИЦИМА'!$G$8:$G$18203,"Свега за пројекат 1201-П34:",'ПО КОРИСНИЦИМА'!$K$8:$K$18203)</f>
        <v>0</v>
      </c>
      <c r="H450" s="690"/>
      <c r="I450" s="689"/>
      <c r="J450" s="688"/>
    </row>
    <row r="451" spans="1:10" hidden="1" x14ac:dyDescent="0.2">
      <c r="A451" s="236"/>
      <c r="B451" s="236" t="s">
        <v>4864</v>
      </c>
      <c r="C451" s="208" t="str">
        <f>IFERROR(VLOOKUP(B451,'ПО КОРИСНИЦИМА'!$C$8:$L$18203,5,FALSE),"")</f>
        <v/>
      </c>
      <c r="D451" s="265">
        <f>SUMIF('ПО КОРИСНИЦИМА'!$G$8:$G$18203,"Свега за пројекат 1201-П35:",'ПО КОРИСНИЦИМА'!$H$8:$H$18203)</f>
        <v>0</v>
      </c>
      <c r="E451" s="683"/>
      <c r="F451" s="694" t="e">
        <f t="shared" si="14"/>
        <v>#DIV/0!</v>
      </c>
      <c r="G451" s="692">
        <f>SUMIF('ПО КОРИСНИЦИМА'!$G$8:$G$18203,"Свега за пројекат 1201-П35:",'ПО КОРИСНИЦИМА'!$K$8:$K$18203)</f>
        <v>0</v>
      </c>
      <c r="H451" s="690"/>
      <c r="I451" s="689"/>
      <c r="J451" s="688"/>
    </row>
    <row r="452" spans="1:10" hidden="1" x14ac:dyDescent="0.2">
      <c r="A452" s="236"/>
      <c r="B452" s="236" t="s">
        <v>4865</v>
      </c>
      <c r="C452" s="208" t="str">
        <f>IFERROR(VLOOKUP(B452,'ПО КОРИСНИЦИМА'!$C$8:$L$18203,5,FALSE),"")</f>
        <v/>
      </c>
      <c r="D452" s="265">
        <f>SUMIF('ПО КОРИСНИЦИМА'!$G$8:$G$18203,"Свега за пројекат 1201-П36:",'ПО КОРИСНИЦИМА'!$H$8:$H$18203)</f>
        <v>0</v>
      </c>
      <c r="E452" s="683"/>
      <c r="F452" s="694" t="e">
        <f t="shared" si="14"/>
        <v>#DIV/0!</v>
      </c>
      <c r="G452" s="692">
        <f>SUMIF('ПО КОРИСНИЦИМА'!$G$8:$G$18203,"Свега за пројекат 1201-П36:",'ПО КОРИСНИЦИМА'!$K$8:$K$18203)</f>
        <v>0</v>
      </c>
      <c r="H452" s="690"/>
      <c r="I452" s="689"/>
      <c r="J452" s="688"/>
    </row>
    <row r="453" spans="1:10" hidden="1" x14ac:dyDescent="0.2">
      <c r="A453" s="236"/>
      <c r="B453" s="236" t="s">
        <v>4866</v>
      </c>
      <c r="C453" s="208" t="str">
        <f>IFERROR(VLOOKUP(B453,'ПО КОРИСНИЦИМА'!$C$8:$L$18203,5,FALSE),"")</f>
        <v/>
      </c>
      <c r="D453" s="265">
        <f>SUMIF('ПО КОРИСНИЦИМА'!$G$8:$G$18203,"Свега за пројекат 1201-П37:",'ПО КОРИСНИЦИМА'!$H$8:$H$18203)</f>
        <v>0</v>
      </c>
      <c r="E453" s="683"/>
      <c r="F453" s="694" t="e">
        <f t="shared" si="14"/>
        <v>#DIV/0!</v>
      </c>
      <c r="G453" s="692">
        <f>SUMIF('ПО КОРИСНИЦИМА'!$G$8:$G$18203,"Свега за пројекат 1201-П37:",'ПО КОРИСНИЦИМА'!$K$8:$K$18203)</f>
        <v>0</v>
      </c>
      <c r="H453" s="690"/>
      <c r="I453" s="689"/>
      <c r="J453" s="688"/>
    </row>
    <row r="454" spans="1:10" hidden="1" x14ac:dyDescent="0.2">
      <c r="A454" s="236"/>
      <c r="B454" s="236" t="s">
        <v>4867</v>
      </c>
      <c r="C454" s="208" t="str">
        <f>IFERROR(VLOOKUP(B454,'ПО КОРИСНИЦИМА'!$C$8:$L$18203,5,FALSE),"")</f>
        <v/>
      </c>
      <c r="D454" s="265">
        <f>SUMIF('ПО КОРИСНИЦИМА'!$G$8:$G$18203,"Свега за пројекат 1201-П38:",'ПО КОРИСНИЦИМА'!$H$8:$H$18203)</f>
        <v>0</v>
      </c>
      <c r="E454" s="683"/>
      <c r="F454" s="694" t="e">
        <f t="shared" si="14"/>
        <v>#DIV/0!</v>
      </c>
      <c r="G454" s="692">
        <f>SUMIF('ПО КОРИСНИЦИМА'!$G$8:$G$18203,"Свега за пројекат 1201-П38:",'ПО КОРИСНИЦИМА'!$K$8:$K$18203)</f>
        <v>0</v>
      </c>
      <c r="H454" s="690"/>
      <c r="I454" s="689"/>
      <c r="J454" s="688"/>
    </row>
    <row r="455" spans="1:10" hidden="1" x14ac:dyDescent="0.2">
      <c r="A455" s="236"/>
      <c r="B455" s="236" t="s">
        <v>4868</v>
      </c>
      <c r="C455" s="208" t="str">
        <f>IFERROR(VLOOKUP(B455,'ПО КОРИСНИЦИМА'!$C$8:$L$18203,5,FALSE),"")</f>
        <v/>
      </c>
      <c r="D455" s="265">
        <f>SUMIF('ПО КОРИСНИЦИМА'!$G$8:$G$18203,"Свега за пројекат 1201-П39:",'ПО КОРИСНИЦИМА'!$H$8:$H$18203)</f>
        <v>0</v>
      </c>
      <c r="E455" s="683"/>
      <c r="F455" s="694" t="e">
        <f t="shared" si="14"/>
        <v>#DIV/0!</v>
      </c>
      <c r="G455" s="692">
        <f>SUMIF('ПО КОРИСНИЦИМА'!$G$8:$G$18203,"Свега за пројекат 1201-П39:",'ПО КОРИСНИЦИМА'!$K$8:$K$18203)</f>
        <v>0</v>
      </c>
      <c r="H455" s="690"/>
      <c r="I455" s="689"/>
      <c r="J455" s="688"/>
    </row>
    <row r="456" spans="1:10" hidden="1" x14ac:dyDescent="0.2">
      <c r="A456" s="236"/>
      <c r="B456" s="236" t="s">
        <v>4869</v>
      </c>
      <c r="C456" s="208" t="str">
        <f>IFERROR(VLOOKUP(B456,'ПО КОРИСНИЦИМА'!$C$8:$L$18203,5,FALSE),"")</f>
        <v/>
      </c>
      <c r="D456" s="265">
        <f>SUMIF('ПО КОРИСНИЦИМА'!$G$8:$G$18203,"Свега за пројекат 1201-П40:",'ПО КОРИСНИЦИМА'!$H$8:$H$18203)</f>
        <v>0</v>
      </c>
      <c r="E456" s="683"/>
      <c r="F456" s="694" t="e">
        <f t="shared" si="14"/>
        <v>#DIV/0!</v>
      </c>
      <c r="G456" s="692">
        <f>SUMIF('ПО КОРИСНИЦИМА'!$G$8:$G$18203,"Свега за пројекат 1201-П40:",'ПО КОРИСНИЦИМА'!$K$8:$K$18203)</f>
        <v>0</v>
      </c>
      <c r="H456" s="690"/>
      <c r="I456" s="689"/>
      <c r="J456" s="688"/>
    </row>
    <row r="457" spans="1:10" hidden="1" x14ac:dyDescent="0.2">
      <c r="A457" s="236"/>
      <c r="B457" s="236" t="s">
        <v>4870</v>
      </c>
      <c r="C457" s="208" t="str">
        <f>IFERROR(VLOOKUP(B457,'ПО КОРИСНИЦИМА'!$C$8:$L$18203,5,FALSE),"")</f>
        <v/>
      </c>
      <c r="D457" s="265">
        <f>SUMIF('ПО КОРИСНИЦИМА'!$G$8:$G$18203,"Свега за пројекат 1201-П41:",'ПО КОРИСНИЦИМА'!$H$8:$H$18203)</f>
        <v>0</v>
      </c>
      <c r="E457" s="683"/>
      <c r="F457" s="694" t="e">
        <f t="shared" si="14"/>
        <v>#DIV/0!</v>
      </c>
      <c r="G457" s="692">
        <f>SUMIF('ПО КОРИСНИЦИМА'!$G$8:$G$18203,"Свега за пројекат 1201-П41:",'ПО КОРИСНИЦИМА'!$K$8:$K$18203)</f>
        <v>0</v>
      </c>
      <c r="H457" s="690"/>
      <c r="I457" s="689"/>
      <c r="J457" s="688"/>
    </row>
    <row r="458" spans="1:10" hidden="1" x14ac:dyDescent="0.2">
      <c r="A458" s="236"/>
      <c r="B458" s="236" t="s">
        <v>4871</v>
      </c>
      <c r="C458" s="208" t="str">
        <f>IFERROR(VLOOKUP(B458,'ПО КОРИСНИЦИМА'!$C$8:$L$18203,5,FALSE),"")</f>
        <v/>
      </c>
      <c r="D458" s="265">
        <f>SUMIF('ПО КОРИСНИЦИМА'!$G$8:$G$18203,"Свега за пројекат 1201-П42:",'ПО КОРИСНИЦИМА'!$H$8:$H$18203)</f>
        <v>0</v>
      </c>
      <c r="E458" s="683"/>
      <c r="F458" s="694" t="e">
        <f t="shared" si="14"/>
        <v>#DIV/0!</v>
      </c>
      <c r="G458" s="692">
        <f>SUMIF('ПО КОРИСНИЦИМА'!$G$8:$G$18203,"Свега за пројекат 1201-П42:",'ПО КОРИСНИЦИМА'!$K$8:$K$18203)</f>
        <v>0</v>
      </c>
      <c r="H458" s="690"/>
      <c r="I458" s="689"/>
      <c r="J458" s="688"/>
    </row>
    <row r="459" spans="1:10" hidden="1" x14ac:dyDescent="0.2">
      <c r="A459" s="236"/>
      <c r="B459" s="236" t="s">
        <v>4872</v>
      </c>
      <c r="C459" s="208" t="str">
        <f>IFERROR(VLOOKUP(B459,'ПО КОРИСНИЦИМА'!$C$8:$L$18203,5,FALSE),"")</f>
        <v/>
      </c>
      <c r="D459" s="265">
        <f>SUMIF('ПО КОРИСНИЦИМА'!$G$8:$G$18203,"Свега за пројекат 1201-П43:",'ПО КОРИСНИЦИМА'!$H$8:$H$18203)</f>
        <v>0</v>
      </c>
      <c r="E459" s="683"/>
      <c r="F459" s="694" t="e">
        <f t="shared" si="14"/>
        <v>#DIV/0!</v>
      </c>
      <c r="G459" s="692">
        <f>SUMIF('ПО КОРИСНИЦИМА'!$G$8:$G$18203,"Свега за пројекат 1201-П43:",'ПО КОРИСНИЦИМА'!$K$8:$K$18203)</f>
        <v>0</v>
      </c>
      <c r="H459" s="690"/>
      <c r="I459" s="689"/>
      <c r="J459" s="688"/>
    </row>
    <row r="460" spans="1:10" hidden="1" x14ac:dyDescent="0.2">
      <c r="A460" s="236"/>
      <c r="B460" s="236" t="s">
        <v>4873</v>
      </c>
      <c r="C460" s="208" t="str">
        <f>IFERROR(VLOOKUP(B460,'ПО КОРИСНИЦИМА'!$C$8:$L$18203,5,FALSE),"")</f>
        <v/>
      </c>
      <c r="D460" s="265">
        <f>SUMIF('ПО КОРИСНИЦИМА'!$G$8:$G$18203,"Свега за пројекат 1201-П44:",'ПО КОРИСНИЦИМА'!$H$8:$H$18203)</f>
        <v>0</v>
      </c>
      <c r="E460" s="683"/>
      <c r="F460" s="694" t="e">
        <f t="shared" si="14"/>
        <v>#DIV/0!</v>
      </c>
      <c r="G460" s="692">
        <f>SUMIF('ПО КОРИСНИЦИМА'!$G$8:$G$18203,"Свега за пројекат 1201-П44:",'ПО КОРИСНИЦИМА'!$K$8:$K$18203)</f>
        <v>0</v>
      </c>
      <c r="H460" s="690"/>
      <c r="I460" s="689"/>
      <c r="J460" s="688"/>
    </row>
    <row r="461" spans="1:10" hidden="1" x14ac:dyDescent="0.2">
      <c r="A461" s="236"/>
      <c r="B461" s="236" t="s">
        <v>4874</v>
      </c>
      <c r="C461" s="208" t="str">
        <f>IFERROR(VLOOKUP(B461,'ПО КОРИСНИЦИМА'!$C$8:$L$18203,5,FALSE),"")</f>
        <v/>
      </c>
      <c r="D461" s="265">
        <f>SUMIF('ПО КОРИСНИЦИМА'!$G$8:$G$18203,"Свега за пројекат 1201-П45:",'ПО КОРИСНИЦИМА'!$H$8:$H$18203)</f>
        <v>0</v>
      </c>
      <c r="E461" s="683"/>
      <c r="F461" s="694" t="e">
        <f t="shared" si="14"/>
        <v>#DIV/0!</v>
      </c>
      <c r="G461" s="692">
        <f>SUMIF('ПО КОРИСНИЦИМА'!$G$8:$G$18203,"Свега за пројекат 1201-П45:",'ПО КОРИСНИЦИМА'!$K$8:$K$18203)</f>
        <v>0</v>
      </c>
      <c r="H461" s="690"/>
      <c r="I461" s="689"/>
      <c r="J461" s="688"/>
    </row>
    <row r="462" spans="1:10" hidden="1" x14ac:dyDescent="0.2">
      <c r="A462" s="236"/>
      <c r="B462" s="236" t="s">
        <v>4875</v>
      </c>
      <c r="C462" s="208" t="str">
        <f>IFERROR(VLOOKUP(B462,'ПО КОРИСНИЦИМА'!$C$8:$L$18203,5,FALSE),"")</f>
        <v/>
      </c>
      <c r="D462" s="265">
        <f>SUMIF('ПО КОРИСНИЦИМА'!$G$8:$G$18203,"Свега за пројекат 1201-П46:",'ПО КОРИСНИЦИМА'!$H$8:$H$18203)</f>
        <v>0</v>
      </c>
      <c r="E462" s="683"/>
      <c r="F462" s="694" t="e">
        <f t="shared" si="14"/>
        <v>#DIV/0!</v>
      </c>
      <c r="G462" s="692">
        <f>SUMIF('ПО КОРИСНИЦИМА'!$G$8:$G$18203,"Свега за пројекат 1201-П46:",'ПО КОРИСНИЦИМА'!$K$8:$K$18203)</f>
        <v>0</v>
      </c>
      <c r="H462" s="690"/>
      <c r="I462" s="689"/>
      <c r="J462" s="688"/>
    </row>
    <row r="463" spans="1:10" hidden="1" x14ac:dyDescent="0.2">
      <c r="A463" s="236"/>
      <c r="B463" s="236" t="s">
        <v>4876</v>
      </c>
      <c r="C463" s="208" t="str">
        <f>IFERROR(VLOOKUP(B463,'ПО КОРИСНИЦИМА'!$C$8:$L$18203,5,FALSE),"")</f>
        <v/>
      </c>
      <c r="D463" s="265">
        <f>SUMIF('ПО КОРИСНИЦИМА'!$G$8:$G$18203,"Свега за пројекат 1201-П47:",'ПО КОРИСНИЦИМА'!$H$8:$H$18203)</f>
        <v>0</v>
      </c>
      <c r="E463" s="683"/>
      <c r="F463" s="694" t="e">
        <f t="shared" si="14"/>
        <v>#DIV/0!</v>
      </c>
      <c r="G463" s="692">
        <f>SUMIF('ПО КОРИСНИЦИМА'!$G$8:$G$18203,"Свега за пројекат 1201-П47:",'ПО КОРИСНИЦИМА'!$K$8:$K$18203)</f>
        <v>0</v>
      </c>
      <c r="H463" s="690"/>
      <c r="I463" s="689"/>
      <c r="J463" s="688"/>
    </row>
    <row r="464" spans="1:10" hidden="1" x14ac:dyDescent="0.2">
      <c r="A464" s="236"/>
      <c r="B464" s="236" t="s">
        <v>4877</v>
      </c>
      <c r="C464" s="208" t="str">
        <f>IFERROR(VLOOKUP(B464,'ПО КОРИСНИЦИМА'!$C$8:$L$18203,5,FALSE),"")</f>
        <v/>
      </c>
      <c r="D464" s="265">
        <f>SUMIF('ПО КОРИСНИЦИМА'!$G$8:$G$18203,"Свега за пројекат 1201-П48:",'ПО КОРИСНИЦИМА'!$H$8:$H$18203)</f>
        <v>0</v>
      </c>
      <c r="E464" s="683"/>
      <c r="F464" s="694" t="e">
        <f t="shared" si="14"/>
        <v>#DIV/0!</v>
      </c>
      <c r="G464" s="692">
        <f>SUMIF('ПО КОРИСНИЦИМА'!$G$8:$G$18203,"Свега за пројекат 1201-П48:",'ПО КОРИСНИЦИМА'!$K$8:$K$18203)</f>
        <v>0</v>
      </c>
      <c r="H464" s="690"/>
      <c r="I464" s="691"/>
      <c r="J464" s="688"/>
    </row>
    <row r="465" spans="1:10" hidden="1" x14ac:dyDescent="0.2">
      <c r="A465" s="236"/>
      <c r="B465" s="236" t="s">
        <v>4878</v>
      </c>
      <c r="C465" s="208" t="str">
        <f>IFERROR(VLOOKUP(B465,'ПО КОРИСНИЦИМА'!$C$8:$L$18203,5,FALSE),"")</f>
        <v/>
      </c>
      <c r="D465" s="265">
        <f>SUMIF('ПО КОРИСНИЦИМА'!$G$8:$G$18203,"Свега за пројекат 1201-П49:",'ПО КОРИСНИЦИМА'!$H$8:$H$18203)</f>
        <v>0</v>
      </c>
      <c r="E465" s="683"/>
      <c r="F465" s="694" t="e">
        <f t="shared" si="14"/>
        <v>#DIV/0!</v>
      </c>
      <c r="G465" s="692">
        <f>SUMIF('ПО КОРИСНИЦИМА'!$G$8:$G$18203,"Свега за пројекат 1201-П49:",'ПО КОРИСНИЦИМА'!$K$8:$K$18203)</f>
        <v>0</v>
      </c>
      <c r="H465" s="690"/>
      <c r="I465" s="691"/>
      <c r="J465" s="688"/>
    </row>
    <row r="466" spans="1:10" hidden="1" x14ac:dyDescent="0.2">
      <c r="A466" s="237"/>
      <c r="B466" s="236" t="s">
        <v>4879</v>
      </c>
      <c r="C466" s="208" t="str">
        <f>IFERROR(VLOOKUP(B466,'ПО КОРИСНИЦИМА'!$C$8:$L$18203,5,FALSE),"")</f>
        <v/>
      </c>
      <c r="D466" s="265">
        <f>SUMIF('ПО КОРИСНИЦИМА'!$G$8:$G$18203,"Свега за пројекат 1201-П50:",'ПО КОРИСНИЦИМА'!$H$8:$H$18203)</f>
        <v>0</v>
      </c>
      <c r="E466" s="683"/>
      <c r="F466" s="694" t="e">
        <f t="shared" si="14"/>
        <v>#DIV/0!</v>
      </c>
      <c r="G466" s="692">
        <f>SUMIF('ПО КОРИСНИЦИМА'!$G$8:$G$18203,"Свега за пројекат 1201-П50:",'ПО КОРИСНИЦИМА'!$K$8:$K$18203)</f>
        <v>0</v>
      </c>
      <c r="H466" s="690"/>
      <c r="I466" s="693"/>
      <c r="J466" s="688"/>
    </row>
    <row r="467" spans="1:10" s="234" customFormat="1" x14ac:dyDescent="0.2">
      <c r="A467" s="226" t="s">
        <v>3597</v>
      </c>
      <c r="B467" s="227"/>
      <c r="C467" s="206" t="s">
        <v>3678</v>
      </c>
      <c r="D467" s="253">
        <f>SUM(D468:D520)</f>
        <v>9410000</v>
      </c>
      <c r="E467" s="685">
        <f>SUM(E468)</f>
        <v>8903849.6099999994</v>
      </c>
      <c r="F467" s="694">
        <f t="shared" si="14"/>
        <v>94.621143570669503</v>
      </c>
      <c r="G467" s="695">
        <f>SUM(G468:G520)</f>
        <v>0</v>
      </c>
      <c r="H467" s="696"/>
      <c r="I467" s="695"/>
      <c r="J467" s="770"/>
    </row>
    <row r="468" spans="1:10" x14ac:dyDescent="0.2">
      <c r="A468" s="230"/>
      <c r="B468" s="238" t="s">
        <v>4128</v>
      </c>
      <c r="C468" s="214" t="s">
        <v>4129</v>
      </c>
      <c r="D468" s="257">
        <f>SUMIF('ПО КОРИСНИЦИМА'!$G$8:$G$18203,"Свега за програмску активност 1301-0001:",'ПО КОРИСНИЦИМА'!$H$8:$H$18203)</f>
        <v>9410000</v>
      </c>
      <c r="E468" s="683">
        <f>SUM('ПО КОРИСНИЦИМА'!I5317)</f>
        <v>8903849.6099999994</v>
      </c>
      <c r="F468" s="694">
        <f t="shared" si="14"/>
        <v>94.621143570669503</v>
      </c>
      <c r="G468" s="686">
        <f>SUMIF('ПО КОРИСНИЦИМА'!$G$8:$G$18203,"Свега за програмску активност 1301-0001:",'ПО КОРИСНИЦИМА'!$K$8:$K$18203)</f>
        <v>0</v>
      </c>
      <c r="H468" s="702"/>
      <c r="I468" s="686"/>
      <c r="J468" s="688"/>
    </row>
    <row r="469" spans="1:10" hidden="1" x14ac:dyDescent="0.2">
      <c r="A469" s="232"/>
      <c r="B469" s="236" t="s">
        <v>4130</v>
      </c>
      <c r="C469" s="215" t="s">
        <v>4131</v>
      </c>
      <c r="D469" s="261">
        <f>SUMIF('ПО КОРИСНИЦИМА'!$G$8:$G$18203,"Свега за програмску активност 1301-0002:",'ПО КОРИСНИЦИМА'!$H$8:$H$18203)</f>
        <v>0</v>
      </c>
      <c r="E469" s="683"/>
      <c r="F469" s="694" t="e">
        <f t="shared" si="14"/>
        <v>#DIV/0!</v>
      </c>
      <c r="G469" s="689">
        <f>SUMIF('ПО КОРИСНИЦИМА'!$G$8:$G$18203,"Свега за програмску активност 1301-0002:",'ПО КОРИСНИЦИМА'!$K$8:$K$18203)</f>
        <v>0</v>
      </c>
      <c r="H469" s="275"/>
      <c r="I469" s="691"/>
      <c r="J469" s="688" t="e">
        <f t="shared" ref="J469:J484" si="15">SUM(H469/G469)*100</f>
        <v>#DIV/0!</v>
      </c>
    </row>
    <row r="470" spans="1:10" hidden="1" x14ac:dyDescent="0.2">
      <c r="A470" s="232"/>
      <c r="B470" s="236" t="s">
        <v>4132</v>
      </c>
      <c r="C470" s="215" t="s">
        <v>4133</v>
      </c>
      <c r="D470" s="261">
        <f>SUMIF('ПО КОРИСНИЦИМА'!$G$8:$G$18203,"Свега за програмску активност 1301-0003:",'ПО КОРИСНИЦИМА'!$H$8:$H$18203)</f>
        <v>0</v>
      </c>
      <c r="E470" s="683"/>
      <c r="F470" s="694" t="e">
        <f t="shared" si="14"/>
        <v>#DIV/0!</v>
      </c>
      <c r="G470" s="689">
        <f>SUMIF('ПО КОРИСНИЦИМА'!$G$8:$G$18203,"Свега за програмску активност 1301-0003:",'ПО КОРИСНИЦИМА'!$K$8:$K$18203)</f>
        <v>0</v>
      </c>
      <c r="H470" s="275"/>
      <c r="I470" s="691"/>
      <c r="J470" s="688" t="e">
        <f t="shared" si="15"/>
        <v>#DIV/0!</v>
      </c>
    </row>
    <row r="471" spans="1:10" hidden="1" x14ac:dyDescent="0.2">
      <c r="A471" s="236"/>
      <c r="B471" s="236" t="s">
        <v>4880</v>
      </c>
      <c r="C471" s="208" t="str">
        <f>IFERROR(VLOOKUP(B471,'ПО КОРИСНИЦИМА'!$C$8:$L$18203,5,FALSE),"")</f>
        <v/>
      </c>
      <c r="D471" s="265">
        <f>SUMIF('ПО КОРИСНИЦИМА'!$G$8:$G$18203,"Свега за пројекат 1301-П1:",'ПО КОРИСНИЦИМА'!$H$8:$H$18203)</f>
        <v>0</v>
      </c>
      <c r="E471" s="684"/>
      <c r="F471" s="694" t="e">
        <f t="shared" si="14"/>
        <v>#DIV/0!</v>
      </c>
      <c r="G471" s="692">
        <f>SUMIF('ПО КОРИСНИЦИМА'!$G$8:$G$18203,"Свега за пројекат 1301-П1:",'ПО КОРИСНИЦИМА'!$K$8:$K$18203)</f>
        <v>0</v>
      </c>
      <c r="H471" s="275"/>
      <c r="I471" s="691"/>
      <c r="J471" s="688" t="e">
        <f t="shared" si="15"/>
        <v>#DIV/0!</v>
      </c>
    </row>
    <row r="472" spans="1:10" hidden="1" x14ac:dyDescent="0.2">
      <c r="A472" s="236"/>
      <c r="B472" s="236" t="s">
        <v>4881</v>
      </c>
      <c r="C472" s="208" t="str">
        <f>IFERROR(VLOOKUP(B472,'ПО КОРИСНИЦИМА'!$C$8:$L$18203,5,FALSE),"")</f>
        <v/>
      </c>
      <c r="D472" s="265">
        <f>SUMIF('ПО КОРИСНИЦИМА'!$G$8:$G$18203,"Свега за пројекат 1301-П2:",'ПО КОРИСНИЦИМА'!$H$8:$H$18203)</f>
        <v>0</v>
      </c>
      <c r="E472" s="683"/>
      <c r="F472" s="694" t="e">
        <f t="shared" si="14"/>
        <v>#DIV/0!</v>
      </c>
      <c r="G472" s="692">
        <f>SUMIF('ПО КОРИСНИЦИМА'!$G$8:$G$18203,"Свега за пројекат 1301-П2:",'ПО КОРИСНИЦИМА'!$K$8:$K$18203)</f>
        <v>0</v>
      </c>
      <c r="H472" s="690"/>
      <c r="I472" s="691"/>
      <c r="J472" s="688" t="e">
        <f t="shared" si="15"/>
        <v>#DIV/0!</v>
      </c>
    </row>
    <row r="473" spans="1:10" hidden="1" x14ac:dyDescent="0.2">
      <c r="A473" s="236"/>
      <c r="B473" s="236" t="s">
        <v>4882</v>
      </c>
      <c r="C473" s="208" t="str">
        <f>IFERROR(VLOOKUP(B473,'ПО КОРИСНИЦИМА'!$C$8:$L$18203,5,FALSE),"")</f>
        <v/>
      </c>
      <c r="D473" s="265">
        <f>SUMIF('ПО КОРИСНИЦИМА'!$G$8:$G$18203,"Свега за пројекат 1301-П3:",'ПО КОРИСНИЦИМА'!$H$8:$H$18203)</f>
        <v>0</v>
      </c>
      <c r="E473" s="683"/>
      <c r="F473" s="694" t="e">
        <f t="shared" si="14"/>
        <v>#DIV/0!</v>
      </c>
      <c r="G473" s="692">
        <f>SUMIF('ПО КОРИСНИЦИМА'!$G$8:$G$18203,"Свега за пројекат 1301-П3:",'ПО КОРИСНИЦИМА'!$K$8:$K$18203)</f>
        <v>0</v>
      </c>
      <c r="H473" s="690"/>
      <c r="I473" s="689"/>
      <c r="J473" s="688" t="e">
        <f t="shared" si="15"/>
        <v>#DIV/0!</v>
      </c>
    </row>
    <row r="474" spans="1:10" hidden="1" x14ac:dyDescent="0.2">
      <c r="A474" s="236"/>
      <c r="B474" s="236" t="s">
        <v>4883</v>
      </c>
      <c r="C474" s="208" t="str">
        <f>IFERROR(VLOOKUP(B474,'ПО КОРИСНИЦИМА'!$C$8:$L$18203,5,FALSE),"")</f>
        <v/>
      </c>
      <c r="D474" s="265">
        <f>SUMIF('ПО КОРИСНИЦИМА'!$G$8:$G$18203,"Свега за пројекат 1301-П4:",'ПО КОРИСНИЦИМА'!$H$8:$H$18203)</f>
        <v>0</v>
      </c>
      <c r="E474" s="683"/>
      <c r="F474" s="694" t="e">
        <f t="shared" si="14"/>
        <v>#DIV/0!</v>
      </c>
      <c r="G474" s="692">
        <f>SUMIF('ПО КОРИСНИЦИМА'!$G$8:$G$18203,"Свега за пројекат 1301-П4:",'ПО КОРИСНИЦИМА'!$K$8:$K$18203)</f>
        <v>0</v>
      </c>
      <c r="H474" s="690"/>
      <c r="I474" s="689"/>
      <c r="J474" s="688" t="e">
        <f t="shared" si="15"/>
        <v>#DIV/0!</v>
      </c>
    </row>
    <row r="475" spans="1:10" hidden="1" x14ac:dyDescent="0.2">
      <c r="A475" s="236"/>
      <c r="B475" s="236" t="s">
        <v>4884</v>
      </c>
      <c r="C475" s="208" t="str">
        <f>IFERROR(VLOOKUP(B475,'ПО КОРИСНИЦИМА'!$C$8:$L$18203,5,FALSE),"")</f>
        <v/>
      </c>
      <c r="D475" s="265">
        <f>SUMIF('ПО КОРИСНИЦИМА'!$G$8:$G$18203,"Свега за пројекат 1301-П5:",'ПО КОРИСНИЦИМА'!$H$8:$H$18203)</f>
        <v>0</v>
      </c>
      <c r="E475" s="683"/>
      <c r="F475" s="694" t="e">
        <f t="shared" si="14"/>
        <v>#DIV/0!</v>
      </c>
      <c r="G475" s="692">
        <f>SUMIF('ПО КОРИСНИЦИМА'!$G$8:$G$18203,"Свега за пројекат 1301-П5:",'ПО КОРИСНИЦИМА'!$K$8:$K$18203)</f>
        <v>0</v>
      </c>
      <c r="H475" s="690"/>
      <c r="I475" s="689"/>
      <c r="J475" s="688" t="e">
        <f t="shared" si="15"/>
        <v>#DIV/0!</v>
      </c>
    </row>
    <row r="476" spans="1:10" hidden="1" x14ac:dyDescent="0.2">
      <c r="A476" s="236"/>
      <c r="B476" s="236" t="s">
        <v>4885</v>
      </c>
      <c r="C476" s="208" t="str">
        <f>IFERROR(VLOOKUP(B476,'ПО КОРИСНИЦИМА'!$C$8:$L$18203,5,FALSE),"")</f>
        <v/>
      </c>
      <c r="D476" s="265">
        <f>SUMIF('ПО КОРИСНИЦИМА'!$G$8:$G$18203,"Свега за пројекат 1301-П6:",'ПО КОРИСНИЦИМА'!$H$8:$H$18203)</f>
        <v>0</v>
      </c>
      <c r="E476" s="683"/>
      <c r="F476" s="694" t="e">
        <f t="shared" si="14"/>
        <v>#DIV/0!</v>
      </c>
      <c r="G476" s="692">
        <f>SUMIF('ПО КОРИСНИЦИМА'!$G$8:$G$18203,"Свега за пројекат 1301-П6:",'ПО КОРИСНИЦИМА'!$K$8:$K$18203)</f>
        <v>0</v>
      </c>
      <c r="H476" s="690"/>
      <c r="I476" s="689"/>
      <c r="J476" s="688" t="e">
        <f t="shared" si="15"/>
        <v>#DIV/0!</v>
      </c>
    </row>
    <row r="477" spans="1:10" hidden="1" x14ac:dyDescent="0.2">
      <c r="A477" s="236"/>
      <c r="B477" s="236" t="s">
        <v>4886</v>
      </c>
      <c r="C477" s="208" t="str">
        <f>IFERROR(VLOOKUP(B477,'ПО КОРИСНИЦИМА'!$C$8:$L$18203,5,FALSE),"")</f>
        <v/>
      </c>
      <c r="D477" s="265">
        <f>SUMIF('ПО КОРИСНИЦИМА'!$G$8:$G$18203,"Свега за пројекат 1301-П7:",'ПО КОРИСНИЦИМА'!$H$8:$H$18203)</f>
        <v>0</v>
      </c>
      <c r="E477" s="683"/>
      <c r="F477" s="694" t="e">
        <f t="shared" si="14"/>
        <v>#DIV/0!</v>
      </c>
      <c r="G477" s="692">
        <f>SUMIF('ПО КОРИСНИЦИМА'!$G$8:$G$18203,"Свега за пројекат 1301-П7:",'ПО КОРИСНИЦИМА'!$K$8:$K$18203)</f>
        <v>0</v>
      </c>
      <c r="H477" s="690"/>
      <c r="I477" s="689"/>
      <c r="J477" s="688" t="e">
        <f t="shared" si="15"/>
        <v>#DIV/0!</v>
      </c>
    </row>
    <row r="478" spans="1:10" hidden="1" x14ac:dyDescent="0.2">
      <c r="A478" s="236"/>
      <c r="B478" s="236" t="s">
        <v>4887</v>
      </c>
      <c r="C478" s="208" t="str">
        <f>IFERROR(VLOOKUP(B478,'ПО КОРИСНИЦИМА'!$C$8:$L$18203,5,FALSE),"")</f>
        <v/>
      </c>
      <c r="D478" s="265">
        <f>SUMIF('ПО КОРИСНИЦИМА'!$G$8:$G$18203,"Свега за пројекат 1301-П8:",'ПО КОРИСНИЦИМА'!$H$8:$H$18203)</f>
        <v>0</v>
      </c>
      <c r="E478" s="683"/>
      <c r="F478" s="694" t="e">
        <f t="shared" si="14"/>
        <v>#DIV/0!</v>
      </c>
      <c r="G478" s="692">
        <f>SUMIF('ПО КОРИСНИЦИМА'!$G$8:$G$18203,"Свега за пројекат 1301-П8:",'ПО КОРИСНИЦИМА'!$K$8:$K$18203)</f>
        <v>0</v>
      </c>
      <c r="H478" s="690"/>
      <c r="I478" s="689"/>
      <c r="J478" s="688" t="e">
        <f t="shared" si="15"/>
        <v>#DIV/0!</v>
      </c>
    </row>
    <row r="479" spans="1:10" hidden="1" x14ac:dyDescent="0.2">
      <c r="A479" s="236"/>
      <c r="B479" s="236" t="s">
        <v>4888</v>
      </c>
      <c r="C479" s="208" t="str">
        <f>IFERROR(VLOOKUP(B479,'ПО КОРИСНИЦИМА'!$C$8:$L$18203,5,FALSE),"")</f>
        <v/>
      </c>
      <c r="D479" s="265">
        <f>SUMIF('ПО КОРИСНИЦИМА'!$G$8:$G$18203,"Свега за пројекат 1301-П9:",'ПО КОРИСНИЦИМА'!$H$8:$H$18203)</f>
        <v>0</v>
      </c>
      <c r="E479" s="683"/>
      <c r="F479" s="694" t="e">
        <f t="shared" si="14"/>
        <v>#DIV/0!</v>
      </c>
      <c r="G479" s="692">
        <f>SUMIF('ПО КОРИСНИЦИМА'!$G$8:$G$18203,"Свега за пројекат 1301-П9:",'ПО КОРИСНИЦИМА'!$K$8:$K$18203)</f>
        <v>0</v>
      </c>
      <c r="H479" s="690"/>
      <c r="I479" s="689"/>
      <c r="J479" s="688" t="e">
        <f t="shared" si="15"/>
        <v>#DIV/0!</v>
      </c>
    </row>
    <row r="480" spans="1:10" hidden="1" x14ac:dyDescent="0.2">
      <c r="A480" s="236"/>
      <c r="B480" s="236" t="s">
        <v>4889</v>
      </c>
      <c r="C480" s="208" t="str">
        <f>IFERROR(VLOOKUP(B480,'ПО КОРИСНИЦИМА'!$C$8:$L$18203,5,FALSE),"")</f>
        <v/>
      </c>
      <c r="D480" s="265">
        <f>SUMIF('ПО КОРИСНИЦИМА'!$G$8:$G$18203,"Свега за пројекат 1301-П10:",'ПО КОРИСНИЦИМА'!$H$8:$H$18203)</f>
        <v>0</v>
      </c>
      <c r="E480" s="683"/>
      <c r="F480" s="694" t="e">
        <f t="shared" si="14"/>
        <v>#DIV/0!</v>
      </c>
      <c r="G480" s="692">
        <f>SUMIF('ПО КОРИСНИЦИМА'!$G$8:$G$18203,"Свега за пројекат 1301-П10:",'ПО КОРИСНИЦИМА'!$K$8:$K$18203)</f>
        <v>0</v>
      </c>
      <c r="H480" s="690"/>
      <c r="I480" s="689"/>
      <c r="J480" s="688" t="e">
        <f t="shared" si="15"/>
        <v>#DIV/0!</v>
      </c>
    </row>
    <row r="481" spans="1:10" hidden="1" x14ac:dyDescent="0.2">
      <c r="A481" s="236"/>
      <c r="B481" s="236" t="s">
        <v>4890</v>
      </c>
      <c r="C481" s="208" t="str">
        <f>IFERROR(VLOOKUP(B481,'ПО КОРИСНИЦИМА'!$C$8:$L$18203,5,FALSE),"")</f>
        <v/>
      </c>
      <c r="D481" s="265">
        <f>SUMIF('ПО КОРИСНИЦИМА'!$G$8:$G$18203,"Свега за пројекат 1301-П11:",'ПО КОРИСНИЦИМА'!$H$8:$H$18203)</f>
        <v>0</v>
      </c>
      <c r="E481" s="683"/>
      <c r="F481" s="694" t="e">
        <f t="shared" si="14"/>
        <v>#DIV/0!</v>
      </c>
      <c r="G481" s="692">
        <f>SUMIF('ПО КОРИСНИЦИМА'!$G$8:$G$18203,"Свега за пројекат 1301-П11:",'ПО КОРИСНИЦИМА'!$K$8:$K$18203)</f>
        <v>0</v>
      </c>
      <c r="H481" s="690"/>
      <c r="I481" s="689"/>
      <c r="J481" s="688" t="e">
        <f t="shared" si="15"/>
        <v>#DIV/0!</v>
      </c>
    </row>
    <row r="482" spans="1:10" hidden="1" x14ac:dyDescent="0.2">
      <c r="A482" s="236"/>
      <c r="B482" s="236" t="s">
        <v>4891</v>
      </c>
      <c r="C482" s="208" t="str">
        <f>IFERROR(VLOOKUP(B482,'ПО КОРИСНИЦИМА'!$C$8:$L$18203,5,FALSE),"")</f>
        <v/>
      </c>
      <c r="D482" s="265">
        <f>SUMIF('ПО КОРИСНИЦИМА'!$G$8:$G$18203,"Свега за пројекат 1301-П12:",'ПО КОРИСНИЦИМА'!$H$8:$H$18203)</f>
        <v>0</v>
      </c>
      <c r="E482" s="683"/>
      <c r="F482" s="694" t="e">
        <f t="shared" si="14"/>
        <v>#DIV/0!</v>
      </c>
      <c r="G482" s="692">
        <f>SUMIF('ПО КОРИСНИЦИМА'!$G$8:$G$18203,"Свега за пројекат 1301-П12:",'ПО КОРИСНИЦИМА'!$K$8:$K$18203)</f>
        <v>0</v>
      </c>
      <c r="H482" s="690"/>
      <c r="I482" s="689"/>
      <c r="J482" s="688" t="e">
        <f t="shared" si="15"/>
        <v>#DIV/0!</v>
      </c>
    </row>
    <row r="483" spans="1:10" hidden="1" x14ac:dyDescent="0.2">
      <c r="A483" s="236"/>
      <c r="B483" s="236" t="s">
        <v>4892</v>
      </c>
      <c r="C483" s="208" t="str">
        <f>IFERROR(VLOOKUP(B483,'ПО КОРИСНИЦИМА'!$C$8:$L$18203,5,FALSE),"")</f>
        <v/>
      </c>
      <c r="D483" s="265">
        <f>SUMIF('ПО КОРИСНИЦИМА'!$G$8:$G$18203,"Свега за пројекат 1301-П13:",'ПО КОРИСНИЦИМА'!$H$8:$H$18203)</f>
        <v>0</v>
      </c>
      <c r="E483" s="683"/>
      <c r="F483" s="694" t="e">
        <f t="shared" si="14"/>
        <v>#DIV/0!</v>
      </c>
      <c r="G483" s="692">
        <f>SUMIF('ПО КОРИСНИЦИМА'!$G$8:$G$18203,"Свега за пројекат 1301-П13:",'ПО КОРИСНИЦИМА'!$K$8:$K$18203)</f>
        <v>0</v>
      </c>
      <c r="H483" s="690"/>
      <c r="I483" s="689"/>
      <c r="J483" s="688" t="e">
        <f t="shared" si="15"/>
        <v>#DIV/0!</v>
      </c>
    </row>
    <row r="484" spans="1:10" hidden="1" x14ac:dyDescent="0.2">
      <c r="A484" s="236"/>
      <c r="B484" s="236" t="s">
        <v>4893</v>
      </c>
      <c r="C484" s="208" t="str">
        <f>IFERROR(VLOOKUP(B484,'ПО КОРИСНИЦИМА'!$C$8:$L$18203,5,FALSE),"")</f>
        <v/>
      </c>
      <c r="D484" s="265">
        <f>SUMIF('ПО КОРИСНИЦИМА'!$G$8:$G$18203,"Свега за пројекат 1301-П14:",'ПО КОРИСНИЦИМА'!$H$8:$H$18203)</f>
        <v>0</v>
      </c>
      <c r="E484" s="683"/>
      <c r="F484" s="694" t="e">
        <f t="shared" si="14"/>
        <v>#DIV/0!</v>
      </c>
      <c r="G484" s="692">
        <f>SUMIF('ПО КОРИСНИЦИМА'!$G$8:$G$18203,"Свега за пројекат 1301-П14:",'ПО КОРИСНИЦИМА'!$K$8:$K$18203)</f>
        <v>0</v>
      </c>
      <c r="H484" s="690"/>
      <c r="I484" s="689"/>
      <c r="J484" s="688" t="e">
        <f t="shared" si="15"/>
        <v>#DIV/0!</v>
      </c>
    </row>
    <row r="485" spans="1:10" hidden="1" x14ac:dyDescent="0.2">
      <c r="A485" s="236"/>
      <c r="B485" s="236" t="s">
        <v>4894</v>
      </c>
      <c r="C485" s="208" t="str">
        <f>IFERROR(VLOOKUP(B485,'ПО КОРИСНИЦИМА'!$C$8:$L$18203,5,FALSE),"")</f>
        <v/>
      </c>
      <c r="D485" s="265">
        <f>SUMIF('ПО КОРИСНИЦИМА'!$G$8:$G$18203,"Свега за пројекат 1301-П15:",'ПО КОРИСНИЦИМА'!$H$8:$H$18203)</f>
        <v>0</v>
      </c>
      <c r="E485" s="683"/>
      <c r="F485" s="694" t="e">
        <f t="shared" ref="F485:F548" si="16">SUM(E485/D485)*100</f>
        <v>#DIV/0!</v>
      </c>
      <c r="G485" s="692">
        <f>SUMIF('ПО КОРИСНИЦИМА'!$G$8:$G$18203,"Свега за пројекат 1301-П15:",'ПО КОРИСНИЦИМА'!$K$8:$K$18203)</f>
        <v>0</v>
      </c>
      <c r="H485" s="690"/>
      <c r="I485" s="689"/>
      <c r="J485" s="688" t="e">
        <f t="shared" ref="J485:J548" si="17">SUM(H485/G485)*100</f>
        <v>#DIV/0!</v>
      </c>
    </row>
    <row r="486" spans="1:10" hidden="1" x14ac:dyDescent="0.2">
      <c r="A486" s="236"/>
      <c r="B486" s="236" t="s">
        <v>4895</v>
      </c>
      <c r="C486" s="208" t="str">
        <f>IFERROR(VLOOKUP(B486,'ПО КОРИСНИЦИМА'!$C$8:$L$18203,5,FALSE),"")</f>
        <v/>
      </c>
      <c r="D486" s="265">
        <f>SUMIF('ПО КОРИСНИЦИМА'!$G$8:$G$18203,"Свега за пројекат 1301-П16:",'ПО КОРИСНИЦИМА'!$H$8:$H$18203)</f>
        <v>0</v>
      </c>
      <c r="E486" s="683"/>
      <c r="F486" s="694" t="e">
        <f t="shared" si="16"/>
        <v>#DIV/0!</v>
      </c>
      <c r="G486" s="692">
        <f>SUMIF('ПО КОРИСНИЦИМА'!$G$8:$G$18203,"Свега за пројекат 1301-П16:",'ПО КОРИСНИЦИМА'!$K$8:$K$18203)</f>
        <v>0</v>
      </c>
      <c r="H486" s="690"/>
      <c r="I486" s="689"/>
      <c r="J486" s="688" t="e">
        <f t="shared" si="17"/>
        <v>#DIV/0!</v>
      </c>
    </row>
    <row r="487" spans="1:10" hidden="1" x14ac:dyDescent="0.2">
      <c r="A487" s="236"/>
      <c r="B487" s="236" t="s">
        <v>4896</v>
      </c>
      <c r="C487" s="208" t="str">
        <f>IFERROR(VLOOKUP(B487,'ПО КОРИСНИЦИМА'!$C$8:$L$18203,5,FALSE),"")</f>
        <v/>
      </c>
      <c r="D487" s="265">
        <f>SUMIF('ПО КОРИСНИЦИМА'!$G$8:$G$18203,"Свега за пројекат 1301-П17:",'ПО КОРИСНИЦИМА'!$H$8:$H$18203)</f>
        <v>0</v>
      </c>
      <c r="E487" s="683"/>
      <c r="F487" s="694" t="e">
        <f t="shared" si="16"/>
        <v>#DIV/0!</v>
      </c>
      <c r="G487" s="692">
        <f>SUMIF('ПО КОРИСНИЦИМА'!$G$8:$G$18203,"Свега за пројекат 1301-П17:",'ПО КОРИСНИЦИМА'!$K$8:$K$18203)</f>
        <v>0</v>
      </c>
      <c r="H487" s="690"/>
      <c r="I487" s="689"/>
      <c r="J487" s="688" t="e">
        <f t="shared" si="17"/>
        <v>#DIV/0!</v>
      </c>
    </row>
    <row r="488" spans="1:10" hidden="1" x14ac:dyDescent="0.2">
      <c r="A488" s="236"/>
      <c r="B488" s="236" t="s">
        <v>4897</v>
      </c>
      <c r="C488" s="208" t="str">
        <f>IFERROR(VLOOKUP(B488,'ПО КОРИСНИЦИМА'!$C$8:$L$18203,5,FALSE),"")</f>
        <v/>
      </c>
      <c r="D488" s="265">
        <f>SUMIF('ПО КОРИСНИЦИМА'!$G$8:$G$18203,"Свега за пројекат 1301-П18:",'ПО КОРИСНИЦИМА'!$H$8:$H$18203)</f>
        <v>0</v>
      </c>
      <c r="E488" s="683"/>
      <c r="F488" s="694" t="e">
        <f t="shared" si="16"/>
        <v>#DIV/0!</v>
      </c>
      <c r="G488" s="692">
        <f>SUMIF('ПО КОРИСНИЦИМА'!$G$8:$G$18203,"Свега за пројекат 1301-П18:",'ПО КОРИСНИЦИМА'!$K$8:$K$18203)</f>
        <v>0</v>
      </c>
      <c r="H488" s="690"/>
      <c r="I488" s="689"/>
      <c r="J488" s="688" t="e">
        <f t="shared" si="17"/>
        <v>#DIV/0!</v>
      </c>
    </row>
    <row r="489" spans="1:10" hidden="1" x14ac:dyDescent="0.2">
      <c r="A489" s="236"/>
      <c r="B489" s="236" t="s">
        <v>4898</v>
      </c>
      <c r="C489" s="208" t="str">
        <f>IFERROR(VLOOKUP(B489,'ПО КОРИСНИЦИМА'!$C$8:$L$18203,5,FALSE),"")</f>
        <v/>
      </c>
      <c r="D489" s="265">
        <f>SUMIF('ПО КОРИСНИЦИМА'!$G$8:$G$18203,"Свега за пројекат 1301-П19:",'ПО КОРИСНИЦИМА'!$H$8:$H$18203)</f>
        <v>0</v>
      </c>
      <c r="E489" s="683"/>
      <c r="F489" s="694" t="e">
        <f t="shared" si="16"/>
        <v>#DIV/0!</v>
      </c>
      <c r="G489" s="692">
        <f>SUMIF('ПО КОРИСНИЦИМА'!$G$8:$G$18203,"Свега за пројекат 1301-П19:",'ПО КОРИСНИЦИМА'!$K$8:$K$18203)</f>
        <v>0</v>
      </c>
      <c r="H489" s="690"/>
      <c r="I489" s="689"/>
      <c r="J489" s="688" t="e">
        <f t="shared" si="17"/>
        <v>#DIV/0!</v>
      </c>
    </row>
    <row r="490" spans="1:10" hidden="1" x14ac:dyDescent="0.2">
      <c r="A490" s="236"/>
      <c r="B490" s="236" t="s">
        <v>4899</v>
      </c>
      <c r="C490" s="208" t="str">
        <f>IFERROR(VLOOKUP(B490,'ПО КОРИСНИЦИМА'!$C$8:$L$18203,5,FALSE),"")</f>
        <v/>
      </c>
      <c r="D490" s="265">
        <f>SUMIF('ПО КОРИСНИЦИМА'!$G$8:$G$18203,"Свега за пројекат 1301-П20:",'ПО КОРИСНИЦИМА'!$H$8:$H$18203)</f>
        <v>0</v>
      </c>
      <c r="E490" s="683"/>
      <c r="F490" s="694" t="e">
        <f t="shared" si="16"/>
        <v>#DIV/0!</v>
      </c>
      <c r="G490" s="692">
        <f>SUMIF('ПО КОРИСНИЦИМА'!$G$8:$G$18203,"Свега за пројекат 1301-П20:",'ПО КОРИСНИЦИМА'!$K$8:$K$18203)</f>
        <v>0</v>
      </c>
      <c r="H490" s="690"/>
      <c r="I490" s="689"/>
      <c r="J490" s="688" t="e">
        <f t="shared" si="17"/>
        <v>#DIV/0!</v>
      </c>
    </row>
    <row r="491" spans="1:10" hidden="1" x14ac:dyDescent="0.2">
      <c r="A491" s="236"/>
      <c r="B491" s="236" t="s">
        <v>4900</v>
      </c>
      <c r="C491" s="208" t="str">
        <f>IFERROR(VLOOKUP(B491,'ПО КОРИСНИЦИМА'!$C$8:$L$18203,5,FALSE),"")</f>
        <v/>
      </c>
      <c r="D491" s="265">
        <f>SUMIF('ПО КОРИСНИЦИМА'!$G$8:$G$18203,"Свега за пројекат 1301-П21:",'ПО КОРИСНИЦИМА'!$H$8:$H$18203)</f>
        <v>0</v>
      </c>
      <c r="E491" s="683"/>
      <c r="F491" s="694" t="e">
        <f t="shared" si="16"/>
        <v>#DIV/0!</v>
      </c>
      <c r="G491" s="692">
        <f>SUMIF('ПО КОРИСНИЦИМА'!$G$8:$G$18203,"Свега за пројекат 1301-П21:",'ПО КОРИСНИЦИМА'!$K$8:$K$18203)</f>
        <v>0</v>
      </c>
      <c r="H491" s="690"/>
      <c r="I491" s="689"/>
      <c r="J491" s="688" t="e">
        <f t="shared" si="17"/>
        <v>#DIV/0!</v>
      </c>
    </row>
    <row r="492" spans="1:10" hidden="1" x14ac:dyDescent="0.2">
      <c r="A492" s="236"/>
      <c r="B492" s="236" t="s">
        <v>4901</v>
      </c>
      <c r="C492" s="208" t="str">
        <f>IFERROR(VLOOKUP(B492,'ПО КОРИСНИЦИМА'!$C$8:$L$18203,5,FALSE),"")</f>
        <v/>
      </c>
      <c r="D492" s="265">
        <f>SUMIF('ПО КОРИСНИЦИМА'!$G$8:$G$18203,"Свега за пројекат 1301-П22:",'ПО КОРИСНИЦИМА'!$H$8:$H$18203)</f>
        <v>0</v>
      </c>
      <c r="E492" s="683"/>
      <c r="F492" s="694" t="e">
        <f t="shared" si="16"/>
        <v>#DIV/0!</v>
      </c>
      <c r="G492" s="692">
        <f>SUMIF('ПО КОРИСНИЦИМА'!$G$8:$G$18203,"Свега за пројекат 1301-П22:",'ПО КОРИСНИЦИМА'!$K$8:$K$18203)</f>
        <v>0</v>
      </c>
      <c r="H492" s="690"/>
      <c r="I492" s="689"/>
      <c r="J492" s="688" t="e">
        <f t="shared" si="17"/>
        <v>#DIV/0!</v>
      </c>
    </row>
    <row r="493" spans="1:10" hidden="1" x14ac:dyDescent="0.2">
      <c r="A493" s="236"/>
      <c r="B493" s="236" t="s">
        <v>4902</v>
      </c>
      <c r="C493" s="208" t="str">
        <f>IFERROR(VLOOKUP(B493,'ПО КОРИСНИЦИМА'!$C$8:$L$18203,5,FALSE),"")</f>
        <v/>
      </c>
      <c r="D493" s="265">
        <f>SUMIF('ПО КОРИСНИЦИМА'!$G$8:$G$18203,"Свега за пројекат 1301-П23:",'ПО КОРИСНИЦИМА'!$H$8:$H$18203)</f>
        <v>0</v>
      </c>
      <c r="E493" s="683"/>
      <c r="F493" s="694" t="e">
        <f t="shared" si="16"/>
        <v>#DIV/0!</v>
      </c>
      <c r="G493" s="692">
        <f>SUMIF('ПО КОРИСНИЦИМА'!$G$8:$G$18203,"Свега за пројекат 1301-П23:",'ПО КОРИСНИЦИМА'!$K$8:$K$18203)</f>
        <v>0</v>
      </c>
      <c r="H493" s="690"/>
      <c r="I493" s="689"/>
      <c r="J493" s="688" t="e">
        <f t="shared" si="17"/>
        <v>#DIV/0!</v>
      </c>
    </row>
    <row r="494" spans="1:10" hidden="1" x14ac:dyDescent="0.2">
      <c r="A494" s="236"/>
      <c r="B494" s="236" t="s">
        <v>4903</v>
      </c>
      <c r="C494" s="208" t="str">
        <f>IFERROR(VLOOKUP(B494,'ПО КОРИСНИЦИМА'!$C$8:$L$18203,5,FALSE),"")</f>
        <v/>
      </c>
      <c r="D494" s="265">
        <f>SUMIF('ПО КОРИСНИЦИМА'!$G$8:$G$18203,"Свега за пројекат 1301-П24:",'ПО КОРИСНИЦИМА'!$H$8:$H$18203)</f>
        <v>0</v>
      </c>
      <c r="E494" s="683"/>
      <c r="F494" s="694" t="e">
        <f t="shared" si="16"/>
        <v>#DIV/0!</v>
      </c>
      <c r="G494" s="692">
        <f>SUMIF('ПО КОРИСНИЦИМА'!$G$8:$G$18203,"Свега за пројекат 1301-П24:",'ПО КОРИСНИЦИМА'!$K$8:$K$18203)</f>
        <v>0</v>
      </c>
      <c r="H494" s="690"/>
      <c r="I494" s="689"/>
      <c r="J494" s="688" t="e">
        <f t="shared" si="17"/>
        <v>#DIV/0!</v>
      </c>
    </row>
    <row r="495" spans="1:10" hidden="1" x14ac:dyDescent="0.2">
      <c r="A495" s="236"/>
      <c r="B495" s="236" t="s">
        <v>4904</v>
      </c>
      <c r="C495" s="208" t="str">
        <f>IFERROR(VLOOKUP(B495,'ПО КОРИСНИЦИМА'!$C$8:$L$18203,5,FALSE),"")</f>
        <v/>
      </c>
      <c r="D495" s="265">
        <f>SUMIF('ПО КОРИСНИЦИМА'!$G$8:$G$18203,"Свега за пројекат 1301-П25:",'ПО КОРИСНИЦИМА'!$H$8:$H$18203)</f>
        <v>0</v>
      </c>
      <c r="E495" s="683"/>
      <c r="F495" s="694" t="e">
        <f t="shared" si="16"/>
        <v>#DIV/0!</v>
      </c>
      <c r="G495" s="692">
        <f>SUMIF('ПО КОРИСНИЦИМА'!$G$8:$G$18203,"Свега за пројекат 1301-П25:",'ПО КОРИСНИЦИМА'!$K$8:$K$18203)</f>
        <v>0</v>
      </c>
      <c r="H495" s="690"/>
      <c r="I495" s="689"/>
      <c r="J495" s="688" t="e">
        <f t="shared" si="17"/>
        <v>#DIV/0!</v>
      </c>
    </row>
    <row r="496" spans="1:10" hidden="1" x14ac:dyDescent="0.2">
      <c r="A496" s="236"/>
      <c r="B496" s="236" t="s">
        <v>4905</v>
      </c>
      <c r="C496" s="208" t="str">
        <f>IFERROR(VLOOKUP(B496,'ПО КОРИСНИЦИМА'!$C$8:$L$18203,5,FALSE),"")</f>
        <v/>
      </c>
      <c r="D496" s="265">
        <f>SUMIF('ПО КОРИСНИЦИМА'!$G$8:$G$18203,"Свега за пројекат 1301-П26:",'ПО КОРИСНИЦИМА'!$H$8:$H$18203)</f>
        <v>0</v>
      </c>
      <c r="E496" s="683"/>
      <c r="F496" s="694" t="e">
        <f t="shared" si="16"/>
        <v>#DIV/0!</v>
      </c>
      <c r="G496" s="692">
        <f>SUMIF('ПО КОРИСНИЦИМА'!$G$8:$G$18203,"Свега за пројекат 1301-П26:",'ПО КОРИСНИЦИМА'!$K$8:$K$18203)</f>
        <v>0</v>
      </c>
      <c r="H496" s="690"/>
      <c r="I496" s="689"/>
      <c r="J496" s="688" t="e">
        <f t="shared" si="17"/>
        <v>#DIV/0!</v>
      </c>
    </row>
    <row r="497" spans="1:10" hidden="1" x14ac:dyDescent="0.2">
      <c r="A497" s="236"/>
      <c r="B497" s="236" t="s">
        <v>4906</v>
      </c>
      <c r="C497" s="208" t="str">
        <f>IFERROR(VLOOKUP(B497,'ПО КОРИСНИЦИМА'!$C$8:$L$18203,5,FALSE),"")</f>
        <v/>
      </c>
      <c r="D497" s="265">
        <f>SUMIF('ПО КОРИСНИЦИМА'!$G$8:$G$18203,"Свега за пројекат 1301-П27:",'ПО КОРИСНИЦИМА'!$H$8:$H$18203)</f>
        <v>0</v>
      </c>
      <c r="E497" s="683"/>
      <c r="F497" s="694" t="e">
        <f t="shared" si="16"/>
        <v>#DIV/0!</v>
      </c>
      <c r="G497" s="692">
        <f>SUMIF('ПО КОРИСНИЦИМА'!$G$8:$G$18203,"Свега за пројекат 1301-П27:",'ПО КОРИСНИЦИМА'!$K$8:$K$18203)</f>
        <v>0</v>
      </c>
      <c r="H497" s="690"/>
      <c r="I497" s="689"/>
      <c r="J497" s="688" t="e">
        <f t="shared" si="17"/>
        <v>#DIV/0!</v>
      </c>
    </row>
    <row r="498" spans="1:10" hidden="1" x14ac:dyDescent="0.2">
      <c r="A498" s="236"/>
      <c r="B498" s="236" t="s">
        <v>4907</v>
      </c>
      <c r="C498" s="208" t="str">
        <f>IFERROR(VLOOKUP(B498,'ПО КОРИСНИЦИМА'!$C$8:$L$18203,5,FALSE),"")</f>
        <v/>
      </c>
      <c r="D498" s="265">
        <f>SUMIF('ПО КОРИСНИЦИМА'!$G$8:$G$18203,"Свега за пројекат 1301-П28:",'ПО КОРИСНИЦИМА'!$H$8:$H$18203)</f>
        <v>0</v>
      </c>
      <c r="E498" s="683"/>
      <c r="F498" s="694" t="e">
        <f t="shared" si="16"/>
        <v>#DIV/0!</v>
      </c>
      <c r="G498" s="692">
        <f>SUMIF('ПО КОРИСНИЦИМА'!$G$8:$G$18203,"Свега за пројекат 1301-П28:",'ПО КОРИСНИЦИМА'!$K$8:$K$18203)</f>
        <v>0</v>
      </c>
      <c r="H498" s="690"/>
      <c r="I498" s="689"/>
      <c r="J498" s="688" t="e">
        <f t="shared" si="17"/>
        <v>#DIV/0!</v>
      </c>
    </row>
    <row r="499" spans="1:10" hidden="1" x14ac:dyDescent="0.2">
      <c r="A499" s="236"/>
      <c r="B499" s="236" t="s">
        <v>4908</v>
      </c>
      <c r="C499" s="208" t="str">
        <f>IFERROR(VLOOKUP(B499,'ПО КОРИСНИЦИМА'!$C$8:$L$18203,5,FALSE),"")</f>
        <v/>
      </c>
      <c r="D499" s="265">
        <f>SUMIF('ПО КОРИСНИЦИМА'!$G$8:$G$18203,"Свега за пројекат 1301-П29:",'ПО КОРИСНИЦИМА'!$H$8:$H$18203)</f>
        <v>0</v>
      </c>
      <c r="E499" s="683"/>
      <c r="F499" s="694" t="e">
        <f t="shared" si="16"/>
        <v>#DIV/0!</v>
      </c>
      <c r="G499" s="692">
        <f>SUMIF('ПО КОРИСНИЦИМА'!$G$8:$G$18203,"Свега за пројекат 1301-П29:",'ПО КОРИСНИЦИМА'!$K$8:$K$18203)</f>
        <v>0</v>
      </c>
      <c r="H499" s="690"/>
      <c r="I499" s="689"/>
      <c r="J499" s="688" t="e">
        <f t="shared" si="17"/>
        <v>#DIV/0!</v>
      </c>
    </row>
    <row r="500" spans="1:10" hidden="1" x14ac:dyDescent="0.2">
      <c r="A500" s="236"/>
      <c r="B500" s="236" t="s">
        <v>4909</v>
      </c>
      <c r="C500" s="208" t="str">
        <f>IFERROR(VLOOKUP(B500,'ПО КОРИСНИЦИМА'!$C$8:$L$18203,5,FALSE),"")</f>
        <v/>
      </c>
      <c r="D500" s="265">
        <f>SUMIF('ПО КОРИСНИЦИМА'!$G$8:$G$18203,"Свега за пројекат 1301-П30:",'ПО КОРИСНИЦИМА'!$H$8:$H$18203)</f>
        <v>0</v>
      </c>
      <c r="E500" s="683"/>
      <c r="F500" s="694" t="e">
        <f t="shared" si="16"/>
        <v>#DIV/0!</v>
      </c>
      <c r="G500" s="692">
        <f>SUMIF('ПО КОРИСНИЦИМА'!$G$8:$G$18203,"Свега за пројекат 1301-П30:",'ПО КОРИСНИЦИМА'!$K$8:$K$18203)</f>
        <v>0</v>
      </c>
      <c r="H500" s="690"/>
      <c r="I500" s="689"/>
      <c r="J500" s="688" t="e">
        <f t="shared" si="17"/>
        <v>#DIV/0!</v>
      </c>
    </row>
    <row r="501" spans="1:10" hidden="1" x14ac:dyDescent="0.2">
      <c r="A501" s="236"/>
      <c r="B501" s="236" t="s">
        <v>4910</v>
      </c>
      <c r="C501" s="208" t="str">
        <f>IFERROR(VLOOKUP(B501,'ПО КОРИСНИЦИМА'!$C$8:$L$18203,5,FALSE),"")</f>
        <v/>
      </c>
      <c r="D501" s="265">
        <f>SUMIF('ПО КОРИСНИЦИМА'!$G$8:$G$18203,"Свега за пројекат 1301-П31:",'ПО КОРИСНИЦИМА'!$H$8:$H$18203)</f>
        <v>0</v>
      </c>
      <c r="E501" s="683"/>
      <c r="F501" s="694" t="e">
        <f t="shared" si="16"/>
        <v>#DIV/0!</v>
      </c>
      <c r="G501" s="692">
        <f>SUMIF('ПО КОРИСНИЦИМА'!$G$8:$G$18203,"Свега за пројекат 1301-П31:",'ПО КОРИСНИЦИМА'!$K$8:$K$18203)</f>
        <v>0</v>
      </c>
      <c r="H501" s="690"/>
      <c r="I501" s="689"/>
      <c r="J501" s="688" t="e">
        <f t="shared" si="17"/>
        <v>#DIV/0!</v>
      </c>
    </row>
    <row r="502" spans="1:10" hidden="1" x14ac:dyDescent="0.2">
      <c r="A502" s="236"/>
      <c r="B502" s="236" t="s">
        <v>4911</v>
      </c>
      <c r="C502" s="208" t="str">
        <f>IFERROR(VLOOKUP(B502,'ПО КОРИСНИЦИМА'!$C$8:$L$18203,5,FALSE),"")</f>
        <v/>
      </c>
      <c r="D502" s="265">
        <f>SUMIF('ПО КОРИСНИЦИМА'!$G$8:$G$18203,"Свега за пројекат 1301-П32:",'ПО КОРИСНИЦИМА'!$H$8:$H$18203)</f>
        <v>0</v>
      </c>
      <c r="E502" s="683"/>
      <c r="F502" s="694" t="e">
        <f t="shared" si="16"/>
        <v>#DIV/0!</v>
      </c>
      <c r="G502" s="692">
        <f>SUMIF('ПО КОРИСНИЦИМА'!$G$8:$G$18203,"Свега за пројекат 1301-П32:",'ПО КОРИСНИЦИМА'!$K$8:$K$18203)</f>
        <v>0</v>
      </c>
      <c r="H502" s="690"/>
      <c r="I502" s="689"/>
      <c r="J502" s="688" t="e">
        <f t="shared" si="17"/>
        <v>#DIV/0!</v>
      </c>
    </row>
    <row r="503" spans="1:10" hidden="1" x14ac:dyDescent="0.2">
      <c r="A503" s="236"/>
      <c r="B503" s="236" t="s">
        <v>4912</v>
      </c>
      <c r="C503" s="208" t="str">
        <f>IFERROR(VLOOKUP(B503,'ПО КОРИСНИЦИМА'!$C$8:$L$18203,5,FALSE),"")</f>
        <v/>
      </c>
      <c r="D503" s="265">
        <f>SUMIF('ПО КОРИСНИЦИМА'!$G$8:$G$18203,"Свега за пројекат 1301-П33:",'ПО КОРИСНИЦИМА'!$H$8:$H$18203)</f>
        <v>0</v>
      </c>
      <c r="E503" s="683"/>
      <c r="F503" s="694" t="e">
        <f t="shared" si="16"/>
        <v>#DIV/0!</v>
      </c>
      <c r="G503" s="692">
        <f>SUMIF('ПО КОРИСНИЦИМА'!$G$8:$G$18203,"Свега за пројекат 1301-П33:",'ПО КОРИСНИЦИМА'!$K$8:$K$18203)</f>
        <v>0</v>
      </c>
      <c r="H503" s="690"/>
      <c r="I503" s="689"/>
      <c r="J503" s="688" t="e">
        <f t="shared" si="17"/>
        <v>#DIV/0!</v>
      </c>
    </row>
    <row r="504" spans="1:10" hidden="1" x14ac:dyDescent="0.2">
      <c r="A504" s="236"/>
      <c r="B504" s="236" t="s">
        <v>4913</v>
      </c>
      <c r="C504" s="208" t="str">
        <f>IFERROR(VLOOKUP(B504,'ПО КОРИСНИЦИМА'!$C$8:$L$18203,5,FALSE),"")</f>
        <v/>
      </c>
      <c r="D504" s="265">
        <f>SUMIF('ПО КОРИСНИЦИМА'!$G$8:$G$18203,"Свега за пројекат 1301-П34:",'ПО КОРИСНИЦИМА'!$H$8:$H$18203)</f>
        <v>0</v>
      </c>
      <c r="E504" s="683"/>
      <c r="F504" s="694" t="e">
        <f t="shared" si="16"/>
        <v>#DIV/0!</v>
      </c>
      <c r="G504" s="692">
        <f>SUMIF('ПО КОРИСНИЦИМА'!$G$8:$G$18203,"Свега за пројекат 1301-П34:",'ПО КОРИСНИЦИМА'!$K$8:$K$18203)</f>
        <v>0</v>
      </c>
      <c r="H504" s="690"/>
      <c r="I504" s="689"/>
      <c r="J504" s="688" t="e">
        <f t="shared" si="17"/>
        <v>#DIV/0!</v>
      </c>
    </row>
    <row r="505" spans="1:10" hidden="1" x14ac:dyDescent="0.2">
      <c r="A505" s="236"/>
      <c r="B505" s="236" t="s">
        <v>4914</v>
      </c>
      <c r="C505" s="208" t="str">
        <f>IFERROR(VLOOKUP(B505,'ПО КОРИСНИЦИМА'!$C$8:$L$18203,5,FALSE),"")</f>
        <v/>
      </c>
      <c r="D505" s="265">
        <f>SUMIF('ПО КОРИСНИЦИМА'!$G$8:$G$18203,"Свега за пројекат 1301-П35:",'ПО КОРИСНИЦИМА'!$H$8:$H$18203)</f>
        <v>0</v>
      </c>
      <c r="E505" s="683"/>
      <c r="F505" s="694" t="e">
        <f t="shared" si="16"/>
        <v>#DIV/0!</v>
      </c>
      <c r="G505" s="692">
        <f>SUMIF('ПО КОРИСНИЦИМА'!$G$8:$G$18203,"Свега за пројекат 1301-П35:",'ПО КОРИСНИЦИМА'!$K$8:$K$18203)</f>
        <v>0</v>
      </c>
      <c r="H505" s="690"/>
      <c r="I505" s="689"/>
      <c r="J505" s="688" t="e">
        <f t="shared" si="17"/>
        <v>#DIV/0!</v>
      </c>
    </row>
    <row r="506" spans="1:10" hidden="1" x14ac:dyDescent="0.2">
      <c r="A506" s="236"/>
      <c r="B506" s="236" t="s">
        <v>4915</v>
      </c>
      <c r="C506" s="208" t="str">
        <f>IFERROR(VLOOKUP(B506,'ПО КОРИСНИЦИМА'!$C$8:$L$18203,5,FALSE),"")</f>
        <v/>
      </c>
      <c r="D506" s="265">
        <f>SUMIF('ПО КОРИСНИЦИМА'!$G$8:$G$18203,"Свега за пројекат 1301-П36:",'ПО КОРИСНИЦИМА'!$H$8:$H$18203)</f>
        <v>0</v>
      </c>
      <c r="E506" s="683"/>
      <c r="F506" s="694" t="e">
        <f t="shared" si="16"/>
        <v>#DIV/0!</v>
      </c>
      <c r="G506" s="692">
        <f>SUMIF('ПО КОРИСНИЦИМА'!$G$8:$G$18203,"Свега за пројекат 1301-П36:",'ПО КОРИСНИЦИМА'!$K$8:$K$18203)</f>
        <v>0</v>
      </c>
      <c r="H506" s="690"/>
      <c r="I506" s="689"/>
      <c r="J506" s="688" t="e">
        <f t="shared" si="17"/>
        <v>#DIV/0!</v>
      </c>
    </row>
    <row r="507" spans="1:10" hidden="1" x14ac:dyDescent="0.2">
      <c r="A507" s="236"/>
      <c r="B507" s="236" t="s">
        <v>4916</v>
      </c>
      <c r="C507" s="208" t="str">
        <f>IFERROR(VLOOKUP(B507,'ПО КОРИСНИЦИМА'!$C$8:$L$18203,5,FALSE),"")</f>
        <v/>
      </c>
      <c r="D507" s="265">
        <f>SUMIF('ПО КОРИСНИЦИМА'!$G$8:$G$18203,"Свега за пројекат 1301-П37:",'ПО КОРИСНИЦИМА'!$H$8:$H$18203)</f>
        <v>0</v>
      </c>
      <c r="E507" s="683"/>
      <c r="F507" s="694" t="e">
        <f t="shared" si="16"/>
        <v>#DIV/0!</v>
      </c>
      <c r="G507" s="692">
        <f>SUMIF('ПО КОРИСНИЦИМА'!$G$8:$G$18203,"Свега за пројекат 1301-П37:",'ПО КОРИСНИЦИМА'!$K$8:$K$18203)</f>
        <v>0</v>
      </c>
      <c r="H507" s="690"/>
      <c r="I507" s="689"/>
      <c r="J507" s="688" t="e">
        <f t="shared" si="17"/>
        <v>#DIV/0!</v>
      </c>
    </row>
    <row r="508" spans="1:10" hidden="1" x14ac:dyDescent="0.2">
      <c r="A508" s="236"/>
      <c r="B508" s="236" t="s">
        <v>4917</v>
      </c>
      <c r="C508" s="208" t="str">
        <f>IFERROR(VLOOKUP(B508,'ПО КОРИСНИЦИМА'!$C$8:$L$18203,5,FALSE),"")</f>
        <v/>
      </c>
      <c r="D508" s="265">
        <f>SUMIF('ПО КОРИСНИЦИМА'!$G$8:$G$18203,"Свега за пројекат 1301-П38:",'ПО КОРИСНИЦИМА'!$H$8:$H$18203)</f>
        <v>0</v>
      </c>
      <c r="E508" s="683"/>
      <c r="F508" s="694" t="e">
        <f t="shared" si="16"/>
        <v>#DIV/0!</v>
      </c>
      <c r="G508" s="692">
        <f>SUMIF('ПО КОРИСНИЦИМА'!$G$8:$G$18203,"Свега за пројекат 1301-П38:",'ПО КОРИСНИЦИМА'!$K$8:$K$18203)</f>
        <v>0</v>
      </c>
      <c r="H508" s="690"/>
      <c r="I508" s="689"/>
      <c r="J508" s="688" t="e">
        <f t="shared" si="17"/>
        <v>#DIV/0!</v>
      </c>
    </row>
    <row r="509" spans="1:10" hidden="1" x14ac:dyDescent="0.2">
      <c r="A509" s="236"/>
      <c r="B509" s="236" t="s">
        <v>4918</v>
      </c>
      <c r="C509" s="208" t="str">
        <f>IFERROR(VLOOKUP(B509,'ПО КОРИСНИЦИМА'!$C$8:$L$18203,5,FALSE),"")</f>
        <v/>
      </c>
      <c r="D509" s="265">
        <f>SUMIF('ПО КОРИСНИЦИМА'!$G$8:$G$18203,"Свега за пројекат 1301-П39:",'ПО КОРИСНИЦИМА'!$H$8:$H$18203)</f>
        <v>0</v>
      </c>
      <c r="E509" s="683"/>
      <c r="F509" s="694" t="e">
        <f t="shared" si="16"/>
        <v>#DIV/0!</v>
      </c>
      <c r="G509" s="692">
        <f>SUMIF('ПО КОРИСНИЦИМА'!$G$8:$G$18203,"Свега за пројекат 1301-П39:",'ПО КОРИСНИЦИМА'!$K$8:$K$18203)</f>
        <v>0</v>
      </c>
      <c r="H509" s="690"/>
      <c r="I509" s="689"/>
      <c r="J509" s="688" t="e">
        <f t="shared" si="17"/>
        <v>#DIV/0!</v>
      </c>
    </row>
    <row r="510" spans="1:10" hidden="1" x14ac:dyDescent="0.2">
      <c r="A510" s="236"/>
      <c r="B510" s="236" t="s">
        <v>4919</v>
      </c>
      <c r="C510" s="208" t="str">
        <f>IFERROR(VLOOKUP(B510,'ПО КОРИСНИЦИМА'!$C$8:$L$18203,5,FALSE),"")</f>
        <v/>
      </c>
      <c r="D510" s="265">
        <f>SUMIF('ПО КОРИСНИЦИМА'!$G$8:$G$18203,"Свега за пројекат 1301-П40:",'ПО КОРИСНИЦИМА'!$H$8:$H$18203)</f>
        <v>0</v>
      </c>
      <c r="E510" s="683"/>
      <c r="F510" s="694" t="e">
        <f t="shared" si="16"/>
        <v>#DIV/0!</v>
      </c>
      <c r="G510" s="692">
        <f>SUMIF('ПО КОРИСНИЦИМА'!$G$8:$G$18203,"Свега за пројекат 1301-П40:",'ПО КОРИСНИЦИМА'!$K$8:$K$18203)</f>
        <v>0</v>
      </c>
      <c r="H510" s="690"/>
      <c r="I510" s="689"/>
      <c r="J510" s="688" t="e">
        <f t="shared" si="17"/>
        <v>#DIV/0!</v>
      </c>
    </row>
    <row r="511" spans="1:10" hidden="1" x14ac:dyDescent="0.2">
      <c r="A511" s="236"/>
      <c r="B511" s="236" t="s">
        <v>4920</v>
      </c>
      <c r="C511" s="208" t="str">
        <f>IFERROR(VLOOKUP(B511,'ПО КОРИСНИЦИМА'!$C$8:$L$18203,5,FALSE),"")</f>
        <v/>
      </c>
      <c r="D511" s="265">
        <f>SUMIF('ПО КОРИСНИЦИМА'!$G$8:$G$18203,"Свега за пројекат 1301-П41:",'ПО КОРИСНИЦИМА'!$H$8:$H$18203)</f>
        <v>0</v>
      </c>
      <c r="E511" s="683"/>
      <c r="F511" s="694" t="e">
        <f t="shared" si="16"/>
        <v>#DIV/0!</v>
      </c>
      <c r="G511" s="692">
        <f>SUMIF('ПО КОРИСНИЦИМА'!$G$8:$G$18203,"Свега за пројекат 1301-П41:",'ПО КОРИСНИЦИМА'!$K$8:$K$18203)</f>
        <v>0</v>
      </c>
      <c r="H511" s="690"/>
      <c r="I511" s="689"/>
      <c r="J511" s="688" t="e">
        <f t="shared" si="17"/>
        <v>#DIV/0!</v>
      </c>
    </row>
    <row r="512" spans="1:10" hidden="1" x14ac:dyDescent="0.2">
      <c r="A512" s="236"/>
      <c r="B512" s="236" t="s">
        <v>4921</v>
      </c>
      <c r="C512" s="208" t="str">
        <f>IFERROR(VLOOKUP(B512,'ПО КОРИСНИЦИМА'!$C$8:$L$18203,5,FALSE),"")</f>
        <v/>
      </c>
      <c r="D512" s="265">
        <f>SUMIF('ПО КОРИСНИЦИМА'!$G$8:$G$18203,"Свега за пројекат 1301-П42:",'ПО КОРИСНИЦИМА'!$H$8:$H$18203)</f>
        <v>0</v>
      </c>
      <c r="E512" s="683"/>
      <c r="F512" s="694" t="e">
        <f t="shared" si="16"/>
        <v>#DIV/0!</v>
      </c>
      <c r="G512" s="692">
        <f>SUMIF('ПО КОРИСНИЦИМА'!$G$8:$G$18203,"Свега за пројекат 1301-П42:",'ПО КОРИСНИЦИМА'!$K$8:$K$18203)</f>
        <v>0</v>
      </c>
      <c r="H512" s="690"/>
      <c r="I512" s="689"/>
      <c r="J512" s="688" t="e">
        <f t="shared" si="17"/>
        <v>#DIV/0!</v>
      </c>
    </row>
    <row r="513" spans="1:10" hidden="1" x14ac:dyDescent="0.2">
      <c r="A513" s="236"/>
      <c r="B513" s="236" t="s">
        <v>4922</v>
      </c>
      <c r="C513" s="208" t="str">
        <f>IFERROR(VLOOKUP(B513,'ПО КОРИСНИЦИМА'!$C$8:$L$18203,5,FALSE),"")</f>
        <v/>
      </c>
      <c r="D513" s="265">
        <f>SUMIF('ПО КОРИСНИЦИМА'!$G$8:$G$18203,"Свега за пројекат 1301-П43:",'ПО КОРИСНИЦИМА'!$H$8:$H$18203)</f>
        <v>0</v>
      </c>
      <c r="E513" s="683"/>
      <c r="F513" s="694" t="e">
        <f t="shared" si="16"/>
        <v>#DIV/0!</v>
      </c>
      <c r="G513" s="692">
        <f>SUMIF('ПО КОРИСНИЦИМА'!$G$8:$G$18203,"Свега за пројекат 1301-П43:",'ПО КОРИСНИЦИМА'!$K$8:$K$18203)</f>
        <v>0</v>
      </c>
      <c r="H513" s="690"/>
      <c r="I513" s="689"/>
      <c r="J513" s="688" t="e">
        <f t="shared" si="17"/>
        <v>#DIV/0!</v>
      </c>
    </row>
    <row r="514" spans="1:10" hidden="1" x14ac:dyDescent="0.2">
      <c r="A514" s="236"/>
      <c r="B514" s="236" t="s">
        <v>4923</v>
      </c>
      <c r="C514" s="208" t="str">
        <f>IFERROR(VLOOKUP(B514,'ПО КОРИСНИЦИМА'!$C$8:$L$18203,5,FALSE),"")</f>
        <v/>
      </c>
      <c r="D514" s="265">
        <f>SUMIF('ПО КОРИСНИЦИМА'!$G$8:$G$18203,"Свега за пројекат 1301-П44:",'ПО КОРИСНИЦИМА'!$H$8:$H$18203)</f>
        <v>0</v>
      </c>
      <c r="E514" s="683"/>
      <c r="F514" s="694" t="e">
        <f t="shared" si="16"/>
        <v>#DIV/0!</v>
      </c>
      <c r="G514" s="692">
        <f>SUMIF('ПО КОРИСНИЦИМА'!$G$8:$G$18203,"Свега за пројекат 1301-П44:",'ПО КОРИСНИЦИМА'!$K$8:$K$18203)</f>
        <v>0</v>
      </c>
      <c r="H514" s="690"/>
      <c r="I514" s="689"/>
      <c r="J514" s="688" t="e">
        <f t="shared" si="17"/>
        <v>#DIV/0!</v>
      </c>
    </row>
    <row r="515" spans="1:10" hidden="1" x14ac:dyDescent="0.2">
      <c r="A515" s="236"/>
      <c r="B515" s="236" t="s">
        <v>4924</v>
      </c>
      <c r="C515" s="208" t="str">
        <f>IFERROR(VLOOKUP(B515,'ПО КОРИСНИЦИМА'!$C$8:$L$18203,5,FALSE),"")</f>
        <v/>
      </c>
      <c r="D515" s="265">
        <f>SUMIF('ПО КОРИСНИЦИМА'!$G$8:$G$18203,"Свега за пројекат 1301-П45:",'ПО КОРИСНИЦИМА'!$H$8:$H$18203)</f>
        <v>0</v>
      </c>
      <c r="E515" s="683"/>
      <c r="F515" s="694" t="e">
        <f t="shared" si="16"/>
        <v>#DIV/0!</v>
      </c>
      <c r="G515" s="692">
        <f>SUMIF('ПО КОРИСНИЦИМА'!$G$8:$G$18203,"Свега за пројекат 1301-П45:",'ПО КОРИСНИЦИМА'!$K$8:$K$18203)</f>
        <v>0</v>
      </c>
      <c r="H515" s="690"/>
      <c r="I515" s="689"/>
      <c r="J515" s="688" t="e">
        <f t="shared" si="17"/>
        <v>#DIV/0!</v>
      </c>
    </row>
    <row r="516" spans="1:10" hidden="1" x14ac:dyDescent="0.2">
      <c r="A516" s="236"/>
      <c r="B516" s="236" t="s">
        <v>4925</v>
      </c>
      <c r="C516" s="208" t="str">
        <f>IFERROR(VLOOKUP(B516,'ПО КОРИСНИЦИМА'!$C$8:$L$18203,5,FALSE),"")</f>
        <v/>
      </c>
      <c r="D516" s="265">
        <f>SUMIF('ПО КОРИСНИЦИМА'!$G$8:$G$18203,"Свега за пројекат 1301-П46:",'ПО КОРИСНИЦИМА'!$H$8:$H$18203)</f>
        <v>0</v>
      </c>
      <c r="E516" s="683"/>
      <c r="F516" s="694" t="e">
        <f t="shared" si="16"/>
        <v>#DIV/0!</v>
      </c>
      <c r="G516" s="692">
        <f>SUMIF('ПО КОРИСНИЦИМА'!$G$8:$G$18203,"Свега за пројекат 1301-П46:",'ПО КОРИСНИЦИМА'!$K$8:$K$18203)</f>
        <v>0</v>
      </c>
      <c r="H516" s="690"/>
      <c r="I516" s="689"/>
      <c r="J516" s="688" t="e">
        <f t="shared" si="17"/>
        <v>#DIV/0!</v>
      </c>
    </row>
    <row r="517" spans="1:10" hidden="1" x14ac:dyDescent="0.2">
      <c r="A517" s="236"/>
      <c r="B517" s="236" t="s">
        <v>4926</v>
      </c>
      <c r="C517" s="208" t="str">
        <f>IFERROR(VLOOKUP(B517,'ПО КОРИСНИЦИМА'!$C$8:$L$18203,5,FALSE),"")</f>
        <v/>
      </c>
      <c r="D517" s="265">
        <f>SUMIF('ПО КОРИСНИЦИМА'!$G$8:$G$18203,"Свега за пројекат 1301-П47:",'ПО КОРИСНИЦИМА'!$H$8:$H$18203)</f>
        <v>0</v>
      </c>
      <c r="E517" s="683"/>
      <c r="F517" s="694" t="e">
        <f t="shared" si="16"/>
        <v>#DIV/0!</v>
      </c>
      <c r="G517" s="692">
        <f>SUMIF('ПО КОРИСНИЦИМА'!$G$8:$G$18203,"Свега за пројекат 1301-П47:",'ПО КОРИСНИЦИМА'!$K$8:$K$18203)</f>
        <v>0</v>
      </c>
      <c r="H517" s="690"/>
      <c r="I517" s="689"/>
      <c r="J517" s="688" t="e">
        <f t="shared" si="17"/>
        <v>#DIV/0!</v>
      </c>
    </row>
    <row r="518" spans="1:10" hidden="1" x14ac:dyDescent="0.2">
      <c r="A518" s="236"/>
      <c r="B518" s="236" t="s">
        <v>4927</v>
      </c>
      <c r="C518" s="208" t="str">
        <f>IFERROR(VLOOKUP(B518,'ПО КОРИСНИЦИМА'!$C$8:$L$18203,5,FALSE),"")</f>
        <v/>
      </c>
      <c r="D518" s="265">
        <f>SUMIF('ПО КОРИСНИЦИМА'!$G$8:$G$18203,"Свега за пројекат 1301-П48:",'ПО КОРИСНИЦИМА'!$H$8:$H$18203)</f>
        <v>0</v>
      </c>
      <c r="E518" s="683"/>
      <c r="F518" s="694" t="e">
        <f t="shared" si="16"/>
        <v>#DIV/0!</v>
      </c>
      <c r="G518" s="692">
        <f>SUMIF('ПО КОРИСНИЦИМА'!$G$8:$G$18203,"Свега за пројекат 1301-П48:",'ПО КОРИСНИЦИМА'!$K$8:$K$18203)</f>
        <v>0</v>
      </c>
      <c r="H518" s="690"/>
      <c r="I518" s="691"/>
      <c r="J518" s="688" t="e">
        <f t="shared" si="17"/>
        <v>#DIV/0!</v>
      </c>
    </row>
    <row r="519" spans="1:10" hidden="1" x14ac:dyDescent="0.2">
      <c r="A519" s="236"/>
      <c r="B519" s="236" t="s">
        <v>4928</v>
      </c>
      <c r="C519" s="208" t="str">
        <f>IFERROR(VLOOKUP(B519,'ПО КОРИСНИЦИМА'!$C$8:$L$18203,5,FALSE),"")</f>
        <v/>
      </c>
      <c r="D519" s="265">
        <f>SUMIF('ПО КОРИСНИЦИМА'!$G$8:$G$18203,"Свега за пројекат 1301-П49:",'ПО КОРИСНИЦИМА'!$H$8:$H$18203)</f>
        <v>0</v>
      </c>
      <c r="E519" s="683"/>
      <c r="F519" s="694" t="e">
        <f t="shared" si="16"/>
        <v>#DIV/0!</v>
      </c>
      <c r="G519" s="692">
        <f>SUMIF('ПО КОРИСНИЦИМА'!$G$8:$G$18203,"Свега за пројекат 1301-П49:",'ПО КОРИСНИЦИМА'!$K$8:$K$18203)</f>
        <v>0</v>
      </c>
      <c r="H519" s="690"/>
      <c r="I519" s="691"/>
      <c r="J519" s="688" t="e">
        <f t="shared" si="17"/>
        <v>#DIV/0!</v>
      </c>
    </row>
    <row r="520" spans="1:10" hidden="1" x14ac:dyDescent="0.2">
      <c r="A520" s="237"/>
      <c r="B520" s="236" t="s">
        <v>4929</v>
      </c>
      <c r="C520" s="208" t="str">
        <f>IFERROR(VLOOKUP(B520,'ПО КОРИСНИЦИМА'!$C$8:$L$18203,5,FALSE),"")</f>
        <v/>
      </c>
      <c r="D520" s="265">
        <f>SUMIF('ПО КОРИСНИЦИМА'!$G$8:$G$18203,"Свега за пројекат 1301-П50:",'ПО КОРИСНИЦИМА'!$H$8:$H$18203)</f>
        <v>0</v>
      </c>
      <c r="E520" s="683"/>
      <c r="F520" s="694" t="e">
        <f t="shared" si="16"/>
        <v>#DIV/0!</v>
      </c>
      <c r="G520" s="692">
        <f>SUMIF('ПО КОРИСНИЦИМА'!$G$8:$G$18203,"Свега за пројекат 1301-П50:",'ПО КОРИСНИЦИМА'!$K$8:$K$18203)</f>
        <v>0</v>
      </c>
      <c r="H520" s="690"/>
      <c r="I520" s="693"/>
      <c r="J520" s="688" t="e">
        <f t="shared" si="17"/>
        <v>#DIV/0!</v>
      </c>
    </row>
    <row r="521" spans="1:10" s="234" customFormat="1" x14ac:dyDescent="0.2">
      <c r="A521" s="226" t="s">
        <v>3600</v>
      </c>
      <c r="B521" s="227"/>
      <c r="C521" s="206" t="s">
        <v>3679</v>
      </c>
      <c r="D521" s="253">
        <f>SUM(D522:D601)</f>
        <v>128278026</v>
      </c>
      <c r="E521" s="685">
        <f>SUM(E522:E532)</f>
        <v>111596355.24000001</v>
      </c>
      <c r="F521" s="694">
        <f t="shared" si="16"/>
        <v>86.99569109365622</v>
      </c>
      <c r="G521" s="695">
        <f>SUM(G522:G601)</f>
        <v>5615165</v>
      </c>
      <c r="H521" s="696">
        <f>SUM(H522:H532)</f>
        <v>6416450.21</v>
      </c>
      <c r="I521" s="695"/>
      <c r="J521" s="770">
        <f t="shared" si="17"/>
        <v>114.27002073848232</v>
      </c>
    </row>
    <row r="522" spans="1:10" x14ac:dyDescent="0.2">
      <c r="A522" s="230"/>
      <c r="B522" s="194" t="s">
        <v>4134</v>
      </c>
      <c r="C522" s="209" t="s">
        <v>4135</v>
      </c>
      <c r="D522" s="257">
        <f>SUMIF('ПО КОРИСНИЦИМА'!$G$8:$G$18203,"Свега за програмску активност 0602-0001:",'ПО КОРИСНИЦИМА'!$H$8:$H$18203)</f>
        <v>122760579</v>
      </c>
      <c r="E522" s="683">
        <f>SUM('ПО КОРИСНИЦИМА'!I346,'ПО КОРИСНИЦИМА'!I465,'ПО КОРИСНИЦИМА'!I547,'ПО КОРИСНИЦИМА'!I1874)</f>
        <v>107654218.34</v>
      </c>
      <c r="F522" s="694">
        <f t="shared" si="16"/>
        <v>87.694453070313401</v>
      </c>
      <c r="G522" s="686">
        <f>SUMIF('ПО КОРИСНИЦИМА'!$G$8:$G$18203,"Свега за програмску активност 0602-0001:",'ПО КОРИСНИЦИМА'!$K$8:$K$18203)</f>
        <v>658515</v>
      </c>
      <c r="H522" s="702">
        <f>SUM('ПО КОРИСНИЦИМА'!L1874)</f>
        <v>2168023.34</v>
      </c>
      <c r="I522" s="686"/>
      <c r="J522" s="688">
        <f t="shared" si="17"/>
        <v>329.22915043696798</v>
      </c>
    </row>
    <row r="523" spans="1:10" x14ac:dyDescent="0.2">
      <c r="A523" s="232"/>
      <c r="B523" s="87" t="s">
        <v>4136</v>
      </c>
      <c r="C523" s="210" t="s">
        <v>3662</v>
      </c>
      <c r="D523" s="261">
        <f>SUMIF('ПО КОРИСНИЦИМА'!$G$8:$G$18203,"Свега за програмску активност 0602-0002:",'ПО КОРИСНИЦИМА'!$H$8:$H$18203)</f>
        <v>351000</v>
      </c>
      <c r="E523" s="683">
        <f>SUM('ПО КОРИСНИЦИМА'!I7586)</f>
        <v>296769.02</v>
      </c>
      <c r="F523" s="694">
        <f t="shared" si="16"/>
        <v>84.549578347578361</v>
      </c>
      <c r="G523" s="689">
        <f>SUMIF('ПО КОРИСНИЦИМА'!$G$8:$G$18203,"Свега за програмску активност 0602-0002:",'ПО КОРИСНИЦИМА'!$K$8:$K$18203)</f>
        <v>0</v>
      </c>
      <c r="H523" s="275">
        <f>SUM('ПО КОРИСНИЦИМА'!L7586)</f>
        <v>50000</v>
      </c>
      <c r="I523" s="691"/>
      <c r="J523" s="688"/>
    </row>
    <row r="524" spans="1:10" hidden="1" x14ac:dyDescent="0.2">
      <c r="A524" s="232"/>
      <c r="B524" s="87" t="s">
        <v>4137</v>
      </c>
      <c r="C524" s="210" t="s">
        <v>4138</v>
      </c>
      <c r="D524" s="261">
        <f>SUMIF('ПО КОРИСНИЦИМА'!$G$8:$G$18203,"Свега за програмску активност 0602-0003:",'ПО КОРИСНИЦИМА'!$H$8:$H$18203)</f>
        <v>0</v>
      </c>
      <c r="E524" s="683"/>
      <c r="F524" s="694" t="e">
        <f t="shared" si="16"/>
        <v>#DIV/0!</v>
      </c>
      <c r="G524" s="689">
        <f>SUMIF('ПО КОРИСНИЦИМА'!$G$8:$G$18203,"Свега за програмску активност 0602-0003:",'ПО КОРИСНИЦИМА'!$K$8:$K$18203)</f>
        <v>0</v>
      </c>
      <c r="H524" s="275"/>
      <c r="I524" s="691"/>
      <c r="J524" s="688"/>
    </row>
    <row r="525" spans="1:10" ht="15.75" customHeight="1" x14ac:dyDescent="0.2">
      <c r="A525" s="232"/>
      <c r="B525" s="87" t="s">
        <v>4139</v>
      </c>
      <c r="C525" s="210" t="s">
        <v>4140</v>
      </c>
      <c r="D525" s="261">
        <f>SUMIF('ПО КОРИСНИЦИМА'!$G$8:$G$18203,"Свега за програмску активност 0602-0004:",'ПО КОРИСНИЦИМА'!$H$8:$H$18203)</f>
        <v>1009200</v>
      </c>
      <c r="E525" s="683">
        <f>SUM('ПО КОРИСНИЦИМА'!I18167)</f>
        <v>857415.56</v>
      </c>
      <c r="F525" s="694">
        <f t="shared" si="16"/>
        <v>84.959924692826007</v>
      </c>
      <c r="G525" s="689">
        <f>SUMIF('ПО КОРИСНИЦИМА'!$G$8:$G$18203,"Свега за програмску активност 0602-0004:",'ПО КОРИСНИЦИМА'!$K$8:$K$18203)</f>
        <v>0</v>
      </c>
      <c r="H525" s="275"/>
      <c r="I525" s="691"/>
      <c r="J525" s="688"/>
    </row>
    <row r="526" spans="1:10" ht="0.75" customHeight="1" x14ac:dyDescent="0.2">
      <c r="A526" s="232"/>
      <c r="B526" s="87" t="s">
        <v>4141</v>
      </c>
      <c r="C526" s="210" t="s">
        <v>3664</v>
      </c>
      <c r="D526" s="261">
        <f>SUMIF('ПО КОРИСНИЦИМА'!$G$8:$G$18203,"Свега за програмску активност 0602-0005:",'ПО КОРИСНИЦИМА'!$H$8:$H$18203)</f>
        <v>0</v>
      </c>
      <c r="E526" s="683"/>
      <c r="F526" s="694" t="e">
        <f t="shared" si="16"/>
        <v>#DIV/0!</v>
      </c>
      <c r="G526" s="689">
        <f>SUMIF('ПО КОРИСНИЦИМА'!$G$8:$G$18203,"Свега за програмску активност 0602-0005:",'ПО КОРИСНИЦИМА'!$K$8:$K$18203)</f>
        <v>0</v>
      </c>
      <c r="H526" s="275"/>
      <c r="I526" s="691"/>
      <c r="J526" s="688" t="e">
        <f t="shared" si="17"/>
        <v>#DIV/0!</v>
      </c>
    </row>
    <row r="527" spans="1:10" ht="9" hidden="1" customHeight="1" x14ac:dyDescent="0.2">
      <c r="A527" s="232"/>
      <c r="B527" s="87" t="s">
        <v>4142</v>
      </c>
      <c r="C527" s="210" t="s">
        <v>4143</v>
      </c>
      <c r="D527" s="261">
        <f>SUMIF('ПО КОРИСНИЦИМА'!$G$8:$G$18203,"Свега за програмску активност 0602-0006:",'ПО КОРИСНИЦИМА'!$H$8:$H$18203)</f>
        <v>0</v>
      </c>
      <c r="E527" s="683"/>
      <c r="F527" s="694" t="e">
        <f t="shared" si="16"/>
        <v>#DIV/0!</v>
      </c>
      <c r="G527" s="689">
        <f>SUMIF('ПО КОРИСНИЦИМА'!$G$8:$G$18203,"Свега за програмску активност 0602-0006:",'ПО КОРИСНИЦИМА'!$K$8:$K$18203)</f>
        <v>0</v>
      </c>
      <c r="H527" s="275"/>
      <c r="I527" s="691"/>
      <c r="J527" s="688" t="e">
        <f t="shared" si="17"/>
        <v>#DIV/0!</v>
      </c>
    </row>
    <row r="528" spans="1:10" x14ac:dyDescent="0.2">
      <c r="A528" s="232"/>
      <c r="B528" s="87" t="s">
        <v>4144</v>
      </c>
      <c r="C528" s="210" t="s">
        <v>3663</v>
      </c>
      <c r="D528" s="261">
        <f>SUMIF('ПО КОРИСНИЦИМА'!$G$8:$G$18203,"Свега за програмску активност 0602-0007:",'ПО КОРИСНИЦИМА'!$H$8:$H$18203)</f>
        <v>1185000</v>
      </c>
      <c r="E528" s="683">
        <f>SUM('ПО КОРИСНИЦИМА'!I1957)</f>
        <v>1123165.8900000001</v>
      </c>
      <c r="F528" s="694">
        <f t="shared" si="16"/>
        <v>94.781931645569628</v>
      </c>
      <c r="G528" s="689">
        <f>SUMIF('ПО КОРИСНИЦИМА'!$G$8:$G$18203,"Свега за програмску активност 0602-0007:",'ПО КОРИСНИЦИМА'!$K$8:$K$18203)</f>
        <v>991650</v>
      </c>
      <c r="H528" s="275">
        <f>SUM('ПО КОРИСНИЦИМА'!L1973)</f>
        <v>870594</v>
      </c>
      <c r="I528" s="691"/>
      <c r="J528" s="688">
        <f t="shared" si="17"/>
        <v>87.792467100287396</v>
      </c>
    </row>
    <row r="529" spans="1:10" hidden="1" x14ac:dyDescent="0.2">
      <c r="A529" s="232"/>
      <c r="B529" s="87" t="s">
        <v>4145</v>
      </c>
      <c r="C529" s="210" t="s">
        <v>4146</v>
      </c>
      <c r="D529" s="261">
        <f>SUMIF('ПО КОРИСНИЦИМА'!$G$8:$G$18203,"Свега за програмску активност 0602-0008:",'ПО КОРИСНИЦИМА'!$H$8:$H$18203)</f>
        <v>0</v>
      </c>
      <c r="E529" s="683"/>
      <c r="F529" s="694" t="e">
        <f t="shared" si="16"/>
        <v>#DIV/0!</v>
      </c>
      <c r="G529" s="689">
        <f>SUMIF('ПО КОРИСНИЦИМА'!$G$8:$G$18203,"Свега за програмску активност 0602-0008:",'ПО КОРИСНИЦИМА'!$K$8:$K$18203)</f>
        <v>0</v>
      </c>
      <c r="H529" s="275"/>
      <c r="I529" s="691"/>
      <c r="J529" s="688" t="e">
        <f t="shared" si="17"/>
        <v>#DIV/0!</v>
      </c>
    </row>
    <row r="530" spans="1:10" hidden="1" x14ac:dyDescent="0.2">
      <c r="A530" s="232"/>
      <c r="B530" s="87" t="s">
        <v>4147</v>
      </c>
      <c r="C530" s="210" t="s">
        <v>4148</v>
      </c>
      <c r="D530" s="261">
        <f>SUMIF('ПО КОРИСНИЦИМА'!$G$8:$G$18203,"Свега за програмску активност 0602-0009:",'ПО КОРИСНИЦИМА'!$H$8:$H$18203)</f>
        <v>0</v>
      </c>
      <c r="E530" s="683"/>
      <c r="F530" s="694" t="e">
        <f t="shared" si="16"/>
        <v>#DIV/0!</v>
      </c>
      <c r="G530" s="689">
        <f>SUMIF('ПО КОРИСНИЦИМА'!$G$8:$G$18203,"Свега за програмску активност 0602-0009:",'ПО КОРИСНИЦИМА'!$K$8:$K$18203)</f>
        <v>0</v>
      </c>
      <c r="H530" s="275"/>
      <c r="I530" s="691"/>
      <c r="J530" s="688" t="e">
        <f t="shared" si="17"/>
        <v>#DIV/0!</v>
      </c>
    </row>
    <row r="531" spans="1:10" x14ac:dyDescent="0.2">
      <c r="A531" s="232"/>
      <c r="B531" s="87" t="s">
        <v>4149</v>
      </c>
      <c r="C531" s="210" t="s">
        <v>4150</v>
      </c>
      <c r="D531" s="261">
        <f>SUMIF('ПО КОРИСНИЦИМА'!$G$8:$G$18203,"Свега за програмску активност 0602-0010:",'ПО КОРИСНИЦИМА'!$H$8:$H$18203)</f>
        <v>837247</v>
      </c>
      <c r="E531" s="683">
        <v>0</v>
      </c>
      <c r="F531" s="694">
        <f t="shared" si="16"/>
        <v>0</v>
      </c>
      <c r="G531" s="689">
        <f>SUMIF('ПО КОРИСНИЦИМА'!$G$8:$G$18203,"Свега за програмску активност 0602-0010:",'ПО КОРИСНИЦИМА'!$K$8:$K$18203)</f>
        <v>0</v>
      </c>
      <c r="H531" s="275"/>
      <c r="I531" s="691"/>
      <c r="J531" s="688"/>
    </row>
    <row r="532" spans="1:10" x14ac:dyDescent="0.2">
      <c r="A532" s="232"/>
      <c r="B532" s="87" t="s">
        <v>4930</v>
      </c>
      <c r="C532" s="208" t="s">
        <v>5135</v>
      </c>
      <c r="D532" s="265">
        <f>SUMIF('ПО КОРИСНИЦИМА'!$G$8:$G$18203,"Свега за пројекат 0602-П1:",'ПО КОРИСНИЦИМА'!$H$8:$H$18203)</f>
        <v>2135000</v>
      </c>
      <c r="E532" s="684">
        <f>SUM('ПО КОРИСНИЦИМА'!I2444)</f>
        <v>1664786.43</v>
      </c>
      <c r="F532" s="694">
        <f t="shared" si="16"/>
        <v>77.975945199063219</v>
      </c>
      <c r="G532" s="692">
        <f>SUMIF('ПО КОРИСНИЦИМА'!$G$8:$G$18203,"Свега за пројекат 0602-П1:",'ПО КОРИСНИЦИМА'!$K$8:$K$18203)</f>
        <v>3965000</v>
      </c>
      <c r="H532" s="275">
        <f>SUM('ПО КОРИСНИЦИМА'!L2434)</f>
        <v>3327832.87</v>
      </c>
      <c r="I532" s="691"/>
      <c r="J532" s="688">
        <f t="shared" si="17"/>
        <v>83.93021109709963</v>
      </c>
    </row>
    <row r="533" spans="1:10" hidden="1" x14ac:dyDescent="0.2">
      <c r="A533" s="232"/>
      <c r="B533" s="87" t="s">
        <v>4931</v>
      </c>
      <c r="C533" s="208" t="str">
        <f>IFERROR(VLOOKUP(B533,'ПО КОРИСНИЦИМА'!$C$8:$L$18203,5,FALSE),"")</f>
        <v>Прослава Градске славе - Света Тројица</v>
      </c>
      <c r="D533" s="265">
        <f>SUMIF('ПО КОРИСНИЦИМА'!$G$8:$G$18203,"Свега за пројекат 0602-П2:",'ПО КОРИСНИЦИМА'!$H$8:$H$18203)</f>
        <v>0</v>
      </c>
      <c r="E533" s="683"/>
      <c r="F533" s="694" t="e">
        <f t="shared" si="16"/>
        <v>#DIV/0!</v>
      </c>
      <c r="G533" s="692">
        <f>SUMIF('ПО КОРИСНИЦИМА'!$G$8:$G$18203,"Свега за пројекат 0602-П2:",'ПО КОРИСНИЦИМА'!$K$8:$K$18203)</f>
        <v>0</v>
      </c>
      <c r="H533" s="275"/>
      <c r="I533" s="691"/>
      <c r="J533" s="688" t="e">
        <f t="shared" si="17"/>
        <v>#DIV/0!</v>
      </c>
    </row>
    <row r="534" spans="1:10" hidden="1" x14ac:dyDescent="0.2">
      <c r="A534" s="232"/>
      <c r="B534" s="87" t="s">
        <v>4932</v>
      </c>
      <c r="C534" s="208">
        <f>IFERROR(VLOOKUP(B534,'ПО КОРИСНИЦИМА'!$C$8:$L$18203,5,FALSE),"")</f>
        <v>0</v>
      </c>
      <c r="D534" s="265">
        <f>SUMIF('ПО КОРИСНИЦИМА'!$G$8:$G$18203,"Свега за пројекат 0602-П3:",'ПО КОРИСНИЦИМА'!$H$8:$H$18203)</f>
        <v>0</v>
      </c>
      <c r="E534" s="683"/>
      <c r="F534" s="694" t="e">
        <f t="shared" si="16"/>
        <v>#DIV/0!</v>
      </c>
      <c r="G534" s="692">
        <f>SUMIF('ПО КОРИСНИЦИМА'!$G$8:$G$18203,"Свега за пројекат 0602-П3:",'ПО КОРИСНИЦИМА'!$K$8:$K$18203)</f>
        <v>0</v>
      </c>
      <c r="H534" s="275"/>
      <c r="I534" s="689"/>
      <c r="J534" s="688" t="e">
        <f t="shared" si="17"/>
        <v>#DIV/0!</v>
      </c>
    </row>
    <row r="535" spans="1:10" hidden="1" x14ac:dyDescent="0.2">
      <c r="A535" s="232"/>
      <c r="B535" s="87" t="s">
        <v>4933</v>
      </c>
      <c r="C535" s="208" t="str">
        <f>IFERROR(VLOOKUP(B535,'ПО КОРИСНИЦИМА'!$C$8:$L$18203,5,FALSE),"")</f>
        <v/>
      </c>
      <c r="D535" s="265">
        <f>SUMIF('ПО КОРИСНИЦИМА'!$G$8:$G$18203,"Свега за пројекат 0602-П4:",'ПО КОРИСНИЦИМА'!$H$8:$H$18203)</f>
        <v>0</v>
      </c>
      <c r="E535" s="683"/>
      <c r="F535" s="694" t="e">
        <f t="shared" si="16"/>
        <v>#DIV/0!</v>
      </c>
      <c r="G535" s="692">
        <f>SUMIF('ПО КОРИСНИЦИМА'!$G$8:$G$18203,"Свега за пројекат 0602-П4:",'ПО КОРИСНИЦИМА'!$K$8:$K$18203)</f>
        <v>0</v>
      </c>
      <c r="H535" s="275"/>
      <c r="I535" s="689"/>
      <c r="J535" s="688" t="e">
        <f t="shared" si="17"/>
        <v>#DIV/0!</v>
      </c>
    </row>
    <row r="536" spans="1:10" hidden="1" x14ac:dyDescent="0.2">
      <c r="A536" s="232"/>
      <c r="B536" s="87" t="s">
        <v>4934</v>
      </c>
      <c r="C536" s="208" t="str">
        <f>IFERROR(VLOOKUP(B536,'ПО КОРИСНИЦИМА'!$C$8:$L$18203,5,FALSE),"")</f>
        <v/>
      </c>
      <c r="D536" s="265">
        <f>SUMIF('ПО КОРИСНИЦИМА'!$G$8:$G$18203,"Свега за пројекат 0602-П5:",'ПО КОРИСНИЦИМА'!$H$8:$H$18203)</f>
        <v>0</v>
      </c>
      <c r="E536" s="683"/>
      <c r="F536" s="694" t="e">
        <f t="shared" si="16"/>
        <v>#DIV/0!</v>
      </c>
      <c r="G536" s="692">
        <f>SUMIF('ПО КОРИСНИЦИМА'!$G$8:$G$18203,"Свега за пројекат 0602-П5:",'ПО КОРИСНИЦИМА'!$K$8:$K$18203)</f>
        <v>0</v>
      </c>
      <c r="H536" s="275"/>
      <c r="I536" s="689"/>
      <c r="J536" s="688" t="e">
        <f t="shared" si="17"/>
        <v>#DIV/0!</v>
      </c>
    </row>
    <row r="537" spans="1:10" hidden="1" x14ac:dyDescent="0.2">
      <c r="A537" s="232"/>
      <c r="B537" s="87" t="s">
        <v>4935</v>
      </c>
      <c r="C537" s="208" t="str">
        <f>IFERROR(VLOOKUP(B537,'ПО КОРИСНИЦИМА'!$C$8:$L$18203,5,FALSE),"")</f>
        <v/>
      </c>
      <c r="D537" s="265">
        <f>SUMIF('ПО КОРИСНИЦИМА'!$G$8:$G$18203,"Свега за пројекат 0602-П6:",'ПО КОРИСНИЦИМА'!$H$8:$H$18203)</f>
        <v>0</v>
      </c>
      <c r="E537" s="683"/>
      <c r="F537" s="694" t="e">
        <f t="shared" si="16"/>
        <v>#DIV/0!</v>
      </c>
      <c r="G537" s="692">
        <f>SUMIF('ПО КОРИСНИЦИМА'!$G$8:$G$18203,"Свега за пројекат 0602-П6:",'ПО КОРИСНИЦИМА'!$K$8:$K$18203)</f>
        <v>0</v>
      </c>
      <c r="H537" s="275"/>
      <c r="I537" s="689"/>
      <c r="J537" s="688" t="e">
        <f t="shared" si="17"/>
        <v>#DIV/0!</v>
      </c>
    </row>
    <row r="538" spans="1:10" hidden="1" x14ac:dyDescent="0.2">
      <c r="A538" s="232"/>
      <c r="B538" s="87" t="s">
        <v>4936</v>
      </c>
      <c r="C538" s="208" t="str">
        <f>IFERROR(VLOOKUP(B538,'ПО КОРИСНИЦИМА'!$C$8:$L$18203,5,FALSE),"")</f>
        <v/>
      </c>
      <c r="D538" s="265">
        <f>SUMIF('ПО КОРИСНИЦИМА'!$G$8:$G$18203,"Свега за пројекат 0602-П7:",'ПО КОРИСНИЦИМА'!$H$8:$H$18203)</f>
        <v>0</v>
      </c>
      <c r="E538" s="683"/>
      <c r="F538" s="694" t="e">
        <f t="shared" si="16"/>
        <v>#DIV/0!</v>
      </c>
      <c r="G538" s="692">
        <f>SUMIF('ПО КОРИСНИЦИМА'!$G$8:$G$18203,"Свега за пројекат 0602-П7:",'ПО КОРИСНИЦИМА'!$K$8:$K$18203)</f>
        <v>0</v>
      </c>
      <c r="H538" s="275"/>
      <c r="I538" s="689"/>
      <c r="J538" s="688" t="e">
        <f t="shared" si="17"/>
        <v>#DIV/0!</v>
      </c>
    </row>
    <row r="539" spans="1:10" hidden="1" x14ac:dyDescent="0.2">
      <c r="A539" s="232"/>
      <c r="B539" s="87" t="s">
        <v>4937</v>
      </c>
      <c r="C539" s="208" t="str">
        <f>IFERROR(VLOOKUP(B539,'ПО КОРИСНИЦИМА'!$C$8:$L$18203,5,FALSE),"")</f>
        <v/>
      </c>
      <c r="D539" s="265">
        <f>SUMIF('ПО КОРИСНИЦИМА'!$G$8:$G$18203,"Свега за пројекат 0602-П8:",'ПО КОРИСНИЦИМА'!$H$8:$H$18203)</f>
        <v>0</v>
      </c>
      <c r="E539" s="683"/>
      <c r="F539" s="694" t="e">
        <f t="shared" si="16"/>
        <v>#DIV/0!</v>
      </c>
      <c r="G539" s="692">
        <f>SUMIF('ПО КОРИСНИЦИМА'!$G$8:$G$18203,"Свега за пројекат 0602-П8:",'ПО КОРИСНИЦИМА'!$K$8:$K$18203)</f>
        <v>0</v>
      </c>
      <c r="H539" s="275"/>
      <c r="I539" s="689"/>
      <c r="J539" s="688" t="e">
        <f t="shared" si="17"/>
        <v>#DIV/0!</v>
      </c>
    </row>
    <row r="540" spans="1:10" hidden="1" x14ac:dyDescent="0.2">
      <c r="A540" s="232"/>
      <c r="B540" s="87" t="s">
        <v>4938</v>
      </c>
      <c r="C540" s="208" t="str">
        <f>IFERROR(VLOOKUP(B540,'ПО КОРИСНИЦИМА'!$C$8:$L$18203,5,FALSE),"")</f>
        <v/>
      </c>
      <c r="D540" s="265">
        <f>SUMIF('ПО КОРИСНИЦИМА'!$G$8:$G$18203,"Свега за пројекат 0602-П9:",'ПО КОРИСНИЦИМА'!$H$8:$H$18203)</f>
        <v>0</v>
      </c>
      <c r="E540" s="683"/>
      <c r="F540" s="694" t="e">
        <f t="shared" si="16"/>
        <v>#DIV/0!</v>
      </c>
      <c r="G540" s="692">
        <f>SUMIF('ПО КОРИСНИЦИМА'!$G$8:$G$18203,"Свега за пројекат 0602-П9:",'ПО КОРИСНИЦИМА'!$K$8:$K$18203)</f>
        <v>0</v>
      </c>
      <c r="H540" s="275"/>
      <c r="I540" s="689"/>
      <c r="J540" s="688" t="e">
        <f t="shared" si="17"/>
        <v>#DIV/0!</v>
      </c>
    </row>
    <row r="541" spans="1:10" hidden="1" x14ac:dyDescent="0.2">
      <c r="A541" s="232"/>
      <c r="B541" s="87" t="s">
        <v>4939</v>
      </c>
      <c r="C541" s="208" t="str">
        <f>IFERROR(VLOOKUP(B541,'ПО КОРИСНИЦИМА'!$C$8:$L$18203,5,FALSE),"")</f>
        <v/>
      </c>
      <c r="D541" s="265">
        <f>SUMIF('ПО КОРИСНИЦИМА'!$G$8:$G$18203,"Свега за пројекат 0602-П10:",'ПО КОРИСНИЦИМА'!$H$8:$H$18203)</f>
        <v>0</v>
      </c>
      <c r="E541" s="683"/>
      <c r="F541" s="694" t="e">
        <f t="shared" si="16"/>
        <v>#DIV/0!</v>
      </c>
      <c r="G541" s="692">
        <f>SUMIF('ПО КОРИСНИЦИМА'!$G$8:$G$18203,"Свега за пројекат 0602-П10:",'ПО КОРИСНИЦИМА'!$K$8:$K$18203)</f>
        <v>0</v>
      </c>
      <c r="H541" s="275"/>
      <c r="I541" s="689"/>
      <c r="J541" s="688" t="e">
        <f t="shared" si="17"/>
        <v>#DIV/0!</v>
      </c>
    </row>
    <row r="542" spans="1:10" hidden="1" x14ac:dyDescent="0.2">
      <c r="A542" s="232"/>
      <c r="B542" s="87" t="s">
        <v>4940</v>
      </c>
      <c r="C542" s="208" t="str">
        <f>IFERROR(VLOOKUP(B542,'ПО КОРИСНИЦИМА'!$C$8:$L$18203,5,FALSE),"")</f>
        <v/>
      </c>
      <c r="D542" s="265">
        <f>SUMIF('ПО КОРИСНИЦИМА'!$G$8:$G$18203,"Свега за пројекат 0602-П11:",'ПО КОРИСНИЦИМА'!$H$8:$H$18203)</f>
        <v>0</v>
      </c>
      <c r="E542" s="683"/>
      <c r="F542" s="694" t="e">
        <f t="shared" si="16"/>
        <v>#DIV/0!</v>
      </c>
      <c r="G542" s="692">
        <f>SUMIF('ПО КОРИСНИЦИМА'!$G$8:$G$18203,"Свега за пројекат 0602-П11:",'ПО КОРИСНИЦИМА'!$K$8:$K$18203)</f>
        <v>0</v>
      </c>
      <c r="H542" s="275"/>
      <c r="I542" s="689"/>
      <c r="J542" s="688" t="e">
        <f t="shared" si="17"/>
        <v>#DIV/0!</v>
      </c>
    </row>
    <row r="543" spans="1:10" hidden="1" x14ac:dyDescent="0.2">
      <c r="A543" s="232"/>
      <c r="B543" s="87" t="s">
        <v>4941</v>
      </c>
      <c r="C543" s="208" t="str">
        <f>IFERROR(VLOOKUP(B543,'ПО КОРИСНИЦИМА'!$C$8:$L$18203,5,FALSE),"")</f>
        <v/>
      </c>
      <c r="D543" s="265">
        <f>SUMIF('ПО КОРИСНИЦИМА'!$G$8:$G$18203,"Свега за пројекат 0602-П12:",'ПО КОРИСНИЦИМА'!$H$8:$H$18203)</f>
        <v>0</v>
      </c>
      <c r="E543" s="683"/>
      <c r="F543" s="694" t="e">
        <f t="shared" si="16"/>
        <v>#DIV/0!</v>
      </c>
      <c r="G543" s="692">
        <f>SUMIF('ПО КОРИСНИЦИМА'!$G$8:$G$18203,"Свега за пројекат 0602-П12:",'ПО КОРИСНИЦИМА'!$K$8:$K$18203)</f>
        <v>0</v>
      </c>
      <c r="H543" s="275"/>
      <c r="I543" s="689"/>
      <c r="J543" s="688" t="e">
        <f t="shared" si="17"/>
        <v>#DIV/0!</v>
      </c>
    </row>
    <row r="544" spans="1:10" hidden="1" x14ac:dyDescent="0.2">
      <c r="A544" s="232"/>
      <c r="B544" s="87" t="s">
        <v>4942</v>
      </c>
      <c r="C544" s="208" t="str">
        <f>IFERROR(VLOOKUP(B544,'ПО КОРИСНИЦИМА'!$C$8:$L$18203,5,FALSE),"")</f>
        <v/>
      </c>
      <c r="D544" s="265">
        <f>SUMIF('ПО КОРИСНИЦИМА'!$G$8:$G$18203,"Свега за пројекат 0602-П13:",'ПО КОРИСНИЦИМА'!$H$8:$H$18203)</f>
        <v>0</v>
      </c>
      <c r="E544" s="683"/>
      <c r="F544" s="694" t="e">
        <f t="shared" si="16"/>
        <v>#DIV/0!</v>
      </c>
      <c r="G544" s="692">
        <f>SUMIF('ПО КОРИСНИЦИМА'!$G$8:$G$18203,"Свега за пројекат 0602-П13:",'ПО КОРИСНИЦИМА'!$K$8:$K$18203)</f>
        <v>0</v>
      </c>
      <c r="H544" s="275"/>
      <c r="I544" s="689"/>
      <c r="J544" s="688" t="e">
        <f t="shared" si="17"/>
        <v>#DIV/0!</v>
      </c>
    </row>
    <row r="545" spans="1:10" hidden="1" x14ac:dyDescent="0.2">
      <c r="A545" s="232"/>
      <c r="B545" s="87" t="s">
        <v>4943</v>
      </c>
      <c r="C545" s="208" t="str">
        <f>IFERROR(VLOOKUP(B545,'ПО КОРИСНИЦИМА'!$C$8:$L$18203,5,FALSE),"")</f>
        <v/>
      </c>
      <c r="D545" s="265">
        <f>SUMIF('ПО КОРИСНИЦИМА'!$G$8:$G$18203,"Свега за пројекат 0602-П14:",'ПО КОРИСНИЦИМА'!$H$8:$H$18203)</f>
        <v>0</v>
      </c>
      <c r="E545" s="683"/>
      <c r="F545" s="694" t="e">
        <f t="shared" si="16"/>
        <v>#DIV/0!</v>
      </c>
      <c r="G545" s="692">
        <f>SUMIF('ПО КОРИСНИЦИМА'!$G$8:$G$18203,"Свега за пројекат 0602-П14:",'ПО КОРИСНИЦИМА'!$K$8:$K$18203)</f>
        <v>0</v>
      </c>
      <c r="H545" s="275"/>
      <c r="I545" s="689"/>
      <c r="J545" s="688" t="e">
        <f t="shared" si="17"/>
        <v>#DIV/0!</v>
      </c>
    </row>
    <row r="546" spans="1:10" hidden="1" x14ac:dyDescent="0.2">
      <c r="A546" s="232"/>
      <c r="B546" s="87" t="s">
        <v>4944</v>
      </c>
      <c r="C546" s="208" t="str">
        <f>IFERROR(VLOOKUP(B546,'ПО КОРИСНИЦИМА'!$C$8:$L$18203,5,FALSE),"")</f>
        <v/>
      </c>
      <c r="D546" s="265">
        <f>SUMIF('ПО КОРИСНИЦИМА'!$G$8:$G$18203,"Свега за пројекат 0602-П15:",'ПО КОРИСНИЦИМА'!$H$8:$H$18203)</f>
        <v>0</v>
      </c>
      <c r="E546" s="683"/>
      <c r="F546" s="694" t="e">
        <f t="shared" si="16"/>
        <v>#DIV/0!</v>
      </c>
      <c r="G546" s="692">
        <f>SUMIF('ПО КОРИСНИЦИМА'!$G$8:$G$18203,"Свега за пројекат 0602-П15:",'ПО КОРИСНИЦИМА'!$K$8:$K$18203)</f>
        <v>0</v>
      </c>
      <c r="H546" s="275"/>
      <c r="I546" s="689"/>
      <c r="J546" s="688" t="e">
        <f t="shared" si="17"/>
        <v>#DIV/0!</v>
      </c>
    </row>
    <row r="547" spans="1:10" hidden="1" x14ac:dyDescent="0.2">
      <c r="A547" s="232"/>
      <c r="B547" s="87" t="s">
        <v>4945</v>
      </c>
      <c r="C547" s="208" t="str">
        <f>IFERROR(VLOOKUP(B547,'ПО КОРИСНИЦИМА'!$C$8:$L$18203,5,FALSE),"")</f>
        <v/>
      </c>
      <c r="D547" s="265">
        <f>SUMIF('ПО КОРИСНИЦИМА'!$G$8:$G$18203,"Свега за пројекат 0602-П16:",'ПО КОРИСНИЦИМА'!$H$8:$H$18203)</f>
        <v>0</v>
      </c>
      <c r="E547" s="683"/>
      <c r="F547" s="694" t="e">
        <f t="shared" si="16"/>
        <v>#DIV/0!</v>
      </c>
      <c r="G547" s="692">
        <f>SUMIF('ПО КОРИСНИЦИМА'!$G$8:$G$18203,"Свега за пројекат 0602-П16:",'ПО КОРИСНИЦИМА'!$K$8:$K$18203)</f>
        <v>0</v>
      </c>
      <c r="H547" s="275"/>
      <c r="I547" s="689"/>
      <c r="J547" s="688" t="e">
        <f t="shared" si="17"/>
        <v>#DIV/0!</v>
      </c>
    </row>
    <row r="548" spans="1:10" hidden="1" x14ac:dyDescent="0.2">
      <c r="A548" s="232"/>
      <c r="B548" s="87" t="s">
        <v>4946</v>
      </c>
      <c r="C548" s="208" t="str">
        <f>IFERROR(VLOOKUP(B548,'ПО КОРИСНИЦИМА'!$C$8:$L$18203,5,FALSE),"")</f>
        <v/>
      </c>
      <c r="D548" s="265">
        <f>SUMIF('ПО КОРИСНИЦИМА'!$G$8:$G$18203,"Свега за пројекат 0602-П17:",'ПО КОРИСНИЦИМА'!$H$8:$H$18203)</f>
        <v>0</v>
      </c>
      <c r="E548" s="683"/>
      <c r="F548" s="694" t="e">
        <f t="shared" si="16"/>
        <v>#DIV/0!</v>
      </c>
      <c r="G548" s="692">
        <f>SUMIF('ПО КОРИСНИЦИМА'!$G$8:$G$18203,"Свега за пројекат 0602-П17:",'ПО КОРИСНИЦИМА'!$K$8:$K$18203)</f>
        <v>0</v>
      </c>
      <c r="H548" s="275"/>
      <c r="I548" s="689"/>
      <c r="J548" s="688" t="e">
        <f t="shared" si="17"/>
        <v>#DIV/0!</v>
      </c>
    </row>
    <row r="549" spans="1:10" hidden="1" x14ac:dyDescent="0.2">
      <c r="A549" s="232"/>
      <c r="B549" s="87" t="s">
        <v>4947</v>
      </c>
      <c r="C549" s="208" t="str">
        <f>IFERROR(VLOOKUP(B549,'ПО КОРИСНИЦИМА'!$C$8:$L$18203,5,FALSE),"")</f>
        <v/>
      </c>
      <c r="D549" s="265">
        <f>SUMIF('ПО КОРИСНИЦИМА'!$G$8:$G$18203,"Свега за пројекат 0602-П18:",'ПО КОРИСНИЦИМА'!$H$8:$H$18203)</f>
        <v>0</v>
      </c>
      <c r="E549" s="683"/>
      <c r="F549" s="694" t="e">
        <f t="shared" ref="F549:F601" si="18">SUM(E549/D549)*100</f>
        <v>#DIV/0!</v>
      </c>
      <c r="G549" s="692">
        <f>SUMIF('ПО КОРИСНИЦИМА'!$G$8:$G$18203,"Свега за пројекат 0602-П18:",'ПО КОРИСНИЦИМА'!$K$8:$K$18203)</f>
        <v>0</v>
      </c>
      <c r="H549" s="275"/>
      <c r="I549" s="689"/>
      <c r="J549" s="688" t="e">
        <f t="shared" ref="J549:J602" si="19">SUM(H549/G549)*100</f>
        <v>#DIV/0!</v>
      </c>
    </row>
    <row r="550" spans="1:10" hidden="1" x14ac:dyDescent="0.2">
      <c r="A550" s="232"/>
      <c r="B550" s="87" t="s">
        <v>4948</v>
      </c>
      <c r="C550" s="208" t="str">
        <f>IFERROR(VLOOKUP(B550,'ПО КОРИСНИЦИМА'!$C$8:$L$18203,5,FALSE),"")</f>
        <v/>
      </c>
      <c r="D550" s="265">
        <f>SUMIF('ПО КОРИСНИЦИМА'!$G$8:$G$18203,"Свега за пројекат 0602-П19:",'ПО КОРИСНИЦИМА'!$H$8:$H$18203)</f>
        <v>0</v>
      </c>
      <c r="E550" s="683"/>
      <c r="F550" s="694" t="e">
        <f t="shared" si="18"/>
        <v>#DIV/0!</v>
      </c>
      <c r="G550" s="692">
        <f>SUMIF('ПО КОРИСНИЦИМА'!$G$8:$G$18203,"Свега за пројекат 0602-П19:",'ПО КОРИСНИЦИМА'!$K$8:$K$18203)</f>
        <v>0</v>
      </c>
      <c r="H550" s="275"/>
      <c r="I550" s="689"/>
      <c r="J550" s="688" t="e">
        <f t="shared" si="19"/>
        <v>#DIV/0!</v>
      </c>
    </row>
    <row r="551" spans="1:10" hidden="1" x14ac:dyDescent="0.2">
      <c r="A551" s="232"/>
      <c r="B551" s="87" t="s">
        <v>4949</v>
      </c>
      <c r="C551" s="208" t="str">
        <f>IFERROR(VLOOKUP(B551,'ПО КОРИСНИЦИМА'!$C$8:$L$18203,5,FALSE),"")</f>
        <v/>
      </c>
      <c r="D551" s="265">
        <f>SUMIF('ПО КОРИСНИЦИМА'!$G$8:$G$18203,"Свега за пројекат 0602-П20:",'ПО КОРИСНИЦИМА'!$H$8:$H$18203)</f>
        <v>0</v>
      </c>
      <c r="E551" s="683"/>
      <c r="F551" s="694" t="e">
        <f t="shared" si="18"/>
        <v>#DIV/0!</v>
      </c>
      <c r="G551" s="692">
        <f>SUMIF('ПО КОРИСНИЦИМА'!$G$8:$G$18203,"Свега за пројекат 0602-П20:",'ПО КОРИСНИЦИМА'!$K$8:$K$18203)</f>
        <v>0</v>
      </c>
      <c r="H551" s="275"/>
      <c r="I551" s="689"/>
      <c r="J551" s="688" t="e">
        <f t="shared" si="19"/>
        <v>#DIV/0!</v>
      </c>
    </row>
    <row r="552" spans="1:10" hidden="1" x14ac:dyDescent="0.2">
      <c r="A552" s="232"/>
      <c r="B552" s="87" t="s">
        <v>4950</v>
      </c>
      <c r="C552" s="208" t="str">
        <f>IFERROR(VLOOKUP(B552,'ПО КОРИСНИЦИМА'!$C$8:$L$18203,5,FALSE),"")</f>
        <v/>
      </c>
      <c r="D552" s="265">
        <f>SUMIF('ПО КОРИСНИЦИМА'!$G$8:$G$18203,"Свега за пројекат 0602-П21:",'ПО КОРИСНИЦИМА'!$H$8:$H$18203)</f>
        <v>0</v>
      </c>
      <c r="E552" s="683"/>
      <c r="F552" s="694" t="e">
        <f t="shared" si="18"/>
        <v>#DIV/0!</v>
      </c>
      <c r="G552" s="692">
        <f>SUMIF('ПО КОРИСНИЦИМА'!$G$8:$G$18203,"Свега за пројекат 0602-П21:",'ПО КОРИСНИЦИМА'!$K$8:$K$18203)</f>
        <v>0</v>
      </c>
      <c r="H552" s="275"/>
      <c r="I552" s="689"/>
      <c r="J552" s="688" t="e">
        <f t="shared" si="19"/>
        <v>#DIV/0!</v>
      </c>
    </row>
    <row r="553" spans="1:10" hidden="1" x14ac:dyDescent="0.2">
      <c r="A553" s="232"/>
      <c r="B553" s="87" t="s">
        <v>4951</v>
      </c>
      <c r="C553" s="208" t="str">
        <f>IFERROR(VLOOKUP(B553,'ПО КОРИСНИЦИМА'!$C$8:$L$18203,5,FALSE),"")</f>
        <v/>
      </c>
      <c r="D553" s="265">
        <f>SUMIF('ПО КОРИСНИЦИМА'!$G$8:$G$18203,"Свега за пројекат 0602-П22:",'ПО КОРИСНИЦИМА'!$H$8:$H$18203)</f>
        <v>0</v>
      </c>
      <c r="E553" s="683"/>
      <c r="F553" s="694" t="e">
        <f t="shared" si="18"/>
        <v>#DIV/0!</v>
      </c>
      <c r="G553" s="692">
        <f>SUMIF('ПО КОРИСНИЦИМА'!$G$8:$G$18203,"Свега за пројекат 0602-П22:",'ПО КОРИСНИЦИМА'!$K$8:$K$18203)</f>
        <v>0</v>
      </c>
      <c r="H553" s="275"/>
      <c r="I553" s="689"/>
      <c r="J553" s="688" t="e">
        <f t="shared" si="19"/>
        <v>#DIV/0!</v>
      </c>
    </row>
    <row r="554" spans="1:10" hidden="1" x14ac:dyDescent="0.2">
      <c r="A554" s="232"/>
      <c r="B554" s="87" t="s">
        <v>4952</v>
      </c>
      <c r="C554" s="208" t="str">
        <f>IFERROR(VLOOKUP(B554,'ПО КОРИСНИЦИМА'!$C$8:$L$18203,5,FALSE),"")</f>
        <v/>
      </c>
      <c r="D554" s="265">
        <f>SUMIF('ПО КОРИСНИЦИМА'!$G$8:$G$18203,"Свега за пројекат 0602-П23:",'ПО КОРИСНИЦИМА'!$H$8:$H$18203)</f>
        <v>0</v>
      </c>
      <c r="E554" s="683"/>
      <c r="F554" s="694" t="e">
        <f t="shared" si="18"/>
        <v>#DIV/0!</v>
      </c>
      <c r="G554" s="692">
        <f>SUMIF('ПО КОРИСНИЦИМА'!$G$8:$G$18203,"Свега за пројекат 0602-П23:",'ПО КОРИСНИЦИМА'!$K$8:$K$18203)</f>
        <v>0</v>
      </c>
      <c r="H554" s="275"/>
      <c r="I554" s="689"/>
      <c r="J554" s="688" t="e">
        <f t="shared" si="19"/>
        <v>#DIV/0!</v>
      </c>
    </row>
    <row r="555" spans="1:10" hidden="1" x14ac:dyDescent="0.2">
      <c r="A555" s="232"/>
      <c r="B555" s="87" t="s">
        <v>4953</v>
      </c>
      <c r="C555" s="208" t="str">
        <f>IFERROR(VLOOKUP(B555,'ПО КОРИСНИЦИМА'!$C$8:$L$18203,5,FALSE),"")</f>
        <v/>
      </c>
      <c r="D555" s="265">
        <f>SUMIF('ПО КОРИСНИЦИМА'!$G$8:$G$18203,"Свега за пројекат 0602-П24:",'ПО КОРИСНИЦИМА'!$H$8:$H$18203)</f>
        <v>0</v>
      </c>
      <c r="E555" s="683"/>
      <c r="F555" s="694" t="e">
        <f t="shared" si="18"/>
        <v>#DIV/0!</v>
      </c>
      <c r="G555" s="692">
        <f>SUMIF('ПО КОРИСНИЦИМА'!$G$8:$G$18203,"Свега за пројекат 0602-П24:",'ПО КОРИСНИЦИМА'!$K$8:$K$18203)</f>
        <v>0</v>
      </c>
      <c r="H555" s="275"/>
      <c r="I555" s="689"/>
      <c r="J555" s="688" t="e">
        <f t="shared" si="19"/>
        <v>#DIV/0!</v>
      </c>
    </row>
    <row r="556" spans="1:10" hidden="1" x14ac:dyDescent="0.2">
      <c r="A556" s="232"/>
      <c r="B556" s="87" t="s">
        <v>4954</v>
      </c>
      <c r="C556" s="208" t="str">
        <f>IFERROR(VLOOKUP(B556,'ПО КОРИСНИЦИМА'!$C$8:$L$18203,5,FALSE),"")</f>
        <v/>
      </c>
      <c r="D556" s="265">
        <f>SUMIF('ПО КОРИСНИЦИМА'!$G$8:$G$18203,"Свега за пројекат 0602-П25:",'ПО КОРИСНИЦИМА'!$H$8:$H$18203)</f>
        <v>0</v>
      </c>
      <c r="E556" s="683"/>
      <c r="F556" s="694" t="e">
        <f t="shared" si="18"/>
        <v>#DIV/0!</v>
      </c>
      <c r="G556" s="692">
        <f>SUMIF('ПО КОРИСНИЦИМА'!$G$8:$G$18203,"Свега за пројекат 0602-П25:",'ПО КОРИСНИЦИМА'!$K$8:$K$18203)</f>
        <v>0</v>
      </c>
      <c r="H556" s="275"/>
      <c r="I556" s="689"/>
      <c r="J556" s="688" t="e">
        <f t="shared" si="19"/>
        <v>#DIV/0!</v>
      </c>
    </row>
    <row r="557" spans="1:10" hidden="1" x14ac:dyDescent="0.2">
      <c r="A557" s="232"/>
      <c r="B557" s="87" t="s">
        <v>4955</v>
      </c>
      <c r="C557" s="208" t="str">
        <f>IFERROR(VLOOKUP(B557,'ПО КОРИСНИЦИМА'!$C$8:$L$18203,5,FALSE),"")</f>
        <v/>
      </c>
      <c r="D557" s="265">
        <f>SUMIF('ПО КОРИСНИЦИМА'!$G$8:$G$18203,"Свега за пројекат 0602-П26:",'ПО КОРИСНИЦИМА'!$H$8:$H$18203)</f>
        <v>0</v>
      </c>
      <c r="E557" s="683"/>
      <c r="F557" s="694" t="e">
        <f t="shared" si="18"/>
        <v>#DIV/0!</v>
      </c>
      <c r="G557" s="692">
        <f>SUMIF('ПО КОРИСНИЦИМА'!$G$8:$G$18203,"Свега за пројекат 0602-П26:",'ПО КОРИСНИЦИМА'!$K$8:$K$18203)</f>
        <v>0</v>
      </c>
      <c r="H557" s="275"/>
      <c r="I557" s="689"/>
      <c r="J557" s="688" t="e">
        <f t="shared" si="19"/>
        <v>#DIV/0!</v>
      </c>
    </row>
    <row r="558" spans="1:10" hidden="1" x14ac:dyDescent="0.2">
      <c r="A558" s="232"/>
      <c r="B558" s="87" t="s">
        <v>4956</v>
      </c>
      <c r="C558" s="208" t="str">
        <f>IFERROR(VLOOKUP(B558,'ПО КОРИСНИЦИМА'!$C$8:$L$18203,5,FALSE),"")</f>
        <v/>
      </c>
      <c r="D558" s="265">
        <f>SUMIF('ПО КОРИСНИЦИМА'!$G$8:$G$18203,"Свега за пројекат 0602-П27:",'ПО КОРИСНИЦИМА'!$H$8:$H$18203)</f>
        <v>0</v>
      </c>
      <c r="E558" s="683"/>
      <c r="F558" s="694" t="e">
        <f t="shared" si="18"/>
        <v>#DIV/0!</v>
      </c>
      <c r="G558" s="692">
        <f>SUMIF('ПО КОРИСНИЦИМА'!$G$8:$G$18203,"Свега за пројекат 0602-П27:",'ПО КОРИСНИЦИМА'!$K$8:$K$18203)</f>
        <v>0</v>
      </c>
      <c r="H558" s="275"/>
      <c r="I558" s="689"/>
      <c r="J558" s="688" t="e">
        <f t="shared" si="19"/>
        <v>#DIV/0!</v>
      </c>
    </row>
    <row r="559" spans="1:10" hidden="1" x14ac:dyDescent="0.2">
      <c r="A559" s="232"/>
      <c r="B559" s="87" t="s">
        <v>4957</v>
      </c>
      <c r="C559" s="208" t="str">
        <f>IFERROR(VLOOKUP(B559,'ПО КОРИСНИЦИМА'!$C$8:$L$18203,5,FALSE),"")</f>
        <v/>
      </c>
      <c r="D559" s="265">
        <f>SUMIF('ПО КОРИСНИЦИМА'!$G$8:$G$18203,"Свега за пројекат 0602-П28:",'ПО КОРИСНИЦИМА'!$H$8:$H$18203)</f>
        <v>0</v>
      </c>
      <c r="E559" s="683"/>
      <c r="F559" s="694" t="e">
        <f t="shared" si="18"/>
        <v>#DIV/0!</v>
      </c>
      <c r="G559" s="692">
        <f>SUMIF('ПО КОРИСНИЦИМА'!$G$8:$G$18203,"Свега за пројекат 0602-П28:",'ПО КОРИСНИЦИМА'!$K$8:$K$18203)</f>
        <v>0</v>
      </c>
      <c r="H559" s="275"/>
      <c r="I559" s="689"/>
      <c r="J559" s="688" t="e">
        <f t="shared" si="19"/>
        <v>#DIV/0!</v>
      </c>
    </row>
    <row r="560" spans="1:10" hidden="1" x14ac:dyDescent="0.2">
      <c r="A560" s="232"/>
      <c r="B560" s="87" t="s">
        <v>4958</v>
      </c>
      <c r="C560" s="208" t="str">
        <f>IFERROR(VLOOKUP(B560,'ПО КОРИСНИЦИМА'!$C$8:$L$18203,5,FALSE),"")</f>
        <v/>
      </c>
      <c r="D560" s="265">
        <f>SUMIF('ПО КОРИСНИЦИМА'!$G$8:$G$18203,"Свега за пројекат 0602-П29:",'ПО КОРИСНИЦИМА'!$H$8:$H$18203)</f>
        <v>0</v>
      </c>
      <c r="E560" s="683"/>
      <c r="F560" s="694" t="e">
        <f t="shared" si="18"/>
        <v>#DIV/0!</v>
      </c>
      <c r="G560" s="692">
        <f>SUMIF('ПО КОРИСНИЦИМА'!$G$8:$G$18203,"Свега за пројекат 0602-П29:",'ПО КОРИСНИЦИМА'!$K$8:$K$18203)</f>
        <v>0</v>
      </c>
      <c r="H560" s="275"/>
      <c r="I560" s="689"/>
      <c r="J560" s="688" t="e">
        <f t="shared" si="19"/>
        <v>#DIV/0!</v>
      </c>
    </row>
    <row r="561" spans="1:10" hidden="1" x14ac:dyDescent="0.2">
      <c r="A561" s="232"/>
      <c r="B561" s="87" t="s">
        <v>4959</v>
      </c>
      <c r="C561" s="208" t="str">
        <f>IFERROR(VLOOKUP(B561,'ПО КОРИСНИЦИМА'!$C$8:$L$18203,5,FALSE),"")</f>
        <v/>
      </c>
      <c r="D561" s="265">
        <f>SUMIF('ПО КОРИСНИЦИМА'!$G$8:$G$18203,"Свега за пројекат 0602-П30:",'ПО КОРИСНИЦИМА'!$H$8:$H$18203)</f>
        <v>0</v>
      </c>
      <c r="E561" s="683"/>
      <c r="F561" s="694" t="e">
        <f t="shared" si="18"/>
        <v>#DIV/0!</v>
      </c>
      <c r="G561" s="692">
        <f>SUMIF('ПО КОРИСНИЦИМА'!$G$8:$G$18203,"Свега за пројекат 0602-П30:",'ПО КОРИСНИЦИМА'!$K$8:$K$18203)</f>
        <v>0</v>
      </c>
      <c r="H561" s="275"/>
      <c r="I561" s="689"/>
      <c r="J561" s="688" t="e">
        <f t="shared" si="19"/>
        <v>#DIV/0!</v>
      </c>
    </row>
    <row r="562" spans="1:10" hidden="1" x14ac:dyDescent="0.2">
      <c r="A562" s="232"/>
      <c r="B562" s="87" t="s">
        <v>4960</v>
      </c>
      <c r="C562" s="208" t="str">
        <f>IFERROR(VLOOKUP(B562,'ПО КОРИСНИЦИМА'!$C$8:$L$18203,5,FALSE),"")</f>
        <v/>
      </c>
      <c r="D562" s="265">
        <f>SUMIF('ПО КОРИСНИЦИМА'!$G$8:$G$18203,"Свега за пројекат 0602-П31:",'ПО КОРИСНИЦИМА'!$H$8:$H$18203)</f>
        <v>0</v>
      </c>
      <c r="E562" s="683"/>
      <c r="F562" s="694" t="e">
        <f t="shared" si="18"/>
        <v>#DIV/0!</v>
      </c>
      <c r="G562" s="692">
        <f>SUMIF('ПО КОРИСНИЦИМА'!$G$8:$G$18203,"Свега за пројекат 0602-П31:",'ПО КОРИСНИЦИМА'!$K$8:$K$18203)</f>
        <v>0</v>
      </c>
      <c r="H562" s="275"/>
      <c r="I562" s="689"/>
      <c r="J562" s="688" t="e">
        <f t="shared" si="19"/>
        <v>#DIV/0!</v>
      </c>
    </row>
    <row r="563" spans="1:10" hidden="1" x14ac:dyDescent="0.2">
      <c r="A563" s="232"/>
      <c r="B563" s="87" t="s">
        <v>4961</v>
      </c>
      <c r="C563" s="208" t="str">
        <f>IFERROR(VLOOKUP(B563,'ПО КОРИСНИЦИМА'!$C$8:$L$18203,5,FALSE),"")</f>
        <v/>
      </c>
      <c r="D563" s="265">
        <f>SUMIF('ПО КОРИСНИЦИМА'!$G$8:$G$18203,"Свега за пројекат 0602-П32:",'ПО КОРИСНИЦИМА'!$H$8:$H$18203)</f>
        <v>0</v>
      </c>
      <c r="E563" s="683"/>
      <c r="F563" s="694" t="e">
        <f t="shared" si="18"/>
        <v>#DIV/0!</v>
      </c>
      <c r="G563" s="692">
        <f>SUMIF('ПО КОРИСНИЦИМА'!$G$8:$G$18203,"Свега за пројекат 0602-П32:",'ПО КОРИСНИЦИМА'!$K$8:$K$18203)</f>
        <v>0</v>
      </c>
      <c r="H563" s="275"/>
      <c r="I563" s="689"/>
      <c r="J563" s="688" t="e">
        <f t="shared" si="19"/>
        <v>#DIV/0!</v>
      </c>
    </row>
    <row r="564" spans="1:10" hidden="1" x14ac:dyDescent="0.2">
      <c r="A564" s="232"/>
      <c r="B564" s="87" t="s">
        <v>4962</v>
      </c>
      <c r="C564" s="208" t="str">
        <f>IFERROR(VLOOKUP(B564,'ПО КОРИСНИЦИМА'!$C$8:$L$18203,5,FALSE),"")</f>
        <v/>
      </c>
      <c r="D564" s="265">
        <f>SUMIF('ПО КОРИСНИЦИМА'!$G$8:$G$18203,"Свега за пројекат 0602-П33:",'ПО КОРИСНИЦИМА'!$H$8:$H$18203)</f>
        <v>0</v>
      </c>
      <c r="E564" s="683"/>
      <c r="F564" s="694" t="e">
        <f t="shared" si="18"/>
        <v>#DIV/0!</v>
      </c>
      <c r="G564" s="692">
        <f>SUMIF('ПО КОРИСНИЦИМА'!$G$8:$G$18203,"Свега за пројекат 0602-П33:",'ПО КОРИСНИЦИМА'!$K$8:$K$18203)</f>
        <v>0</v>
      </c>
      <c r="H564" s="275"/>
      <c r="I564" s="689"/>
      <c r="J564" s="688" t="e">
        <f t="shared" si="19"/>
        <v>#DIV/0!</v>
      </c>
    </row>
    <row r="565" spans="1:10" hidden="1" x14ac:dyDescent="0.2">
      <c r="A565" s="232"/>
      <c r="B565" s="87" t="s">
        <v>4963</v>
      </c>
      <c r="C565" s="208" t="str">
        <f>IFERROR(VLOOKUP(B565,'ПО КОРИСНИЦИМА'!$C$8:$L$18203,5,FALSE),"")</f>
        <v/>
      </c>
      <c r="D565" s="265">
        <f>SUMIF('ПО КОРИСНИЦИМА'!$G$8:$G$18203,"Свега за пројекат 0602-П34:",'ПО КОРИСНИЦИМА'!$H$8:$H$18203)</f>
        <v>0</v>
      </c>
      <c r="E565" s="683"/>
      <c r="F565" s="694" t="e">
        <f t="shared" si="18"/>
        <v>#DIV/0!</v>
      </c>
      <c r="G565" s="692">
        <f>SUMIF('ПО КОРИСНИЦИМА'!$G$8:$G$18203,"Свега за пројекат 0602-П34:",'ПО КОРИСНИЦИМА'!$K$8:$K$18203)</f>
        <v>0</v>
      </c>
      <c r="H565" s="275"/>
      <c r="I565" s="689"/>
      <c r="J565" s="688" t="e">
        <f t="shared" si="19"/>
        <v>#DIV/0!</v>
      </c>
    </row>
    <row r="566" spans="1:10" hidden="1" x14ac:dyDescent="0.2">
      <c r="A566" s="232"/>
      <c r="B566" s="87" t="s">
        <v>4964</v>
      </c>
      <c r="C566" s="208" t="str">
        <f>IFERROR(VLOOKUP(B566,'ПО КОРИСНИЦИМА'!$C$8:$L$18203,5,FALSE),"")</f>
        <v/>
      </c>
      <c r="D566" s="265">
        <f>SUMIF('ПО КОРИСНИЦИМА'!$G$8:$G$18203,"Свега за пројекат 0602-П35:",'ПО КОРИСНИЦИМА'!$H$8:$H$18203)</f>
        <v>0</v>
      </c>
      <c r="E566" s="683"/>
      <c r="F566" s="694" t="e">
        <f t="shared" si="18"/>
        <v>#DIV/0!</v>
      </c>
      <c r="G566" s="692">
        <f>SUMIF('ПО КОРИСНИЦИМА'!$G$8:$G$18203,"Свега за пројекат 0602-П35:",'ПО КОРИСНИЦИМА'!$K$8:$K$18203)</f>
        <v>0</v>
      </c>
      <c r="H566" s="275"/>
      <c r="I566" s="689"/>
      <c r="J566" s="688" t="e">
        <f t="shared" si="19"/>
        <v>#DIV/0!</v>
      </c>
    </row>
    <row r="567" spans="1:10" hidden="1" x14ac:dyDescent="0.2">
      <c r="A567" s="232"/>
      <c r="B567" s="87" t="s">
        <v>4965</v>
      </c>
      <c r="C567" s="208" t="str">
        <f>IFERROR(VLOOKUP(B567,'ПО КОРИСНИЦИМА'!$C$8:$L$18203,5,FALSE),"")</f>
        <v/>
      </c>
      <c r="D567" s="265">
        <f>SUMIF('ПО КОРИСНИЦИМА'!$G$8:$G$18203,"Свега за пројекат 0602-П36:",'ПО КОРИСНИЦИМА'!$H$8:$H$18203)</f>
        <v>0</v>
      </c>
      <c r="E567" s="683"/>
      <c r="F567" s="694" t="e">
        <f t="shared" si="18"/>
        <v>#DIV/0!</v>
      </c>
      <c r="G567" s="692">
        <f>SUMIF('ПО КОРИСНИЦИМА'!$G$8:$G$18203,"Свега за пројекат 0602-П36:",'ПО КОРИСНИЦИМА'!$K$8:$K$18203)</f>
        <v>0</v>
      </c>
      <c r="H567" s="275"/>
      <c r="I567" s="689"/>
      <c r="J567" s="688" t="e">
        <f t="shared" si="19"/>
        <v>#DIV/0!</v>
      </c>
    </row>
    <row r="568" spans="1:10" hidden="1" x14ac:dyDescent="0.2">
      <c r="A568" s="232"/>
      <c r="B568" s="87" t="s">
        <v>4966</v>
      </c>
      <c r="C568" s="208" t="str">
        <f>IFERROR(VLOOKUP(B568,'ПО КОРИСНИЦИМА'!$C$8:$L$18203,5,FALSE),"")</f>
        <v/>
      </c>
      <c r="D568" s="265">
        <f>SUMIF('ПО КОРИСНИЦИМА'!$G$8:$G$18203,"Свега за пројекат 0602-П37:",'ПО КОРИСНИЦИМА'!$H$8:$H$18203)</f>
        <v>0</v>
      </c>
      <c r="E568" s="683"/>
      <c r="F568" s="694" t="e">
        <f t="shared" si="18"/>
        <v>#DIV/0!</v>
      </c>
      <c r="G568" s="692">
        <f>SUMIF('ПО КОРИСНИЦИМА'!$G$8:$G$18203,"Свега за пројекат 0602-П37:",'ПО КОРИСНИЦИМА'!$K$8:$K$18203)</f>
        <v>0</v>
      </c>
      <c r="H568" s="275"/>
      <c r="I568" s="689"/>
      <c r="J568" s="688" t="e">
        <f t="shared" si="19"/>
        <v>#DIV/0!</v>
      </c>
    </row>
    <row r="569" spans="1:10" hidden="1" x14ac:dyDescent="0.2">
      <c r="A569" s="232"/>
      <c r="B569" s="87" t="s">
        <v>4967</v>
      </c>
      <c r="C569" s="208" t="str">
        <f>IFERROR(VLOOKUP(B569,'ПО КОРИСНИЦИМА'!$C$8:$L$18203,5,FALSE),"")</f>
        <v/>
      </c>
      <c r="D569" s="265">
        <f>SUMIF('ПО КОРИСНИЦИМА'!$G$8:$G$18203,"Свега за пројекат 0602-П38:",'ПО КОРИСНИЦИМА'!$H$8:$H$18203)</f>
        <v>0</v>
      </c>
      <c r="E569" s="683"/>
      <c r="F569" s="694" t="e">
        <f t="shared" si="18"/>
        <v>#DIV/0!</v>
      </c>
      <c r="G569" s="692">
        <f>SUMIF('ПО КОРИСНИЦИМА'!$G$8:$G$18203,"Свега за пројекат 0602-П38:",'ПО КОРИСНИЦИМА'!$K$8:$K$18203)</f>
        <v>0</v>
      </c>
      <c r="H569" s="275"/>
      <c r="I569" s="689"/>
      <c r="J569" s="688" t="e">
        <f t="shared" si="19"/>
        <v>#DIV/0!</v>
      </c>
    </row>
    <row r="570" spans="1:10" hidden="1" x14ac:dyDescent="0.2">
      <c r="A570" s="232"/>
      <c r="B570" s="87" t="s">
        <v>4968</v>
      </c>
      <c r="C570" s="208" t="str">
        <f>IFERROR(VLOOKUP(B570,'ПО КОРИСНИЦИМА'!$C$8:$L$18203,5,FALSE),"")</f>
        <v/>
      </c>
      <c r="D570" s="265">
        <f>SUMIF('ПО КОРИСНИЦИМА'!$G$8:$G$18203,"Свега за пројекат 0602-П39:",'ПО КОРИСНИЦИМА'!$H$8:$H$18203)</f>
        <v>0</v>
      </c>
      <c r="E570" s="683"/>
      <c r="F570" s="694" t="e">
        <f t="shared" si="18"/>
        <v>#DIV/0!</v>
      </c>
      <c r="G570" s="692">
        <f>SUMIF('ПО КОРИСНИЦИМА'!$G$8:$G$18203,"Свега за пројекат 0602-П39:",'ПО КОРИСНИЦИМА'!$K$8:$K$18203)</f>
        <v>0</v>
      </c>
      <c r="H570" s="275"/>
      <c r="I570" s="689"/>
      <c r="J570" s="688" t="e">
        <f t="shared" si="19"/>
        <v>#DIV/0!</v>
      </c>
    </row>
    <row r="571" spans="1:10" hidden="1" x14ac:dyDescent="0.2">
      <c r="A571" s="232"/>
      <c r="B571" s="87" t="s">
        <v>4969</v>
      </c>
      <c r="C571" s="208" t="str">
        <f>IFERROR(VLOOKUP(B571,'ПО КОРИСНИЦИМА'!$C$8:$L$18203,5,FALSE),"")</f>
        <v/>
      </c>
      <c r="D571" s="265">
        <f>SUMIF('ПО КОРИСНИЦИМА'!$G$8:$G$18203,"Свега за пројекат 0602-П40:",'ПО КОРИСНИЦИМА'!$H$8:$H$18203)</f>
        <v>0</v>
      </c>
      <c r="E571" s="683"/>
      <c r="F571" s="694" t="e">
        <f t="shared" si="18"/>
        <v>#DIV/0!</v>
      </c>
      <c r="G571" s="692">
        <f>SUMIF('ПО КОРИСНИЦИМА'!$G$8:$G$18203,"Свега за пројекат 0602-П40:",'ПО КОРИСНИЦИМА'!$K$8:$K$18203)</f>
        <v>0</v>
      </c>
      <c r="H571" s="275"/>
      <c r="I571" s="689"/>
      <c r="J571" s="688" t="e">
        <f t="shared" si="19"/>
        <v>#DIV/0!</v>
      </c>
    </row>
    <row r="572" spans="1:10" hidden="1" x14ac:dyDescent="0.2">
      <c r="A572" s="232"/>
      <c r="B572" s="87" t="s">
        <v>4970</v>
      </c>
      <c r="C572" s="208" t="str">
        <f>IFERROR(VLOOKUP(B572,'ПО КОРИСНИЦИМА'!$C$8:$L$18203,5,FALSE),"")</f>
        <v/>
      </c>
      <c r="D572" s="265">
        <f>SUMIF('ПО КОРИСНИЦИМА'!$G$8:$G$18203,"Свега за пројекат 0602-П41:",'ПО КОРИСНИЦИМА'!$H$8:$H$18203)</f>
        <v>0</v>
      </c>
      <c r="E572" s="683"/>
      <c r="F572" s="694" t="e">
        <f t="shared" si="18"/>
        <v>#DIV/0!</v>
      </c>
      <c r="G572" s="692">
        <f>SUMIF('ПО КОРИСНИЦИМА'!$G$8:$G$18203,"Свега за пројекат 0602-П41:",'ПО КОРИСНИЦИМА'!$K$8:$K$18203)</f>
        <v>0</v>
      </c>
      <c r="H572" s="275"/>
      <c r="I572" s="689"/>
      <c r="J572" s="688" t="e">
        <f t="shared" si="19"/>
        <v>#DIV/0!</v>
      </c>
    </row>
    <row r="573" spans="1:10" hidden="1" x14ac:dyDescent="0.2">
      <c r="A573" s="232"/>
      <c r="B573" s="87" t="s">
        <v>4971</v>
      </c>
      <c r="C573" s="208" t="str">
        <f>IFERROR(VLOOKUP(B573,'ПО КОРИСНИЦИМА'!$C$8:$L$18203,5,FALSE),"")</f>
        <v/>
      </c>
      <c r="D573" s="265">
        <f>SUMIF('ПО КОРИСНИЦИМА'!$G$8:$G$18203,"Свега за пројекат 0602-П42:",'ПО КОРИСНИЦИМА'!$H$8:$H$18203)</f>
        <v>0</v>
      </c>
      <c r="E573" s="683"/>
      <c r="F573" s="694" t="e">
        <f t="shared" si="18"/>
        <v>#DIV/0!</v>
      </c>
      <c r="G573" s="692">
        <f>SUMIF('ПО КОРИСНИЦИМА'!$G$8:$G$18203,"Свега за пројекат 0602-П42:",'ПО КОРИСНИЦИМА'!$K$8:$K$18203)</f>
        <v>0</v>
      </c>
      <c r="H573" s="275"/>
      <c r="I573" s="689"/>
      <c r="J573" s="688" t="e">
        <f t="shared" si="19"/>
        <v>#DIV/0!</v>
      </c>
    </row>
    <row r="574" spans="1:10" hidden="1" x14ac:dyDescent="0.2">
      <c r="A574" s="232"/>
      <c r="B574" s="87" t="s">
        <v>4972</v>
      </c>
      <c r="C574" s="208" t="str">
        <f>IFERROR(VLOOKUP(B574,'ПО КОРИСНИЦИМА'!$C$8:$L$18203,5,FALSE),"")</f>
        <v/>
      </c>
      <c r="D574" s="265">
        <f>SUMIF('ПО КОРИСНИЦИМА'!$G$8:$G$18203,"Свега за пројекат 0602-П43:",'ПО КОРИСНИЦИМА'!$H$8:$H$18203)</f>
        <v>0</v>
      </c>
      <c r="E574" s="683"/>
      <c r="F574" s="694" t="e">
        <f t="shared" si="18"/>
        <v>#DIV/0!</v>
      </c>
      <c r="G574" s="692">
        <f>SUMIF('ПО КОРИСНИЦИМА'!$G$8:$G$18203,"Свега за пројекат 0602-П43:",'ПО КОРИСНИЦИМА'!$K$8:$K$18203)</f>
        <v>0</v>
      </c>
      <c r="H574" s="275"/>
      <c r="I574" s="689"/>
      <c r="J574" s="688" t="e">
        <f t="shared" si="19"/>
        <v>#DIV/0!</v>
      </c>
    </row>
    <row r="575" spans="1:10" hidden="1" x14ac:dyDescent="0.2">
      <c r="A575" s="232"/>
      <c r="B575" s="87" t="s">
        <v>4973</v>
      </c>
      <c r="C575" s="208" t="str">
        <f>IFERROR(VLOOKUP(B575,'ПО КОРИСНИЦИМА'!$C$8:$L$18203,5,FALSE),"")</f>
        <v/>
      </c>
      <c r="D575" s="265">
        <f>SUMIF('ПО КОРИСНИЦИМА'!$G$8:$G$18203,"Свега за пројекат 0602-П44:",'ПО КОРИСНИЦИМА'!$H$8:$H$18203)</f>
        <v>0</v>
      </c>
      <c r="E575" s="683"/>
      <c r="F575" s="694" t="e">
        <f t="shared" si="18"/>
        <v>#DIV/0!</v>
      </c>
      <c r="G575" s="692">
        <f>SUMIF('ПО КОРИСНИЦИМА'!$G$8:$G$18203,"Свега за пројекат 0602-П44:",'ПО КОРИСНИЦИМА'!$K$8:$K$18203)</f>
        <v>0</v>
      </c>
      <c r="H575" s="275"/>
      <c r="I575" s="689"/>
      <c r="J575" s="688" t="e">
        <f t="shared" si="19"/>
        <v>#DIV/0!</v>
      </c>
    </row>
    <row r="576" spans="1:10" hidden="1" x14ac:dyDescent="0.2">
      <c r="A576" s="232"/>
      <c r="B576" s="87" t="s">
        <v>4974</v>
      </c>
      <c r="C576" s="208" t="str">
        <f>IFERROR(VLOOKUP(B576,'ПО КОРИСНИЦИМА'!$C$8:$L$18203,5,FALSE),"")</f>
        <v/>
      </c>
      <c r="D576" s="265">
        <f>SUMIF('ПО КОРИСНИЦИМА'!$G$8:$G$18203,"Свега за пројекат 0602-П45:",'ПО КОРИСНИЦИМА'!$H$8:$H$18203)</f>
        <v>0</v>
      </c>
      <c r="E576" s="683"/>
      <c r="F576" s="694" t="e">
        <f t="shared" si="18"/>
        <v>#DIV/0!</v>
      </c>
      <c r="G576" s="692">
        <f>SUMIF('ПО КОРИСНИЦИМА'!$G$8:$G$18203,"Свега за пројекат 0602-П45:",'ПО КОРИСНИЦИМА'!$K$8:$K$18203)</f>
        <v>0</v>
      </c>
      <c r="H576" s="275"/>
      <c r="I576" s="689"/>
      <c r="J576" s="688" t="e">
        <f t="shared" si="19"/>
        <v>#DIV/0!</v>
      </c>
    </row>
    <row r="577" spans="1:10" hidden="1" x14ac:dyDescent="0.2">
      <c r="A577" s="232"/>
      <c r="B577" s="87" t="s">
        <v>4975</v>
      </c>
      <c r="C577" s="208" t="str">
        <f>IFERROR(VLOOKUP(B577,'ПО КОРИСНИЦИМА'!$C$8:$L$18203,5,FALSE),"")</f>
        <v/>
      </c>
      <c r="D577" s="265">
        <f>SUMIF('ПО КОРИСНИЦИМА'!$G$8:$G$18203,"Свега за пројекат 0602-П46:",'ПО КОРИСНИЦИМА'!$H$8:$H$18203)</f>
        <v>0</v>
      </c>
      <c r="E577" s="683"/>
      <c r="F577" s="694" t="e">
        <f t="shared" si="18"/>
        <v>#DIV/0!</v>
      </c>
      <c r="G577" s="692">
        <f>SUMIF('ПО КОРИСНИЦИМА'!$G$8:$G$18203,"Свега за пројекат 0602-П46:",'ПО КОРИСНИЦИМА'!$K$8:$K$18203)</f>
        <v>0</v>
      </c>
      <c r="H577" s="275"/>
      <c r="I577" s="689"/>
      <c r="J577" s="688" t="e">
        <f t="shared" si="19"/>
        <v>#DIV/0!</v>
      </c>
    </row>
    <row r="578" spans="1:10" hidden="1" x14ac:dyDescent="0.2">
      <c r="A578" s="232"/>
      <c r="B578" s="87" t="s">
        <v>4976</v>
      </c>
      <c r="C578" s="208" t="str">
        <f>IFERROR(VLOOKUP(B578,'ПО КОРИСНИЦИМА'!$C$8:$L$18203,5,FALSE),"")</f>
        <v/>
      </c>
      <c r="D578" s="265">
        <f>SUMIF('ПО КОРИСНИЦИМА'!$G$8:$G$18203,"Свега за пројекат 0602-П47:",'ПО КОРИСНИЦИМА'!$H$8:$H$18203)</f>
        <v>0</v>
      </c>
      <c r="E578" s="683"/>
      <c r="F578" s="694" t="e">
        <f t="shared" si="18"/>
        <v>#DIV/0!</v>
      </c>
      <c r="G578" s="692">
        <f>SUMIF('ПО КОРИСНИЦИМА'!$G$8:$G$18203,"Свега за пројекат 0602-П47:",'ПО КОРИСНИЦИМА'!$K$8:$K$18203)</f>
        <v>0</v>
      </c>
      <c r="H578" s="275"/>
      <c r="I578" s="689"/>
      <c r="J578" s="688" t="e">
        <f t="shared" si="19"/>
        <v>#DIV/0!</v>
      </c>
    </row>
    <row r="579" spans="1:10" hidden="1" x14ac:dyDescent="0.2">
      <c r="A579" s="232"/>
      <c r="B579" s="87" t="s">
        <v>4977</v>
      </c>
      <c r="C579" s="208" t="str">
        <f>IFERROR(VLOOKUP(B579,'ПО КОРИСНИЦИМА'!$C$8:$L$18203,5,FALSE),"")</f>
        <v/>
      </c>
      <c r="D579" s="265">
        <f>SUMIF('ПО КОРИСНИЦИМА'!$G$8:$G$18203,"Свега за пројекат 0602-П48:",'ПО КОРИСНИЦИМА'!$H$8:$H$18203)</f>
        <v>0</v>
      </c>
      <c r="E579" s="683"/>
      <c r="F579" s="694" t="e">
        <f t="shared" si="18"/>
        <v>#DIV/0!</v>
      </c>
      <c r="G579" s="692">
        <f>SUMIF('ПО КОРИСНИЦИМА'!$G$8:$G$18203,"Свега за пројекат 0602-П48:",'ПО КОРИСНИЦИМА'!$K$8:$K$18203)</f>
        <v>0</v>
      </c>
      <c r="H579" s="275"/>
      <c r="I579" s="689"/>
      <c r="J579" s="688" t="e">
        <f t="shared" si="19"/>
        <v>#DIV/0!</v>
      </c>
    </row>
    <row r="580" spans="1:10" hidden="1" x14ac:dyDescent="0.2">
      <c r="A580" s="232"/>
      <c r="B580" s="87" t="s">
        <v>4978</v>
      </c>
      <c r="C580" s="208" t="str">
        <f>IFERROR(VLOOKUP(B580,'ПО КОРИСНИЦИМА'!$C$8:$L$18203,5,FALSE),"")</f>
        <v/>
      </c>
      <c r="D580" s="265">
        <f>SUMIF('ПО КОРИСНИЦИМА'!$G$8:$G$18203,"Свега за пројекат 0602-П49:",'ПО КОРИСНИЦИМА'!$H$8:$H$18203)</f>
        <v>0</v>
      </c>
      <c r="E580" s="683"/>
      <c r="F580" s="694" t="e">
        <f t="shared" si="18"/>
        <v>#DIV/0!</v>
      </c>
      <c r="G580" s="692">
        <f>SUMIF('ПО КОРИСНИЦИМА'!$G$8:$G$18203,"Свега за пројекат 0602-П49:",'ПО КОРИСНИЦИМА'!$K$8:$K$18203)</f>
        <v>0</v>
      </c>
      <c r="H580" s="275"/>
      <c r="I580" s="689"/>
      <c r="J580" s="688" t="e">
        <f t="shared" si="19"/>
        <v>#DIV/0!</v>
      </c>
    </row>
    <row r="581" spans="1:10" hidden="1" x14ac:dyDescent="0.2">
      <c r="A581" s="232"/>
      <c r="B581" s="87" t="s">
        <v>4979</v>
      </c>
      <c r="C581" s="208" t="str">
        <f>IFERROR(VLOOKUP(B581,'ПО КОРИСНИЦИМА'!$C$8:$L$18203,5,FALSE),"")</f>
        <v/>
      </c>
      <c r="D581" s="265">
        <f>SUMIF('ПО КОРИСНИЦИМА'!$G$8:$G$18203,"Свега за пројекат 0602-П50:",'ПО КОРИСНИЦИМА'!$H$8:$H$18203)</f>
        <v>0</v>
      </c>
      <c r="E581" s="683"/>
      <c r="F581" s="694" t="e">
        <f t="shared" si="18"/>
        <v>#DIV/0!</v>
      </c>
      <c r="G581" s="692">
        <f>SUMIF('ПО КОРИСНИЦИМА'!$G$8:$G$18203,"Свега за пројекат 0602-П50:",'ПО КОРИСНИЦИМА'!$K$8:$K$18203)</f>
        <v>0</v>
      </c>
      <c r="H581" s="275"/>
      <c r="I581" s="689"/>
      <c r="J581" s="688" t="e">
        <f t="shared" si="19"/>
        <v>#DIV/0!</v>
      </c>
    </row>
    <row r="582" spans="1:10" hidden="1" x14ac:dyDescent="0.2">
      <c r="A582" s="232"/>
      <c r="B582" s="87" t="s">
        <v>4980</v>
      </c>
      <c r="C582" s="208" t="str">
        <f>IFERROR(VLOOKUP(B582,'ПО КОРИСНИЦИМА'!$C$8:$L$18203,5,FALSE),"")</f>
        <v/>
      </c>
      <c r="D582" s="265">
        <f>SUMIF('ПО КОРИСНИЦИМА'!$G$8:$G$18203,"Свега за пројекат 0602-П51:",'ПО КОРИСНИЦИМА'!$H$8:$H$18203)</f>
        <v>0</v>
      </c>
      <c r="E582" s="683"/>
      <c r="F582" s="694" t="e">
        <f t="shared" si="18"/>
        <v>#DIV/0!</v>
      </c>
      <c r="G582" s="692">
        <f>SUMIF('ПО КОРИСНИЦИМА'!$G$8:$G$18203,"Свега за пројекат 0602-П51:",'ПО КОРИСНИЦИМА'!$K$8:$K$18203)</f>
        <v>0</v>
      </c>
      <c r="H582" s="275"/>
      <c r="I582" s="689"/>
      <c r="J582" s="688" t="e">
        <f t="shared" si="19"/>
        <v>#DIV/0!</v>
      </c>
    </row>
    <row r="583" spans="1:10" hidden="1" x14ac:dyDescent="0.2">
      <c r="A583" s="232"/>
      <c r="B583" s="87" t="s">
        <v>4981</v>
      </c>
      <c r="C583" s="208" t="str">
        <f>IFERROR(VLOOKUP(B583,'ПО КОРИСНИЦИМА'!$C$8:$L$18203,5,FALSE),"")</f>
        <v/>
      </c>
      <c r="D583" s="265">
        <f>SUMIF('ПО КОРИСНИЦИМА'!$G$8:$G$18203,"Свега за пројекат 0602-П52:",'ПО КОРИСНИЦИМА'!$H$8:$H$18203)</f>
        <v>0</v>
      </c>
      <c r="E583" s="683"/>
      <c r="F583" s="694" t="e">
        <f t="shared" si="18"/>
        <v>#DIV/0!</v>
      </c>
      <c r="G583" s="692">
        <f>SUMIF('ПО КОРИСНИЦИМА'!$G$8:$G$18203,"Свега за пројекат 0602-П52:",'ПО КОРИСНИЦИМА'!$K$8:$K$18203)</f>
        <v>0</v>
      </c>
      <c r="H583" s="275"/>
      <c r="I583" s="689"/>
      <c r="J583" s="688" t="e">
        <f t="shared" si="19"/>
        <v>#DIV/0!</v>
      </c>
    </row>
    <row r="584" spans="1:10" hidden="1" x14ac:dyDescent="0.2">
      <c r="A584" s="232"/>
      <c r="B584" s="87" t="s">
        <v>4982</v>
      </c>
      <c r="C584" s="208" t="str">
        <f>IFERROR(VLOOKUP(B584,'ПО КОРИСНИЦИМА'!$C$8:$L$18203,5,FALSE),"")</f>
        <v/>
      </c>
      <c r="D584" s="265">
        <f>SUMIF('ПО КОРИСНИЦИМА'!$G$8:$G$18203,"Свега за пројекат 0602-П53:",'ПО КОРИСНИЦИМА'!$H$8:$H$18203)</f>
        <v>0</v>
      </c>
      <c r="E584" s="683"/>
      <c r="F584" s="694" t="e">
        <f t="shared" si="18"/>
        <v>#DIV/0!</v>
      </c>
      <c r="G584" s="692">
        <f>SUMIF('ПО КОРИСНИЦИМА'!$G$8:$G$18203,"Свега за пројекат 0602-П53:",'ПО КОРИСНИЦИМА'!$K$8:$K$18203)</f>
        <v>0</v>
      </c>
      <c r="H584" s="275"/>
      <c r="I584" s="689"/>
      <c r="J584" s="688" t="e">
        <f t="shared" si="19"/>
        <v>#DIV/0!</v>
      </c>
    </row>
    <row r="585" spans="1:10" hidden="1" x14ac:dyDescent="0.2">
      <c r="A585" s="232"/>
      <c r="B585" s="87" t="s">
        <v>4983</v>
      </c>
      <c r="C585" s="208" t="str">
        <f>IFERROR(VLOOKUP(B585,'ПО КОРИСНИЦИМА'!$C$8:$L$18203,5,FALSE),"")</f>
        <v/>
      </c>
      <c r="D585" s="265">
        <f>SUMIF('ПО КОРИСНИЦИМА'!$G$8:$G$18203,"Свега за пројекат 0602-П54:",'ПО КОРИСНИЦИМА'!$H$8:$H$18203)</f>
        <v>0</v>
      </c>
      <c r="E585" s="683"/>
      <c r="F585" s="694" t="e">
        <f t="shared" si="18"/>
        <v>#DIV/0!</v>
      </c>
      <c r="G585" s="692">
        <f>SUMIF('ПО КОРИСНИЦИМА'!$G$8:$G$18203,"Свега за пројекат 0602-П54:",'ПО КОРИСНИЦИМА'!$K$8:$K$18203)</f>
        <v>0</v>
      </c>
      <c r="H585" s="275"/>
      <c r="I585" s="689"/>
      <c r="J585" s="688" t="e">
        <f t="shared" si="19"/>
        <v>#DIV/0!</v>
      </c>
    </row>
    <row r="586" spans="1:10" hidden="1" x14ac:dyDescent="0.2">
      <c r="A586" s="232"/>
      <c r="B586" s="87" t="s">
        <v>4984</v>
      </c>
      <c r="C586" s="208" t="str">
        <f>IFERROR(VLOOKUP(B586,'ПО КОРИСНИЦИМА'!$C$8:$L$18203,5,FALSE),"")</f>
        <v/>
      </c>
      <c r="D586" s="265">
        <f>SUMIF('ПО КОРИСНИЦИМА'!$G$8:$G$18203,"Свега за пројекат 0602-П55:",'ПО КОРИСНИЦИМА'!$H$8:$H$18203)</f>
        <v>0</v>
      </c>
      <c r="E586" s="683"/>
      <c r="F586" s="694" t="e">
        <f t="shared" si="18"/>
        <v>#DIV/0!</v>
      </c>
      <c r="G586" s="692">
        <f>SUMIF('ПО КОРИСНИЦИМА'!$G$8:$G$18203,"Свега за пројекат 0602-П55:",'ПО КОРИСНИЦИМА'!$K$8:$K$18203)</f>
        <v>0</v>
      </c>
      <c r="H586" s="275"/>
      <c r="I586" s="689"/>
      <c r="J586" s="688" t="e">
        <f t="shared" si="19"/>
        <v>#DIV/0!</v>
      </c>
    </row>
    <row r="587" spans="1:10" hidden="1" x14ac:dyDescent="0.2">
      <c r="A587" s="232"/>
      <c r="B587" s="87" t="s">
        <v>4985</v>
      </c>
      <c r="C587" s="208" t="str">
        <f>IFERROR(VLOOKUP(B587,'ПО КОРИСНИЦИМА'!$C$8:$L$18203,5,FALSE),"")</f>
        <v/>
      </c>
      <c r="D587" s="265">
        <f>SUMIF('ПО КОРИСНИЦИМА'!$G$8:$G$18203,"Свега за пројекат 0602-П56:",'ПО КОРИСНИЦИМА'!$H$8:$H$18203)</f>
        <v>0</v>
      </c>
      <c r="E587" s="683"/>
      <c r="F587" s="694" t="e">
        <f t="shared" si="18"/>
        <v>#DIV/0!</v>
      </c>
      <c r="G587" s="692">
        <f>SUMIF('ПО КОРИСНИЦИМА'!$G$8:$G$18203,"Свега за пројекат 0602-П56:",'ПО КОРИСНИЦИМА'!$K$8:$K$18203)</f>
        <v>0</v>
      </c>
      <c r="H587" s="275"/>
      <c r="I587" s="689"/>
      <c r="J587" s="688" t="e">
        <f t="shared" si="19"/>
        <v>#DIV/0!</v>
      </c>
    </row>
    <row r="588" spans="1:10" hidden="1" x14ac:dyDescent="0.2">
      <c r="A588" s="232"/>
      <c r="B588" s="87" t="s">
        <v>4986</v>
      </c>
      <c r="C588" s="208" t="str">
        <f>IFERROR(VLOOKUP(B588,'ПО КОРИСНИЦИМА'!$C$8:$L$18203,5,FALSE),"")</f>
        <v/>
      </c>
      <c r="D588" s="265">
        <f>SUMIF('ПО КОРИСНИЦИМА'!$G$8:$G$18203,"Свега за пројекат 0602-П57:",'ПО КОРИСНИЦИМА'!$H$8:$H$18203)</f>
        <v>0</v>
      </c>
      <c r="E588" s="683"/>
      <c r="F588" s="694" t="e">
        <f t="shared" si="18"/>
        <v>#DIV/0!</v>
      </c>
      <c r="G588" s="692">
        <f>SUMIF('ПО КОРИСНИЦИМА'!$G$8:$G$18203,"Свега за пројекат 0602-П57:",'ПО КОРИСНИЦИМА'!$K$8:$K$18203)</f>
        <v>0</v>
      </c>
      <c r="H588" s="275"/>
      <c r="I588" s="689"/>
      <c r="J588" s="688" t="e">
        <f t="shared" si="19"/>
        <v>#DIV/0!</v>
      </c>
    </row>
    <row r="589" spans="1:10" hidden="1" x14ac:dyDescent="0.2">
      <c r="A589" s="232"/>
      <c r="B589" s="87" t="s">
        <v>4987</v>
      </c>
      <c r="C589" s="208" t="str">
        <f>IFERROR(VLOOKUP(B589,'ПО КОРИСНИЦИМА'!$C$8:$L$18203,5,FALSE),"")</f>
        <v/>
      </c>
      <c r="D589" s="265">
        <f>SUMIF('ПО КОРИСНИЦИМА'!$G$8:$G$18203,"Свега за пројекат 0602-П58:",'ПО КОРИСНИЦИМА'!$H$8:$H$18203)</f>
        <v>0</v>
      </c>
      <c r="E589" s="683"/>
      <c r="F589" s="694" t="e">
        <f t="shared" si="18"/>
        <v>#DIV/0!</v>
      </c>
      <c r="G589" s="692">
        <f>SUMIF('ПО КОРИСНИЦИМА'!$G$8:$G$18203,"Свега за пројекат 0602-П58:",'ПО КОРИСНИЦИМА'!$K$8:$K$18203)</f>
        <v>0</v>
      </c>
      <c r="H589" s="275"/>
      <c r="I589" s="689"/>
      <c r="J589" s="688" t="e">
        <f t="shared" si="19"/>
        <v>#DIV/0!</v>
      </c>
    </row>
    <row r="590" spans="1:10" hidden="1" x14ac:dyDescent="0.2">
      <c r="A590" s="232"/>
      <c r="B590" s="87" t="s">
        <v>4988</v>
      </c>
      <c r="C590" s="208" t="str">
        <f>IFERROR(VLOOKUP(B590,'ПО КОРИСНИЦИМА'!$C$8:$L$18203,5,FALSE),"")</f>
        <v/>
      </c>
      <c r="D590" s="265">
        <f>SUMIF('ПО КОРИСНИЦИМА'!$G$8:$G$18203,"Свега за пројекат 0602-П59:",'ПО КОРИСНИЦИМА'!$H$8:$H$18203)</f>
        <v>0</v>
      </c>
      <c r="E590" s="683"/>
      <c r="F590" s="694" t="e">
        <f t="shared" si="18"/>
        <v>#DIV/0!</v>
      </c>
      <c r="G590" s="692">
        <f>SUMIF('ПО КОРИСНИЦИМА'!$G$8:$G$18203,"Свега за пројекат 0602-П59:",'ПО КОРИСНИЦИМА'!$K$8:$K$18203)</f>
        <v>0</v>
      </c>
      <c r="H590" s="275"/>
      <c r="I590" s="689"/>
      <c r="J590" s="688" t="e">
        <f t="shared" si="19"/>
        <v>#DIV/0!</v>
      </c>
    </row>
    <row r="591" spans="1:10" hidden="1" x14ac:dyDescent="0.2">
      <c r="A591" s="232"/>
      <c r="B591" s="87" t="s">
        <v>4989</v>
      </c>
      <c r="C591" s="208" t="str">
        <f>IFERROR(VLOOKUP(B591,'ПО КОРИСНИЦИМА'!$C$8:$L$18203,5,FALSE),"")</f>
        <v/>
      </c>
      <c r="D591" s="265">
        <f>SUMIF('ПО КОРИСНИЦИМА'!$G$8:$G$18203,"Свега за пројекат 0602-П60:",'ПО КОРИСНИЦИМА'!$H$8:$H$18203)</f>
        <v>0</v>
      </c>
      <c r="E591" s="683"/>
      <c r="F591" s="694" t="e">
        <f t="shared" si="18"/>
        <v>#DIV/0!</v>
      </c>
      <c r="G591" s="692">
        <f>SUMIF('ПО КОРИСНИЦИМА'!$G$8:$G$18203,"Свега за пројекат 0602-П60:",'ПО КОРИСНИЦИМА'!$K$8:$K$18203)</f>
        <v>0</v>
      </c>
      <c r="H591" s="275"/>
      <c r="I591" s="689"/>
      <c r="J591" s="688" t="e">
        <f t="shared" si="19"/>
        <v>#DIV/0!</v>
      </c>
    </row>
    <row r="592" spans="1:10" hidden="1" x14ac:dyDescent="0.2">
      <c r="A592" s="232"/>
      <c r="B592" s="87" t="s">
        <v>4990</v>
      </c>
      <c r="C592" s="208" t="str">
        <f>IFERROR(VLOOKUP(B592,'ПО КОРИСНИЦИМА'!$C$8:$L$18203,5,FALSE),"")</f>
        <v/>
      </c>
      <c r="D592" s="265">
        <f>SUMIF('ПО КОРИСНИЦИМА'!$G$8:$G$18203,"Свега за пројекат 0602-П61:",'ПО КОРИСНИЦИМА'!$H$8:$H$18203)</f>
        <v>0</v>
      </c>
      <c r="E592" s="683"/>
      <c r="F592" s="694" t="e">
        <f t="shared" si="18"/>
        <v>#DIV/0!</v>
      </c>
      <c r="G592" s="692">
        <f>SUMIF('ПО КОРИСНИЦИМА'!$G$8:$G$18203,"Свега за пројекат 0602-П61:",'ПО КОРИСНИЦИМА'!$K$8:$K$18203)</f>
        <v>0</v>
      </c>
      <c r="H592" s="275"/>
      <c r="I592" s="689"/>
      <c r="J592" s="688" t="e">
        <f t="shared" si="19"/>
        <v>#DIV/0!</v>
      </c>
    </row>
    <row r="593" spans="1:10" hidden="1" x14ac:dyDescent="0.2">
      <c r="A593" s="232"/>
      <c r="B593" s="87" t="s">
        <v>4991</v>
      </c>
      <c r="C593" s="208" t="str">
        <f>IFERROR(VLOOKUP(B593,'ПО КОРИСНИЦИМА'!$C$8:$L$18203,5,FALSE),"")</f>
        <v/>
      </c>
      <c r="D593" s="265">
        <f>SUMIF('ПО КОРИСНИЦИМА'!$G$8:$G$18203,"Свега за пројекат 0602-П62:",'ПО КОРИСНИЦИМА'!$H$8:$H$18203)</f>
        <v>0</v>
      </c>
      <c r="E593" s="683"/>
      <c r="F593" s="694" t="e">
        <f t="shared" si="18"/>
        <v>#DIV/0!</v>
      </c>
      <c r="G593" s="692">
        <f>SUMIF('ПО КОРИСНИЦИМА'!$G$8:$G$18203,"Свега за пројекат 0602-П62:",'ПО КОРИСНИЦИМА'!$K$8:$K$18203)</f>
        <v>0</v>
      </c>
      <c r="H593" s="275"/>
      <c r="I593" s="689"/>
      <c r="J593" s="688" t="e">
        <f t="shared" si="19"/>
        <v>#DIV/0!</v>
      </c>
    </row>
    <row r="594" spans="1:10" hidden="1" x14ac:dyDescent="0.2">
      <c r="A594" s="232"/>
      <c r="B594" s="87" t="s">
        <v>4992</v>
      </c>
      <c r="C594" s="208" t="str">
        <f>IFERROR(VLOOKUP(B594,'ПО КОРИСНИЦИМА'!$C$8:$L$18203,5,FALSE),"")</f>
        <v/>
      </c>
      <c r="D594" s="265">
        <f>SUMIF('ПО КОРИСНИЦИМА'!$G$8:$G$18203,"Свега за пројекат 0602-П63:",'ПО КОРИСНИЦИМА'!$H$8:$H$18203)</f>
        <v>0</v>
      </c>
      <c r="E594" s="683"/>
      <c r="F594" s="694" t="e">
        <f t="shared" si="18"/>
        <v>#DIV/0!</v>
      </c>
      <c r="G594" s="692">
        <f>SUMIF('ПО КОРИСНИЦИМА'!$G$8:$G$18203,"Свега за пројекат 0602-П63:",'ПО КОРИСНИЦИМА'!$K$8:$K$18203)</f>
        <v>0</v>
      </c>
      <c r="H594" s="275"/>
      <c r="I594" s="689"/>
      <c r="J594" s="688" t="e">
        <f t="shared" si="19"/>
        <v>#DIV/0!</v>
      </c>
    </row>
    <row r="595" spans="1:10" hidden="1" x14ac:dyDescent="0.2">
      <c r="A595" s="232"/>
      <c r="B595" s="87" t="s">
        <v>4993</v>
      </c>
      <c r="C595" s="208" t="str">
        <f>IFERROR(VLOOKUP(B595,'ПО КОРИСНИЦИМА'!$C$8:$L$18203,5,FALSE),"")</f>
        <v/>
      </c>
      <c r="D595" s="265">
        <f>SUMIF('ПО КОРИСНИЦИМА'!$G$8:$G$18203,"Свега за пројекат 0602-П64:",'ПО КОРИСНИЦИМА'!$H$8:$H$18203)</f>
        <v>0</v>
      </c>
      <c r="E595" s="683"/>
      <c r="F595" s="694" t="e">
        <f t="shared" si="18"/>
        <v>#DIV/0!</v>
      </c>
      <c r="G595" s="692">
        <f>SUMIF('ПО КОРИСНИЦИМА'!$G$8:$G$18203,"Свега за пројекат 0602-П64:",'ПО КОРИСНИЦИМА'!$K$8:$K$18203)</f>
        <v>0</v>
      </c>
      <c r="H595" s="275"/>
      <c r="I595" s="689"/>
      <c r="J595" s="688" t="e">
        <f t="shared" si="19"/>
        <v>#DIV/0!</v>
      </c>
    </row>
    <row r="596" spans="1:10" hidden="1" x14ac:dyDescent="0.2">
      <c r="A596" s="232"/>
      <c r="B596" s="87" t="s">
        <v>4994</v>
      </c>
      <c r="C596" s="208" t="str">
        <f>IFERROR(VLOOKUP(B596,'ПО КОРИСНИЦИМА'!$C$8:$L$18203,5,FALSE),"")</f>
        <v/>
      </c>
      <c r="D596" s="265">
        <f>SUMIF('ПО КОРИСНИЦИМА'!$G$8:$G$18203,"Свега за пројекат 0602-П65:",'ПО КОРИСНИЦИМА'!$H$8:$H$18203)</f>
        <v>0</v>
      </c>
      <c r="E596" s="683"/>
      <c r="F596" s="694" t="e">
        <f t="shared" si="18"/>
        <v>#DIV/0!</v>
      </c>
      <c r="G596" s="692">
        <f>SUMIF('ПО КОРИСНИЦИМА'!$G$8:$G$18203,"Свега за пројекат 0602-П65:",'ПО КОРИСНИЦИМА'!$K$8:$K$18203)</f>
        <v>0</v>
      </c>
      <c r="H596" s="275"/>
      <c r="I596" s="689"/>
      <c r="J596" s="688" t="e">
        <f t="shared" si="19"/>
        <v>#DIV/0!</v>
      </c>
    </row>
    <row r="597" spans="1:10" hidden="1" x14ac:dyDescent="0.2">
      <c r="A597" s="232"/>
      <c r="B597" s="87" t="s">
        <v>4995</v>
      </c>
      <c r="C597" s="208" t="str">
        <f>IFERROR(VLOOKUP(B597,'ПО КОРИСНИЦИМА'!$C$8:$L$18203,5,FALSE),"")</f>
        <v/>
      </c>
      <c r="D597" s="265">
        <f>SUMIF('ПО КОРИСНИЦИМА'!$G$8:$G$18203,"Свега за пројекат 0602-П66:",'ПО КОРИСНИЦИМА'!$H$8:$H$18203)</f>
        <v>0</v>
      </c>
      <c r="E597" s="683"/>
      <c r="F597" s="694" t="e">
        <f t="shared" si="18"/>
        <v>#DIV/0!</v>
      </c>
      <c r="G597" s="692">
        <f>SUMIF('ПО КОРИСНИЦИМА'!$G$8:$G$18203,"Свега за пројекат 0602-П66:",'ПО КОРИСНИЦИМА'!$K$8:$K$18203)</f>
        <v>0</v>
      </c>
      <c r="H597" s="275"/>
      <c r="I597" s="689"/>
      <c r="J597" s="688" t="e">
        <f t="shared" si="19"/>
        <v>#DIV/0!</v>
      </c>
    </row>
    <row r="598" spans="1:10" hidden="1" x14ac:dyDescent="0.2">
      <c r="A598" s="232"/>
      <c r="B598" s="87" t="s">
        <v>4996</v>
      </c>
      <c r="C598" s="208" t="str">
        <f>IFERROR(VLOOKUP(B598,'ПО КОРИСНИЦИМА'!$C$8:$L$18203,5,FALSE),"")</f>
        <v/>
      </c>
      <c r="D598" s="265">
        <f>SUMIF('ПО КОРИСНИЦИМА'!$G$8:$G$18203,"Свега за пројекат 0602-П67:",'ПО КОРИСНИЦИМА'!$H$8:$H$18203)</f>
        <v>0</v>
      </c>
      <c r="E598" s="683"/>
      <c r="F598" s="694" t="e">
        <f t="shared" si="18"/>
        <v>#DIV/0!</v>
      </c>
      <c r="G598" s="692">
        <f>SUMIF('ПО КОРИСНИЦИМА'!$G$8:$G$18203,"Свега за пројекат 0602-П67:",'ПО КОРИСНИЦИМА'!$K$8:$K$18203)</f>
        <v>0</v>
      </c>
      <c r="H598" s="275"/>
      <c r="I598" s="691"/>
      <c r="J598" s="688" t="e">
        <f t="shared" si="19"/>
        <v>#DIV/0!</v>
      </c>
    </row>
    <row r="599" spans="1:10" hidden="1" x14ac:dyDescent="0.2">
      <c r="A599" s="232"/>
      <c r="B599" s="87" t="s">
        <v>4997</v>
      </c>
      <c r="C599" s="208" t="str">
        <f>IFERROR(VLOOKUP(B599,'ПО КОРИСНИЦИМА'!$C$8:$L$18203,5,FALSE),"")</f>
        <v/>
      </c>
      <c r="D599" s="265">
        <f>SUMIF('ПО КОРИСНИЦИМА'!$G$8:$G$18203,"Свега за пројекат 0602-П68:",'ПО КОРИСНИЦИМА'!$H$8:$H$18203)</f>
        <v>0</v>
      </c>
      <c r="E599" s="683"/>
      <c r="F599" s="694" t="e">
        <f t="shared" si="18"/>
        <v>#DIV/0!</v>
      </c>
      <c r="G599" s="692">
        <f>SUMIF('ПО КОРИСНИЦИМА'!$G$8:$G$18203,"Свега за пројекат 0602-П68:",'ПО КОРИСНИЦИМА'!$K$8:$K$18203)</f>
        <v>0</v>
      </c>
      <c r="H599" s="275"/>
      <c r="I599" s="691"/>
      <c r="J599" s="688" t="e">
        <f t="shared" si="19"/>
        <v>#DIV/0!</v>
      </c>
    </row>
    <row r="600" spans="1:10" hidden="1" x14ac:dyDescent="0.2">
      <c r="A600" s="232"/>
      <c r="B600" s="87" t="s">
        <v>4998</v>
      </c>
      <c r="C600" s="208" t="str">
        <f>IFERROR(VLOOKUP(B600,'ПО КОРИСНИЦИМА'!$C$8:$L$18203,5,FALSE),"")</f>
        <v/>
      </c>
      <c r="D600" s="265">
        <f>SUMIF('ПО КОРИСНИЦИМА'!$G$8:$G$18203,"Свега за пројекат 0602-П69:",'ПО КОРИСНИЦИМА'!$H$8:$H$18203)</f>
        <v>0</v>
      </c>
      <c r="E600" s="683"/>
      <c r="F600" s="694" t="e">
        <f t="shared" si="18"/>
        <v>#DIV/0!</v>
      </c>
      <c r="G600" s="692">
        <f>SUMIF('ПО КОРИСНИЦИМА'!$G$8:$G$18203,"Свега за пројекат 0602-П69:",'ПО КОРИСНИЦИМА'!$K$8:$K$18203)</f>
        <v>0</v>
      </c>
      <c r="H600" s="275"/>
      <c r="I600" s="691"/>
      <c r="J600" s="688" t="e">
        <f t="shared" si="19"/>
        <v>#DIV/0!</v>
      </c>
    </row>
    <row r="601" spans="1:10" ht="10.5" hidden="1" customHeight="1" x14ac:dyDescent="0.2">
      <c r="A601" s="240"/>
      <c r="B601" s="87" t="s">
        <v>4999</v>
      </c>
      <c r="C601" s="208" t="str">
        <f>IFERROR(VLOOKUP(B601,'ПО КОРИСНИЦИМА'!$C$8:$L$18203,5,FALSE),"")</f>
        <v/>
      </c>
      <c r="D601" s="265">
        <f>SUMIF('ПО КОРИСНИЦИМА'!$G$8:$G$18203,"Свега за пројекат 0602-П70:",'ПО КОРИСНИЦИМА'!$H$8:$H$18203)</f>
        <v>0</v>
      </c>
      <c r="E601" s="683"/>
      <c r="F601" s="694" t="e">
        <f t="shared" si="18"/>
        <v>#DIV/0!</v>
      </c>
      <c r="G601" s="692">
        <f>SUMIF('ПО КОРИСНИЦИМА'!$G$8:$G$18203,"Свега за пројекат 0602-П70:",'ПО КОРИСНИЦИМА'!$K$8:$K$18203)</f>
        <v>0</v>
      </c>
      <c r="H601" s="275"/>
      <c r="I601" s="693"/>
      <c r="J601" s="688" t="e">
        <f t="shared" si="19"/>
        <v>#DIV/0!</v>
      </c>
    </row>
    <row r="602" spans="1:10" ht="27.75" customHeight="1" x14ac:dyDescent="0.2">
      <c r="A602" s="845"/>
      <c r="B602" s="846"/>
      <c r="C602" s="771" t="s">
        <v>4154</v>
      </c>
      <c r="D602" s="772">
        <f>SUM(D521,D467,D414,D382,D346,D314,D282,D250,D197,D177,D158,D131,D101,D36,D9)</f>
        <v>593078790</v>
      </c>
      <c r="E602" s="773">
        <f>SUM(E521,E467,E414,E382,E346,E314,E282,E250,E197,E177,E158,E131,E36)</f>
        <v>504515943.65999991</v>
      </c>
      <c r="F602" s="694">
        <f>SUM(E602/D602)*100</f>
        <v>85.067271358667185</v>
      </c>
      <c r="G602" s="774">
        <f>SUM(G521,G467,G414,G382,G346,G314,G282,G250,G197,G177,G158,G131,G101,G36,G9)</f>
        <v>32361375</v>
      </c>
      <c r="H602" s="775">
        <f>SUM(H521,H414,H346,H250,H197,H131,H36)</f>
        <v>33635486.610000007</v>
      </c>
      <c r="I602" s="774"/>
      <c r="J602" s="770">
        <f t="shared" si="19"/>
        <v>103.93713681819764</v>
      </c>
    </row>
    <row r="603" spans="1:10" x14ac:dyDescent="0.2">
      <c r="D603" s="249"/>
      <c r="E603" s="242"/>
      <c r="F603" s="242"/>
      <c r="G603" s="242"/>
      <c r="H603" s="250"/>
    </row>
    <row r="607" spans="1:10" ht="70.5" customHeight="1" x14ac:dyDescent="0.2"/>
    <row r="608" spans="1:10" x14ac:dyDescent="0.2">
      <c r="A608" s="191" t="s">
        <v>3665</v>
      </c>
      <c r="B608" s="228">
        <f>D9</f>
        <v>0</v>
      </c>
    </row>
    <row r="609" spans="1:2" x14ac:dyDescent="0.2">
      <c r="A609" s="191" t="s">
        <v>3666</v>
      </c>
      <c r="B609" s="228">
        <f>D36</f>
        <v>111982800</v>
      </c>
    </row>
    <row r="610" spans="1:2" x14ac:dyDescent="0.2">
      <c r="A610" s="191" t="s">
        <v>3667</v>
      </c>
      <c r="B610" s="228">
        <f>D101</f>
        <v>0</v>
      </c>
    </row>
    <row r="611" spans="1:2" x14ac:dyDescent="0.2">
      <c r="A611" s="191" t="s">
        <v>3668</v>
      </c>
      <c r="B611" s="228">
        <f>D131</f>
        <v>9093015</v>
      </c>
    </row>
    <row r="612" spans="1:2" x14ac:dyDescent="0.2">
      <c r="A612" s="191" t="s">
        <v>3669</v>
      </c>
      <c r="B612" s="228">
        <f>D158</f>
        <v>25200487</v>
      </c>
    </row>
    <row r="613" spans="1:2" x14ac:dyDescent="0.2">
      <c r="A613" s="191" t="s">
        <v>3670</v>
      </c>
      <c r="B613" s="228">
        <f>D177</f>
        <v>4649049</v>
      </c>
    </row>
    <row r="614" spans="1:2" x14ac:dyDescent="0.2">
      <c r="A614" s="191" t="s">
        <v>3671</v>
      </c>
      <c r="B614" s="228">
        <f>D197</f>
        <v>225867158</v>
      </c>
    </row>
    <row r="615" spans="1:2" x14ac:dyDescent="0.2">
      <c r="A615" s="191" t="s">
        <v>3672</v>
      </c>
      <c r="B615" s="228">
        <f>D250</f>
        <v>17864000</v>
      </c>
    </row>
    <row r="616" spans="1:2" x14ac:dyDescent="0.2">
      <c r="A616" s="191" t="s">
        <v>3673</v>
      </c>
      <c r="B616" s="228">
        <f>D282</f>
        <v>29050000</v>
      </c>
    </row>
    <row r="617" spans="1:2" x14ac:dyDescent="0.2">
      <c r="A617" s="191" t="s">
        <v>3674</v>
      </c>
      <c r="B617" s="228">
        <f>D314</f>
        <v>5679900</v>
      </c>
    </row>
    <row r="618" spans="1:2" x14ac:dyDescent="0.2">
      <c r="A618" s="191" t="s">
        <v>3675</v>
      </c>
      <c r="B618" s="228">
        <f>D346</f>
        <v>9100200</v>
      </c>
    </row>
    <row r="619" spans="1:2" x14ac:dyDescent="0.2">
      <c r="A619" s="191" t="s">
        <v>3676</v>
      </c>
      <c r="B619" s="228">
        <f>D382</f>
        <v>3650000</v>
      </c>
    </row>
    <row r="620" spans="1:2" x14ac:dyDescent="0.2">
      <c r="A620" s="191" t="s">
        <v>3677</v>
      </c>
      <c r="B620" s="228">
        <f>D414</f>
        <v>13254155</v>
      </c>
    </row>
    <row r="621" spans="1:2" x14ac:dyDescent="0.2">
      <c r="A621" s="191" t="s">
        <v>3678</v>
      </c>
      <c r="B621" s="228">
        <f>D467</f>
        <v>9410000</v>
      </c>
    </row>
    <row r="622" spans="1:2" x14ac:dyDescent="0.2">
      <c r="A622" s="191" t="s">
        <v>3679</v>
      </c>
      <c r="B622" s="228">
        <f>D521</f>
        <v>128278026</v>
      </c>
    </row>
  </sheetData>
  <sheetProtection password="CA6E" sheet="1" objects="1" scenarios="1" selectLockedCells="1" selectUnlockedCells="1"/>
  <mergeCells count="15">
    <mergeCell ref="J6:J7"/>
    <mergeCell ref="C1:G1"/>
    <mergeCell ref="A3:H3"/>
    <mergeCell ref="A4:H4"/>
    <mergeCell ref="G6:G7"/>
    <mergeCell ref="H6:H7"/>
    <mergeCell ref="C2:E2"/>
    <mergeCell ref="F6:F7"/>
    <mergeCell ref="I6:I7"/>
    <mergeCell ref="A5:I5"/>
    <mergeCell ref="A602:B602"/>
    <mergeCell ref="A6:B6"/>
    <mergeCell ref="C6:C7"/>
    <mergeCell ref="D6:D7"/>
    <mergeCell ref="E6:E7"/>
  </mergeCells>
  <conditionalFormatting sqref="D603:H603">
    <cfRule type="cellIs" dxfId="1" priority="1" operator="notEqual">
      <formula>0</formula>
    </cfRule>
  </conditionalFormatting>
  <dataValidations count="1">
    <dataValidation type="whole" operator="equal" showInputMessage="1" showErrorMessage="1" errorTitle="gjkgkjgjh" error="jklhlglkjhkjhlk" sqref="D603">
      <formula1>0</formula1>
    </dataValidation>
  </dataValidations>
  <pageMargins left="0.11811023622047245" right="0.11811023622047245" top="0.74803149606299213" bottom="0.74803149606299213" header="0.31496062992125984" footer="0.31496062992125984"/>
  <pageSetup orientation="landscape" r:id="rId1"/>
  <cellWatches>
    <cellWatch r="D603"/>
  </cellWatche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H143"/>
  <sheetViews>
    <sheetView topLeftCell="A41" workbookViewId="0">
      <selection activeCell="H7" sqref="H7"/>
    </sheetView>
  </sheetViews>
  <sheetFormatPr defaultRowHeight="15" x14ac:dyDescent="0.25"/>
  <cols>
    <col min="1" max="1" width="7.42578125" style="83" customWidth="1"/>
    <col min="2" max="2" width="46.5703125" style="83" customWidth="1"/>
    <col min="3" max="3" width="12.85546875" style="83" customWidth="1"/>
    <col min="4" max="4" width="11.42578125" style="83" customWidth="1"/>
    <col min="5" max="5" width="7.85546875" style="83" customWidth="1"/>
    <col min="6" max="6" width="14.28515625" style="83" customWidth="1"/>
    <col min="7" max="7" width="12.28515625" style="83" customWidth="1"/>
    <col min="8" max="8" width="5.85546875" style="83" customWidth="1"/>
    <col min="9" max="16384" width="9.140625" style="83"/>
  </cols>
  <sheetData>
    <row r="1" spans="1:8" x14ac:dyDescent="0.25">
      <c r="B1" s="841" t="s">
        <v>5379</v>
      </c>
      <c r="C1" s="841"/>
      <c r="D1" s="841"/>
      <c r="E1" s="841"/>
      <c r="F1" s="841"/>
    </row>
    <row r="2" spans="1:8" x14ac:dyDescent="0.25">
      <c r="B2" s="843"/>
      <c r="C2" s="843"/>
      <c r="D2" s="843"/>
      <c r="E2" s="843"/>
      <c r="F2" s="843"/>
    </row>
    <row r="3" spans="1:8" x14ac:dyDescent="0.25">
      <c r="A3" s="841" t="s">
        <v>5380</v>
      </c>
      <c r="B3" s="841"/>
      <c r="C3" s="841"/>
      <c r="D3" s="841"/>
      <c r="E3" s="841"/>
      <c r="F3" s="841"/>
      <c r="G3" s="841"/>
    </row>
    <row r="4" spans="1:8" ht="15" customHeight="1" x14ac:dyDescent="0.25">
      <c r="A4" s="856" t="s">
        <v>5283</v>
      </c>
      <c r="B4" s="856"/>
      <c r="C4" s="856"/>
      <c r="D4" s="856"/>
      <c r="E4" s="856"/>
      <c r="F4" s="856"/>
      <c r="G4" s="856"/>
    </row>
    <row r="5" spans="1:8" ht="47.25" customHeight="1" x14ac:dyDescent="0.25">
      <c r="A5" s="755" t="s">
        <v>3869</v>
      </c>
      <c r="B5" s="755" t="s">
        <v>3870</v>
      </c>
      <c r="C5" s="756" t="s">
        <v>24</v>
      </c>
      <c r="D5" s="757" t="s">
        <v>5383</v>
      </c>
      <c r="E5" s="757" t="s">
        <v>5374</v>
      </c>
      <c r="F5" s="756" t="s">
        <v>3757</v>
      </c>
      <c r="G5" s="758" t="s">
        <v>5381</v>
      </c>
      <c r="H5" s="759" t="s">
        <v>5382</v>
      </c>
    </row>
    <row r="6" spans="1:8" x14ac:dyDescent="0.25">
      <c r="A6" s="203" t="s">
        <v>3760</v>
      </c>
      <c r="B6" s="204">
        <v>2</v>
      </c>
      <c r="C6" s="164">
        <v>3</v>
      </c>
      <c r="D6" s="164"/>
      <c r="E6" s="164"/>
      <c r="F6" s="164">
        <v>5</v>
      </c>
      <c r="G6" s="365">
        <v>6</v>
      </c>
      <c r="H6" s="366"/>
    </row>
    <row r="7" spans="1:8" x14ac:dyDescent="0.25">
      <c r="A7" s="89" t="s">
        <v>3871</v>
      </c>
      <c r="B7" s="90" t="s">
        <v>94</v>
      </c>
      <c r="C7" s="368">
        <f>SUM(C8:C16)</f>
        <v>9100200</v>
      </c>
      <c r="D7" s="376">
        <f>SUM(D11:D16)</f>
        <v>6432678.2699999996</v>
      </c>
      <c r="E7" s="371">
        <f>SUM(D7/C7)*100</f>
        <v>70.687218632557531</v>
      </c>
      <c r="F7" s="368">
        <f>SUM(F8:F16)</f>
        <v>1154100</v>
      </c>
      <c r="G7" s="372">
        <f>SUM(G11:G16)</f>
        <v>608497</v>
      </c>
      <c r="H7" s="766">
        <f>SUM(G7/F7)*100</f>
        <v>52.724807209080673</v>
      </c>
    </row>
    <row r="8" spans="1:8" hidden="1" x14ac:dyDescent="0.25">
      <c r="A8" s="88" t="s">
        <v>3872</v>
      </c>
      <c r="B8" s="91" t="s">
        <v>3873</v>
      </c>
      <c r="C8" s="367">
        <f>SUMIF('ПО КОРИСНИЦИМА'!$G$8:$G$18203,"Функција 010:",'ПО КОРИСНИЦИМА'!$H$8:$H$18203)</f>
        <v>0</v>
      </c>
      <c r="D8" s="377"/>
      <c r="E8" s="371" t="e">
        <f t="shared" ref="E8:E71" si="0">SUM(D8/C8)*100</f>
        <v>#DIV/0!</v>
      </c>
      <c r="F8" s="367">
        <f>SUMIF('ПО КОРИСНИЦИМА'!$G$8:$G$18203,"Функција 010:",'ПО КОРИСНИЦИМА'!$K$8:$K$18203)</f>
        <v>0</v>
      </c>
      <c r="G8" s="373"/>
      <c r="H8" s="749" t="e">
        <f t="shared" ref="H8:H71" si="1">SUM(G8/F8)*100</f>
        <v>#DIV/0!</v>
      </c>
    </row>
    <row r="9" spans="1:8" hidden="1" x14ac:dyDescent="0.25">
      <c r="A9" s="88" t="s">
        <v>3874</v>
      </c>
      <c r="B9" s="91" t="s">
        <v>3875</v>
      </c>
      <c r="C9" s="367">
        <f>SUMIF('ПО КОРИСНИЦИМА'!$G$8:$G$18203,"Функција 020:",'ПО КОРИСНИЦИМА'!$H$8:$H$18203)</f>
        <v>0</v>
      </c>
      <c r="D9" s="377"/>
      <c r="E9" s="371" t="e">
        <f t="shared" si="0"/>
        <v>#DIV/0!</v>
      </c>
      <c r="F9" s="367">
        <f>SUMIF('ПО КОРИСНИЦИМА'!$G$8:$G$18203,"Функција 020:",'ПО КОРИСНИЦИМА'!$K$8:$K$18203)</f>
        <v>0</v>
      </c>
      <c r="G9" s="373"/>
      <c r="H9" s="749" t="e">
        <f t="shared" si="1"/>
        <v>#DIV/0!</v>
      </c>
    </row>
    <row r="10" spans="1:8" hidden="1" x14ac:dyDescent="0.25">
      <c r="A10" s="88" t="s">
        <v>3876</v>
      </c>
      <c r="B10" s="91" t="s">
        <v>3877</v>
      </c>
      <c r="C10" s="367">
        <f>SUMIF('ПО КОРИСНИЦИМА'!$G$8:$G$18203,"Функција 030:",'ПО КОРИСНИЦИМА'!$H$8:$H$18203)</f>
        <v>0</v>
      </c>
      <c r="D10" s="377"/>
      <c r="E10" s="371" t="e">
        <f t="shared" si="0"/>
        <v>#DIV/0!</v>
      </c>
      <c r="F10" s="367">
        <f>SUMIF('ПО КОРИСНИЦИМА'!$G$8:$G$18203,"Функција 030:",'ПО КОРИСНИЦИМА'!$K$8:$K$18203)</f>
        <v>0</v>
      </c>
      <c r="G10" s="373"/>
      <c r="H10" s="749" t="e">
        <f t="shared" si="1"/>
        <v>#DIV/0!</v>
      </c>
    </row>
    <row r="11" spans="1:8" ht="15.75" customHeight="1" x14ac:dyDescent="0.25">
      <c r="A11" s="88" t="s">
        <v>3878</v>
      </c>
      <c r="B11" s="91" t="s">
        <v>3879</v>
      </c>
      <c r="C11" s="367">
        <f>SUMIF('ПО КОРИСНИЦИМА'!$G$8:$G$18203,"Функција 040:",'ПО КОРИСНИЦИМА'!$H$8:$H$18203)</f>
        <v>200000</v>
      </c>
      <c r="D11" s="377">
        <v>0</v>
      </c>
      <c r="E11" s="371">
        <f t="shared" si="0"/>
        <v>0</v>
      </c>
      <c r="F11" s="367">
        <f>SUMIF('ПО КОРИСНИЦИМА'!$G$8:$G$18203,"Функција 040:",'ПО КОРИСНИЦИМА'!$K$8:$K$18203)</f>
        <v>240000</v>
      </c>
      <c r="G11" s="373">
        <v>240000</v>
      </c>
      <c r="H11" s="749">
        <f t="shared" si="1"/>
        <v>100</v>
      </c>
    </row>
    <row r="12" spans="1:8" ht="15" hidden="1" customHeight="1" x14ac:dyDescent="0.25">
      <c r="A12" s="88" t="s">
        <v>3880</v>
      </c>
      <c r="B12" s="91" t="s">
        <v>3881</v>
      </c>
      <c r="C12" s="367">
        <f>SUMIF('ПО КОРИСНИЦИМА'!$G$8:$G$18203,"Функција 050:",'ПО КОРИСНИЦИМА'!$H$8:$H$18203)</f>
        <v>0</v>
      </c>
      <c r="D12" s="377"/>
      <c r="E12" s="371" t="e">
        <f t="shared" si="0"/>
        <v>#DIV/0!</v>
      </c>
      <c r="F12" s="367">
        <f>SUMIF('ПО КОРИСНИЦИМА'!$G$8:$G$18203,"Функција 050:",'ПО КОРИСНИЦИМА'!$K$8:$K$18203)</f>
        <v>0</v>
      </c>
      <c r="G12" s="373"/>
      <c r="H12" s="749" t="e">
        <f t="shared" si="1"/>
        <v>#DIV/0!</v>
      </c>
    </row>
    <row r="13" spans="1:8" ht="13.5" hidden="1" customHeight="1" x14ac:dyDescent="0.25">
      <c r="A13" s="88" t="s">
        <v>3882</v>
      </c>
      <c r="B13" s="91" t="s">
        <v>3883</v>
      </c>
      <c r="C13" s="367">
        <f>SUMIF('ПО КОРИСНИЦИМА'!$G$8:$G$18203,"Функција 060:",'ПО КОРИСНИЦИМА'!$H$8:$H$18203)</f>
        <v>0</v>
      </c>
      <c r="D13" s="377"/>
      <c r="E13" s="371" t="e">
        <f t="shared" si="0"/>
        <v>#DIV/0!</v>
      </c>
      <c r="F13" s="367">
        <f>SUMIF('ПО КОРИСНИЦИМА'!$G$8:$G$18203,"Функција 060:",'ПО КОРИСНИЦИМА'!$K$8:$K$18203)</f>
        <v>0</v>
      </c>
      <c r="G13" s="373"/>
      <c r="H13" s="749" t="e">
        <f t="shared" si="1"/>
        <v>#DIV/0!</v>
      </c>
    </row>
    <row r="14" spans="1:8" ht="13.5" hidden="1" customHeight="1" x14ac:dyDescent="0.25">
      <c r="A14" s="88" t="s">
        <v>3884</v>
      </c>
      <c r="B14" s="91" t="s">
        <v>3885</v>
      </c>
      <c r="C14" s="367">
        <f>SUMIF('ПО КОРИСНИЦИМА'!$G$8:$G$18203,"Функција 070:",'ПО КОРИСНИЦИМА'!$H$8:$H$18203)</f>
        <v>0</v>
      </c>
      <c r="D14" s="377"/>
      <c r="E14" s="371" t="e">
        <f t="shared" si="0"/>
        <v>#DIV/0!</v>
      </c>
      <c r="F14" s="367">
        <f>SUMIF('ПО КОРИСНИЦИМА'!$G$8:$G$18203,"Функција 070:",'ПО КОРИСНИЦИМА'!$K$8:$K$18203)</f>
        <v>0</v>
      </c>
      <c r="G14" s="373"/>
      <c r="H14" s="749" t="e">
        <f t="shared" si="1"/>
        <v>#DIV/0!</v>
      </c>
    </row>
    <row r="15" spans="1:8" ht="15" hidden="1" customHeight="1" x14ac:dyDescent="0.25">
      <c r="A15" s="88" t="s">
        <v>3886</v>
      </c>
      <c r="B15" s="91" t="s">
        <v>3887</v>
      </c>
      <c r="C15" s="367">
        <f>SUMIF('ПО КОРИСНИЦИМА'!$G$8:$G$18203,"Функција 080:",'ПО КОРИСНИЦИМА'!$H$8:$H$18203)</f>
        <v>0</v>
      </c>
      <c r="D15" s="377"/>
      <c r="E15" s="371" t="e">
        <f t="shared" si="0"/>
        <v>#DIV/0!</v>
      </c>
      <c r="F15" s="367">
        <f>SUMIF('ПО КОРИСНИЦИМА'!$G$8:$G$18203,"Функција 080:",'ПО КОРИСНИЦИМА'!$K$8:$K$18203)</f>
        <v>0</v>
      </c>
      <c r="G15" s="373"/>
      <c r="H15" s="749" t="e">
        <f t="shared" si="1"/>
        <v>#DIV/0!</v>
      </c>
    </row>
    <row r="16" spans="1:8" x14ac:dyDescent="0.25">
      <c r="A16" s="88" t="s">
        <v>3888</v>
      </c>
      <c r="B16" s="91" t="s">
        <v>103</v>
      </c>
      <c r="C16" s="367">
        <f>SUMIF('ПО КОРИСНИЦИМА'!$G$8:$G$18203,"Функција 090:",'ПО КОРИСНИЦИМА'!$H$8:$H$18203)</f>
        <v>8900200</v>
      </c>
      <c r="D16" s="377">
        <f>SUM('ПО КОРИСНИЦИМА'!I4935,'ПО КОРИСНИЦИМА'!I4854,'ПО КОРИСНИЦИМА'!I4737,'ПО КОРИСНИЦИМА'!I4656,'ПО КОРИСНИЦИМА'!I4415,'ПО КОРИСНИЦИМА'!I4297)</f>
        <v>6432678.2699999996</v>
      </c>
      <c r="E16" s="371">
        <f t="shared" si="0"/>
        <v>72.275659760454815</v>
      </c>
      <c r="F16" s="367">
        <f>SUMIF('ПО КОРИСНИЦИМА'!$G$8:$G$18203,"Функција 090:",'ПО КОРИСНИЦИМА'!$K$8:$K$18203)</f>
        <v>914100</v>
      </c>
      <c r="G16" s="373">
        <f>SUM('ПО КОРИСНИЦИМА'!L4959)</f>
        <v>368497</v>
      </c>
      <c r="H16" s="749">
        <f t="shared" si="1"/>
        <v>40.312547861284322</v>
      </c>
    </row>
    <row r="17" spans="1:8" x14ac:dyDescent="0.25">
      <c r="A17" s="92" t="s">
        <v>3889</v>
      </c>
      <c r="B17" s="93" t="s">
        <v>104</v>
      </c>
      <c r="C17" s="368">
        <f>SUM(C18:C33)</f>
        <v>115651185</v>
      </c>
      <c r="D17" s="376">
        <f>SUM(D18:D31)</f>
        <v>102171632.32000001</v>
      </c>
      <c r="E17" s="371">
        <f t="shared" si="0"/>
        <v>88.34464802068392</v>
      </c>
      <c r="F17" s="368">
        <f>SUM(F18:F33)</f>
        <v>5615165</v>
      </c>
      <c r="G17" s="372">
        <f>SUM(G18:G31)</f>
        <v>6416450.21</v>
      </c>
      <c r="H17" s="766">
        <f t="shared" si="1"/>
        <v>114.27002073848232</v>
      </c>
    </row>
    <row r="18" spans="1:8" ht="23.25" x14ac:dyDescent="0.25">
      <c r="A18" s="94" t="s">
        <v>3890</v>
      </c>
      <c r="B18" s="95" t="s">
        <v>3891</v>
      </c>
      <c r="C18" s="367">
        <f>SUMIF('ПО КОРИСНИЦИМА'!$G$8:$G$18203,"Функција 110:",'ПО КОРИСНИЦИМА'!$H$8:$H$18203)</f>
        <v>3291864</v>
      </c>
      <c r="D18" s="377">
        <f>SUM('ПО КОРИСНИЦИМА'!I73)</f>
        <v>3033990.63</v>
      </c>
      <c r="E18" s="371">
        <f t="shared" si="0"/>
        <v>92.166341926640953</v>
      </c>
      <c r="F18" s="367">
        <f>SUMIF('ПО КОРИСНИЦИМА'!$G$8:$G$18203,"Функција 110:",'ПО КОРИСНИЦИМА'!$K$8:$K$18203)</f>
        <v>0</v>
      </c>
      <c r="G18" s="373">
        <v>0</v>
      </c>
      <c r="H18" s="749"/>
    </row>
    <row r="19" spans="1:8" x14ac:dyDescent="0.25">
      <c r="A19" s="96" t="s">
        <v>3892</v>
      </c>
      <c r="B19" s="95" t="s">
        <v>106</v>
      </c>
      <c r="C19" s="367">
        <f>SUMIF('ПО КОРИСНИЦИМА'!$G$8:$G$18203,"Функција 111:",'ПО КОРИСНИЦИМА'!$H$8:$H$18203)</f>
        <v>18233171</v>
      </c>
      <c r="D19" s="377">
        <f>SUM('ПО КОРИСНИЦИМА'!I449)</f>
        <v>17110871.09</v>
      </c>
      <c r="E19" s="371">
        <f t="shared" si="0"/>
        <v>93.844735454957345</v>
      </c>
      <c r="F19" s="367">
        <f>SUMIF('ПО КОРИСНИЦИМА'!$G$8:$G$18203,"Функција 111:",'ПО КОРИСНИЦИМА'!$K$8:$K$18203)</f>
        <v>0</v>
      </c>
      <c r="G19" s="373">
        <v>0</v>
      </c>
      <c r="H19" s="749"/>
    </row>
    <row r="20" spans="1:8" x14ac:dyDescent="0.25">
      <c r="A20" s="96" t="s">
        <v>3893</v>
      </c>
      <c r="B20" s="95" t="s">
        <v>107</v>
      </c>
      <c r="C20" s="367">
        <f>SUMIF('ПО КОРИСНИЦИМА'!$G$8:$G$18203,"Функција 112:",'ПО КОРИСНИЦИМА'!$H$8:$H$18203)</f>
        <v>837247</v>
      </c>
      <c r="D20" s="377">
        <v>0</v>
      </c>
      <c r="E20" s="371">
        <f t="shared" si="0"/>
        <v>0</v>
      </c>
      <c r="F20" s="367">
        <f>SUMIF('ПО КОРИСНИЦИМА'!$G$8:$G$18203,"Функција 112:",'ПО КОРИСНИЦИМА'!$K$8:$K$18203)</f>
        <v>0</v>
      </c>
      <c r="G20" s="373">
        <v>0</v>
      </c>
      <c r="H20" s="749"/>
    </row>
    <row r="21" spans="1:8" hidden="1" x14ac:dyDescent="0.25">
      <c r="A21" s="96" t="s">
        <v>3894</v>
      </c>
      <c r="B21" s="95" t="s">
        <v>108</v>
      </c>
      <c r="C21" s="367">
        <f>SUMIF('ПО КОРИСНИЦИМА'!$G$8:$G$18203,"Функција 113:",'ПО КОРИСНИЦИМА'!$H$8:$H$18203)</f>
        <v>0</v>
      </c>
      <c r="D21" s="377"/>
      <c r="E21" s="371" t="e">
        <f t="shared" si="0"/>
        <v>#DIV/0!</v>
      </c>
      <c r="F21" s="367">
        <f>SUMIF('ПО КОРИСНИЦИМА'!$G$8:$G$18203,"Функција 113:",'ПО КОРИСНИЦИМА'!$K$8:$K$18203)</f>
        <v>0</v>
      </c>
      <c r="G21" s="373"/>
      <c r="H21" s="749" t="e">
        <f t="shared" si="1"/>
        <v>#DIV/0!</v>
      </c>
    </row>
    <row r="22" spans="1:8" hidden="1" x14ac:dyDescent="0.25">
      <c r="A22" s="94" t="s">
        <v>3895</v>
      </c>
      <c r="B22" s="95" t="s">
        <v>3896</v>
      </c>
      <c r="C22" s="367">
        <f>SUMIF('ПО КОРИСНИЦИМА'!$G$8:$G$18203,"Функција 120:",'ПО КОРИСНИЦИМА'!$H$8:$H$18203)</f>
        <v>0</v>
      </c>
      <c r="D22" s="377"/>
      <c r="E22" s="371" t="e">
        <f t="shared" si="0"/>
        <v>#DIV/0!</v>
      </c>
      <c r="F22" s="367">
        <f>SUMIF('ПО КОРИСНИЦИМА'!$G$8:$G$18203,"Функција 120:",'ПО КОРИСНИЦИМА'!$K$8:$K$18203)</f>
        <v>0</v>
      </c>
      <c r="G22" s="373"/>
      <c r="H22" s="749" t="e">
        <f t="shared" si="1"/>
        <v>#DIV/0!</v>
      </c>
    </row>
    <row r="23" spans="1:8" hidden="1" x14ac:dyDescent="0.25">
      <c r="A23" s="96" t="s">
        <v>3897</v>
      </c>
      <c r="B23" s="95" t="s">
        <v>110</v>
      </c>
      <c r="C23" s="367">
        <f>SUMIF('ПО КОРИСНИЦИМА'!$G$8:$G$18203,"Функција 121:",'ПО КОРИСНИЦИМА'!$H$8:$H$18203)</f>
        <v>0</v>
      </c>
      <c r="D23" s="377"/>
      <c r="E23" s="371" t="e">
        <f t="shared" si="0"/>
        <v>#DIV/0!</v>
      </c>
      <c r="F23" s="367">
        <f>SUMIF('ПО КОРИСНИЦИМА'!$G$8:$G$18203,"Функција 121:",'ПО КОРИСНИЦИМА'!$K$8:$K$18203)</f>
        <v>0</v>
      </c>
      <c r="G23" s="373"/>
      <c r="H23" s="749" t="e">
        <f t="shared" si="1"/>
        <v>#DIV/0!</v>
      </c>
    </row>
    <row r="24" spans="1:8" ht="0.75" customHeight="1" x14ac:dyDescent="0.25">
      <c r="A24" s="96" t="s">
        <v>3898</v>
      </c>
      <c r="B24" s="95" t="s">
        <v>111</v>
      </c>
      <c r="C24" s="367">
        <f>SUMIF('ПО КОРИСНИЦИМА'!$G$8:$G$18203,"Функција 122:",'ПО КОРИСНИЦИМА'!$H$8:$H$18203)</f>
        <v>0</v>
      </c>
      <c r="D24" s="377"/>
      <c r="E24" s="371" t="e">
        <f t="shared" si="0"/>
        <v>#DIV/0!</v>
      </c>
      <c r="F24" s="367">
        <f>SUMIF('ПО КОРИСНИЦИМА'!$G$8:$G$18203,"Функција 122:",'ПО КОРИСНИЦИМА'!$K$8:$K$18203)</f>
        <v>0</v>
      </c>
      <c r="G24" s="373"/>
      <c r="H24" s="749" t="e">
        <f t="shared" si="1"/>
        <v>#DIV/0!</v>
      </c>
    </row>
    <row r="25" spans="1:8" x14ac:dyDescent="0.25">
      <c r="A25" s="94" t="s">
        <v>3899</v>
      </c>
      <c r="B25" s="95" t="s">
        <v>3900</v>
      </c>
      <c r="C25" s="367">
        <f>SUMIF('ПО КОРИСНИЦИМА'!$G$8:$G$18203,"Функција 130:",'ПО КОРИСНИЦИМА'!$H$8:$H$18203)</f>
        <v>91752903</v>
      </c>
      <c r="D25" s="377">
        <f>SUM('ПО КОРИСНИЦИМА'!I2440,'ПО КОРИСНИЦИМА'!I1874)</f>
        <v>80606835.690000013</v>
      </c>
      <c r="E25" s="371">
        <f t="shared" si="0"/>
        <v>87.852082118862242</v>
      </c>
      <c r="F25" s="367">
        <f>SUMIF('ПО КОРИСНИЦИМА'!$G$8:$G$18203,"Функција 130:",'ПО КОРИСНИЦИМА'!$K$8:$K$18203)</f>
        <v>4623515</v>
      </c>
      <c r="G25" s="373">
        <f>SUM('ПО КОРИСНИЦИМА'!L1874,'ПО КОРИСНИЦИМА'!L2444)</f>
        <v>5495856.21</v>
      </c>
      <c r="H25" s="749">
        <f t="shared" si="1"/>
        <v>118.86748956151327</v>
      </c>
    </row>
    <row r="26" spans="1:8" hidden="1" x14ac:dyDescent="0.25">
      <c r="A26" s="96" t="s">
        <v>3901</v>
      </c>
      <c r="B26" s="95" t="s">
        <v>113</v>
      </c>
      <c r="C26" s="367">
        <f>SUMIF('ПО КОРИСНИЦИМА'!$G$8:$G$18203,"Функција 131:",'ПО КОРИСНИЦИМА'!$H$8:$H$18203)</f>
        <v>0</v>
      </c>
      <c r="D26" s="377"/>
      <c r="E26" s="371" t="e">
        <f t="shared" si="0"/>
        <v>#DIV/0!</v>
      </c>
      <c r="F26" s="367">
        <f>SUMIF('ПО КОРИСНИЦИМА'!$G$8:$G$18203,"Функција 131:",'ПО КОРИСНИЦИМА'!$K$8:$K$18203)</f>
        <v>0</v>
      </c>
      <c r="G26" s="373"/>
      <c r="H26" s="749" t="e">
        <f t="shared" si="1"/>
        <v>#DIV/0!</v>
      </c>
    </row>
    <row r="27" spans="1:8" hidden="1" x14ac:dyDescent="0.25">
      <c r="A27" s="96" t="s">
        <v>3902</v>
      </c>
      <c r="B27" s="95" t="s">
        <v>114</v>
      </c>
      <c r="C27" s="367">
        <f>SUMIF('ПО КОРИСНИЦИМА'!$G$8:$G$18203,"Функција 132:",'ПО КОРИСНИЦИМА'!$H$8:$H$18203)</f>
        <v>0</v>
      </c>
      <c r="D27" s="377"/>
      <c r="E27" s="371" t="e">
        <f t="shared" si="0"/>
        <v>#DIV/0!</v>
      </c>
      <c r="F27" s="367">
        <f>SUMIF('ПО КОРИСНИЦИМА'!$G$8:$G$18203,"Функција 132:",'ПО КОРИСНИЦИМА'!$K$8:$K$18203)</f>
        <v>0</v>
      </c>
      <c r="G27" s="373"/>
      <c r="H27" s="749" t="e">
        <f t="shared" si="1"/>
        <v>#DIV/0!</v>
      </c>
    </row>
    <row r="28" spans="1:8" hidden="1" x14ac:dyDescent="0.25">
      <c r="A28" s="96" t="s">
        <v>3903</v>
      </c>
      <c r="B28" s="95" t="s">
        <v>115</v>
      </c>
      <c r="C28" s="367">
        <f>SUMIF('ПО КОРИСНИЦИМА'!$G$8:$G$18203,"Функција 133:",'ПО КОРИСНИЦИМА'!$H$8:$H$18203)</f>
        <v>0</v>
      </c>
      <c r="D28" s="377"/>
      <c r="E28" s="371" t="e">
        <f t="shared" si="0"/>
        <v>#DIV/0!</v>
      </c>
      <c r="F28" s="367">
        <f>SUMIF('ПО КОРИСНИЦИМА'!$G$8:$G$18203,"Функција 133:",'ПО КОРИСНИЦИМА'!$K$8:$K$18203)</f>
        <v>0</v>
      </c>
      <c r="G28" s="373"/>
      <c r="H28" s="749" t="e">
        <f t="shared" si="1"/>
        <v>#DIV/0!</v>
      </c>
    </row>
    <row r="29" spans="1:8" hidden="1" x14ac:dyDescent="0.25">
      <c r="A29" s="94" t="s">
        <v>3904</v>
      </c>
      <c r="B29" s="95" t="s">
        <v>3905</v>
      </c>
      <c r="C29" s="367">
        <f>SUMIF('ПО КОРИСНИЦИМА'!$G$8:$G$18203,"Функција 140:",'ПО КОРИСНИЦИМА'!$H$8:$H$18203)</f>
        <v>0</v>
      </c>
      <c r="D29" s="377"/>
      <c r="E29" s="371" t="e">
        <f t="shared" si="0"/>
        <v>#DIV/0!</v>
      </c>
      <c r="F29" s="367">
        <f>SUMIF('ПО КОРИСНИЦИМА'!$G$8:$G$18203,"Функција 140:",'ПО КОРИСНИЦИМА'!$K$8:$K$18203)</f>
        <v>0</v>
      </c>
      <c r="G29" s="373"/>
      <c r="H29" s="749" t="e">
        <f t="shared" si="1"/>
        <v>#DIV/0!</v>
      </c>
    </row>
    <row r="30" spans="1:8" x14ac:dyDescent="0.25">
      <c r="A30" s="94" t="s">
        <v>3906</v>
      </c>
      <c r="B30" s="95" t="s">
        <v>3907</v>
      </c>
      <c r="C30" s="367">
        <f>SUMIF('ПО КОРИСНИЦИМА'!$G$8:$G$18203,"Функција 150:",'ПО КОРИСНИЦИМА'!$H$8:$H$18203)</f>
        <v>1185000</v>
      </c>
      <c r="D30" s="377">
        <f>SUM('ПО КОРИСНИЦИМА'!I1939)</f>
        <v>1123165.8900000001</v>
      </c>
      <c r="E30" s="371">
        <f t="shared" si="0"/>
        <v>94.781931645569628</v>
      </c>
      <c r="F30" s="367">
        <f>SUMIF('ПО КОРИСНИЦИМА'!$G$8:$G$18203,"Функција 150:",'ПО КОРИСНИЦИМА'!$K$8:$K$18203)</f>
        <v>991650</v>
      </c>
      <c r="G30" s="373">
        <f>SUM('ПО КОРИСНИЦИМА'!L1972)</f>
        <v>870594</v>
      </c>
      <c r="H30" s="749">
        <f t="shared" si="1"/>
        <v>87.792467100287396</v>
      </c>
    </row>
    <row r="31" spans="1:8" x14ac:dyDescent="0.25">
      <c r="A31" s="94" t="s">
        <v>3908</v>
      </c>
      <c r="B31" s="95" t="s">
        <v>3909</v>
      </c>
      <c r="C31" s="367">
        <f>SUMIF('ПО КОРИСНИЦИМА'!$G$8:$G$18203,"Функција 160:",'ПО КОРИСНИЦИМА'!$H$8:$H$18203)</f>
        <v>351000</v>
      </c>
      <c r="D31" s="377">
        <f>SUM('ПО КОРИСНИЦИМА'!I7570)</f>
        <v>296769.02</v>
      </c>
      <c r="E31" s="371">
        <f t="shared" si="0"/>
        <v>84.549578347578361</v>
      </c>
      <c r="F31" s="367">
        <f>SUMIF('ПО КОРИСНИЦИМА'!$G$8:$G$18203,"Функција 160:",'ПО КОРИСНИЦИМА'!$K$8:$K$18203)</f>
        <v>0</v>
      </c>
      <c r="G31" s="373">
        <f>SUM('ПО КОРИСНИЦИМА'!L7585)</f>
        <v>50000</v>
      </c>
      <c r="H31" s="749"/>
    </row>
    <row r="32" spans="1:8" hidden="1" x14ac:dyDescent="0.25">
      <c r="A32" s="94" t="s">
        <v>3910</v>
      </c>
      <c r="B32" s="95" t="s">
        <v>3911</v>
      </c>
      <c r="C32" s="367">
        <f>SUMIF('ПО КОРИСНИЦИМА'!$G$8:$G$18203,"Функција 170:",'ПО КОРИСНИЦИМА'!$H$8:$H$18203)</f>
        <v>0</v>
      </c>
      <c r="D32" s="377"/>
      <c r="E32" s="371" t="e">
        <f t="shared" si="0"/>
        <v>#DIV/0!</v>
      </c>
      <c r="F32" s="367">
        <f>SUMIF('ПО КОРИСНИЦИМА'!$G$8:$G$18203,"Функција 170:",'ПО КОРИСНИЦИМА'!$K$8:$K$18203)</f>
        <v>0</v>
      </c>
      <c r="G32" s="373"/>
      <c r="H32" s="749" t="e">
        <f t="shared" si="1"/>
        <v>#DIV/0!</v>
      </c>
    </row>
    <row r="33" spans="1:8" hidden="1" x14ac:dyDescent="0.25">
      <c r="A33" s="94" t="s">
        <v>3912</v>
      </c>
      <c r="B33" s="95" t="s">
        <v>120</v>
      </c>
      <c r="C33" s="367">
        <f>SUMIF('ПО КОРИСНИЦИМА'!$G$8:$G$18203,"Функција 180:",'ПО КОРИСНИЦИМА'!$H$8:$H$18203)</f>
        <v>0</v>
      </c>
      <c r="D33" s="377"/>
      <c r="E33" s="371" t="e">
        <f t="shared" si="0"/>
        <v>#DIV/0!</v>
      </c>
      <c r="F33" s="367">
        <f>SUMIF('ПО КОРИСНИЦИМА'!$G$8:$G$18203,"Функција 180:",'ПО КОРИСНИЦИМА'!$K$8:$K$18203)</f>
        <v>0</v>
      </c>
      <c r="G33" s="373"/>
      <c r="H33" s="749" t="e">
        <f t="shared" si="1"/>
        <v>#DIV/0!</v>
      </c>
    </row>
    <row r="34" spans="1:8" x14ac:dyDescent="0.25">
      <c r="A34" s="92" t="s">
        <v>3913</v>
      </c>
      <c r="B34" s="97" t="s">
        <v>127</v>
      </c>
      <c r="C34" s="368">
        <f>SUM(C35:C40)</f>
        <v>15434870</v>
      </c>
      <c r="D34" s="376">
        <f>SUM(D37:D40)</f>
        <v>9987406.9199999999</v>
      </c>
      <c r="E34" s="371">
        <f t="shared" si="0"/>
        <v>64.706777057403144</v>
      </c>
      <c r="F34" s="368">
        <f>SUM(F35:F40)</f>
        <v>0</v>
      </c>
      <c r="G34" s="372">
        <f>SUM(G37:G40)</f>
        <v>26603.49</v>
      </c>
      <c r="H34" s="766"/>
    </row>
    <row r="35" spans="1:8" hidden="1" x14ac:dyDescent="0.25">
      <c r="A35" s="94" t="s">
        <v>3914</v>
      </c>
      <c r="B35" s="95" t="s">
        <v>3915</v>
      </c>
      <c r="C35" s="367">
        <f>SUMIF('ПО КОРИСНИЦИМА'!$G$8:$G$18203,"Функција 310:",'ПО КОРИСНИЦИМА'!$H$8:$H$18203)</f>
        <v>0</v>
      </c>
      <c r="D35" s="377"/>
      <c r="E35" s="371" t="e">
        <f t="shared" si="0"/>
        <v>#DIV/0!</v>
      </c>
      <c r="F35" s="367">
        <f>SUMIF('ПО КОРИСНИЦИМА'!$G$8:$G$18203,"Функција 310:",'ПО КОРИСНИЦИМА'!$K$8:$K$18203)</f>
        <v>0</v>
      </c>
      <c r="G35" s="373"/>
      <c r="H35" s="749" t="e">
        <f t="shared" si="1"/>
        <v>#DIV/0!</v>
      </c>
    </row>
    <row r="36" spans="1:8" hidden="1" x14ac:dyDescent="0.25">
      <c r="A36" s="94" t="s">
        <v>3916</v>
      </c>
      <c r="B36" s="95" t="s">
        <v>3917</v>
      </c>
      <c r="C36" s="367">
        <f>SUMIF('ПО КОРИСНИЦИМА'!$G$8:$G$18203,"Функција 320:",'ПО КОРИСНИЦИМА'!$H$8:$H$18203)</f>
        <v>0</v>
      </c>
      <c r="D36" s="377"/>
      <c r="E36" s="371" t="e">
        <f t="shared" si="0"/>
        <v>#DIV/0!</v>
      </c>
      <c r="F36" s="367">
        <f>SUMIF('ПО КОРИСНИЦИМА'!$G$8:$G$18203,"Функција 320:",'ПО КОРИСНИЦИМА'!$K$8:$K$18203)</f>
        <v>0</v>
      </c>
      <c r="G36" s="373"/>
      <c r="H36" s="749" t="e">
        <f t="shared" si="1"/>
        <v>#DIV/0!</v>
      </c>
    </row>
    <row r="37" spans="1:8" ht="15.75" customHeight="1" x14ac:dyDescent="0.25">
      <c r="A37" s="94" t="s">
        <v>3918</v>
      </c>
      <c r="B37" s="95" t="s">
        <v>3919</v>
      </c>
      <c r="C37" s="367">
        <f>SUMIF('ПО КОРИСНИЦИМА'!$G$8:$G$18203,"Функција 330:",'ПО КОРИСНИЦИМА'!$H$8:$H$18203)</f>
        <v>1009200</v>
      </c>
      <c r="D37" s="377">
        <f>SUM('ПО КОРИСНИЦИМА'!I18167)</f>
        <v>857415.56</v>
      </c>
      <c r="E37" s="371">
        <f t="shared" si="0"/>
        <v>84.959924692826007</v>
      </c>
      <c r="F37" s="367">
        <f>SUMIF('ПО КОРИСНИЦИМА'!$G$8:$G$18203,"Функција 330:",'ПО КОРИСНИЦИМА'!$K$8:$K$18203)</f>
        <v>0</v>
      </c>
      <c r="G37" s="373"/>
      <c r="H37" s="749"/>
    </row>
    <row r="38" spans="1:8" ht="13.5" hidden="1" customHeight="1" x14ac:dyDescent="0.25">
      <c r="A38" s="94" t="s">
        <v>3920</v>
      </c>
      <c r="B38" s="95" t="s">
        <v>3921</v>
      </c>
      <c r="C38" s="367">
        <f>SUMIF('ПО КОРИСНИЦИМА'!$G$8:$G$18203,"Функција 340:",'ПО КОРИСНИЦИМА'!$H$8:$H$18203)</f>
        <v>0</v>
      </c>
      <c r="D38" s="377"/>
      <c r="E38" s="371" t="e">
        <f t="shared" si="0"/>
        <v>#DIV/0!</v>
      </c>
      <c r="F38" s="367">
        <f>SUMIF('ПО КОРИСНИЦИМА'!$G$8:$G$18203,"Функција 340:",'ПО КОРИСНИЦИМА'!$K$8:$K$18203)</f>
        <v>0</v>
      </c>
      <c r="G38" s="373"/>
      <c r="H38" s="749" t="e">
        <f t="shared" si="1"/>
        <v>#DIV/0!</v>
      </c>
    </row>
    <row r="39" spans="1:8" ht="10.5" hidden="1" customHeight="1" x14ac:dyDescent="0.25">
      <c r="A39" s="94" t="s">
        <v>3922</v>
      </c>
      <c r="B39" s="95" t="s">
        <v>3923</v>
      </c>
      <c r="C39" s="367">
        <f>SUMIF('ПО КОРИСНИЦИМА'!$G$8:$G$18203,"Функција 350:",'ПО КОРИСНИЦИМА'!$H$8:$H$18203)</f>
        <v>0</v>
      </c>
      <c r="D39" s="377"/>
      <c r="E39" s="371" t="e">
        <f t="shared" si="0"/>
        <v>#DIV/0!</v>
      </c>
      <c r="F39" s="367">
        <f>SUMIF('ПО КОРИСНИЦИМА'!$G$8:$G$18203,"Функција 350:",'ПО КОРИСНИЦИМА'!$K$8:$K$18203)</f>
        <v>0</v>
      </c>
      <c r="G39" s="373"/>
      <c r="H39" s="749" t="e">
        <f t="shared" si="1"/>
        <v>#DIV/0!</v>
      </c>
    </row>
    <row r="40" spans="1:8" x14ac:dyDescent="0.25">
      <c r="A40" s="94" t="s">
        <v>3924</v>
      </c>
      <c r="B40" s="95" t="s">
        <v>3925</v>
      </c>
      <c r="C40" s="367">
        <f>SUM('ПО КОРИСНИЦИМА'!H565,'ПО КОРИСНИЦИМА'!H7014)</f>
        <v>14425670</v>
      </c>
      <c r="D40" s="377">
        <f>SUM('ПО КОРИСНИЦИМА'!I6998,'ПО КОРИСНИЦИМА'!I549)</f>
        <v>9129991.3599999994</v>
      </c>
      <c r="E40" s="371">
        <f t="shared" si="0"/>
        <v>63.289894750122521</v>
      </c>
      <c r="F40" s="367">
        <f>SUMIF('ПО КОРИСНИЦИМА'!$G$8:$G$18203,"Функција 360:",'ПО КОРИСНИЦИМА'!$K$8:$K$18203)</f>
        <v>0</v>
      </c>
      <c r="G40" s="373">
        <f>SUM('ПО КОРИСНИЦИМА'!L6995)</f>
        <v>26603.49</v>
      </c>
      <c r="H40" s="749"/>
    </row>
    <row r="41" spans="1:8" x14ac:dyDescent="0.25">
      <c r="A41" s="92" t="s">
        <v>3926</v>
      </c>
      <c r="B41" s="93" t="s">
        <v>133</v>
      </c>
      <c r="C41" s="368">
        <f>SUM(C42:C80)</f>
        <v>34293502</v>
      </c>
      <c r="D41" s="376">
        <f>SUM(D46:D70)</f>
        <v>30255748.41</v>
      </c>
      <c r="E41" s="371">
        <f t="shared" si="0"/>
        <v>88.225893086101266</v>
      </c>
      <c r="F41" s="368">
        <f>SUM(F42:F80)</f>
        <v>500000</v>
      </c>
      <c r="G41" s="372">
        <f>SUM(G70)</f>
        <v>3148717.58</v>
      </c>
      <c r="H41" s="767">
        <f t="shared" si="1"/>
        <v>629.743516</v>
      </c>
    </row>
    <row r="42" spans="1:8" ht="23.25" hidden="1" x14ac:dyDescent="0.25">
      <c r="A42" s="94" t="s">
        <v>3761</v>
      </c>
      <c r="B42" s="98" t="s">
        <v>3927</v>
      </c>
      <c r="C42" s="367">
        <f>SUMIF('ПО КОРИСНИЦИМА'!$G$8:$G$18203,"Функција 410:",'ПО КОРИСНИЦИМА'!$H$8:$H$18203)</f>
        <v>0</v>
      </c>
      <c r="D42" s="377"/>
      <c r="E42" s="371" t="e">
        <f t="shared" si="0"/>
        <v>#DIV/0!</v>
      </c>
      <c r="F42" s="367">
        <f>SUMIF('ПО КОРИСНИЦИМА'!$G$8:$G$18203,"Функција 410:",'ПО КОРИСНИЦИМА'!$K$8:$K$18203)</f>
        <v>0</v>
      </c>
      <c r="G42" s="373"/>
      <c r="H42" s="749" t="e">
        <f t="shared" si="1"/>
        <v>#DIV/0!</v>
      </c>
    </row>
    <row r="43" spans="1:8" hidden="1" x14ac:dyDescent="0.25">
      <c r="A43" s="96" t="s">
        <v>3928</v>
      </c>
      <c r="B43" s="98" t="s">
        <v>135</v>
      </c>
      <c r="C43" s="367">
        <f>SUMIF('ПО КОРИСНИЦИМА'!$G$8:$G$18203,"Функција 411:",'ПО КОРИСНИЦИМА'!$H$8:$H$18203)</f>
        <v>0</v>
      </c>
      <c r="D43" s="377"/>
      <c r="E43" s="371" t="e">
        <f t="shared" si="0"/>
        <v>#DIV/0!</v>
      </c>
      <c r="F43" s="367">
        <f>SUMIF('ПО КОРИСНИЦИМА'!$G$8:$G$18203,"Функција 411:",'ПО КОРИСНИЦИМА'!$K$8:$K$18203)</f>
        <v>0</v>
      </c>
      <c r="G43" s="373"/>
      <c r="H43" s="749" t="e">
        <f t="shared" si="1"/>
        <v>#DIV/0!</v>
      </c>
    </row>
    <row r="44" spans="1:8" hidden="1" x14ac:dyDescent="0.25">
      <c r="A44" s="96" t="s">
        <v>3929</v>
      </c>
      <c r="B44" s="98" t="s">
        <v>136</v>
      </c>
      <c r="C44" s="367">
        <f>SUMIF('ПО КОРИСНИЦИМА'!$G$8:$G$18203,"Функција 412:",'ПО КОРИСНИЦИМА'!$H$8:$H$18203)</f>
        <v>0</v>
      </c>
      <c r="D44" s="377"/>
      <c r="E44" s="371" t="e">
        <f t="shared" si="0"/>
        <v>#DIV/0!</v>
      </c>
      <c r="F44" s="367">
        <f>SUMIF('ПО КОРИСНИЦИМА'!$G$8:$G$18203,"Функција 412:",'ПО КОРИСНИЦИМА'!$K$8:$K$18203)</f>
        <v>0</v>
      </c>
      <c r="G44" s="373"/>
      <c r="H44" s="749" t="e">
        <f t="shared" si="1"/>
        <v>#DIV/0!</v>
      </c>
    </row>
    <row r="45" spans="1:8" hidden="1" x14ac:dyDescent="0.25">
      <c r="A45" s="94" t="s">
        <v>3774</v>
      </c>
      <c r="B45" s="95" t="s">
        <v>3930</v>
      </c>
      <c r="C45" s="367">
        <f>SUMIF('ПО КОРИСНИЦИМА'!$G$8:$G$18203,"Функција 420:",'ПО КОРИСНИЦИМА'!$H$8:$H$18203)</f>
        <v>0</v>
      </c>
      <c r="D45" s="377"/>
      <c r="E45" s="371" t="e">
        <f t="shared" si="0"/>
        <v>#DIV/0!</v>
      </c>
      <c r="F45" s="367">
        <f>SUMIF('ПО КОРИСНИЦИМА'!$G$8:$G$18203,"Функција 420:",'ПО КОРИСНИЦИМА'!$K$8:$K$18203)</f>
        <v>0</v>
      </c>
      <c r="G45" s="373"/>
      <c r="H45" s="749" t="e">
        <f t="shared" si="1"/>
        <v>#DIV/0!</v>
      </c>
    </row>
    <row r="46" spans="1:8" x14ac:dyDescent="0.25">
      <c r="A46" s="96" t="s">
        <v>3776</v>
      </c>
      <c r="B46" s="95" t="s">
        <v>138</v>
      </c>
      <c r="C46" s="367">
        <f>SUMIF('ПО КОРИСНИЦИМА'!$G$8:$G$18203,"Функција 421:",'ПО КОРИСНИЦИМА'!$H$8:$H$18203)</f>
        <v>25200487</v>
      </c>
      <c r="D46" s="377">
        <f>SUM('ПО КОРИСНИЦИМА'!I8147)</f>
        <v>23252506.77</v>
      </c>
      <c r="E46" s="371">
        <f t="shared" si="0"/>
        <v>92.270069106204176</v>
      </c>
      <c r="F46" s="367">
        <f>SUMIF('ПО КОРИСНИЦИМА'!$G$8:$G$18203,"Функција 421:",'ПО КОРИСНИЦИМА'!$K$8:$K$18203)</f>
        <v>0</v>
      </c>
      <c r="G46" s="373"/>
      <c r="H46" s="749"/>
    </row>
    <row r="47" spans="1:8" hidden="1" x14ac:dyDescent="0.25">
      <c r="A47" s="96" t="s">
        <v>3931</v>
      </c>
      <c r="B47" s="95" t="s">
        <v>139</v>
      </c>
      <c r="C47" s="367">
        <f>SUMIF('ПО КОРИСНИЦИМА'!$G$8:$G$18203,"Функција 422:",'ПО КОРИСНИЦИМА'!$H$8:$H$18203)</f>
        <v>0</v>
      </c>
      <c r="D47" s="377"/>
      <c r="E47" s="371" t="e">
        <f t="shared" si="0"/>
        <v>#DIV/0!</v>
      </c>
      <c r="F47" s="367">
        <f>SUMIF('ПО КОРИСНИЦИМА'!$G$8:$G$18203,"Функција 422:",'ПО КОРИСНИЦИМА'!$K$8:$K$18203)</f>
        <v>0</v>
      </c>
      <c r="G47" s="373"/>
      <c r="H47" s="749" t="e">
        <f t="shared" si="1"/>
        <v>#DIV/0!</v>
      </c>
    </row>
    <row r="48" spans="1:8" hidden="1" x14ac:dyDescent="0.25">
      <c r="A48" s="96" t="s">
        <v>3932</v>
      </c>
      <c r="B48" s="95" t="s">
        <v>140</v>
      </c>
      <c r="C48" s="367">
        <f>SUMIF('ПО КОРИСНИЦИМА'!$G$8:$G$18203,"Функција 423:",'ПО КОРИСНИЦИМА'!$H$8:$H$18203)</f>
        <v>0</v>
      </c>
      <c r="D48" s="377"/>
      <c r="E48" s="371" t="e">
        <f t="shared" si="0"/>
        <v>#DIV/0!</v>
      </c>
      <c r="F48" s="367">
        <f>SUMIF('ПО КОРИСНИЦИМА'!$G$8:$G$18203,"Функција 423:",'ПО КОРИСНИЦИМА'!$K$8:$K$18203)</f>
        <v>0</v>
      </c>
      <c r="G48" s="373"/>
      <c r="H48" s="749" t="e">
        <f t="shared" si="1"/>
        <v>#DIV/0!</v>
      </c>
    </row>
    <row r="49" spans="1:8" hidden="1" x14ac:dyDescent="0.25">
      <c r="A49" s="94" t="s">
        <v>3786</v>
      </c>
      <c r="B49" s="95" t="s">
        <v>3933</v>
      </c>
      <c r="C49" s="367">
        <f>SUMIF('ПО КОРИСНИЦИМА'!$G$8:$G$18203,"Функција 430:",'ПО КОРИСНИЦИМА'!$H$8:$H$18203)</f>
        <v>0</v>
      </c>
      <c r="D49" s="377"/>
      <c r="E49" s="371" t="e">
        <f t="shared" si="0"/>
        <v>#DIV/0!</v>
      </c>
      <c r="F49" s="367">
        <f>SUMIF('ПО КОРИСНИЦИМА'!$G$8:$G$18203,"Функција 430:",'ПО КОРИСНИЦИМА'!$K$8:$K$18203)</f>
        <v>0</v>
      </c>
      <c r="G49" s="373"/>
      <c r="H49" s="749" t="e">
        <f t="shared" si="1"/>
        <v>#DIV/0!</v>
      </c>
    </row>
    <row r="50" spans="1:8" hidden="1" x14ac:dyDescent="0.25">
      <c r="A50" s="96" t="s">
        <v>3934</v>
      </c>
      <c r="B50" s="95" t="s">
        <v>142</v>
      </c>
      <c r="C50" s="367">
        <f>SUMIF('ПО КОРИСНИЦИМА'!$G$8:$G$18203,"Функција 431:",'ПО КОРИСНИЦИМА'!$H$8:$H$18203)</f>
        <v>0</v>
      </c>
      <c r="D50" s="377"/>
      <c r="E50" s="371" t="e">
        <f t="shared" si="0"/>
        <v>#DIV/0!</v>
      </c>
      <c r="F50" s="367">
        <f>SUMIF('ПО КОРИСНИЦИМА'!$G$8:$G$18203,"Функција 431:",'ПО КОРИСНИЦИМА'!$K$8:$K$18203)</f>
        <v>0</v>
      </c>
      <c r="G50" s="373"/>
      <c r="H50" s="749" t="e">
        <f t="shared" si="1"/>
        <v>#DIV/0!</v>
      </c>
    </row>
    <row r="51" spans="1:8" hidden="1" x14ac:dyDescent="0.25">
      <c r="A51" s="96" t="s">
        <v>3935</v>
      </c>
      <c r="B51" s="95" t="s">
        <v>143</v>
      </c>
      <c r="C51" s="367">
        <f>SUMIF('ПО КОРИСНИЦИМА'!$G$8:$G$18203,"Функција 432:",'ПО КОРИСНИЦИМА'!$H$8:$H$18203)</f>
        <v>0</v>
      </c>
      <c r="D51" s="377"/>
      <c r="E51" s="371" t="e">
        <f t="shared" si="0"/>
        <v>#DIV/0!</v>
      </c>
      <c r="F51" s="367">
        <f>SUMIF('ПО КОРИСНИЦИМА'!$G$8:$G$18203,"Функција 432:",'ПО КОРИСНИЦИМА'!$K$8:$K$18203)</f>
        <v>0</v>
      </c>
      <c r="G51" s="373"/>
      <c r="H51" s="749" t="e">
        <f t="shared" si="1"/>
        <v>#DIV/0!</v>
      </c>
    </row>
    <row r="52" spans="1:8" hidden="1" x14ac:dyDescent="0.25">
      <c r="A52" s="96" t="s">
        <v>3936</v>
      </c>
      <c r="B52" s="95" t="s">
        <v>144</v>
      </c>
      <c r="C52" s="367">
        <f>SUMIF('ПО КОРИСНИЦИМА'!$G$8:$G$18203,"Функција 433:",'ПО КОРИСНИЦИМА'!$H$8:$H$18203)</f>
        <v>0</v>
      </c>
      <c r="D52" s="377"/>
      <c r="E52" s="371" t="e">
        <f t="shared" si="0"/>
        <v>#DIV/0!</v>
      </c>
      <c r="F52" s="367">
        <f>SUMIF('ПО КОРИСНИЦИМА'!$G$8:$G$18203,"Функција 433:",'ПО КОРИСНИЦИМА'!$K$8:$K$18203)</f>
        <v>0</v>
      </c>
      <c r="G52" s="373"/>
      <c r="H52" s="749" t="e">
        <f t="shared" si="1"/>
        <v>#DIV/0!</v>
      </c>
    </row>
    <row r="53" spans="1:8" hidden="1" x14ac:dyDescent="0.25">
      <c r="A53" s="96" t="s">
        <v>3937</v>
      </c>
      <c r="B53" s="95" t="s">
        <v>145</v>
      </c>
      <c r="C53" s="367">
        <f>SUMIF('ПО КОРИСНИЦИМА'!$G$8:$G$18203,"Функција 434:",'ПО КОРИСНИЦИМА'!$H$8:$H$18203)</f>
        <v>0</v>
      </c>
      <c r="D53" s="377"/>
      <c r="E53" s="371" t="e">
        <f t="shared" si="0"/>
        <v>#DIV/0!</v>
      </c>
      <c r="F53" s="367">
        <f>SUMIF('ПО КОРИСНИЦИМА'!$G$8:$G$18203,"Функција 434:",'ПО КОРИСНИЦИМА'!$K$8:$K$18203)</f>
        <v>0</v>
      </c>
      <c r="G53" s="373"/>
      <c r="H53" s="749" t="e">
        <f t="shared" si="1"/>
        <v>#DIV/0!</v>
      </c>
    </row>
    <row r="54" spans="1:8" hidden="1" x14ac:dyDescent="0.25">
      <c r="A54" s="96" t="s">
        <v>3938</v>
      </c>
      <c r="B54" s="95" t="s">
        <v>146</v>
      </c>
      <c r="C54" s="367">
        <f>SUMIF('ПО КОРИСНИЦИМА'!$G$8:$G$18203,"Функција 435:",'ПО КОРИСНИЦИМА'!$H$8:$H$18203)</f>
        <v>0</v>
      </c>
      <c r="D54" s="377"/>
      <c r="E54" s="371" t="e">
        <f t="shared" si="0"/>
        <v>#DIV/0!</v>
      </c>
      <c r="F54" s="367">
        <f>SUMIF('ПО КОРИСНИЦИМА'!$G$8:$G$18203,"Функција 435:",'ПО КОРИСНИЦИМА'!$K$8:$K$18203)</f>
        <v>0</v>
      </c>
      <c r="G54" s="373"/>
      <c r="H54" s="749" t="e">
        <f t="shared" si="1"/>
        <v>#DIV/0!</v>
      </c>
    </row>
    <row r="55" spans="1:8" hidden="1" x14ac:dyDescent="0.25">
      <c r="A55" s="96" t="s">
        <v>3939</v>
      </c>
      <c r="B55" s="95" t="s">
        <v>147</v>
      </c>
      <c r="C55" s="367">
        <f>SUMIF('ПО КОРИСНИЦИМА'!$G$8:$G$18203,"Функција 436:",'ПО КОРИСНИЦИМА'!$H$8:$H$18203)</f>
        <v>0</v>
      </c>
      <c r="D55" s="377"/>
      <c r="E55" s="371" t="e">
        <f t="shared" si="0"/>
        <v>#DIV/0!</v>
      </c>
      <c r="F55" s="367">
        <f>SUMIF('ПО КОРИСНИЦИМА'!$G$8:$G$18203,"Функција 436:",'ПО КОРИСНИЦИМА'!$K$8:$K$18203)</f>
        <v>0</v>
      </c>
      <c r="G55" s="373"/>
      <c r="H55" s="749" t="e">
        <f t="shared" si="1"/>
        <v>#DIV/0!</v>
      </c>
    </row>
    <row r="56" spans="1:8" hidden="1" x14ac:dyDescent="0.25">
      <c r="A56" s="94" t="s">
        <v>3793</v>
      </c>
      <c r="B56" s="95" t="s">
        <v>3940</v>
      </c>
      <c r="C56" s="367">
        <f>SUMIF('ПО КОРИСНИЦИМА'!$G$8:$G$18203,"Функција 440:",'ПО КОРИСНИЦИМА'!$H$8:$H$18203)</f>
        <v>0</v>
      </c>
      <c r="D56" s="377"/>
      <c r="E56" s="371" t="e">
        <f t="shared" si="0"/>
        <v>#DIV/0!</v>
      </c>
      <c r="F56" s="367">
        <f>SUMIF('ПО КОРИСНИЦИМА'!$G$8:$G$18203,"Функција 440:",'ПО КОРИСНИЦИМА'!$K$8:$K$18203)</f>
        <v>0</v>
      </c>
      <c r="G56" s="373"/>
      <c r="H56" s="749" t="e">
        <f t="shared" si="1"/>
        <v>#DIV/0!</v>
      </c>
    </row>
    <row r="57" spans="1:8" hidden="1" x14ac:dyDescent="0.25">
      <c r="A57" s="96" t="s">
        <v>3941</v>
      </c>
      <c r="B57" s="95" t="s">
        <v>149</v>
      </c>
      <c r="C57" s="367">
        <f>SUMIF('ПО КОРИСНИЦИМА'!$G$8:$G$18203,"Функција 441:",'ПО КОРИСНИЦИМА'!$H$8:$H$18203)</f>
        <v>0</v>
      </c>
      <c r="D57" s="377"/>
      <c r="E57" s="371" t="e">
        <f t="shared" si="0"/>
        <v>#DIV/0!</v>
      </c>
      <c r="F57" s="367">
        <f>SUMIF('ПО КОРИСНИЦИМА'!$G$8:$G$18203,"Функција 441:",'ПО КОРИСНИЦИМА'!$K$8:$K$18203)</f>
        <v>0</v>
      </c>
      <c r="G57" s="373"/>
      <c r="H57" s="749" t="e">
        <f t="shared" si="1"/>
        <v>#DIV/0!</v>
      </c>
    </row>
    <row r="58" spans="1:8" hidden="1" x14ac:dyDescent="0.25">
      <c r="A58" s="96" t="s">
        <v>3942</v>
      </c>
      <c r="B58" s="95" t="s">
        <v>150</v>
      </c>
      <c r="C58" s="367">
        <f>SUMIF('ПО КОРИСНИЦИМА'!$G$8:$G$18203,"Функција 442:",'ПО КОРИСНИЦИМА'!$H$8:$H$18203)</f>
        <v>0</v>
      </c>
      <c r="D58" s="377"/>
      <c r="E58" s="371" t="e">
        <f t="shared" si="0"/>
        <v>#DIV/0!</v>
      </c>
      <c r="F58" s="367">
        <f>SUMIF('ПО КОРИСНИЦИМА'!$G$8:$G$18203,"Функција 442:",'ПО КОРИСНИЦИМА'!$K$8:$K$18203)</f>
        <v>0</v>
      </c>
      <c r="G58" s="373"/>
      <c r="H58" s="749" t="e">
        <f t="shared" si="1"/>
        <v>#DIV/0!</v>
      </c>
    </row>
    <row r="59" spans="1:8" hidden="1" x14ac:dyDescent="0.25">
      <c r="A59" s="96" t="s">
        <v>3943</v>
      </c>
      <c r="B59" s="95" t="s">
        <v>151</v>
      </c>
      <c r="C59" s="367">
        <f>SUMIF('ПО КОРИСНИЦИМА'!$G$8:$G$18203,"Функција 443:",'ПО КОРИСНИЦИМА'!$H$8:$H$18203)</f>
        <v>0</v>
      </c>
      <c r="D59" s="377"/>
      <c r="E59" s="371" t="e">
        <f t="shared" si="0"/>
        <v>#DIV/0!</v>
      </c>
      <c r="F59" s="367">
        <f>SUMIF('ПО КОРИСНИЦИМА'!$G$8:$G$18203,"Функција 443:",'ПО КОРИСНИЦИМА'!$K$8:$K$18203)</f>
        <v>0</v>
      </c>
      <c r="G59" s="373"/>
      <c r="H59" s="749" t="e">
        <f t="shared" si="1"/>
        <v>#DIV/0!</v>
      </c>
    </row>
    <row r="60" spans="1:8" hidden="1" x14ac:dyDescent="0.25">
      <c r="A60" s="94" t="s">
        <v>3799</v>
      </c>
      <c r="B60" s="95" t="s">
        <v>3944</v>
      </c>
      <c r="C60" s="367">
        <f>SUMIF('ПО КОРИСНИЦИМА'!$G$8:$G$18203,"Функција 450:",'ПО КОРИСНИЦИМА'!$H$8:$H$18203)</f>
        <v>0</v>
      </c>
      <c r="D60" s="377"/>
      <c r="E60" s="371" t="e">
        <f t="shared" si="0"/>
        <v>#DIV/0!</v>
      </c>
      <c r="F60" s="367">
        <f>SUMIF('ПО КОРИСНИЦИМА'!$G$8:$G$18203,"Функција 450:",'ПО КОРИСНИЦИМА'!$K$8:$K$18203)</f>
        <v>0</v>
      </c>
      <c r="G60" s="373"/>
      <c r="H60" s="749" t="e">
        <f t="shared" si="1"/>
        <v>#DIV/0!</v>
      </c>
    </row>
    <row r="61" spans="1:8" hidden="1" x14ac:dyDescent="0.25">
      <c r="A61" s="99" t="s">
        <v>3945</v>
      </c>
      <c r="B61" s="95" t="s">
        <v>153</v>
      </c>
      <c r="C61" s="367">
        <f>SUMIF('ПО КОРИСНИЦИМА'!$G$8:$G$18203,"Функција 451:",'ПО КОРИСНИЦИМА'!$H$8:$H$18203)</f>
        <v>0</v>
      </c>
      <c r="D61" s="377"/>
      <c r="E61" s="371" t="e">
        <f t="shared" si="0"/>
        <v>#DIV/0!</v>
      </c>
      <c r="F61" s="367">
        <f>SUMIF('ПО КОРИСНИЦИМА'!$G$8:$G$18203,"Функција 451:",'ПО КОРИСНИЦИМА'!$K$8:$K$18203)</f>
        <v>0</v>
      </c>
      <c r="G61" s="373"/>
      <c r="H61" s="749" t="e">
        <f t="shared" si="1"/>
        <v>#DIV/0!</v>
      </c>
    </row>
    <row r="62" spans="1:8" hidden="1" x14ac:dyDescent="0.25">
      <c r="A62" s="99" t="s">
        <v>3858</v>
      </c>
      <c r="B62" s="95" t="s">
        <v>154</v>
      </c>
      <c r="C62" s="367">
        <f>SUMIF('ПО КОРИСНИЦИМА'!$G$8:$G$18203,"Функција 452:",'ПО КОРИСНИЦИМА'!$H$8:$H$18203)</f>
        <v>0</v>
      </c>
      <c r="D62" s="377"/>
      <c r="E62" s="371" t="e">
        <f t="shared" si="0"/>
        <v>#DIV/0!</v>
      </c>
      <c r="F62" s="367">
        <f>SUMIF('ПО КОРИСНИЦИМА'!$G$8:$G$18203,"Функција 452:",'ПО КОРИСНИЦИМА'!$K$8:$K$18203)</f>
        <v>0</v>
      </c>
      <c r="G62" s="373"/>
      <c r="H62" s="749" t="e">
        <f t="shared" si="1"/>
        <v>#DIV/0!</v>
      </c>
    </row>
    <row r="63" spans="1:8" hidden="1" x14ac:dyDescent="0.25">
      <c r="A63" s="99" t="s">
        <v>3946</v>
      </c>
      <c r="B63" s="95" t="s">
        <v>155</v>
      </c>
      <c r="C63" s="367">
        <f>SUMIF('ПО КОРИСНИЦИМА'!$G$8:$G$18203,"Функција 453:",'ПО КОРИСНИЦИМА'!$H$8:$H$18203)</f>
        <v>0</v>
      </c>
      <c r="D63" s="377"/>
      <c r="E63" s="371" t="e">
        <f t="shared" si="0"/>
        <v>#DIV/0!</v>
      </c>
      <c r="F63" s="367">
        <f>SUMIF('ПО КОРИСНИЦИМА'!$G$8:$G$18203,"Функција 453:",'ПО КОРИСНИЦИМА'!$K$8:$K$18203)</f>
        <v>0</v>
      </c>
      <c r="G63" s="373"/>
      <c r="H63" s="749" t="e">
        <f t="shared" si="1"/>
        <v>#DIV/0!</v>
      </c>
    </row>
    <row r="64" spans="1:8" hidden="1" x14ac:dyDescent="0.25">
      <c r="A64" s="99" t="s">
        <v>3947</v>
      </c>
      <c r="B64" s="95" t="s">
        <v>156</v>
      </c>
      <c r="C64" s="367">
        <f>SUMIF('ПО КОРИСНИЦИМА'!$G$8:$G$18203,"Функција 454:",'ПО КОРИСНИЦИМА'!$H$8:$H$18203)</f>
        <v>0</v>
      </c>
      <c r="D64" s="377"/>
      <c r="E64" s="371" t="e">
        <f t="shared" si="0"/>
        <v>#DIV/0!</v>
      </c>
      <c r="F64" s="367">
        <f>SUMIF('ПО КОРИСНИЦИМА'!$G$8:$G$18203,"Функција 454:",'ПО КОРИСНИЦИМА'!$K$8:$K$18203)</f>
        <v>0</v>
      </c>
      <c r="G64" s="373"/>
      <c r="H64" s="749" t="e">
        <f t="shared" si="1"/>
        <v>#DIV/0!</v>
      </c>
    </row>
    <row r="65" spans="1:8" hidden="1" x14ac:dyDescent="0.25">
      <c r="A65" s="99" t="s">
        <v>3948</v>
      </c>
      <c r="B65" s="95" t="s">
        <v>157</v>
      </c>
      <c r="C65" s="367">
        <f>SUMIF('ПО КОРИСНИЦИМА'!$G$8:$G$18203,"Функција 455:",'ПО КОРИСНИЦИМА'!$H$8:$H$18203)</f>
        <v>0</v>
      </c>
      <c r="D65" s="377"/>
      <c r="E65" s="371" t="e">
        <f t="shared" si="0"/>
        <v>#DIV/0!</v>
      </c>
      <c r="F65" s="367">
        <f>SUMIF('ПО КОРИСНИЦИМА'!$G$8:$G$18203,"Функција 455:",'ПО КОРИСНИЦИМА'!$K$8:$K$18203)</f>
        <v>0</v>
      </c>
      <c r="G65" s="373"/>
      <c r="H65" s="749" t="e">
        <f t="shared" si="1"/>
        <v>#DIV/0!</v>
      </c>
    </row>
    <row r="66" spans="1:8" hidden="1" x14ac:dyDescent="0.25">
      <c r="A66" s="94" t="s">
        <v>3804</v>
      </c>
      <c r="B66" s="95" t="s">
        <v>3949</v>
      </c>
      <c r="C66" s="367">
        <f>SUMIF('ПО КОРИСНИЦИМА'!$G$8:$G$18203,"Функција 460:",'ПО КОРИСНИЦИМА'!$H$8:$H$18203)</f>
        <v>0</v>
      </c>
      <c r="D66" s="377"/>
      <c r="E66" s="371" t="e">
        <f t="shared" si="0"/>
        <v>#DIV/0!</v>
      </c>
      <c r="F66" s="367">
        <f>SUMIF('ПО КОРИСНИЦИМА'!$G$8:$G$18203,"Функција 460:",'ПО КОРИСНИЦИМА'!$K$8:$K$18203)</f>
        <v>0</v>
      </c>
      <c r="G66" s="373"/>
      <c r="H66" s="749" t="e">
        <f t="shared" si="1"/>
        <v>#DIV/0!</v>
      </c>
    </row>
    <row r="67" spans="1:8" hidden="1" x14ac:dyDescent="0.25">
      <c r="A67" s="94" t="s">
        <v>3811</v>
      </c>
      <c r="B67" s="95" t="s">
        <v>3950</v>
      </c>
      <c r="C67" s="367">
        <f>SUMIF('ПО КОРИСНИЦИМА'!$G$8:$G$18203,"Функција 470:",'ПО КОРИСНИЦИМА'!$H$8:$H$18203)</f>
        <v>0</v>
      </c>
      <c r="D67" s="377"/>
      <c r="E67" s="371" t="e">
        <f t="shared" si="0"/>
        <v>#DIV/0!</v>
      </c>
      <c r="F67" s="367">
        <f>SUMIF('ПО КОРИСНИЦИМА'!$G$8:$G$18203,"Функција 470:",'ПО КОРИСНИЦИМА'!$K$8:$K$18203)</f>
        <v>0</v>
      </c>
      <c r="G67" s="373"/>
      <c r="H67" s="749" t="e">
        <f t="shared" si="1"/>
        <v>#DIV/0!</v>
      </c>
    </row>
    <row r="68" spans="1:8" hidden="1" x14ac:dyDescent="0.25">
      <c r="A68" s="96" t="s">
        <v>3951</v>
      </c>
      <c r="B68" s="95" t="s">
        <v>160</v>
      </c>
      <c r="C68" s="367">
        <f>SUMIF('ПО КОРИСНИЦИМА'!$G$8:$G$18203,"Функција 471:",'ПО КОРИСНИЦИМА'!$H$8:$H$18203)</f>
        <v>0</v>
      </c>
      <c r="D68" s="377"/>
      <c r="E68" s="371" t="e">
        <f t="shared" si="0"/>
        <v>#DIV/0!</v>
      </c>
      <c r="F68" s="367">
        <f>SUMIF('ПО КОРИСНИЦИМА'!$G$8:$G$18203,"Функција 471:",'ПО КОРИСНИЦИМА'!$K$8:$K$18203)</f>
        <v>0</v>
      </c>
      <c r="G68" s="373"/>
      <c r="H68" s="749" t="e">
        <f t="shared" si="1"/>
        <v>#DIV/0!</v>
      </c>
    </row>
    <row r="69" spans="1:8" hidden="1" x14ac:dyDescent="0.25">
      <c r="A69" s="96" t="s">
        <v>3952</v>
      </c>
      <c r="B69" s="95" t="s">
        <v>161</v>
      </c>
      <c r="C69" s="367">
        <f>SUMIF('ПО КОРИСНИЦИМА'!$G$8:$G$18203,"Функција 472:",'ПО КОРИСНИЦИМА'!$H$8:$H$18203)</f>
        <v>0</v>
      </c>
      <c r="D69" s="377"/>
      <c r="E69" s="371" t="e">
        <f t="shared" si="0"/>
        <v>#DIV/0!</v>
      </c>
      <c r="F69" s="367">
        <f>SUMIF('ПО КОРИСНИЦИМА'!$G$8:$G$18203,"Функција 472:",'ПО КОРИСНИЦИМА'!$K$8:$K$18203)</f>
        <v>0</v>
      </c>
      <c r="G69" s="373"/>
      <c r="H69" s="749" t="e">
        <f t="shared" si="1"/>
        <v>#DIV/0!</v>
      </c>
    </row>
    <row r="70" spans="1:8" x14ac:dyDescent="0.25">
      <c r="A70" s="96" t="s">
        <v>3953</v>
      </c>
      <c r="B70" s="95" t="s">
        <v>162</v>
      </c>
      <c r="C70" s="367">
        <f>SUMIF('ПО КОРИСНИЦИМА'!$G$8:$G$18203,"Функција 473:",'ПО КОРИСНИЦИМА'!$H$8:$H$18203)</f>
        <v>9093015</v>
      </c>
      <c r="D70" s="377">
        <f>SUM('ПО КОРИСНИЦИМА'!I9576)</f>
        <v>7003241.6399999997</v>
      </c>
      <c r="E70" s="371">
        <f t="shared" si="0"/>
        <v>77.017816862723748</v>
      </c>
      <c r="F70" s="367">
        <f>SUMIF('ПО КОРИСНИЦИМА'!$G$8:$G$18203,"Функција 473:",'ПО КОРИСНИЦИМА'!$K$8:$K$18203)</f>
        <v>500000</v>
      </c>
      <c r="G70" s="373">
        <f>SUM('ПО КОРИСНИЦИМА'!L9592)</f>
        <v>3148717.58</v>
      </c>
      <c r="H70" s="749">
        <f t="shared" si="1"/>
        <v>629.743516</v>
      </c>
    </row>
    <row r="71" spans="1:8" hidden="1" x14ac:dyDescent="0.25">
      <c r="A71" s="96" t="s">
        <v>3954</v>
      </c>
      <c r="B71" s="95" t="s">
        <v>163</v>
      </c>
      <c r="C71" s="367">
        <f>SUMIF('ПО КОРИСНИЦИМА'!$G$8:$G$18203,"Функција 474:",'ПО КОРИСНИЦИМА'!$H$8:$H$18203)</f>
        <v>0</v>
      </c>
      <c r="D71" s="377"/>
      <c r="E71" s="371" t="e">
        <f t="shared" si="0"/>
        <v>#DIV/0!</v>
      </c>
      <c r="F71" s="367">
        <f>SUMIF('ПО КОРИСНИЦИМА'!$G$8:$G$18203,"Функција 474:",'ПО КОРИСНИЦИМА'!$K$8:$K$18203)</f>
        <v>0</v>
      </c>
      <c r="G71" s="373"/>
      <c r="H71" s="749" t="e">
        <f t="shared" si="1"/>
        <v>#DIV/0!</v>
      </c>
    </row>
    <row r="72" spans="1:8" hidden="1" x14ac:dyDescent="0.25">
      <c r="A72" s="94" t="s">
        <v>3814</v>
      </c>
      <c r="B72" s="95" t="s">
        <v>3955</v>
      </c>
      <c r="C72" s="367">
        <f>SUMIF('ПО КОРИСНИЦИМА'!$G$8:$G$18203,"Функција 480:",'ПО КОРИСНИЦИМА'!$H$8:$H$18203)</f>
        <v>0</v>
      </c>
      <c r="D72" s="377"/>
      <c r="E72" s="371" t="e">
        <f t="shared" ref="E72:E135" si="2">SUM(D72/C72)*100</f>
        <v>#DIV/0!</v>
      </c>
      <c r="F72" s="367">
        <f>SUMIF('ПО КОРИСНИЦИМА'!$G$8:$G$18203,"Функција 480:",'ПО КОРИСНИЦИМА'!$K$8:$K$18203)</f>
        <v>0</v>
      </c>
      <c r="G72" s="373"/>
      <c r="H72" s="749" t="e">
        <f t="shared" ref="H72:H135" si="3">SUM(G72/F72)*100</f>
        <v>#DIV/0!</v>
      </c>
    </row>
    <row r="73" spans="1:8" ht="23.25" hidden="1" x14ac:dyDescent="0.25">
      <c r="A73" s="96" t="s">
        <v>3956</v>
      </c>
      <c r="B73" s="95" t="s">
        <v>165</v>
      </c>
      <c r="C73" s="367">
        <f>SUMIF('ПО КОРИСНИЦИМА'!$G$8:$G$18203,"Функција 481:",'ПО КОРИСНИЦИМА'!$H$8:$H$18203)</f>
        <v>0</v>
      </c>
      <c r="D73" s="377"/>
      <c r="E73" s="371" t="e">
        <f t="shared" si="2"/>
        <v>#DIV/0!</v>
      </c>
      <c r="F73" s="367">
        <f>SUMIF('ПО КОРИСНИЦИМА'!$G$8:$G$18203,"Функција 481:",'ПО КОРИСНИЦИМА'!$K$8:$K$18203)</f>
        <v>0</v>
      </c>
      <c r="G73" s="373"/>
      <c r="H73" s="749" t="e">
        <f t="shared" si="3"/>
        <v>#DIV/0!</v>
      </c>
    </row>
    <row r="74" spans="1:8" ht="23.25" hidden="1" x14ac:dyDescent="0.25">
      <c r="A74" s="96" t="s">
        <v>3957</v>
      </c>
      <c r="B74" s="95" t="s">
        <v>166</v>
      </c>
      <c r="C74" s="367">
        <f>SUMIF('ПО КОРИСНИЦИМА'!$G$8:$G$18203,"Функција 482:",'ПО КОРИСНИЦИМА'!$H$8:$H$18203)</f>
        <v>0</v>
      </c>
      <c r="D74" s="377"/>
      <c r="E74" s="371" t="e">
        <f t="shared" si="2"/>
        <v>#DIV/0!</v>
      </c>
      <c r="F74" s="367">
        <f>SUMIF('ПО КОРИСНИЦИМА'!$G$8:$G$18203,"Функција 482:",'ПО КОРИСНИЦИМА'!$K$8:$K$18203)</f>
        <v>0</v>
      </c>
      <c r="G74" s="373"/>
      <c r="H74" s="749" t="e">
        <f t="shared" si="3"/>
        <v>#DIV/0!</v>
      </c>
    </row>
    <row r="75" spans="1:8" hidden="1" x14ac:dyDescent="0.25">
      <c r="A75" s="96" t="s">
        <v>3958</v>
      </c>
      <c r="B75" s="95" t="s">
        <v>167</v>
      </c>
      <c r="C75" s="367">
        <f>SUMIF('ПО КОРИСНИЦИМА'!$G$8:$G$18203,"Функција 483:",'ПО КОРИСНИЦИМА'!$H$8:$H$18203)</f>
        <v>0</v>
      </c>
      <c r="D75" s="377"/>
      <c r="E75" s="371" t="e">
        <f t="shared" si="2"/>
        <v>#DIV/0!</v>
      </c>
      <c r="F75" s="367">
        <f>SUMIF('ПО КОРИСНИЦИМА'!$G$8:$G$18203,"Функција 483:",'ПО КОРИСНИЦИМА'!$K$8:$K$18203)</f>
        <v>0</v>
      </c>
      <c r="G75" s="373"/>
      <c r="H75" s="749" t="e">
        <f t="shared" si="3"/>
        <v>#DIV/0!</v>
      </c>
    </row>
    <row r="76" spans="1:8" hidden="1" x14ac:dyDescent="0.25">
      <c r="A76" s="96" t="s">
        <v>3959</v>
      </c>
      <c r="B76" s="95" t="s">
        <v>168</v>
      </c>
      <c r="C76" s="367">
        <f>SUMIF('ПО КОРИСНИЦИМА'!$G$8:$G$18203,"Функција 484:",'ПО КОРИСНИЦИМА'!$H$8:$H$18203)</f>
        <v>0</v>
      </c>
      <c r="D76" s="377"/>
      <c r="E76" s="371" t="e">
        <f t="shared" si="2"/>
        <v>#DIV/0!</v>
      </c>
      <c r="F76" s="367">
        <f>SUMIF('ПО КОРИСНИЦИМА'!$G$8:$G$18203,"Функција 484:",'ПО КОРИСНИЦИМА'!$K$8:$K$18203)</f>
        <v>0</v>
      </c>
      <c r="G76" s="373"/>
      <c r="H76" s="749" t="e">
        <f t="shared" si="3"/>
        <v>#DIV/0!</v>
      </c>
    </row>
    <row r="77" spans="1:8" hidden="1" x14ac:dyDescent="0.25">
      <c r="A77" s="96" t="s">
        <v>3960</v>
      </c>
      <c r="B77" s="95" t="s">
        <v>169</v>
      </c>
      <c r="C77" s="367">
        <f>SUMIF('ПО КОРИСНИЦИМА'!$G$8:$G$18203,"Функција 485:",'ПО КОРИСНИЦИМА'!$H$8:$H$18203)</f>
        <v>0</v>
      </c>
      <c r="D77" s="377"/>
      <c r="E77" s="371" t="e">
        <f t="shared" si="2"/>
        <v>#DIV/0!</v>
      </c>
      <c r="F77" s="367">
        <f>SUMIF('ПО КОРИСНИЦИМА'!$G$8:$G$18203,"Функција 485:",'ПО КОРИСНИЦИМА'!$K$8:$K$18203)</f>
        <v>0</v>
      </c>
      <c r="G77" s="373"/>
      <c r="H77" s="749" t="e">
        <f t="shared" si="3"/>
        <v>#DIV/0!</v>
      </c>
    </row>
    <row r="78" spans="1:8" hidden="1" x14ac:dyDescent="0.25">
      <c r="A78" s="96" t="s">
        <v>3961</v>
      </c>
      <c r="B78" s="95" t="s">
        <v>170</v>
      </c>
      <c r="C78" s="367">
        <f>SUMIF('ПО КОРИСНИЦИМА'!$G$8:$G$18203,"Функција 486:",'ПО КОРИСНИЦИМА'!$H$8:$H$18203)</f>
        <v>0</v>
      </c>
      <c r="D78" s="377"/>
      <c r="E78" s="371" t="e">
        <f t="shared" si="2"/>
        <v>#DIV/0!</v>
      </c>
      <c r="F78" s="367">
        <f>SUMIF('ПО КОРИСНИЦИМА'!$G$8:$G$18203,"Функција 486:",'ПО КОРИСНИЦИМА'!$K$8:$K$18203)</f>
        <v>0</v>
      </c>
      <c r="G78" s="373"/>
      <c r="H78" s="749" t="e">
        <f t="shared" si="3"/>
        <v>#DIV/0!</v>
      </c>
    </row>
    <row r="79" spans="1:8" hidden="1" x14ac:dyDescent="0.25">
      <c r="A79" s="96" t="s">
        <v>3962</v>
      </c>
      <c r="B79" s="95" t="s">
        <v>171</v>
      </c>
      <c r="C79" s="367">
        <f>SUMIF('ПО КОРИСНИЦИМА'!$G$8:$G$18203,"Функција 487:",'ПО КОРИСНИЦИМА'!$H$8:$H$18203)</f>
        <v>0</v>
      </c>
      <c r="D79" s="377"/>
      <c r="E79" s="371" t="e">
        <f t="shared" si="2"/>
        <v>#DIV/0!</v>
      </c>
      <c r="F79" s="367">
        <f>SUMIF('ПО КОРИСНИЦИМА'!$G$8:$G$18203,"Функција 487:",'ПО КОРИСНИЦИМА'!$K$8:$K$18203)</f>
        <v>0</v>
      </c>
      <c r="G79" s="373"/>
      <c r="H79" s="749" t="e">
        <f t="shared" si="3"/>
        <v>#DIV/0!</v>
      </c>
    </row>
    <row r="80" spans="1:8" hidden="1" x14ac:dyDescent="0.25">
      <c r="A80" s="94" t="s">
        <v>3963</v>
      </c>
      <c r="B80" s="95" t="s">
        <v>172</v>
      </c>
      <c r="C80" s="367">
        <f>SUMIF('ПО КОРИСНИЦИМА'!$G$8:$G$18203,"Функција 490:",'ПО КОРИСНИЦИМА'!$H$8:$H$18203)</f>
        <v>0</v>
      </c>
      <c r="D80" s="377"/>
      <c r="E80" s="371" t="e">
        <f t="shared" si="2"/>
        <v>#DIV/0!</v>
      </c>
      <c r="F80" s="367">
        <f>SUMIF('ПО КОРИСНИЦИМА'!$G$8:$G$18203,"Функција 490:",'ПО КОРИСНИЦИМА'!$K$8:$K$18203)</f>
        <v>0</v>
      </c>
      <c r="G80" s="373"/>
      <c r="H80" s="749" t="e">
        <f t="shared" si="3"/>
        <v>#DIV/0!</v>
      </c>
    </row>
    <row r="81" spans="1:8" x14ac:dyDescent="0.25">
      <c r="A81" s="92" t="s">
        <v>3964</v>
      </c>
      <c r="B81" s="97" t="s">
        <v>173</v>
      </c>
      <c r="C81" s="368">
        <f>SUM(C82:C87)</f>
        <v>28085049</v>
      </c>
      <c r="D81" s="376">
        <f>SUM(D82:D87)</f>
        <v>21391792.52</v>
      </c>
      <c r="E81" s="371">
        <f t="shared" si="2"/>
        <v>76.167901718811322</v>
      </c>
      <c r="F81" s="368">
        <f>SUM(F82:F87)</f>
        <v>0</v>
      </c>
      <c r="G81" s="372"/>
      <c r="H81" s="767"/>
    </row>
    <row r="82" spans="1:8" x14ac:dyDescent="0.25">
      <c r="A82" s="94" t="s">
        <v>3826</v>
      </c>
      <c r="B82" s="95" t="s">
        <v>3965</v>
      </c>
      <c r="C82" s="367">
        <f>SUMIF('ПО КОРИСНИЦИМА'!$G$8:$G$18203,"Функција 510:",'ПО КОРИСНИЦИМА'!$H$8:$H$18203)</f>
        <v>5416000</v>
      </c>
      <c r="D82" s="377">
        <f>SUM('ПО КОРИСНИЦИМА'!I14952)</f>
        <v>4488656.76</v>
      </c>
      <c r="E82" s="371">
        <f t="shared" si="2"/>
        <v>82.877709748892173</v>
      </c>
      <c r="F82" s="367">
        <f>SUMIF('ПО КОРИСНИЦИМА'!$G$8:$G$18203,"Функција 510:",'ПО КОРИСНИЦИМА'!$K$8:$K$18203)</f>
        <v>0</v>
      </c>
      <c r="G82" s="373"/>
      <c r="H82" s="749"/>
    </row>
    <row r="83" spans="1:8" x14ac:dyDescent="0.25">
      <c r="A83" s="94" t="s">
        <v>3833</v>
      </c>
      <c r="B83" s="95" t="s">
        <v>3966</v>
      </c>
      <c r="C83" s="367">
        <f>SUMIF('ПО КОРИСНИЦИМА'!$G$8:$G$18203,"Функција 520:",'ПО КОРИСНИЦИМА'!$H$8:$H$18203)</f>
        <v>18020000</v>
      </c>
      <c r="D83" s="377">
        <f>SUM('ПО КОРИСНИЦИМА'!I14835,'ПО КОРИСНИЦИМА'!I15650,'ПО КОРИСНИЦИМА'!I15765)</f>
        <v>15354662.85</v>
      </c>
      <c r="E83" s="371">
        <f t="shared" si="2"/>
        <v>85.209005826859041</v>
      </c>
      <c r="F83" s="367">
        <f>SUMIF('ПО КОРИСНИЦИМА'!$G$8:$G$18203,"Функција 520:",'ПО КОРИСНИЦИМА'!$K$8:$K$18203)</f>
        <v>0</v>
      </c>
      <c r="G83" s="373"/>
      <c r="H83" s="749"/>
    </row>
    <row r="84" spans="1:8" hidden="1" x14ac:dyDescent="0.25">
      <c r="A84" s="94" t="s">
        <v>3967</v>
      </c>
      <c r="B84" s="95" t="s">
        <v>3968</v>
      </c>
      <c r="C84" s="367">
        <f>SUMIF('ПО КОРИСНИЦИМА'!$G$8:$G$18203,"Функција 530:",'ПО КОРИСНИЦИМА'!$H$8:$H$18203)</f>
        <v>0</v>
      </c>
      <c r="D84" s="377"/>
      <c r="E84" s="371" t="e">
        <f t="shared" si="2"/>
        <v>#DIV/0!</v>
      </c>
      <c r="F84" s="367">
        <f>SUMIF('ПО КОРИСНИЦИМА'!$G$8:$G$18203,"Функција 530:",'ПО КОРИСНИЦИМА'!$K$8:$K$18203)</f>
        <v>0</v>
      </c>
      <c r="G84" s="373"/>
      <c r="H84" s="749"/>
    </row>
    <row r="85" spans="1:8" hidden="1" x14ac:dyDescent="0.25">
      <c r="A85" s="94" t="s">
        <v>3838</v>
      </c>
      <c r="B85" s="95" t="s">
        <v>3969</v>
      </c>
      <c r="C85" s="367">
        <f>SUMIF('ПО КОРИСНИЦИМА'!$G$8:$G$18203,"Функција 540:",'ПО КОРИСНИЦИМА'!$H$8:$H$18203)</f>
        <v>0</v>
      </c>
      <c r="D85" s="377"/>
      <c r="E85" s="371" t="e">
        <f t="shared" si="2"/>
        <v>#DIV/0!</v>
      </c>
      <c r="F85" s="367">
        <f>SUMIF('ПО КОРИСНИЦИМА'!$G$8:$G$18203,"Функција 540:",'ПО КОРИСНИЦИМА'!$K$8:$K$18203)</f>
        <v>0</v>
      </c>
      <c r="G85" s="373"/>
      <c r="H85" s="749"/>
    </row>
    <row r="86" spans="1:8" hidden="1" x14ac:dyDescent="0.25">
      <c r="A86" s="94" t="s">
        <v>3970</v>
      </c>
      <c r="B86" s="95" t="s">
        <v>3971</v>
      </c>
      <c r="C86" s="367">
        <f>SUMIF('ПО КОРИСНИЦИМА'!$G$8:$G$18203,"Функција 550:",'ПО КОРИСНИЦИМА'!$H$8:$H$18203)</f>
        <v>0</v>
      </c>
      <c r="D86" s="377"/>
      <c r="E86" s="371" t="e">
        <f t="shared" si="2"/>
        <v>#DIV/0!</v>
      </c>
      <c r="F86" s="367">
        <f>SUMIF('ПО КОРИСНИЦИМА'!$G$8:$G$18203,"Функција 550:",'ПО КОРИСНИЦИМА'!$K$8:$K$18203)</f>
        <v>0</v>
      </c>
      <c r="G86" s="373"/>
      <c r="H86" s="749"/>
    </row>
    <row r="87" spans="1:8" x14ac:dyDescent="0.25">
      <c r="A87" s="94" t="s">
        <v>3972</v>
      </c>
      <c r="B87" s="95" t="s">
        <v>179</v>
      </c>
      <c r="C87" s="367">
        <f>SUMIF('ПО КОРИСНИЦИМА'!$G$8:$G$18203,"Функција 560:",'ПО КОРИСНИЦИМА'!$H$8:$H$18203)</f>
        <v>4649049</v>
      </c>
      <c r="D87" s="377">
        <f>SUM('ПО КОРИСНИЦИМА'!I8842)</f>
        <v>1548472.9100000001</v>
      </c>
      <c r="E87" s="371">
        <f t="shared" si="2"/>
        <v>33.307304569171031</v>
      </c>
      <c r="F87" s="367">
        <f>SUMIF('ПО КОРИСНИЦИМА'!$G$8:$G$18203,"Функција 560:",'ПО КОРИСНИЦИМА'!$K$8:$K$18203)</f>
        <v>0</v>
      </c>
      <c r="G87" s="373"/>
      <c r="H87" s="749"/>
    </row>
    <row r="88" spans="1:8" x14ac:dyDescent="0.25">
      <c r="A88" s="100" t="s">
        <v>3973</v>
      </c>
      <c r="B88" s="101" t="s">
        <v>3974</v>
      </c>
      <c r="C88" s="369">
        <f>SUM(C89:C94)</f>
        <v>310305929</v>
      </c>
      <c r="D88" s="378">
        <f>SUM(D90:D94)</f>
        <v>261428844.08000001</v>
      </c>
      <c r="E88" s="371">
        <f t="shared" si="2"/>
        <v>84.24874282050861</v>
      </c>
      <c r="F88" s="369">
        <f>SUM(F89:F94)</f>
        <v>12162010</v>
      </c>
      <c r="G88" s="374">
        <f>SUM(G90:G94)</f>
        <v>11802390.57</v>
      </c>
      <c r="H88" s="767">
        <f t="shared" si="3"/>
        <v>97.043092136908299</v>
      </c>
    </row>
    <row r="89" spans="1:8" hidden="1" x14ac:dyDescent="0.25">
      <c r="A89" s="94" t="s">
        <v>3845</v>
      </c>
      <c r="B89" s="95" t="s">
        <v>3975</v>
      </c>
      <c r="C89" s="367">
        <f>SUMIF('ПО КОРИСНИЦИМА'!$G$8:$G$18203,"Функција 610:",'ПО КОРИСНИЦИМА'!$H$8:$H$18203)</f>
        <v>0</v>
      </c>
      <c r="D89" s="377"/>
      <c r="E89" s="371" t="e">
        <f t="shared" si="2"/>
        <v>#DIV/0!</v>
      </c>
      <c r="F89" s="367">
        <f>SUMIF('ПО КОРИСНИЦИМА'!$G$8:$G$18203,"Функција 610:",'ПО КОРИСНИЦИМА'!$K$8:$K$18203)</f>
        <v>0</v>
      </c>
      <c r="G89" s="373"/>
      <c r="H89" s="749" t="e">
        <f t="shared" si="3"/>
        <v>#DIV/0!</v>
      </c>
    </row>
    <row r="90" spans="1:8" x14ac:dyDescent="0.25">
      <c r="A90" s="94" t="s">
        <v>3852</v>
      </c>
      <c r="B90" s="95" t="s">
        <v>3976</v>
      </c>
      <c r="C90" s="367">
        <f>SUMIF('ПО КОРИСНИЦИМА'!$G$8:$G$18203,"Функција 620:",'ПО КОРИСНИЦИМА'!$H$8:$H$18203)</f>
        <v>226059129</v>
      </c>
      <c r="D90" s="377">
        <f>SUM('ПО КОРИСНИЦИМА'!I10928,'ПО КОРИСНИЦИМА'!I11148,'ПО КОРИСНИЦИМА'!I4189)</f>
        <v>187250245.18000001</v>
      </c>
      <c r="E90" s="371">
        <f t="shared" si="2"/>
        <v>82.832419114558292</v>
      </c>
      <c r="F90" s="367">
        <f>SUMIF('ПО КОРИСНИЦИМА'!$G$8:$G$18203,"Функција 620:",'ПО КОРИСНИЦИМА'!$K$8:$K$18203)</f>
        <v>12162010</v>
      </c>
      <c r="G90" s="373">
        <f>SUM('ПО КОРИСНИЦИМА'!L11498,'ПО КОРИСНИЦИМА'!L4187)</f>
        <v>10219755.58</v>
      </c>
      <c r="H90" s="749">
        <f t="shared" si="3"/>
        <v>84.03015274613324</v>
      </c>
    </row>
    <row r="91" spans="1:8" x14ac:dyDescent="0.25">
      <c r="A91" s="94" t="s">
        <v>3977</v>
      </c>
      <c r="B91" s="95" t="s">
        <v>3978</v>
      </c>
      <c r="C91" s="367">
        <f>SUMIF('ПО КОРИСНИЦИМА'!$G$8:$G$18203,"Функција 630:",'ПО КОРИСНИЦИМА'!$H$8:$H$18203)</f>
        <v>73586800</v>
      </c>
      <c r="D91" s="377">
        <f>SUM('ПО КОРИСНИЦИМА'!I14752,'ПО КОРИСНИЦИМА'!I15585,'ПО КОРИСНИЦИМА'!I15848,'ПО КОРИСНИЦИМА'!I16145)</f>
        <v>65545450.11999999</v>
      </c>
      <c r="E91" s="371">
        <f t="shared" si="2"/>
        <v>89.072293019943785</v>
      </c>
      <c r="F91" s="367">
        <f>SUMIF('ПО КОРИСНИЦИМА'!$G$8:$G$18203,"Функција 630:",'ПО КОРИСНИЦИМА'!$K$8:$K$18203)</f>
        <v>0</v>
      </c>
      <c r="G91" s="373">
        <f>SUM('ПО КОРИСНИЦИМА'!L14768)</f>
        <v>1582634.99</v>
      </c>
      <c r="H91" s="749"/>
    </row>
    <row r="92" spans="1:8" x14ac:dyDescent="0.25">
      <c r="A92" s="94" t="s">
        <v>3979</v>
      </c>
      <c r="B92" s="95" t="s">
        <v>3980</v>
      </c>
      <c r="C92" s="367">
        <f>SUMIF('ПО КОРИСНИЦИМА'!$G$8:$G$18203,"Функција 640:",'ПО КОРИСНИЦИМА'!$H$8:$H$18203)</f>
        <v>9900000</v>
      </c>
      <c r="D92" s="377">
        <f>SUM('ПО КОРИСНИЦИМА'!I10712)</f>
        <v>8422997.7799999993</v>
      </c>
      <c r="E92" s="371">
        <f t="shared" si="2"/>
        <v>85.080785656565652</v>
      </c>
      <c r="F92" s="367">
        <f>SUMIF('ПО КОРИСНИЦИМА'!$G$8:$G$18203,"Функција 640:",'ПО КОРИСНИЦИМА'!$K$8:$K$18203)</f>
        <v>0</v>
      </c>
      <c r="G92" s="373"/>
      <c r="H92" s="749"/>
    </row>
    <row r="93" spans="1:8" hidden="1" x14ac:dyDescent="0.25">
      <c r="A93" s="94" t="s">
        <v>3981</v>
      </c>
      <c r="B93" s="95" t="s">
        <v>3982</v>
      </c>
      <c r="C93" s="367">
        <f>SUMIF('ПО КОРИСНИЦИМА'!$G$8:$G$18203,"Функција 650:",'ПО КОРИСНИЦИМА'!$H$8:$H$18203)</f>
        <v>0</v>
      </c>
      <c r="D93" s="377"/>
      <c r="E93" s="371" t="e">
        <f t="shared" si="2"/>
        <v>#DIV/0!</v>
      </c>
      <c r="F93" s="367">
        <f>SUMIF('ПО КОРИСНИЦИМА'!$G$8:$G$18203,"Функција 650:",'ПО КОРИСНИЦИМА'!$K$8:$K$18203)</f>
        <v>0</v>
      </c>
      <c r="G93" s="373"/>
      <c r="H93" s="749"/>
    </row>
    <row r="94" spans="1:8" ht="12.75" customHeight="1" x14ac:dyDescent="0.25">
      <c r="A94" s="94" t="s">
        <v>3983</v>
      </c>
      <c r="B94" s="95" t="s">
        <v>186</v>
      </c>
      <c r="C94" s="367">
        <f>SUMIF('ПО КОРИСНИЦИМА'!$G$8:$G$18203,"Функција 660:",'ПО КОРИСНИЦИМА'!$H$8:$H$18203)</f>
        <v>760000</v>
      </c>
      <c r="D94" s="377">
        <f>SUM('ПО КОРИСНИЦИМА'!I15348)</f>
        <v>210151</v>
      </c>
      <c r="E94" s="371">
        <f t="shared" si="2"/>
        <v>27.651447368421049</v>
      </c>
      <c r="F94" s="367">
        <f>SUMIF('ПО КОРИСНИЦИМА'!$G$8:$G$18203,"Функција 660:",'ПО КОРИСНИЦИМА'!$K$8:$K$18203)</f>
        <v>0</v>
      </c>
      <c r="G94" s="373"/>
      <c r="H94" s="749"/>
    </row>
    <row r="95" spans="1:8" x14ac:dyDescent="0.25">
      <c r="A95" s="102">
        <v>700</v>
      </c>
      <c r="B95" s="103" t="s">
        <v>187</v>
      </c>
      <c r="C95" s="370">
        <f>SUM(C96:C112)</f>
        <v>3650000</v>
      </c>
      <c r="D95" s="379">
        <f>SUM(D110)</f>
        <v>3125836.02</v>
      </c>
      <c r="E95" s="371">
        <f t="shared" si="2"/>
        <v>85.639343013698635</v>
      </c>
      <c r="F95" s="370">
        <f>SUM(F96:F112)</f>
        <v>0</v>
      </c>
      <c r="G95" s="375"/>
      <c r="H95" s="749"/>
    </row>
    <row r="96" spans="1:8" hidden="1" x14ac:dyDescent="0.25">
      <c r="A96" s="94" t="s">
        <v>3984</v>
      </c>
      <c r="B96" s="95" t="s">
        <v>3985</v>
      </c>
      <c r="C96" s="367">
        <f>SUMIF('ПО КОРИСНИЦИМА'!$G$8:$G$18203,"Функција 710:",'ПО КОРИСНИЦИМА'!$H$8:$H$18203)</f>
        <v>0</v>
      </c>
      <c r="D96" s="377"/>
      <c r="E96" s="371" t="e">
        <f t="shared" si="2"/>
        <v>#DIV/0!</v>
      </c>
      <c r="F96" s="367">
        <f>SUMIF('ПО КОРИСНИЦИМА'!$G$8:$G$18203,"Функција 710:",'ПО КОРИСНИЦИМА'!$K$8:$K$18203)</f>
        <v>0</v>
      </c>
      <c r="G96" s="373"/>
      <c r="H96" s="749"/>
    </row>
    <row r="97" spans="1:8" hidden="1" x14ac:dyDescent="0.25">
      <c r="A97" s="96" t="s">
        <v>3986</v>
      </c>
      <c r="B97" s="95" t="s">
        <v>189</v>
      </c>
      <c r="C97" s="367">
        <f>SUMIF('ПО КОРИСНИЦИМА'!$G$8:$G$18203,"Функција 711:",'ПО КОРИСНИЦИМА'!$H$8:$H$18203)</f>
        <v>0</v>
      </c>
      <c r="D97" s="377"/>
      <c r="E97" s="371" t="e">
        <f t="shared" si="2"/>
        <v>#DIV/0!</v>
      </c>
      <c r="F97" s="367">
        <f>SUMIF('ПО КОРИСНИЦИМА'!$G$8:$G$18203,"Функција 711:",'ПО КОРИСНИЦИМА'!$K$8:$K$18203)</f>
        <v>0</v>
      </c>
      <c r="G97" s="373"/>
      <c r="H97" s="749"/>
    </row>
    <row r="98" spans="1:8" hidden="1" x14ac:dyDescent="0.25">
      <c r="A98" s="96" t="s">
        <v>3987</v>
      </c>
      <c r="B98" s="95" t="s">
        <v>190</v>
      </c>
      <c r="C98" s="367">
        <f>SUMIF('ПО КОРИСНИЦИМА'!$G$8:$G$18203,"Функција 712:",'ПО КОРИСНИЦИМА'!$H$8:$H$18203)</f>
        <v>0</v>
      </c>
      <c r="D98" s="377"/>
      <c r="E98" s="371" t="e">
        <f t="shared" si="2"/>
        <v>#DIV/0!</v>
      </c>
      <c r="F98" s="367">
        <f>SUMIF('ПО КОРИСНИЦИМА'!$G$8:$G$18203,"Функција 712:",'ПО КОРИСНИЦИМА'!$K$8:$K$18203)</f>
        <v>0</v>
      </c>
      <c r="G98" s="373"/>
      <c r="H98" s="749"/>
    </row>
    <row r="99" spans="1:8" hidden="1" x14ac:dyDescent="0.25">
      <c r="A99" s="96" t="s">
        <v>3988</v>
      </c>
      <c r="B99" s="95" t="s">
        <v>191</v>
      </c>
      <c r="C99" s="367">
        <f>SUMIF('ПО КОРИСНИЦИМА'!$G$8:$G$18203,"Функција 713:",'ПО КОРИСНИЦИМА'!$H$8:$H$18203)</f>
        <v>0</v>
      </c>
      <c r="D99" s="377"/>
      <c r="E99" s="371" t="e">
        <f t="shared" si="2"/>
        <v>#DIV/0!</v>
      </c>
      <c r="F99" s="367">
        <f>SUMIF('ПО КОРИСНИЦИМА'!$G$8:$G$18203,"Функција 713:",'ПО КОРИСНИЦИМА'!$K$8:$K$18203)</f>
        <v>0</v>
      </c>
      <c r="G99" s="373"/>
      <c r="H99" s="749"/>
    </row>
    <row r="100" spans="1:8" hidden="1" x14ac:dyDescent="0.25">
      <c r="A100" s="94" t="s">
        <v>3989</v>
      </c>
      <c r="B100" s="95" t="s">
        <v>3990</v>
      </c>
      <c r="C100" s="367">
        <f>SUMIF('ПО КОРИСНИЦИМА'!$G$8:$G$18203,"Функција 720:",'ПО КОРИСНИЦИМА'!$H$8:$H$18203)</f>
        <v>0</v>
      </c>
      <c r="D100" s="377"/>
      <c r="E100" s="371" t="e">
        <f t="shared" si="2"/>
        <v>#DIV/0!</v>
      </c>
      <c r="F100" s="367">
        <f>SUMIF('ПО КОРИСНИЦИМА'!$G$8:$G$18203,"Функција 720:",'ПО КОРИСНИЦИМА'!$K$8:$K$18203)</f>
        <v>0</v>
      </c>
      <c r="G100" s="373"/>
      <c r="H100" s="749"/>
    </row>
    <row r="101" spans="1:8" hidden="1" x14ac:dyDescent="0.25">
      <c r="A101" s="96" t="s">
        <v>3991</v>
      </c>
      <c r="B101" s="95" t="s">
        <v>193</v>
      </c>
      <c r="C101" s="367">
        <f>SUMIF('ПО КОРИСНИЦИМА'!$G$8:$G$18203,"Функција 721:",'ПО КОРИСНИЦИМА'!$H$8:$H$18203)</f>
        <v>0</v>
      </c>
      <c r="D101" s="377"/>
      <c r="E101" s="371" t="e">
        <f t="shared" si="2"/>
        <v>#DIV/0!</v>
      </c>
      <c r="F101" s="367">
        <f>SUMIF('ПО КОРИСНИЦИМА'!$G$8:$G$18203,"Функција 721:",'ПО КОРИСНИЦИМА'!$K$8:$K$18203)</f>
        <v>0</v>
      </c>
      <c r="G101" s="373"/>
      <c r="H101" s="749"/>
    </row>
    <row r="102" spans="1:8" hidden="1" x14ac:dyDescent="0.25">
      <c r="A102" s="96" t="s">
        <v>3992</v>
      </c>
      <c r="B102" s="95" t="s">
        <v>194</v>
      </c>
      <c r="C102" s="367">
        <f>SUMIF('ПО КОРИСНИЦИМА'!$G$8:$G$18203,"Функција 722:",'ПО КОРИСНИЦИМА'!$H$8:$H$18203)</f>
        <v>0</v>
      </c>
      <c r="D102" s="377"/>
      <c r="E102" s="371" t="e">
        <f t="shared" si="2"/>
        <v>#DIV/0!</v>
      </c>
      <c r="F102" s="367">
        <f>SUMIF('ПО КОРИСНИЦИМА'!$G$8:$G$18203,"Функција 722:",'ПО КОРИСНИЦИМА'!$K$8:$K$18203)</f>
        <v>0</v>
      </c>
      <c r="G102" s="373"/>
      <c r="H102" s="749"/>
    </row>
    <row r="103" spans="1:8" hidden="1" x14ac:dyDescent="0.25">
      <c r="A103" s="96" t="s">
        <v>3993</v>
      </c>
      <c r="B103" s="95" t="s">
        <v>195</v>
      </c>
      <c r="C103" s="367">
        <f>SUMIF('ПО КОРИСНИЦИМА'!$G$8:$G$18203,"Функција 723:",'ПО КОРИСНИЦИМА'!$H$8:$H$18203)</f>
        <v>0</v>
      </c>
      <c r="D103" s="377"/>
      <c r="E103" s="371" t="e">
        <f t="shared" si="2"/>
        <v>#DIV/0!</v>
      </c>
      <c r="F103" s="367">
        <f>SUMIF('ПО КОРИСНИЦИМА'!$G$8:$G$18203,"Функција 723:",'ПО КОРИСНИЦИМА'!$K$8:$K$18203)</f>
        <v>0</v>
      </c>
      <c r="G103" s="373"/>
      <c r="H103" s="749"/>
    </row>
    <row r="104" spans="1:8" hidden="1" x14ac:dyDescent="0.25">
      <c r="A104" s="96" t="s">
        <v>3994</v>
      </c>
      <c r="B104" s="95" t="s">
        <v>196</v>
      </c>
      <c r="C104" s="367">
        <f>SUMIF('ПО КОРИСНИЦИМА'!$G$8:$G$18203,"Функција 724:",'ПО КОРИСНИЦИМА'!$H$8:$H$18203)</f>
        <v>0</v>
      </c>
      <c r="D104" s="377"/>
      <c r="E104" s="371" t="e">
        <f t="shared" si="2"/>
        <v>#DIV/0!</v>
      </c>
      <c r="F104" s="367">
        <f>SUMIF('ПО КОРИСНИЦИМА'!$G$8:$G$18203,"Функција 724:",'ПО КОРИСНИЦИМА'!$K$8:$K$18203)</f>
        <v>0</v>
      </c>
      <c r="G104" s="373"/>
      <c r="H104" s="749"/>
    </row>
    <row r="105" spans="1:8" hidden="1" x14ac:dyDescent="0.25">
      <c r="A105" s="94" t="s">
        <v>3995</v>
      </c>
      <c r="B105" s="95" t="s">
        <v>3996</v>
      </c>
      <c r="C105" s="367">
        <f>SUMIF('ПО КОРИСНИЦИМА'!$G$8:$G$18203,"Функција 730:",'ПО КОРИСНИЦИМА'!$H$8:$H$18203)</f>
        <v>0</v>
      </c>
      <c r="D105" s="377"/>
      <c r="E105" s="371" t="e">
        <f t="shared" si="2"/>
        <v>#DIV/0!</v>
      </c>
      <c r="F105" s="367">
        <f>SUMIF('ПО КОРИСНИЦИМА'!$G$8:$G$18203,"Функција 730:",'ПО КОРИСНИЦИМА'!$K$8:$K$18203)</f>
        <v>0</v>
      </c>
      <c r="G105" s="373"/>
      <c r="H105" s="749"/>
    </row>
    <row r="106" spans="1:8" hidden="1" x14ac:dyDescent="0.25">
      <c r="A106" s="96" t="s">
        <v>3997</v>
      </c>
      <c r="B106" s="95" t="s">
        <v>198</v>
      </c>
      <c r="C106" s="367">
        <f>SUMIF('ПО КОРИСНИЦИМА'!$G$8:$G$18203,"Функција 731:",'ПО КОРИСНИЦИМА'!$H$8:$H$18203)</f>
        <v>0</v>
      </c>
      <c r="D106" s="377"/>
      <c r="E106" s="371" t="e">
        <f t="shared" si="2"/>
        <v>#DIV/0!</v>
      </c>
      <c r="F106" s="367">
        <f>SUMIF('ПО КОРИСНИЦИМА'!$G$8:$G$18203,"Функција 731:",'ПО КОРИСНИЦИМА'!$K$8:$K$18203)</f>
        <v>0</v>
      </c>
      <c r="G106" s="373"/>
      <c r="H106" s="749"/>
    </row>
    <row r="107" spans="1:8" hidden="1" x14ac:dyDescent="0.25">
      <c r="A107" s="96" t="s">
        <v>3998</v>
      </c>
      <c r="B107" s="95" t="s">
        <v>199</v>
      </c>
      <c r="C107" s="367">
        <f>SUMIF('ПО КОРИСНИЦИМА'!$G$8:$G$18203,"Функција 732:",'ПО КОРИСНИЦИМА'!$H$8:$H$18203)</f>
        <v>0</v>
      </c>
      <c r="D107" s="377"/>
      <c r="E107" s="371" t="e">
        <f t="shared" si="2"/>
        <v>#DIV/0!</v>
      </c>
      <c r="F107" s="367">
        <f>SUMIF('ПО КОРИСНИЦИМА'!$G$8:$G$18203,"Функција 732:",'ПО КОРИСНИЦИМА'!$K$8:$K$18203)</f>
        <v>0</v>
      </c>
      <c r="G107" s="373"/>
      <c r="H107" s="749"/>
    </row>
    <row r="108" spans="1:8" hidden="1" x14ac:dyDescent="0.25">
      <c r="A108" s="96" t="s">
        <v>3999</v>
      </c>
      <c r="B108" s="95" t="s">
        <v>200</v>
      </c>
      <c r="C108" s="367">
        <f>SUMIF('ПО КОРИСНИЦИМА'!$G$8:$G$18203,"Функција 733:",'ПО КОРИСНИЦИМА'!$H$8:$H$18203)</f>
        <v>0</v>
      </c>
      <c r="D108" s="377"/>
      <c r="E108" s="371" t="e">
        <f t="shared" si="2"/>
        <v>#DIV/0!</v>
      </c>
      <c r="F108" s="367">
        <f>SUMIF('ПО КОРИСНИЦИМА'!$G$8:$G$18203,"Функција 733:",'ПО КОРИСНИЦИМА'!$K$8:$K$18203)</f>
        <v>0</v>
      </c>
      <c r="G108" s="373"/>
      <c r="H108" s="749"/>
    </row>
    <row r="109" spans="1:8" hidden="1" x14ac:dyDescent="0.25">
      <c r="A109" s="96" t="s">
        <v>4000</v>
      </c>
      <c r="B109" s="95" t="s">
        <v>4001</v>
      </c>
      <c r="C109" s="367">
        <f>SUMIF('ПО КОРИСНИЦИМА'!$G$8:$G$18203,"Функција 734:",'ПО КОРИСНИЦИМА'!$H$8:$H$18203)</f>
        <v>0</v>
      </c>
      <c r="D109" s="377"/>
      <c r="E109" s="371" t="e">
        <f t="shared" si="2"/>
        <v>#DIV/0!</v>
      </c>
      <c r="F109" s="367">
        <f>SUMIF('ПО КОРИСНИЦИМА'!$G$8:$G$18203,"Функција 734:",'ПО КОРИСНИЦИМА'!$K$8:$K$18203)</f>
        <v>0</v>
      </c>
      <c r="G109" s="373"/>
      <c r="H109" s="749"/>
    </row>
    <row r="110" spans="1:8" x14ac:dyDescent="0.25">
      <c r="A110" s="94" t="s">
        <v>4002</v>
      </c>
      <c r="B110" s="95" t="s">
        <v>4003</v>
      </c>
      <c r="C110" s="367">
        <f>SUMIF('ПО КОРИСНИЦИМА'!$G$8:$G$18203,"Функција 740:",'ПО КОРИСНИЦИМА'!$H$8:$H$18203)</f>
        <v>3650000</v>
      </c>
      <c r="D110" s="377">
        <f>SUM('ПО КОРИСНИЦИМА'!I5082)</f>
        <v>3125836.02</v>
      </c>
      <c r="E110" s="371">
        <f t="shared" si="2"/>
        <v>85.639343013698635</v>
      </c>
      <c r="F110" s="367">
        <f>SUMIF('ПО КОРИСНИЦИМА'!$G$8:$G$18203,"Функција 740:",'ПО КОРИСНИЦИМА'!$K$8:$K$18203)</f>
        <v>0</v>
      </c>
      <c r="G110" s="373"/>
      <c r="H110" s="749"/>
    </row>
    <row r="111" spans="1:8" hidden="1" x14ac:dyDescent="0.25">
      <c r="A111" s="94" t="s">
        <v>4004</v>
      </c>
      <c r="B111" s="95" t="s">
        <v>4005</v>
      </c>
      <c r="C111" s="367">
        <f>SUMIF('ПО КОРИСНИЦИМА'!$G$8:$G$18203,"Функција 750:",'ПО КОРИСНИЦИМА'!$H$8:$H$18203)</f>
        <v>0</v>
      </c>
      <c r="D111" s="377"/>
      <c r="E111" s="371" t="e">
        <f t="shared" si="2"/>
        <v>#DIV/0!</v>
      </c>
      <c r="F111" s="367">
        <f>SUMIF('ПО КОРИСНИЦИМА'!$G$8:$G$18203,"Функција 750:",'ПО КОРИСНИЦИМА'!$K$8:$K$18203)</f>
        <v>0</v>
      </c>
      <c r="G111" s="373"/>
      <c r="H111" s="749" t="e">
        <f t="shared" si="3"/>
        <v>#DIV/0!</v>
      </c>
    </row>
    <row r="112" spans="1:8" hidden="1" x14ac:dyDescent="0.25">
      <c r="A112" s="94" t="s">
        <v>4006</v>
      </c>
      <c r="B112" s="95" t="s">
        <v>4007</v>
      </c>
      <c r="C112" s="367">
        <f>SUMIF('ПО КОРИСНИЦИМА'!$G$8:$G$18203,"Функција 760:",'ПО КОРИСНИЦИМА'!$H$8:$H$18203)</f>
        <v>0</v>
      </c>
      <c r="D112" s="377"/>
      <c r="E112" s="371" t="e">
        <f t="shared" si="2"/>
        <v>#DIV/0!</v>
      </c>
      <c r="F112" s="367">
        <f>SUMIF('ПО КОРИСНИЦИМА'!$G$8:$G$18203,"Функција 760:",'ПО КОРИСНИЦИМА'!$K$8:$K$18203)</f>
        <v>0</v>
      </c>
      <c r="G112" s="373"/>
      <c r="H112" s="749" t="e">
        <f t="shared" si="3"/>
        <v>#DIV/0!</v>
      </c>
    </row>
    <row r="113" spans="1:8" x14ac:dyDescent="0.25">
      <c r="A113" s="92" t="s">
        <v>4008</v>
      </c>
      <c r="B113" s="97" t="s">
        <v>205</v>
      </c>
      <c r="C113" s="368">
        <f>SUM(C114:C119)</f>
        <v>23964155</v>
      </c>
      <c r="D113" s="376">
        <f>SUM(D114:D119)</f>
        <v>21934972.560000002</v>
      </c>
      <c r="E113" s="371">
        <f t="shared" si="2"/>
        <v>91.532426492818146</v>
      </c>
      <c r="F113" s="368">
        <f>SUM(F114:F119)</f>
        <v>2244000</v>
      </c>
      <c r="G113" s="372">
        <f>SUM(G114:G119)</f>
        <v>1646478.3900000001</v>
      </c>
      <c r="H113" s="767">
        <f t="shared" si="3"/>
        <v>73.372477272727281</v>
      </c>
    </row>
    <row r="114" spans="1:8" x14ac:dyDescent="0.25">
      <c r="A114" s="94" t="s">
        <v>4009</v>
      </c>
      <c r="B114" s="95" t="s">
        <v>4010</v>
      </c>
      <c r="C114" s="367">
        <f>SUMIF('ПО КОРИСНИЦИМА'!$G$8:$G$18203,"Функција 810:",'ПО КОРИСНИЦИМА'!$H$8:$H$18203)</f>
        <v>10710000</v>
      </c>
      <c r="D114" s="377">
        <f>SUM('ПО КОРИСНИЦИМА'!I16278,'ПО КОРИСНИЦИМА'!I5257)</f>
        <v>9856106.6899999995</v>
      </c>
      <c r="E114" s="371">
        <f t="shared" si="2"/>
        <v>92.027139962651731</v>
      </c>
      <c r="F114" s="367">
        <f>SUMIF('ПО КОРИСНИЦИМА'!$G$8:$G$18203,"Функција 810:",'ПО КОРИСНИЦИМА'!$K$8:$K$18203)</f>
        <v>1500000</v>
      </c>
      <c r="G114" s="373">
        <f>SUM('ПО КОРИСНИЦИМА'!L16284)</f>
        <v>1097123.82</v>
      </c>
      <c r="H114" s="749">
        <f t="shared" si="3"/>
        <v>73.141587999999999</v>
      </c>
    </row>
    <row r="115" spans="1:8" x14ac:dyDescent="0.25">
      <c r="A115" s="94" t="s">
        <v>4011</v>
      </c>
      <c r="B115" s="95" t="s">
        <v>4012</v>
      </c>
      <c r="C115" s="367">
        <f>SUMIF('ПО КОРИСНИЦИМА'!$G$8:$G$18203,"Функција 820:",'ПО КОРИСНИЦИМА'!$H$8:$H$18203)</f>
        <v>9282155</v>
      </c>
      <c r="D115" s="377">
        <f>SUM('ПО КОРИСНИЦИМА'!I12121)</f>
        <v>8459930.870000001</v>
      </c>
      <c r="E115" s="371">
        <f t="shared" si="2"/>
        <v>91.141883215697234</v>
      </c>
      <c r="F115" s="367">
        <f>SUMIF('ПО КОРИСНИЦИМА'!$G$8:$G$18203,"Функција 820:",'ПО КОРИСНИЦИМА'!$K$8:$K$18203)</f>
        <v>744000</v>
      </c>
      <c r="G115" s="373">
        <f>SUM('ПО КОРИСНИЦИМА'!L11987)</f>
        <v>549354.56999999995</v>
      </c>
      <c r="H115" s="749">
        <f t="shared" si="3"/>
        <v>73.837979838709671</v>
      </c>
    </row>
    <row r="116" spans="1:8" hidden="1" x14ac:dyDescent="0.25">
      <c r="A116" s="94" t="s">
        <v>4013</v>
      </c>
      <c r="B116" s="95" t="s">
        <v>4014</v>
      </c>
      <c r="C116" s="367">
        <f>SUMIF('ПО КОРИСНИЦИМА'!$G$8:$G$18203,"Функција 830:",'ПО КОРИСНИЦИМА'!$H$8:$H$18203)</f>
        <v>0</v>
      </c>
      <c r="D116" s="377"/>
      <c r="E116" s="371" t="e">
        <f t="shared" si="2"/>
        <v>#DIV/0!</v>
      </c>
      <c r="F116" s="367">
        <f>SUMIF('ПО КОРИСНИЦИМА'!$G$8:$G$18203,"Функција 830:",'ПО КОРИСНИЦИМА'!$K$8:$K$18203)</f>
        <v>0</v>
      </c>
      <c r="G116" s="373"/>
      <c r="H116" s="749" t="e">
        <f t="shared" si="3"/>
        <v>#DIV/0!</v>
      </c>
    </row>
    <row r="117" spans="1:8" hidden="1" x14ac:dyDescent="0.25">
      <c r="A117" s="94" t="s">
        <v>4015</v>
      </c>
      <c r="B117" s="95" t="s">
        <v>4016</v>
      </c>
      <c r="C117" s="367">
        <f>SUMIF('ПО КОРИСНИЦИМА'!$G$8:$G$18203,"Функција 840:",'ПО КОРИСНИЦИМА'!$H$8:$H$18203)</f>
        <v>0</v>
      </c>
      <c r="D117" s="377"/>
      <c r="E117" s="371" t="e">
        <f t="shared" si="2"/>
        <v>#DIV/0!</v>
      </c>
      <c r="F117" s="367">
        <f>SUMIF('ПО КОРИСНИЦИМА'!$G$8:$G$18203,"Функција 840:",'ПО КОРИСНИЦИМА'!$K$8:$K$18203)</f>
        <v>0</v>
      </c>
      <c r="G117" s="373"/>
      <c r="H117" s="749" t="e">
        <f t="shared" si="3"/>
        <v>#DIV/0!</v>
      </c>
    </row>
    <row r="118" spans="1:8" hidden="1" x14ac:dyDescent="0.25">
      <c r="A118" s="94" t="s">
        <v>4017</v>
      </c>
      <c r="B118" s="95" t="s">
        <v>4018</v>
      </c>
      <c r="C118" s="367">
        <f>SUMIF('ПО КОРИСНИЦИМА'!$G$8:$G$18203,"Функција 850:",'ПО КОРИСНИЦИМА'!$H$8:$H$18203)</f>
        <v>0</v>
      </c>
      <c r="D118" s="377"/>
      <c r="E118" s="371" t="e">
        <f t="shared" si="2"/>
        <v>#DIV/0!</v>
      </c>
      <c r="F118" s="367">
        <f>SUMIF('ПО КОРИСНИЦИМА'!$G$8:$G$18203,"Функција 850:",'ПО КОРИСНИЦИМА'!$K$8:$K$18203)</f>
        <v>0</v>
      </c>
      <c r="G118" s="373"/>
      <c r="H118" s="749" t="e">
        <f t="shared" si="3"/>
        <v>#DIV/0!</v>
      </c>
    </row>
    <row r="119" spans="1:8" ht="18.75" customHeight="1" x14ac:dyDescent="0.25">
      <c r="A119" s="94" t="s">
        <v>4019</v>
      </c>
      <c r="B119" s="95" t="s">
        <v>211</v>
      </c>
      <c r="C119" s="367">
        <f>SUMIF('ПО КОРИСНИЦИМА'!$G$8:$G$18203,"Функција 860:",'ПО КОРИСНИЦИМА'!$H$8:$H$18203)</f>
        <v>3972000</v>
      </c>
      <c r="D119" s="377">
        <f>SUM('ПО КОРИСНИЦИМА'!I5574)</f>
        <v>3618935</v>
      </c>
      <c r="E119" s="371">
        <f t="shared" si="2"/>
        <v>91.11115307150051</v>
      </c>
      <c r="F119" s="367">
        <f>SUMIF('ПО КОРИСНИЦИМА'!$G$8:$G$18203,"Функција 860:",'ПО КОРИСНИЦИМА'!$K$8:$K$18203)</f>
        <v>0</v>
      </c>
      <c r="G119" s="373"/>
      <c r="H119" s="749"/>
    </row>
    <row r="120" spans="1:8" x14ac:dyDescent="0.25">
      <c r="A120" s="104" t="s">
        <v>4020</v>
      </c>
      <c r="B120" s="97" t="s">
        <v>212</v>
      </c>
      <c r="C120" s="368">
        <f>SUM(C121:C141)</f>
        <v>52593900</v>
      </c>
      <c r="D120" s="376">
        <f>SUM(D122:D128)</f>
        <v>47787032.560000002</v>
      </c>
      <c r="E120" s="371">
        <f t="shared" si="2"/>
        <v>90.860408830681891</v>
      </c>
      <c r="F120" s="368">
        <f>SUM(F121:F141)</f>
        <v>10686100</v>
      </c>
      <c r="G120" s="372">
        <f>SUM(G122)</f>
        <v>9986349.370000001</v>
      </c>
      <c r="H120" s="767">
        <f t="shared" si="3"/>
        <v>93.451767904099725</v>
      </c>
    </row>
    <row r="121" spans="1:8" hidden="1" x14ac:dyDescent="0.25">
      <c r="A121" s="94" t="s">
        <v>4021</v>
      </c>
      <c r="B121" s="95" t="s">
        <v>4022</v>
      </c>
      <c r="C121" s="367">
        <f>SUMIF('ПО КОРИСНИЦИМА'!$G$8:$G$18203,"Функција 910:",'ПО КОРИСНИЦИМА'!$H$8:$H$18203)</f>
        <v>0</v>
      </c>
      <c r="D121" s="377"/>
      <c r="E121" s="371" t="e">
        <f t="shared" si="2"/>
        <v>#DIV/0!</v>
      </c>
      <c r="F121" s="367">
        <f>SUMIF('ПО КОРИСНИЦИМА'!$G$8:$G$18203,"Функција 910:",'ПО КОРИСНИЦИМА'!$K$8:$K$18203)</f>
        <v>0</v>
      </c>
      <c r="G121" s="373"/>
      <c r="H121" s="749" t="e">
        <f t="shared" si="3"/>
        <v>#DIV/0!</v>
      </c>
    </row>
    <row r="122" spans="1:8" x14ac:dyDescent="0.25">
      <c r="A122" s="96" t="s">
        <v>4023</v>
      </c>
      <c r="B122" s="95" t="s">
        <v>214</v>
      </c>
      <c r="C122" s="367">
        <f>SUMIF('ПО КОРИСНИЦИМА'!$G$8:$G$18203,"Функција 911:",'ПО КОРИСНИЦИМА'!$H$8:$H$18203)</f>
        <v>17864000</v>
      </c>
      <c r="D122" s="377">
        <f>SUM('ПО КОРИСНИЦИМА'!I14637)</f>
        <v>16297753.660000002</v>
      </c>
      <c r="E122" s="371">
        <f t="shared" si="2"/>
        <v>91.232387259292452</v>
      </c>
      <c r="F122" s="367">
        <f>SUMIF('ПО КОРИСНИЦИМА'!$G$8:$G$18203,"Функција 911:",'ПО КОРИСНИЦИМА'!$K$8:$K$18203)</f>
        <v>10686100</v>
      </c>
      <c r="G122" s="373">
        <f>SUM('ПО КОРИСНИЦИМА'!L14653)</f>
        <v>9986349.370000001</v>
      </c>
      <c r="H122" s="749">
        <f t="shared" si="3"/>
        <v>93.451767904099725</v>
      </c>
    </row>
    <row r="123" spans="1:8" x14ac:dyDescent="0.25">
      <c r="A123" s="96" t="s">
        <v>3743</v>
      </c>
      <c r="B123" s="95" t="s">
        <v>215</v>
      </c>
      <c r="C123" s="367">
        <f>SUMIF('ПО КОРИСНИЦИМА'!$G$8:$G$18203,"Функција 912:",'ПО КОРИСНИЦИМА'!$H$8:$H$18203)</f>
        <v>29050000</v>
      </c>
      <c r="D123" s="377">
        <f>SUM('ПО КОРИСНИЦИМА'!I6362)</f>
        <v>26297279.23</v>
      </c>
      <c r="E123" s="371">
        <f t="shared" si="2"/>
        <v>90.524197005163515</v>
      </c>
      <c r="F123" s="367">
        <f>SUMIF('ПО КОРИСНИЦИМА'!$G$8:$G$18203,"Функција 912:",'ПО КОРИСНИЦИМА'!$K$8:$K$18203)</f>
        <v>0</v>
      </c>
      <c r="G123" s="373">
        <v>0</v>
      </c>
      <c r="H123" s="749"/>
    </row>
    <row r="124" spans="1:8" hidden="1" x14ac:dyDescent="0.25">
      <c r="A124" s="96" t="s">
        <v>4024</v>
      </c>
      <c r="B124" s="95" t="s">
        <v>216</v>
      </c>
      <c r="C124" s="367">
        <f>SUMIF('ПО КОРИСНИЦИМА'!$G$8:$G$18203,"Функција 913:",'ПО КОРИСНИЦИМА'!$H$8:$H$18203)</f>
        <v>0</v>
      </c>
      <c r="D124" s="377"/>
      <c r="E124" s="371" t="e">
        <f t="shared" si="2"/>
        <v>#DIV/0!</v>
      </c>
      <c r="F124" s="367">
        <f>SUMIF('ПО КОРИСНИЦИМА'!$G$8:$G$18203,"Функција 913:",'ПО КОРИСНИЦИМА'!$K$8:$K$18203)</f>
        <v>0</v>
      </c>
      <c r="G124" s="373"/>
      <c r="H124" s="749"/>
    </row>
    <row r="125" spans="1:8" hidden="1" x14ac:dyDescent="0.25">
      <c r="A125" s="96" t="s">
        <v>4025</v>
      </c>
      <c r="B125" s="95" t="s">
        <v>217</v>
      </c>
      <c r="C125" s="367">
        <f>SUMIF('ПО КОРИСНИЦИМА'!$G$8:$G$18203,"Функција 914:",'ПО КОРИСНИЦИМА'!$H$8:$H$18203)</f>
        <v>0</v>
      </c>
      <c r="D125" s="377"/>
      <c r="E125" s="371" t="e">
        <f t="shared" si="2"/>
        <v>#DIV/0!</v>
      </c>
      <c r="F125" s="367">
        <f>SUMIF('ПО КОРИСНИЦИМА'!$G$8:$G$18203,"Функција 914:",'ПО КОРИСНИЦИМА'!$K$8:$K$18203)</f>
        <v>0</v>
      </c>
      <c r="G125" s="373"/>
      <c r="H125" s="749"/>
    </row>
    <row r="126" spans="1:8" hidden="1" x14ac:dyDescent="0.25">
      <c r="A126" s="96" t="s">
        <v>4026</v>
      </c>
      <c r="B126" s="95" t="s">
        <v>218</v>
      </c>
      <c r="C126" s="367">
        <f>SUMIF('ПО КОРИСНИЦИМА'!$G$8:$G$18203,"Функција 915:",'ПО КОРИСНИЦИМА'!$H$8:$H$18203)</f>
        <v>0</v>
      </c>
      <c r="D126" s="377"/>
      <c r="E126" s="371" t="e">
        <f t="shared" si="2"/>
        <v>#DIV/0!</v>
      </c>
      <c r="F126" s="367">
        <f>SUMIF('ПО КОРИСНИЦИМА'!$G$8:$G$18203,"Функција 915:",'ПО КОРИСНИЦИМА'!$K$8:$K$18203)</f>
        <v>0</v>
      </c>
      <c r="G126" s="373"/>
      <c r="H126" s="749"/>
    </row>
    <row r="127" spans="1:8" hidden="1" x14ac:dyDescent="0.25">
      <c r="A127" s="96" t="s">
        <v>4027</v>
      </c>
      <c r="B127" s="95" t="s">
        <v>219</v>
      </c>
      <c r="C127" s="367">
        <f>SUMIF('ПО КОРИСНИЦИМА'!$G$8:$G$18203,"Функција 916:",'ПО КОРИСНИЦИМА'!$H$8:$H$18203)</f>
        <v>0</v>
      </c>
      <c r="D127" s="377"/>
      <c r="E127" s="371" t="e">
        <f t="shared" si="2"/>
        <v>#DIV/0!</v>
      </c>
      <c r="F127" s="367">
        <f>SUMIF('ПО КОРИСНИЦИМА'!$G$8:$G$18203,"Функција 916:",'ПО КОРИСНИЦИМА'!$K$8:$K$18203)</f>
        <v>0</v>
      </c>
      <c r="G127" s="373"/>
      <c r="H127" s="749"/>
    </row>
    <row r="128" spans="1:8" ht="14.25" customHeight="1" x14ac:dyDescent="0.25">
      <c r="A128" s="94" t="s">
        <v>4028</v>
      </c>
      <c r="B128" s="95" t="s">
        <v>4029</v>
      </c>
      <c r="C128" s="367">
        <f>SUMIF('ПО КОРИСНИЦИМА'!$G$8:$G$18203,"Функција 920:",'ПО КОРИСНИЦИМА'!$H$8:$H$18203)</f>
        <v>5679900</v>
      </c>
      <c r="D128" s="377">
        <f>SUM('ПО КОРИСНИЦИМА'!I6002)</f>
        <v>5191999.67</v>
      </c>
      <c r="E128" s="371">
        <f t="shared" si="2"/>
        <v>91.410054226306798</v>
      </c>
      <c r="F128" s="367">
        <f>SUMIF('ПО КОРИСНИЦИМА'!$G$8:$G$18203,"Функција 920:",'ПО КОРИСНИЦИМА'!$K$8:$K$18203)</f>
        <v>0</v>
      </c>
      <c r="G128" s="373">
        <v>0</v>
      </c>
      <c r="H128" s="749"/>
    </row>
    <row r="129" spans="1:8" hidden="1" x14ac:dyDescent="0.25">
      <c r="A129" s="96" t="s">
        <v>4030</v>
      </c>
      <c r="B129" s="95" t="s">
        <v>221</v>
      </c>
      <c r="C129" s="367">
        <f>SUMIF('ПО КОРИСНИЦИМА'!$G$8:$G$18203,"Функција 921:",'ПО КОРИСНИЦИМА'!$H$8:$H$18203)</f>
        <v>0</v>
      </c>
      <c r="D129" s="377"/>
      <c r="E129" s="371" t="e">
        <f t="shared" si="2"/>
        <v>#DIV/0!</v>
      </c>
      <c r="F129" s="367">
        <f>SUMIF('ПО КОРИСНИЦИМА'!$G$8:$G$18203,"Функција 921:",'ПО КОРИСНИЦИМА'!$K$8:$K$18203)</f>
        <v>0</v>
      </c>
      <c r="G129" s="373"/>
      <c r="H129" s="749" t="e">
        <f t="shared" si="3"/>
        <v>#DIV/0!</v>
      </c>
    </row>
    <row r="130" spans="1:8" hidden="1" x14ac:dyDescent="0.25">
      <c r="A130" s="96" t="s">
        <v>4031</v>
      </c>
      <c r="B130" s="95" t="s">
        <v>222</v>
      </c>
      <c r="C130" s="367">
        <f>SUMIF('ПО КОРИСНИЦИМА'!$G$8:$G$18203,"Функција 922:",'ПО КОРИСНИЦИМА'!$H$8:$H$18203)</f>
        <v>0</v>
      </c>
      <c r="D130" s="377"/>
      <c r="E130" s="371" t="e">
        <f t="shared" si="2"/>
        <v>#DIV/0!</v>
      </c>
      <c r="F130" s="367">
        <f>SUMIF('ПО КОРИСНИЦИМА'!$G$8:$G$18203,"Функција 922:",'ПО КОРИСНИЦИМА'!$K$8:$K$18203)</f>
        <v>0</v>
      </c>
      <c r="G130" s="373"/>
      <c r="H130" s="749" t="e">
        <f t="shared" si="3"/>
        <v>#DIV/0!</v>
      </c>
    </row>
    <row r="131" spans="1:8" hidden="1" x14ac:dyDescent="0.25">
      <c r="A131" s="96" t="s">
        <v>4032</v>
      </c>
      <c r="B131" s="95" t="s">
        <v>223</v>
      </c>
      <c r="C131" s="367">
        <f>SUMIF('ПО КОРИСНИЦИМА'!$G$8:$G$18203,"Функција 923:",'ПО КОРИСНИЦИМА'!$H$8:$H$18203)</f>
        <v>0</v>
      </c>
      <c r="D131" s="377"/>
      <c r="E131" s="371" t="e">
        <f t="shared" si="2"/>
        <v>#DIV/0!</v>
      </c>
      <c r="F131" s="367">
        <f>SUMIF('ПО КОРИСНИЦИМА'!$G$8:$G$18203,"Функција 923:",'ПО КОРИСНИЦИМА'!$K$8:$K$18203)</f>
        <v>0</v>
      </c>
      <c r="G131" s="373"/>
      <c r="H131" s="749" t="e">
        <f t="shared" si="3"/>
        <v>#DIV/0!</v>
      </c>
    </row>
    <row r="132" spans="1:8" hidden="1" x14ac:dyDescent="0.25">
      <c r="A132" s="94" t="s">
        <v>4033</v>
      </c>
      <c r="B132" s="95" t="s">
        <v>4034</v>
      </c>
      <c r="C132" s="367">
        <f>SUMIF('ПО КОРИСНИЦИМА'!$G$8:$G$18203,"Функција 930:",'ПО КОРИСНИЦИМА'!$H$8:$H$18203)</f>
        <v>0</v>
      </c>
      <c r="D132" s="377"/>
      <c r="E132" s="371" t="e">
        <f t="shared" si="2"/>
        <v>#DIV/0!</v>
      </c>
      <c r="F132" s="367">
        <f>SUMIF('ПО КОРИСНИЦИМА'!$G$8:$G$18203,"Функција 930:",'ПО КОРИСНИЦИМА'!$K$8:$K$18203)</f>
        <v>0</v>
      </c>
      <c r="G132" s="373"/>
      <c r="H132" s="749" t="e">
        <f t="shared" si="3"/>
        <v>#DIV/0!</v>
      </c>
    </row>
    <row r="133" spans="1:8" hidden="1" x14ac:dyDescent="0.25">
      <c r="A133" s="96" t="s">
        <v>4035</v>
      </c>
      <c r="B133" s="95" t="s">
        <v>224</v>
      </c>
      <c r="C133" s="367">
        <f>SUMIF('ПО КОРИСНИЦИМА'!$G$8:$G$18203,"Функција 931:",'ПО КОРИСНИЦИМА'!$H$8:$H$18203)</f>
        <v>0</v>
      </c>
      <c r="D133" s="377"/>
      <c r="E133" s="371" t="e">
        <f t="shared" si="2"/>
        <v>#DIV/0!</v>
      </c>
      <c r="F133" s="367">
        <f>SUMIF('ПО КОРИСНИЦИМА'!$G$8:$G$18203,"Функција 931:",'ПО КОРИСНИЦИМА'!$K$8:$K$18203)</f>
        <v>0</v>
      </c>
      <c r="G133" s="373"/>
      <c r="H133" s="749" t="e">
        <f t="shared" si="3"/>
        <v>#DIV/0!</v>
      </c>
    </row>
    <row r="134" spans="1:8" hidden="1" x14ac:dyDescent="0.25">
      <c r="A134" s="96" t="s">
        <v>4036</v>
      </c>
      <c r="B134" s="95" t="s">
        <v>225</v>
      </c>
      <c r="C134" s="367">
        <f>SUMIF('ПО КОРИСНИЦИМА'!$G$8:$G$18203,"Функција 932:",'ПО КОРИСНИЦИМА'!$H$8:$H$18203)</f>
        <v>0</v>
      </c>
      <c r="D134" s="377"/>
      <c r="E134" s="371" t="e">
        <f t="shared" si="2"/>
        <v>#DIV/0!</v>
      </c>
      <c r="F134" s="367">
        <f>SUMIF('ПО КОРИСНИЦИМА'!$G$8:$G$18203,"Функција 932:",'ПО КОРИСНИЦИМА'!$K$8:$K$18203)</f>
        <v>0</v>
      </c>
      <c r="G134" s="373"/>
      <c r="H134" s="749" t="e">
        <f t="shared" si="3"/>
        <v>#DIV/0!</v>
      </c>
    </row>
    <row r="135" spans="1:8" hidden="1" x14ac:dyDescent="0.25">
      <c r="A135" s="94" t="s">
        <v>4037</v>
      </c>
      <c r="B135" s="95" t="s">
        <v>4038</v>
      </c>
      <c r="C135" s="367">
        <f>SUMIF('ПО КОРИСНИЦИМА'!$G$8:$G$18203,"Функција 940:",'ПО КОРИСНИЦИМА'!$H$8:$H$18203)</f>
        <v>0</v>
      </c>
      <c r="D135" s="377"/>
      <c r="E135" s="371" t="e">
        <f t="shared" si="2"/>
        <v>#DIV/0!</v>
      </c>
      <c r="F135" s="367">
        <f>SUMIF('ПО КОРИСНИЦИМА'!$G$8:$G$18203,"Функција 940:",'ПО КОРИСНИЦИМА'!$K$8:$K$18203)</f>
        <v>0</v>
      </c>
      <c r="G135" s="373"/>
      <c r="H135" s="749" t="e">
        <f t="shared" si="3"/>
        <v>#DIV/0!</v>
      </c>
    </row>
    <row r="136" spans="1:8" hidden="1" x14ac:dyDescent="0.25">
      <c r="A136" s="96" t="s">
        <v>4039</v>
      </c>
      <c r="B136" s="95" t="s">
        <v>227</v>
      </c>
      <c r="C136" s="367">
        <f>SUMIF('ПО КОРИСНИЦИМА'!$G$8:$G$18203,"Функција 941:",'ПО КОРИСНИЦИМА'!$H$8:$H$18203)</f>
        <v>0</v>
      </c>
      <c r="D136" s="377"/>
      <c r="E136" s="371" t="e">
        <f t="shared" ref="E136:E142" si="4">SUM(D136/C136)*100</f>
        <v>#DIV/0!</v>
      </c>
      <c r="F136" s="367">
        <f>SUMIF('ПО КОРИСНИЦИМА'!$G$8:$G$18203,"Функција 941:",'ПО КОРИСНИЦИМА'!$K$8:$K$18203)</f>
        <v>0</v>
      </c>
      <c r="G136" s="373"/>
      <c r="H136" s="749" t="e">
        <f t="shared" ref="H136:H142" si="5">SUM(G136/F136)*100</f>
        <v>#DIV/0!</v>
      </c>
    </row>
    <row r="137" spans="1:8" hidden="1" x14ac:dyDescent="0.25">
      <c r="A137" s="96" t="s">
        <v>4040</v>
      </c>
      <c r="B137" s="95" t="s">
        <v>4041</v>
      </c>
      <c r="C137" s="367">
        <f>SUMIF('ПО КОРИСНИЦИМА'!$G$8:$G$18203,"Функција 942:",'ПО КОРИСНИЦИМА'!$H$8:$H$18203)</f>
        <v>0</v>
      </c>
      <c r="D137" s="377"/>
      <c r="E137" s="371" t="e">
        <f t="shared" si="4"/>
        <v>#DIV/0!</v>
      </c>
      <c r="F137" s="367">
        <f>SUMIF('ПО КОРИСНИЦИМА'!$G$8:$G$18203,"Функција 942:",'ПО КОРИСНИЦИМА'!$K$8:$K$18203)</f>
        <v>0</v>
      </c>
      <c r="G137" s="373"/>
      <c r="H137" s="749" t="e">
        <f t="shared" si="5"/>
        <v>#DIV/0!</v>
      </c>
    </row>
    <row r="138" spans="1:8" hidden="1" x14ac:dyDescent="0.25">
      <c r="A138" s="94" t="s">
        <v>4042</v>
      </c>
      <c r="B138" s="95" t="s">
        <v>4043</v>
      </c>
      <c r="C138" s="367">
        <f>SUMIF('ПО КОРИСНИЦИМА'!$G$8:$G$18203,"Функција 950:",'ПО КОРИСНИЦИМА'!$H$8:$H$18203)</f>
        <v>0</v>
      </c>
      <c r="D138" s="377"/>
      <c r="E138" s="371" t="e">
        <f t="shared" si="4"/>
        <v>#DIV/0!</v>
      </c>
      <c r="F138" s="367">
        <f>SUMIF('ПО КОРИСНИЦИМА'!$G$8:$G$18203,"Функција 950:",'ПО КОРИСНИЦИМА'!$K$8:$K$18203)</f>
        <v>0</v>
      </c>
      <c r="G138" s="373"/>
      <c r="H138" s="749" t="e">
        <f t="shared" si="5"/>
        <v>#DIV/0!</v>
      </c>
    </row>
    <row r="139" spans="1:8" hidden="1" x14ac:dyDescent="0.25">
      <c r="A139" s="94" t="s">
        <v>4044</v>
      </c>
      <c r="B139" s="95" t="s">
        <v>4045</v>
      </c>
      <c r="C139" s="367">
        <f>SUMIF('ПО КОРИСНИЦИМА'!$G$8:$G$18203,"Функција 960:",'ПО КОРИСНИЦИМА'!$H$8:$H$18203)</f>
        <v>0</v>
      </c>
      <c r="D139" s="377"/>
      <c r="E139" s="371" t="e">
        <f t="shared" si="4"/>
        <v>#DIV/0!</v>
      </c>
      <c r="F139" s="367">
        <f>SUMIF('ПО КОРИСНИЦИМА'!$G$8:$G$18203,"Функција 960:",'ПО КОРИСНИЦИМА'!$K$8:$K$18203)</f>
        <v>0</v>
      </c>
      <c r="G139" s="373"/>
      <c r="H139" s="749" t="e">
        <f t="shared" si="5"/>
        <v>#DIV/0!</v>
      </c>
    </row>
    <row r="140" spans="1:8" hidden="1" x14ac:dyDescent="0.25">
      <c r="A140" s="105" t="s">
        <v>4046</v>
      </c>
      <c r="B140" s="91" t="s">
        <v>4047</v>
      </c>
      <c r="C140" s="367">
        <f>SUMIF('ПО КОРИСНИЦИМА'!$G$8:$G$18203,"Функција 970:",'ПО КОРИСНИЦИМА'!$H$8:$H$18203)</f>
        <v>0</v>
      </c>
      <c r="D140" s="377"/>
      <c r="E140" s="371" t="e">
        <f t="shared" si="4"/>
        <v>#DIV/0!</v>
      </c>
      <c r="F140" s="367">
        <f>SUMIF('ПО КОРИСНИЦИМА'!$G$8:$G$18203,"Функција 970:",'ПО КОРИСНИЦИМА'!$K$8:$K$18203)</f>
        <v>0</v>
      </c>
      <c r="G140" s="373"/>
      <c r="H140" s="749" t="e">
        <f t="shared" si="5"/>
        <v>#DIV/0!</v>
      </c>
    </row>
    <row r="141" spans="1:8" hidden="1" x14ac:dyDescent="0.25">
      <c r="A141" s="94" t="s">
        <v>4048</v>
      </c>
      <c r="B141" s="95" t="s">
        <v>232</v>
      </c>
      <c r="C141" s="367">
        <f>SUMIF('ПО КОРИСНИЦИМА'!$G$8:$G$18203,"Функција 980:",'ПО КОРИСНИЦИМА'!$H$8:$H$18203)</f>
        <v>0</v>
      </c>
      <c r="D141" s="377"/>
      <c r="E141" s="371" t="e">
        <f t="shared" si="4"/>
        <v>#DIV/0!</v>
      </c>
      <c r="F141" s="367">
        <f>SUMIF('ПО КОРИСНИЦИМА'!$G$8:$G$18203,"Функција 980:",'ПО КОРИСНИЦИМА'!$K$8:$K$18203)</f>
        <v>0</v>
      </c>
      <c r="G141" s="373"/>
      <c r="H141" s="749" t="e">
        <f t="shared" si="5"/>
        <v>#DIV/0!</v>
      </c>
    </row>
    <row r="142" spans="1:8" ht="26.25" customHeight="1" x14ac:dyDescent="0.25">
      <c r="A142" s="760"/>
      <c r="B142" s="761" t="s">
        <v>4049</v>
      </c>
      <c r="C142" s="762">
        <f>SUM(C7,C17,C34,C41,C81,C88,C95,C113,C120)</f>
        <v>593078790</v>
      </c>
      <c r="D142" s="763">
        <f>SUM(D120,D113,D95,D88,D81,D41,D34,D17,D7)</f>
        <v>504515943.66000003</v>
      </c>
      <c r="E142" s="764">
        <f t="shared" si="4"/>
        <v>85.067271358667213</v>
      </c>
      <c r="F142" s="762">
        <f>SUM(F7,F17,F34,F41,F81,F88,F95,F113,F120)</f>
        <v>32361375</v>
      </c>
      <c r="G142" s="765">
        <f>SUM(G7,G17,G34,G41,G88,G113,G120)</f>
        <v>33635486.609999999</v>
      </c>
      <c r="H142" s="766">
        <f t="shared" si="5"/>
        <v>103.93713681819763</v>
      </c>
    </row>
    <row r="143" spans="1:8" x14ac:dyDescent="0.25">
      <c r="A143" s="106"/>
      <c r="B143" s="107"/>
      <c r="C143" s="108"/>
      <c r="D143" s="108"/>
      <c r="E143" s="108"/>
      <c r="F143" s="108"/>
      <c r="G143" s="108"/>
    </row>
  </sheetData>
  <sheetProtection password="CA6E" sheet="1" objects="1" scenarios="1" selectLockedCells="1" selectUnlockedCells="1"/>
  <mergeCells count="4">
    <mergeCell ref="A4:G4"/>
    <mergeCell ref="B1:F1"/>
    <mergeCell ref="A3:G3"/>
    <mergeCell ref="B2:F2"/>
  </mergeCells>
  <conditionalFormatting sqref="C143:D143 F143:G143">
    <cfRule type="cellIs" dxfId="0" priority="2" stopIfTrue="1" operator="notEqual">
      <formula>0</formula>
    </cfRule>
  </conditionalFormatting>
  <conditionalFormatting sqref="C143:G143">
    <cfRule type="cellIs" priority="1" operator="notEqual">
      <formula>0</formula>
    </cfRule>
  </conditionalFormatting>
  <pageMargins left="0.70866141732283472" right="0.70866141732283472" top="0.74803149606299213" bottom="0.74803149606299213" header="0.31496062992125984" footer="0.31496062992125984"/>
  <pageSetup orientation="landscape" r:id="rId1"/>
  <cellWatches>
    <cellWatch r="C143"/>
  </cellWatch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AA18355"/>
  <sheetViews>
    <sheetView topLeftCell="A18190" zoomScale="90" zoomScaleNormal="90" workbookViewId="0">
      <selection activeCell="G18359" sqref="G18359"/>
    </sheetView>
  </sheetViews>
  <sheetFormatPr defaultRowHeight="12.75" x14ac:dyDescent="0.2"/>
  <cols>
    <col min="1" max="1" width="2.5703125" style="464" customWidth="1"/>
    <col min="2" max="2" width="3.28515625" style="464" customWidth="1"/>
    <col min="3" max="3" width="4.140625" style="465" customWidth="1"/>
    <col min="4" max="5" width="4" style="464" customWidth="1"/>
    <col min="6" max="6" width="6.85546875" style="464" customWidth="1"/>
    <col min="7" max="7" width="39.7109375" style="507" customWidth="1"/>
    <col min="8" max="8" width="13.140625" style="395" customWidth="1"/>
    <col min="9" max="9" width="13" style="395" customWidth="1"/>
    <col min="10" max="10" width="6" style="395" customWidth="1"/>
    <col min="11" max="11" width="11.85546875" style="396" customWidth="1"/>
    <col min="12" max="12" width="12.140625" style="396" customWidth="1"/>
    <col min="13" max="13" width="3.85546875" style="173" customWidth="1"/>
    <col min="14" max="14" width="12.5703125" style="173" bestFit="1" customWidth="1"/>
    <col min="15" max="15" width="15.7109375" style="173" customWidth="1"/>
    <col min="16" max="16" width="11.28515625" style="173" bestFit="1" customWidth="1"/>
    <col min="17" max="27" width="9.140625" style="173"/>
    <col min="28" max="16384" width="9.140625" style="224"/>
  </cols>
  <sheetData>
    <row r="1" spans="1:27" ht="21" customHeight="1" x14ac:dyDescent="0.2">
      <c r="E1" s="744"/>
      <c r="F1" s="744"/>
      <c r="G1" s="859" t="s">
        <v>5284</v>
      </c>
      <c r="H1" s="859"/>
      <c r="I1" s="859"/>
      <c r="J1" s="859"/>
      <c r="K1" s="859"/>
    </row>
    <row r="2" spans="1:27" ht="15" customHeight="1" x14ac:dyDescent="0.2">
      <c r="E2" s="859" t="s">
        <v>5384</v>
      </c>
      <c r="F2" s="859"/>
      <c r="G2" s="859"/>
      <c r="H2" s="859"/>
      <c r="I2" s="745"/>
      <c r="J2" s="745"/>
      <c r="K2" s="746"/>
    </row>
    <row r="3" spans="1:27" ht="18.75" customHeight="1" x14ac:dyDescent="0.2">
      <c r="E3" s="860"/>
      <c r="F3" s="860"/>
      <c r="G3" s="860"/>
      <c r="H3" s="860"/>
      <c r="I3" s="747"/>
      <c r="J3" s="747"/>
      <c r="K3" s="746"/>
    </row>
    <row r="4" spans="1:27" ht="41.25" customHeight="1" x14ac:dyDescent="0.2">
      <c r="B4" s="806" t="s">
        <v>5385</v>
      </c>
      <c r="C4" s="806"/>
      <c r="D4" s="806"/>
      <c r="E4" s="806"/>
      <c r="F4" s="806"/>
      <c r="G4" s="806"/>
      <c r="H4" s="806"/>
      <c r="I4" s="806"/>
      <c r="J4" s="806"/>
      <c r="K4" s="806"/>
      <c r="L4" s="806"/>
      <c r="M4" s="339"/>
      <c r="N4" s="339"/>
      <c r="O4" s="339"/>
    </row>
    <row r="5" spans="1:27" ht="15" hidden="1" customHeight="1" x14ac:dyDescent="0.2">
      <c r="B5" s="339"/>
      <c r="C5" s="339"/>
      <c r="D5" s="339"/>
      <c r="E5" s="339"/>
      <c r="F5" s="339"/>
      <c r="G5" s="339"/>
      <c r="H5" s="339"/>
      <c r="I5" s="339"/>
      <c r="J5" s="339"/>
      <c r="K5" s="339"/>
      <c r="L5" s="339"/>
      <c r="M5" s="339"/>
      <c r="N5" s="339"/>
      <c r="O5" s="339"/>
    </row>
    <row r="6" spans="1:27" ht="67.5" customHeight="1" x14ac:dyDescent="0.2">
      <c r="A6" s="468" t="s">
        <v>4155</v>
      </c>
      <c r="B6" s="469" t="s">
        <v>4156</v>
      </c>
      <c r="C6" s="470" t="s">
        <v>4159</v>
      </c>
      <c r="D6" s="468" t="s">
        <v>4157</v>
      </c>
      <c r="E6" s="468" t="s">
        <v>4158</v>
      </c>
      <c r="F6" s="469" t="s">
        <v>4160</v>
      </c>
      <c r="G6" s="471" t="s">
        <v>265</v>
      </c>
      <c r="H6" s="472" t="s">
        <v>5386</v>
      </c>
      <c r="I6" s="473" t="s">
        <v>5387</v>
      </c>
      <c r="J6" s="472" t="s">
        <v>5388</v>
      </c>
      <c r="K6" s="472" t="s">
        <v>3757</v>
      </c>
      <c r="L6" s="474" t="s">
        <v>5389</v>
      </c>
      <c r="M6" s="475"/>
      <c r="O6" s="857"/>
      <c r="P6" s="857"/>
      <c r="Q6" s="857"/>
      <c r="R6" s="857"/>
      <c r="S6" s="857"/>
      <c r="T6" s="857"/>
      <c r="U6" s="857"/>
      <c r="V6" s="857"/>
      <c r="W6" s="857"/>
      <c r="X6" s="857"/>
    </row>
    <row r="7" spans="1:27" ht="18.75" customHeight="1" thickBot="1" x14ac:dyDescent="0.25">
      <c r="A7" s="476">
        <v>1</v>
      </c>
      <c r="B7" s="477">
        <v>2</v>
      </c>
      <c r="C7" s="478">
        <v>4</v>
      </c>
      <c r="D7" s="476">
        <v>3</v>
      </c>
      <c r="E7" s="476">
        <v>6</v>
      </c>
      <c r="F7" s="477">
        <v>7</v>
      </c>
      <c r="G7" s="476">
        <v>8</v>
      </c>
      <c r="H7" s="479">
        <v>9</v>
      </c>
      <c r="I7" s="480"/>
      <c r="J7" s="480"/>
      <c r="K7" s="479">
        <v>10</v>
      </c>
      <c r="L7" s="481">
        <v>11</v>
      </c>
      <c r="M7" s="482"/>
    </row>
    <row r="8" spans="1:27" ht="15" customHeight="1" x14ac:dyDescent="0.2">
      <c r="A8" s="483">
        <v>1</v>
      </c>
      <c r="B8" s="483">
        <v>1</v>
      </c>
      <c r="C8" s="484"/>
      <c r="D8" s="485"/>
      <c r="E8" s="485"/>
      <c r="F8" s="485"/>
      <c r="G8" s="486" t="s">
        <v>5287</v>
      </c>
      <c r="H8" s="487"/>
      <c r="I8" s="487"/>
      <c r="J8" s="487"/>
      <c r="K8" s="488"/>
      <c r="L8" s="488"/>
      <c r="O8" s="858"/>
      <c r="P8" s="858"/>
      <c r="Q8" s="858"/>
      <c r="R8" s="858"/>
      <c r="S8" s="858"/>
      <c r="T8" s="858"/>
      <c r="U8" s="858"/>
      <c r="V8" s="858"/>
      <c r="W8" s="858"/>
      <c r="X8" s="858"/>
      <c r="Y8" s="858"/>
      <c r="Z8" s="858"/>
      <c r="AA8" s="858"/>
    </row>
    <row r="9" spans="1:27" x14ac:dyDescent="0.2">
      <c r="C9" s="489" t="s">
        <v>3600</v>
      </c>
      <c r="D9" s="490"/>
      <c r="G9" s="491" t="s">
        <v>4202</v>
      </c>
      <c r="J9" s="397"/>
      <c r="O9" s="858"/>
      <c r="P9" s="858"/>
      <c r="Q9" s="858"/>
      <c r="R9" s="858"/>
      <c r="S9" s="858"/>
      <c r="T9" s="858"/>
      <c r="U9" s="858"/>
      <c r="V9" s="858"/>
      <c r="W9" s="858"/>
      <c r="X9" s="858"/>
      <c r="Y9" s="858"/>
      <c r="Z9" s="858"/>
      <c r="AA9" s="858"/>
    </row>
    <row r="10" spans="1:27" ht="23.25" customHeight="1" x14ac:dyDescent="0.2">
      <c r="C10" s="489" t="s">
        <v>4134</v>
      </c>
      <c r="D10" s="490"/>
      <c r="G10" s="491" t="s">
        <v>4135</v>
      </c>
      <c r="J10" s="397"/>
      <c r="O10" s="858"/>
      <c r="P10" s="858"/>
      <c r="Q10" s="858"/>
      <c r="R10" s="858"/>
      <c r="S10" s="858"/>
      <c r="T10" s="858"/>
      <c r="U10" s="858"/>
      <c r="V10" s="858"/>
      <c r="W10" s="858"/>
      <c r="X10" s="858"/>
      <c r="Y10" s="858"/>
      <c r="Z10" s="858"/>
      <c r="AA10" s="858"/>
    </row>
    <row r="11" spans="1:27" ht="25.5" x14ac:dyDescent="0.2">
      <c r="C11" s="489"/>
      <c r="D11" s="492">
        <v>110</v>
      </c>
      <c r="E11" s="492"/>
      <c r="F11" s="492"/>
      <c r="G11" s="493" t="s">
        <v>105</v>
      </c>
      <c r="J11" s="397"/>
    </row>
    <row r="12" spans="1:27" x14ac:dyDescent="0.2">
      <c r="F12" s="494">
        <v>411</v>
      </c>
      <c r="G12" s="495" t="s">
        <v>4167</v>
      </c>
      <c r="H12" s="397"/>
      <c r="I12" s="397"/>
      <c r="J12" s="397"/>
      <c r="K12" s="398"/>
      <c r="L12" s="398"/>
      <c r="O12" s="858" t="s">
        <v>5111</v>
      </c>
      <c r="P12" s="858"/>
      <c r="Q12" s="858"/>
      <c r="R12" s="858"/>
      <c r="S12" s="858"/>
      <c r="T12" s="858"/>
      <c r="U12" s="858"/>
      <c r="V12" s="858"/>
      <c r="W12" s="858"/>
      <c r="X12" s="858"/>
      <c r="Y12" s="858"/>
      <c r="Z12" s="858"/>
      <c r="AA12" s="858"/>
    </row>
    <row r="13" spans="1:27" x14ac:dyDescent="0.2">
      <c r="F13" s="494">
        <v>412</v>
      </c>
      <c r="G13" s="496" t="s">
        <v>3764</v>
      </c>
      <c r="H13" s="397"/>
      <c r="I13" s="397"/>
      <c r="J13" s="397"/>
      <c r="K13" s="398"/>
      <c r="L13" s="398"/>
      <c r="O13" s="858"/>
      <c r="P13" s="858"/>
      <c r="Q13" s="858"/>
      <c r="R13" s="858"/>
      <c r="S13" s="858"/>
      <c r="T13" s="858"/>
      <c r="U13" s="858"/>
      <c r="V13" s="858"/>
      <c r="W13" s="858"/>
      <c r="X13" s="858"/>
      <c r="Y13" s="858"/>
      <c r="Z13" s="858"/>
      <c r="AA13" s="858"/>
    </row>
    <row r="14" spans="1:27" ht="1.5" hidden="1" customHeight="1" x14ac:dyDescent="0.2">
      <c r="F14" s="494">
        <v>413</v>
      </c>
      <c r="G14" s="495" t="s">
        <v>4168</v>
      </c>
      <c r="H14" s="397"/>
      <c r="I14" s="397"/>
      <c r="J14" s="397" t="e">
        <f t="shared" ref="J14:J76" si="0">SUM(I14/H14)*100</f>
        <v>#DIV/0!</v>
      </c>
      <c r="K14" s="398"/>
      <c r="L14" s="398"/>
      <c r="O14" s="858"/>
      <c r="P14" s="858"/>
      <c r="Q14" s="858"/>
      <c r="R14" s="858"/>
      <c r="S14" s="858"/>
      <c r="T14" s="858"/>
      <c r="U14" s="858"/>
      <c r="V14" s="858"/>
      <c r="W14" s="858"/>
      <c r="X14" s="858"/>
      <c r="Y14" s="858"/>
      <c r="Z14" s="858"/>
      <c r="AA14" s="858"/>
    </row>
    <row r="15" spans="1:27" hidden="1" x14ac:dyDescent="0.2">
      <c r="F15" s="494">
        <v>414</v>
      </c>
      <c r="G15" s="495" t="s">
        <v>3767</v>
      </c>
      <c r="H15" s="397"/>
      <c r="I15" s="397"/>
      <c r="J15" s="397" t="e">
        <f t="shared" si="0"/>
        <v>#DIV/0!</v>
      </c>
      <c r="K15" s="398"/>
      <c r="L15" s="398"/>
      <c r="O15" s="858"/>
      <c r="P15" s="858"/>
      <c r="Q15" s="858"/>
      <c r="R15" s="858"/>
      <c r="S15" s="858"/>
      <c r="T15" s="858"/>
      <c r="U15" s="858"/>
      <c r="V15" s="858"/>
      <c r="W15" s="858"/>
      <c r="X15" s="858"/>
      <c r="Y15" s="858"/>
      <c r="Z15" s="858"/>
      <c r="AA15" s="858"/>
    </row>
    <row r="16" spans="1:27" hidden="1" x14ac:dyDescent="0.2">
      <c r="F16" s="494">
        <v>415</v>
      </c>
      <c r="G16" s="495" t="s">
        <v>4177</v>
      </c>
      <c r="H16" s="397"/>
      <c r="I16" s="397"/>
      <c r="J16" s="397" t="e">
        <f t="shared" si="0"/>
        <v>#DIV/0!</v>
      </c>
      <c r="K16" s="398"/>
      <c r="L16" s="398"/>
    </row>
    <row r="17" spans="5:13" ht="25.5" hidden="1" x14ac:dyDescent="0.2">
      <c r="F17" s="494">
        <v>416</v>
      </c>
      <c r="G17" s="495" t="s">
        <v>4178</v>
      </c>
      <c r="H17" s="397"/>
      <c r="I17" s="397"/>
      <c r="J17" s="397" t="e">
        <f t="shared" si="0"/>
        <v>#DIV/0!</v>
      </c>
      <c r="K17" s="398"/>
      <c r="L17" s="398"/>
    </row>
    <row r="18" spans="5:13" hidden="1" x14ac:dyDescent="0.2">
      <c r="F18" s="494">
        <v>417</v>
      </c>
      <c r="G18" s="495" t="s">
        <v>4179</v>
      </c>
      <c r="H18" s="397"/>
      <c r="I18" s="397"/>
      <c r="J18" s="397" t="e">
        <f t="shared" si="0"/>
        <v>#DIV/0!</v>
      </c>
      <c r="K18" s="398"/>
      <c r="L18" s="398"/>
    </row>
    <row r="19" spans="5:13" hidden="1" x14ac:dyDescent="0.2">
      <c r="F19" s="494">
        <v>418</v>
      </c>
      <c r="G19" s="495" t="s">
        <v>3773</v>
      </c>
      <c r="H19" s="397"/>
      <c r="I19" s="397"/>
      <c r="J19" s="397" t="e">
        <f t="shared" si="0"/>
        <v>#DIV/0!</v>
      </c>
      <c r="K19" s="398"/>
      <c r="L19" s="398"/>
    </row>
    <row r="20" spans="5:13" ht="14.25" hidden="1" customHeight="1" x14ac:dyDescent="0.2">
      <c r="F20" s="494">
        <v>411</v>
      </c>
      <c r="G20" s="495"/>
      <c r="H20" s="397"/>
      <c r="I20" s="397"/>
      <c r="J20" s="397" t="e">
        <f t="shared" si="0"/>
        <v>#DIV/0!</v>
      </c>
      <c r="K20" s="398"/>
      <c r="L20" s="398"/>
    </row>
    <row r="21" spans="5:13" ht="18.75" hidden="1" customHeight="1" x14ac:dyDescent="0.2">
      <c r="F21" s="494">
        <v>422</v>
      </c>
      <c r="G21" s="495" t="s">
        <v>3778</v>
      </c>
      <c r="H21" s="397"/>
      <c r="I21" s="397"/>
      <c r="J21" s="397" t="e">
        <f t="shared" si="0"/>
        <v>#DIV/0!</v>
      </c>
      <c r="K21" s="398"/>
      <c r="L21" s="398"/>
    </row>
    <row r="22" spans="5:13" ht="14.25" customHeight="1" x14ac:dyDescent="0.2">
      <c r="E22" s="464">
        <v>1</v>
      </c>
      <c r="F22" s="494">
        <v>423</v>
      </c>
      <c r="G22" s="495" t="s">
        <v>3779</v>
      </c>
      <c r="H22" s="397">
        <v>3092469</v>
      </c>
      <c r="I22" s="397">
        <v>2861178.55</v>
      </c>
      <c r="J22" s="750">
        <f t="shared" si="0"/>
        <v>92.520848228389667</v>
      </c>
      <c r="K22" s="398"/>
      <c r="L22" s="398"/>
      <c r="M22" s="399"/>
    </row>
    <row r="23" spans="5:13" hidden="1" x14ac:dyDescent="0.2">
      <c r="F23" s="494">
        <v>424</v>
      </c>
      <c r="G23" s="495" t="s">
        <v>3781</v>
      </c>
      <c r="H23" s="397"/>
      <c r="I23" s="397"/>
      <c r="J23" s="750" t="e">
        <f t="shared" si="0"/>
        <v>#DIV/0!</v>
      </c>
      <c r="K23" s="398"/>
      <c r="L23" s="398"/>
      <c r="M23" s="399"/>
    </row>
    <row r="24" spans="5:13" hidden="1" x14ac:dyDescent="0.2">
      <c r="F24" s="494">
        <v>425</v>
      </c>
      <c r="G24" s="495" t="s">
        <v>4180</v>
      </c>
      <c r="H24" s="397"/>
      <c r="I24" s="397"/>
      <c r="J24" s="750" t="e">
        <f t="shared" si="0"/>
        <v>#DIV/0!</v>
      </c>
      <c r="K24" s="398"/>
      <c r="L24" s="398"/>
      <c r="M24" s="399"/>
    </row>
    <row r="25" spans="5:13" hidden="1" x14ac:dyDescent="0.2">
      <c r="F25" s="494">
        <v>426</v>
      </c>
      <c r="G25" s="495" t="s">
        <v>3785</v>
      </c>
      <c r="H25" s="397"/>
      <c r="I25" s="397"/>
      <c r="J25" s="750" t="e">
        <f t="shared" si="0"/>
        <v>#DIV/0!</v>
      </c>
      <c r="K25" s="398"/>
      <c r="L25" s="398"/>
      <c r="M25" s="399"/>
    </row>
    <row r="26" spans="5:13" hidden="1" x14ac:dyDescent="0.2">
      <c r="F26" s="494">
        <v>431</v>
      </c>
      <c r="G26" s="495" t="s">
        <v>4181</v>
      </c>
      <c r="H26" s="397"/>
      <c r="I26" s="397"/>
      <c r="J26" s="750" t="e">
        <f t="shared" si="0"/>
        <v>#DIV/0!</v>
      </c>
      <c r="K26" s="398"/>
      <c r="L26" s="398"/>
      <c r="M26" s="399"/>
    </row>
    <row r="27" spans="5:13" hidden="1" x14ac:dyDescent="0.2">
      <c r="F27" s="494">
        <v>432</v>
      </c>
      <c r="G27" s="495" t="s">
        <v>4182</v>
      </c>
      <c r="H27" s="397"/>
      <c r="I27" s="397"/>
      <c r="J27" s="750" t="e">
        <f t="shared" si="0"/>
        <v>#DIV/0!</v>
      </c>
      <c r="K27" s="398"/>
      <c r="L27" s="398"/>
      <c r="M27" s="399"/>
    </row>
    <row r="28" spans="5:13" hidden="1" x14ac:dyDescent="0.2">
      <c r="F28" s="494">
        <v>433</v>
      </c>
      <c r="G28" s="495" t="s">
        <v>4183</v>
      </c>
      <c r="H28" s="397"/>
      <c r="I28" s="397"/>
      <c r="J28" s="750" t="e">
        <f t="shared" si="0"/>
        <v>#DIV/0!</v>
      </c>
      <c r="K28" s="398"/>
      <c r="L28" s="398"/>
      <c r="M28" s="399"/>
    </row>
    <row r="29" spans="5:13" hidden="1" x14ac:dyDescent="0.2">
      <c r="F29" s="494">
        <v>434</v>
      </c>
      <c r="G29" s="495" t="s">
        <v>4184</v>
      </c>
      <c r="H29" s="397"/>
      <c r="I29" s="397"/>
      <c r="J29" s="750" t="e">
        <f t="shared" si="0"/>
        <v>#DIV/0!</v>
      </c>
      <c r="K29" s="398"/>
      <c r="L29" s="398"/>
      <c r="M29" s="399"/>
    </row>
    <row r="30" spans="5:13" hidden="1" x14ac:dyDescent="0.2">
      <c r="F30" s="494">
        <v>435</v>
      </c>
      <c r="G30" s="495" t="s">
        <v>3792</v>
      </c>
      <c r="H30" s="397"/>
      <c r="I30" s="397"/>
      <c r="J30" s="750" t="e">
        <f t="shared" si="0"/>
        <v>#DIV/0!</v>
      </c>
      <c r="K30" s="398"/>
      <c r="L30" s="398"/>
      <c r="M30" s="399"/>
    </row>
    <row r="31" spans="5:13" hidden="1" x14ac:dyDescent="0.2">
      <c r="F31" s="494">
        <v>441</v>
      </c>
      <c r="G31" s="495" t="s">
        <v>4185</v>
      </c>
      <c r="H31" s="397"/>
      <c r="I31" s="397"/>
      <c r="J31" s="750" t="e">
        <f t="shared" si="0"/>
        <v>#DIV/0!</v>
      </c>
      <c r="K31" s="398"/>
      <c r="L31" s="398"/>
      <c r="M31" s="399"/>
    </row>
    <row r="32" spans="5:13" hidden="1" x14ac:dyDescent="0.2">
      <c r="F32" s="494">
        <v>442</v>
      </c>
      <c r="G32" s="495" t="s">
        <v>4186</v>
      </c>
      <c r="H32" s="397"/>
      <c r="I32" s="397"/>
      <c r="J32" s="750" t="e">
        <f t="shared" si="0"/>
        <v>#DIV/0!</v>
      </c>
      <c r="K32" s="398"/>
      <c r="L32" s="398"/>
      <c r="M32" s="399"/>
    </row>
    <row r="33" spans="5:13" hidden="1" x14ac:dyDescent="0.2">
      <c r="F33" s="494">
        <v>443</v>
      </c>
      <c r="G33" s="495" t="s">
        <v>3797</v>
      </c>
      <c r="H33" s="397"/>
      <c r="I33" s="397"/>
      <c r="J33" s="750" t="e">
        <f t="shared" si="0"/>
        <v>#DIV/0!</v>
      </c>
      <c r="K33" s="398"/>
      <c r="L33" s="398"/>
      <c r="M33" s="399"/>
    </row>
    <row r="34" spans="5:13" hidden="1" x14ac:dyDescent="0.2">
      <c r="F34" s="494">
        <v>444</v>
      </c>
      <c r="G34" s="495" t="s">
        <v>3798</v>
      </c>
      <c r="H34" s="397"/>
      <c r="I34" s="397"/>
      <c r="J34" s="750" t="e">
        <f t="shared" si="0"/>
        <v>#DIV/0!</v>
      </c>
      <c r="K34" s="398"/>
      <c r="L34" s="398"/>
      <c r="M34" s="399"/>
    </row>
    <row r="35" spans="5:13" ht="25.5" hidden="1" x14ac:dyDescent="0.2">
      <c r="F35" s="494">
        <v>4511</v>
      </c>
      <c r="G35" s="466" t="s">
        <v>1692</v>
      </c>
      <c r="H35" s="397"/>
      <c r="I35" s="397"/>
      <c r="J35" s="750" t="e">
        <f t="shared" si="0"/>
        <v>#DIV/0!</v>
      </c>
      <c r="K35" s="398"/>
      <c r="L35" s="398"/>
      <c r="M35" s="399"/>
    </row>
    <row r="36" spans="5:13" ht="19.5" hidden="1" customHeight="1" x14ac:dyDescent="0.2">
      <c r="F36" s="494">
        <v>4512</v>
      </c>
      <c r="G36" s="466" t="s">
        <v>1701</v>
      </c>
      <c r="H36" s="397"/>
      <c r="I36" s="397"/>
      <c r="J36" s="750" t="e">
        <f t="shared" si="0"/>
        <v>#DIV/0!</v>
      </c>
      <c r="K36" s="398"/>
      <c r="L36" s="398"/>
      <c r="M36" s="399"/>
    </row>
    <row r="37" spans="5:13" ht="25.5" hidden="1" x14ac:dyDescent="0.2">
      <c r="F37" s="494">
        <v>452</v>
      </c>
      <c r="G37" s="495" t="s">
        <v>4187</v>
      </c>
      <c r="H37" s="397"/>
      <c r="I37" s="397"/>
      <c r="J37" s="750" t="e">
        <f t="shared" si="0"/>
        <v>#DIV/0!</v>
      </c>
      <c r="K37" s="398"/>
      <c r="L37" s="398"/>
      <c r="M37" s="399"/>
    </row>
    <row r="38" spans="5:13" ht="25.5" hidden="1" x14ac:dyDescent="0.2">
      <c r="F38" s="494">
        <v>453</v>
      </c>
      <c r="G38" s="495" t="s">
        <v>4188</v>
      </c>
      <c r="H38" s="397"/>
      <c r="I38" s="397"/>
      <c r="J38" s="750" t="e">
        <f t="shared" si="0"/>
        <v>#DIV/0!</v>
      </c>
      <c r="K38" s="398"/>
      <c r="L38" s="398"/>
      <c r="M38" s="399"/>
    </row>
    <row r="39" spans="5:13" hidden="1" x14ac:dyDescent="0.2">
      <c r="F39" s="494">
        <v>454</v>
      </c>
      <c r="G39" s="495" t="s">
        <v>3803</v>
      </c>
      <c r="H39" s="397"/>
      <c r="I39" s="397"/>
      <c r="J39" s="750" t="e">
        <f t="shared" si="0"/>
        <v>#DIV/0!</v>
      </c>
      <c r="K39" s="398"/>
      <c r="L39" s="398"/>
      <c r="M39" s="399"/>
    </row>
    <row r="40" spans="5:13" hidden="1" x14ac:dyDescent="0.2">
      <c r="F40" s="494">
        <v>461</v>
      </c>
      <c r="G40" s="495" t="s">
        <v>4169</v>
      </c>
      <c r="H40" s="397"/>
      <c r="I40" s="397"/>
      <c r="J40" s="750" t="e">
        <f t="shared" si="0"/>
        <v>#DIV/0!</v>
      </c>
      <c r="K40" s="398"/>
      <c r="L40" s="398"/>
      <c r="M40" s="399"/>
    </row>
    <row r="41" spans="5:13" ht="25.5" hidden="1" x14ac:dyDescent="0.2">
      <c r="F41" s="494">
        <v>462</v>
      </c>
      <c r="G41" s="495" t="s">
        <v>3806</v>
      </c>
      <c r="H41" s="397"/>
      <c r="I41" s="397"/>
      <c r="J41" s="750" t="e">
        <f t="shared" si="0"/>
        <v>#DIV/0!</v>
      </c>
      <c r="K41" s="398"/>
      <c r="L41" s="398"/>
      <c r="M41" s="399"/>
    </row>
    <row r="42" spans="5:13" hidden="1" x14ac:dyDescent="0.2">
      <c r="F42" s="494">
        <v>4631</v>
      </c>
      <c r="G42" s="495" t="s">
        <v>3807</v>
      </c>
      <c r="H42" s="397"/>
      <c r="I42" s="397"/>
      <c r="J42" s="750" t="e">
        <f t="shared" si="0"/>
        <v>#DIV/0!</v>
      </c>
      <c r="K42" s="398"/>
      <c r="L42" s="398"/>
      <c r="M42" s="399"/>
    </row>
    <row r="43" spans="5:13" hidden="1" x14ac:dyDescent="0.2">
      <c r="F43" s="494">
        <v>4632</v>
      </c>
      <c r="G43" s="495" t="s">
        <v>3808</v>
      </c>
      <c r="H43" s="397"/>
      <c r="I43" s="397"/>
      <c r="J43" s="750" t="e">
        <f t="shared" si="0"/>
        <v>#DIV/0!</v>
      </c>
      <c r="K43" s="398"/>
      <c r="L43" s="398"/>
      <c r="M43" s="399"/>
    </row>
    <row r="44" spans="5:13" ht="25.5" hidden="1" x14ac:dyDescent="0.2">
      <c r="F44" s="494">
        <v>464</v>
      </c>
      <c r="G44" s="495" t="s">
        <v>3809</v>
      </c>
      <c r="H44" s="397"/>
      <c r="I44" s="397"/>
      <c r="J44" s="750" t="e">
        <f t="shared" si="0"/>
        <v>#DIV/0!</v>
      </c>
      <c r="K44" s="398"/>
      <c r="L44" s="398"/>
      <c r="M44" s="399"/>
    </row>
    <row r="45" spans="5:13" x14ac:dyDescent="0.2">
      <c r="F45" s="494">
        <v>465</v>
      </c>
      <c r="G45" s="495" t="s">
        <v>4170</v>
      </c>
      <c r="H45" s="397"/>
      <c r="I45" s="397"/>
      <c r="J45" s="750"/>
      <c r="K45" s="398"/>
      <c r="L45" s="398"/>
      <c r="M45" s="399"/>
    </row>
    <row r="46" spans="5:13" ht="16.5" hidden="1" customHeight="1" x14ac:dyDescent="0.2">
      <c r="F46" s="494">
        <v>472</v>
      </c>
      <c r="G46" s="495" t="s">
        <v>3813</v>
      </c>
      <c r="H46" s="397"/>
      <c r="I46" s="397"/>
      <c r="J46" s="750" t="e">
        <f t="shared" si="0"/>
        <v>#DIV/0!</v>
      </c>
      <c r="K46" s="398"/>
      <c r="L46" s="398"/>
      <c r="M46" s="399"/>
    </row>
    <row r="47" spans="5:13" ht="13.5" thickBot="1" x14ac:dyDescent="0.25">
      <c r="E47" s="464">
        <v>2</v>
      </c>
      <c r="F47" s="494">
        <v>481</v>
      </c>
      <c r="G47" s="495" t="s">
        <v>4189</v>
      </c>
      <c r="H47" s="397">
        <v>199395</v>
      </c>
      <c r="I47" s="397">
        <v>172812.08</v>
      </c>
      <c r="J47" s="750">
        <f t="shared" si="0"/>
        <v>86.668211339301379</v>
      </c>
      <c r="K47" s="398"/>
      <c r="L47" s="398"/>
      <c r="M47" s="399"/>
    </row>
    <row r="48" spans="5:13" ht="13.5" hidden="1" thickBot="1" x14ac:dyDescent="0.25">
      <c r="F48" s="494">
        <v>482</v>
      </c>
      <c r="G48" s="495" t="s">
        <v>4190</v>
      </c>
      <c r="H48" s="397"/>
      <c r="I48" s="397"/>
      <c r="J48" s="750" t="e">
        <f t="shared" si="0"/>
        <v>#DIV/0!</v>
      </c>
      <c r="K48" s="398"/>
      <c r="L48" s="398"/>
      <c r="M48" s="399"/>
    </row>
    <row r="49" spans="6:13" ht="13.5" hidden="1" thickBot="1" x14ac:dyDescent="0.25">
      <c r="F49" s="494">
        <v>483</v>
      </c>
      <c r="G49" s="497" t="s">
        <v>4191</v>
      </c>
      <c r="H49" s="397"/>
      <c r="I49" s="397"/>
      <c r="J49" s="750" t="e">
        <f t="shared" si="0"/>
        <v>#DIV/0!</v>
      </c>
      <c r="K49" s="398"/>
      <c r="L49" s="398"/>
      <c r="M49" s="399"/>
    </row>
    <row r="50" spans="6:13" ht="39" hidden="1" thickBot="1" x14ac:dyDescent="0.25">
      <c r="F50" s="494">
        <v>484</v>
      </c>
      <c r="G50" s="495" t="s">
        <v>4192</v>
      </c>
      <c r="H50" s="397"/>
      <c r="I50" s="397"/>
      <c r="J50" s="750" t="e">
        <f t="shared" si="0"/>
        <v>#DIV/0!</v>
      </c>
      <c r="K50" s="398"/>
      <c r="L50" s="398"/>
      <c r="M50" s="399"/>
    </row>
    <row r="51" spans="6:13" ht="26.25" hidden="1" thickBot="1" x14ac:dyDescent="0.25">
      <c r="F51" s="494">
        <v>485</v>
      </c>
      <c r="G51" s="495" t="s">
        <v>4193</v>
      </c>
      <c r="H51" s="397"/>
      <c r="I51" s="397"/>
      <c r="J51" s="750" t="e">
        <f t="shared" si="0"/>
        <v>#DIV/0!</v>
      </c>
      <c r="K51" s="398"/>
      <c r="L51" s="398"/>
      <c r="M51" s="399"/>
    </row>
    <row r="52" spans="6:13" ht="26.25" hidden="1" thickBot="1" x14ac:dyDescent="0.25">
      <c r="F52" s="494">
        <v>489</v>
      </c>
      <c r="G52" s="495" t="s">
        <v>3821</v>
      </c>
      <c r="H52" s="397"/>
      <c r="I52" s="397"/>
      <c r="J52" s="750" t="e">
        <f t="shared" si="0"/>
        <v>#DIV/0!</v>
      </c>
      <c r="K52" s="398"/>
      <c r="L52" s="398"/>
      <c r="M52" s="399"/>
    </row>
    <row r="53" spans="6:13" ht="26.25" hidden="1" thickBot="1" x14ac:dyDescent="0.25">
      <c r="F53" s="494">
        <v>494</v>
      </c>
      <c r="G53" s="495" t="s">
        <v>4171</v>
      </c>
      <c r="H53" s="397"/>
      <c r="I53" s="397"/>
      <c r="J53" s="750" t="e">
        <f t="shared" si="0"/>
        <v>#DIV/0!</v>
      </c>
      <c r="K53" s="398"/>
      <c r="L53" s="398"/>
      <c r="M53" s="399"/>
    </row>
    <row r="54" spans="6:13" ht="26.25" hidden="1" thickBot="1" x14ac:dyDescent="0.25">
      <c r="F54" s="494">
        <v>495</v>
      </c>
      <c r="G54" s="495" t="s">
        <v>4172</v>
      </c>
      <c r="H54" s="397"/>
      <c r="I54" s="397"/>
      <c r="J54" s="750" t="e">
        <f t="shared" si="0"/>
        <v>#DIV/0!</v>
      </c>
      <c r="K54" s="398"/>
      <c r="L54" s="398"/>
      <c r="M54" s="399"/>
    </row>
    <row r="55" spans="6:13" ht="39" hidden="1" thickBot="1" x14ac:dyDescent="0.25">
      <c r="F55" s="494">
        <v>496</v>
      </c>
      <c r="G55" s="495" t="s">
        <v>4173</v>
      </c>
      <c r="H55" s="397"/>
      <c r="I55" s="397"/>
      <c r="J55" s="750" t="e">
        <f t="shared" si="0"/>
        <v>#DIV/0!</v>
      </c>
      <c r="K55" s="398"/>
      <c r="L55" s="398"/>
      <c r="M55" s="399"/>
    </row>
    <row r="56" spans="6:13" ht="26.25" hidden="1" thickBot="1" x14ac:dyDescent="0.25">
      <c r="F56" s="494">
        <v>499</v>
      </c>
      <c r="G56" s="495" t="s">
        <v>4174</v>
      </c>
      <c r="H56" s="397"/>
      <c r="I56" s="397"/>
      <c r="J56" s="750" t="e">
        <f t="shared" si="0"/>
        <v>#DIV/0!</v>
      </c>
      <c r="K56" s="398"/>
      <c r="L56" s="398"/>
      <c r="M56" s="399"/>
    </row>
    <row r="57" spans="6:13" ht="13.5" hidden="1" thickBot="1" x14ac:dyDescent="0.25">
      <c r="F57" s="494">
        <v>511</v>
      </c>
      <c r="G57" s="497" t="s">
        <v>4194</v>
      </c>
      <c r="H57" s="397"/>
      <c r="I57" s="397"/>
      <c r="J57" s="750" t="e">
        <f t="shared" si="0"/>
        <v>#DIV/0!</v>
      </c>
      <c r="K57" s="398"/>
      <c r="L57" s="398"/>
      <c r="M57" s="399"/>
    </row>
    <row r="58" spans="6:13" ht="13.5" hidden="1" thickBot="1" x14ac:dyDescent="0.25">
      <c r="F58" s="494">
        <v>512</v>
      </c>
      <c r="G58" s="497" t="s">
        <v>4195</v>
      </c>
      <c r="H58" s="397"/>
      <c r="I58" s="397"/>
      <c r="J58" s="750" t="e">
        <f t="shared" si="0"/>
        <v>#DIV/0!</v>
      </c>
      <c r="K58" s="398"/>
      <c r="L58" s="398"/>
      <c r="M58" s="399"/>
    </row>
    <row r="59" spans="6:13" ht="13.5" hidden="1" thickBot="1" x14ac:dyDescent="0.25">
      <c r="F59" s="494">
        <v>513</v>
      </c>
      <c r="G59" s="497" t="s">
        <v>4196</v>
      </c>
      <c r="H59" s="397"/>
      <c r="I59" s="397"/>
      <c r="J59" s="750" t="e">
        <f t="shared" si="0"/>
        <v>#DIV/0!</v>
      </c>
      <c r="K59" s="398"/>
      <c r="L59" s="398"/>
      <c r="M59" s="399"/>
    </row>
    <row r="60" spans="6:13" ht="13.5" hidden="1" thickBot="1" x14ac:dyDescent="0.25">
      <c r="F60" s="494">
        <v>514</v>
      </c>
      <c r="G60" s="495" t="s">
        <v>4197</v>
      </c>
      <c r="H60" s="397"/>
      <c r="I60" s="397"/>
      <c r="J60" s="750" t="e">
        <f t="shared" si="0"/>
        <v>#DIV/0!</v>
      </c>
      <c r="K60" s="398"/>
      <c r="L60" s="398"/>
      <c r="M60" s="399"/>
    </row>
    <row r="61" spans="6:13" ht="13.5" hidden="1" thickBot="1" x14ac:dyDescent="0.25">
      <c r="F61" s="494">
        <v>515</v>
      </c>
      <c r="G61" s="495" t="s">
        <v>3832</v>
      </c>
      <c r="H61" s="397"/>
      <c r="I61" s="397"/>
      <c r="J61" s="750" t="e">
        <f t="shared" si="0"/>
        <v>#DIV/0!</v>
      </c>
      <c r="K61" s="398"/>
      <c r="L61" s="398"/>
      <c r="M61" s="399"/>
    </row>
    <row r="62" spans="6:13" ht="13.5" hidden="1" thickBot="1" x14ac:dyDescent="0.25">
      <c r="F62" s="494">
        <v>521</v>
      </c>
      <c r="G62" s="495" t="s">
        <v>4198</v>
      </c>
      <c r="H62" s="397"/>
      <c r="I62" s="397"/>
      <c r="J62" s="750" t="e">
        <f t="shared" si="0"/>
        <v>#DIV/0!</v>
      </c>
      <c r="K62" s="398"/>
      <c r="L62" s="398"/>
      <c r="M62" s="399"/>
    </row>
    <row r="63" spans="6:13" ht="13.5" hidden="1" thickBot="1" x14ac:dyDescent="0.25">
      <c r="F63" s="494">
        <v>522</v>
      </c>
      <c r="G63" s="495" t="s">
        <v>4199</v>
      </c>
      <c r="H63" s="397"/>
      <c r="I63" s="397"/>
      <c r="J63" s="750" t="e">
        <f t="shared" si="0"/>
        <v>#DIV/0!</v>
      </c>
      <c r="K63" s="398"/>
      <c r="L63" s="398"/>
      <c r="M63" s="399"/>
    </row>
    <row r="64" spans="6:13" ht="13.5" hidden="1" thickBot="1" x14ac:dyDescent="0.25">
      <c r="F64" s="494">
        <v>523</v>
      </c>
      <c r="G64" s="495" t="s">
        <v>3837</v>
      </c>
      <c r="H64" s="397"/>
      <c r="I64" s="397"/>
      <c r="J64" s="750" t="e">
        <f t="shared" si="0"/>
        <v>#DIV/0!</v>
      </c>
      <c r="K64" s="398"/>
      <c r="L64" s="398"/>
      <c r="M64" s="399"/>
    </row>
    <row r="65" spans="5:13" ht="13.5" hidden="1" thickBot="1" x14ac:dyDescent="0.25">
      <c r="F65" s="494">
        <v>531</v>
      </c>
      <c r="G65" s="496" t="s">
        <v>4175</v>
      </c>
      <c r="H65" s="397"/>
      <c r="I65" s="397"/>
      <c r="J65" s="750" t="e">
        <f t="shared" si="0"/>
        <v>#DIV/0!</v>
      </c>
      <c r="K65" s="398"/>
      <c r="L65" s="398"/>
      <c r="M65" s="399"/>
    </row>
    <row r="66" spans="5:13" ht="13.5" hidden="1" thickBot="1" x14ac:dyDescent="0.25">
      <c r="F66" s="494">
        <v>541</v>
      </c>
      <c r="G66" s="495" t="s">
        <v>4200</v>
      </c>
      <c r="H66" s="397"/>
      <c r="I66" s="397"/>
      <c r="J66" s="750" t="e">
        <f t="shared" si="0"/>
        <v>#DIV/0!</v>
      </c>
      <c r="K66" s="398"/>
      <c r="L66" s="398"/>
      <c r="M66" s="399"/>
    </row>
    <row r="67" spans="5:13" ht="13.5" hidden="1" thickBot="1" x14ac:dyDescent="0.25">
      <c r="F67" s="494">
        <v>542</v>
      </c>
      <c r="G67" s="495" t="s">
        <v>4201</v>
      </c>
      <c r="H67" s="397"/>
      <c r="I67" s="397"/>
      <c r="J67" s="750" t="e">
        <f t="shared" si="0"/>
        <v>#DIV/0!</v>
      </c>
      <c r="K67" s="398"/>
      <c r="L67" s="398"/>
      <c r="M67" s="399"/>
    </row>
    <row r="68" spans="5:13" ht="13.5" hidden="1" thickBot="1" x14ac:dyDescent="0.25">
      <c r="F68" s="494">
        <v>543</v>
      </c>
      <c r="G68" s="495" t="s">
        <v>3842</v>
      </c>
      <c r="H68" s="397"/>
      <c r="I68" s="397"/>
      <c r="J68" s="750" t="e">
        <f t="shared" si="0"/>
        <v>#DIV/0!</v>
      </c>
      <c r="K68" s="398"/>
      <c r="L68" s="398"/>
      <c r="M68" s="399"/>
    </row>
    <row r="69" spans="5:13" ht="39" hidden="1" thickBot="1" x14ac:dyDescent="0.25">
      <c r="F69" s="494">
        <v>551</v>
      </c>
      <c r="G69" s="495" t="s">
        <v>4176</v>
      </c>
      <c r="H69" s="397"/>
      <c r="I69" s="397"/>
      <c r="J69" s="750" t="e">
        <f t="shared" si="0"/>
        <v>#DIV/0!</v>
      </c>
      <c r="K69" s="398"/>
      <c r="L69" s="398"/>
      <c r="M69" s="399"/>
    </row>
    <row r="70" spans="5:13" ht="13.5" hidden="1" thickBot="1" x14ac:dyDescent="0.25">
      <c r="F70" s="498">
        <v>611</v>
      </c>
      <c r="G70" s="499" t="s">
        <v>3848</v>
      </c>
      <c r="H70" s="397"/>
      <c r="I70" s="397"/>
      <c r="J70" s="750" t="e">
        <f t="shared" si="0"/>
        <v>#DIV/0!</v>
      </c>
      <c r="K70" s="398"/>
      <c r="L70" s="398"/>
      <c r="M70" s="399"/>
    </row>
    <row r="71" spans="5:13" ht="13.5" hidden="1" thickBot="1" x14ac:dyDescent="0.25">
      <c r="F71" s="498">
        <v>620</v>
      </c>
      <c r="G71" s="499" t="s">
        <v>88</v>
      </c>
      <c r="H71" s="397"/>
      <c r="I71" s="397"/>
      <c r="J71" s="750" t="e">
        <f t="shared" si="0"/>
        <v>#DIV/0!</v>
      </c>
      <c r="K71" s="398"/>
      <c r="L71" s="398"/>
      <c r="M71" s="399"/>
    </row>
    <row r="72" spans="5:13" x14ac:dyDescent="0.2">
      <c r="E72" s="500"/>
      <c r="F72" s="498"/>
      <c r="G72" s="501" t="s">
        <v>4342</v>
      </c>
      <c r="H72" s="400"/>
      <c r="I72" s="400"/>
      <c r="J72" s="750"/>
      <c r="K72" s="401"/>
      <c r="L72" s="402"/>
      <c r="M72" s="399"/>
    </row>
    <row r="73" spans="5:13" ht="17.25" customHeight="1" thickBot="1" x14ac:dyDescent="0.25">
      <c r="E73" s="502"/>
      <c r="F73" s="503" t="s">
        <v>234</v>
      </c>
      <c r="G73" s="504" t="s">
        <v>235</v>
      </c>
      <c r="H73" s="403">
        <f>SUM(H12:H47)</f>
        <v>3291864</v>
      </c>
      <c r="I73" s="403">
        <f>SUM(I22:I47)</f>
        <v>3033990.63</v>
      </c>
      <c r="J73" s="750">
        <f t="shared" si="0"/>
        <v>92.166341926640953</v>
      </c>
      <c r="K73" s="404"/>
      <c r="L73" s="404"/>
      <c r="M73" s="399"/>
    </row>
    <row r="74" spans="5:13" ht="13.5" hidden="1" thickBot="1" x14ac:dyDescent="0.25">
      <c r="F74" s="503" t="s">
        <v>236</v>
      </c>
      <c r="G74" s="504" t="s">
        <v>237</v>
      </c>
      <c r="H74" s="397"/>
      <c r="I74" s="397"/>
      <c r="J74" s="750" t="e">
        <f t="shared" si="0"/>
        <v>#DIV/0!</v>
      </c>
      <c r="K74" s="398"/>
      <c r="L74" s="404"/>
      <c r="M74" s="399"/>
    </row>
    <row r="75" spans="5:13" ht="13.5" hidden="1" thickBot="1" x14ac:dyDescent="0.25">
      <c r="F75" s="503" t="s">
        <v>238</v>
      </c>
      <c r="G75" s="504" t="s">
        <v>239</v>
      </c>
      <c r="H75" s="397"/>
      <c r="I75" s="397"/>
      <c r="J75" s="750" t="e">
        <f t="shared" si="0"/>
        <v>#DIV/0!</v>
      </c>
      <c r="K75" s="398"/>
      <c r="L75" s="404"/>
      <c r="M75" s="399"/>
    </row>
    <row r="76" spans="5:13" ht="13.5" hidden="1" thickBot="1" x14ac:dyDescent="0.25">
      <c r="F76" s="503" t="s">
        <v>240</v>
      </c>
      <c r="G76" s="504" t="s">
        <v>241</v>
      </c>
      <c r="H76" s="397"/>
      <c r="I76" s="397"/>
      <c r="J76" s="750" t="e">
        <f t="shared" si="0"/>
        <v>#DIV/0!</v>
      </c>
      <c r="K76" s="398"/>
      <c r="L76" s="404"/>
      <c r="M76" s="399"/>
    </row>
    <row r="77" spans="5:13" ht="13.5" hidden="1" thickBot="1" x14ac:dyDescent="0.25">
      <c r="F77" s="503" t="s">
        <v>242</v>
      </c>
      <c r="G77" s="504" t="s">
        <v>243</v>
      </c>
      <c r="H77" s="397"/>
      <c r="I77" s="397"/>
      <c r="J77" s="750" t="e">
        <f t="shared" ref="J77:J107" si="1">SUM(I77/H77)*100</f>
        <v>#DIV/0!</v>
      </c>
      <c r="K77" s="398"/>
      <c r="L77" s="404"/>
      <c r="M77" s="399"/>
    </row>
    <row r="78" spans="5:13" ht="13.5" hidden="1" thickBot="1" x14ac:dyDescent="0.25">
      <c r="F78" s="503" t="s">
        <v>244</v>
      </c>
      <c r="G78" s="504" t="s">
        <v>245</v>
      </c>
      <c r="H78" s="397"/>
      <c r="I78" s="397"/>
      <c r="J78" s="750" t="e">
        <f t="shared" si="1"/>
        <v>#DIV/0!</v>
      </c>
      <c r="K78" s="398"/>
      <c r="L78" s="404"/>
      <c r="M78" s="399"/>
    </row>
    <row r="79" spans="5:13" ht="13.5" hidden="1" thickBot="1" x14ac:dyDescent="0.25">
      <c r="F79" s="503" t="s">
        <v>246</v>
      </c>
      <c r="G79" s="504" t="s">
        <v>247</v>
      </c>
      <c r="H79" s="397"/>
      <c r="I79" s="397"/>
      <c r="J79" s="750" t="e">
        <f t="shared" si="1"/>
        <v>#DIV/0!</v>
      </c>
      <c r="K79" s="398"/>
      <c r="L79" s="404"/>
      <c r="M79" s="399"/>
    </row>
    <row r="80" spans="5:13" ht="26.25" hidden="1" thickBot="1" x14ac:dyDescent="0.25">
      <c r="F80" s="503" t="s">
        <v>248</v>
      </c>
      <c r="G80" s="504" t="s">
        <v>249</v>
      </c>
      <c r="H80" s="397"/>
      <c r="I80" s="397"/>
      <c r="J80" s="750" t="e">
        <f t="shared" si="1"/>
        <v>#DIV/0!</v>
      </c>
      <c r="K80" s="398"/>
      <c r="L80" s="404"/>
      <c r="M80" s="399"/>
    </row>
    <row r="81" spans="5:13" ht="13.5" hidden="1" thickBot="1" x14ac:dyDescent="0.25">
      <c r="F81" s="503" t="s">
        <v>250</v>
      </c>
      <c r="G81" s="504" t="s">
        <v>57</v>
      </c>
      <c r="H81" s="397"/>
      <c r="I81" s="397"/>
      <c r="J81" s="750" t="e">
        <f t="shared" si="1"/>
        <v>#DIV/0!</v>
      </c>
      <c r="K81" s="398"/>
      <c r="L81" s="404"/>
      <c r="M81" s="399"/>
    </row>
    <row r="82" spans="5:13" ht="13.5" hidden="1" thickBot="1" x14ac:dyDescent="0.25">
      <c r="F82" s="503" t="s">
        <v>251</v>
      </c>
      <c r="G82" s="504" t="s">
        <v>252</v>
      </c>
      <c r="H82" s="397"/>
      <c r="I82" s="397"/>
      <c r="J82" s="750" t="e">
        <f t="shared" si="1"/>
        <v>#DIV/0!</v>
      </c>
      <c r="K82" s="398"/>
      <c r="L82" s="404"/>
      <c r="M82" s="399"/>
    </row>
    <row r="83" spans="5:13" ht="13.5" hidden="1" thickBot="1" x14ac:dyDescent="0.25">
      <c r="F83" s="503" t="s">
        <v>253</v>
      </c>
      <c r="G83" s="504" t="s">
        <v>254</v>
      </c>
      <c r="H83" s="397"/>
      <c r="I83" s="397"/>
      <c r="J83" s="750" t="e">
        <f t="shared" si="1"/>
        <v>#DIV/0!</v>
      </c>
      <c r="K83" s="398"/>
      <c r="L83" s="404"/>
      <c r="M83" s="399"/>
    </row>
    <row r="84" spans="5:13" ht="26.25" hidden="1" thickBot="1" x14ac:dyDescent="0.25">
      <c r="F84" s="503" t="s">
        <v>255</v>
      </c>
      <c r="G84" s="504" t="s">
        <v>256</v>
      </c>
      <c r="H84" s="397"/>
      <c r="I84" s="397"/>
      <c r="J84" s="750" t="e">
        <f t="shared" si="1"/>
        <v>#DIV/0!</v>
      </c>
      <c r="K84" s="398"/>
      <c r="L84" s="404"/>
      <c r="M84" s="399"/>
    </row>
    <row r="85" spans="5:13" ht="26.25" hidden="1" thickBot="1" x14ac:dyDescent="0.25">
      <c r="F85" s="503" t="s">
        <v>257</v>
      </c>
      <c r="G85" s="504" t="s">
        <v>258</v>
      </c>
      <c r="H85" s="397"/>
      <c r="I85" s="397"/>
      <c r="J85" s="750" t="e">
        <f t="shared" si="1"/>
        <v>#DIV/0!</v>
      </c>
      <c r="K85" s="398"/>
      <c r="L85" s="404"/>
      <c r="M85" s="399"/>
    </row>
    <row r="86" spans="5:13" ht="26.25" hidden="1" thickBot="1" x14ac:dyDescent="0.25">
      <c r="F86" s="503" t="s">
        <v>259</v>
      </c>
      <c r="G86" s="504" t="s">
        <v>260</v>
      </c>
      <c r="H86" s="397"/>
      <c r="I86" s="397"/>
      <c r="J86" s="750" t="e">
        <f t="shared" si="1"/>
        <v>#DIV/0!</v>
      </c>
      <c r="K86" s="398"/>
      <c r="L86" s="404"/>
      <c r="M86" s="399"/>
    </row>
    <row r="87" spans="5:13" ht="26.25" hidden="1" thickBot="1" x14ac:dyDescent="0.25">
      <c r="F87" s="503" t="s">
        <v>261</v>
      </c>
      <c r="G87" s="504" t="s">
        <v>262</v>
      </c>
      <c r="H87" s="397"/>
      <c r="I87" s="397"/>
      <c r="J87" s="750" t="e">
        <f t="shared" si="1"/>
        <v>#DIV/0!</v>
      </c>
      <c r="K87" s="398"/>
      <c r="L87" s="404"/>
      <c r="M87" s="399"/>
    </row>
    <row r="88" spans="5:13" ht="13.5" hidden="1" thickBot="1" x14ac:dyDescent="0.25">
      <c r="F88" s="503" t="s">
        <v>263</v>
      </c>
      <c r="G88" s="504" t="s">
        <v>264</v>
      </c>
      <c r="H88" s="403"/>
      <c r="I88" s="403"/>
      <c r="J88" s="750" t="e">
        <f t="shared" si="1"/>
        <v>#DIV/0!</v>
      </c>
      <c r="K88" s="404"/>
      <c r="L88" s="404"/>
      <c r="M88" s="399"/>
    </row>
    <row r="89" spans="5:13" ht="13.5" thickBot="1" x14ac:dyDescent="0.25">
      <c r="G89" s="505" t="s">
        <v>4281</v>
      </c>
      <c r="H89" s="405">
        <f>SUM(H73:H88)</f>
        <v>3291864</v>
      </c>
      <c r="I89" s="405">
        <f>SUM(I73)</f>
        <v>3033990.63</v>
      </c>
      <c r="J89" s="750">
        <f t="shared" si="1"/>
        <v>92.166341926640953</v>
      </c>
      <c r="K89" s="406">
        <f>SUM(K74:K88)</f>
        <v>0</v>
      </c>
      <c r="L89" s="406"/>
      <c r="M89" s="399"/>
    </row>
    <row r="90" spans="5:13" ht="16.5" customHeight="1" collapsed="1" x14ac:dyDescent="0.2">
      <c r="E90" s="500"/>
      <c r="F90" s="498"/>
      <c r="G90" s="506" t="s">
        <v>4283</v>
      </c>
      <c r="H90" s="407"/>
      <c r="I90" s="408"/>
      <c r="J90" s="750"/>
      <c r="K90" s="409"/>
      <c r="L90" s="410"/>
      <c r="M90" s="399"/>
    </row>
    <row r="91" spans="5:13" ht="13.5" thickBot="1" x14ac:dyDescent="0.25">
      <c r="E91" s="502"/>
      <c r="F91" s="503" t="s">
        <v>234</v>
      </c>
      <c r="G91" s="504" t="s">
        <v>235</v>
      </c>
      <c r="H91" s="403">
        <f>SUM(H12:H71)</f>
        <v>3291864</v>
      </c>
      <c r="I91" s="403">
        <f>SUM(I89)</f>
        <v>3033990.63</v>
      </c>
      <c r="J91" s="750">
        <f t="shared" si="1"/>
        <v>92.166341926640953</v>
      </c>
      <c r="K91" s="404"/>
      <c r="L91" s="404"/>
      <c r="M91" s="399"/>
    </row>
    <row r="92" spans="5:13" ht="13.5" hidden="1" thickBot="1" x14ac:dyDescent="0.25">
      <c r="F92" s="503" t="s">
        <v>236</v>
      </c>
      <c r="G92" s="504" t="s">
        <v>237</v>
      </c>
      <c r="H92" s="397"/>
      <c r="I92" s="397"/>
      <c r="J92" s="750" t="e">
        <f t="shared" si="1"/>
        <v>#DIV/0!</v>
      </c>
      <c r="K92" s="398"/>
      <c r="L92" s="404"/>
      <c r="M92" s="399"/>
    </row>
    <row r="93" spans="5:13" ht="13.5" hidden="1" thickBot="1" x14ac:dyDescent="0.25">
      <c r="F93" s="503" t="s">
        <v>238</v>
      </c>
      <c r="G93" s="504" t="s">
        <v>239</v>
      </c>
      <c r="H93" s="397"/>
      <c r="I93" s="397"/>
      <c r="J93" s="750" t="e">
        <f t="shared" si="1"/>
        <v>#DIV/0!</v>
      </c>
      <c r="K93" s="398"/>
      <c r="L93" s="404"/>
      <c r="M93" s="399"/>
    </row>
    <row r="94" spans="5:13" ht="13.5" hidden="1" thickBot="1" x14ac:dyDescent="0.25">
      <c r="F94" s="503" t="s">
        <v>240</v>
      </c>
      <c r="G94" s="504" t="s">
        <v>241</v>
      </c>
      <c r="H94" s="397"/>
      <c r="I94" s="397"/>
      <c r="J94" s="750" t="e">
        <f t="shared" si="1"/>
        <v>#DIV/0!</v>
      </c>
      <c r="K94" s="398"/>
      <c r="L94" s="404"/>
      <c r="M94" s="399"/>
    </row>
    <row r="95" spans="5:13" ht="13.5" hidden="1" thickBot="1" x14ac:dyDescent="0.25">
      <c r="F95" s="503" t="s">
        <v>242</v>
      </c>
      <c r="G95" s="504" t="s">
        <v>243</v>
      </c>
      <c r="H95" s="397"/>
      <c r="I95" s="397"/>
      <c r="J95" s="750" t="e">
        <f t="shared" si="1"/>
        <v>#DIV/0!</v>
      </c>
      <c r="K95" s="398"/>
      <c r="L95" s="404"/>
      <c r="M95" s="399"/>
    </row>
    <row r="96" spans="5:13" ht="13.5" hidden="1" thickBot="1" x14ac:dyDescent="0.25">
      <c r="F96" s="503" t="s">
        <v>244</v>
      </c>
      <c r="G96" s="504" t="s">
        <v>245</v>
      </c>
      <c r="H96" s="397"/>
      <c r="I96" s="397"/>
      <c r="J96" s="750" t="e">
        <f t="shared" si="1"/>
        <v>#DIV/0!</v>
      </c>
      <c r="K96" s="398"/>
      <c r="L96" s="404"/>
      <c r="M96" s="399"/>
    </row>
    <row r="97" spans="3:13" ht="13.5" hidden="1" thickBot="1" x14ac:dyDescent="0.25">
      <c r="F97" s="503" t="s">
        <v>246</v>
      </c>
      <c r="G97" s="504" t="s">
        <v>247</v>
      </c>
      <c r="H97" s="397"/>
      <c r="I97" s="397"/>
      <c r="J97" s="750" t="e">
        <f t="shared" si="1"/>
        <v>#DIV/0!</v>
      </c>
      <c r="K97" s="398"/>
      <c r="L97" s="404"/>
      <c r="M97" s="399"/>
    </row>
    <row r="98" spans="3:13" ht="26.25" hidden="1" thickBot="1" x14ac:dyDescent="0.25">
      <c r="F98" s="503" t="s">
        <v>248</v>
      </c>
      <c r="G98" s="504" t="s">
        <v>249</v>
      </c>
      <c r="H98" s="397"/>
      <c r="I98" s="397"/>
      <c r="J98" s="750" t="e">
        <f t="shared" si="1"/>
        <v>#DIV/0!</v>
      </c>
      <c r="K98" s="398"/>
      <c r="L98" s="404"/>
      <c r="M98" s="399"/>
    </row>
    <row r="99" spans="3:13" ht="13.5" hidden="1" thickBot="1" x14ac:dyDescent="0.25">
      <c r="F99" s="503" t="s">
        <v>250</v>
      </c>
      <c r="G99" s="504" t="s">
        <v>57</v>
      </c>
      <c r="H99" s="397"/>
      <c r="I99" s="397"/>
      <c r="J99" s="750" t="e">
        <f t="shared" si="1"/>
        <v>#DIV/0!</v>
      </c>
      <c r="K99" s="398"/>
      <c r="L99" s="404"/>
      <c r="M99" s="399"/>
    </row>
    <row r="100" spans="3:13" ht="13.5" hidden="1" thickBot="1" x14ac:dyDescent="0.25">
      <c r="F100" s="503" t="s">
        <v>251</v>
      </c>
      <c r="G100" s="504" t="s">
        <v>252</v>
      </c>
      <c r="H100" s="397"/>
      <c r="I100" s="397"/>
      <c r="J100" s="750" t="e">
        <f t="shared" si="1"/>
        <v>#DIV/0!</v>
      </c>
      <c r="K100" s="398"/>
      <c r="L100" s="404"/>
      <c r="M100" s="399"/>
    </row>
    <row r="101" spans="3:13" ht="13.5" hidden="1" thickBot="1" x14ac:dyDescent="0.25">
      <c r="F101" s="503" t="s">
        <v>253</v>
      </c>
      <c r="G101" s="504" t="s">
        <v>254</v>
      </c>
      <c r="H101" s="397"/>
      <c r="I101" s="397"/>
      <c r="J101" s="750" t="e">
        <f t="shared" si="1"/>
        <v>#DIV/0!</v>
      </c>
      <c r="K101" s="398"/>
      <c r="L101" s="404"/>
      <c r="M101" s="399"/>
    </row>
    <row r="102" spans="3:13" ht="26.25" hidden="1" thickBot="1" x14ac:dyDescent="0.25">
      <c r="F102" s="503" t="s">
        <v>255</v>
      </c>
      <c r="G102" s="504" t="s">
        <v>256</v>
      </c>
      <c r="H102" s="397"/>
      <c r="I102" s="397"/>
      <c r="J102" s="750" t="e">
        <f t="shared" si="1"/>
        <v>#DIV/0!</v>
      </c>
      <c r="K102" s="398"/>
      <c r="L102" s="404"/>
      <c r="M102" s="399"/>
    </row>
    <row r="103" spans="3:13" ht="26.25" hidden="1" thickBot="1" x14ac:dyDescent="0.25">
      <c r="F103" s="503" t="s">
        <v>257</v>
      </c>
      <c r="G103" s="504" t="s">
        <v>258</v>
      </c>
      <c r="H103" s="397"/>
      <c r="I103" s="397"/>
      <c r="J103" s="750" t="e">
        <f t="shared" si="1"/>
        <v>#DIV/0!</v>
      </c>
      <c r="K103" s="398"/>
      <c r="L103" s="404"/>
      <c r="M103" s="399"/>
    </row>
    <row r="104" spans="3:13" ht="26.25" hidden="1" thickBot="1" x14ac:dyDescent="0.25">
      <c r="F104" s="503" t="s">
        <v>259</v>
      </c>
      <c r="G104" s="504" t="s">
        <v>260</v>
      </c>
      <c r="H104" s="397"/>
      <c r="I104" s="397"/>
      <c r="J104" s="750" t="e">
        <f t="shared" si="1"/>
        <v>#DIV/0!</v>
      </c>
      <c r="K104" s="398"/>
      <c r="L104" s="404"/>
      <c r="M104" s="399"/>
    </row>
    <row r="105" spans="3:13" ht="26.25" hidden="1" thickBot="1" x14ac:dyDescent="0.25">
      <c r="F105" s="503" t="s">
        <v>261</v>
      </c>
      <c r="G105" s="504" t="s">
        <v>262</v>
      </c>
      <c r="H105" s="397"/>
      <c r="I105" s="397"/>
      <c r="J105" s="750" t="e">
        <f t="shared" si="1"/>
        <v>#DIV/0!</v>
      </c>
      <c r="K105" s="398"/>
      <c r="L105" s="404"/>
      <c r="M105" s="399"/>
    </row>
    <row r="106" spans="3:13" ht="13.5" hidden="1" thickBot="1" x14ac:dyDescent="0.25">
      <c r="F106" s="503" t="s">
        <v>263</v>
      </c>
      <c r="G106" s="504" t="s">
        <v>264</v>
      </c>
      <c r="H106" s="403"/>
      <c r="I106" s="403"/>
      <c r="J106" s="750" t="e">
        <f t="shared" si="1"/>
        <v>#DIV/0!</v>
      </c>
      <c r="K106" s="404"/>
      <c r="L106" s="404"/>
      <c r="M106" s="399"/>
    </row>
    <row r="107" spans="3:13" ht="13.5" collapsed="1" thickBot="1" x14ac:dyDescent="0.25">
      <c r="G107" s="505" t="s">
        <v>4282</v>
      </c>
      <c r="H107" s="405">
        <f>SUM(H91:H106)</f>
        <v>3291864</v>
      </c>
      <c r="I107" s="405">
        <f>SUM(I91)</f>
        <v>3033990.63</v>
      </c>
      <c r="J107" s="750">
        <f t="shared" si="1"/>
        <v>92.166341926640953</v>
      </c>
      <c r="K107" s="406">
        <f>SUM(K92:K106)</f>
        <v>0</v>
      </c>
      <c r="L107" s="406"/>
      <c r="M107" s="399"/>
    </row>
    <row r="108" spans="3:13" collapsed="1" x14ac:dyDescent="0.2">
      <c r="H108" s="397"/>
      <c r="I108" s="397"/>
      <c r="J108" s="750"/>
      <c r="K108" s="398"/>
      <c r="L108" s="398"/>
      <c r="M108" s="399"/>
    </row>
    <row r="109" spans="3:13" hidden="1" x14ac:dyDescent="0.2">
      <c r="C109" s="489" t="s">
        <v>4930</v>
      </c>
      <c r="D109" s="490"/>
      <c r="G109" s="508" t="s">
        <v>5064</v>
      </c>
      <c r="H109" s="397"/>
      <c r="I109" s="397"/>
      <c r="J109" s="750"/>
      <c r="K109" s="398"/>
      <c r="L109" s="398"/>
      <c r="M109" s="399"/>
    </row>
    <row r="110" spans="3:13" ht="25.5" hidden="1" x14ac:dyDescent="0.2">
      <c r="C110" s="489"/>
      <c r="D110" s="492">
        <v>110</v>
      </c>
      <c r="E110" s="492"/>
      <c r="F110" s="492"/>
      <c r="G110" s="493" t="s">
        <v>105</v>
      </c>
      <c r="H110" s="397"/>
      <c r="I110" s="397"/>
      <c r="J110" s="750"/>
      <c r="K110" s="398"/>
      <c r="L110" s="398"/>
      <c r="M110" s="399"/>
    </row>
    <row r="111" spans="3:13" hidden="1" x14ac:dyDescent="0.2">
      <c r="F111" s="494">
        <v>411</v>
      </c>
      <c r="G111" s="495" t="s">
        <v>4167</v>
      </c>
      <c r="H111" s="397"/>
      <c r="I111" s="397"/>
      <c r="J111" s="750"/>
      <c r="K111" s="398"/>
      <c r="L111" s="398"/>
      <c r="M111" s="399"/>
    </row>
    <row r="112" spans="3:13" hidden="1" x14ac:dyDescent="0.2">
      <c r="F112" s="494">
        <v>412</v>
      </c>
      <c r="G112" s="496" t="s">
        <v>3764</v>
      </c>
      <c r="H112" s="397"/>
      <c r="I112" s="397"/>
      <c r="J112" s="750"/>
      <c r="K112" s="398"/>
      <c r="L112" s="398"/>
      <c r="M112" s="399"/>
    </row>
    <row r="113" spans="6:13" hidden="1" x14ac:dyDescent="0.2">
      <c r="F113" s="494">
        <v>413</v>
      </c>
      <c r="G113" s="495" t="s">
        <v>4168</v>
      </c>
      <c r="H113" s="397"/>
      <c r="I113" s="397"/>
      <c r="J113" s="750"/>
      <c r="K113" s="398"/>
      <c r="L113" s="398"/>
      <c r="M113" s="399"/>
    </row>
    <row r="114" spans="6:13" hidden="1" x14ac:dyDescent="0.2">
      <c r="F114" s="494">
        <v>414</v>
      </c>
      <c r="G114" s="495" t="s">
        <v>3767</v>
      </c>
      <c r="H114" s="397"/>
      <c r="I114" s="397"/>
      <c r="J114" s="750"/>
      <c r="K114" s="398"/>
      <c r="L114" s="398"/>
      <c r="M114" s="399"/>
    </row>
    <row r="115" spans="6:13" hidden="1" x14ac:dyDescent="0.2">
      <c r="F115" s="494">
        <v>415</v>
      </c>
      <c r="G115" s="495" t="s">
        <v>4177</v>
      </c>
      <c r="H115" s="397"/>
      <c r="I115" s="397"/>
      <c r="J115" s="750"/>
      <c r="K115" s="398"/>
      <c r="L115" s="398"/>
      <c r="M115" s="399"/>
    </row>
    <row r="116" spans="6:13" ht="25.5" hidden="1" x14ac:dyDescent="0.2">
      <c r="F116" s="494">
        <v>416</v>
      </c>
      <c r="G116" s="495" t="s">
        <v>4178</v>
      </c>
      <c r="H116" s="397"/>
      <c r="I116" s="397"/>
      <c r="J116" s="750"/>
      <c r="K116" s="398"/>
      <c r="L116" s="398"/>
      <c r="M116" s="399"/>
    </row>
    <row r="117" spans="6:13" hidden="1" x14ac:dyDescent="0.2">
      <c r="F117" s="494">
        <v>417</v>
      </c>
      <c r="G117" s="495" t="s">
        <v>4179</v>
      </c>
      <c r="H117" s="397"/>
      <c r="I117" s="397"/>
      <c r="J117" s="750"/>
      <c r="K117" s="398"/>
      <c r="L117" s="398"/>
      <c r="M117" s="399"/>
    </row>
    <row r="118" spans="6:13" hidden="1" x14ac:dyDescent="0.2">
      <c r="F118" s="494">
        <v>418</v>
      </c>
      <c r="G118" s="495" t="s">
        <v>3773</v>
      </c>
      <c r="H118" s="397"/>
      <c r="I118" s="397"/>
      <c r="J118" s="750"/>
      <c r="K118" s="398"/>
      <c r="L118" s="398"/>
      <c r="M118" s="399"/>
    </row>
    <row r="119" spans="6:13" hidden="1" x14ac:dyDescent="0.2">
      <c r="F119" s="494">
        <v>421</v>
      </c>
      <c r="G119" s="495" t="s">
        <v>3777</v>
      </c>
      <c r="H119" s="397"/>
      <c r="I119" s="397"/>
      <c r="J119" s="750"/>
      <c r="K119" s="398"/>
      <c r="L119" s="398"/>
      <c r="M119" s="399"/>
    </row>
    <row r="120" spans="6:13" hidden="1" x14ac:dyDescent="0.2">
      <c r="F120" s="494">
        <v>422</v>
      </c>
      <c r="G120" s="495" t="s">
        <v>3778</v>
      </c>
      <c r="H120" s="397"/>
      <c r="I120" s="397"/>
      <c r="J120" s="750"/>
      <c r="K120" s="398"/>
      <c r="L120" s="398"/>
      <c r="M120" s="399"/>
    </row>
    <row r="121" spans="6:13" hidden="1" x14ac:dyDescent="0.2">
      <c r="F121" s="494">
        <v>423</v>
      </c>
      <c r="G121" s="495" t="s">
        <v>3779</v>
      </c>
      <c r="H121" s="397"/>
      <c r="I121" s="397"/>
      <c r="J121" s="750"/>
      <c r="K121" s="398"/>
      <c r="L121" s="398"/>
      <c r="M121" s="399"/>
    </row>
    <row r="122" spans="6:13" hidden="1" x14ac:dyDescent="0.2">
      <c r="F122" s="494">
        <v>424</v>
      </c>
      <c r="G122" s="495" t="s">
        <v>3781</v>
      </c>
      <c r="H122" s="397"/>
      <c r="I122" s="397"/>
      <c r="J122" s="750"/>
      <c r="K122" s="398"/>
      <c r="L122" s="398"/>
      <c r="M122" s="399"/>
    </row>
    <row r="123" spans="6:13" hidden="1" x14ac:dyDescent="0.2">
      <c r="F123" s="494">
        <v>425</v>
      </c>
      <c r="G123" s="495" t="s">
        <v>4180</v>
      </c>
      <c r="H123" s="397"/>
      <c r="I123" s="397"/>
      <c r="J123" s="750"/>
      <c r="K123" s="398"/>
      <c r="L123" s="398"/>
      <c r="M123" s="399"/>
    </row>
    <row r="124" spans="6:13" hidden="1" x14ac:dyDescent="0.2">
      <c r="F124" s="494">
        <v>426</v>
      </c>
      <c r="G124" s="495" t="s">
        <v>3785</v>
      </c>
      <c r="H124" s="397"/>
      <c r="I124" s="397"/>
      <c r="J124" s="750"/>
      <c r="K124" s="398"/>
      <c r="L124" s="398"/>
      <c r="M124" s="399"/>
    </row>
    <row r="125" spans="6:13" hidden="1" x14ac:dyDescent="0.2">
      <c r="F125" s="494">
        <v>431</v>
      </c>
      <c r="G125" s="495" t="s">
        <v>4181</v>
      </c>
      <c r="H125" s="397"/>
      <c r="I125" s="397"/>
      <c r="J125" s="750"/>
      <c r="K125" s="398"/>
      <c r="L125" s="398"/>
      <c r="M125" s="399"/>
    </row>
    <row r="126" spans="6:13" hidden="1" x14ac:dyDescent="0.2">
      <c r="F126" s="494">
        <v>432</v>
      </c>
      <c r="G126" s="495" t="s">
        <v>4182</v>
      </c>
      <c r="H126" s="397"/>
      <c r="I126" s="397"/>
      <c r="J126" s="750"/>
      <c r="K126" s="398"/>
      <c r="L126" s="398"/>
      <c r="M126" s="399"/>
    </row>
    <row r="127" spans="6:13" hidden="1" x14ac:dyDescent="0.2">
      <c r="F127" s="494">
        <v>433</v>
      </c>
      <c r="G127" s="495" t="s">
        <v>4183</v>
      </c>
      <c r="H127" s="397"/>
      <c r="I127" s="397"/>
      <c r="J127" s="750"/>
      <c r="K127" s="398"/>
      <c r="L127" s="398"/>
      <c r="M127" s="399"/>
    </row>
    <row r="128" spans="6:13" hidden="1" x14ac:dyDescent="0.2">
      <c r="F128" s="494">
        <v>434</v>
      </c>
      <c r="G128" s="495" t="s">
        <v>4184</v>
      </c>
      <c r="H128" s="397"/>
      <c r="I128" s="397"/>
      <c r="J128" s="750"/>
      <c r="K128" s="398"/>
      <c r="L128" s="398"/>
      <c r="M128" s="399"/>
    </row>
    <row r="129" spans="6:13" hidden="1" x14ac:dyDescent="0.2">
      <c r="F129" s="494">
        <v>435</v>
      </c>
      <c r="G129" s="495" t="s">
        <v>3792</v>
      </c>
      <c r="H129" s="397"/>
      <c r="I129" s="397"/>
      <c r="J129" s="750"/>
      <c r="K129" s="398"/>
      <c r="L129" s="398"/>
      <c r="M129" s="399"/>
    </row>
    <row r="130" spans="6:13" hidden="1" x14ac:dyDescent="0.2">
      <c r="F130" s="494">
        <v>441</v>
      </c>
      <c r="G130" s="495" t="s">
        <v>4185</v>
      </c>
      <c r="H130" s="397"/>
      <c r="I130" s="397"/>
      <c r="J130" s="750"/>
      <c r="K130" s="398"/>
      <c r="L130" s="398"/>
      <c r="M130" s="399"/>
    </row>
    <row r="131" spans="6:13" hidden="1" x14ac:dyDescent="0.2">
      <c r="F131" s="494">
        <v>442</v>
      </c>
      <c r="G131" s="495" t="s">
        <v>4186</v>
      </c>
      <c r="H131" s="397"/>
      <c r="I131" s="397"/>
      <c r="J131" s="750"/>
      <c r="K131" s="398"/>
      <c r="L131" s="398"/>
      <c r="M131" s="399"/>
    </row>
    <row r="132" spans="6:13" hidden="1" x14ac:dyDescent="0.2">
      <c r="F132" s="494">
        <v>443</v>
      </c>
      <c r="G132" s="495" t="s">
        <v>3797</v>
      </c>
      <c r="H132" s="397"/>
      <c r="I132" s="397"/>
      <c r="J132" s="750"/>
      <c r="K132" s="398"/>
      <c r="L132" s="398"/>
      <c r="M132" s="399"/>
    </row>
    <row r="133" spans="6:13" hidden="1" x14ac:dyDescent="0.2">
      <c r="F133" s="494">
        <v>444</v>
      </c>
      <c r="G133" s="495" t="s">
        <v>3798</v>
      </c>
      <c r="H133" s="397"/>
      <c r="I133" s="397"/>
      <c r="J133" s="750"/>
      <c r="K133" s="398"/>
      <c r="L133" s="398"/>
      <c r="M133" s="399"/>
    </row>
    <row r="134" spans="6:13" ht="25.5" hidden="1" x14ac:dyDescent="0.2">
      <c r="F134" s="494">
        <v>4511</v>
      </c>
      <c r="G134" s="466" t="s">
        <v>1692</v>
      </c>
      <c r="H134" s="397"/>
      <c r="I134" s="397"/>
      <c r="J134" s="750"/>
      <c r="K134" s="398"/>
      <c r="L134" s="398"/>
      <c r="M134" s="399"/>
    </row>
    <row r="135" spans="6:13" ht="25.5" hidden="1" x14ac:dyDescent="0.2">
      <c r="F135" s="494">
        <v>4512</v>
      </c>
      <c r="G135" s="466" t="s">
        <v>1701</v>
      </c>
      <c r="H135" s="397"/>
      <c r="I135" s="397"/>
      <c r="J135" s="750"/>
      <c r="K135" s="398"/>
      <c r="L135" s="398"/>
      <c r="M135" s="399"/>
    </row>
    <row r="136" spans="6:13" ht="25.5" hidden="1" x14ac:dyDescent="0.2">
      <c r="F136" s="494">
        <v>452</v>
      </c>
      <c r="G136" s="495" t="s">
        <v>4187</v>
      </c>
      <c r="H136" s="397"/>
      <c r="I136" s="397"/>
      <c r="J136" s="750"/>
      <c r="K136" s="398"/>
      <c r="L136" s="398"/>
      <c r="M136" s="399"/>
    </row>
    <row r="137" spans="6:13" ht="25.5" hidden="1" x14ac:dyDescent="0.2">
      <c r="F137" s="494">
        <v>453</v>
      </c>
      <c r="G137" s="495" t="s">
        <v>4188</v>
      </c>
      <c r="H137" s="397"/>
      <c r="I137" s="397"/>
      <c r="J137" s="750"/>
      <c r="K137" s="398"/>
      <c r="L137" s="398"/>
      <c r="M137" s="399"/>
    </row>
    <row r="138" spans="6:13" hidden="1" x14ac:dyDescent="0.2">
      <c r="F138" s="494">
        <v>454</v>
      </c>
      <c r="G138" s="495" t="s">
        <v>3803</v>
      </c>
      <c r="H138" s="397"/>
      <c r="I138" s="397"/>
      <c r="J138" s="750"/>
      <c r="K138" s="398"/>
      <c r="L138" s="398"/>
      <c r="M138" s="399"/>
    </row>
    <row r="139" spans="6:13" hidden="1" x14ac:dyDescent="0.2">
      <c r="F139" s="494">
        <v>461</v>
      </c>
      <c r="G139" s="495" t="s">
        <v>4169</v>
      </c>
      <c r="H139" s="397"/>
      <c r="I139" s="397"/>
      <c r="J139" s="750"/>
      <c r="K139" s="398"/>
      <c r="L139" s="398"/>
      <c r="M139" s="399"/>
    </row>
    <row r="140" spans="6:13" ht="25.5" hidden="1" x14ac:dyDescent="0.2">
      <c r="F140" s="494">
        <v>462</v>
      </c>
      <c r="G140" s="495" t="s">
        <v>3806</v>
      </c>
      <c r="H140" s="397"/>
      <c r="I140" s="397"/>
      <c r="J140" s="750"/>
      <c r="K140" s="398"/>
      <c r="L140" s="398"/>
      <c r="M140" s="399"/>
    </row>
    <row r="141" spans="6:13" hidden="1" x14ac:dyDescent="0.2">
      <c r="F141" s="494">
        <v>4631</v>
      </c>
      <c r="G141" s="495" t="s">
        <v>3807</v>
      </c>
      <c r="H141" s="397"/>
      <c r="I141" s="397"/>
      <c r="J141" s="750"/>
      <c r="K141" s="398"/>
      <c r="L141" s="398"/>
      <c r="M141" s="399"/>
    </row>
    <row r="142" spans="6:13" hidden="1" x14ac:dyDescent="0.2">
      <c r="F142" s="494">
        <v>4632</v>
      </c>
      <c r="G142" s="495" t="s">
        <v>3808</v>
      </c>
      <c r="H142" s="397"/>
      <c r="I142" s="397"/>
      <c r="J142" s="750"/>
      <c r="K142" s="398"/>
      <c r="L142" s="398"/>
      <c r="M142" s="399"/>
    </row>
    <row r="143" spans="6:13" ht="25.5" hidden="1" x14ac:dyDescent="0.2">
      <c r="F143" s="494">
        <v>464</v>
      </c>
      <c r="G143" s="495" t="s">
        <v>3809</v>
      </c>
      <c r="H143" s="397"/>
      <c r="I143" s="397"/>
      <c r="J143" s="750"/>
      <c r="K143" s="398"/>
      <c r="L143" s="398"/>
      <c r="M143" s="399"/>
    </row>
    <row r="144" spans="6:13" hidden="1" x14ac:dyDescent="0.2">
      <c r="F144" s="494">
        <v>465</v>
      </c>
      <c r="G144" s="495" t="s">
        <v>4170</v>
      </c>
      <c r="H144" s="397"/>
      <c r="I144" s="397"/>
      <c r="J144" s="750"/>
      <c r="K144" s="398"/>
      <c r="L144" s="398"/>
      <c r="M144" s="399"/>
    </row>
    <row r="145" spans="6:13" hidden="1" x14ac:dyDescent="0.2">
      <c r="F145" s="494">
        <v>472</v>
      </c>
      <c r="G145" s="495" t="s">
        <v>3813</v>
      </c>
      <c r="H145" s="397"/>
      <c r="I145" s="397"/>
      <c r="J145" s="750"/>
      <c r="K145" s="398"/>
      <c r="L145" s="398"/>
      <c r="M145" s="399"/>
    </row>
    <row r="146" spans="6:13" hidden="1" x14ac:dyDescent="0.2">
      <c r="F146" s="494">
        <v>481</v>
      </c>
      <c r="G146" s="495" t="s">
        <v>4189</v>
      </c>
      <c r="H146" s="397"/>
      <c r="I146" s="397"/>
      <c r="J146" s="750"/>
      <c r="K146" s="398"/>
      <c r="L146" s="398"/>
      <c r="M146" s="399"/>
    </row>
    <row r="147" spans="6:13" hidden="1" x14ac:dyDescent="0.2">
      <c r="F147" s="494">
        <v>482</v>
      </c>
      <c r="G147" s="495" t="s">
        <v>4190</v>
      </c>
      <c r="H147" s="397"/>
      <c r="I147" s="397"/>
      <c r="J147" s="750"/>
      <c r="K147" s="398"/>
      <c r="L147" s="398"/>
      <c r="M147" s="399"/>
    </row>
    <row r="148" spans="6:13" hidden="1" x14ac:dyDescent="0.2">
      <c r="F148" s="494">
        <v>483</v>
      </c>
      <c r="G148" s="497" t="s">
        <v>4191</v>
      </c>
      <c r="H148" s="397"/>
      <c r="I148" s="397"/>
      <c r="J148" s="750"/>
      <c r="K148" s="398"/>
      <c r="L148" s="398"/>
      <c r="M148" s="399"/>
    </row>
    <row r="149" spans="6:13" ht="38.25" hidden="1" x14ac:dyDescent="0.2">
      <c r="F149" s="494">
        <v>484</v>
      </c>
      <c r="G149" s="495" t="s">
        <v>4192</v>
      </c>
      <c r="H149" s="397"/>
      <c r="I149" s="397"/>
      <c r="J149" s="750"/>
      <c r="K149" s="398"/>
      <c r="L149" s="398"/>
      <c r="M149" s="399"/>
    </row>
    <row r="150" spans="6:13" ht="25.5" hidden="1" x14ac:dyDescent="0.2">
      <c r="F150" s="494">
        <v>485</v>
      </c>
      <c r="G150" s="495" t="s">
        <v>4193</v>
      </c>
      <c r="H150" s="397"/>
      <c r="I150" s="397"/>
      <c r="J150" s="750"/>
      <c r="K150" s="398"/>
      <c r="L150" s="398"/>
      <c r="M150" s="399"/>
    </row>
    <row r="151" spans="6:13" ht="25.5" hidden="1" x14ac:dyDescent="0.2">
      <c r="F151" s="494">
        <v>489</v>
      </c>
      <c r="G151" s="495" t="s">
        <v>3821</v>
      </c>
      <c r="H151" s="397"/>
      <c r="I151" s="397"/>
      <c r="J151" s="750"/>
      <c r="K151" s="398"/>
      <c r="L151" s="398"/>
      <c r="M151" s="399"/>
    </row>
    <row r="152" spans="6:13" ht="25.5" hidden="1" x14ac:dyDescent="0.2">
      <c r="F152" s="494">
        <v>494</v>
      </c>
      <c r="G152" s="495" t="s">
        <v>4171</v>
      </c>
      <c r="H152" s="397"/>
      <c r="I152" s="397"/>
      <c r="J152" s="750"/>
      <c r="K152" s="398"/>
      <c r="L152" s="398"/>
      <c r="M152" s="399"/>
    </row>
    <row r="153" spans="6:13" ht="25.5" hidden="1" x14ac:dyDescent="0.2">
      <c r="F153" s="494">
        <v>495</v>
      </c>
      <c r="G153" s="495" t="s">
        <v>4172</v>
      </c>
      <c r="H153" s="397"/>
      <c r="I153" s="397"/>
      <c r="J153" s="750"/>
      <c r="K153" s="398"/>
      <c r="L153" s="398"/>
      <c r="M153" s="399"/>
    </row>
    <row r="154" spans="6:13" ht="38.25" hidden="1" x14ac:dyDescent="0.2">
      <c r="F154" s="494">
        <v>496</v>
      </c>
      <c r="G154" s="495" t="s">
        <v>4173</v>
      </c>
      <c r="H154" s="397"/>
      <c r="I154" s="397"/>
      <c r="J154" s="750"/>
      <c r="K154" s="398"/>
      <c r="L154" s="398"/>
      <c r="M154" s="399"/>
    </row>
    <row r="155" spans="6:13" ht="25.5" hidden="1" x14ac:dyDescent="0.2">
      <c r="F155" s="494">
        <v>499</v>
      </c>
      <c r="G155" s="495" t="s">
        <v>4174</v>
      </c>
      <c r="H155" s="397"/>
      <c r="I155" s="397"/>
      <c r="J155" s="750"/>
      <c r="K155" s="398"/>
      <c r="L155" s="398"/>
      <c r="M155" s="399"/>
    </row>
    <row r="156" spans="6:13" hidden="1" x14ac:dyDescent="0.2">
      <c r="F156" s="494">
        <v>511</v>
      </c>
      <c r="G156" s="497" t="s">
        <v>4194</v>
      </c>
      <c r="H156" s="397"/>
      <c r="I156" s="397"/>
      <c r="J156" s="750"/>
      <c r="K156" s="398"/>
      <c r="L156" s="398"/>
      <c r="M156" s="399"/>
    </row>
    <row r="157" spans="6:13" hidden="1" x14ac:dyDescent="0.2">
      <c r="F157" s="494">
        <v>512</v>
      </c>
      <c r="G157" s="497" t="s">
        <v>4195</v>
      </c>
      <c r="H157" s="397"/>
      <c r="I157" s="397"/>
      <c r="J157" s="750"/>
      <c r="K157" s="398"/>
      <c r="L157" s="398"/>
      <c r="M157" s="399"/>
    </row>
    <row r="158" spans="6:13" hidden="1" x14ac:dyDescent="0.2">
      <c r="F158" s="494">
        <v>513</v>
      </c>
      <c r="G158" s="497" t="s">
        <v>4196</v>
      </c>
      <c r="H158" s="397"/>
      <c r="I158" s="397"/>
      <c r="J158" s="750"/>
      <c r="K158" s="398"/>
      <c r="L158" s="398"/>
      <c r="M158" s="399"/>
    </row>
    <row r="159" spans="6:13" hidden="1" x14ac:dyDescent="0.2">
      <c r="F159" s="494">
        <v>514</v>
      </c>
      <c r="G159" s="495" t="s">
        <v>4197</v>
      </c>
      <c r="H159" s="397"/>
      <c r="I159" s="397"/>
      <c r="J159" s="750"/>
      <c r="K159" s="398"/>
      <c r="L159" s="398"/>
      <c r="M159" s="399"/>
    </row>
    <row r="160" spans="6:13" hidden="1" x14ac:dyDescent="0.2">
      <c r="F160" s="494">
        <v>515</v>
      </c>
      <c r="G160" s="495" t="s">
        <v>3832</v>
      </c>
      <c r="H160" s="397"/>
      <c r="I160" s="397"/>
      <c r="J160" s="750"/>
      <c r="K160" s="398"/>
      <c r="L160" s="398"/>
      <c r="M160" s="399"/>
    </row>
    <row r="161" spans="5:13" hidden="1" x14ac:dyDescent="0.2">
      <c r="F161" s="494">
        <v>521</v>
      </c>
      <c r="G161" s="495" t="s">
        <v>4198</v>
      </c>
      <c r="H161" s="397"/>
      <c r="I161" s="397"/>
      <c r="J161" s="750"/>
      <c r="K161" s="398"/>
      <c r="L161" s="398"/>
      <c r="M161" s="399"/>
    </row>
    <row r="162" spans="5:13" hidden="1" x14ac:dyDescent="0.2">
      <c r="F162" s="494">
        <v>522</v>
      </c>
      <c r="G162" s="495" t="s">
        <v>4199</v>
      </c>
      <c r="H162" s="397"/>
      <c r="I162" s="397"/>
      <c r="J162" s="750"/>
      <c r="K162" s="398"/>
      <c r="L162" s="398"/>
      <c r="M162" s="399"/>
    </row>
    <row r="163" spans="5:13" hidden="1" x14ac:dyDescent="0.2">
      <c r="F163" s="494">
        <v>523</v>
      </c>
      <c r="G163" s="495" t="s">
        <v>3837</v>
      </c>
      <c r="H163" s="397"/>
      <c r="I163" s="397"/>
      <c r="J163" s="750"/>
      <c r="K163" s="398"/>
      <c r="L163" s="398"/>
      <c r="M163" s="399"/>
    </row>
    <row r="164" spans="5:13" hidden="1" x14ac:dyDescent="0.2">
      <c r="F164" s="494">
        <v>531</v>
      </c>
      <c r="G164" s="496" t="s">
        <v>4175</v>
      </c>
      <c r="H164" s="397"/>
      <c r="I164" s="397"/>
      <c r="J164" s="750"/>
      <c r="K164" s="398"/>
      <c r="L164" s="398"/>
      <c r="M164" s="399"/>
    </row>
    <row r="165" spans="5:13" hidden="1" x14ac:dyDescent="0.2">
      <c r="F165" s="494">
        <v>541</v>
      </c>
      <c r="G165" s="495" t="s">
        <v>4200</v>
      </c>
      <c r="H165" s="397"/>
      <c r="I165" s="397"/>
      <c r="J165" s="750"/>
      <c r="K165" s="398"/>
      <c r="L165" s="398"/>
      <c r="M165" s="399"/>
    </row>
    <row r="166" spans="5:13" hidden="1" x14ac:dyDescent="0.2">
      <c r="F166" s="494">
        <v>542</v>
      </c>
      <c r="G166" s="495" t="s">
        <v>4201</v>
      </c>
      <c r="H166" s="397"/>
      <c r="I166" s="397"/>
      <c r="J166" s="750"/>
      <c r="K166" s="398"/>
      <c r="L166" s="398"/>
      <c r="M166" s="399"/>
    </row>
    <row r="167" spans="5:13" hidden="1" x14ac:dyDescent="0.2">
      <c r="F167" s="494">
        <v>543</v>
      </c>
      <c r="G167" s="495" t="s">
        <v>3842</v>
      </c>
      <c r="H167" s="397"/>
      <c r="I167" s="397"/>
      <c r="J167" s="750"/>
      <c r="K167" s="398"/>
      <c r="L167" s="398"/>
      <c r="M167" s="399"/>
    </row>
    <row r="168" spans="5:13" ht="38.25" hidden="1" x14ac:dyDescent="0.2">
      <c r="F168" s="494">
        <v>551</v>
      </c>
      <c r="G168" s="495" t="s">
        <v>4176</v>
      </c>
      <c r="H168" s="397"/>
      <c r="I168" s="397"/>
      <c r="J168" s="750"/>
      <c r="K168" s="398"/>
      <c r="L168" s="398"/>
      <c r="M168" s="399"/>
    </row>
    <row r="169" spans="5:13" hidden="1" x14ac:dyDescent="0.2">
      <c r="F169" s="498">
        <v>611</v>
      </c>
      <c r="G169" s="499" t="s">
        <v>3848</v>
      </c>
      <c r="H169" s="397"/>
      <c r="I169" s="397"/>
      <c r="J169" s="750"/>
      <c r="K169" s="398"/>
      <c r="L169" s="398"/>
      <c r="M169" s="399"/>
    </row>
    <row r="170" spans="5:13" hidden="1" x14ac:dyDescent="0.2">
      <c r="F170" s="498">
        <v>620</v>
      </c>
      <c r="G170" s="499" t="s">
        <v>88</v>
      </c>
      <c r="H170" s="397"/>
      <c r="I170" s="397"/>
      <c r="J170" s="750"/>
      <c r="K170" s="398"/>
      <c r="L170" s="398"/>
      <c r="M170" s="399"/>
    </row>
    <row r="171" spans="5:13" hidden="1" x14ac:dyDescent="0.2">
      <c r="E171" s="500"/>
      <c r="F171" s="498"/>
      <c r="G171" s="509" t="s">
        <v>4342</v>
      </c>
      <c r="H171" s="400"/>
      <c r="I171" s="400"/>
      <c r="J171" s="750"/>
      <c r="K171" s="401"/>
      <c r="L171" s="402"/>
      <c r="M171" s="399"/>
    </row>
    <row r="172" spans="5:13" hidden="1" x14ac:dyDescent="0.2">
      <c r="E172" s="502"/>
      <c r="F172" s="503" t="s">
        <v>234</v>
      </c>
      <c r="G172" s="504" t="s">
        <v>235</v>
      </c>
      <c r="H172" s="403">
        <f>SUM(H111:H170)</f>
        <v>0</v>
      </c>
      <c r="I172" s="403"/>
      <c r="J172" s="750"/>
      <c r="K172" s="404"/>
      <c r="L172" s="404"/>
      <c r="M172" s="399"/>
    </row>
    <row r="173" spans="5:13" hidden="1" x14ac:dyDescent="0.2">
      <c r="F173" s="503" t="s">
        <v>236</v>
      </c>
      <c r="G173" s="504" t="s">
        <v>237</v>
      </c>
      <c r="H173" s="397"/>
      <c r="I173" s="397"/>
      <c r="J173" s="750"/>
      <c r="K173" s="398"/>
      <c r="L173" s="404"/>
      <c r="M173" s="399"/>
    </row>
    <row r="174" spans="5:13" hidden="1" x14ac:dyDescent="0.2">
      <c r="F174" s="503" t="s">
        <v>238</v>
      </c>
      <c r="G174" s="504" t="s">
        <v>239</v>
      </c>
      <c r="H174" s="397"/>
      <c r="I174" s="397"/>
      <c r="J174" s="750"/>
      <c r="K174" s="398"/>
      <c r="L174" s="404"/>
      <c r="M174" s="399"/>
    </row>
    <row r="175" spans="5:13" hidden="1" x14ac:dyDescent="0.2">
      <c r="F175" s="503" t="s">
        <v>240</v>
      </c>
      <c r="G175" s="504" t="s">
        <v>241</v>
      </c>
      <c r="H175" s="397"/>
      <c r="I175" s="397"/>
      <c r="J175" s="750"/>
      <c r="K175" s="398"/>
      <c r="L175" s="404"/>
      <c r="M175" s="399"/>
    </row>
    <row r="176" spans="5:13" hidden="1" x14ac:dyDescent="0.2">
      <c r="F176" s="503" t="s">
        <v>242</v>
      </c>
      <c r="G176" s="504" t="s">
        <v>243</v>
      </c>
      <c r="H176" s="397"/>
      <c r="I176" s="397"/>
      <c r="J176" s="750"/>
      <c r="K176" s="398"/>
      <c r="L176" s="404"/>
      <c r="M176" s="399"/>
    </row>
    <row r="177" spans="5:13" hidden="1" x14ac:dyDescent="0.2">
      <c r="F177" s="503" t="s">
        <v>244</v>
      </c>
      <c r="G177" s="504" t="s">
        <v>245</v>
      </c>
      <c r="H177" s="397"/>
      <c r="I177" s="397"/>
      <c r="J177" s="750"/>
      <c r="K177" s="398"/>
      <c r="L177" s="404"/>
      <c r="M177" s="399"/>
    </row>
    <row r="178" spans="5:13" hidden="1" x14ac:dyDescent="0.2">
      <c r="F178" s="503" t="s">
        <v>246</v>
      </c>
      <c r="G178" s="504" t="s">
        <v>247</v>
      </c>
      <c r="H178" s="397"/>
      <c r="I178" s="397"/>
      <c r="J178" s="750"/>
      <c r="K178" s="398"/>
      <c r="L178" s="404"/>
      <c r="M178" s="399"/>
    </row>
    <row r="179" spans="5:13" ht="25.5" hidden="1" x14ac:dyDescent="0.2">
      <c r="F179" s="503" t="s">
        <v>248</v>
      </c>
      <c r="G179" s="504" t="s">
        <v>249</v>
      </c>
      <c r="H179" s="397"/>
      <c r="I179" s="397"/>
      <c r="J179" s="750"/>
      <c r="K179" s="398"/>
      <c r="L179" s="404"/>
      <c r="M179" s="399"/>
    </row>
    <row r="180" spans="5:13" hidden="1" x14ac:dyDescent="0.2">
      <c r="F180" s="503" t="s">
        <v>250</v>
      </c>
      <c r="G180" s="504" t="s">
        <v>57</v>
      </c>
      <c r="H180" s="397"/>
      <c r="I180" s="397"/>
      <c r="J180" s="750"/>
      <c r="K180" s="398"/>
      <c r="L180" s="404"/>
      <c r="M180" s="399"/>
    </row>
    <row r="181" spans="5:13" hidden="1" x14ac:dyDescent="0.2">
      <c r="F181" s="503" t="s">
        <v>251</v>
      </c>
      <c r="G181" s="504" t="s">
        <v>252</v>
      </c>
      <c r="H181" s="397"/>
      <c r="I181" s="397"/>
      <c r="J181" s="750"/>
      <c r="K181" s="398"/>
      <c r="L181" s="404"/>
      <c r="M181" s="399"/>
    </row>
    <row r="182" spans="5:13" hidden="1" x14ac:dyDescent="0.2">
      <c r="F182" s="503" t="s">
        <v>253</v>
      </c>
      <c r="G182" s="504" t="s">
        <v>254</v>
      </c>
      <c r="H182" s="397"/>
      <c r="I182" s="397"/>
      <c r="J182" s="750"/>
      <c r="K182" s="398"/>
      <c r="L182" s="404"/>
      <c r="M182" s="399"/>
    </row>
    <row r="183" spans="5:13" ht="25.5" hidden="1" x14ac:dyDescent="0.2">
      <c r="F183" s="503" t="s">
        <v>255</v>
      </c>
      <c r="G183" s="504" t="s">
        <v>256</v>
      </c>
      <c r="H183" s="397"/>
      <c r="I183" s="397"/>
      <c r="J183" s="750"/>
      <c r="K183" s="398"/>
      <c r="L183" s="404"/>
      <c r="M183" s="399"/>
    </row>
    <row r="184" spans="5:13" ht="25.5" hidden="1" x14ac:dyDescent="0.2">
      <c r="F184" s="503" t="s">
        <v>257</v>
      </c>
      <c r="G184" s="504" t="s">
        <v>258</v>
      </c>
      <c r="H184" s="397"/>
      <c r="I184" s="397"/>
      <c r="J184" s="750"/>
      <c r="K184" s="398"/>
      <c r="L184" s="404"/>
      <c r="M184" s="399"/>
    </row>
    <row r="185" spans="5:13" ht="25.5" hidden="1" x14ac:dyDescent="0.2">
      <c r="F185" s="503" t="s">
        <v>259</v>
      </c>
      <c r="G185" s="504" t="s">
        <v>260</v>
      </c>
      <c r="H185" s="397"/>
      <c r="I185" s="397"/>
      <c r="J185" s="750"/>
      <c r="K185" s="398"/>
      <c r="L185" s="404"/>
      <c r="M185" s="399"/>
    </row>
    <row r="186" spans="5:13" ht="25.5" hidden="1" x14ac:dyDescent="0.2">
      <c r="F186" s="503" t="s">
        <v>261</v>
      </c>
      <c r="G186" s="504" t="s">
        <v>262</v>
      </c>
      <c r="H186" s="397"/>
      <c r="I186" s="397"/>
      <c r="J186" s="750"/>
      <c r="K186" s="398"/>
      <c r="L186" s="404"/>
      <c r="M186" s="399"/>
    </row>
    <row r="187" spans="5:13" hidden="1" x14ac:dyDescent="0.2">
      <c r="F187" s="503" t="s">
        <v>263</v>
      </c>
      <c r="G187" s="504" t="s">
        <v>264</v>
      </c>
      <c r="H187" s="403"/>
      <c r="I187" s="403"/>
      <c r="J187" s="750"/>
      <c r="K187" s="404"/>
      <c r="L187" s="404"/>
      <c r="M187" s="399"/>
    </row>
    <row r="188" spans="5:13" ht="13.5" hidden="1" thickBot="1" x14ac:dyDescent="0.25">
      <c r="G188" s="505" t="s">
        <v>4281</v>
      </c>
      <c r="H188" s="405">
        <f>SUM(H172:H187)</f>
        <v>0</v>
      </c>
      <c r="I188" s="405"/>
      <c r="J188" s="750"/>
      <c r="K188" s="406">
        <f>SUM(K173:K187)</f>
        <v>0</v>
      </c>
      <c r="L188" s="406"/>
      <c r="M188" s="399"/>
    </row>
    <row r="189" spans="5:13" hidden="1" collapsed="1" x14ac:dyDescent="0.2">
      <c r="E189" s="500"/>
      <c r="F189" s="498"/>
      <c r="G189" s="506" t="s">
        <v>5038</v>
      </c>
      <c r="H189" s="407"/>
      <c r="I189" s="408"/>
      <c r="J189" s="750"/>
      <c r="K189" s="409"/>
      <c r="L189" s="410"/>
      <c r="M189" s="399"/>
    </row>
    <row r="190" spans="5:13" hidden="1" x14ac:dyDescent="0.2">
      <c r="E190" s="502"/>
      <c r="F190" s="503" t="s">
        <v>234</v>
      </c>
      <c r="G190" s="504" t="s">
        <v>235</v>
      </c>
      <c r="H190" s="403">
        <f>SUM(H111:H170)</f>
        <v>0</v>
      </c>
      <c r="I190" s="403"/>
      <c r="J190" s="750"/>
      <c r="K190" s="404"/>
      <c r="L190" s="404"/>
      <c r="M190" s="399"/>
    </row>
    <row r="191" spans="5:13" hidden="1" x14ac:dyDescent="0.2">
      <c r="F191" s="503" t="s">
        <v>236</v>
      </c>
      <c r="G191" s="504" t="s">
        <v>237</v>
      </c>
      <c r="H191" s="397"/>
      <c r="I191" s="397"/>
      <c r="J191" s="750"/>
      <c r="K191" s="398"/>
      <c r="L191" s="404"/>
      <c r="M191" s="399"/>
    </row>
    <row r="192" spans="5:13" hidden="1" x14ac:dyDescent="0.2">
      <c r="F192" s="503" t="s">
        <v>238</v>
      </c>
      <c r="G192" s="504" t="s">
        <v>239</v>
      </c>
      <c r="H192" s="397"/>
      <c r="I192" s="397"/>
      <c r="J192" s="750"/>
      <c r="K192" s="398"/>
      <c r="L192" s="404"/>
      <c r="M192" s="399"/>
    </row>
    <row r="193" spans="3:13" hidden="1" x14ac:dyDescent="0.2">
      <c r="F193" s="503" t="s">
        <v>240</v>
      </c>
      <c r="G193" s="504" t="s">
        <v>241</v>
      </c>
      <c r="H193" s="397"/>
      <c r="I193" s="397"/>
      <c r="J193" s="750"/>
      <c r="K193" s="398"/>
      <c r="L193" s="404"/>
      <c r="M193" s="399"/>
    </row>
    <row r="194" spans="3:13" hidden="1" x14ac:dyDescent="0.2">
      <c r="F194" s="503" t="s">
        <v>242</v>
      </c>
      <c r="G194" s="504" t="s">
        <v>243</v>
      </c>
      <c r="H194" s="397"/>
      <c r="I194" s="397"/>
      <c r="J194" s="750"/>
      <c r="K194" s="398"/>
      <c r="L194" s="404"/>
      <c r="M194" s="399"/>
    </row>
    <row r="195" spans="3:13" hidden="1" x14ac:dyDescent="0.2">
      <c r="F195" s="503" t="s">
        <v>244</v>
      </c>
      <c r="G195" s="504" t="s">
        <v>245</v>
      </c>
      <c r="H195" s="397"/>
      <c r="I195" s="397"/>
      <c r="J195" s="750"/>
      <c r="K195" s="398"/>
      <c r="L195" s="404"/>
      <c r="M195" s="399"/>
    </row>
    <row r="196" spans="3:13" hidden="1" x14ac:dyDescent="0.2">
      <c r="F196" s="503" t="s">
        <v>246</v>
      </c>
      <c r="G196" s="504" t="s">
        <v>247</v>
      </c>
      <c r="H196" s="397"/>
      <c r="I196" s="397"/>
      <c r="J196" s="750"/>
      <c r="K196" s="398"/>
      <c r="L196" s="404"/>
      <c r="M196" s="399"/>
    </row>
    <row r="197" spans="3:13" ht="25.5" hidden="1" x14ac:dyDescent="0.2">
      <c r="F197" s="503" t="s">
        <v>248</v>
      </c>
      <c r="G197" s="504" t="s">
        <v>249</v>
      </c>
      <c r="H197" s="397"/>
      <c r="I197" s="397"/>
      <c r="J197" s="750"/>
      <c r="K197" s="398"/>
      <c r="L197" s="404"/>
      <c r="M197" s="399"/>
    </row>
    <row r="198" spans="3:13" hidden="1" x14ac:dyDescent="0.2">
      <c r="F198" s="503" t="s">
        <v>250</v>
      </c>
      <c r="G198" s="504" t="s">
        <v>57</v>
      </c>
      <c r="H198" s="397"/>
      <c r="I198" s="397"/>
      <c r="J198" s="750"/>
      <c r="K198" s="398"/>
      <c r="L198" s="404"/>
      <c r="M198" s="399"/>
    </row>
    <row r="199" spans="3:13" hidden="1" x14ac:dyDescent="0.2">
      <c r="F199" s="503" t="s">
        <v>251</v>
      </c>
      <c r="G199" s="504" t="s">
        <v>252</v>
      </c>
      <c r="H199" s="397"/>
      <c r="I199" s="397"/>
      <c r="J199" s="750"/>
      <c r="K199" s="398"/>
      <c r="L199" s="404"/>
      <c r="M199" s="399"/>
    </row>
    <row r="200" spans="3:13" hidden="1" x14ac:dyDescent="0.2">
      <c r="F200" s="503" t="s">
        <v>253</v>
      </c>
      <c r="G200" s="504" t="s">
        <v>254</v>
      </c>
      <c r="H200" s="397"/>
      <c r="I200" s="397"/>
      <c r="J200" s="750"/>
      <c r="K200" s="398"/>
      <c r="L200" s="404"/>
      <c r="M200" s="399"/>
    </row>
    <row r="201" spans="3:13" ht="25.5" hidden="1" x14ac:dyDescent="0.2">
      <c r="F201" s="503" t="s">
        <v>255</v>
      </c>
      <c r="G201" s="504" t="s">
        <v>256</v>
      </c>
      <c r="H201" s="397"/>
      <c r="I201" s="397"/>
      <c r="J201" s="750"/>
      <c r="K201" s="398"/>
      <c r="L201" s="404"/>
      <c r="M201" s="399"/>
    </row>
    <row r="202" spans="3:13" ht="25.5" hidden="1" x14ac:dyDescent="0.2">
      <c r="F202" s="503" t="s">
        <v>257</v>
      </c>
      <c r="G202" s="504" t="s">
        <v>258</v>
      </c>
      <c r="H202" s="397"/>
      <c r="I202" s="397"/>
      <c r="J202" s="750"/>
      <c r="K202" s="398"/>
      <c r="L202" s="404"/>
      <c r="M202" s="399"/>
    </row>
    <row r="203" spans="3:13" ht="25.5" hidden="1" x14ac:dyDescent="0.2">
      <c r="F203" s="503" t="s">
        <v>259</v>
      </c>
      <c r="G203" s="504" t="s">
        <v>260</v>
      </c>
      <c r="H203" s="397"/>
      <c r="I203" s="397"/>
      <c r="J203" s="750"/>
      <c r="K203" s="398"/>
      <c r="L203" s="404"/>
      <c r="M203" s="399"/>
    </row>
    <row r="204" spans="3:13" ht="25.5" hidden="1" x14ac:dyDescent="0.2">
      <c r="F204" s="503" t="s">
        <v>261</v>
      </c>
      <c r="G204" s="504" t="s">
        <v>262</v>
      </c>
      <c r="H204" s="397"/>
      <c r="I204" s="397"/>
      <c r="J204" s="750"/>
      <c r="K204" s="398"/>
      <c r="L204" s="404"/>
      <c r="M204" s="399"/>
    </row>
    <row r="205" spans="3:13" hidden="1" x14ac:dyDescent="0.2">
      <c r="F205" s="503" t="s">
        <v>263</v>
      </c>
      <c r="G205" s="504" t="s">
        <v>264</v>
      </c>
      <c r="H205" s="403"/>
      <c r="I205" s="403"/>
      <c r="J205" s="750"/>
      <c r="K205" s="404"/>
      <c r="L205" s="404"/>
      <c r="M205" s="399"/>
    </row>
    <row r="206" spans="3:13" ht="13.5" hidden="1" thickBot="1" x14ac:dyDescent="0.25">
      <c r="G206" s="505" t="s">
        <v>5000</v>
      </c>
      <c r="H206" s="405">
        <f>SUM(H173:H188)</f>
        <v>0</v>
      </c>
      <c r="I206" s="405"/>
      <c r="J206" s="750"/>
      <c r="K206" s="406">
        <f>SUM(K174:K188)</f>
        <v>0</v>
      </c>
      <c r="L206" s="406"/>
      <c r="M206" s="399"/>
    </row>
    <row r="207" spans="3:13" hidden="1" x14ac:dyDescent="0.2">
      <c r="H207" s="397"/>
      <c r="I207" s="397"/>
      <c r="J207" s="750"/>
      <c r="K207" s="398"/>
      <c r="L207" s="398"/>
      <c r="M207" s="399"/>
    </row>
    <row r="208" spans="3:13" hidden="1" x14ac:dyDescent="0.2">
      <c r="C208" s="489" t="s">
        <v>4931</v>
      </c>
      <c r="D208" s="490"/>
      <c r="G208" s="508" t="s">
        <v>5065</v>
      </c>
      <c r="H208" s="397"/>
      <c r="I208" s="397"/>
      <c r="J208" s="750"/>
      <c r="K208" s="398"/>
      <c r="L208" s="398"/>
      <c r="M208" s="399"/>
    </row>
    <row r="209" spans="3:13" ht="25.5" hidden="1" x14ac:dyDescent="0.2">
      <c r="C209" s="489"/>
      <c r="D209" s="492">
        <v>110</v>
      </c>
      <c r="E209" s="492"/>
      <c r="F209" s="492"/>
      <c r="G209" s="493" t="s">
        <v>105</v>
      </c>
      <c r="H209" s="397"/>
      <c r="I209" s="397"/>
      <c r="J209" s="750"/>
      <c r="K209" s="398"/>
      <c r="L209" s="398"/>
      <c r="M209" s="399"/>
    </row>
    <row r="210" spans="3:13" hidden="1" x14ac:dyDescent="0.2">
      <c r="F210" s="494">
        <v>411</v>
      </c>
      <c r="G210" s="495" t="s">
        <v>4167</v>
      </c>
      <c r="H210" s="397"/>
      <c r="I210" s="397"/>
      <c r="J210" s="750"/>
      <c r="K210" s="398"/>
      <c r="L210" s="398"/>
      <c r="M210" s="399"/>
    </row>
    <row r="211" spans="3:13" hidden="1" x14ac:dyDescent="0.2">
      <c r="F211" s="494">
        <v>412</v>
      </c>
      <c r="G211" s="496" t="s">
        <v>3764</v>
      </c>
      <c r="H211" s="397"/>
      <c r="I211" s="397"/>
      <c r="J211" s="750"/>
      <c r="K211" s="398"/>
      <c r="L211" s="398"/>
      <c r="M211" s="399"/>
    </row>
    <row r="212" spans="3:13" hidden="1" x14ac:dyDescent="0.2">
      <c r="F212" s="494">
        <v>413</v>
      </c>
      <c r="G212" s="495" t="s">
        <v>4168</v>
      </c>
      <c r="H212" s="397"/>
      <c r="I212" s="397"/>
      <c r="J212" s="750"/>
      <c r="K212" s="398"/>
      <c r="L212" s="398"/>
      <c r="M212" s="399"/>
    </row>
    <row r="213" spans="3:13" hidden="1" x14ac:dyDescent="0.2">
      <c r="F213" s="494">
        <v>414</v>
      </c>
      <c r="G213" s="495" t="s">
        <v>3767</v>
      </c>
      <c r="H213" s="397"/>
      <c r="I213" s="397"/>
      <c r="J213" s="750"/>
      <c r="K213" s="398"/>
      <c r="L213" s="398"/>
      <c r="M213" s="399"/>
    </row>
    <row r="214" spans="3:13" hidden="1" x14ac:dyDescent="0.2">
      <c r="F214" s="494">
        <v>415</v>
      </c>
      <c r="G214" s="495" t="s">
        <v>4177</v>
      </c>
      <c r="H214" s="397"/>
      <c r="I214" s="397"/>
      <c r="J214" s="750"/>
      <c r="K214" s="398"/>
      <c r="L214" s="398"/>
      <c r="M214" s="399"/>
    </row>
    <row r="215" spans="3:13" ht="25.5" hidden="1" x14ac:dyDescent="0.2">
      <c r="F215" s="494">
        <v>416</v>
      </c>
      <c r="G215" s="495" t="s">
        <v>4178</v>
      </c>
      <c r="H215" s="397"/>
      <c r="I215" s="397"/>
      <c r="J215" s="750"/>
      <c r="K215" s="398"/>
      <c r="L215" s="398"/>
      <c r="M215" s="399"/>
    </row>
    <row r="216" spans="3:13" hidden="1" x14ac:dyDescent="0.2">
      <c r="F216" s="494">
        <v>417</v>
      </c>
      <c r="G216" s="495" t="s">
        <v>4179</v>
      </c>
      <c r="H216" s="397"/>
      <c r="I216" s="397"/>
      <c r="J216" s="750"/>
      <c r="K216" s="398"/>
      <c r="L216" s="398"/>
      <c r="M216" s="399"/>
    </row>
    <row r="217" spans="3:13" hidden="1" x14ac:dyDescent="0.2">
      <c r="F217" s="494">
        <v>418</v>
      </c>
      <c r="G217" s="495" t="s">
        <v>3773</v>
      </c>
      <c r="H217" s="397"/>
      <c r="I217" s="397"/>
      <c r="J217" s="750"/>
      <c r="K217" s="398"/>
      <c r="L217" s="398"/>
      <c r="M217" s="399"/>
    </row>
    <row r="218" spans="3:13" hidden="1" x14ac:dyDescent="0.2">
      <c r="F218" s="494">
        <v>421</v>
      </c>
      <c r="G218" s="495" t="s">
        <v>3777</v>
      </c>
      <c r="H218" s="397"/>
      <c r="I218" s="397"/>
      <c r="J218" s="750"/>
      <c r="K218" s="398"/>
      <c r="L218" s="398"/>
      <c r="M218" s="399"/>
    </row>
    <row r="219" spans="3:13" hidden="1" x14ac:dyDescent="0.2">
      <c r="F219" s="494">
        <v>422</v>
      </c>
      <c r="G219" s="495" t="s">
        <v>3778</v>
      </c>
      <c r="H219" s="397"/>
      <c r="I219" s="397"/>
      <c r="J219" s="750"/>
      <c r="K219" s="398"/>
      <c r="L219" s="398"/>
      <c r="M219" s="399"/>
    </row>
    <row r="220" spans="3:13" hidden="1" x14ac:dyDescent="0.2">
      <c r="F220" s="494">
        <v>423</v>
      </c>
      <c r="G220" s="495" t="s">
        <v>3779</v>
      </c>
      <c r="H220" s="397"/>
      <c r="I220" s="397"/>
      <c r="J220" s="750"/>
      <c r="K220" s="398"/>
      <c r="L220" s="398"/>
      <c r="M220" s="399"/>
    </row>
    <row r="221" spans="3:13" hidden="1" x14ac:dyDescent="0.2">
      <c r="F221" s="494">
        <v>424</v>
      </c>
      <c r="G221" s="495" t="s">
        <v>3781</v>
      </c>
      <c r="H221" s="397"/>
      <c r="I221" s="397"/>
      <c r="J221" s="750"/>
      <c r="K221" s="398"/>
      <c r="L221" s="398"/>
      <c r="M221" s="399"/>
    </row>
    <row r="222" spans="3:13" hidden="1" x14ac:dyDescent="0.2">
      <c r="F222" s="494">
        <v>425</v>
      </c>
      <c r="G222" s="495" t="s">
        <v>4180</v>
      </c>
      <c r="H222" s="397"/>
      <c r="I222" s="397"/>
      <c r="J222" s="750"/>
      <c r="K222" s="398"/>
      <c r="L222" s="398"/>
      <c r="M222" s="399"/>
    </row>
    <row r="223" spans="3:13" hidden="1" x14ac:dyDescent="0.2">
      <c r="F223" s="494">
        <v>426</v>
      </c>
      <c r="G223" s="495" t="s">
        <v>3785</v>
      </c>
      <c r="H223" s="397"/>
      <c r="I223" s="397"/>
      <c r="J223" s="750"/>
      <c r="K223" s="398"/>
      <c r="L223" s="398"/>
      <c r="M223" s="399"/>
    </row>
    <row r="224" spans="3:13" hidden="1" x14ac:dyDescent="0.2">
      <c r="F224" s="494">
        <v>431</v>
      </c>
      <c r="G224" s="495" t="s">
        <v>4181</v>
      </c>
      <c r="H224" s="397"/>
      <c r="I224" s="397"/>
      <c r="J224" s="750"/>
      <c r="K224" s="398"/>
      <c r="L224" s="398"/>
      <c r="M224" s="399"/>
    </row>
    <row r="225" spans="6:13" hidden="1" x14ac:dyDescent="0.2">
      <c r="F225" s="494">
        <v>432</v>
      </c>
      <c r="G225" s="495" t="s">
        <v>4182</v>
      </c>
      <c r="H225" s="397"/>
      <c r="I225" s="397"/>
      <c r="J225" s="750"/>
      <c r="K225" s="398"/>
      <c r="L225" s="398"/>
      <c r="M225" s="399"/>
    </row>
    <row r="226" spans="6:13" hidden="1" x14ac:dyDescent="0.2">
      <c r="F226" s="494">
        <v>433</v>
      </c>
      <c r="G226" s="495" t="s">
        <v>4183</v>
      </c>
      <c r="H226" s="397"/>
      <c r="I226" s="397"/>
      <c r="J226" s="750"/>
      <c r="K226" s="398"/>
      <c r="L226" s="398"/>
      <c r="M226" s="399"/>
    </row>
    <row r="227" spans="6:13" hidden="1" x14ac:dyDescent="0.2">
      <c r="F227" s="494">
        <v>434</v>
      </c>
      <c r="G227" s="495" t="s">
        <v>4184</v>
      </c>
      <c r="H227" s="397"/>
      <c r="I227" s="397"/>
      <c r="J227" s="750"/>
      <c r="K227" s="398"/>
      <c r="L227" s="398"/>
      <c r="M227" s="399"/>
    </row>
    <row r="228" spans="6:13" hidden="1" x14ac:dyDescent="0.2">
      <c r="F228" s="494">
        <v>435</v>
      </c>
      <c r="G228" s="495" t="s">
        <v>3792</v>
      </c>
      <c r="H228" s="397"/>
      <c r="I228" s="397"/>
      <c r="J228" s="750"/>
      <c r="K228" s="398"/>
      <c r="L228" s="398"/>
      <c r="M228" s="399"/>
    </row>
    <row r="229" spans="6:13" hidden="1" x14ac:dyDescent="0.2">
      <c r="F229" s="494">
        <v>441</v>
      </c>
      <c r="G229" s="495" t="s">
        <v>4185</v>
      </c>
      <c r="H229" s="397"/>
      <c r="I229" s="397"/>
      <c r="J229" s="750"/>
      <c r="K229" s="398"/>
      <c r="L229" s="398"/>
      <c r="M229" s="399"/>
    </row>
    <row r="230" spans="6:13" hidden="1" x14ac:dyDescent="0.2">
      <c r="F230" s="494">
        <v>442</v>
      </c>
      <c r="G230" s="495" t="s">
        <v>4186</v>
      </c>
      <c r="H230" s="397"/>
      <c r="I230" s="397"/>
      <c r="J230" s="750"/>
      <c r="K230" s="398"/>
      <c r="L230" s="398"/>
      <c r="M230" s="399"/>
    </row>
    <row r="231" spans="6:13" hidden="1" x14ac:dyDescent="0.2">
      <c r="F231" s="494">
        <v>443</v>
      </c>
      <c r="G231" s="495" t="s">
        <v>3797</v>
      </c>
      <c r="H231" s="397"/>
      <c r="I231" s="397"/>
      <c r="J231" s="750"/>
      <c r="K231" s="398"/>
      <c r="L231" s="398"/>
      <c r="M231" s="399"/>
    </row>
    <row r="232" spans="6:13" hidden="1" x14ac:dyDescent="0.2">
      <c r="F232" s="494">
        <v>444</v>
      </c>
      <c r="G232" s="495" t="s">
        <v>3798</v>
      </c>
      <c r="H232" s="397"/>
      <c r="I232" s="397"/>
      <c r="J232" s="750"/>
      <c r="K232" s="398"/>
      <c r="L232" s="398"/>
      <c r="M232" s="399"/>
    </row>
    <row r="233" spans="6:13" ht="25.5" hidden="1" x14ac:dyDescent="0.2">
      <c r="F233" s="494">
        <v>4511</v>
      </c>
      <c r="G233" s="466" t="s">
        <v>1692</v>
      </c>
      <c r="H233" s="397"/>
      <c r="I233" s="397"/>
      <c r="J233" s="750"/>
      <c r="K233" s="398"/>
      <c r="L233" s="398"/>
      <c r="M233" s="399"/>
    </row>
    <row r="234" spans="6:13" ht="25.5" hidden="1" x14ac:dyDescent="0.2">
      <c r="F234" s="494">
        <v>4512</v>
      </c>
      <c r="G234" s="466" t="s">
        <v>1701</v>
      </c>
      <c r="H234" s="397"/>
      <c r="I234" s="397"/>
      <c r="J234" s="750"/>
      <c r="K234" s="398"/>
      <c r="L234" s="398"/>
      <c r="M234" s="399"/>
    </row>
    <row r="235" spans="6:13" ht="25.5" hidden="1" x14ac:dyDescent="0.2">
      <c r="F235" s="494">
        <v>452</v>
      </c>
      <c r="G235" s="495" t="s">
        <v>4187</v>
      </c>
      <c r="H235" s="397"/>
      <c r="I235" s="397"/>
      <c r="J235" s="750"/>
      <c r="K235" s="398"/>
      <c r="L235" s="398"/>
      <c r="M235" s="399"/>
    </row>
    <row r="236" spans="6:13" ht="25.5" hidden="1" x14ac:dyDescent="0.2">
      <c r="F236" s="494">
        <v>453</v>
      </c>
      <c r="G236" s="495" t="s">
        <v>4188</v>
      </c>
      <c r="H236" s="397"/>
      <c r="I236" s="397"/>
      <c r="J236" s="750"/>
      <c r="K236" s="398"/>
      <c r="L236" s="398"/>
      <c r="M236" s="399"/>
    </row>
    <row r="237" spans="6:13" hidden="1" x14ac:dyDescent="0.2">
      <c r="F237" s="494">
        <v>454</v>
      </c>
      <c r="G237" s="495" t="s">
        <v>3803</v>
      </c>
      <c r="H237" s="397"/>
      <c r="I237" s="397"/>
      <c r="J237" s="750"/>
      <c r="K237" s="398"/>
      <c r="L237" s="398"/>
      <c r="M237" s="399"/>
    </row>
    <row r="238" spans="6:13" hidden="1" x14ac:dyDescent="0.2">
      <c r="F238" s="494">
        <v>461</v>
      </c>
      <c r="G238" s="495" t="s">
        <v>4169</v>
      </c>
      <c r="H238" s="397"/>
      <c r="I238" s="397"/>
      <c r="J238" s="750"/>
      <c r="K238" s="398"/>
      <c r="L238" s="398"/>
      <c r="M238" s="399"/>
    </row>
    <row r="239" spans="6:13" ht="25.5" hidden="1" x14ac:dyDescent="0.2">
      <c r="F239" s="494">
        <v>462</v>
      </c>
      <c r="G239" s="495" t="s">
        <v>3806</v>
      </c>
      <c r="H239" s="397"/>
      <c r="I239" s="397"/>
      <c r="J239" s="750"/>
      <c r="K239" s="398"/>
      <c r="L239" s="398"/>
      <c r="M239" s="399"/>
    </row>
    <row r="240" spans="6:13" hidden="1" x14ac:dyDescent="0.2">
      <c r="F240" s="494">
        <v>4631</v>
      </c>
      <c r="G240" s="495" t="s">
        <v>3807</v>
      </c>
      <c r="H240" s="397"/>
      <c r="I240" s="397"/>
      <c r="J240" s="750"/>
      <c r="K240" s="398"/>
      <c r="L240" s="398"/>
      <c r="M240" s="399"/>
    </row>
    <row r="241" spans="6:13" hidden="1" x14ac:dyDescent="0.2">
      <c r="F241" s="494">
        <v>4632</v>
      </c>
      <c r="G241" s="495" t="s">
        <v>3808</v>
      </c>
      <c r="H241" s="397"/>
      <c r="I241" s="397"/>
      <c r="J241" s="750"/>
      <c r="K241" s="398"/>
      <c r="L241" s="398"/>
      <c r="M241" s="399"/>
    </row>
    <row r="242" spans="6:13" ht="25.5" hidden="1" x14ac:dyDescent="0.2">
      <c r="F242" s="494">
        <v>464</v>
      </c>
      <c r="G242" s="495" t="s">
        <v>3809</v>
      </c>
      <c r="H242" s="397"/>
      <c r="I242" s="397"/>
      <c r="J242" s="750"/>
      <c r="K242" s="398"/>
      <c r="L242" s="398"/>
      <c r="M242" s="399"/>
    </row>
    <row r="243" spans="6:13" hidden="1" x14ac:dyDescent="0.2">
      <c r="F243" s="494">
        <v>465</v>
      </c>
      <c r="G243" s="495" t="s">
        <v>4170</v>
      </c>
      <c r="H243" s="397"/>
      <c r="I243" s="397"/>
      <c r="J243" s="750"/>
      <c r="K243" s="398"/>
      <c r="L243" s="398"/>
      <c r="M243" s="399"/>
    </row>
    <row r="244" spans="6:13" hidden="1" x14ac:dyDescent="0.2">
      <c r="F244" s="494">
        <v>472</v>
      </c>
      <c r="G244" s="495" t="s">
        <v>3813</v>
      </c>
      <c r="H244" s="397"/>
      <c r="I244" s="397"/>
      <c r="J244" s="750"/>
      <c r="K244" s="398"/>
      <c r="L244" s="398"/>
      <c r="M244" s="399"/>
    </row>
    <row r="245" spans="6:13" hidden="1" x14ac:dyDescent="0.2">
      <c r="F245" s="494">
        <v>481</v>
      </c>
      <c r="G245" s="495" t="s">
        <v>4189</v>
      </c>
      <c r="H245" s="397"/>
      <c r="I245" s="397"/>
      <c r="J245" s="750"/>
      <c r="K245" s="398"/>
      <c r="L245" s="398"/>
      <c r="M245" s="399"/>
    </row>
    <row r="246" spans="6:13" hidden="1" x14ac:dyDescent="0.2">
      <c r="F246" s="494">
        <v>482</v>
      </c>
      <c r="G246" s="495" t="s">
        <v>4190</v>
      </c>
      <c r="H246" s="397"/>
      <c r="I246" s="397"/>
      <c r="J246" s="750"/>
      <c r="K246" s="398"/>
      <c r="L246" s="398"/>
      <c r="M246" s="399"/>
    </row>
    <row r="247" spans="6:13" hidden="1" x14ac:dyDescent="0.2">
      <c r="F247" s="494">
        <v>483</v>
      </c>
      <c r="G247" s="497" t="s">
        <v>4191</v>
      </c>
      <c r="H247" s="397"/>
      <c r="I247" s="397"/>
      <c r="J247" s="750"/>
      <c r="K247" s="398"/>
      <c r="L247" s="398"/>
      <c r="M247" s="399"/>
    </row>
    <row r="248" spans="6:13" ht="38.25" hidden="1" x14ac:dyDescent="0.2">
      <c r="F248" s="494">
        <v>484</v>
      </c>
      <c r="G248" s="495" t="s">
        <v>4192</v>
      </c>
      <c r="H248" s="397"/>
      <c r="I248" s="397"/>
      <c r="J248" s="750"/>
      <c r="K248" s="398"/>
      <c r="L248" s="398"/>
      <c r="M248" s="399"/>
    </row>
    <row r="249" spans="6:13" ht="25.5" hidden="1" x14ac:dyDescent="0.2">
      <c r="F249" s="494">
        <v>485</v>
      </c>
      <c r="G249" s="495" t="s">
        <v>4193</v>
      </c>
      <c r="H249" s="397"/>
      <c r="I249" s="397"/>
      <c r="J249" s="750"/>
      <c r="K249" s="398"/>
      <c r="L249" s="398"/>
      <c r="M249" s="399"/>
    </row>
    <row r="250" spans="6:13" ht="25.5" hidden="1" x14ac:dyDescent="0.2">
      <c r="F250" s="494">
        <v>489</v>
      </c>
      <c r="G250" s="495" t="s">
        <v>3821</v>
      </c>
      <c r="H250" s="397"/>
      <c r="I250" s="397"/>
      <c r="J250" s="750"/>
      <c r="K250" s="398"/>
      <c r="L250" s="398"/>
      <c r="M250" s="399"/>
    </row>
    <row r="251" spans="6:13" ht="25.5" hidden="1" x14ac:dyDescent="0.2">
      <c r="F251" s="494">
        <v>494</v>
      </c>
      <c r="G251" s="495" t="s">
        <v>4171</v>
      </c>
      <c r="H251" s="397"/>
      <c r="I251" s="397"/>
      <c r="J251" s="750"/>
      <c r="K251" s="398"/>
      <c r="L251" s="398"/>
      <c r="M251" s="399"/>
    </row>
    <row r="252" spans="6:13" ht="25.5" hidden="1" x14ac:dyDescent="0.2">
      <c r="F252" s="494">
        <v>495</v>
      </c>
      <c r="G252" s="495" t="s">
        <v>4172</v>
      </c>
      <c r="H252" s="397"/>
      <c r="I252" s="397"/>
      <c r="J252" s="750"/>
      <c r="K252" s="398"/>
      <c r="L252" s="398"/>
      <c r="M252" s="399"/>
    </row>
    <row r="253" spans="6:13" ht="38.25" hidden="1" x14ac:dyDescent="0.2">
      <c r="F253" s="494">
        <v>496</v>
      </c>
      <c r="G253" s="495" t="s">
        <v>4173</v>
      </c>
      <c r="H253" s="397"/>
      <c r="I253" s="397"/>
      <c r="J253" s="750"/>
      <c r="K253" s="398"/>
      <c r="L253" s="398"/>
      <c r="M253" s="399"/>
    </row>
    <row r="254" spans="6:13" ht="25.5" hidden="1" x14ac:dyDescent="0.2">
      <c r="F254" s="494">
        <v>499</v>
      </c>
      <c r="G254" s="495" t="s">
        <v>4174</v>
      </c>
      <c r="H254" s="397"/>
      <c r="I254" s="397"/>
      <c r="J254" s="750"/>
      <c r="K254" s="398"/>
      <c r="L254" s="398"/>
      <c r="M254" s="399"/>
    </row>
    <row r="255" spans="6:13" hidden="1" x14ac:dyDescent="0.2">
      <c r="F255" s="494">
        <v>511</v>
      </c>
      <c r="G255" s="497" t="s">
        <v>4194</v>
      </c>
      <c r="H255" s="397"/>
      <c r="I255" s="397"/>
      <c r="J255" s="750"/>
      <c r="K255" s="398"/>
      <c r="L255" s="398"/>
      <c r="M255" s="399"/>
    </row>
    <row r="256" spans="6:13" hidden="1" x14ac:dyDescent="0.2">
      <c r="F256" s="494">
        <v>512</v>
      </c>
      <c r="G256" s="497" t="s">
        <v>4195</v>
      </c>
      <c r="H256" s="397"/>
      <c r="I256" s="397"/>
      <c r="J256" s="750"/>
      <c r="K256" s="398"/>
      <c r="L256" s="398"/>
      <c r="M256" s="399"/>
    </row>
    <row r="257" spans="5:13" hidden="1" x14ac:dyDescent="0.2">
      <c r="F257" s="494">
        <v>513</v>
      </c>
      <c r="G257" s="497" t="s">
        <v>4196</v>
      </c>
      <c r="H257" s="397"/>
      <c r="I257" s="397"/>
      <c r="J257" s="750"/>
      <c r="K257" s="398"/>
      <c r="L257" s="398"/>
      <c r="M257" s="399"/>
    </row>
    <row r="258" spans="5:13" hidden="1" x14ac:dyDescent="0.2">
      <c r="F258" s="494">
        <v>514</v>
      </c>
      <c r="G258" s="495" t="s">
        <v>4197</v>
      </c>
      <c r="H258" s="397"/>
      <c r="I258" s="397"/>
      <c r="J258" s="750"/>
      <c r="K258" s="398"/>
      <c r="L258" s="398"/>
      <c r="M258" s="399"/>
    </row>
    <row r="259" spans="5:13" hidden="1" x14ac:dyDescent="0.2">
      <c r="F259" s="494">
        <v>515</v>
      </c>
      <c r="G259" s="495" t="s">
        <v>3832</v>
      </c>
      <c r="H259" s="397"/>
      <c r="I259" s="397"/>
      <c r="J259" s="750"/>
      <c r="K259" s="398"/>
      <c r="L259" s="398"/>
      <c r="M259" s="399"/>
    </row>
    <row r="260" spans="5:13" hidden="1" x14ac:dyDescent="0.2">
      <c r="F260" s="494">
        <v>521</v>
      </c>
      <c r="G260" s="495" t="s">
        <v>4198</v>
      </c>
      <c r="H260" s="397"/>
      <c r="I260" s="397"/>
      <c r="J260" s="750"/>
      <c r="K260" s="398"/>
      <c r="L260" s="398"/>
      <c r="M260" s="399"/>
    </row>
    <row r="261" spans="5:13" hidden="1" x14ac:dyDescent="0.2">
      <c r="F261" s="494">
        <v>522</v>
      </c>
      <c r="G261" s="495" t="s">
        <v>4199</v>
      </c>
      <c r="H261" s="397"/>
      <c r="I261" s="397"/>
      <c r="J261" s="750"/>
      <c r="K261" s="398"/>
      <c r="L261" s="398"/>
      <c r="M261" s="399"/>
    </row>
    <row r="262" spans="5:13" hidden="1" x14ac:dyDescent="0.2">
      <c r="F262" s="494">
        <v>523</v>
      </c>
      <c r="G262" s="495" t="s">
        <v>3837</v>
      </c>
      <c r="H262" s="397"/>
      <c r="I262" s="397"/>
      <c r="J262" s="750"/>
      <c r="K262" s="398"/>
      <c r="L262" s="398"/>
      <c r="M262" s="399"/>
    </row>
    <row r="263" spans="5:13" hidden="1" x14ac:dyDescent="0.2">
      <c r="F263" s="494">
        <v>531</v>
      </c>
      <c r="G263" s="496" t="s">
        <v>4175</v>
      </c>
      <c r="H263" s="397"/>
      <c r="I263" s="397"/>
      <c r="J263" s="750"/>
      <c r="K263" s="398"/>
      <c r="L263" s="398"/>
      <c r="M263" s="399"/>
    </row>
    <row r="264" spans="5:13" hidden="1" x14ac:dyDescent="0.2">
      <c r="F264" s="494">
        <v>541</v>
      </c>
      <c r="G264" s="495" t="s">
        <v>4200</v>
      </c>
      <c r="H264" s="397"/>
      <c r="I264" s="397"/>
      <c r="J264" s="750"/>
      <c r="K264" s="398"/>
      <c r="L264" s="398"/>
      <c r="M264" s="399"/>
    </row>
    <row r="265" spans="5:13" hidden="1" x14ac:dyDescent="0.2">
      <c r="F265" s="494">
        <v>542</v>
      </c>
      <c r="G265" s="495" t="s">
        <v>4201</v>
      </c>
      <c r="H265" s="397"/>
      <c r="I265" s="397"/>
      <c r="J265" s="750"/>
      <c r="K265" s="398"/>
      <c r="L265" s="398"/>
      <c r="M265" s="399"/>
    </row>
    <row r="266" spans="5:13" hidden="1" x14ac:dyDescent="0.2">
      <c r="F266" s="494">
        <v>543</v>
      </c>
      <c r="G266" s="495" t="s">
        <v>3842</v>
      </c>
      <c r="H266" s="397"/>
      <c r="I266" s="397"/>
      <c r="J266" s="750"/>
      <c r="K266" s="398"/>
      <c r="L266" s="398"/>
      <c r="M266" s="399"/>
    </row>
    <row r="267" spans="5:13" ht="38.25" hidden="1" x14ac:dyDescent="0.2">
      <c r="F267" s="494">
        <v>551</v>
      </c>
      <c r="G267" s="495" t="s">
        <v>4176</v>
      </c>
      <c r="H267" s="397"/>
      <c r="I267" s="397"/>
      <c r="J267" s="750"/>
      <c r="K267" s="398"/>
      <c r="L267" s="398"/>
      <c r="M267" s="399"/>
    </row>
    <row r="268" spans="5:13" hidden="1" x14ac:dyDescent="0.2">
      <c r="F268" s="498">
        <v>611</v>
      </c>
      <c r="G268" s="499" t="s">
        <v>3848</v>
      </c>
      <c r="H268" s="397"/>
      <c r="I268" s="397"/>
      <c r="J268" s="750"/>
      <c r="K268" s="398"/>
      <c r="L268" s="398"/>
      <c r="M268" s="399"/>
    </row>
    <row r="269" spans="5:13" hidden="1" x14ac:dyDescent="0.2">
      <c r="F269" s="498">
        <v>620</v>
      </c>
      <c r="G269" s="499" t="s">
        <v>88</v>
      </c>
      <c r="H269" s="397"/>
      <c r="I269" s="397"/>
      <c r="J269" s="750"/>
      <c r="K269" s="398"/>
      <c r="L269" s="398"/>
      <c r="M269" s="399"/>
    </row>
    <row r="270" spans="5:13" hidden="1" x14ac:dyDescent="0.2">
      <c r="E270" s="500"/>
      <c r="F270" s="498"/>
      <c r="G270" s="509" t="s">
        <v>4342</v>
      </c>
      <c r="H270" s="400"/>
      <c r="I270" s="400"/>
      <c r="J270" s="750"/>
      <c r="K270" s="401"/>
      <c r="L270" s="402"/>
      <c r="M270" s="399"/>
    </row>
    <row r="271" spans="5:13" hidden="1" x14ac:dyDescent="0.2">
      <c r="E271" s="502"/>
      <c r="F271" s="503" t="s">
        <v>234</v>
      </c>
      <c r="G271" s="504" t="s">
        <v>235</v>
      </c>
      <c r="H271" s="403">
        <f>SUM(H210:H269)</f>
        <v>0</v>
      </c>
      <c r="I271" s="403"/>
      <c r="J271" s="750"/>
      <c r="K271" s="404"/>
      <c r="L271" s="404"/>
      <c r="M271" s="399"/>
    </row>
    <row r="272" spans="5:13" hidden="1" x14ac:dyDescent="0.2">
      <c r="F272" s="503" t="s">
        <v>236</v>
      </c>
      <c r="G272" s="504" t="s">
        <v>237</v>
      </c>
      <c r="H272" s="397"/>
      <c r="I272" s="397"/>
      <c r="J272" s="750"/>
      <c r="K272" s="398"/>
      <c r="L272" s="404"/>
      <c r="M272" s="399"/>
    </row>
    <row r="273" spans="5:13" hidden="1" x14ac:dyDescent="0.2">
      <c r="F273" s="503" t="s">
        <v>238</v>
      </c>
      <c r="G273" s="504" t="s">
        <v>239</v>
      </c>
      <c r="H273" s="397"/>
      <c r="I273" s="397"/>
      <c r="J273" s="750"/>
      <c r="K273" s="398"/>
      <c r="L273" s="404"/>
      <c r="M273" s="399"/>
    </row>
    <row r="274" spans="5:13" hidden="1" x14ac:dyDescent="0.2">
      <c r="F274" s="503" t="s">
        <v>240</v>
      </c>
      <c r="G274" s="504" t="s">
        <v>241</v>
      </c>
      <c r="H274" s="397"/>
      <c r="I274" s="397"/>
      <c r="J274" s="750"/>
      <c r="K274" s="398"/>
      <c r="L274" s="404"/>
      <c r="M274" s="399"/>
    </row>
    <row r="275" spans="5:13" hidden="1" x14ac:dyDescent="0.2">
      <c r="F275" s="503" t="s">
        <v>242</v>
      </c>
      <c r="G275" s="504" t="s">
        <v>243</v>
      </c>
      <c r="H275" s="397"/>
      <c r="I275" s="397"/>
      <c r="J275" s="750"/>
      <c r="K275" s="398"/>
      <c r="L275" s="404"/>
      <c r="M275" s="399"/>
    </row>
    <row r="276" spans="5:13" hidden="1" x14ac:dyDescent="0.2">
      <c r="F276" s="503" t="s">
        <v>244</v>
      </c>
      <c r="G276" s="504" t="s">
        <v>245</v>
      </c>
      <c r="H276" s="397"/>
      <c r="I276" s="397"/>
      <c r="J276" s="750"/>
      <c r="K276" s="398"/>
      <c r="L276" s="404"/>
      <c r="M276" s="399"/>
    </row>
    <row r="277" spans="5:13" hidden="1" x14ac:dyDescent="0.2">
      <c r="F277" s="503" t="s">
        <v>246</v>
      </c>
      <c r="G277" s="504" t="s">
        <v>247</v>
      </c>
      <c r="H277" s="397"/>
      <c r="I277" s="397"/>
      <c r="J277" s="750"/>
      <c r="K277" s="398"/>
      <c r="L277" s="404"/>
      <c r="M277" s="399"/>
    </row>
    <row r="278" spans="5:13" ht="25.5" hidden="1" x14ac:dyDescent="0.2">
      <c r="F278" s="503" t="s">
        <v>248</v>
      </c>
      <c r="G278" s="504" t="s">
        <v>249</v>
      </c>
      <c r="H278" s="397"/>
      <c r="I278" s="397"/>
      <c r="J278" s="750"/>
      <c r="K278" s="398"/>
      <c r="L278" s="404"/>
      <c r="M278" s="399"/>
    </row>
    <row r="279" spans="5:13" hidden="1" x14ac:dyDescent="0.2">
      <c r="F279" s="503" t="s">
        <v>250</v>
      </c>
      <c r="G279" s="504" t="s">
        <v>57</v>
      </c>
      <c r="H279" s="397"/>
      <c r="I279" s="397"/>
      <c r="J279" s="750"/>
      <c r="K279" s="398"/>
      <c r="L279" s="404"/>
      <c r="M279" s="399"/>
    </row>
    <row r="280" spans="5:13" hidden="1" x14ac:dyDescent="0.2">
      <c r="F280" s="503" t="s">
        <v>251</v>
      </c>
      <c r="G280" s="504" t="s">
        <v>252</v>
      </c>
      <c r="H280" s="397"/>
      <c r="I280" s="397"/>
      <c r="J280" s="750"/>
      <c r="K280" s="398"/>
      <c r="L280" s="404"/>
      <c r="M280" s="399"/>
    </row>
    <row r="281" spans="5:13" hidden="1" x14ac:dyDescent="0.2">
      <c r="F281" s="503" t="s">
        <v>253</v>
      </c>
      <c r="G281" s="504" t="s">
        <v>254</v>
      </c>
      <c r="H281" s="397"/>
      <c r="I281" s="397"/>
      <c r="J281" s="750"/>
      <c r="K281" s="398"/>
      <c r="L281" s="404"/>
      <c r="M281" s="399"/>
    </row>
    <row r="282" spans="5:13" ht="25.5" hidden="1" x14ac:dyDescent="0.2">
      <c r="F282" s="503" t="s">
        <v>255</v>
      </c>
      <c r="G282" s="504" t="s">
        <v>256</v>
      </c>
      <c r="H282" s="397"/>
      <c r="I282" s="397"/>
      <c r="J282" s="750"/>
      <c r="K282" s="398"/>
      <c r="L282" s="404"/>
      <c r="M282" s="399"/>
    </row>
    <row r="283" spans="5:13" ht="25.5" hidden="1" x14ac:dyDescent="0.2">
      <c r="F283" s="503" t="s">
        <v>257</v>
      </c>
      <c r="G283" s="504" t="s">
        <v>258</v>
      </c>
      <c r="H283" s="397"/>
      <c r="I283" s="397"/>
      <c r="J283" s="750"/>
      <c r="K283" s="398"/>
      <c r="L283" s="404"/>
      <c r="M283" s="399"/>
    </row>
    <row r="284" spans="5:13" ht="25.5" hidden="1" x14ac:dyDescent="0.2">
      <c r="F284" s="503" t="s">
        <v>259</v>
      </c>
      <c r="G284" s="504" t="s">
        <v>260</v>
      </c>
      <c r="H284" s="397"/>
      <c r="I284" s="397"/>
      <c r="J284" s="750"/>
      <c r="K284" s="398"/>
      <c r="L284" s="404"/>
      <c r="M284" s="399"/>
    </row>
    <row r="285" spans="5:13" ht="25.5" hidden="1" x14ac:dyDescent="0.2">
      <c r="F285" s="503" t="s">
        <v>261</v>
      </c>
      <c r="G285" s="504" t="s">
        <v>262</v>
      </c>
      <c r="H285" s="397"/>
      <c r="I285" s="397"/>
      <c r="J285" s="750"/>
      <c r="K285" s="398"/>
      <c r="L285" s="404"/>
      <c r="M285" s="399"/>
    </row>
    <row r="286" spans="5:13" hidden="1" x14ac:dyDescent="0.2">
      <c r="F286" s="503" t="s">
        <v>263</v>
      </c>
      <c r="G286" s="504" t="s">
        <v>264</v>
      </c>
      <c r="H286" s="403"/>
      <c r="I286" s="403"/>
      <c r="J286" s="750"/>
      <c r="K286" s="404"/>
      <c r="L286" s="404"/>
      <c r="M286" s="399"/>
    </row>
    <row r="287" spans="5:13" ht="13.5" hidden="1" thickBot="1" x14ac:dyDescent="0.25">
      <c r="G287" s="505" t="s">
        <v>4281</v>
      </c>
      <c r="H287" s="405">
        <f>SUM(H271:H286)</f>
        <v>0</v>
      </c>
      <c r="I287" s="405"/>
      <c r="J287" s="750"/>
      <c r="K287" s="406">
        <f>SUM(K272:K286)</f>
        <v>0</v>
      </c>
      <c r="L287" s="406"/>
      <c r="M287" s="399"/>
    </row>
    <row r="288" spans="5:13" hidden="1" collapsed="1" x14ac:dyDescent="0.2">
      <c r="E288" s="500"/>
      <c r="F288" s="498"/>
      <c r="G288" s="506" t="s">
        <v>5039</v>
      </c>
      <c r="H288" s="407"/>
      <c r="I288" s="408"/>
      <c r="J288" s="750"/>
      <c r="K288" s="409"/>
      <c r="L288" s="410"/>
      <c r="M288" s="399"/>
    </row>
    <row r="289" spans="5:13" hidden="1" x14ac:dyDescent="0.2">
      <c r="E289" s="502"/>
      <c r="F289" s="503" t="s">
        <v>234</v>
      </c>
      <c r="G289" s="504" t="s">
        <v>235</v>
      </c>
      <c r="H289" s="403">
        <f>SUM(H210:H269)</f>
        <v>0</v>
      </c>
      <c r="I289" s="403"/>
      <c r="J289" s="750"/>
      <c r="K289" s="404"/>
      <c r="L289" s="404"/>
      <c r="M289" s="399"/>
    </row>
    <row r="290" spans="5:13" hidden="1" x14ac:dyDescent="0.2">
      <c r="F290" s="503" t="s">
        <v>236</v>
      </c>
      <c r="G290" s="504" t="s">
        <v>237</v>
      </c>
      <c r="H290" s="397"/>
      <c r="I290" s="397"/>
      <c r="J290" s="750"/>
      <c r="K290" s="398"/>
      <c r="L290" s="404"/>
      <c r="M290" s="399"/>
    </row>
    <row r="291" spans="5:13" hidden="1" x14ac:dyDescent="0.2">
      <c r="F291" s="503" t="s">
        <v>238</v>
      </c>
      <c r="G291" s="504" t="s">
        <v>239</v>
      </c>
      <c r="H291" s="397"/>
      <c r="I291" s="397"/>
      <c r="J291" s="750"/>
      <c r="K291" s="398"/>
      <c r="L291" s="404"/>
      <c r="M291" s="399"/>
    </row>
    <row r="292" spans="5:13" hidden="1" x14ac:dyDescent="0.2">
      <c r="F292" s="503" t="s">
        <v>240</v>
      </c>
      <c r="G292" s="504" t="s">
        <v>241</v>
      </c>
      <c r="H292" s="397"/>
      <c r="I292" s="397"/>
      <c r="J292" s="750"/>
      <c r="K292" s="398"/>
      <c r="L292" s="404"/>
      <c r="M292" s="399"/>
    </row>
    <row r="293" spans="5:13" hidden="1" x14ac:dyDescent="0.2">
      <c r="F293" s="503" t="s">
        <v>242</v>
      </c>
      <c r="G293" s="504" t="s">
        <v>243</v>
      </c>
      <c r="H293" s="397"/>
      <c r="I293" s="397"/>
      <c r="J293" s="750"/>
      <c r="K293" s="398"/>
      <c r="L293" s="404"/>
      <c r="M293" s="399"/>
    </row>
    <row r="294" spans="5:13" hidden="1" x14ac:dyDescent="0.2">
      <c r="F294" s="503" t="s">
        <v>244</v>
      </c>
      <c r="G294" s="504" t="s">
        <v>245</v>
      </c>
      <c r="H294" s="397"/>
      <c r="I294" s="397"/>
      <c r="J294" s="750"/>
      <c r="K294" s="398"/>
      <c r="L294" s="404"/>
      <c r="M294" s="399"/>
    </row>
    <row r="295" spans="5:13" hidden="1" x14ac:dyDescent="0.2">
      <c r="F295" s="503" t="s">
        <v>246</v>
      </c>
      <c r="G295" s="504" t="s">
        <v>247</v>
      </c>
      <c r="H295" s="397"/>
      <c r="I295" s="397"/>
      <c r="J295" s="750"/>
      <c r="K295" s="398"/>
      <c r="L295" s="404"/>
      <c r="M295" s="399"/>
    </row>
    <row r="296" spans="5:13" ht="25.5" hidden="1" x14ac:dyDescent="0.2">
      <c r="F296" s="503" t="s">
        <v>248</v>
      </c>
      <c r="G296" s="504" t="s">
        <v>249</v>
      </c>
      <c r="H296" s="397"/>
      <c r="I296" s="397"/>
      <c r="J296" s="750"/>
      <c r="K296" s="398"/>
      <c r="L296" s="404"/>
      <c r="M296" s="399"/>
    </row>
    <row r="297" spans="5:13" hidden="1" x14ac:dyDescent="0.2">
      <c r="F297" s="503" t="s">
        <v>250</v>
      </c>
      <c r="G297" s="504" t="s">
        <v>57</v>
      </c>
      <c r="H297" s="397"/>
      <c r="I297" s="397"/>
      <c r="J297" s="750"/>
      <c r="K297" s="398"/>
      <c r="L297" s="404"/>
      <c r="M297" s="399"/>
    </row>
    <row r="298" spans="5:13" hidden="1" x14ac:dyDescent="0.2">
      <c r="F298" s="503" t="s">
        <v>251</v>
      </c>
      <c r="G298" s="504" t="s">
        <v>252</v>
      </c>
      <c r="H298" s="397"/>
      <c r="I298" s="397"/>
      <c r="J298" s="750"/>
      <c r="K298" s="398"/>
      <c r="L298" s="404"/>
      <c r="M298" s="399"/>
    </row>
    <row r="299" spans="5:13" hidden="1" x14ac:dyDescent="0.2">
      <c r="F299" s="503" t="s">
        <v>253</v>
      </c>
      <c r="G299" s="504" t="s">
        <v>254</v>
      </c>
      <c r="H299" s="397"/>
      <c r="I299" s="397"/>
      <c r="J299" s="750"/>
      <c r="K299" s="398"/>
      <c r="L299" s="404"/>
      <c r="M299" s="399"/>
    </row>
    <row r="300" spans="5:13" ht="25.5" hidden="1" x14ac:dyDescent="0.2">
      <c r="F300" s="503" t="s">
        <v>255</v>
      </c>
      <c r="G300" s="504" t="s">
        <v>256</v>
      </c>
      <c r="H300" s="397"/>
      <c r="I300" s="397"/>
      <c r="J300" s="750"/>
      <c r="K300" s="398"/>
      <c r="L300" s="404"/>
      <c r="M300" s="399"/>
    </row>
    <row r="301" spans="5:13" ht="25.5" hidden="1" x14ac:dyDescent="0.2">
      <c r="F301" s="503" t="s">
        <v>257</v>
      </c>
      <c r="G301" s="504" t="s">
        <v>258</v>
      </c>
      <c r="H301" s="397"/>
      <c r="I301" s="397"/>
      <c r="J301" s="750"/>
      <c r="K301" s="398"/>
      <c r="L301" s="404"/>
      <c r="M301" s="399"/>
    </row>
    <row r="302" spans="5:13" ht="25.5" hidden="1" x14ac:dyDescent="0.2">
      <c r="F302" s="503" t="s">
        <v>259</v>
      </c>
      <c r="G302" s="504" t="s">
        <v>260</v>
      </c>
      <c r="H302" s="397"/>
      <c r="I302" s="397"/>
      <c r="J302" s="750"/>
      <c r="K302" s="398"/>
      <c r="L302" s="404"/>
      <c r="M302" s="399"/>
    </row>
    <row r="303" spans="5:13" ht="25.5" hidden="1" x14ac:dyDescent="0.2">
      <c r="F303" s="503" t="s">
        <v>261</v>
      </c>
      <c r="G303" s="504" t="s">
        <v>262</v>
      </c>
      <c r="H303" s="397"/>
      <c r="I303" s="397"/>
      <c r="J303" s="750"/>
      <c r="K303" s="398"/>
      <c r="L303" s="404"/>
      <c r="M303" s="399"/>
    </row>
    <row r="304" spans="5:13" hidden="1" x14ac:dyDescent="0.2">
      <c r="F304" s="503" t="s">
        <v>263</v>
      </c>
      <c r="G304" s="504" t="s">
        <v>264</v>
      </c>
      <c r="H304" s="403"/>
      <c r="I304" s="403"/>
      <c r="J304" s="750"/>
      <c r="K304" s="404"/>
      <c r="L304" s="404"/>
      <c r="M304" s="399"/>
    </row>
    <row r="305" spans="5:13" ht="13.5" hidden="1" thickBot="1" x14ac:dyDescent="0.25">
      <c r="G305" s="505" t="s">
        <v>5001</v>
      </c>
      <c r="H305" s="405">
        <f>SUM(H272:H287)</f>
        <v>0</v>
      </c>
      <c r="I305" s="405"/>
      <c r="J305" s="750"/>
      <c r="K305" s="406">
        <f>SUM(K273:K287)</f>
        <v>0</v>
      </c>
      <c r="L305" s="406"/>
      <c r="M305" s="399"/>
    </row>
    <row r="306" spans="5:13" hidden="1" x14ac:dyDescent="0.2">
      <c r="G306" s="510"/>
      <c r="H306" s="411"/>
      <c r="I306" s="411"/>
      <c r="J306" s="750"/>
      <c r="K306" s="412"/>
      <c r="L306" s="412"/>
      <c r="M306" s="399"/>
    </row>
    <row r="307" spans="5:13" x14ac:dyDescent="0.2">
      <c r="E307" s="500"/>
      <c r="F307" s="498"/>
      <c r="G307" s="511" t="s">
        <v>4203</v>
      </c>
      <c r="H307" s="413"/>
      <c r="I307" s="413"/>
      <c r="J307" s="750"/>
      <c r="K307" s="414"/>
      <c r="L307" s="415"/>
      <c r="M307" s="399"/>
    </row>
    <row r="308" spans="5:13" ht="13.5" thickBot="1" x14ac:dyDescent="0.25">
      <c r="E308" s="502"/>
      <c r="F308" s="503" t="s">
        <v>234</v>
      </c>
      <c r="G308" s="504" t="s">
        <v>235</v>
      </c>
      <c r="H308" s="403">
        <f>SUM(H91)</f>
        <v>3291864</v>
      </c>
      <c r="I308" s="403">
        <f>SUM(I107)</f>
        <v>3033990.63</v>
      </c>
      <c r="J308" s="750">
        <f t="shared" ref="J308:J332" si="2">SUM(I308/H308)*100</f>
        <v>92.166341926640953</v>
      </c>
      <c r="K308" s="404"/>
      <c r="L308" s="404"/>
      <c r="M308" s="399"/>
    </row>
    <row r="309" spans="5:13" ht="13.5" hidden="1" thickBot="1" x14ac:dyDescent="0.25">
      <c r="F309" s="503" t="s">
        <v>236</v>
      </c>
      <c r="G309" s="504" t="s">
        <v>237</v>
      </c>
      <c r="H309" s="397"/>
      <c r="I309" s="397"/>
      <c r="J309" s="750" t="e">
        <f t="shared" si="2"/>
        <v>#DIV/0!</v>
      </c>
      <c r="K309" s="398"/>
      <c r="L309" s="404"/>
      <c r="M309" s="399"/>
    </row>
    <row r="310" spans="5:13" ht="13.5" hidden="1" thickBot="1" x14ac:dyDescent="0.25">
      <c r="F310" s="503" t="s">
        <v>238</v>
      </c>
      <c r="G310" s="504" t="s">
        <v>239</v>
      </c>
      <c r="H310" s="397"/>
      <c r="I310" s="397"/>
      <c r="J310" s="750" t="e">
        <f t="shared" si="2"/>
        <v>#DIV/0!</v>
      </c>
      <c r="K310" s="398"/>
      <c r="L310" s="404"/>
      <c r="M310" s="399"/>
    </row>
    <row r="311" spans="5:13" ht="13.5" hidden="1" thickBot="1" x14ac:dyDescent="0.25">
      <c r="F311" s="503" t="s">
        <v>240</v>
      </c>
      <c r="G311" s="504" t="s">
        <v>241</v>
      </c>
      <c r="H311" s="397"/>
      <c r="I311" s="397"/>
      <c r="J311" s="750" t="e">
        <f t="shared" si="2"/>
        <v>#DIV/0!</v>
      </c>
      <c r="K311" s="398">
        <f>SUM(K76)</f>
        <v>0</v>
      </c>
      <c r="L311" s="404"/>
      <c r="M311" s="399"/>
    </row>
    <row r="312" spans="5:13" ht="13.5" hidden="1" thickBot="1" x14ac:dyDescent="0.25">
      <c r="F312" s="503" t="s">
        <v>242</v>
      </c>
      <c r="G312" s="504" t="s">
        <v>243</v>
      </c>
      <c r="H312" s="397"/>
      <c r="I312" s="397"/>
      <c r="J312" s="750" t="e">
        <f t="shared" si="2"/>
        <v>#DIV/0!</v>
      </c>
      <c r="K312" s="398"/>
      <c r="L312" s="404"/>
      <c r="M312" s="399"/>
    </row>
    <row r="313" spans="5:13" ht="13.5" hidden="1" thickBot="1" x14ac:dyDescent="0.25">
      <c r="F313" s="503" t="s">
        <v>244</v>
      </c>
      <c r="G313" s="504" t="s">
        <v>245</v>
      </c>
      <c r="H313" s="397"/>
      <c r="I313" s="397"/>
      <c r="J313" s="750" t="e">
        <f t="shared" si="2"/>
        <v>#DIV/0!</v>
      </c>
      <c r="K313" s="398"/>
      <c r="L313" s="404"/>
      <c r="M313" s="399"/>
    </row>
    <row r="314" spans="5:13" ht="13.5" hidden="1" thickBot="1" x14ac:dyDescent="0.25">
      <c r="F314" s="503" t="s">
        <v>246</v>
      </c>
      <c r="G314" s="504" t="s">
        <v>247</v>
      </c>
      <c r="H314" s="397"/>
      <c r="I314" s="397"/>
      <c r="J314" s="750" t="e">
        <f t="shared" si="2"/>
        <v>#DIV/0!</v>
      </c>
      <c r="K314" s="398"/>
      <c r="L314" s="404"/>
      <c r="M314" s="399"/>
    </row>
    <row r="315" spans="5:13" ht="26.25" hidden="1" thickBot="1" x14ac:dyDescent="0.25">
      <c r="F315" s="503" t="s">
        <v>248</v>
      </c>
      <c r="G315" s="504" t="s">
        <v>249</v>
      </c>
      <c r="H315" s="397"/>
      <c r="I315" s="397"/>
      <c r="J315" s="750" t="e">
        <f t="shared" si="2"/>
        <v>#DIV/0!</v>
      </c>
      <c r="K315" s="398"/>
      <c r="L315" s="404"/>
      <c r="M315" s="399"/>
    </row>
    <row r="316" spans="5:13" ht="13.5" hidden="1" thickBot="1" x14ac:dyDescent="0.25">
      <c r="F316" s="503" t="s">
        <v>250</v>
      </c>
      <c r="G316" s="504" t="s">
        <v>57</v>
      </c>
      <c r="H316" s="397"/>
      <c r="I316" s="397"/>
      <c r="J316" s="750" t="e">
        <f t="shared" si="2"/>
        <v>#DIV/0!</v>
      </c>
      <c r="K316" s="398"/>
      <c r="L316" s="404"/>
      <c r="M316" s="399"/>
    </row>
    <row r="317" spans="5:13" ht="13.5" hidden="1" thickBot="1" x14ac:dyDescent="0.25">
      <c r="F317" s="503" t="s">
        <v>251</v>
      </c>
      <c r="G317" s="504" t="s">
        <v>252</v>
      </c>
      <c r="H317" s="397"/>
      <c r="I317" s="397"/>
      <c r="J317" s="750" t="e">
        <f t="shared" si="2"/>
        <v>#DIV/0!</v>
      </c>
      <c r="K317" s="398"/>
      <c r="L317" s="404"/>
      <c r="M317" s="399"/>
    </row>
    <row r="318" spans="5:13" ht="13.5" hidden="1" thickBot="1" x14ac:dyDescent="0.25">
      <c r="F318" s="503" t="s">
        <v>253</v>
      </c>
      <c r="G318" s="504" t="s">
        <v>254</v>
      </c>
      <c r="H318" s="397"/>
      <c r="I318" s="397"/>
      <c r="J318" s="750" t="e">
        <f t="shared" si="2"/>
        <v>#DIV/0!</v>
      </c>
      <c r="K318" s="398"/>
      <c r="L318" s="404"/>
      <c r="M318" s="399"/>
    </row>
    <row r="319" spans="5:13" ht="26.25" hidden="1" thickBot="1" x14ac:dyDescent="0.25">
      <c r="F319" s="503" t="s">
        <v>255</v>
      </c>
      <c r="G319" s="504" t="s">
        <v>256</v>
      </c>
      <c r="H319" s="397"/>
      <c r="I319" s="397"/>
      <c r="J319" s="750" t="e">
        <f t="shared" si="2"/>
        <v>#DIV/0!</v>
      </c>
      <c r="K319" s="398"/>
      <c r="L319" s="404"/>
      <c r="M319" s="399"/>
    </row>
    <row r="320" spans="5:13" ht="26.25" hidden="1" thickBot="1" x14ac:dyDescent="0.25">
      <c r="F320" s="503" t="s">
        <v>257</v>
      </c>
      <c r="G320" s="504" t="s">
        <v>258</v>
      </c>
      <c r="H320" s="397"/>
      <c r="I320" s="397"/>
      <c r="J320" s="750" t="e">
        <f t="shared" si="2"/>
        <v>#DIV/0!</v>
      </c>
      <c r="K320" s="398"/>
      <c r="L320" s="404"/>
      <c r="M320" s="399"/>
    </row>
    <row r="321" spans="5:13" ht="26.25" hidden="1" thickBot="1" x14ac:dyDescent="0.25">
      <c r="F321" s="503" t="s">
        <v>259</v>
      </c>
      <c r="G321" s="504" t="s">
        <v>260</v>
      </c>
      <c r="H321" s="397"/>
      <c r="I321" s="397"/>
      <c r="J321" s="750" t="e">
        <f t="shared" si="2"/>
        <v>#DIV/0!</v>
      </c>
      <c r="K321" s="398"/>
      <c r="L321" s="404"/>
      <c r="M321" s="399"/>
    </row>
    <row r="322" spans="5:13" ht="26.25" hidden="1" thickBot="1" x14ac:dyDescent="0.25">
      <c r="F322" s="503" t="s">
        <v>261</v>
      </c>
      <c r="G322" s="504" t="s">
        <v>262</v>
      </c>
      <c r="H322" s="397"/>
      <c r="I322" s="397"/>
      <c r="J322" s="750" t="e">
        <f t="shared" si="2"/>
        <v>#DIV/0!</v>
      </c>
      <c r="K322" s="398"/>
      <c r="L322" s="404"/>
      <c r="M322" s="399"/>
    </row>
    <row r="323" spans="5:13" ht="13.5" hidden="1" thickBot="1" x14ac:dyDescent="0.25">
      <c r="F323" s="503" t="s">
        <v>263</v>
      </c>
      <c r="G323" s="504" t="s">
        <v>264</v>
      </c>
      <c r="H323" s="403"/>
      <c r="I323" s="403"/>
      <c r="J323" s="750" t="e">
        <f t="shared" si="2"/>
        <v>#DIV/0!</v>
      </c>
      <c r="K323" s="404"/>
      <c r="L323" s="404"/>
      <c r="M323" s="399"/>
    </row>
    <row r="324" spans="5:13" ht="13.5" thickBot="1" x14ac:dyDescent="0.25">
      <c r="G324" s="505" t="s">
        <v>4204</v>
      </c>
      <c r="H324" s="405">
        <f>SUM(H308)</f>
        <v>3291864</v>
      </c>
      <c r="I324" s="405">
        <f>SUM(I308)</f>
        <v>3033990.63</v>
      </c>
      <c r="J324" s="750">
        <f t="shared" si="2"/>
        <v>92.166341926640953</v>
      </c>
      <c r="K324" s="406">
        <f>SUM(K309:K323)</f>
        <v>0</v>
      </c>
      <c r="L324" s="406"/>
      <c r="M324" s="399"/>
    </row>
    <row r="325" spans="5:13" x14ac:dyDescent="0.2">
      <c r="H325" s="397"/>
      <c r="I325" s="397"/>
      <c r="J325" s="750"/>
      <c r="K325" s="398"/>
      <c r="L325" s="398"/>
      <c r="M325" s="399"/>
    </row>
    <row r="326" spans="5:13" x14ac:dyDescent="0.2">
      <c r="E326" s="500"/>
      <c r="F326" s="498"/>
      <c r="G326" s="511" t="s">
        <v>4206</v>
      </c>
      <c r="H326" s="413"/>
      <c r="I326" s="413"/>
      <c r="J326" s="750"/>
      <c r="K326" s="414"/>
      <c r="L326" s="415"/>
      <c r="M326" s="399"/>
    </row>
    <row r="327" spans="5:13" ht="13.5" thickBot="1" x14ac:dyDescent="0.25">
      <c r="E327" s="502"/>
      <c r="F327" s="503" t="s">
        <v>234</v>
      </c>
      <c r="G327" s="504" t="s">
        <v>235</v>
      </c>
      <c r="H327" s="403">
        <f>SUM(H324)</f>
        <v>3291864</v>
      </c>
      <c r="I327" s="403">
        <f>SUM(I324)</f>
        <v>3033990.63</v>
      </c>
      <c r="J327" s="750">
        <f t="shared" si="2"/>
        <v>92.166341926640953</v>
      </c>
      <c r="K327" s="404"/>
      <c r="L327" s="404"/>
      <c r="M327" s="399"/>
    </row>
    <row r="328" spans="5:13" ht="13.5" hidden="1" thickBot="1" x14ac:dyDescent="0.25">
      <c r="F328" s="503" t="s">
        <v>236</v>
      </c>
      <c r="G328" s="504" t="s">
        <v>237</v>
      </c>
      <c r="H328" s="397"/>
      <c r="I328" s="397"/>
      <c r="J328" s="750" t="e">
        <f t="shared" si="2"/>
        <v>#DIV/0!</v>
      </c>
      <c r="K328" s="398"/>
      <c r="L328" s="404"/>
      <c r="M328" s="399"/>
    </row>
    <row r="329" spans="5:13" ht="13.5" hidden="1" thickBot="1" x14ac:dyDescent="0.25">
      <c r="F329" s="503" t="s">
        <v>238</v>
      </c>
      <c r="G329" s="504" t="s">
        <v>239</v>
      </c>
      <c r="H329" s="397"/>
      <c r="I329" s="397"/>
      <c r="J329" s="750" t="e">
        <f t="shared" si="2"/>
        <v>#DIV/0!</v>
      </c>
      <c r="K329" s="398"/>
      <c r="L329" s="404"/>
      <c r="M329" s="399"/>
    </row>
    <row r="330" spans="5:13" ht="13.5" hidden="1" thickBot="1" x14ac:dyDescent="0.25">
      <c r="F330" s="503" t="s">
        <v>240</v>
      </c>
      <c r="G330" s="504" t="s">
        <v>241</v>
      </c>
      <c r="H330" s="397"/>
      <c r="I330" s="397"/>
      <c r="J330" s="750" t="e">
        <f t="shared" si="2"/>
        <v>#DIV/0!</v>
      </c>
      <c r="K330" s="398"/>
      <c r="L330" s="404"/>
      <c r="M330" s="399"/>
    </row>
    <row r="331" spans="5:13" ht="13.5" hidden="1" thickBot="1" x14ac:dyDescent="0.25">
      <c r="F331" s="503" t="s">
        <v>242</v>
      </c>
      <c r="G331" s="504" t="s">
        <v>243</v>
      </c>
      <c r="H331" s="397"/>
      <c r="I331" s="397"/>
      <c r="J331" s="750" t="e">
        <f t="shared" si="2"/>
        <v>#DIV/0!</v>
      </c>
      <c r="K331" s="398"/>
      <c r="L331" s="404"/>
      <c r="M331" s="399"/>
    </row>
    <row r="332" spans="5:13" ht="13.5" hidden="1" thickBot="1" x14ac:dyDescent="0.25">
      <c r="F332" s="503" t="s">
        <v>244</v>
      </c>
      <c r="G332" s="504" t="s">
        <v>245</v>
      </c>
      <c r="H332" s="397"/>
      <c r="I332" s="397"/>
      <c r="J332" s="750" t="e">
        <f t="shared" si="2"/>
        <v>#DIV/0!</v>
      </c>
      <c r="K332" s="398"/>
      <c r="L332" s="404"/>
      <c r="M332" s="399"/>
    </row>
    <row r="333" spans="5:13" ht="13.5" hidden="1" thickBot="1" x14ac:dyDescent="0.25">
      <c r="F333" s="503" t="s">
        <v>246</v>
      </c>
      <c r="G333" s="504" t="s">
        <v>247</v>
      </c>
      <c r="H333" s="397"/>
      <c r="I333" s="397"/>
      <c r="J333" s="750" t="e">
        <f t="shared" ref="J333:J396" si="3">SUM(I333/H333)*100</f>
        <v>#DIV/0!</v>
      </c>
      <c r="K333" s="398"/>
      <c r="L333" s="404"/>
      <c r="M333" s="399"/>
    </row>
    <row r="334" spans="5:13" ht="26.25" hidden="1" thickBot="1" x14ac:dyDescent="0.25">
      <c r="F334" s="503" t="s">
        <v>248</v>
      </c>
      <c r="G334" s="504" t="s">
        <v>249</v>
      </c>
      <c r="H334" s="397"/>
      <c r="I334" s="397"/>
      <c r="J334" s="750" t="e">
        <f t="shared" si="3"/>
        <v>#DIV/0!</v>
      </c>
      <c r="K334" s="398"/>
      <c r="L334" s="404"/>
      <c r="M334" s="399"/>
    </row>
    <row r="335" spans="5:13" ht="13.5" hidden="1" thickBot="1" x14ac:dyDescent="0.25">
      <c r="F335" s="503" t="s">
        <v>250</v>
      </c>
      <c r="G335" s="504" t="s">
        <v>57</v>
      </c>
      <c r="H335" s="397"/>
      <c r="I335" s="397"/>
      <c r="J335" s="750" t="e">
        <f t="shared" si="3"/>
        <v>#DIV/0!</v>
      </c>
      <c r="K335" s="398"/>
      <c r="L335" s="404"/>
      <c r="M335" s="399"/>
    </row>
    <row r="336" spans="5:13" ht="13.5" hidden="1" thickBot="1" x14ac:dyDescent="0.25">
      <c r="F336" s="503" t="s">
        <v>251</v>
      </c>
      <c r="G336" s="504" t="s">
        <v>252</v>
      </c>
      <c r="H336" s="397"/>
      <c r="I336" s="397"/>
      <c r="J336" s="750" t="e">
        <f t="shared" si="3"/>
        <v>#DIV/0!</v>
      </c>
      <c r="K336" s="398"/>
      <c r="L336" s="404"/>
      <c r="M336" s="399"/>
    </row>
    <row r="337" spans="5:13" ht="13.5" hidden="1" thickBot="1" x14ac:dyDescent="0.25">
      <c r="F337" s="503" t="s">
        <v>253</v>
      </c>
      <c r="G337" s="504" t="s">
        <v>254</v>
      </c>
      <c r="H337" s="397"/>
      <c r="I337" s="397"/>
      <c r="J337" s="750" t="e">
        <f t="shared" si="3"/>
        <v>#DIV/0!</v>
      </c>
      <c r="K337" s="398"/>
      <c r="L337" s="404"/>
      <c r="M337" s="399"/>
    </row>
    <row r="338" spans="5:13" ht="26.25" hidden="1" thickBot="1" x14ac:dyDescent="0.25">
      <c r="F338" s="503" t="s">
        <v>255</v>
      </c>
      <c r="G338" s="504" t="s">
        <v>256</v>
      </c>
      <c r="H338" s="397"/>
      <c r="I338" s="397"/>
      <c r="J338" s="750" t="e">
        <f t="shared" si="3"/>
        <v>#DIV/0!</v>
      </c>
      <c r="K338" s="398"/>
      <c r="L338" s="404"/>
      <c r="M338" s="399"/>
    </row>
    <row r="339" spans="5:13" ht="26.25" hidden="1" thickBot="1" x14ac:dyDescent="0.25">
      <c r="F339" s="503" t="s">
        <v>257</v>
      </c>
      <c r="G339" s="504" t="s">
        <v>258</v>
      </c>
      <c r="H339" s="397"/>
      <c r="I339" s="397"/>
      <c r="J339" s="750" t="e">
        <f t="shared" si="3"/>
        <v>#DIV/0!</v>
      </c>
      <c r="K339" s="398"/>
      <c r="L339" s="404"/>
      <c r="M339" s="399"/>
    </row>
    <row r="340" spans="5:13" ht="26.25" hidden="1" thickBot="1" x14ac:dyDescent="0.25">
      <c r="F340" s="503" t="s">
        <v>259</v>
      </c>
      <c r="G340" s="504" t="s">
        <v>260</v>
      </c>
      <c r="H340" s="397"/>
      <c r="I340" s="397"/>
      <c r="J340" s="750" t="e">
        <f t="shared" si="3"/>
        <v>#DIV/0!</v>
      </c>
      <c r="K340" s="398"/>
      <c r="L340" s="404"/>
      <c r="M340" s="399"/>
    </row>
    <row r="341" spans="5:13" ht="26.25" hidden="1" thickBot="1" x14ac:dyDescent="0.25">
      <c r="F341" s="503" t="s">
        <v>261</v>
      </c>
      <c r="G341" s="504" t="s">
        <v>262</v>
      </c>
      <c r="H341" s="397"/>
      <c r="I341" s="397"/>
      <c r="J341" s="750" t="e">
        <f t="shared" si="3"/>
        <v>#DIV/0!</v>
      </c>
      <c r="K341" s="398"/>
      <c r="L341" s="404"/>
      <c r="M341" s="399"/>
    </row>
    <row r="342" spans="5:13" ht="13.5" hidden="1" thickBot="1" x14ac:dyDescent="0.25">
      <c r="F342" s="503" t="s">
        <v>263</v>
      </c>
      <c r="G342" s="504" t="s">
        <v>264</v>
      </c>
      <c r="H342" s="403"/>
      <c r="I342" s="403"/>
      <c r="J342" s="750" t="e">
        <f t="shared" si="3"/>
        <v>#DIV/0!</v>
      </c>
      <c r="K342" s="404"/>
      <c r="L342" s="404"/>
      <c r="M342" s="399"/>
    </row>
    <row r="343" spans="5:13" ht="13.5" thickBot="1" x14ac:dyDescent="0.25">
      <c r="G343" s="505" t="s">
        <v>4207</v>
      </c>
      <c r="H343" s="405">
        <f>SUM(H327)</f>
        <v>3291864</v>
      </c>
      <c r="I343" s="405">
        <f>SUM(I327)</f>
        <v>3033990.63</v>
      </c>
      <c r="J343" s="750">
        <f t="shared" si="3"/>
        <v>92.166341926640953</v>
      </c>
      <c r="K343" s="406">
        <f>SUM(K328:K342)</f>
        <v>0</v>
      </c>
      <c r="L343" s="406"/>
      <c r="M343" s="399"/>
    </row>
    <row r="344" spans="5:13" x14ac:dyDescent="0.2">
      <c r="H344" s="397"/>
      <c r="I344" s="397"/>
      <c r="J344" s="750"/>
      <c r="K344" s="398"/>
      <c r="L344" s="398"/>
      <c r="M344" s="399"/>
    </row>
    <row r="345" spans="5:13" x14ac:dyDescent="0.2">
      <c r="E345" s="500"/>
      <c r="F345" s="498"/>
      <c r="G345" s="511" t="s">
        <v>4205</v>
      </c>
      <c r="H345" s="413"/>
      <c r="I345" s="413"/>
      <c r="J345" s="750"/>
      <c r="K345" s="414"/>
      <c r="L345" s="415"/>
      <c r="M345" s="399"/>
    </row>
    <row r="346" spans="5:13" ht="13.5" thickBot="1" x14ac:dyDescent="0.25">
      <c r="E346" s="502"/>
      <c r="F346" s="503" t="s">
        <v>234</v>
      </c>
      <c r="G346" s="504" t="s">
        <v>235</v>
      </c>
      <c r="H346" s="403">
        <f>SUM(H343)</f>
        <v>3291864</v>
      </c>
      <c r="I346" s="403">
        <f>SUM(I343)</f>
        <v>3033990.63</v>
      </c>
      <c r="J346" s="750">
        <f t="shared" si="3"/>
        <v>92.166341926640953</v>
      </c>
      <c r="K346" s="404"/>
      <c r="L346" s="404"/>
      <c r="M346" s="399"/>
    </row>
    <row r="347" spans="5:13" ht="13.5" hidden="1" thickBot="1" x14ac:dyDescent="0.25">
      <c r="F347" s="503" t="s">
        <v>236</v>
      </c>
      <c r="G347" s="504" t="s">
        <v>237</v>
      </c>
      <c r="H347" s="397"/>
      <c r="I347" s="397"/>
      <c r="J347" s="750" t="e">
        <f t="shared" si="3"/>
        <v>#DIV/0!</v>
      </c>
      <c r="K347" s="398"/>
      <c r="L347" s="404"/>
      <c r="M347" s="399"/>
    </row>
    <row r="348" spans="5:13" ht="13.5" hidden="1" thickBot="1" x14ac:dyDescent="0.25">
      <c r="F348" s="503" t="s">
        <v>238</v>
      </c>
      <c r="G348" s="504" t="s">
        <v>239</v>
      </c>
      <c r="H348" s="397"/>
      <c r="I348" s="397"/>
      <c r="J348" s="750" t="e">
        <f t="shared" si="3"/>
        <v>#DIV/0!</v>
      </c>
      <c r="K348" s="398"/>
      <c r="L348" s="404"/>
      <c r="M348" s="399"/>
    </row>
    <row r="349" spans="5:13" ht="13.5" hidden="1" thickBot="1" x14ac:dyDescent="0.25">
      <c r="F349" s="503" t="s">
        <v>240</v>
      </c>
      <c r="G349" s="504" t="s">
        <v>241</v>
      </c>
      <c r="H349" s="397"/>
      <c r="I349" s="397"/>
      <c r="J349" s="750" t="e">
        <f t="shared" si="3"/>
        <v>#DIV/0!</v>
      </c>
      <c r="K349" s="398"/>
      <c r="L349" s="404"/>
      <c r="M349" s="399"/>
    </row>
    <row r="350" spans="5:13" ht="13.5" hidden="1" thickBot="1" x14ac:dyDescent="0.25">
      <c r="F350" s="503" t="s">
        <v>242</v>
      </c>
      <c r="G350" s="504" t="s">
        <v>243</v>
      </c>
      <c r="H350" s="397"/>
      <c r="I350" s="397"/>
      <c r="J350" s="750" t="e">
        <f t="shared" si="3"/>
        <v>#DIV/0!</v>
      </c>
      <c r="K350" s="398"/>
      <c r="L350" s="404"/>
      <c r="M350" s="399"/>
    </row>
    <row r="351" spans="5:13" ht="13.5" hidden="1" thickBot="1" x14ac:dyDescent="0.25">
      <c r="F351" s="503" t="s">
        <v>244</v>
      </c>
      <c r="G351" s="504" t="s">
        <v>245</v>
      </c>
      <c r="H351" s="397"/>
      <c r="I351" s="397"/>
      <c r="J351" s="750" t="e">
        <f t="shared" si="3"/>
        <v>#DIV/0!</v>
      </c>
      <c r="K351" s="398"/>
      <c r="L351" s="404"/>
      <c r="M351" s="399"/>
    </row>
    <row r="352" spans="5:13" ht="13.5" hidden="1" thickBot="1" x14ac:dyDescent="0.25">
      <c r="F352" s="503" t="s">
        <v>246</v>
      </c>
      <c r="G352" s="504" t="s">
        <v>247</v>
      </c>
      <c r="H352" s="397"/>
      <c r="I352" s="397"/>
      <c r="J352" s="750" t="e">
        <f t="shared" si="3"/>
        <v>#DIV/0!</v>
      </c>
      <c r="K352" s="398"/>
      <c r="L352" s="404"/>
      <c r="M352" s="399"/>
    </row>
    <row r="353" spans="1:13" ht="26.25" hidden="1" thickBot="1" x14ac:dyDescent="0.25">
      <c r="F353" s="503" t="s">
        <v>248</v>
      </c>
      <c r="G353" s="504" t="s">
        <v>249</v>
      </c>
      <c r="H353" s="397"/>
      <c r="I353" s="397"/>
      <c r="J353" s="750" t="e">
        <f t="shared" si="3"/>
        <v>#DIV/0!</v>
      </c>
      <c r="K353" s="398"/>
      <c r="L353" s="404"/>
      <c r="M353" s="399"/>
    </row>
    <row r="354" spans="1:13" ht="13.5" hidden="1" thickBot="1" x14ac:dyDescent="0.25">
      <c r="F354" s="503" t="s">
        <v>250</v>
      </c>
      <c r="G354" s="504" t="s">
        <v>57</v>
      </c>
      <c r="H354" s="397"/>
      <c r="I354" s="397"/>
      <c r="J354" s="750" t="e">
        <f t="shared" si="3"/>
        <v>#DIV/0!</v>
      </c>
      <c r="K354" s="398"/>
      <c r="L354" s="404"/>
      <c r="M354" s="399"/>
    </row>
    <row r="355" spans="1:13" ht="13.5" hidden="1" thickBot="1" x14ac:dyDescent="0.25">
      <c r="F355" s="503" t="s">
        <v>251</v>
      </c>
      <c r="G355" s="504" t="s">
        <v>252</v>
      </c>
      <c r="H355" s="397"/>
      <c r="I355" s="397"/>
      <c r="J355" s="750" t="e">
        <f t="shared" si="3"/>
        <v>#DIV/0!</v>
      </c>
      <c r="K355" s="398"/>
      <c r="L355" s="404"/>
      <c r="M355" s="399"/>
    </row>
    <row r="356" spans="1:13" ht="13.5" hidden="1" thickBot="1" x14ac:dyDescent="0.25">
      <c r="F356" s="503" t="s">
        <v>253</v>
      </c>
      <c r="G356" s="504" t="s">
        <v>254</v>
      </c>
      <c r="H356" s="397"/>
      <c r="I356" s="397"/>
      <c r="J356" s="750" t="e">
        <f t="shared" si="3"/>
        <v>#DIV/0!</v>
      </c>
      <c r="K356" s="398"/>
      <c r="L356" s="404"/>
      <c r="M356" s="399"/>
    </row>
    <row r="357" spans="1:13" ht="26.25" hidden="1" thickBot="1" x14ac:dyDescent="0.25">
      <c r="F357" s="503" t="s">
        <v>255</v>
      </c>
      <c r="G357" s="504" t="s">
        <v>256</v>
      </c>
      <c r="H357" s="397"/>
      <c r="I357" s="397"/>
      <c r="J357" s="750" t="e">
        <f t="shared" si="3"/>
        <v>#DIV/0!</v>
      </c>
      <c r="K357" s="398"/>
      <c r="L357" s="404"/>
      <c r="M357" s="399"/>
    </row>
    <row r="358" spans="1:13" ht="26.25" hidden="1" thickBot="1" x14ac:dyDescent="0.25">
      <c r="F358" s="503" t="s">
        <v>257</v>
      </c>
      <c r="G358" s="504" t="s">
        <v>258</v>
      </c>
      <c r="H358" s="397"/>
      <c r="I358" s="397"/>
      <c r="J358" s="750" t="e">
        <f t="shared" si="3"/>
        <v>#DIV/0!</v>
      </c>
      <c r="K358" s="398"/>
      <c r="L358" s="404"/>
      <c r="M358" s="399"/>
    </row>
    <row r="359" spans="1:13" ht="26.25" hidden="1" thickBot="1" x14ac:dyDescent="0.25">
      <c r="F359" s="503" t="s">
        <v>259</v>
      </c>
      <c r="G359" s="504" t="s">
        <v>260</v>
      </c>
      <c r="H359" s="397"/>
      <c r="I359" s="397"/>
      <c r="J359" s="750" t="e">
        <f t="shared" si="3"/>
        <v>#DIV/0!</v>
      </c>
      <c r="K359" s="398"/>
      <c r="L359" s="404"/>
      <c r="M359" s="399"/>
    </row>
    <row r="360" spans="1:13" ht="26.25" hidden="1" thickBot="1" x14ac:dyDescent="0.25">
      <c r="F360" s="503" t="s">
        <v>261</v>
      </c>
      <c r="G360" s="504" t="s">
        <v>262</v>
      </c>
      <c r="H360" s="397"/>
      <c r="I360" s="397"/>
      <c r="J360" s="750" t="e">
        <f t="shared" si="3"/>
        <v>#DIV/0!</v>
      </c>
      <c r="K360" s="398"/>
      <c r="L360" s="404"/>
      <c r="M360" s="399"/>
    </row>
    <row r="361" spans="1:13" ht="13.5" hidden="1" thickBot="1" x14ac:dyDescent="0.25">
      <c r="F361" s="503" t="s">
        <v>263</v>
      </c>
      <c r="G361" s="504" t="s">
        <v>264</v>
      </c>
      <c r="H361" s="403"/>
      <c r="I361" s="403"/>
      <c r="J361" s="750" t="e">
        <f t="shared" si="3"/>
        <v>#DIV/0!</v>
      </c>
      <c r="K361" s="404"/>
      <c r="L361" s="404"/>
      <c r="M361" s="399"/>
    </row>
    <row r="362" spans="1:13" ht="13.5" thickBot="1" x14ac:dyDescent="0.25">
      <c r="G362" s="505" t="s">
        <v>4210</v>
      </c>
      <c r="H362" s="405">
        <f>SUM(H346)</f>
        <v>3291864</v>
      </c>
      <c r="I362" s="405">
        <f>SUM(I343)</f>
        <v>3033990.63</v>
      </c>
      <c r="J362" s="750">
        <f t="shared" si="3"/>
        <v>92.166341926640953</v>
      </c>
      <c r="K362" s="406">
        <f>SUM(K347:K361)</f>
        <v>0</v>
      </c>
      <c r="L362" s="406"/>
      <c r="M362" s="399"/>
    </row>
    <row r="363" spans="1:13" hidden="1" x14ac:dyDescent="0.2">
      <c r="H363" s="397"/>
      <c r="I363" s="397"/>
      <c r="J363" s="750" t="e">
        <f t="shared" si="3"/>
        <v>#DIV/0!</v>
      </c>
      <c r="K363" s="398"/>
      <c r="L363" s="398"/>
      <c r="M363" s="399"/>
    </row>
    <row r="364" spans="1:13" hidden="1" x14ac:dyDescent="0.2">
      <c r="H364" s="397"/>
      <c r="I364" s="397"/>
      <c r="J364" s="750" t="e">
        <f t="shared" si="3"/>
        <v>#DIV/0!</v>
      </c>
      <c r="K364" s="398"/>
      <c r="L364" s="398"/>
      <c r="M364" s="399"/>
    </row>
    <row r="365" spans="1:13" ht="23.25" customHeight="1" x14ac:dyDescent="0.2">
      <c r="A365" s="483">
        <v>2</v>
      </c>
      <c r="B365" s="483">
        <v>2</v>
      </c>
      <c r="C365" s="484"/>
      <c r="D365" s="485"/>
      <c r="E365" s="485"/>
      <c r="F365" s="485"/>
      <c r="G365" s="512" t="s">
        <v>5288</v>
      </c>
      <c r="H365" s="416"/>
      <c r="I365" s="416"/>
      <c r="J365" s="751"/>
      <c r="K365" s="417"/>
      <c r="L365" s="417"/>
      <c r="M365" s="399"/>
    </row>
    <row r="366" spans="1:13" x14ac:dyDescent="0.2">
      <c r="C366" s="489" t="s">
        <v>3600</v>
      </c>
      <c r="G366" s="513" t="s">
        <v>4166</v>
      </c>
      <c r="H366" s="397"/>
      <c r="I366" s="397"/>
      <c r="J366" s="750"/>
      <c r="K366" s="398"/>
      <c r="L366" s="398"/>
      <c r="M366" s="399"/>
    </row>
    <row r="367" spans="1:13" ht="22.5" customHeight="1" x14ac:dyDescent="0.2">
      <c r="C367" s="489" t="s">
        <v>4134</v>
      </c>
      <c r="D367" s="490"/>
      <c r="G367" s="491" t="s">
        <v>4135</v>
      </c>
      <c r="H367" s="397"/>
      <c r="I367" s="397"/>
      <c r="J367" s="750"/>
      <c r="K367" s="398"/>
      <c r="L367" s="398"/>
      <c r="M367" s="399"/>
    </row>
    <row r="368" spans="1:13" x14ac:dyDescent="0.2">
      <c r="C368" s="489"/>
      <c r="D368" s="492">
        <v>111</v>
      </c>
      <c r="E368" s="492"/>
      <c r="F368" s="492"/>
      <c r="G368" s="514" t="s">
        <v>106</v>
      </c>
      <c r="H368" s="403"/>
      <c r="I368" s="403"/>
      <c r="J368" s="750"/>
      <c r="K368" s="404"/>
      <c r="L368" s="404"/>
      <c r="M368" s="399"/>
    </row>
    <row r="369" spans="5:15" x14ac:dyDescent="0.2">
      <c r="E369" s="464">
        <v>3</v>
      </c>
      <c r="F369" s="494">
        <v>411</v>
      </c>
      <c r="G369" s="515" t="s">
        <v>4167</v>
      </c>
      <c r="H369" s="397">
        <v>3298000</v>
      </c>
      <c r="I369" s="397">
        <v>3282195.18</v>
      </c>
      <c r="J369" s="750">
        <f t="shared" si="3"/>
        <v>99.520775621588839</v>
      </c>
      <c r="K369" s="398"/>
      <c r="L369" s="398"/>
      <c r="M369" s="399"/>
    </row>
    <row r="370" spans="5:15" x14ac:dyDescent="0.2">
      <c r="E370" s="464">
        <v>4</v>
      </c>
      <c r="F370" s="494">
        <v>412</v>
      </c>
      <c r="G370" s="516" t="s">
        <v>3764</v>
      </c>
      <c r="H370" s="397">
        <v>590000</v>
      </c>
      <c r="I370" s="397">
        <v>587512.93000000005</v>
      </c>
      <c r="J370" s="750">
        <f t="shared" si="3"/>
        <v>99.578462711864418</v>
      </c>
      <c r="K370" s="398"/>
      <c r="L370" s="398"/>
      <c r="M370" s="399"/>
    </row>
    <row r="371" spans="5:15" hidden="1" x14ac:dyDescent="0.2">
      <c r="F371" s="494">
        <v>413</v>
      </c>
      <c r="G371" s="495" t="s">
        <v>4168</v>
      </c>
      <c r="H371" s="397"/>
      <c r="I371" s="397"/>
      <c r="J371" s="750" t="e">
        <f t="shared" si="3"/>
        <v>#DIV/0!</v>
      </c>
      <c r="K371" s="398"/>
      <c r="L371" s="398"/>
      <c r="M371" s="399"/>
    </row>
    <row r="372" spans="5:15" hidden="1" x14ac:dyDescent="0.2">
      <c r="F372" s="494">
        <v>414</v>
      </c>
      <c r="G372" s="495" t="s">
        <v>3767</v>
      </c>
      <c r="H372" s="397"/>
      <c r="I372" s="397"/>
      <c r="J372" s="750" t="e">
        <f t="shared" si="3"/>
        <v>#DIV/0!</v>
      </c>
      <c r="K372" s="398"/>
      <c r="L372" s="398"/>
      <c r="M372" s="399"/>
    </row>
    <row r="373" spans="5:15" hidden="1" x14ac:dyDescent="0.2">
      <c r="F373" s="494">
        <v>415</v>
      </c>
      <c r="G373" s="495" t="s">
        <v>4177</v>
      </c>
      <c r="H373" s="397"/>
      <c r="I373" s="397"/>
      <c r="J373" s="750" t="e">
        <f t="shared" si="3"/>
        <v>#DIV/0!</v>
      </c>
      <c r="K373" s="398"/>
      <c r="L373" s="398"/>
      <c r="M373" s="399"/>
    </row>
    <row r="374" spans="5:15" ht="25.5" hidden="1" x14ac:dyDescent="0.2">
      <c r="F374" s="494">
        <v>416</v>
      </c>
      <c r="G374" s="495" t="s">
        <v>4178</v>
      </c>
      <c r="H374" s="397"/>
      <c r="I374" s="397"/>
      <c r="J374" s="750" t="e">
        <f t="shared" si="3"/>
        <v>#DIV/0!</v>
      </c>
      <c r="K374" s="398"/>
      <c r="L374" s="398"/>
      <c r="M374" s="399"/>
    </row>
    <row r="375" spans="5:15" hidden="1" x14ac:dyDescent="0.2">
      <c r="F375" s="494">
        <v>417</v>
      </c>
      <c r="G375" s="495" t="s">
        <v>4179</v>
      </c>
      <c r="H375" s="397"/>
      <c r="I375" s="397"/>
      <c r="J375" s="750" t="e">
        <f t="shared" si="3"/>
        <v>#DIV/0!</v>
      </c>
      <c r="K375" s="398"/>
      <c r="L375" s="398"/>
      <c r="M375" s="399"/>
    </row>
    <row r="376" spans="5:15" hidden="1" x14ac:dyDescent="0.2">
      <c r="F376" s="494">
        <v>418</v>
      </c>
      <c r="G376" s="495" t="s">
        <v>3773</v>
      </c>
      <c r="H376" s="397"/>
      <c r="I376" s="397"/>
      <c r="J376" s="750" t="e">
        <f t="shared" si="3"/>
        <v>#DIV/0!</v>
      </c>
      <c r="K376" s="398"/>
      <c r="L376" s="398"/>
      <c r="M376" s="399"/>
    </row>
    <row r="377" spans="5:15" hidden="1" x14ac:dyDescent="0.2">
      <c r="F377" s="494">
        <v>421</v>
      </c>
      <c r="G377" s="495" t="s">
        <v>3777</v>
      </c>
      <c r="H377" s="397"/>
      <c r="I377" s="397"/>
      <c r="J377" s="750" t="e">
        <f t="shared" si="3"/>
        <v>#DIV/0!</v>
      </c>
      <c r="K377" s="398"/>
      <c r="L377" s="398"/>
      <c r="M377" s="399"/>
    </row>
    <row r="378" spans="5:15" x14ac:dyDescent="0.2">
      <c r="E378" s="464">
        <v>5</v>
      </c>
      <c r="F378" s="494">
        <v>422</v>
      </c>
      <c r="G378" s="495" t="s">
        <v>3778</v>
      </c>
      <c r="H378" s="397">
        <v>100000</v>
      </c>
      <c r="I378" s="397">
        <v>76826.259999999995</v>
      </c>
      <c r="J378" s="750">
        <f t="shared" si="3"/>
        <v>76.826259999999991</v>
      </c>
      <c r="K378" s="398"/>
      <c r="L378" s="398"/>
      <c r="M378" s="399"/>
      <c r="O378" s="517"/>
    </row>
    <row r="379" spans="5:15" x14ac:dyDescent="0.2">
      <c r="E379" s="464">
        <v>6</v>
      </c>
      <c r="F379" s="494">
        <v>423</v>
      </c>
      <c r="G379" s="515" t="s">
        <v>3779</v>
      </c>
      <c r="H379" s="397">
        <v>5142000</v>
      </c>
      <c r="I379" s="397">
        <v>4190348.88</v>
      </c>
      <c r="J379" s="750">
        <f t="shared" si="3"/>
        <v>81.492588098016341</v>
      </c>
      <c r="K379" s="398"/>
      <c r="L379" s="398"/>
      <c r="M379" s="399"/>
      <c r="O379" s="517"/>
    </row>
    <row r="380" spans="5:15" hidden="1" x14ac:dyDescent="0.2">
      <c r="F380" s="494">
        <v>424</v>
      </c>
      <c r="G380" s="495" t="s">
        <v>3781</v>
      </c>
      <c r="H380" s="397"/>
      <c r="I380" s="397"/>
      <c r="J380" s="750" t="e">
        <f t="shared" si="3"/>
        <v>#DIV/0!</v>
      </c>
      <c r="K380" s="398"/>
      <c r="L380" s="398"/>
      <c r="M380" s="399"/>
    </row>
    <row r="381" spans="5:15" hidden="1" x14ac:dyDescent="0.2">
      <c r="F381" s="494">
        <v>425</v>
      </c>
      <c r="G381" s="495" t="s">
        <v>4180</v>
      </c>
      <c r="H381" s="397"/>
      <c r="I381" s="397"/>
      <c r="J381" s="750" t="e">
        <f t="shared" si="3"/>
        <v>#DIV/0!</v>
      </c>
      <c r="K381" s="398"/>
      <c r="L381" s="398"/>
      <c r="M381" s="399"/>
    </row>
    <row r="382" spans="5:15" hidden="1" x14ac:dyDescent="0.2">
      <c r="F382" s="494">
        <v>426</v>
      </c>
      <c r="G382" s="495" t="s">
        <v>3785</v>
      </c>
      <c r="H382" s="397"/>
      <c r="I382" s="397"/>
      <c r="J382" s="750" t="e">
        <f t="shared" si="3"/>
        <v>#DIV/0!</v>
      </c>
      <c r="K382" s="398"/>
      <c r="L382" s="398"/>
      <c r="M382" s="399"/>
    </row>
    <row r="383" spans="5:15" hidden="1" x14ac:dyDescent="0.2">
      <c r="F383" s="494">
        <v>431</v>
      </c>
      <c r="G383" s="495" t="s">
        <v>4181</v>
      </c>
      <c r="H383" s="397"/>
      <c r="I383" s="397"/>
      <c r="J383" s="750" t="e">
        <f t="shared" si="3"/>
        <v>#DIV/0!</v>
      </c>
      <c r="K383" s="398"/>
      <c r="L383" s="398"/>
      <c r="M383" s="399"/>
    </row>
    <row r="384" spans="5:15" hidden="1" x14ac:dyDescent="0.2">
      <c r="F384" s="494">
        <v>432</v>
      </c>
      <c r="G384" s="495" t="s">
        <v>4182</v>
      </c>
      <c r="H384" s="397"/>
      <c r="I384" s="397"/>
      <c r="J384" s="750" t="e">
        <f t="shared" si="3"/>
        <v>#DIV/0!</v>
      </c>
      <c r="K384" s="398"/>
      <c r="L384" s="398"/>
      <c r="M384" s="399"/>
    </row>
    <row r="385" spans="5:15" hidden="1" x14ac:dyDescent="0.2">
      <c r="F385" s="494">
        <v>433</v>
      </c>
      <c r="G385" s="495" t="s">
        <v>4183</v>
      </c>
      <c r="H385" s="397"/>
      <c r="I385" s="397"/>
      <c r="J385" s="750" t="e">
        <f t="shared" si="3"/>
        <v>#DIV/0!</v>
      </c>
      <c r="K385" s="398"/>
      <c r="L385" s="398"/>
      <c r="M385" s="399"/>
    </row>
    <row r="386" spans="5:15" hidden="1" x14ac:dyDescent="0.2">
      <c r="F386" s="494">
        <v>434</v>
      </c>
      <c r="G386" s="495" t="s">
        <v>4184</v>
      </c>
      <c r="H386" s="397"/>
      <c r="I386" s="397"/>
      <c r="J386" s="750" t="e">
        <f t="shared" si="3"/>
        <v>#DIV/0!</v>
      </c>
      <c r="K386" s="398"/>
      <c r="L386" s="398"/>
      <c r="M386" s="399"/>
    </row>
    <row r="387" spans="5:15" hidden="1" x14ac:dyDescent="0.2">
      <c r="F387" s="494">
        <v>435</v>
      </c>
      <c r="G387" s="495" t="s">
        <v>3792</v>
      </c>
      <c r="H387" s="397"/>
      <c r="I387" s="397"/>
      <c r="J387" s="750" t="e">
        <f t="shared" si="3"/>
        <v>#DIV/0!</v>
      </c>
      <c r="K387" s="398"/>
      <c r="L387" s="398"/>
      <c r="M387" s="399"/>
    </row>
    <row r="388" spans="5:15" hidden="1" x14ac:dyDescent="0.2">
      <c r="F388" s="494">
        <v>441</v>
      </c>
      <c r="G388" s="495" t="s">
        <v>4185</v>
      </c>
      <c r="H388" s="397"/>
      <c r="I388" s="397"/>
      <c r="J388" s="750" t="e">
        <f t="shared" si="3"/>
        <v>#DIV/0!</v>
      </c>
      <c r="K388" s="398"/>
      <c r="L388" s="398"/>
      <c r="M388" s="399"/>
    </row>
    <row r="389" spans="5:15" hidden="1" x14ac:dyDescent="0.2">
      <c r="F389" s="494">
        <v>442</v>
      </c>
      <c r="G389" s="495" t="s">
        <v>4186</v>
      </c>
      <c r="H389" s="397"/>
      <c r="I389" s="397"/>
      <c r="J389" s="750" t="e">
        <f t="shared" si="3"/>
        <v>#DIV/0!</v>
      </c>
      <c r="K389" s="398"/>
      <c r="L389" s="398"/>
      <c r="M389" s="399"/>
    </row>
    <row r="390" spans="5:15" hidden="1" x14ac:dyDescent="0.2">
      <c r="F390" s="494">
        <v>443</v>
      </c>
      <c r="G390" s="495" t="s">
        <v>3797</v>
      </c>
      <c r="H390" s="397"/>
      <c r="I390" s="397"/>
      <c r="J390" s="750" t="e">
        <f t="shared" si="3"/>
        <v>#DIV/0!</v>
      </c>
      <c r="K390" s="398"/>
      <c r="L390" s="398"/>
      <c r="M390" s="399"/>
    </row>
    <row r="391" spans="5:15" hidden="1" x14ac:dyDescent="0.2">
      <c r="F391" s="494">
        <v>444</v>
      </c>
      <c r="G391" s="495" t="s">
        <v>3798</v>
      </c>
      <c r="H391" s="397"/>
      <c r="I391" s="397"/>
      <c r="J391" s="750" t="e">
        <f t="shared" si="3"/>
        <v>#DIV/0!</v>
      </c>
      <c r="K391" s="398"/>
      <c r="L391" s="398"/>
      <c r="M391" s="399"/>
    </row>
    <row r="392" spans="5:15" ht="15" customHeight="1" x14ac:dyDescent="0.2">
      <c r="F392" s="494"/>
      <c r="G392" s="518" t="s">
        <v>5296</v>
      </c>
      <c r="H392" s="397"/>
      <c r="I392" s="397"/>
      <c r="J392" s="750"/>
      <c r="K392" s="398"/>
      <c r="L392" s="398"/>
      <c r="M392" s="399"/>
      <c r="O392" s="517"/>
    </row>
    <row r="393" spans="5:15" ht="25.5" x14ac:dyDescent="0.2">
      <c r="E393" s="464">
        <v>7</v>
      </c>
      <c r="F393" s="494">
        <v>4511</v>
      </c>
      <c r="G393" s="466" t="s">
        <v>1692</v>
      </c>
      <c r="H393" s="397">
        <v>3900000</v>
      </c>
      <c r="I393" s="397">
        <v>3900000</v>
      </c>
      <c r="J393" s="750">
        <f t="shared" si="3"/>
        <v>100</v>
      </c>
      <c r="K393" s="398"/>
      <c r="L393" s="398"/>
      <c r="M393" s="399"/>
      <c r="O393" s="517"/>
    </row>
    <row r="394" spans="5:15" ht="25.5" hidden="1" x14ac:dyDescent="0.2">
      <c r="F394" s="494">
        <v>4512</v>
      </c>
      <c r="G394" s="466" t="s">
        <v>1701</v>
      </c>
      <c r="H394" s="397"/>
      <c r="I394" s="397"/>
      <c r="J394" s="750" t="e">
        <f t="shared" si="3"/>
        <v>#DIV/0!</v>
      </c>
      <c r="K394" s="398"/>
      <c r="L394" s="398"/>
      <c r="M394" s="399"/>
    </row>
    <row r="395" spans="5:15" ht="25.5" hidden="1" x14ac:dyDescent="0.2">
      <c r="F395" s="494">
        <v>452</v>
      </c>
      <c r="G395" s="495" t="s">
        <v>4187</v>
      </c>
      <c r="H395" s="397"/>
      <c r="I395" s="397"/>
      <c r="J395" s="750" t="e">
        <f t="shared" si="3"/>
        <v>#DIV/0!</v>
      </c>
      <c r="K395" s="398"/>
      <c r="L395" s="398"/>
      <c r="M395" s="399"/>
    </row>
    <row r="396" spans="5:15" ht="25.5" hidden="1" x14ac:dyDescent="0.2">
      <c r="F396" s="494">
        <v>453</v>
      </c>
      <c r="G396" s="495" t="s">
        <v>4188</v>
      </c>
      <c r="H396" s="397"/>
      <c r="I396" s="397"/>
      <c r="J396" s="750" t="e">
        <f t="shared" si="3"/>
        <v>#DIV/0!</v>
      </c>
      <c r="K396" s="398"/>
      <c r="L396" s="398"/>
      <c r="M396" s="399"/>
    </row>
    <row r="397" spans="5:15" hidden="1" x14ac:dyDescent="0.2">
      <c r="F397" s="494">
        <v>454</v>
      </c>
      <c r="G397" s="495" t="s">
        <v>3803</v>
      </c>
      <c r="H397" s="397"/>
      <c r="I397" s="397"/>
      <c r="J397" s="750" t="e">
        <f t="shared" ref="J397:J460" si="4">SUM(I397/H397)*100</f>
        <v>#DIV/0!</v>
      </c>
      <c r="K397" s="398"/>
      <c r="L397" s="398"/>
      <c r="M397" s="399"/>
    </row>
    <row r="398" spans="5:15" hidden="1" x14ac:dyDescent="0.2">
      <c r="F398" s="494">
        <v>461</v>
      </c>
      <c r="G398" s="495" t="s">
        <v>4169</v>
      </c>
      <c r="H398" s="397"/>
      <c r="I398" s="397"/>
      <c r="J398" s="750" t="e">
        <f t="shared" si="4"/>
        <v>#DIV/0!</v>
      </c>
      <c r="K398" s="398"/>
      <c r="L398" s="398"/>
      <c r="M398" s="399"/>
    </row>
    <row r="399" spans="5:15" ht="25.5" hidden="1" x14ac:dyDescent="0.2">
      <c r="F399" s="494">
        <v>462</v>
      </c>
      <c r="G399" s="495" t="s">
        <v>3806</v>
      </c>
      <c r="H399" s="397"/>
      <c r="I399" s="397"/>
      <c r="J399" s="750" t="e">
        <f t="shared" si="4"/>
        <v>#DIV/0!</v>
      </c>
      <c r="K399" s="398"/>
      <c r="L399" s="398"/>
      <c r="M399" s="399"/>
    </row>
    <row r="400" spans="5:15" hidden="1" x14ac:dyDescent="0.2">
      <c r="F400" s="494">
        <v>4631</v>
      </c>
      <c r="G400" s="495" t="s">
        <v>3807</v>
      </c>
      <c r="H400" s="397"/>
      <c r="I400" s="397"/>
      <c r="J400" s="750" t="e">
        <f t="shared" si="4"/>
        <v>#DIV/0!</v>
      </c>
      <c r="K400" s="398"/>
      <c r="L400" s="398"/>
      <c r="M400" s="399"/>
    </row>
    <row r="401" spans="5:13" hidden="1" x14ac:dyDescent="0.2">
      <c r="F401" s="494">
        <v>4632</v>
      </c>
      <c r="G401" s="495" t="s">
        <v>3808</v>
      </c>
      <c r="H401" s="397"/>
      <c r="I401" s="397"/>
      <c r="J401" s="750" t="e">
        <f t="shared" si="4"/>
        <v>#DIV/0!</v>
      </c>
      <c r="K401" s="398"/>
      <c r="L401" s="398"/>
      <c r="M401" s="399"/>
    </row>
    <row r="402" spans="5:13" ht="25.5" hidden="1" x14ac:dyDescent="0.2">
      <c r="F402" s="494">
        <v>464</v>
      </c>
      <c r="G402" s="495" t="s">
        <v>3809</v>
      </c>
      <c r="H402" s="397"/>
      <c r="I402" s="397"/>
      <c r="J402" s="750" t="e">
        <f t="shared" si="4"/>
        <v>#DIV/0!</v>
      </c>
      <c r="K402" s="398"/>
      <c r="L402" s="398"/>
      <c r="M402" s="399"/>
    </row>
    <row r="403" spans="5:13" x14ac:dyDescent="0.2">
      <c r="E403" s="464">
        <v>8</v>
      </c>
      <c r="F403" s="494">
        <v>465</v>
      </c>
      <c r="G403" s="495" t="s">
        <v>4170</v>
      </c>
      <c r="H403" s="397">
        <v>467000</v>
      </c>
      <c r="I403" s="397">
        <v>466275.72</v>
      </c>
      <c r="J403" s="750">
        <f t="shared" si="4"/>
        <v>99.844907922912199</v>
      </c>
      <c r="K403" s="398"/>
      <c r="L403" s="398"/>
      <c r="M403" s="399"/>
    </row>
    <row r="404" spans="5:13" hidden="1" x14ac:dyDescent="0.2">
      <c r="F404" s="494">
        <v>472</v>
      </c>
      <c r="G404" s="495" t="s">
        <v>3813</v>
      </c>
      <c r="H404" s="397"/>
      <c r="I404" s="397"/>
      <c r="J404" s="750" t="e">
        <f t="shared" si="4"/>
        <v>#DIV/0!</v>
      </c>
      <c r="K404" s="398"/>
      <c r="L404" s="398"/>
      <c r="M404" s="399"/>
    </row>
    <row r="405" spans="5:13" hidden="1" x14ac:dyDescent="0.2">
      <c r="F405" s="494">
        <v>481</v>
      </c>
      <c r="G405" s="495" t="s">
        <v>4189</v>
      </c>
      <c r="H405" s="397"/>
      <c r="I405" s="397"/>
      <c r="J405" s="750" t="e">
        <f t="shared" si="4"/>
        <v>#DIV/0!</v>
      </c>
      <c r="K405" s="398"/>
      <c r="L405" s="398"/>
      <c r="M405" s="399"/>
    </row>
    <row r="406" spans="5:13" hidden="1" x14ac:dyDescent="0.2">
      <c r="F406" s="494">
        <v>482</v>
      </c>
      <c r="G406" s="495" t="s">
        <v>4190</v>
      </c>
      <c r="H406" s="397"/>
      <c r="I406" s="397"/>
      <c r="J406" s="750" t="e">
        <f t="shared" si="4"/>
        <v>#DIV/0!</v>
      </c>
      <c r="K406" s="398"/>
      <c r="L406" s="398"/>
      <c r="M406" s="399"/>
    </row>
    <row r="407" spans="5:13" x14ac:dyDescent="0.2">
      <c r="E407" s="464">
        <v>9</v>
      </c>
      <c r="F407" s="494">
        <v>483</v>
      </c>
      <c r="G407" s="497" t="s">
        <v>4191</v>
      </c>
      <c r="H407" s="397">
        <v>2680000</v>
      </c>
      <c r="I407" s="397">
        <v>2660428.2599999998</v>
      </c>
      <c r="J407" s="750">
        <f t="shared" si="4"/>
        <v>99.269711194029838</v>
      </c>
      <c r="K407" s="398"/>
      <c r="L407" s="398"/>
      <c r="M407" s="399"/>
    </row>
    <row r="408" spans="5:13" ht="38.25" hidden="1" x14ac:dyDescent="0.2">
      <c r="F408" s="494">
        <v>484</v>
      </c>
      <c r="G408" s="495" t="s">
        <v>4192</v>
      </c>
      <c r="H408" s="397"/>
      <c r="I408" s="397"/>
      <c r="J408" s="750" t="e">
        <f t="shared" si="4"/>
        <v>#DIV/0!</v>
      </c>
      <c r="K408" s="398"/>
      <c r="L408" s="398"/>
      <c r="M408" s="399"/>
    </row>
    <row r="409" spans="5:13" ht="26.25" thickBot="1" x14ac:dyDescent="0.25">
      <c r="E409" s="464">
        <v>10</v>
      </c>
      <c r="F409" s="494">
        <v>485</v>
      </c>
      <c r="G409" s="495" t="s">
        <v>4193</v>
      </c>
      <c r="H409" s="397">
        <v>2056171</v>
      </c>
      <c r="I409" s="397">
        <v>1947283.86</v>
      </c>
      <c r="J409" s="750">
        <f t="shared" si="4"/>
        <v>94.704373323035881</v>
      </c>
      <c r="K409" s="398"/>
      <c r="L409" s="398"/>
      <c r="M409" s="399"/>
    </row>
    <row r="410" spans="5:13" ht="26.25" hidden="1" thickBot="1" x14ac:dyDescent="0.25">
      <c r="F410" s="494">
        <v>489</v>
      </c>
      <c r="G410" s="495" t="s">
        <v>3821</v>
      </c>
      <c r="H410" s="397"/>
      <c r="I410" s="397"/>
      <c r="J410" s="750" t="e">
        <f t="shared" si="4"/>
        <v>#DIV/0!</v>
      </c>
      <c r="K410" s="398"/>
      <c r="L410" s="398"/>
      <c r="M410" s="399"/>
    </row>
    <row r="411" spans="5:13" ht="26.25" hidden="1" thickBot="1" x14ac:dyDescent="0.25">
      <c r="F411" s="494">
        <v>494</v>
      </c>
      <c r="G411" s="495" t="s">
        <v>4171</v>
      </c>
      <c r="H411" s="397"/>
      <c r="I411" s="397"/>
      <c r="J411" s="750" t="e">
        <f t="shared" si="4"/>
        <v>#DIV/0!</v>
      </c>
      <c r="K411" s="398"/>
      <c r="L411" s="398"/>
      <c r="M411" s="399"/>
    </row>
    <row r="412" spans="5:13" ht="26.25" hidden="1" thickBot="1" x14ac:dyDescent="0.25">
      <c r="F412" s="494">
        <v>495</v>
      </c>
      <c r="G412" s="495" t="s">
        <v>4172</v>
      </c>
      <c r="H412" s="397"/>
      <c r="I412" s="397"/>
      <c r="J412" s="750" t="e">
        <f t="shared" si="4"/>
        <v>#DIV/0!</v>
      </c>
      <c r="K412" s="398"/>
      <c r="L412" s="398"/>
      <c r="M412" s="399"/>
    </row>
    <row r="413" spans="5:13" ht="39" hidden="1" thickBot="1" x14ac:dyDescent="0.25">
      <c r="F413" s="494">
        <v>496</v>
      </c>
      <c r="G413" s="495" t="s">
        <v>4173</v>
      </c>
      <c r="H413" s="397"/>
      <c r="I413" s="397"/>
      <c r="J413" s="750" t="e">
        <f t="shared" si="4"/>
        <v>#DIV/0!</v>
      </c>
      <c r="K413" s="398"/>
      <c r="L413" s="398"/>
      <c r="M413" s="399"/>
    </row>
    <row r="414" spans="5:13" ht="26.25" hidden="1" thickBot="1" x14ac:dyDescent="0.25">
      <c r="F414" s="494">
        <v>499</v>
      </c>
      <c r="G414" s="495" t="s">
        <v>4174</v>
      </c>
      <c r="H414" s="397"/>
      <c r="I414" s="397"/>
      <c r="J414" s="750" t="e">
        <f t="shared" si="4"/>
        <v>#DIV/0!</v>
      </c>
      <c r="K414" s="398"/>
      <c r="L414" s="398"/>
      <c r="M414" s="399"/>
    </row>
    <row r="415" spans="5:13" ht="13.5" hidden="1" thickBot="1" x14ac:dyDescent="0.25">
      <c r="F415" s="494">
        <v>511</v>
      </c>
      <c r="G415" s="497" t="s">
        <v>4194</v>
      </c>
      <c r="H415" s="397"/>
      <c r="I415" s="397"/>
      <c r="J415" s="750" t="e">
        <f t="shared" si="4"/>
        <v>#DIV/0!</v>
      </c>
      <c r="K415" s="398"/>
      <c r="L415" s="398"/>
      <c r="M415" s="399"/>
    </row>
    <row r="416" spans="5:13" ht="13.5" hidden="1" thickBot="1" x14ac:dyDescent="0.25">
      <c r="F416" s="494">
        <v>512</v>
      </c>
      <c r="G416" s="497" t="s">
        <v>4195</v>
      </c>
      <c r="H416" s="397"/>
      <c r="I416" s="397"/>
      <c r="J416" s="750" t="e">
        <f t="shared" si="4"/>
        <v>#DIV/0!</v>
      </c>
      <c r="K416" s="398"/>
      <c r="L416" s="398"/>
      <c r="M416" s="399"/>
    </row>
    <row r="417" spans="5:13" ht="13.5" hidden="1" thickBot="1" x14ac:dyDescent="0.25">
      <c r="F417" s="494">
        <v>513</v>
      </c>
      <c r="G417" s="497" t="s">
        <v>4196</v>
      </c>
      <c r="H417" s="397"/>
      <c r="I417" s="397"/>
      <c r="J417" s="750" t="e">
        <f t="shared" si="4"/>
        <v>#DIV/0!</v>
      </c>
      <c r="K417" s="398"/>
      <c r="L417" s="398"/>
      <c r="M417" s="399"/>
    </row>
    <row r="418" spans="5:13" ht="13.5" hidden="1" thickBot="1" x14ac:dyDescent="0.25">
      <c r="F418" s="494">
        <v>514</v>
      </c>
      <c r="G418" s="495" t="s">
        <v>4197</v>
      </c>
      <c r="H418" s="397"/>
      <c r="I418" s="397"/>
      <c r="J418" s="750" t="e">
        <f t="shared" si="4"/>
        <v>#DIV/0!</v>
      </c>
      <c r="K418" s="398"/>
      <c r="L418" s="398"/>
      <c r="M418" s="399"/>
    </row>
    <row r="419" spans="5:13" ht="13.5" hidden="1" thickBot="1" x14ac:dyDescent="0.25">
      <c r="F419" s="494">
        <v>515</v>
      </c>
      <c r="G419" s="495" t="s">
        <v>3832</v>
      </c>
      <c r="H419" s="397"/>
      <c r="I419" s="397"/>
      <c r="J419" s="750" t="e">
        <f t="shared" si="4"/>
        <v>#DIV/0!</v>
      </c>
      <c r="K419" s="398"/>
      <c r="L419" s="398"/>
      <c r="M419" s="399"/>
    </row>
    <row r="420" spans="5:13" ht="13.5" hidden="1" thickBot="1" x14ac:dyDescent="0.25">
      <c r="F420" s="494">
        <v>521</v>
      </c>
      <c r="G420" s="495" t="s">
        <v>4198</v>
      </c>
      <c r="H420" s="397"/>
      <c r="I420" s="397"/>
      <c r="J420" s="750" t="e">
        <f t="shared" si="4"/>
        <v>#DIV/0!</v>
      </c>
      <c r="K420" s="398"/>
      <c r="L420" s="398"/>
      <c r="M420" s="399"/>
    </row>
    <row r="421" spans="5:13" ht="13.5" hidden="1" thickBot="1" x14ac:dyDescent="0.25">
      <c r="F421" s="494">
        <v>522</v>
      </c>
      <c r="G421" s="495" t="s">
        <v>4199</v>
      </c>
      <c r="H421" s="397"/>
      <c r="I421" s="397"/>
      <c r="J421" s="750" t="e">
        <f t="shared" si="4"/>
        <v>#DIV/0!</v>
      </c>
      <c r="K421" s="398"/>
      <c r="L421" s="398"/>
      <c r="M421" s="399"/>
    </row>
    <row r="422" spans="5:13" ht="13.5" hidden="1" thickBot="1" x14ac:dyDescent="0.25">
      <c r="F422" s="494">
        <v>523</v>
      </c>
      <c r="G422" s="495" t="s">
        <v>3837</v>
      </c>
      <c r="H422" s="397"/>
      <c r="I422" s="397"/>
      <c r="J422" s="750" t="e">
        <f t="shared" si="4"/>
        <v>#DIV/0!</v>
      </c>
      <c r="K422" s="398"/>
      <c r="L422" s="398"/>
      <c r="M422" s="399"/>
    </row>
    <row r="423" spans="5:13" ht="13.5" hidden="1" thickBot="1" x14ac:dyDescent="0.25">
      <c r="F423" s="494">
        <v>531</v>
      </c>
      <c r="G423" s="496" t="s">
        <v>4175</v>
      </c>
      <c r="H423" s="397"/>
      <c r="I423" s="397"/>
      <c r="J423" s="750" t="e">
        <f t="shared" si="4"/>
        <v>#DIV/0!</v>
      </c>
      <c r="K423" s="398"/>
      <c r="L423" s="398"/>
      <c r="M423" s="399"/>
    </row>
    <row r="424" spans="5:13" ht="13.5" hidden="1" thickBot="1" x14ac:dyDescent="0.25">
      <c r="F424" s="494">
        <v>541</v>
      </c>
      <c r="G424" s="495" t="s">
        <v>4200</v>
      </c>
      <c r="H424" s="397"/>
      <c r="I424" s="397"/>
      <c r="J424" s="750" t="e">
        <f t="shared" si="4"/>
        <v>#DIV/0!</v>
      </c>
      <c r="K424" s="398"/>
      <c r="L424" s="398"/>
      <c r="M424" s="399"/>
    </row>
    <row r="425" spans="5:13" ht="13.5" hidden="1" thickBot="1" x14ac:dyDescent="0.25">
      <c r="F425" s="494">
        <v>542</v>
      </c>
      <c r="G425" s="495" t="s">
        <v>4201</v>
      </c>
      <c r="H425" s="397"/>
      <c r="I425" s="397"/>
      <c r="J425" s="750" t="e">
        <f t="shared" si="4"/>
        <v>#DIV/0!</v>
      </c>
      <c r="K425" s="398"/>
      <c r="L425" s="398"/>
      <c r="M425" s="399"/>
    </row>
    <row r="426" spans="5:13" ht="13.5" hidden="1" thickBot="1" x14ac:dyDescent="0.25">
      <c r="F426" s="494">
        <v>543</v>
      </c>
      <c r="G426" s="495" t="s">
        <v>3842</v>
      </c>
      <c r="H426" s="397"/>
      <c r="I426" s="397"/>
      <c r="J426" s="750" t="e">
        <f t="shared" si="4"/>
        <v>#DIV/0!</v>
      </c>
      <c r="K426" s="398"/>
      <c r="L426" s="398"/>
      <c r="M426" s="399"/>
    </row>
    <row r="427" spans="5:13" ht="39" hidden="1" thickBot="1" x14ac:dyDescent="0.25">
      <c r="F427" s="494">
        <v>551</v>
      </c>
      <c r="G427" s="495" t="s">
        <v>4176</v>
      </c>
      <c r="H427" s="397"/>
      <c r="I427" s="397"/>
      <c r="J427" s="750" t="e">
        <f t="shared" si="4"/>
        <v>#DIV/0!</v>
      </c>
      <c r="K427" s="398"/>
      <c r="L427" s="398"/>
      <c r="M427" s="399"/>
    </row>
    <row r="428" spans="5:13" ht="13.5" hidden="1" thickBot="1" x14ac:dyDescent="0.25">
      <c r="F428" s="498">
        <v>611</v>
      </c>
      <c r="G428" s="499" t="s">
        <v>3848</v>
      </c>
      <c r="H428" s="397"/>
      <c r="I428" s="397"/>
      <c r="J428" s="750" t="e">
        <f t="shared" si="4"/>
        <v>#DIV/0!</v>
      </c>
      <c r="K428" s="398"/>
      <c r="L428" s="398"/>
      <c r="M428" s="399"/>
    </row>
    <row r="429" spans="5:13" ht="13.5" hidden="1" thickBot="1" x14ac:dyDescent="0.25">
      <c r="F429" s="498">
        <v>620</v>
      </c>
      <c r="G429" s="499" t="s">
        <v>88</v>
      </c>
      <c r="H429" s="397"/>
      <c r="I429" s="397"/>
      <c r="J429" s="750" t="e">
        <f t="shared" si="4"/>
        <v>#DIV/0!</v>
      </c>
      <c r="K429" s="398"/>
      <c r="L429" s="398"/>
      <c r="M429" s="399"/>
    </row>
    <row r="430" spans="5:13" x14ac:dyDescent="0.2">
      <c r="E430" s="500"/>
      <c r="F430" s="498"/>
      <c r="G430" s="501" t="s">
        <v>4284</v>
      </c>
      <c r="H430" s="400"/>
      <c r="I430" s="400"/>
      <c r="J430" s="750"/>
      <c r="K430" s="401"/>
      <c r="L430" s="402"/>
      <c r="M430" s="399"/>
    </row>
    <row r="431" spans="5:13" x14ac:dyDescent="0.2">
      <c r="E431" s="502"/>
      <c r="F431" s="503" t="s">
        <v>234</v>
      </c>
      <c r="G431" s="504" t="s">
        <v>235</v>
      </c>
      <c r="H431" s="403">
        <v>17577000</v>
      </c>
      <c r="I431" s="403">
        <f>SUM(I369:I409)</f>
        <v>17110871.09</v>
      </c>
      <c r="J431" s="750">
        <f t="shared" si="4"/>
        <v>97.34807469989191</v>
      </c>
      <c r="K431" s="404"/>
      <c r="L431" s="404"/>
      <c r="M431" s="399"/>
    </row>
    <row r="432" spans="5:13" hidden="1" x14ac:dyDescent="0.2">
      <c r="F432" s="503" t="s">
        <v>236</v>
      </c>
      <c r="G432" s="504" t="s">
        <v>237</v>
      </c>
      <c r="H432" s="397"/>
      <c r="I432" s="397"/>
      <c r="J432" s="750" t="e">
        <f t="shared" si="4"/>
        <v>#DIV/0!</v>
      </c>
      <c r="K432" s="398"/>
      <c r="L432" s="404"/>
      <c r="M432" s="399"/>
    </row>
    <row r="433" spans="5:13" hidden="1" x14ac:dyDescent="0.2">
      <c r="F433" s="503" t="s">
        <v>238</v>
      </c>
      <c r="G433" s="504" t="s">
        <v>239</v>
      </c>
      <c r="H433" s="397"/>
      <c r="I433" s="397"/>
      <c r="J433" s="750" t="e">
        <f t="shared" si="4"/>
        <v>#DIV/0!</v>
      </c>
      <c r="K433" s="398"/>
      <c r="L433" s="404"/>
      <c r="M433" s="399"/>
    </row>
    <row r="434" spans="5:13" hidden="1" x14ac:dyDescent="0.2">
      <c r="F434" s="503" t="s">
        <v>240</v>
      </c>
      <c r="G434" s="504" t="s">
        <v>241</v>
      </c>
      <c r="H434" s="397"/>
      <c r="I434" s="397"/>
      <c r="J434" s="750" t="e">
        <f t="shared" si="4"/>
        <v>#DIV/0!</v>
      </c>
      <c r="K434" s="398"/>
      <c r="L434" s="404"/>
      <c r="M434" s="399"/>
    </row>
    <row r="435" spans="5:13" hidden="1" x14ac:dyDescent="0.2">
      <c r="F435" s="503" t="s">
        <v>242</v>
      </c>
      <c r="G435" s="504" t="s">
        <v>243</v>
      </c>
      <c r="H435" s="397"/>
      <c r="I435" s="397"/>
      <c r="J435" s="750" t="e">
        <f t="shared" si="4"/>
        <v>#DIV/0!</v>
      </c>
      <c r="K435" s="398"/>
      <c r="L435" s="404"/>
      <c r="M435" s="399"/>
    </row>
    <row r="436" spans="5:13" hidden="1" x14ac:dyDescent="0.2">
      <c r="F436" s="503" t="s">
        <v>244</v>
      </c>
      <c r="G436" s="504" t="s">
        <v>245</v>
      </c>
      <c r="H436" s="397"/>
      <c r="I436" s="397"/>
      <c r="J436" s="750" t="e">
        <f t="shared" si="4"/>
        <v>#DIV/0!</v>
      </c>
      <c r="K436" s="398"/>
      <c r="L436" s="404"/>
      <c r="M436" s="399"/>
    </row>
    <row r="437" spans="5:13" hidden="1" x14ac:dyDescent="0.2">
      <c r="F437" s="503" t="s">
        <v>246</v>
      </c>
      <c r="G437" s="504" t="s">
        <v>247</v>
      </c>
      <c r="H437" s="397"/>
      <c r="I437" s="397"/>
      <c r="J437" s="750" t="e">
        <f t="shared" si="4"/>
        <v>#DIV/0!</v>
      </c>
      <c r="K437" s="398"/>
      <c r="L437" s="404"/>
      <c r="M437" s="399"/>
    </row>
    <row r="438" spans="5:13" ht="25.5" hidden="1" x14ac:dyDescent="0.2">
      <c r="F438" s="503" t="s">
        <v>248</v>
      </c>
      <c r="G438" s="504" t="s">
        <v>249</v>
      </c>
      <c r="H438" s="397"/>
      <c r="I438" s="397"/>
      <c r="J438" s="750" t="e">
        <f t="shared" si="4"/>
        <v>#DIV/0!</v>
      </c>
      <c r="K438" s="398"/>
      <c r="L438" s="404"/>
      <c r="M438" s="399"/>
    </row>
    <row r="439" spans="5:13" hidden="1" x14ac:dyDescent="0.2">
      <c r="F439" s="503" t="s">
        <v>250</v>
      </c>
      <c r="G439" s="504" t="s">
        <v>57</v>
      </c>
      <c r="H439" s="397"/>
      <c r="I439" s="397"/>
      <c r="J439" s="750" t="e">
        <f t="shared" si="4"/>
        <v>#DIV/0!</v>
      </c>
      <c r="K439" s="398"/>
      <c r="L439" s="404"/>
      <c r="M439" s="399"/>
    </row>
    <row r="440" spans="5:13" hidden="1" x14ac:dyDescent="0.2">
      <c r="F440" s="503" t="s">
        <v>251</v>
      </c>
      <c r="G440" s="504" t="s">
        <v>252</v>
      </c>
      <c r="H440" s="397"/>
      <c r="I440" s="397"/>
      <c r="J440" s="750" t="e">
        <f t="shared" si="4"/>
        <v>#DIV/0!</v>
      </c>
      <c r="K440" s="398"/>
      <c r="L440" s="404"/>
      <c r="M440" s="399"/>
    </row>
    <row r="441" spans="5:13" hidden="1" x14ac:dyDescent="0.2">
      <c r="F441" s="503" t="s">
        <v>253</v>
      </c>
      <c r="G441" s="504" t="s">
        <v>254</v>
      </c>
      <c r="H441" s="397"/>
      <c r="I441" s="397"/>
      <c r="J441" s="750" t="e">
        <f t="shared" si="4"/>
        <v>#DIV/0!</v>
      </c>
      <c r="K441" s="398"/>
      <c r="L441" s="404"/>
      <c r="M441" s="399"/>
    </row>
    <row r="442" spans="5:13" ht="25.5" hidden="1" x14ac:dyDescent="0.2">
      <c r="F442" s="503" t="s">
        <v>255</v>
      </c>
      <c r="G442" s="504" t="s">
        <v>256</v>
      </c>
      <c r="H442" s="397"/>
      <c r="I442" s="397"/>
      <c r="J442" s="750" t="e">
        <f t="shared" si="4"/>
        <v>#DIV/0!</v>
      </c>
      <c r="K442" s="398"/>
      <c r="L442" s="404"/>
      <c r="M442" s="399"/>
    </row>
    <row r="443" spans="5:13" ht="25.5" hidden="1" x14ac:dyDescent="0.2">
      <c r="F443" s="503" t="s">
        <v>257</v>
      </c>
      <c r="G443" s="504" t="s">
        <v>258</v>
      </c>
      <c r="H443" s="397"/>
      <c r="I443" s="397"/>
      <c r="J443" s="750" t="e">
        <f t="shared" si="4"/>
        <v>#DIV/0!</v>
      </c>
      <c r="K443" s="398"/>
      <c r="L443" s="404"/>
      <c r="M443" s="399"/>
    </row>
    <row r="444" spans="5:13" ht="25.5" hidden="1" x14ac:dyDescent="0.2">
      <c r="F444" s="503" t="s">
        <v>259</v>
      </c>
      <c r="G444" s="504" t="s">
        <v>260</v>
      </c>
      <c r="H444" s="397"/>
      <c r="I444" s="397"/>
      <c r="J444" s="750" t="e">
        <f t="shared" si="4"/>
        <v>#DIV/0!</v>
      </c>
      <c r="K444" s="398"/>
      <c r="L444" s="404"/>
      <c r="M444" s="399"/>
    </row>
    <row r="445" spans="5:13" ht="25.5" hidden="1" x14ac:dyDescent="0.2">
      <c r="F445" s="503" t="s">
        <v>261</v>
      </c>
      <c r="G445" s="504" t="s">
        <v>262</v>
      </c>
      <c r="H445" s="397"/>
      <c r="I445" s="397"/>
      <c r="J445" s="750" t="e">
        <f t="shared" si="4"/>
        <v>#DIV/0!</v>
      </c>
      <c r="K445" s="398"/>
      <c r="L445" s="404"/>
      <c r="M445" s="399"/>
    </row>
    <row r="446" spans="5:13" ht="18" customHeight="1" thickBot="1" x14ac:dyDescent="0.25">
      <c r="F446" s="503" t="s">
        <v>257</v>
      </c>
      <c r="G446" s="504" t="s">
        <v>258</v>
      </c>
      <c r="H446" s="403">
        <v>656171</v>
      </c>
      <c r="I446" s="403"/>
      <c r="J446" s="750">
        <f t="shared" si="4"/>
        <v>0</v>
      </c>
      <c r="K446" s="404"/>
      <c r="L446" s="404"/>
      <c r="M446" s="399"/>
    </row>
    <row r="447" spans="5:13" ht="13.5" thickBot="1" x14ac:dyDescent="0.25">
      <c r="G447" s="505" t="s">
        <v>4288</v>
      </c>
      <c r="H447" s="405">
        <f>SUM(H431:H446)</f>
        <v>18233171</v>
      </c>
      <c r="I447" s="405">
        <f>SUM(I431)</f>
        <v>17110871.09</v>
      </c>
      <c r="J447" s="750">
        <f t="shared" si="4"/>
        <v>93.844735454957345</v>
      </c>
      <c r="K447" s="406">
        <f>SUM(K432:K446)</f>
        <v>0</v>
      </c>
      <c r="L447" s="406"/>
      <c r="M447" s="399"/>
    </row>
    <row r="448" spans="5:13" ht="21" customHeight="1" collapsed="1" x14ac:dyDescent="0.2">
      <c r="E448" s="500"/>
      <c r="F448" s="498"/>
      <c r="G448" s="506" t="s">
        <v>4283</v>
      </c>
      <c r="H448" s="407"/>
      <c r="I448" s="408"/>
      <c r="J448" s="750"/>
      <c r="K448" s="409"/>
      <c r="L448" s="410"/>
      <c r="M448" s="399"/>
    </row>
    <row r="449" spans="5:13" x14ac:dyDescent="0.2">
      <c r="E449" s="502"/>
      <c r="F449" s="503" t="s">
        <v>234</v>
      </c>
      <c r="G449" s="504" t="s">
        <v>235</v>
      </c>
      <c r="H449" s="403">
        <f>SUM(H431)</f>
        <v>17577000</v>
      </c>
      <c r="I449" s="403">
        <f>SUM(I447)</f>
        <v>17110871.09</v>
      </c>
      <c r="J449" s="750">
        <f t="shared" si="4"/>
        <v>97.34807469989191</v>
      </c>
      <c r="K449" s="404"/>
      <c r="L449" s="404"/>
      <c r="M449" s="399"/>
    </row>
    <row r="450" spans="5:13" hidden="1" x14ac:dyDescent="0.2">
      <c r="F450" s="503" t="s">
        <v>236</v>
      </c>
      <c r="G450" s="504" t="s">
        <v>237</v>
      </c>
      <c r="H450" s="397"/>
      <c r="I450" s="397"/>
      <c r="J450" s="750" t="e">
        <f t="shared" si="4"/>
        <v>#DIV/0!</v>
      </c>
      <c r="K450" s="398"/>
      <c r="L450" s="404"/>
      <c r="M450" s="399"/>
    </row>
    <row r="451" spans="5:13" hidden="1" x14ac:dyDescent="0.2">
      <c r="F451" s="503" t="s">
        <v>238</v>
      </c>
      <c r="G451" s="504" t="s">
        <v>239</v>
      </c>
      <c r="H451" s="397"/>
      <c r="I451" s="397"/>
      <c r="J451" s="750" t="e">
        <f t="shared" si="4"/>
        <v>#DIV/0!</v>
      </c>
      <c r="K451" s="398"/>
      <c r="L451" s="404"/>
      <c r="M451" s="399"/>
    </row>
    <row r="452" spans="5:13" hidden="1" x14ac:dyDescent="0.2">
      <c r="F452" s="503" t="s">
        <v>240</v>
      </c>
      <c r="G452" s="504" t="s">
        <v>241</v>
      </c>
      <c r="H452" s="397"/>
      <c r="I452" s="397"/>
      <c r="J452" s="750" t="e">
        <f t="shared" si="4"/>
        <v>#DIV/0!</v>
      </c>
      <c r="K452" s="398"/>
      <c r="L452" s="404"/>
      <c r="M452" s="399"/>
    </row>
    <row r="453" spans="5:13" hidden="1" x14ac:dyDescent="0.2">
      <c r="F453" s="503" t="s">
        <v>242</v>
      </c>
      <c r="G453" s="504" t="s">
        <v>243</v>
      </c>
      <c r="H453" s="397"/>
      <c r="I453" s="397"/>
      <c r="J453" s="750" t="e">
        <f t="shared" si="4"/>
        <v>#DIV/0!</v>
      </c>
      <c r="K453" s="398"/>
      <c r="L453" s="404"/>
      <c r="M453" s="399"/>
    </row>
    <row r="454" spans="5:13" hidden="1" x14ac:dyDescent="0.2">
      <c r="F454" s="503" t="s">
        <v>244</v>
      </c>
      <c r="G454" s="504" t="s">
        <v>245</v>
      </c>
      <c r="H454" s="397"/>
      <c r="I454" s="397"/>
      <c r="J454" s="750" t="e">
        <f t="shared" si="4"/>
        <v>#DIV/0!</v>
      </c>
      <c r="K454" s="398"/>
      <c r="L454" s="404"/>
      <c r="M454" s="399"/>
    </row>
    <row r="455" spans="5:13" hidden="1" x14ac:dyDescent="0.2">
      <c r="F455" s="503" t="s">
        <v>246</v>
      </c>
      <c r="G455" s="504" t="s">
        <v>247</v>
      </c>
      <c r="H455" s="397"/>
      <c r="I455" s="397"/>
      <c r="J455" s="750" t="e">
        <f t="shared" si="4"/>
        <v>#DIV/0!</v>
      </c>
      <c r="K455" s="398"/>
      <c r="L455" s="404"/>
      <c r="M455" s="399"/>
    </row>
    <row r="456" spans="5:13" ht="25.5" hidden="1" x14ac:dyDescent="0.2">
      <c r="F456" s="503" t="s">
        <v>248</v>
      </c>
      <c r="G456" s="504" t="s">
        <v>249</v>
      </c>
      <c r="H456" s="397"/>
      <c r="I456" s="397"/>
      <c r="J456" s="750" t="e">
        <f t="shared" si="4"/>
        <v>#DIV/0!</v>
      </c>
      <c r="K456" s="398"/>
      <c r="L456" s="404"/>
      <c r="M456" s="399"/>
    </row>
    <row r="457" spans="5:13" hidden="1" x14ac:dyDescent="0.2">
      <c r="F457" s="503" t="s">
        <v>250</v>
      </c>
      <c r="G457" s="504" t="s">
        <v>57</v>
      </c>
      <c r="H457" s="397"/>
      <c r="I457" s="397"/>
      <c r="J457" s="750" t="e">
        <f t="shared" si="4"/>
        <v>#DIV/0!</v>
      </c>
      <c r="K457" s="398"/>
      <c r="L457" s="404"/>
      <c r="M457" s="399"/>
    </row>
    <row r="458" spans="5:13" hidden="1" x14ac:dyDescent="0.2">
      <c r="F458" s="503" t="s">
        <v>251</v>
      </c>
      <c r="G458" s="504" t="s">
        <v>252</v>
      </c>
      <c r="H458" s="397"/>
      <c r="I458" s="397"/>
      <c r="J458" s="750" t="e">
        <f t="shared" si="4"/>
        <v>#DIV/0!</v>
      </c>
      <c r="K458" s="398"/>
      <c r="L458" s="404"/>
      <c r="M458" s="399"/>
    </row>
    <row r="459" spans="5:13" hidden="1" x14ac:dyDescent="0.2">
      <c r="F459" s="503" t="s">
        <v>253</v>
      </c>
      <c r="G459" s="504" t="s">
        <v>254</v>
      </c>
      <c r="H459" s="397"/>
      <c r="I459" s="397"/>
      <c r="J459" s="750" t="e">
        <f t="shared" si="4"/>
        <v>#DIV/0!</v>
      </c>
      <c r="K459" s="398"/>
      <c r="L459" s="404"/>
      <c r="M459" s="399"/>
    </row>
    <row r="460" spans="5:13" ht="25.5" hidden="1" x14ac:dyDescent="0.2">
      <c r="F460" s="503" t="s">
        <v>255</v>
      </c>
      <c r="G460" s="504" t="s">
        <v>256</v>
      </c>
      <c r="H460" s="397"/>
      <c r="I460" s="397"/>
      <c r="J460" s="750" t="e">
        <f t="shared" si="4"/>
        <v>#DIV/0!</v>
      </c>
      <c r="K460" s="398"/>
      <c r="L460" s="404"/>
      <c r="M460" s="399"/>
    </row>
    <row r="461" spans="5:13" ht="25.5" hidden="1" x14ac:dyDescent="0.2">
      <c r="F461" s="503" t="s">
        <v>257</v>
      </c>
      <c r="G461" s="504" t="s">
        <v>258</v>
      </c>
      <c r="H461" s="397"/>
      <c r="I461" s="397"/>
      <c r="J461" s="750" t="e">
        <f t="shared" ref="J461:J524" si="5">SUM(I461/H461)*100</f>
        <v>#DIV/0!</v>
      </c>
      <c r="K461" s="398"/>
      <c r="L461" s="404"/>
      <c r="M461" s="399"/>
    </row>
    <row r="462" spans="5:13" ht="25.5" hidden="1" x14ac:dyDescent="0.2">
      <c r="F462" s="503" t="s">
        <v>259</v>
      </c>
      <c r="G462" s="504" t="s">
        <v>260</v>
      </c>
      <c r="H462" s="397"/>
      <c r="I462" s="397"/>
      <c r="J462" s="750" t="e">
        <f t="shared" si="5"/>
        <v>#DIV/0!</v>
      </c>
      <c r="K462" s="398"/>
      <c r="L462" s="404"/>
      <c r="M462" s="399"/>
    </row>
    <row r="463" spans="5:13" ht="25.5" hidden="1" x14ac:dyDescent="0.2">
      <c r="F463" s="503" t="s">
        <v>261</v>
      </c>
      <c r="G463" s="504" t="s">
        <v>262</v>
      </c>
      <c r="H463" s="397"/>
      <c r="I463" s="397"/>
      <c r="J463" s="750" t="e">
        <f t="shared" si="5"/>
        <v>#DIV/0!</v>
      </c>
      <c r="K463" s="398"/>
      <c r="L463" s="404"/>
      <c r="M463" s="399"/>
    </row>
    <row r="464" spans="5:13" ht="15" customHeight="1" thickBot="1" x14ac:dyDescent="0.25">
      <c r="F464" s="503" t="s">
        <v>257</v>
      </c>
      <c r="G464" s="504" t="s">
        <v>258</v>
      </c>
      <c r="H464" s="403">
        <v>656171</v>
      </c>
      <c r="I464" s="403"/>
      <c r="J464" s="750">
        <f t="shared" si="5"/>
        <v>0</v>
      </c>
      <c r="K464" s="404"/>
      <c r="L464" s="404"/>
      <c r="M464" s="399"/>
    </row>
    <row r="465" spans="3:13" ht="13.5" collapsed="1" thickBot="1" x14ac:dyDescent="0.25">
      <c r="G465" s="505" t="s">
        <v>4282</v>
      </c>
      <c r="H465" s="405">
        <f>SUM(H449:H464)</f>
        <v>18233171</v>
      </c>
      <c r="I465" s="405">
        <f>SUM(I449)</f>
        <v>17110871.09</v>
      </c>
      <c r="J465" s="750">
        <f t="shared" si="5"/>
        <v>93.844735454957345</v>
      </c>
      <c r="K465" s="406">
        <f>SUM(K450:K464)</f>
        <v>0</v>
      </c>
      <c r="L465" s="406"/>
      <c r="M465" s="399"/>
    </row>
    <row r="466" spans="3:13" ht="9.75" hidden="1" customHeight="1" x14ac:dyDescent="0.2">
      <c r="G466" s="510"/>
      <c r="H466" s="411"/>
      <c r="I466" s="411"/>
      <c r="J466" s="750" t="e">
        <f t="shared" si="5"/>
        <v>#DIV/0!</v>
      </c>
      <c r="K466" s="412"/>
      <c r="L466" s="412"/>
      <c r="M466" s="399"/>
    </row>
    <row r="467" spans="3:13" x14ac:dyDescent="0.2">
      <c r="D467" s="519"/>
      <c r="G467" s="510" t="s">
        <v>5223</v>
      </c>
      <c r="H467" s="411"/>
      <c r="I467" s="411"/>
      <c r="J467" s="750"/>
      <c r="K467" s="412"/>
      <c r="L467" s="412"/>
      <c r="M467" s="399"/>
    </row>
    <row r="468" spans="3:13" ht="15" customHeight="1" x14ac:dyDescent="0.2">
      <c r="C468" s="489" t="s">
        <v>4134</v>
      </c>
      <c r="D468" s="490"/>
      <c r="G468" s="491" t="s">
        <v>4135</v>
      </c>
      <c r="H468" s="397"/>
      <c r="I468" s="397"/>
      <c r="J468" s="750"/>
      <c r="K468" s="398"/>
      <c r="L468" s="398"/>
      <c r="M468" s="399"/>
    </row>
    <row r="469" spans="3:13" x14ac:dyDescent="0.2">
      <c r="C469" s="489"/>
      <c r="D469" s="492">
        <v>360</v>
      </c>
      <c r="E469" s="492"/>
      <c r="F469" s="492"/>
      <c r="G469" s="520" t="s">
        <v>5227</v>
      </c>
      <c r="H469" s="403"/>
      <c r="I469" s="403"/>
      <c r="J469" s="750"/>
      <c r="K469" s="404"/>
      <c r="L469" s="404"/>
      <c r="M469" s="399"/>
    </row>
    <row r="470" spans="3:13" hidden="1" x14ac:dyDescent="0.2">
      <c r="F470" s="494">
        <v>411</v>
      </c>
      <c r="G470" s="495" t="s">
        <v>4167</v>
      </c>
      <c r="H470" s="397"/>
      <c r="I470" s="397"/>
      <c r="J470" s="750" t="e">
        <f t="shared" si="5"/>
        <v>#DIV/0!</v>
      </c>
      <c r="K470" s="398"/>
      <c r="L470" s="398"/>
      <c r="M470" s="399"/>
    </row>
    <row r="471" spans="3:13" hidden="1" x14ac:dyDescent="0.2">
      <c r="F471" s="494">
        <v>412</v>
      </c>
      <c r="G471" s="496" t="s">
        <v>3764</v>
      </c>
      <c r="H471" s="397"/>
      <c r="I471" s="397"/>
      <c r="J471" s="750" t="e">
        <f t="shared" si="5"/>
        <v>#DIV/0!</v>
      </c>
      <c r="K471" s="398"/>
      <c r="L471" s="398"/>
      <c r="M471" s="399"/>
    </row>
    <row r="472" spans="3:13" hidden="1" x14ac:dyDescent="0.2">
      <c r="F472" s="494">
        <v>413</v>
      </c>
      <c r="G472" s="495" t="s">
        <v>4168</v>
      </c>
      <c r="H472" s="397"/>
      <c r="I472" s="397"/>
      <c r="J472" s="750" t="e">
        <f t="shared" si="5"/>
        <v>#DIV/0!</v>
      </c>
      <c r="K472" s="398"/>
      <c r="L472" s="398"/>
      <c r="M472" s="399"/>
    </row>
    <row r="473" spans="3:13" hidden="1" x14ac:dyDescent="0.2">
      <c r="F473" s="494">
        <v>414</v>
      </c>
      <c r="G473" s="495" t="s">
        <v>3767</v>
      </c>
      <c r="H473" s="397"/>
      <c r="I473" s="397"/>
      <c r="J473" s="750" t="e">
        <f t="shared" si="5"/>
        <v>#DIV/0!</v>
      </c>
      <c r="K473" s="398"/>
      <c r="L473" s="398"/>
      <c r="M473" s="399"/>
    </row>
    <row r="474" spans="3:13" hidden="1" x14ac:dyDescent="0.2">
      <c r="F474" s="494">
        <v>415</v>
      </c>
      <c r="G474" s="495" t="s">
        <v>4177</v>
      </c>
      <c r="H474" s="397"/>
      <c r="I474" s="397"/>
      <c r="J474" s="750" t="e">
        <f t="shared" si="5"/>
        <v>#DIV/0!</v>
      </c>
      <c r="K474" s="398"/>
      <c r="L474" s="398"/>
      <c r="M474" s="399"/>
    </row>
    <row r="475" spans="3:13" ht="25.5" hidden="1" x14ac:dyDescent="0.2">
      <c r="F475" s="494">
        <v>416</v>
      </c>
      <c r="G475" s="495" t="s">
        <v>4178</v>
      </c>
      <c r="H475" s="397"/>
      <c r="I475" s="397"/>
      <c r="J475" s="750" t="e">
        <f t="shared" si="5"/>
        <v>#DIV/0!</v>
      </c>
      <c r="K475" s="398"/>
      <c r="L475" s="398"/>
      <c r="M475" s="399"/>
    </row>
    <row r="476" spans="3:13" hidden="1" x14ac:dyDescent="0.2">
      <c r="F476" s="494">
        <v>417</v>
      </c>
      <c r="G476" s="495" t="s">
        <v>4179</v>
      </c>
      <c r="H476" s="397"/>
      <c r="I476" s="397"/>
      <c r="J476" s="750" t="e">
        <f t="shared" si="5"/>
        <v>#DIV/0!</v>
      </c>
      <c r="K476" s="398"/>
      <c r="L476" s="398"/>
      <c r="M476" s="399"/>
    </row>
    <row r="477" spans="3:13" hidden="1" x14ac:dyDescent="0.2">
      <c r="F477" s="494">
        <v>418</v>
      </c>
      <c r="G477" s="495" t="s">
        <v>3773</v>
      </c>
      <c r="H477" s="397"/>
      <c r="I477" s="397"/>
      <c r="J477" s="750" t="e">
        <f t="shared" si="5"/>
        <v>#DIV/0!</v>
      </c>
      <c r="K477" s="398"/>
      <c r="L477" s="398"/>
      <c r="M477" s="399"/>
    </row>
    <row r="478" spans="3:13" hidden="1" x14ac:dyDescent="0.2">
      <c r="F478" s="494">
        <v>421</v>
      </c>
      <c r="G478" s="495" t="s">
        <v>3777</v>
      </c>
      <c r="H478" s="397"/>
      <c r="I478" s="397"/>
      <c r="J478" s="750" t="e">
        <f t="shared" si="5"/>
        <v>#DIV/0!</v>
      </c>
      <c r="K478" s="398"/>
      <c r="L478" s="398"/>
      <c r="M478" s="399"/>
    </row>
    <row r="479" spans="3:13" hidden="1" x14ac:dyDescent="0.2">
      <c r="F479" s="494">
        <v>422</v>
      </c>
      <c r="G479" s="495" t="s">
        <v>3778</v>
      </c>
      <c r="H479" s="397"/>
      <c r="I479" s="397"/>
      <c r="J479" s="750" t="e">
        <f t="shared" si="5"/>
        <v>#DIV/0!</v>
      </c>
      <c r="K479" s="398"/>
      <c r="L479" s="398"/>
      <c r="M479" s="399"/>
    </row>
    <row r="480" spans="3:13" x14ac:dyDescent="0.2">
      <c r="E480" s="464">
        <v>11</v>
      </c>
      <c r="F480" s="494">
        <v>423</v>
      </c>
      <c r="G480" s="495" t="s">
        <v>3779</v>
      </c>
      <c r="H480" s="397">
        <v>150000</v>
      </c>
      <c r="I480" s="397">
        <v>0</v>
      </c>
      <c r="J480" s="750">
        <f t="shared" si="5"/>
        <v>0</v>
      </c>
      <c r="K480" s="398"/>
      <c r="L480" s="398"/>
      <c r="M480" s="399"/>
    </row>
    <row r="481" spans="5:15" x14ac:dyDescent="0.2">
      <c r="E481" s="464">
        <v>12</v>
      </c>
      <c r="F481" s="494">
        <v>424</v>
      </c>
      <c r="G481" s="515" t="s">
        <v>3781</v>
      </c>
      <c r="H481" s="397">
        <v>1165100</v>
      </c>
      <c r="I481" s="397">
        <v>968686.06</v>
      </c>
      <c r="J481" s="750">
        <f t="shared" si="5"/>
        <v>83.14188138357224</v>
      </c>
      <c r="K481" s="398"/>
      <c r="L481" s="398"/>
      <c r="M481" s="399"/>
    </row>
    <row r="482" spans="5:15" hidden="1" x14ac:dyDescent="0.2">
      <c r="F482" s="494">
        <v>425</v>
      </c>
      <c r="G482" s="495" t="s">
        <v>4180</v>
      </c>
      <c r="H482" s="397"/>
      <c r="I482" s="397"/>
      <c r="J482" s="750" t="e">
        <f t="shared" si="5"/>
        <v>#DIV/0!</v>
      </c>
      <c r="K482" s="398"/>
      <c r="L482" s="398"/>
      <c r="M482" s="399"/>
    </row>
    <row r="483" spans="5:15" x14ac:dyDescent="0.2">
      <c r="E483" s="464">
        <v>13</v>
      </c>
      <c r="F483" s="494">
        <v>426</v>
      </c>
      <c r="G483" s="495" t="s">
        <v>3785</v>
      </c>
      <c r="H483" s="397">
        <v>400000</v>
      </c>
      <c r="I483" s="397">
        <v>0</v>
      </c>
      <c r="J483" s="750">
        <f t="shared" si="5"/>
        <v>0</v>
      </c>
      <c r="K483" s="398"/>
      <c r="L483" s="398"/>
      <c r="M483" s="399"/>
      <c r="O483" s="517"/>
    </row>
    <row r="484" spans="5:15" hidden="1" x14ac:dyDescent="0.2">
      <c r="F484" s="494">
        <v>431</v>
      </c>
      <c r="G484" s="495" t="s">
        <v>4181</v>
      </c>
      <c r="H484" s="397"/>
      <c r="I484" s="397"/>
      <c r="J484" s="750" t="e">
        <f t="shared" si="5"/>
        <v>#DIV/0!</v>
      </c>
      <c r="K484" s="398"/>
      <c r="L484" s="398"/>
      <c r="M484" s="399"/>
    </row>
    <row r="485" spans="5:15" hidden="1" x14ac:dyDescent="0.2">
      <c r="F485" s="494">
        <v>432</v>
      </c>
      <c r="G485" s="495" t="s">
        <v>4182</v>
      </c>
      <c r="H485" s="397"/>
      <c r="I485" s="397"/>
      <c r="J485" s="750" t="e">
        <f t="shared" si="5"/>
        <v>#DIV/0!</v>
      </c>
      <c r="K485" s="398"/>
      <c r="L485" s="398"/>
      <c r="M485" s="399"/>
    </row>
    <row r="486" spans="5:15" hidden="1" x14ac:dyDescent="0.2">
      <c r="F486" s="494">
        <v>433</v>
      </c>
      <c r="G486" s="495" t="s">
        <v>4183</v>
      </c>
      <c r="H486" s="397"/>
      <c r="I486" s="397"/>
      <c r="J486" s="750" t="e">
        <f t="shared" si="5"/>
        <v>#DIV/0!</v>
      </c>
      <c r="K486" s="398"/>
      <c r="L486" s="398"/>
      <c r="M486" s="399"/>
    </row>
    <row r="487" spans="5:15" hidden="1" x14ac:dyDescent="0.2">
      <c r="F487" s="494">
        <v>434</v>
      </c>
      <c r="G487" s="495" t="s">
        <v>4184</v>
      </c>
      <c r="H487" s="397"/>
      <c r="I487" s="397"/>
      <c r="J487" s="750" t="e">
        <f t="shared" si="5"/>
        <v>#DIV/0!</v>
      </c>
      <c r="K487" s="398"/>
      <c r="L487" s="398"/>
      <c r="M487" s="399"/>
    </row>
    <row r="488" spans="5:15" hidden="1" x14ac:dyDescent="0.2">
      <c r="F488" s="494">
        <v>435</v>
      </c>
      <c r="G488" s="495" t="s">
        <v>3792</v>
      </c>
      <c r="H488" s="397"/>
      <c r="I488" s="397"/>
      <c r="J488" s="750" t="e">
        <f t="shared" si="5"/>
        <v>#DIV/0!</v>
      </c>
      <c r="K488" s="398"/>
      <c r="L488" s="398"/>
      <c r="M488" s="399"/>
    </row>
    <row r="489" spans="5:15" hidden="1" x14ac:dyDescent="0.2">
      <c r="F489" s="494">
        <v>441</v>
      </c>
      <c r="G489" s="495" t="s">
        <v>4185</v>
      </c>
      <c r="H489" s="397"/>
      <c r="I489" s="397"/>
      <c r="J489" s="750" t="e">
        <f t="shared" si="5"/>
        <v>#DIV/0!</v>
      </c>
      <c r="K489" s="398"/>
      <c r="L489" s="398"/>
      <c r="M489" s="399"/>
    </row>
    <row r="490" spans="5:15" hidden="1" x14ac:dyDescent="0.2">
      <c r="F490" s="494">
        <v>442</v>
      </c>
      <c r="G490" s="495" t="s">
        <v>4186</v>
      </c>
      <c r="H490" s="397"/>
      <c r="I490" s="397"/>
      <c r="J490" s="750" t="e">
        <f t="shared" si="5"/>
        <v>#DIV/0!</v>
      </c>
      <c r="K490" s="398"/>
      <c r="L490" s="398"/>
      <c r="M490" s="399"/>
    </row>
    <row r="491" spans="5:15" hidden="1" x14ac:dyDescent="0.2">
      <c r="F491" s="494">
        <v>443</v>
      </c>
      <c r="G491" s="495" t="s">
        <v>3797</v>
      </c>
      <c r="H491" s="397"/>
      <c r="I491" s="397"/>
      <c r="J491" s="750" t="e">
        <f t="shared" si="5"/>
        <v>#DIV/0!</v>
      </c>
      <c r="K491" s="398"/>
      <c r="L491" s="398"/>
      <c r="M491" s="399"/>
    </row>
    <row r="492" spans="5:15" hidden="1" x14ac:dyDescent="0.2">
      <c r="F492" s="494">
        <v>444</v>
      </c>
      <c r="G492" s="495" t="s">
        <v>3798</v>
      </c>
      <c r="H492" s="397"/>
      <c r="I492" s="397"/>
      <c r="J492" s="750" t="e">
        <f t="shared" si="5"/>
        <v>#DIV/0!</v>
      </c>
      <c r="K492" s="398"/>
      <c r="L492" s="398"/>
      <c r="M492" s="399"/>
    </row>
    <row r="493" spans="5:15" ht="25.5" hidden="1" x14ac:dyDescent="0.2">
      <c r="F493" s="494">
        <v>4511</v>
      </c>
      <c r="G493" s="466" t="s">
        <v>1692</v>
      </c>
      <c r="H493" s="397"/>
      <c r="I493" s="397"/>
      <c r="J493" s="750" t="e">
        <f t="shared" si="5"/>
        <v>#DIV/0!</v>
      </c>
      <c r="K493" s="398"/>
      <c r="L493" s="398"/>
      <c r="M493" s="399"/>
    </row>
    <row r="494" spans="5:15" ht="25.5" hidden="1" x14ac:dyDescent="0.2">
      <c r="F494" s="494">
        <v>4512</v>
      </c>
      <c r="G494" s="466" t="s">
        <v>1701</v>
      </c>
      <c r="H494" s="397"/>
      <c r="I494" s="397"/>
      <c r="J494" s="750" t="e">
        <f t="shared" si="5"/>
        <v>#DIV/0!</v>
      </c>
      <c r="K494" s="398"/>
      <c r="L494" s="398"/>
      <c r="M494" s="399"/>
    </row>
    <row r="495" spans="5:15" ht="25.5" hidden="1" x14ac:dyDescent="0.2">
      <c r="F495" s="494">
        <v>452</v>
      </c>
      <c r="G495" s="495" t="s">
        <v>4187</v>
      </c>
      <c r="H495" s="397"/>
      <c r="I495" s="397"/>
      <c r="J495" s="750" t="e">
        <f t="shared" si="5"/>
        <v>#DIV/0!</v>
      </c>
      <c r="K495" s="398"/>
      <c r="L495" s="398"/>
      <c r="M495" s="399"/>
    </row>
    <row r="496" spans="5:15" ht="25.5" hidden="1" x14ac:dyDescent="0.2">
      <c r="F496" s="494">
        <v>453</v>
      </c>
      <c r="G496" s="495" t="s">
        <v>4188</v>
      </c>
      <c r="H496" s="397"/>
      <c r="I496" s="397"/>
      <c r="J496" s="750" t="e">
        <f t="shared" si="5"/>
        <v>#DIV/0!</v>
      </c>
      <c r="K496" s="398"/>
      <c r="L496" s="398"/>
      <c r="M496" s="399"/>
    </row>
    <row r="497" spans="5:13" hidden="1" x14ac:dyDescent="0.2">
      <c r="F497" s="494">
        <v>454</v>
      </c>
      <c r="G497" s="495" t="s">
        <v>3803</v>
      </c>
      <c r="H497" s="397"/>
      <c r="I497" s="397"/>
      <c r="J497" s="750" t="e">
        <f t="shared" si="5"/>
        <v>#DIV/0!</v>
      </c>
      <c r="K497" s="398"/>
      <c r="L497" s="398"/>
      <c r="M497" s="399"/>
    </row>
    <row r="498" spans="5:13" hidden="1" x14ac:dyDescent="0.2">
      <c r="F498" s="494">
        <v>461</v>
      </c>
      <c r="G498" s="495" t="s">
        <v>4169</v>
      </c>
      <c r="H498" s="397"/>
      <c r="I498" s="397"/>
      <c r="J498" s="750" t="e">
        <f t="shared" si="5"/>
        <v>#DIV/0!</v>
      </c>
      <c r="K498" s="398"/>
      <c r="L498" s="398"/>
      <c r="M498" s="399"/>
    </row>
    <row r="499" spans="5:13" ht="25.5" hidden="1" x14ac:dyDescent="0.2">
      <c r="F499" s="494">
        <v>462</v>
      </c>
      <c r="G499" s="495" t="s">
        <v>3806</v>
      </c>
      <c r="H499" s="397"/>
      <c r="I499" s="397"/>
      <c r="J499" s="750" t="e">
        <f t="shared" si="5"/>
        <v>#DIV/0!</v>
      </c>
      <c r="K499" s="398"/>
      <c r="L499" s="398"/>
      <c r="M499" s="399"/>
    </row>
    <row r="500" spans="5:13" hidden="1" x14ac:dyDescent="0.2">
      <c r="F500" s="494">
        <v>4631</v>
      </c>
      <c r="G500" s="495" t="s">
        <v>3807</v>
      </c>
      <c r="H500" s="397"/>
      <c r="I500" s="397"/>
      <c r="J500" s="750" t="e">
        <f t="shared" si="5"/>
        <v>#DIV/0!</v>
      </c>
      <c r="K500" s="398"/>
      <c r="L500" s="398"/>
      <c r="M500" s="399"/>
    </row>
    <row r="501" spans="5:13" hidden="1" x14ac:dyDescent="0.2">
      <c r="F501" s="494">
        <v>4632</v>
      </c>
      <c r="G501" s="495" t="s">
        <v>3808</v>
      </c>
      <c r="H501" s="397"/>
      <c r="I501" s="397"/>
      <c r="J501" s="750" t="e">
        <f t="shared" si="5"/>
        <v>#DIV/0!</v>
      </c>
      <c r="K501" s="398"/>
      <c r="L501" s="398"/>
      <c r="M501" s="399"/>
    </row>
    <row r="502" spans="5:13" ht="25.5" hidden="1" x14ac:dyDescent="0.2">
      <c r="F502" s="494">
        <v>464</v>
      </c>
      <c r="G502" s="495" t="s">
        <v>3809</v>
      </c>
      <c r="H502" s="397"/>
      <c r="I502" s="397"/>
      <c r="J502" s="750" t="e">
        <f t="shared" si="5"/>
        <v>#DIV/0!</v>
      </c>
      <c r="K502" s="398"/>
      <c r="L502" s="398"/>
      <c r="M502" s="399"/>
    </row>
    <row r="503" spans="5:13" hidden="1" x14ac:dyDescent="0.2">
      <c r="F503" s="494">
        <v>465</v>
      </c>
      <c r="G503" s="495" t="s">
        <v>4170</v>
      </c>
      <c r="H503" s="397"/>
      <c r="I503" s="397"/>
      <c r="J503" s="750" t="e">
        <f t="shared" si="5"/>
        <v>#DIV/0!</v>
      </c>
      <c r="K503" s="398"/>
      <c r="L503" s="398"/>
      <c r="M503" s="399"/>
    </row>
    <row r="504" spans="5:13" hidden="1" x14ac:dyDescent="0.2">
      <c r="F504" s="494">
        <v>472</v>
      </c>
      <c r="G504" s="495" t="s">
        <v>3813</v>
      </c>
      <c r="H504" s="397"/>
      <c r="I504" s="397"/>
      <c r="J504" s="750" t="e">
        <f t="shared" si="5"/>
        <v>#DIV/0!</v>
      </c>
      <c r="K504" s="398"/>
      <c r="L504" s="398"/>
      <c r="M504" s="399"/>
    </row>
    <row r="505" spans="5:13" hidden="1" x14ac:dyDescent="0.2">
      <c r="F505" s="494">
        <v>481</v>
      </c>
      <c r="G505" s="495" t="s">
        <v>4189</v>
      </c>
      <c r="H505" s="397"/>
      <c r="I505" s="397"/>
      <c r="J505" s="750" t="e">
        <f t="shared" si="5"/>
        <v>#DIV/0!</v>
      </c>
      <c r="K505" s="398"/>
      <c r="L505" s="398"/>
      <c r="M505" s="399"/>
    </row>
    <row r="506" spans="5:13" hidden="1" x14ac:dyDescent="0.2">
      <c r="F506" s="494">
        <v>482</v>
      </c>
      <c r="G506" s="495" t="s">
        <v>4190</v>
      </c>
      <c r="H506" s="397"/>
      <c r="I506" s="397"/>
      <c r="J506" s="750" t="e">
        <f t="shared" si="5"/>
        <v>#DIV/0!</v>
      </c>
      <c r="K506" s="398"/>
      <c r="L506" s="398"/>
      <c r="M506" s="399"/>
    </row>
    <row r="507" spans="5:13" hidden="1" x14ac:dyDescent="0.2">
      <c r="F507" s="494">
        <v>483</v>
      </c>
      <c r="G507" s="497" t="s">
        <v>4191</v>
      </c>
      <c r="H507" s="397"/>
      <c r="I507" s="397"/>
      <c r="J507" s="750" t="e">
        <f t="shared" si="5"/>
        <v>#DIV/0!</v>
      </c>
      <c r="K507" s="398"/>
      <c r="L507" s="398"/>
      <c r="M507" s="399"/>
    </row>
    <row r="508" spans="5:13" ht="38.25" x14ac:dyDescent="0.2">
      <c r="E508" s="464">
        <v>14</v>
      </c>
      <c r="F508" s="494">
        <v>484</v>
      </c>
      <c r="G508" s="495" t="s">
        <v>4192</v>
      </c>
      <c r="H508" s="397">
        <v>9652541</v>
      </c>
      <c r="I508" s="397">
        <v>7494271.2999999998</v>
      </c>
      <c r="J508" s="750">
        <f t="shared" si="5"/>
        <v>77.640398523041753</v>
      </c>
      <c r="K508" s="398"/>
      <c r="L508" s="398"/>
      <c r="M508" s="399"/>
    </row>
    <row r="509" spans="5:13" ht="25.5" hidden="1" x14ac:dyDescent="0.2">
      <c r="F509" s="494">
        <v>485</v>
      </c>
      <c r="G509" s="495" t="s">
        <v>4193</v>
      </c>
      <c r="H509" s="397"/>
      <c r="I509" s="397"/>
      <c r="J509" s="750" t="e">
        <f t="shared" si="5"/>
        <v>#DIV/0!</v>
      </c>
      <c r="K509" s="398"/>
      <c r="L509" s="398"/>
      <c r="M509" s="399"/>
    </row>
    <row r="510" spans="5:13" ht="25.5" hidden="1" x14ac:dyDescent="0.2">
      <c r="F510" s="494">
        <v>489</v>
      </c>
      <c r="G510" s="495" t="s">
        <v>3821</v>
      </c>
      <c r="H510" s="397"/>
      <c r="I510" s="397"/>
      <c r="J510" s="750" t="e">
        <f t="shared" si="5"/>
        <v>#DIV/0!</v>
      </c>
      <c r="K510" s="398"/>
      <c r="L510" s="398"/>
      <c r="M510" s="399"/>
    </row>
    <row r="511" spans="5:13" ht="25.5" hidden="1" x14ac:dyDescent="0.2">
      <c r="F511" s="494">
        <v>494</v>
      </c>
      <c r="G511" s="495" t="s">
        <v>4171</v>
      </c>
      <c r="H511" s="397"/>
      <c r="I511" s="397"/>
      <c r="J511" s="750" t="e">
        <f t="shared" si="5"/>
        <v>#DIV/0!</v>
      </c>
      <c r="K511" s="398"/>
      <c r="L511" s="398"/>
      <c r="M511" s="399"/>
    </row>
    <row r="512" spans="5:13" ht="25.5" hidden="1" x14ac:dyDescent="0.2">
      <c r="F512" s="494">
        <v>495</v>
      </c>
      <c r="G512" s="495" t="s">
        <v>4172</v>
      </c>
      <c r="H512" s="397"/>
      <c r="I512" s="397"/>
      <c r="J512" s="750" t="e">
        <f t="shared" si="5"/>
        <v>#DIV/0!</v>
      </c>
      <c r="K512" s="398"/>
      <c r="L512" s="398"/>
      <c r="M512" s="399"/>
    </row>
    <row r="513" spans="5:13" ht="38.25" hidden="1" x14ac:dyDescent="0.2">
      <c r="F513" s="494">
        <v>496</v>
      </c>
      <c r="G513" s="495" t="s">
        <v>4173</v>
      </c>
      <c r="H513" s="397"/>
      <c r="I513" s="397"/>
      <c r="J513" s="750" t="e">
        <f t="shared" si="5"/>
        <v>#DIV/0!</v>
      </c>
      <c r="K513" s="398"/>
      <c r="L513" s="398"/>
      <c r="M513" s="399"/>
    </row>
    <row r="514" spans="5:13" ht="25.5" hidden="1" x14ac:dyDescent="0.2">
      <c r="F514" s="494">
        <v>499</v>
      </c>
      <c r="G514" s="495" t="s">
        <v>4174</v>
      </c>
      <c r="H514" s="397"/>
      <c r="I514" s="397"/>
      <c r="J514" s="750" t="e">
        <f t="shared" si="5"/>
        <v>#DIV/0!</v>
      </c>
      <c r="K514" s="398"/>
      <c r="L514" s="398"/>
      <c r="M514" s="399"/>
    </row>
    <row r="515" spans="5:13" hidden="1" x14ac:dyDescent="0.2">
      <c r="F515" s="494">
        <v>511</v>
      </c>
      <c r="G515" s="497" t="s">
        <v>4194</v>
      </c>
      <c r="H515" s="397"/>
      <c r="I515" s="397"/>
      <c r="J515" s="750" t="e">
        <f t="shared" si="5"/>
        <v>#DIV/0!</v>
      </c>
      <c r="K515" s="398"/>
      <c r="L515" s="398"/>
      <c r="M515" s="399"/>
    </row>
    <row r="516" spans="5:13" ht="13.5" thickBot="1" x14ac:dyDescent="0.25">
      <c r="E516" s="464">
        <v>15</v>
      </c>
      <c r="F516" s="494">
        <v>512</v>
      </c>
      <c r="G516" s="497" t="s">
        <v>4195</v>
      </c>
      <c r="H516" s="397">
        <v>250000</v>
      </c>
      <c r="I516" s="397">
        <v>104350</v>
      </c>
      <c r="J516" s="750">
        <f t="shared" si="5"/>
        <v>41.74</v>
      </c>
      <c r="K516" s="398"/>
      <c r="L516" s="398"/>
      <c r="M516" s="399"/>
    </row>
    <row r="517" spans="5:13" ht="13.5" hidden="1" thickBot="1" x14ac:dyDescent="0.25">
      <c r="F517" s="494">
        <v>513</v>
      </c>
      <c r="G517" s="497" t="s">
        <v>4196</v>
      </c>
      <c r="H517" s="397"/>
      <c r="I517" s="397"/>
      <c r="J517" s="750" t="e">
        <f t="shared" si="5"/>
        <v>#DIV/0!</v>
      </c>
      <c r="K517" s="398"/>
      <c r="L517" s="398"/>
      <c r="M517" s="399"/>
    </row>
    <row r="518" spans="5:13" ht="13.5" hidden="1" thickBot="1" x14ac:dyDescent="0.25">
      <c r="F518" s="494">
        <v>514</v>
      </c>
      <c r="G518" s="495" t="s">
        <v>4197</v>
      </c>
      <c r="H518" s="397"/>
      <c r="I518" s="397"/>
      <c r="J518" s="750" t="e">
        <f t="shared" si="5"/>
        <v>#DIV/0!</v>
      </c>
      <c r="K518" s="398"/>
      <c r="L518" s="398"/>
      <c r="M518" s="399"/>
    </row>
    <row r="519" spans="5:13" ht="13.5" hidden="1" thickBot="1" x14ac:dyDescent="0.25">
      <c r="F519" s="494">
        <v>515</v>
      </c>
      <c r="G519" s="495" t="s">
        <v>3832</v>
      </c>
      <c r="H519" s="397"/>
      <c r="I519" s="397"/>
      <c r="J519" s="750" t="e">
        <f t="shared" si="5"/>
        <v>#DIV/0!</v>
      </c>
      <c r="K519" s="398"/>
      <c r="L519" s="398"/>
      <c r="M519" s="399"/>
    </row>
    <row r="520" spans="5:13" ht="13.5" hidden="1" thickBot="1" x14ac:dyDescent="0.25">
      <c r="F520" s="494">
        <v>521</v>
      </c>
      <c r="G520" s="495" t="s">
        <v>4198</v>
      </c>
      <c r="H520" s="397"/>
      <c r="I520" s="397"/>
      <c r="J520" s="750" t="e">
        <f t="shared" si="5"/>
        <v>#DIV/0!</v>
      </c>
      <c r="K520" s="398"/>
      <c r="L520" s="398"/>
      <c r="M520" s="399"/>
    </row>
    <row r="521" spans="5:13" ht="13.5" hidden="1" thickBot="1" x14ac:dyDescent="0.25">
      <c r="F521" s="494">
        <v>522</v>
      </c>
      <c r="G521" s="495" t="s">
        <v>4199</v>
      </c>
      <c r="H521" s="397"/>
      <c r="I521" s="397"/>
      <c r="J521" s="750" t="e">
        <f t="shared" si="5"/>
        <v>#DIV/0!</v>
      </c>
      <c r="K521" s="398"/>
      <c r="L521" s="398"/>
      <c r="M521" s="399"/>
    </row>
    <row r="522" spans="5:13" ht="13.5" hidden="1" thickBot="1" x14ac:dyDescent="0.25">
      <c r="F522" s="494">
        <v>523</v>
      </c>
      <c r="G522" s="495" t="s">
        <v>3837</v>
      </c>
      <c r="H522" s="397"/>
      <c r="I522" s="397"/>
      <c r="J522" s="750" t="e">
        <f t="shared" si="5"/>
        <v>#DIV/0!</v>
      </c>
      <c r="K522" s="398"/>
      <c r="L522" s="398"/>
      <c r="M522" s="399"/>
    </row>
    <row r="523" spans="5:13" ht="13.5" hidden="1" thickBot="1" x14ac:dyDescent="0.25">
      <c r="F523" s="494">
        <v>531</v>
      </c>
      <c r="G523" s="496" t="s">
        <v>4175</v>
      </c>
      <c r="H523" s="397"/>
      <c r="I523" s="397"/>
      <c r="J523" s="750" t="e">
        <f t="shared" si="5"/>
        <v>#DIV/0!</v>
      </c>
      <c r="K523" s="398"/>
      <c r="L523" s="398"/>
      <c r="M523" s="399"/>
    </row>
    <row r="524" spans="5:13" ht="13.5" hidden="1" thickBot="1" x14ac:dyDescent="0.25">
      <c r="F524" s="494">
        <v>541</v>
      </c>
      <c r="G524" s="495" t="s">
        <v>4200</v>
      </c>
      <c r="H524" s="397"/>
      <c r="I524" s="397"/>
      <c r="J524" s="750" t="e">
        <f t="shared" si="5"/>
        <v>#DIV/0!</v>
      </c>
      <c r="K524" s="398"/>
      <c r="L524" s="398"/>
      <c r="M524" s="399"/>
    </row>
    <row r="525" spans="5:13" ht="13.5" hidden="1" thickBot="1" x14ac:dyDescent="0.25">
      <c r="F525" s="494">
        <v>542</v>
      </c>
      <c r="G525" s="495" t="s">
        <v>4201</v>
      </c>
      <c r="H525" s="397"/>
      <c r="I525" s="397"/>
      <c r="J525" s="750" t="e">
        <f t="shared" ref="J525:J588" si="6">SUM(I525/H525)*100</f>
        <v>#DIV/0!</v>
      </c>
      <c r="K525" s="398"/>
      <c r="L525" s="398"/>
      <c r="M525" s="399"/>
    </row>
    <row r="526" spans="5:13" ht="13.5" hidden="1" thickBot="1" x14ac:dyDescent="0.25">
      <c r="F526" s="494">
        <v>543</v>
      </c>
      <c r="G526" s="495" t="s">
        <v>3842</v>
      </c>
      <c r="H526" s="397"/>
      <c r="I526" s="397"/>
      <c r="J526" s="750" t="e">
        <f t="shared" si="6"/>
        <v>#DIV/0!</v>
      </c>
      <c r="K526" s="398"/>
      <c r="L526" s="398"/>
      <c r="M526" s="399"/>
    </row>
    <row r="527" spans="5:13" ht="39" hidden="1" thickBot="1" x14ac:dyDescent="0.25">
      <c r="F527" s="494">
        <v>551</v>
      </c>
      <c r="G527" s="495" t="s">
        <v>4176</v>
      </c>
      <c r="H527" s="397"/>
      <c r="I527" s="397"/>
      <c r="J527" s="750" t="e">
        <f t="shared" si="6"/>
        <v>#DIV/0!</v>
      </c>
      <c r="K527" s="398"/>
      <c r="L527" s="398"/>
      <c r="M527" s="399"/>
    </row>
    <row r="528" spans="5:13" ht="13.5" hidden="1" thickBot="1" x14ac:dyDescent="0.25">
      <c r="F528" s="498">
        <v>611</v>
      </c>
      <c r="G528" s="499" t="s">
        <v>3848</v>
      </c>
      <c r="H528" s="397"/>
      <c r="I528" s="397"/>
      <c r="J528" s="750" t="e">
        <f t="shared" si="6"/>
        <v>#DIV/0!</v>
      </c>
      <c r="K528" s="398"/>
      <c r="L528" s="398"/>
      <c r="M528" s="399"/>
    </row>
    <row r="529" spans="5:13" ht="13.5" hidden="1" thickBot="1" x14ac:dyDescent="0.25">
      <c r="F529" s="498">
        <v>620</v>
      </c>
      <c r="G529" s="499" t="s">
        <v>88</v>
      </c>
      <c r="H529" s="397"/>
      <c r="I529" s="397"/>
      <c r="J529" s="750" t="e">
        <f t="shared" si="6"/>
        <v>#DIV/0!</v>
      </c>
      <c r="K529" s="398"/>
      <c r="L529" s="398"/>
      <c r="M529" s="399"/>
    </row>
    <row r="530" spans="5:13" x14ac:dyDescent="0.2">
      <c r="E530" s="500"/>
      <c r="F530" s="498"/>
      <c r="G530" s="501" t="s">
        <v>5128</v>
      </c>
      <c r="H530" s="400"/>
      <c r="I530" s="400"/>
      <c r="J530" s="750"/>
      <c r="K530" s="401"/>
      <c r="L530" s="402"/>
      <c r="M530" s="399"/>
    </row>
    <row r="531" spans="5:13" x14ac:dyDescent="0.2">
      <c r="E531" s="502"/>
      <c r="F531" s="503" t="s">
        <v>234</v>
      </c>
      <c r="G531" s="504" t="s">
        <v>235</v>
      </c>
      <c r="H531" s="403">
        <v>9465100</v>
      </c>
      <c r="I531" s="403">
        <f>SUM(I480:I516)</f>
        <v>8567307.3599999994</v>
      </c>
      <c r="J531" s="750">
        <f t="shared" si="6"/>
        <v>90.514705180082615</v>
      </c>
      <c r="K531" s="404"/>
      <c r="L531" s="404"/>
      <c r="M531" s="399"/>
    </row>
    <row r="532" spans="5:13" hidden="1" x14ac:dyDescent="0.2">
      <c r="F532" s="503" t="s">
        <v>236</v>
      </c>
      <c r="G532" s="504" t="s">
        <v>237</v>
      </c>
      <c r="H532" s="397"/>
      <c r="I532" s="397"/>
      <c r="J532" s="750" t="e">
        <f t="shared" si="6"/>
        <v>#DIV/0!</v>
      </c>
      <c r="K532" s="398"/>
      <c r="L532" s="404"/>
      <c r="M532" s="399"/>
    </row>
    <row r="533" spans="5:13" hidden="1" x14ac:dyDescent="0.2">
      <c r="F533" s="503" t="s">
        <v>238</v>
      </c>
      <c r="G533" s="504" t="s">
        <v>239</v>
      </c>
      <c r="H533" s="397"/>
      <c r="I533" s="397"/>
      <c r="J533" s="750" t="e">
        <f t="shared" si="6"/>
        <v>#DIV/0!</v>
      </c>
      <c r="K533" s="398"/>
      <c r="L533" s="404"/>
      <c r="M533" s="399"/>
    </row>
    <row r="534" spans="5:13" hidden="1" x14ac:dyDescent="0.2">
      <c r="F534" s="503" t="s">
        <v>240</v>
      </c>
      <c r="G534" s="504" t="s">
        <v>241</v>
      </c>
      <c r="H534" s="397"/>
      <c r="I534" s="397"/>
      <c r="J534" s="750" t="e">
        <f t="shared" si="6"/>
        <v>#DIV/0!</v>
      </c>
      <c r="K534" s="398"/>
      <c r="L534" s="404"/>
      <c r="M534" s="399"/>
    </row>
    <row r="535" spans="5:13" hidden="1" x14ac:dyDescent="0.2">
      <c r="F535" s="503" t="s">
        <v>242</v>
      </c>
      <c r="G535" s="504" t="s">
        <v>243</v>
      </c>
      <c r="H535" s="397"/>
      <c r="I535" s="397"/>
      <c r="J535" s="750" t="e">
        <f t="shared" si="6"/>
        <v>#DIV/0!</v>
      </c>
      <c r="K535" s="398"/>
      <c r="L535" s="404"/>
      <c r="M535" s="399"/>
    </row>
    <row r="536" spans="5:13" hidden="1" x14ac:dyDescent="0.2">
      <c r="F536" s="503" t="s">
        <v>244</v>
      </c>
      <c r="G536" s="504" t="s">
        <v>245</v>
      </c>
      <c r="H536" s="397"/>
      <c r="I536" s="397"/>
      <c r="J536" s="750" t="e">
        <f t="shared" si="6"/>
        <v>#DIV/0!</v>
      </c>
      <c r="K536" s="398"/>
      <c r="L536" s="404"/>
      <c r="M536" s="399"/>
    </row>
    <row r="537" spans="5:13" hidden="1" x14ac:dyDescent="0.2">
      <c r="F537" s="503" t="s">
        <v>246</v>
      </c>
      <c r="G537" s="504" t="s">
        <v>247</v>
      </c>
      <c r="H537" s="397"/>
      <c r="I537" s="397"/>
      <c r="J537" s="750" t="e">
        <f t="shared" si="6"/>
        <v>#DIV/0!</v>
      </c>
      <c r="K537" s="398"/>
      <c r="L537" s="404"/>
      <c r="M537" s="399"/>
    </row>
    <row r="538" spans="5:13" ht="26.25" thickBot="1" x14ac:dyDescent="0.25">
      <c r="F538" s="503" t="s">
        <v>261</v>
      </c>
      <c r="G538" s="504" t="s">
        <v>262</v>
      </c>
      <c r="H538" s="397">
        <v>2152541</v>
      </c>
      <c r="I538" s="397"/>
      <c r="J538" s="750">
        <f t="shared" si="6"/>
        <v>0</v>
      </c>
      <c r="K538" s="398"/>
      <c r="L538" s="404"/>
      <c r="M538" s="399"/>
    </row>
    <row r="539" spans="5:13" ht="13.5" hidden="1" thickBot="1" x14ac:dyDescent="0.25">
      <c r="F539" s="503" t="s">
        <v>250</v>
      </c>
      <c r="G539" s="504" t="s">
        <v>57</v>
      </c>
      <c r="H539" s="397"/>
      <c r="I539" s="397"/>
      <c r="J539" s="750" t="e">
        <f t="shared" si="6"/>
        <v>#DIV/0!</v>
      </c>
      <c r="K539" s="398"/>
      <c r="L539" s="404"/>
      <c r="M539" s="399"/>
    </row>
    <row r="540" spans="5:13" ht="13.5" hidden="1" thickBot="1" x14ac:dyDescent="0.25">
      <c r="F540" s="503" t="s">
        <v>251</v>
      </c>
      <c r="G540" s="504" t="s">
        <v>252</v>
      </c>
      <c r="H540" s="397"/>
      <c r="I540" s="397"/>
      <c r="J540" s="750" t="e">
        <f t="shared" si="6"/>
        <v>#DIV/0!</v>
      </c>
      <c r="K540" s="398"/>
      <c r="L540" s="404"/>
      <c r="M540" s="399"/>
    </row>
    <row r="541" spans="5:13" ht="13.5" hidden="1" thickBot="1" x14ac:dyDescent="0.25">
      <c r="F541" s="503" t="s">
        <v>253</v>
      </c>
      <c r="G541" s="504" t="s">
        <v>254</v>
      </c>
      <c r="H541" s="397"/>
      <c r="I541" s="397"/>
      <c r="J541" s="750" t="e">
        <f t="shared" si="6"/>
        <v>#DIV/0!</v>
      </c>
      <c r="K541" s="398"/>
      <c r="L541" s="404"/>
      <c r="M541" s="399"/>
    </row>
    <row r="542" spans="5:13" ht="26.25" hidden="1" thickBot="1" x14ac:dyDescent="0.25">
      <c r="F542" s="503" t="s">
        <v>255</v>
      </c>
      <c r="G542" s="504" t="s">
        <v>256</v>
      </c>
      <c r="H542" s="397"/>
      <c r="I542" s="397"/>
      <c r="J542" s="750" t="e">
        <f t="shared" si="6"/>
        <v>#DIV/0!</v>
      </c>
      <c r="K542" s="398"/>
      <c r="L542" s="404"/>
      <c r="M542" s="399"/>
    </row>
    <row r="543" spans="5:13" ht="14.25" hidden="1" customHeight="1" x14ac:dyDescent="0.2">
      <c r="F543" s="503" t="s">
        <v>257</v>
      </c>
      <c r="G543" s="504" t="s">
        <v>258</v>
      </c>
      <c r="H543" s="397"/>
      <c r="I543" s="397"/>
      <c r="J543" s="750" t="e">
        <f t="shared" si="6"/>
        <v>#DIV/0!</v>
      </c>
      <c r="K543" s="398"/>
      <c r="L543" s="404"/>
      <c r="M543" s="399"/>
    </row>
    <row r="544" spans="5:13" ht="12" hidden="1" customHeight="1" x14ac:dyDescent="0.2">
      <c r="F544" s="503" t="s">
        <v>259</v>
      </c>
      <c r="G544" s="504" t="s">
        <v>260</v>
      </c>
      <c r="H544" s="397"/>
      <c r="I544" s="397"/>
      <c r="J544" s="750" t="e">
        <f t="shared" si="6"/>
        <v>#DIV/0!</v>
      </c>
      <c r="K544" s="398"/>
      <c r="L544" s="404"/>
      <c r="M544" s="399"/>
    </row>
    <row r="545" spans="5:13" ht="15" hidden="1" customHeight="1" x14ac:dyDescent="0.2">
      <c r="F545" s="503" t="s">
        <v>261</v>
      </c>
      <c r="G545" s="504" t="s">
        <v>262</v>
      </c>
      <c r="H545" s="397"/>
      <c r="I545" s="397"/>
      <c r="J545" s="750" t="e">
        <f t="shared" si="6"/>
        <v>#DIV/0!</v>
      </c>
      <c r="K545" s="398"/>
      <c r="L545" s="404"/>
      <c r="M545" s="399"/>
    </row>
    <row r="546" spans="5:13" ht="12" hidden="1" customHeight="1" thickBot="1" x14ac:dyDescent="0.25">
      <c r="F546" s="503" t="s">
        <v>263</v>
      </c>
      <c r="G546" s="504" t="s">
        <v>264</v>
      </c>
      <c r="H546" s="403"/>
      <c r="I546" s="403"/>
      <c r="J546" s="750" t="e">
        <f t="shared" si="6"/>
        <v>#DIV/0!</v>
      </c>
      <c r="K546" s="404"/>
      <c r="L546" s="404"/>
      <c r="M546" s="399"/>
    </row>
    <row r="547" spans="5:13" ht="13.5" thickBot="1" x14ac:dyDescent="0.25">
      <c r="G547" s="505" t="s">
        <v>5130</v>
      </c>
      <c r="H547" s="405">
        <f>SUM(H531:H546)</f>
        <v>11617641</v>
      </c>
      <c r="I547" s="405">
        <f>SUM(I531)</f>
        <v>8567307.3599999994</v>
      </c>
      <c r="J547" s="750">
        <f t="shared" si="6"/>
        <v>73.743949912034637</v>
      </c>
      <c r="K547" s="406">
        <f>SUM(K538)</f>
        <v>0</v>
      </c>
      <c r="L547" s="406"/>
      <c r="M547" s="399"/>
    </row>
    <row r="548" spans="5:13" ht="18" customHeight="1" x14ac:dyDescent="0.2">
      <c r="E548" s="500"/>
      <c r="F548" s="498"/>
      <c r="G548" s="506" t="s">
        <v>4283</v>
      </c>
      <c r="H548" s="407"/>
      <c r="I548" s="408"/>
      <c r="J548" s="750"/>
      <c r="K548" s="409"/>
      <c r="L548" s="410"/>
      <c r="M548" s="399"/>
    </row>
    <row r="549" spans="5:13" ht="13.5" customHeight="1" x14ac:dyDescent="0.2">
      <c r="E549" s="502"/>
      <c r="F549" s="503" t="s">
        <v>234</v>
      </c>
      <c r="G549" s="504" t="s">
        <v>235</v>
      </c>
      <c r="H549" s="403">
        <f>SUM(H531)</f>
        <v>9465100</v>
      </c>
      <c r="I549" s="403">
        <f>SUM(I547)</f>
        <v>8567307.3599999994</v>
      </c>
      <c r="J549" s="750">
        <f t="shared" si="6"/>
        <v>90.514705180082615</v>
      </c>
      <c r="K549" s="404"/>
      <c r="L549" s="404"/>
      <c r="M549" s="399"/>
    </row>
    <row r="550" spans="5:13" hidden="1" x14ac:dyDescent="0.2">
      <c r="F550" s="503" t="s">
        <v>236</v>
      </c>
      <c r="G550" s="504" t="s">
        <v>237</v>
      </c>
      <c r="H550" s="397"/>
      <c r="I550" s="397"/>
      <c r="J550" s="750" t="e">
        <f t="shared" si="6"/>
        <v>#DIV/0!</v>
      </c>
      <c r="K550" s="398"/>
      <c r="L550" s="404"/>
      <c r="M550" s="399"/>
    </row>
    <row r="551" spans="5:13" hidden="1" x14ac:dyDescent="0.2">
      <c r="F551" s="503" t="s">
        <v>238</v>
      </c>
      <c r="G551" s="504" t="s">
        <v>239</v>
      </c>
      <c r="H551" s="397"/>
      <c r="I551" s="397"/>
      <c r="J551" s="750" t="e">
        <f t="shared" si="6"/>
        <v>#DIV/0!</v>
      </c>
      <c r="K551" s="398"/>
      <c r="L551" s="404"/>
      <c r="M551" s="399"/>
    </row>
    <row r="552" spans="5:13" hidden="1" x14ac:dyDescent="0.2">
      <c r="F552" s="503" t="s">
        <v>240</v>
      </c>
      <c r="G552" s="504" t="s">
        <v>241</v>
      </c>
      <c r="H552" s="397"/>
      <c r="I552" s="397"/>
      <c r="J552" s="750" t="e">
        <f t="shared" si="6"/>
        <v>#DIV/0!</v>
      </c>
      <c r="K552" s="398"/>
      <c r="L552" s="404"/>
      <c r="M552" s="399"/>
    </row>
    <row r="553" spans="5:13" hidden="1" x14ac:dyDescent="0.2">
      <c r="F553" s="503" t="s">
        <v>242</v>
      </c>
      <c r="G553" s="504" t="s">
        <v>243</v>
      </c>
      <c r="H553" s="397"/>
      <c r="I553" s="397"/>
      <c r="J553" s="750" t="e">
        <f t="shared" si="6"/>
        <v>#DIV/0!</v>
      </c>
      <c r="K553" s="398"/>
      <c r="L553" s="404"/>
      <c r="M553" s="399"/>
    </row>
    <row r="554" spans="5:13" hidden="1" x14ac:dyDescent="0.2">
      <c r="F554" s="503" t="s">
        <v>244</v>
      </c>
      <c r="G554" s="504" t="s">
        <v>245</v>
      </c>
      <c r="H554" s="397"/>
      <c r="I554" s="397"/>
      <c r="J554" s="750" t="e">
        <f t="shared" si="6"/>
        <v>#DIV/0!</v>
      </c>
      <c r="K554" s="398"/>
      <c r="L554" s="404"/>
      <c r="M554" s="399"/>
    </row>
    <row r="555" spans="5:13" hidden="1" x14ac:dyDescent="0.2">
      <c r="F555" s="503" t="s">
        <v>246</v>
      </c>
      <c r="G555" s="504" t="s">
        <v>247</v>
      </c>
      <c r="H555" s="397"/>
      <c r="I555" s="397"/>
      <c r="J555" s="750" t="e">
        <f t="shared" si="6"/>
        <v>#DIV/0!</v>
      </c>
      <c r="K555" s="398"/>
      <c r="L555" s="404"/>
      <c r="M555" s="399"/>
    </row>
    <row r="556" spans="5:13" ht="25.5" hidden="1" x14ac:dyDescent="0.2">
      <c r="F556" s="503" t="s">
        <v>248</v>
      </c>
      <c r="G556" s="504" t="s">
        <v>249</v>
      </c>
      <c r="H556" s="397"/>
      <c r="I556" s="397"/>
      <c r="J556" s="750" t="e">
        <f t="shared" si="6"/>
        <v>#DIV/0!</v>
      </c>
      <c r="K556" s="398"/>
      <c r="L556" s="404"/>
      <c r="M556" s="399"/>
    </row>
    <row r="557" spans="5:13" hidden="1" x14ac:dyDescent="0.2">
      <c r="F557" s="503" t="s">
        <v>250</v>
      </c>
      <c r="G557" s="504" t="s">
        <v>57</v>
      </c>
      <c r="H557" s="397"/>
      <c r="I557" s="397"/>
      <c r="J557" s="750" t="e">
        <f t="shared" si="6"/>
        <v>#DIV/0!</v>
      </c>
      <c r="K557" s="398"/>
      <c r="L557" s="404"/>
      <c r="M557" s="399"/>
    </row>
    <row r="558" spans="5:13" hidden="1" x14ac:dyDescent="0.2">
      <c r="F558" s="503" t="s">
        <v>251</v>
      </c>
      <c r="G558" s="504" t="s">
        <v>252</v>
      </c>
      <c r="H558" s="397"/>
      <c r="I558" s="397"/>
      <c r="J558" s="750" t="e">
        <f t="shared" si="6"/>
        <v>#DIV/0!</v>
      </c>
      <c r="K558" s="398"/>
      <c r="L558" s="404"/>
      <c r="M558" s="399"/>
    </row>
    <row r="559" spans="5:13" hidden="1" x14ac:dyDescent="0.2">
      <c r="F559" s="503" t="s">
        <v>253</v>
      </c>
      <c r="G559" s="504" t="s">
        <v>254</v>
      </c>
      <c r="H559" s="397"/>
      <c r="I559" s="397"/>
      <c r="J559" s="750" t="e">
        <f t="shared" si="6"/>
        <v>#DIV/0!</v>
      </c>
      <c r="K559" s="398"/>
      <c r="L559" s="404"/>
      <c r="M559" s="399"/>
    </row>
    <row r="560" spans="5:13" ht="25.5" hidden="1" x14ac:dyDescent="0.2">
      <c r="F560" s="503" t="s">
        <v>255</v>
      </c>
      <c r="G560" s="504" t="s">
        <v>256</v>
      </c>
      <c r="H560" s="397"/>
      <c r="I560" s="397"/>
      <c r="J560" s="750" t="e">
        <f t="shared" si="6"/>
        <v>#DIV/0!</v>
      </c>
      <c r="K560" s="398"/>
      <c r="L560" s="404"/>
      <c r="M560" s="399"/>
    </row>
    <row r="561" spans="6:13" ht="25.5" hidden="1" x14ac:dyDescent="0.2">
      <c r="F561" s="503" t="s">
        <v>257</v>
      </c>
      <c r="G561" s="504" t="s">
        <v>258</v>
      </c>
      <c r="H561" s="397"/>
      <c r="I561" s="397"/>
      <c r="J561" s="750" t="e">
        <f t="shared" si="6"/>
        <v>#DIV/0!</v>
      </c>
      <c r="K561" s="398"/>
      <c r="L561" s="404"/>
      <c r="M561" s="399"/>
    </row>
    <row r="562" spans="6:13" ht="25.5" hidden="1" x14ac:dyDescent="0.2">
      <c r="F562" s="503" t="s">
        <v>259</v>
      </c>
      <c r="G562" s="504" t="s">
        <v>260</v>
      </c>
      <c r="H562" s="397"/>
      <c r="I562" s="397"/>
      <c r="J562" s="750" t="e">
        <f t="shared" si="6"/>
        <v>#DIV/0!</v>
      </c>
      <c r="K562" s="398"/>
      <c r="L562" s="404"/>
      <c r="M562" s="399"/>
    </row>
    <row r="563" spans="6:13" ht="25.5" hidden="1" x14ac:dyDescent="0.2">
      <c r="F563" s="503" t="s">
        <v>261</v>
      </c>
      <c r="G563" s="504" t="s">
        <v>262</v>
      </c>
      <c r="H563" s="397"/>
      <c r="I563" s="397"/>
      <c r="J563" s="750" t="e">
        <f t="shared" si="6"/>
        <v>#DIV/0!</v>
      </c>
      <c r="K563" s="398"/>
      <c r="L563" s="404"/>
      <c r="M563" s="399"/>
    </row>
    <row r="564" spans="6:13" ht="16.5" customHeight="1" thickBot="1" x14ac:dyDescent="0.25">
      <c r="F564" s="503" t="s">
        <v>261</v>
      </c>
      <c r="G564" s="504" t="s">
        <v>262</v>
      </c>
      <c r="H564" s="403">
        <v>2152541</v>
      </c>
      <c r="I564" s="403"/>
      <c r="J564" s="750">
        <f t="shared" si="6"/>
        <v>0</v>
      </c>
      <c r="K564" s="404"/>
      <c r="L564" s="404"/>
      <c r="M564" s="399"/>
    </row>
    <row r="565" spans="6:13" ht="15" customHeight="1" thickBot="1" x14ac:dyDescent="0.25">
      <c r="G565" s="505" t="s">
        <v>4282</v>
      </c>
      <c r="H565" s="405">
        <f>SUM(H549:H564)</f>
        <v>11617641</v>
      </c>
      <c r="I565" s="405">
        <f>SUM(I547)</f>
        <v>8567307.3599999994</v>
      </c>
      <c r="J565" s="750">
        <f t="shared" si="6"/>
        <v>73.743949912034637</v>
      </c>
      <c r="K565" s="406">
        <f>SUM(K547)</f>
        <v>0</v>
      </c>
      <c r="L565" s="406"/>
      <c r="M565" s="399"/>
    </row>
    <row r="566" spans="6:13" hidden="1" x14ac:dyDescent="0.2">
      <c r="G566" s="510"/>
      <c r="H566" s="411"/>
      <c r="I566" s="411"/>
      <c r="J566" s="750" t="e">
        <f t="shared" si="6"/>
        <v>#DIV/0!</v>
      </c>
      <c r="K566" s="412"/>
      <c r="L566" s="412"/>
      <c r="M566" s="399"/>
    </row>
    <row r="567" spans="6:13" hidden="1" x14ac:dyDescent="0.2">
      <c r="G567" s="510"/>
      <c r="H567" s="411"/>
      <c r="I567" s="411"/>
      <c r="J567" s="750" t="e">
        <f t="shared" si="6"/>
        <v>#DIV/0!</v>
      </c>
      <c r="K567" s="412"/>
      <c r="L567" s="412"/>
      <c r="M567" s="399"/>
    </row>
    <row r="568" spans="6:13" hidden="1" x14ac:dyDescent="0.2">
      <c r="G568" s="510"/>
      <c r="H568" s="411"/>
      <c r="I568" s="411"/>
      <c r="J568" s="750" t="e">
        <f t="shared" si="6"/>
        <v>#DIV/0!</v>
      </c>
      <c r="K568" s="412"/>
      <c r="L568" s="412"/>
      <c r="M568" s="399"/>
    </row>
    <row r="569" spans="6:13" hidden="1" x14ac:dyDescent="0.2">
      <c r="G569" s="510"/>
      <c r="H569" s="411"/>
      <c r="I569" s="411"/>
      <c r="J569" s="750" t="e">
        <f t="shared" si="6"/>
        <v>#DIV/0!</v>
      </c>
      <c r="K569" s="412"/>
      <c r="L569" s="412"/>
      <c r="M569" s="399"/>
    </row>
    <row r="570" spans="6:13" hidden="1" x14ac:dyDescent="0.2">
      <c r="G570" s="510"/>
      <c r="H570" s="411"/>
      <c r="I570" s="411"/>
      <c r="J570" s="750" t="e">
        <f t="shared" si="6"/>
        <v>#DIV/0!</v>
      </c>
      <c r="K570" s="412"/>
      <c r="L570" s="412"/>
      <c r="M570" s="399"/>
    </row>
    <row r="571" spans="6:13" hidden="1" x14ac:dyDescent="0.2">
      <c r="G571" s="510"/>
      <c r="H571" s="411"/>
      <c r="I571" s="411"/>
      <c r="J571" s="750" t="e">
        <f t="shared" si="6"/>
        <v>#DIV/0!</v>
      </c>
      <c r="K571" s="412"/>
      <c r="L571" s="412"/>
      <c r="M571" s="399"/>
    </row>
    <row r="572" spans="6:13" hidden="1" x14ac:dyDescent="0.2">
      <c r="G572" s="510"/>
      <c r="H572" s="411"/>
      <c r="I572" s="411"/>
      <c r="J572" s="750" t="e">
        <f t="shared" si="6"/>
        <v>#DIV/0!</v>
      </c>
      <c r="K572" s="412"/>
      <c r="L572" s="412"/>
      <c r="M572" s="399"/>
    </row>
    <row r="573" spans="6:13" hidden="1" x14ac:dyDescent="0.2">
      <c r="G573" s="510"/>
      <c r="H573" s="411"/>
      <c r="I573" s="411"/>
      <c r="J573" s="750" t="e">
        <f t="shared" si="6"/>
        <v>#DIV/0!</v>
      </c>
      <c r="K573" s="412"/>
      <c r="L573" s="412"/>
      <c r="M573" s="399"/>
    </row>
    <row r="574" spans="6:13" hidden="1" x14ac:dyDescent="0.2">
      <c r="G574" s="510"/>
      <c r="H574" s="411"/>
      <c r="I574" s="411"/>
      <c r="J574" s="750" t="e">
        <f t="shared" si="6"/>
        <v>#DIV/0!</v>
      </c>
      <c r="K574" s="412"/>
      <c r="L574" s="412"/>
      <c r="M574" s="399"/>
    </row>
    <row r="575" spans="6:13" hidden="1" x14ac:dyDescent="0.2">
      <c r="G575" s="510"/>
      <c r="H575" s="411"/>
      <c r="I575" s="411"/>
      <c r="J575" s="750" t="e">
        <f t="shared" si="6"/>
        <v>#DIV/0!</v>
      </c>
      <c r="K575" s="412"/>
      <c r="L575" s="412"/>
      <c r="M575" s="399"/>
    </row>
    <row r="576" spans="6:13" hidden="1" x14ac:dyDescent="0.2">
      <c r="G576" s="510"/>
      <c r="H576" s="411"/>
      <c r="I576" s="411"/>
      <c r="J576" s="750" t="e">
        <f t="shared" si="6"/>
        <v>#DIV/0!</v>
      </c>
      <c r="K576" s="412"/>
      <c r="L576" s="412"/>
      <c r="M576" s="399"/>
    </row>
    <row r="577" spans="7:13" hidden="1" x14ac:dyDescent="0.2">
      <c r="G577" s="510"/>
      <c r="H577" s="411"/>
      <c r="I577" s="411"/>
      <c r="J577" s="750" t="e">
        <f t="shared" si="6"/>
        <v>#DIV/0!</v>
      </c>
      <c r="K577" s="412"/>
      <c r="L577" s="412"/>
      <c r="M577" s="399"/>
    </row>
    <row r="578" spans="7:13" hidden="1" x14ac:dyDescent="0.2">
      <c r="G578" s="510"/>
      <c r="H578" s="411"/>
      <c r="I578" s="411"/>
      <c r="J578" s="750" t="e">
        <f t="shared" si="6"/>
        <v>#DIV/0!</v>
      </c>
      <c r="K578" s="412"/>
      <c r="L578" s="412"/>
      <c r="M578" s="399"/>
    </row>
    <row r="579" spans="7:13" hidden="1" x14ac:dyDescent="0.2">
      <c r="G579" s="510"/>
      <c r="H579" s="411"/>
      <c r="I579" s="411"/>
      <c r="J579" s="750" t="e">
        <f t="shared" si="6"/>
        <v>#DIV/0!</v>
      </c>
      <c r="K579" s="412"/>
      <c r="L579" s="412"/>
      <c r="M579" s="399"/>
    </row>
    <row r="580" spans="7:13" hidden="1" x14ac:dyDescent="0.2">
      <c r="G580" s="510"/>
      <c r="H580" s="411"/>
      <c r="I580" s="411"/>
      <c r="J580" s="750" t="e">
        <f t="shared" si="6"/>
        <v>#DIV/0!</v>
      </c>
      <c r="K580" s="412"/>
      <c r="L580" s="412"/>
      <c r="M580" s="399"/>
    </row>
    <row r="581" spans="7:13" hidden="1" x14ac:dyDescent="0.2">
      <c r="G581" s="510"/>
      <c r="H581" s="411"/>
      <c r="I581" s="411"/>
      <c r="J581" s="750" t="e">
        <f t="shared" si="6"/>
        <v>#DIV/0!</v>
      </c>
      <c r="K581" s="412"/>
      <c r="L581" s="412"/>
      <c r="M581" s="399"/>
    </row>
    <row r="582" spans="7:13" hidden="1" x14ac:dyDescent="0.2">
      <c r="G582" s="510"/>
      <c r="H582" s="411"/>
      <c r="I582" s="411"/>
      <c r="J582" s="750" t="e">
        <f t="shared" si="6"/>
        <v>#DIV/0!</v>
      </c>
      <c r="K582" s="412"/>
      <c r="L582" s="412"/>
      <c r="M582" s="399"/>
    </row>
    <row r="583" spans="7:13" hidden="1" x14ac:dyDescent="0.2">
      <c r="G583" s="510"/>
      <c r="H583" s="411"/>
      <c r="I583" s="411"/>
      <c r="J583" s="750" t="e">
        <f t="shared" si="6"/>
        <v>#DIV/0!</v>
      </c>
      <c r="K583" s="412"/>
      <c r="L583" s="412"/>
      <c r="M583" s="399"/>
    </row>
    <row r="584" spans="7:13" hidden="1" x14ac:dyDescent="0.2">
      <c r="G584" s="510"/>
      <c r="H584" s="411"/>
      <c r="I584" s="411"/>
      <c r="J584" s="750" t="e">
        <f t="shared" si="6"/>
        <v>#DIV/0!</v>
      </c>
      <c r="K584" s="412"/>
      <c r="L584" s="412"/>
      <c r="M584" s="399"/>
    </row>
    <row r="585" spans="7:13" hidden="1" x14ac:dyDescent="0.2">
      <c r="G585" s="510"/>
      <c r="H585" s="411"/>
      <c r="I585" s="411"/>
      <c r="J585" s="750" t="e">
        <f t="shared" si="6"/>
        <v>#DIV/0!</v>
      </c>
      <c r="K585" s="412"/>
      <c r="L585" s="412"/>
      <c r="M585" s="399"/>
    </row>
    <row r="586" spans="7:13" hidden="1" x14ac:dyDescent="0.2">
      <c r="G586" s="510"/>
      <c r="H586" s="411"/>
      <c r="I586" s="411"/>
      <c r="J586" s="750" t="e">
        <f t="shared" si="6"/>
        <v>#DIV/0!</v>
      </c>
      <c r="K586" s="412"/>
      <c r="L586" s="412"/>
      <c r="M586" s="399"/>
    </row>
    <row r="587" spans="7:13" hidden="1" x14ac:dyDescent="0.2">
      <c r="G587" s="510"/>
      <c r="H587" s="411"/>
      <c r="I587" s="411"/>
      <c r="J587" s="750" t="e">
        <f t="shared" si="6"/>
        <v>#DIV/0!</v>
      </c>
      <c r="K587" s="412"/>
      <c r="L587" s="412"/>
      <c r="M587" s="399"/>
    </row>
    <row r="588" spans="7:13" hidden="1" x14ac:dyDescent="0.2">
      <c r="G588" s="510"/>
      <c r="H588" s="411"/>
      <c r="I588" s="411"/>
      <c r="J588" s="750" t="e">
        <f t="shared" si="6"/>
        <v>#DIV/0!</v>
      </c>
      <c r="K588" s="412"/>
      <c r="L588" s="412"/>
      <c r="M588" s="399"/>
    </row>
    <row r="589" spans="7:13" hidden="1" x14ac:dyDescent="0.2">
      <c r="G589" s="510"/>
      <c r="H589" s="411"/>
      <c r="I589" s="411"/>
      <c r="J589" s="750" t="e">
        <f t="shared" ref="J589:J652" si="7">SUM(I589/H589)*100</f>
        <v>#DIV/0!</v>
      </c>
      <c r="K589" s="412"/>
      <c r="L589" s="412"/>
      <c r="M589" s="399"/>
    </row>
    <row r="590" spans="7:13" hidden="1" x14ac:dyDescent="0.2">
      <c r="G590" s="510"/>
      <c r="H590" s="411"/>
      <c r="I590" s="411"/>
      <c r="J590" s="750" t="e">
        <f t="shared" si="7"/>
        <v>#DIV/0!</v>
      </c>
      <c r="K590" s="412"/>
      <c r="L590" s="412"/>
      <c r="M590" s="399"/>
    </row>
    <row r="591" spans="7:13" hidden="1" x14ac:dyDescent="0.2">
      <c r="G591" s="510"/>
      <c r="H591" s="411"/>
      <c r="I591" s="411"/>
      <c r="J591" s="750" t="e">
        <f t="shared" si="7"/>
        <v>#DIV/0!</v>
      </c>
      <c r="K591" s="412"/>
      <c r="L591" s="412"/>
      <c r="M591" s="399"/>
    </row>
    <row r="592" spans="7:13" hidden="1" x14ac:dyDescent="0.2">
      <c r="G592" s="510"/>
      <c r="H592" s="411"/>
      <c r="I592" s="411"/>
      <c r="J592" s="750" t="e">
        <f t="shared" si="7"/>
        <v>#DIV/0!</v>
      </c>
      <c r="K592" s="412"/>
      <c r="L592" s="412"/>
      <c r="M592" s="399"/>
    </row>
    <row r="593" spans="7:13" hidden="1" x14ac:dyDescent="0.2">
      <c r="G593" s="510"/>
      <c r="H593" s="411"/>
      <c r="I593" s="411"/>
      <c r="J593" s="750" t="e">
        <f t="shared" si="7"/>
        <v>#DIV/0!</v>
      </c>
      <c r="K593" s="412"/>
      <c r="L593" s="412"/>
      <c r="M593" s="399"/>
    </row>
    <row r="594" spans="7:13" hidden="1" x14ac:dyDescent="0.2">
      <c r="G594" s="510"/>
      <c r="H594" s="411"/>
      <c r="I594" s="411"/>
      <c r="J594" s="750" t="e">
        <f t="shared" si="7"/>
        <v>#DIV/0!</v>
      </c>
      <c r="K594" s="412"/>
      <c r="L594" s="412"/>
      <c r="M594" s="399"/>
    </row>
    <row r="595" spans="7:13" hidden="1" x14ac:dyDescent="0.2">
      <c r="G595" s="510"/>
      <c r="H595" s="411"/>
      <c r="I595" s="411"/>
      <c r="J595" s="750" t="e">
        <f t="shared" si="7"/>
        <v>#DIV/0!</v>
      </c>
      <c r="K595" s="412"/>
      <c r="L595" s="412"/>
      <c r="M595" s="399"/>
    </row>
    <row r="596" spans="7:13" hidden="1" x14ac:dyDescent="0.2">
      <c r="G596" s="510"/>
      <c r="H596" s="411"/>
      <c r="I596" s="411"/>
      <c r="J596" s="750" t="e">
        <f t="shared" si="7"/>
        <v>#DIV/0!</v>
      </c>
      <c r="K596" s="412"/>
      <c r="L596" s="412"/>
      <c r="M596" s="399"/>
    </row>
    <row r="597" spans="7:13" hidden="1" x14ac:dyDescent="0.2">
      <c r="G597" s="510"/>
      <c r="H597" s="411"/>
      <c r="I597" s="411"/>
      <c r="J597" s="750" t="e">
        <f t="shared" si="7"/>
        <v>#DIV/0!</v>
      </c>
      <c r="K597" s="412"/>
      <c r="L597" s="412"/>
      <c r="M597" s="399"/>
    </row>
    <row r="598" spans="7:13" hidden="1" x14ac:dyDescent="0.2">
      <c r="G598" s="510"/>
      <c r="H598" s="411"/>
      <c r="I598" s="411"/>
      <c r="J598" s="750" t="e">
        <f t="shared" si="7"/>
        <v>#DIV/0!</v>
      </c>
      <c r="K598" s="412"/>
      <c r="L598" s="412"/>
      <c r="M598" s="399"/>
    </row>
    <row r="599" spans="7:13" hidden="1" x14ac:dyDescent="0.2">
      <c r="G599" s="510"/>
      <c r="H599" s="411"/>
      <c r="I599" s="411"/>
      <c r="J599" s="750" t="e">
        <f t="shared" si="7"/>
        <v>#DIV/0!</v>
      </c>
      <c r="K599" s="412"/>
      <c r="L599" s="412"/>
      <c r="M599" s="399"/>
    </row>
    <row r="600" spans="7:13" hidden="1" x14ac:dyDescent="0.2">
      <c r="G600" s="510"/>
      <c r="H600" s="411"/>
      <c r="I600" s="411"/>
      <c r="J600" s="750" t="e">
        <f t="shared" si="7"/>
        <v>#DIV/0!</v>
      </c>
      <c r="K600" s="412"/>
      <c r="L600" s="412"/>
      <c r="M600" s="399"/>
    </row>
    <row r="601" spans="7:13" hidden="1" x14ac:dyDescent="0.2">
      <c r="G601" s="510"/>
      <c r="H601" s="411"/>
      <c r="I601" s="411"/>
      <c r="J601" s="750" t="e">
        <f t="shared" si="7"/>
        <v>#DIV/0!</v>
      </c>
      <c r="K601" s="412"/>
      <c r="L601" s="412"/>
      <c r="M601" s="399"/>
    </row>
    <row r="602" spans="7:13" hidden="1" x14ac:dyDescent="0.2">
      <c r="G602" s="510"/>
      <c r="H602" s="411"/>
      <c r="I602" s="411"/>
      <c r="J602" s="750" t="e">
        <f t="shared" si="7"/>
        <v>#DIV/0!</v>
      </c>
      <c r="K602" s="412"/>
      <c r="L602" s="412"/>
      <c r="M602" s="399"/>
    </row>
    <row r="603" spans="7:13" hidden="1" x14ac:dyDescent="0.2">
      <c r="G603" s="510"/>
      <c r="H603" s="411"/>
      <c r="I603" s="411"/>
      <c r="J603" s="750" t="e">
        <f t="shared" si="7"/>
        <v>#DIV/0!</v>
      </c>
      <c r="K603" s="412"/>
      <c r="L603" s="412"/>
      <c r="M603" s="399"/>
    </row>
    <row r="604" spans="7:13" hidden="1" x14ac:dyDescent="0.2">
      <c r="G604" s="510"/>
      <c r="H604" s="411"/>
      <c r="I604" s="411"/>
      <c r="J604" s="750" t="e">
        <f t="shared" si="7"/>
        <v>#DIV/0!</v>
      </c>
      <c r="K604" s="412"/>
      <c r="L604" s="412"/>
      <c r="M604" s="399"/>
    </row>
    <row r="605" spans="7:13" hidden="1" x14ac:dyDescent="0.2">
      <c r="G605" s="510"/>
      <c r="H605" s="411"/>
      <c r="I605" s="411"/>
      <c r="J605" s="750" t="e">
        <f t="shared" si="7"/>
        <v>#DIV/0!</v>
      </c>
      <c r="K605" s="412"/>
      <c r="L605" s="412"/>
      <c r="M605" s="399"/>
    </row>
    <row r="606" spans="7:13" hidden="1" x14ac:dyDescent="0.2">
      <c r="G606" s="510"/>
      <c r="H606" s="411"/>
      <c r="I606" s="411"/>
      <c r="J606" s="750" t="e">
        <f t="shared" si="7"/>
        <v>#DIV/0!</v>
      </c>
      <c r="K606" s="412"/>
      <c r="L606" s="412"/>
      <c r="M606" s="399"/>
    </row>
    <row r="607" spans="7:13" hidden="1" x14ac:dyDescent="0.2">
      <c r="G607" s="510"/>
      <c r="H607" s="411"/>
      <c r="I607" s="411"/>
      <c r="J607" s="750" t="e">
        <f t="shared" si="7"/>
        <v>#DIV/0!</v>
      </c>
      <c r="K607" s="412"/>
      <c r="L607" s="412"/>
      <c r="M607" s="399"/>
    </row>
    <row r="608" spans="7:13" hidden="1" x14ac:dyDescent="0.2">
      <c r="G608" s="510"/>
      <c r="H608" s="411"/>
      <c r="I608" s="411"/>
      <c r="J608" s="750" t="e">
        <f t="shared" si="7"/>
        <v>#DIV/0!</v>
      </c>
      <c r="K608" s="412"/>
      <c r="L608" s="412"/>
      <c r="M608" s="399"/>
    </row>
    <row r="609" spans="7:13" hidden="1" x14ac:dyDescent="0.2">
      <c r="G609" s="510"/>
      <c r="H609" s="411"/>
      <c r="I609" s="411"/>
      <c r="J609" s="750" t="e">
        <f t="shared" si="7"/>
        <v>#DIV/0!</v>
      </c>
      <c r="K609" s="412"/>
      <c r="L609" s="412"/>
      <c r="M609" s="399"/>
    </row>
    <row r="610" spans="7:13" hidden="1" x14ac:dyDescent="0.2">
      <c r="G610" s="510"/>
      <c r="H610" s="411"/>
      <c r="I610" s="411"/>
      <c r="J610" s="750" t="e">
        <f t="shared" si="7"/>
        <v>#DIV/0!</v>
      </c>
      <c r="K610" s="412"/>
      <c r="L610" s="412"/>
      <c r="M610" s="399"/>
    </row>
    <row r="611" spans="7:13" hidden="1" x14ac:dyDescent="0.2">
      <c r="G611" s="510"/>
      <c r="H611" s="411"/>
      <c r="I611" s="411"/>
      <c r="J611" s="750" t="e">
        <f t="shared" si="7"/>
        <v>#DIV/0!</v>
      </c>
      <c r="K611" s="412"/>
      <c r="L611" s="412"/>
      <c r="M611" s="399"/>
    </row>
    <row r="612" spans="7:13" hidden="1" x14ac:dyDescent="0.2">
      <c r="G612" s="510"/>
      <c r="H612" s="411"/>
      <c r="I612" s="411"/>
      <c r="J612" s="750" t="e">
        <f t="shared" si="7"/>
        <v>#DIV/0!</v>
      </c>
      <c r="K612" s="412"/>
      <c r="L612" s="412"/>
      <c r="M612" s="399"/>
    </row>
    <row r="613" spans="7:13" hidden="1" x14ac:dyDescent="0.2">
      <c r="G613" s="510"/>
      <c r="H613" s="411"/>
      <c r="I613" s="411"/>
      <c r="J613" s="750" t="e">
        <f t="shared" si="7"/>
        <v>#DIV/0!</v>
      </c>
      <c r="K613" s="412"/>
      <c r="L613" s="412"/>
      <c r="M613" s="399"/>
    </row>
    <row r="614" spans="7:13" hidden="1" x14ac:dyDescent="0.2">
      <c r="G614" s="510"/>
      <c r="H614" s="411"/>
      <c r="I614" s="411"/>
      <c r="J614" s="750" t="e">
        <f t="shared" si="7"/>
        <v>#DIV/0!</v>
      </c>
      <c r="K614" s="412"/>
      <c r="L614" s="412"/>
      <c r="M614" s="399"/>
    </row>
    <row r="615" spans="7:13" hidden="1" x14ac:dyDescent="0.2">
      <c r="G615" s="510"/>
      <c r="H615" s="411"/>
      <c r="I615" s="411"/>
      <c r="J615" s="750" t="e">
        <f t="shared" si="7"/>
        <v>#DIV/0!</v>
      </c>
      <c r="K615" s="412"/>
      <c r="L615" s="412"/>
      <c r="M615" s="399"/>
    </row>
    <row r="616" spans="7:13" hidden="1" x14ac:dyDescent="0.2">
      <c r="G616" s="510"/>
      <c r="H616" s="411"/>
      <c r="I616" s="411"/>
      <c r="J616" s="750" t="e">
        <f t="shared" si="7"/>
        <v>#DIV/0!</v>
      </c>
      <c r="K616" s="412"/>
      <c r="L616" s="412"/>
      <c r="M616" s="399"/>
    </row>
    <row r="617" spans="7:13" hidden="1" x14ac:dyDescent="0.2">
      <c r="G617" s="510"/>
      <c r="H617" s="411"/>
      <c r="I617" s="411"/>
      <c r="J617" s="750" t="e">
        <f t="shared" si="7"/>
        <v>#DIV/0!</v>
      </c>
      <c r="K617" s="412"/>
      <c r="L617" s="412"/>
      <c r="M617" s="399"/>
    </row>
    <row r="618" spans="7:13" hidden="1" x14ac:dyDescent="0.2">
      <c r="G618" s="510"/>
      <c r="H618" s="411"/>
      <c r="I618" s="411"/>
      <c r="J618" s="750" t="e">
        <f t="shared" si="7"/>
        <v>#DIV/0!</v>
      </c>
      <c r="K618" s="412"/>
      <c r="L618" s="412"/>
      <c r="M618" s="399"/>
    </row>
    <row r="619" spans="7:13" hidden="1" x14ac:dyDescent="0.2">
      <c r="G619" s="510"/>
      <c r="H619" s="411"/>
      <c r="I619" s="411"/>
      <c r="J619" s="750" t="e">
        <f t="shared" si="7"/>
        <v>#DIV/0!</v>
      </c>
      <c r="K619" s="412"/>
      <c r="L619" s="412"/>
      <c r="M619" s="399"/>
    </row>
    <row r="620" spans="7:13" hidden="1" x14ac:dyDescent="0.2">
      <c r="G620" s="510"/>
      <c r="H620" s="411"/>
      <c r="I620" s="411"/>
      <c r="J620" s="750" t="e">
        <f t="shared" si="7"/>
        <v>#DIV/0!</v>
      </c>
      <c r="K620" s="412"/>
      <c r="L620" s="412"/>
      <c r="M620" s="399"/>
    </row>
    <row r="621" spans="7:13" hidden="1" x14ac:dyDescent="0.2">
      <c r="G621" s="510"/>
      <c r="H621" s="411"/>
      <c r="I621" s="411"/>
      <c r="J621" s="750" t="e">
        <f t="shared" si="7"/>
        <v>#DIV/0!</v>
      </c>
      <c r="K621" s="412"/>
      <c r="L621" s="412"/>
      <c r="M621" s="399"/>
    </row>
    <row r="622" spans="7:13" hidden="1" x14ac:dyDescent="0.2">
      <c r="G622" s="510"/>
      <c r="H622" s="411"/>
      <c r="I622" s="411"/>
      <c r="J622" s="750" t="e">
        <f t="shared" si="7"/>
        <v>#DIV/0!</v>
      </c>
      <c r="K622" s="412"/>
      <c r="L622" s="412"/>
      <c r="M622" s="399"/>
    </row>
    <row r="623" spans="7:13" hidden="1" x14ac:dyDescent="0.2">
      <c r="G623" s="510"/>
      <c r="H623" s="411"/>
      <c r="I623" s="411"/>
      <c r="J623" s="750" t="e">
        <f t="shared" si="7"/>
        <v>#DIV/0!</v>
      </c>
      <c r="K623" s="412"/>
      <c r="L623" s="412"/>
      <c r="M623" s="399"/>
    </row>
    <row r="624" spans="7:13" hidden="1" x14ac:dyDescent="0.2">
      <c r="G624" s="510"/>
      <c r="H624" s="411"/>
      <c r="I624" s="411"/>
      <c r="J624" s="750" t="e">
        <f t="shared" si="7"/>
        <v>#DIV/0!</v>
      </c>
      <c r="K624" s="412"/>
      <c r="L624" s="412"/>
      <c r="M624" s="399"/>
    </row>
    <row r="625" spans="7:13" hidden="1" x14ac:dyDescent="0.2">
      <c r="G625" s="510"/>
      <c r="H625" s="411"/>
      <c r="I625" s="411"/>
      <c r="J625" s="750" t="e">
        <f t="shared" si="7"/>
        <v>#DIV/0!</v>
      </c>
      <c r="K625" s="412"/>
      <c r="L625" s="412"/>
      <c r="M625" s="399"/>
    </row>
    <row r="626" spans="7:13" hidden="1" x14ac:dyDescent="0.2">
      <c r="G626" s="510"/>
      <c r="H626" s="411"/>
      <c r="I626" s="411"/>
      <c r="J626" s="750" t="e">
        <f t="shared" si="7"/>
        <v>#DIV/0!</v>
      </c>
      <c r="K626" s="412"/>
      <c r="L626" s="412"/>
      <c r="M626" s="399"/>
    </row>
    <row r="627" spans="7:13" hidden="1" x14ac:dyDescent="0.2">
      <c r="G627" s="510"/>
      <c r="H627" s="411"/>
      <c r="I627" s="411"/>
      <c r="J627" s="750" t="e">
        <f t="shared" si="7"/>
        <v>#DIV/0!</v>
      </c>
      <c r="K627" s="412"/>
      <c r="L627" s="412"/>
      <c r="M627" s="399"/>
    </row>
    <row r="628" spans="7:13" hidden="1" x14ac:dyDescent="0.2">
      <c r="G628" s="510"/>
      <c r="H628" s="411"/>
      <c r="I628" s="411"/>
      <c r="J628" s="750" t="e">
        <f t="shared" si="7"/>
        <v>#DIV/0!</v>
      </c>
      <c r="K628" s="412"/>
      <c r="L628" s="412"/>
      <c r="M628" s="399"/>
    </row>
    <row r="629" spans="7:13" hidden="1" x14ac:dyDescent="0.2">
      <c r="G629" s="510"/>
      <c r="H629" s="411"/>
      <c r="I629" s="411"/>
      <c r="J629" s="750" t="e">
        <f t="shared" si="7"/>
        <v>#DIV/0!</v>
      </c>
      <c r="K629" s="412"/>
      <c r="L629" s="412"/>
      <c r="M629" s="399"/>
    </row>
    <row r="630" spans="7:13" hidden="1" x14ac:dyDescent="0.2">
      <c r="G630" s="510"/>
      <c r="H630" s="411"/>
      <c r="I630" s="411"/>
      <c r="J630" s="750" t="e">
        <f t="shared" si="7"/>
        <v>#DIV/0!</v>
      </c>
      <c r="K630" s="412"/>
      <c r="L630" s="412"/>
      <c r="M630" s="399"/>
    </row>
    <row r="631" spans="7:13" hidden="1" x14ac:dyDescent="0.2">
      <c r="G631" s="510"/>
      <c r="H631" s="411"/>
      <c r="I631" s="411"/>
      <c r="J631" s="750" t="e">
        <f t="shared" si="7"/>
        <v>#DIV/0!</v>
      </c>
      <c r="K631" s="412"/>
      <c r="L631" s="412"/>
      <c r="M631" s="399"/>
    </row>
    <row r="632" spans="7:13" hidden="1" x14ac:dyDescent="0.2">
      <c r="G632" s="510"/>
      <c r="H632" s="411"/>
      <c r="I632" s="411"/>
      <c r="J632" s="750" t="e">
        <f t="shared" si="7"/>
        <v>#DIV/0!</v>
      </c>
      <c r="K632" s="412"/>
      <c r="L632" s="412"/>
      <c r="M632" s="399"/>
    </row>
    <row r="633" spans="7:13" hidden="1" x14ac:dyDescent="0.2">
      <c r="G633" s="510"/>
      <c r="H633" s="411"/>
      <c r="I633" s="411"/>
      <c r="J633" s="750" t="e">
        <f t="shared" si="7"/>
        <v>#DIV/0!</v>
      </c>
      <c r="K633" s="412"/>
      <c r="L633" s="412"/>
      <c r="M633" s="399"/>
    </row>
    <row r="634" spans="7:13" hidden="1" x14ac:dyDescent="0.2">
      <c r="G634" s="510"/>
      <c r="H634" s="411"/>
      <c r="I634" s="411"/>
      <c r="J634" s="750" t="e">
        <f t="shared" si="7"/>
        <v>#DIV/0!</v>
      </c>
      <c r="K634" s="412"/>
      <c r="L634" s="412"/>
      <c r="M634" s="399"/>
    </row>
    <row r="635" spans="7:13" hidden="1" x14ac:dyDescent="0.2">
      <c r="G635" s="510"/>
      <c r="H635" s="411"/>
      <c r="I635" s="411"/>
      <c r="J635" s="750" t="e">
        <f t="shared" si="7"/>
        <v>#DIV/0!</v>
      </c>
      <c r="K635" s="412"/>
      <c r="L635" s="412"/>
      <c r="M635" s="399"/>
    </row>
    <row r="636" spans="7:13" hidden="1" x14ac:dyDescent="0.2">
      <c r="G636" s="510"/>
      <c r="H636" s="411"/>
      <c r="I636" s="411"/>
      <c r="J636" s="750" t="e">
        <f t="shared" si="7"/>
        <v>#DIV/0!</v>
      </c>
      <c r="K636" s="412"/>
      <c r="L636" s="412"/>
      <c r="M636" s="399"/>
    </row>
    <row r="637" spans="7:13" hidden="1" x14ac:dyDescent="0.2">
      <c r="G637" s="510"/>
      <c r="H637" s="411"/>
      <c r="I637" s="411"/>
      <c r="J637" s="750" t="e">
        <f t="shared" si="7"/>
        <v>#DIV/0!</v>
      </c>
      <c r="K637" s="412"/>
      <c r="L637" s="412"/>
      <c r="M637" s="399"/>
    </row>
    <row r="638" spans="7:13" hidden="1" x14ac:dyDescent="0.2">
      <c r="G638" s="510"/>
      <c r="H638" s="411"/>
      <c r="I638" s="411"/>
      <c r="J638" s="750" t="e">
        <f t="shared" si="7"/>
        <v>#DIV/0!</v>
      </c>
      <c r="K638" s="412"/>
      <c r="L638" s="412"/>
      <c r="M638" s="399"/>
    </row>
    <row r="639" spans="7:13" hidden="1" x14ac:dyDescent="0.2">
      <c r="G639" s="510"/>
      <c r="H639" s="411"/>
      <c r="I639" s="411"/>
      <c r="J639" s="750" t="e">
        <f t="shared" si="7"/>
        <v>#DIV/0!</v>
      </c>
      <c r="K639" s="412"/>
      <c r="L639" s="412"/>
      <c r="M639" s="399"/>
    </row>
    <row r="640" spans="7:13" hidden="1" x14ac:dyDescent="0.2">
      <c r="G640" s="510"/>
      <c r="H640" s="411"/>
      <c r="I640" s="411"/>
      <c r="J640" s="750" t="e">
        <f t="shared" si="7"/>
        <v>#DIV/0!</v>
      </c>
      <c r="K640" s="412"/>
      <c r="L640" s="412"/>
      <c r="M640" s="399"/>
    </row>
    <row r="641" spans="7:13" hidden="1" x14ac:dyDescent="0.2">
      <c r="G641" s="510"/>
      <c r="H641" s="411"/>
      <c r="I641" s="411"/>
      <c r="J641" s="750" t="e">
        <f t="shared" si="7"/>
        <v>#DIV/0!</v>
      </c>
      <c r="K641" s="412"/>
      <c r="L641" s="412"/>
      <c r="M641" s="399"/>
    </row>
    <row r="642" spans="7:13" hidden="1" x14ac:dyDescent="0.2">
      <c r="G642" s="510"/>
      <c r="H642" s="411"/>
      <c r="I642" s="411"/>
      <c r="J642" s="750" t="e">
        <f t="shared" si="7"/>
        <v>#DIV/0!</v>
      </c>
      <c r="K642" s="412"/>
      <c r="L642" s="412"/>
      <c r="M642" s="399"/>
    </row>
    <row r="643" spans="7:13" hidden="1" x14ac:dyDescent="0.2">
      <c r="G643" s="510"/>
      <c r="H643" s="411"/>
      <c r="I643" s="411"/>
      <c r="J643" s="750" t="e">
        <f t="shared" si="7"/>
        <v>#DIV/0!</v>
      </c>
      <c r="K643" s="412"/>
      <c r="L643" s="412"/>
      <c r="M643" s="399"/>
    </row>
    <row r="644" spans="7:13" hidden="1" x14ac:dyDescent="0.2">
      <c r="G644" s="510"/>
      <c r="H644" s="411"/>
      <c r="I644" s="411"/>
      <c r="J644" s="750" t="e">
        <f t="shared" si="7"/>
        <v>#DIV/0!</v>
      </c>
      <c r="K644" s="412"/>
      <c r="L644" s="412"/>
      <c r="M644" s="399"/>
    </row>
    <row r="645" spans="7:13" hidden="1" x14ac:dyDescent="0.2">
      <c r="G645" s="510"/>
      <c r="H645" s="411"/>
      <c r="I645" s="411"/>
      <c r="J645" s="750" t="e">
        <f t="shared" si="7"/>
        <v>#DIV/0!</v>
      </c>
      <c r="K645" s="412"/>
      <c r="L645" s="412"/>
      <c r="M645" s="399"/>
    </row>
    <row r="646" spans="7:13" hidden="1" x14ac:dyDescent="0.2">
      <c r="G646" s="510"/>
      <c r="H646" s="411"/>
      <c r="I646" s="411"/>
      <c r="J646" s="750" t="e">
        <f t="shared" si="7"/>
        <v>#DIV/0!</v>
      </c>
      <c r="K646" s="412"/>
      <c r="L646" s="412"/>
      <c r="M646" s="399"/>
    </row>
    <row r="647" spans="7:13" hidden="1" x14ac:dyDescent="0.2">
      <c r="G647" s="510"/>
      <c r="H647" s="411"/>
      <c r="I647" s="411"/>
      <c r="J647" s="750" t="e">
        <f t="shared" si="7"/>
        <v>#DIV/0!</v>
      </c>
      <c r="K647" s="412"/>
      <c r="L647" s="412"/>
      <c r="M647" s="399"/>
    </row>
    <row r="648" spans="7:13" hidden="1" x14ac:dyDescent="0.2">
      <c r="G648" s="510"/>
      <c r="H648" s="411"/>
      <c r="I648" s="411"/>
      <c r="J648" s="750" t="e">
        <f t="shared" si="7"/>
        <v>#DIV/0!</v>
      </c>
      <c r="K648" s="412"/>
      <c r="L648" s="412"/>
      <c r="M648" s="399"/>
    </row>
    <row r="649" spans="7:13" hidden="1" x14ac:dyDescent="0.2">
      <c r="G649" s="510"/>
      <c r="H649" s="411"/>
      <c r="I649" s="411"/>
      <c r="J649" s="750" t="e">
        <f t="shared" si="7"/>
        <v>#DIV/0!</v>
      </c>
      <c r="K649" s="412"/>
      <c r="L649" s="412"/>
      <c r="M649" s="399"/>
    </row>
    <row r="650" spans="7:13" hidden="1" x14ac:dyDescent="0.2">
      <c r="G650" s="510"/>
      <c r="H650" s="411"/>
      <c r="I650" s="411"/>
      <c r="J650" s="750" t="e">
        <f t="shared" si="7"/>
        <v>#DIV/0!</v>
      </c>
      <c r="K650" s="412"/>
      <c r="L650" s="412"/>
      <c r="M650" s="399"/>
    </row>
    <row r="651" spans="7:13" hidden="1" x14ac:dyDescent="0.2">
      <c r="G651" s="510"/>
      <c r="H651" s="411"/>
      <c r="I651" s="411"/>
      <c r="J651" s="750" t="e">
        <f t="shared" si="7"/>
        <v>#DIV/0!</v>
      </c>
      <c r="K651" s="412"/>
      <c r="L651" s="412"/>
      <c r="M651" s="399"/>
    </row>
    <row r="652" spans="7:13" hidden="1" x14ac:dyDescent="0.2">
      <c r="G652" s="510"/>
      <c r="H652" s="411"/>
      <c r="I652" s="411"/>
      <c r="J652" s="750" t="e">
        <f t="shared" si="7"/>
        <v>#DIV/0!</v>
      </c>
      <c r="K652" s="412"/>
      <c r="L652" s="412"/>
      <c r="M652" s="399"/>
    </row>
    <row r="653" spans="7:13" hidden="1" x14ac:dyDescent="0.2">
      <c r="G653" s="510"/>
      <c r="H653" s="411"/>
      <c r="I653" s="411"/>
      <c r="J653" s="750" t="e">
        <f t="shared" ref="J653:J716" si="8">SUM(I653/H653)*100</f>
        <v>#DIV/0!</v>
      </c>
      <c r="K653" s="412"/>
      <c r="L653" s="412"/>
      <c r="M653" s="399"/>
    </row>
    <row r="654" spans="7:13" hidden="1" x14ac:dyDescent="0.2">
      <c r="G654" s="510"/>
      <c r="H654" s="411"/>
      <c r="I654" s="411"/>
      <c r="J654" s="750" t="e">
        <f t="shared" si="8"/>
        <v>#DIV/0!</v>
      </c>
      <c r="K654" s="412"/>
      <c r="L654" s="412"/>
      <c r="M654" s="399"/>
    </row>
    <row r="655" spans="7:13" hidden="1" x14ac:dyDescent="0.2">
      <c r="G655" s="510"/>
      <c r="H655" s="411"/>
      <c r="I655" s="411"/>
      <c r="J655" s="750" t="e">
        <f t="shared" si="8"/>
        <v>#DIV/0!</v>
      </c>
      <c r="K655" s="412"/>
      <c r="L655" s="412"/>
      <c r="M655" s="399"/>
    </row>
    <row r="656" spans="7:13" hidden="1" x14ac:dyDescent="0.2">
      <c r="G656" s="510"/>
      <c r="H656" s="411"/>
      <c r="I656" s="411"/>
      <c r="J656" s="750" t="e">
        <f t="shared" si="8"/>
        <v>#DIV/0!</v>
      </c>
      <c r="K656" s="412"/>
      <c r="L656" s="412"/>
      <c r="M656" s="399"/>
    </row>
    <row r="657" spans="7:13" hidden="1" x14ac:dyDescent="0.2">
      <c r="G657" s="510"/>
      <c r="H657" s="411"/>
      <c r="I657" s="411"/>
      <c r="J657" s="750" t="e">
        <f t="shared" si="8"/>
        <v>#DIV/0!</v>
      </c>
      <c r="K657" s="412"/>
      <c r="L657" s="412"/>
      <c r="M657" s="399"/>
    </row>
    <row r="658" spans="7:13" hidden="1" x14ac:dyDescent="0.2">
      <c r="G658" s="510"/>
      <c r="H658" s="411"/>
      <c r="I658" s="411"/>
      <c r="J658" s="750" t="e">
        <f t="shared" si="8"/>
        <v>#DIV/0!</v>
      </c>
      <c r="K658" s="412"/>
      <c r="L658" s="412"/>
      <c r="M658" s="399"/>
    </row>
    <row r="659" spans="7:13" hidden="1" x14ac:dyDescent="0.2">
      <c r="G659" s="510"/>
      <c r="H659" s="411"/>
      <c r="I659" s="411"/>
      <c r="J659" s="750" t="e">
        <f t="shared" si="8"/>
        <v>#DIV/0!</v>
      </c>
      <c r="K659" s="412"/>
      <c r="L659" s="412"/>
      <c r="M659" s="399"/>
    </row>
    <row r="660" spans="7:13" hidden="1" x14ac:dyDescent="0.2">
      <c r="G660" s="510"/>
      <c r="H660" s="411"/>
      <c r="I660" s="411"/>
      <c r="J660" s="750" t="e">
        <f t="shared" si="8"/>
        <v>#DIV/0!</v>
      </c>
      <c r="K660" s="412"/>
      <c r="L660" s="412"/>
      <c r="M660" s="399"/>
    </row>
    <row r="661" spans="7:13" hidden="1" x14ac:dyDescent="0.2">
      <c r="G661" s="510"/>
      <c r="H661" s="411"/>
      <c r="I661" s="411"/>
      <c r="J661" s="750" t="e">
        <f t="shared" si="8"/>
        <v>#DIV/0!</v>
      </c>
      <c r="K661" s="412"/>
      <c r="L661" s="412"/>
      <c r="M661" s="399"/>
    </row>
    <row r="662" spans="7:13" hidden="1" x14ac:dyDescent="0.2">
      <c r="G662" s="510"/>
      <c r="H662" s="411"/>
      <c r="I662" s="411"/>
      <c r="J662" s="750" t="e">
        <f t="shared" si="8"/>
        <v>#DIV/0!</v>
      </c>
      <c r="K662" s="412"/>
      <c r="L662" s="412"/>
      <c r="M662" s="399"/>
    </row>
    <row r="663" spans="7:13" hidden="1" x14ac:dyDescent="0.2">
      <c r="G663" s="510"/>
      <c r="H663" s="411"/>
      <c r="I663" s="411"/>
      <c r="J663" s="750" t="e">
        <f t="shared" si="8"/>
        <v>#DIV/0!</v>
      </c>
      <c r="K663" s="412"/>
      <c r="L663" s="412"/>
      <c r="M663" s="399"/>
    </row>
    <row r="664" spans="7:13" hidden="1" x14ac:dyDescent="0.2">
      <c r="G664" s="510"/>
      <c r="H664" s="411"/>
      <c r="I664" s="411"/>
      <c r="J664" s="750" t="e">
        <f t="shared" si="8"/>
        <v>#DIV/0!</v>
      </c>
      <c r="K664" s="412"/>
      <c r="L664" s="412"/>
      <c r="M664" s="399"/>
    </row>
    <row r="665" spans="7:13" hidden="1" x14ac:dyDescent="0.2">
      <c r="G665" s="510"/>
      <c r="H665" s="411"/>
      <c r="I665" s="411"/>
      <c r="J665" s="750" t="e">
        <f t="shared" si="8"/>
        <v>#DIV/0!</v>
      </c>
      <c r="K665" s="412"/>
      <c r="L665" s="412"/>
      <c r="M665" s="399"/>
    </row>
    <row r="666" spans="7:13" hidden="1" x14ac:dyDescent="0.2">
      <c r="G666" s="510"/>
      <c r="H666" s="411"/>
      <c r="I666" s="411"/>
      <c r="J666" s="750" t="e">
        <f t="shared" si="8"/>
        <v>#DIV/0!</v>
      </c>
      <c r="K666" s="412"/>
      <c r="L666" s="412"/>
      <c r="M666" s="399"/>
    </row>
    <row r="667" spans="7:13" hidden="1" x14ac:dyDescent="0.2">
      <c r="G667" s="510"/>
      <c r="H667" s="411"/>
      <c r="I667" s="411"/>
      <c r="J667" s="750" t="e">
        <f t="shared" si="8"/>
        <v>#DIV/0!</v>
      </c>
      <c r="K667" s="412"/>
      <c r="L667" s="412"/>
      <c r="M667" s="399"/>
    </row>
    <row r="668" spans="7:13" hidden="1" x14ac:dyDescent="0.2">
      <c r="G668" s="510"/>
      <c r="H668" s="411"/>
      <c r="I668" s="411"/>
      <c r="J668" s="750" t="e">
        <f t="shared" si="8"/>
        <v>#DIV/0!</v>
      </c>
      <c r="K668" s="412"/>
      <c r="L668" s="412"/>
      <c r="M668" s="399"/>
    </row>
    <row r="669" spans="7:13" hidden="1" x14ac:dyDescent="0.2">
      <c r="G669" s="510"/>
      <c r="H669" s="411"/>
      <c r="I669" s="411"/>
      <c r="J669" s="750" t="e">
        <f t="shared" si="8"/>
        <v>#DIV/0!</v>
      </c>
      <c r="K669" s="412"/>
      <c r="L669" s="412"/>
      <c r="M669" s="399"/>
    </row>
    <row r="670" spans="7:13" hidden="1" x14ac:dyDescent="0.2">
      <c r="G670" s="510"/>
      <c r="H670" s="411"/>
      <c r="I670" s="411"/>
      <c r="J670" s="750" t="e">
        <f t="shared" si="8"/>
        <v>#DIV/0!</v>
      </c>
      <c r="K670" s="412"/>
      <c r="L670" s="412"/>
      <c r="M670" s="399"/>
    </row>
    <row r="671" spans="7:13" hidden="1" x14ac:dyDescent="0.2">
      <c r="G671" s="510"/>
      <c r="H671" s="411"/>
      <c r="I671" s="411"/>
      <c r="J671" s="750" t="e">
        <f t="shared" si="8"/>
        <v>#DIV/0!</v>
      </c>
      <c r="K671" s="412"/>
      <c r="L671" s="412"/>
      <c r="M671" s="399"/>
    </row>
    <row r="672" spans="7:13" hidden="1" x14ac:dyDescent="0.2">
      <c r="G672" s="510"/>
      <c r="H672" s="411"/>
      <c r="I672" s="411"/>
      <c r="J672" s="750" t="e">
        <f t="shared" si="8"/>
        <v>#DIV/0!</v>
      </c>
      <c r="K672" s="412"/>
      <c r="L672" s="412"/>
      <c r="M672" s="399"/>
    </row>
    <row r="673" spans="5:13" hidden="1" x14ac:dyDescent="0.2">
      <c r="G673" s="510"/>
      <c r="H673" s="411"/>
      <c r="I673" s="411"/>
      <c r="J673" s="750" t="e">
        <f t="shared" si="8"/>
        <v>#DIV/0!</v>
      </c>
      <c r="K673" s="412"/>
      <c r="L673" s="412"/>
      <c r="M673" s="399"/>
    </row>
    <row r="674" spans="5:13" hidden="1" x14ac:dyDescent="0.2">
      <c r="G674" s="510"/>
      <c r="H674" s="411"/>
      <c r="I674" s="411"/>
      <c r="J674" s="750" t="e">
        <f t="shared" si="8"/>
        <v>#DIV/0!</v>
      </c>
      <c r="K674" s="412"/>
      <c r="L674" s="412"/>
      <c r="M674" s="399"/>
    </row>
    <row r="675" spans="5:13" hidden="1" x14ac:dyDescent="0.2">
      <c r="G675" s="510"/>
      <c r="H675" s="411"/>
      <c r="I675" s="411"/>
      <c r="J675" s="750" t="e">
        <f t="shared" si="8"/>
        <v>#DIV/0!</v>
      </c>
      <c r="K675" s="412"/>
      <c r="L675" s="412"/>
      <c r="M675" s="399"/>
    </row>
    <row r="676" spans="5:13" hidden="1" x14ac:dyDescent="0.2">
      <c r="G676" s="510"/>
      <c r="H676" s="411"/>
      <c r="I676" s="411"/>
      <c r="J676" s="750" t="e">
        <f t="shared" si="8"/>
        <v>#DIV/0!</v>
      </c>
      <c r="K676" s="412"/>
      <c r="L676" s="412"/>
      <c r="M676" s="399"/>
    </row>
    <row r="677" spans="5:13" hidden="1" x14ac:dyDescent="0.2">
      <c r="G677" s="510"/>
      <c r="H677" s="411"/>
      <c r="I677" s="411"/>
      <c r="J677" s="750" t="e">
        <f t="shared" si="8"/>
        <v>#DIV/0!</v>
      </c>
      <c r="K677" s="412"/>
      <c r="L677" s="412"/>
      <c r="M677" s="399"/>
    </row>
    <row r="678" spans="5:13" hidden="1" x14ac:dyDescent="0.2">
      <c r="G678" s="510"/>
      <c r="H678" s="411"/>
      <c r="I678" s="411"/>
      <c r="J678" s="750" t="e">
        <f t="shared" si="8"/>
        <v>#DIV/0!</v>
      </c>
      <c r="K678" s="412"/>
      <c r="L678" s="412"/>
      <c r="M678" s="399"/>
    </row>
    <row r="679" spans="5:13" hidden="1" x14ac:dyDescent="0.2">
      <c r="G679" s="510"/>
      <c r="H679" s="411"/>
      <c r="I679" s="411"/>
      <c r="J679" s="750" t="e">
        <f t="shared" si="8"/>
        <v>#DIV/0!</v>
      </c>
      <c r="K679" s="412"/>
      <c r="L679" s="412"/>
      <c r="M679" s="399"/>
    </row>
    <row r="680" spans="5:13" ht="17.25" hidden="1" customHeight="1" x14ac:dyDescent="0.2">
      <c r="H680" s="397"/>
      <c r="I680" s="397"/>
      <c r="J680" s="750" t="e">
        <f t="shared" si="8"/>
        <v>#DIV/0!</v>
      </c>
      <c r="K680" s="398"/>
      <c r="L680" s="398"/>
      <c r="M680" s="399"/>
    </row>
    <row r="681" spans="5:13" x14ac:dyDescent="0.2">
      <c r="E681" s="500"/>
      <c r="F681" s="498"/>
      <c r="G681" s="511" t="s">
        <v>4203</v>
      </c>
      <c r="H681" s="413"/>
      <c r="I681" s="413"/>
      <c r="J681" s="750"/>
      <c r="K681" s="414"/>
      <c r="L681" s="415"/>
      <c r="M681" s="399"/>
    </row>
    <row r="682" spans="5:13" ht="16.5" customHeight="1" x14ac:dyDescent="0.2">
      <c r="E682" s="502"/>
      <c r="F682" s="503" t="s">
        <v>234</v>
      </c>
      <c r="G682" s="504" t="s">
        <v>235</v>
      </c>
      <c r="H682" s="403">
        <f>SUM(H549,H449)</f>
        <v>27042100</v>
      </c>
      <c r="I682" s="403">
        <f>SUM(I565,I465)</f>
        <v>25678178.449999999</v>
      </c>
      <c r="J682" s="750">
        <f t="shared" si="8"/>
        <v>94.956303134741745</v>
      </c>
      <c r="K682" s="404"/>
      <c r="L682" s="404"/>
      <c r="M682" s="399"/>
    </row>
    <row r="683" spans="5:13" hidden="1" x14ac:dyDescent="0.2">
      <c r="F683" s="503" t="s">
        <v>236</v>
      </c>
      <c r="G683" s="504" t="s">
        <v>237</v>
      </c>
      <c r="H683" s="397"/>
      <c r="I683" s="397"/>
      <c r="J683" s="750" t="e">
        <f t="shared" si="8"/>
        <v>#DIV/0!</v>
      </c>
      <c r="K683" s="398"/>
      <c r="L683" s="404"/>
      <c r="M683" s="399"/>
    </row>
    <row r="684" spans="5:13" hidden="1" x14ac:dyDescent="0.2">
      <c r="F684" s="503" t="s">
        <v>238</v>
      </c>
      <c r="G684" s="504" t="s">
        <v>239</v>
      </c>
      <c r="H684" s="397"/>
      <c r="I684" s="397"/>
      <c r="J684" s="750" t="e">
        <f t="shared" si="8"/>
        <v>#DIV/0!</v>
      </c>
      <c r="K684" s="398"/>
      <c r="L684" s="404"/>
      <c r="M684" s="399"/>
    </row>
    <row r="685" spans="5:13" hidden="1" x14ac:dyDescent="0.2">
      <c r="F685" s="503" t="s">
        <v>240</v>
      </c>
      <c r="G685" s="504" t="s">
        <v>241</v>
      </c>
      <c r="H685" s="397"/>
      <c r="I685" s="397"/>
      <c r="J685" s="750" t="e">
        <f t="shared" si="8"/>
        <v>#DIV/0!</v>
      </c>
      <c r="K685" s="398"/>
      <c r="L685" s="404"/>
      <c r="M685" s="399"/>
    </row>
    <row r="686" spans="5:13" hidden="1" x14ac:dyDescent="0.2">
      <c r="F686" s="503" t="s">
        <v>242</v>
      </c>
      <c r="G686" s="504" t="s">
        <v>243</v>
      </c>
      <c r="H686" s="397"/>
      <c r="I686" s="397"/>
      <c r="J686" s="750" t="e">
        <f t="shared" si="8"/>
        <v>#DIV/0!</v>
      </c>
      <c r="K686" s="398"/>
      <c r="L686" s="404"/>
      <c r="M686" s="399"/>
    </row>
    <row r="687" spans="5:13" hidden="1" x14ac:dyDescent="0.2">
      <c r="F687" s="503" t="s">
        <v>244</v>
      </c>
      <c r="G687" s="504" t="s">
        <v>245</v>
      </c>
      <c r="H687" s="397"/>
      <c r="I687" s="397"/>
      <c r="J687" s="750" t="e">
        <f t="shared" si="8"/>
        <v>#DIV/0!</v>
      </c>
      <c r="K687" s="398"/>
      <c r="L687" s="404"/>
      <c r="M687" s="399"/>
    </row>
    <row r="688" spans="5:13" ht="15" customHeight="1" x14ac:dyDescent="0.2">
      <c r="F688" s="503" t="s">
        <v>257</v>
      </c>
      <c r="G688" s="504" t="s">
        <v>258</v>
      </c>
      <c r="H688" s="397">
        <v>656171</v>
      </c>
      <c r="I688" s="397"/>
      <c r="J688" s="750">
        <f t="shared" si="8"/>
        <v>0</v>
      </c>
      <c r="K688" s="398"/>
      <c r="L688" s="404"/>
      <c r="M688" s="399"/>
    </row>
    <row r="689" spans="5:13" ht="26.25" thickBot="1" x14ac:dyDescent="0.25">
      <c r="F689" s="503" t="s">
        <v>261</v>
      </c>
      <c r="G689" s="504" t="s">
        <v>262</v>
      </c>
      <c r="H689" s="397">
        <v>2152541</v>
      </c>
      <c r="I689" s="397"/>
      <c r="J689" s="750">
        <f t="shared" si="8"/>
        <v>0</v>
      </c>
      <c r="K689" s="398"/>
      <c r="L689" s="404"/>
      <c r="M689" s="399"/>
    </row>
    <row r="690" spans="5:13" ht="13.5" hidden="1" thickBot="1" x14ac:dyDescent="0.25">
      <c r="F690" s="503" t="s">
        <v>250</v>
      </c>
      <c r="G690" s="504" t="s">
        <v>57</v>
      </c>
      <c r="H690" s="397"/>
      <c r="I690" s="397"/>
      <c r="J690" s="750" t="e">
        <f t="shared" si="8"/>
        <v>#DIV/0!</v>
      </c>
      <c r="K690" s="398"/>
      <c r="L690" s="404"/>
      <c r="M690" s="399"/>
    </row>
    <row r="691" spans="5:13" ht="13.5" hidden="1" thickBot="1" x14ac:dyDescent="0.25">
      <c r="F691" s="503" t="s">
        <v>251</v>
      </c>
      <c r="G691" s="504" t="s">
        <v>252</v>
      </c>
      <c r="H691" s="397"/>
      <c r="I691" s="397"/>
      <c r="J691" s="750" t="e">
        <f t="shared" si="8"/>
        <v>#DIV/0!</v>
      </c>
      <c r="K691" s="398"/>
      <c r="L691" s="404"/>
      <c r="M691" s="399"/>
    </row>
    <row r="692" spans="5:13" ht="13.5" hidden="1" thickBot="1" x14ac:dyDescent="0.25">
      <c r="F692" s="503" t="s">
        <v>253</v>
      </c>
      <c r="G692" s="504" t="s">
        <v>254</v>
      </c>
      <c r="H692" s="397"/>
      <c r="I692" s="397"/>
      <c r="J692" s="750" t="e">
        <f t="shared" si="8"/>
        <v>#DIV/0!</v>
      </c>
      <c r="K692" s="398"/>
      <c r="L692" s="404"/>
      <c r="M692" s="399"/>
    </row>
    <row r="693" spans="5:13" ht="26.25" hidden="1" thickBot="1" x14ac:dyDescent="0.25">
      <c r="F693" s="503" t="s">
        <v>255</v>
      </c>
      <c r="G693" s="504" t="s">
        <v>256</v>
      </c>
      <c r="H693" s="397"/>
      <c r="I693" s="397"/>
      <c r="J693" s="750" t="e">
        <f t="shared" si="8"/>
        <v>#DIV/0!</v>
      </c>
      <c r="K693" s="398"/>
      <c r="L693" s="404"/>
      <c r="M693" s="399"/>
    </row>
    <row r="694" spans="5:13" ht="26.25" hidden="1" thickBot="1" x14ac:dyDescent="0.25">
      <c r="F694" s="503" t="s">
        <v>257</v>
      </c>
      <c r="G694" s="504" t="s">
        <v>258</v>
      </c>
      <c r="H694" s="397"/>
      <c r="I694" s="397"/>
      <c r="J694" s="750" t="e">
        <f t="shared" si="8"/>
        <v>#DIV/0!</v>
      </c>
      <c r="K694" s="398"/>
      <c r="L694" s="404"/>
      <c r="M694" s="399"/>
    </row>
    <row r="695" spans="5:13" ht="26.25" hidden="1" thickBot="1" x14ac:dyDescent="0.25">
      <c r="F695" s="503" t="s">
        <v>259</v>
      </c>
      <c r="G695" s="504" t="s">
        <v>260</v>
      </c>
      <c r="H695" s="397"/>
      <c r="I695" s="397"/>
      <c r="J695" s="750" t="e">
        <f t="shared" si="8"/>
        <v>#DIV/0!</v>
      </c>
      <c r="K695" s="398"/>
      <c r="L695" s="404"/>
      <c r="M695" s="399"/>
    </row>
    <row r="696" spans="5:13" ht="26.25" hidden="1" thickBot="1" x14ac:dyDescent="0.25">
      <c r="F696" s="503" t="s">
        <v>261</v>
      </c>
      <c r="G696" s="504" t="s">
        <v>262</v>
      </c>
      <c r="H696" s="397"/>
      <c r="I696" s="397"/>
      <c r="J696" s="750" t="e">
        <f t="shared" si="8"/>
        <v>#DIV/0!</v>
      </c>
      <c r="K696" s="398"/>
      <c r="L696" s="404"/>
      <c r="M696" s="399"/>
    </row>
    <row r="697" spans="5:13" ht="13.5" hidden="1" thickBot="1" x14ac:dyDescent="0.25">
      <c r="F697" s="503" t="s">
        <v>263</v>
      </c>
      <c r="G697" s="504" t="s">
        <v>264</v>
      </c>
      <c r="H697" s="403"/>
      <c r="I697" s="403"/>
      <c r="J697" s="750" t="e">
        <f t="shared" si="8"/>
        <v>#DIV/0!</v>
      </c>
      <c r="K697" s="404"/>
      <c r="L697" s="404"/>
      <c r="M697" s="399"/>
    </row>
    <row r="698" spans="5:13" ht="13.5" thickBot="1" x14ac:dyDescent="0.25">
      <c r="G698" s="505" t="s">
        <v>4204</v>
      </c>
      <c r="H698" s="405">
        <f>SUM(H682:H689)</f>
        <v>29850812</v>
      </c>
      <c r="I698" s="405">
        <f>SUM(I682)</f>
        <v>25678178.449999999</v>
      </c>
      <c r="J698" s="750">
        <f t="shared" si="8"/>
        <v>86.021708387698126</v>
      </c>
      <c r="K698" s="406">
        <f>SUM(K683:K697)</f>
        <v>0</v>
      </c>
      <c r="L698" s="406"/>
      <c r="M698" s="399"/>
    </row>
    <row r="699" spans="5:13" hidden="1" x14ac:dyDescent="0.2">
      <c r="H699" s="397"/>
      <c r="I699" s="397"/>
      <c r="J699" s="750" t="e">
        <f t="shared" si="8"/>
        <v>#DIV/0!</v>
      </c>
      <c r="K699" s="398"/>
      <c r="L699" s="398"/>
      <c r="M699" s="399"/>
    </row>
    <row r="700" spans="5:13" x14ac:dyDescent="0.2">
      <c r="E700" s="500"/>
      <c r="F700" s="498"/>
      <c r="G700" s="511" t="s">
        <v>4206</v>
      </c>
      <c r="H700" s="413"/>
      <c r="I700" s="413"/>
      <c r="J700" s="750"/>
      <c r="K700" s="414"/>
      <c r="L700" s="415"/>
      <c r="M700" s="399"/>
    </row>
    <row r="701" spans="5:13" x14ac:dyDescent="0.2">
      <c r="E701" s="502"/>
      <c r="F701" s="503" t="s">
        <v>234</v>
      </c>
      <c r="G701" s="504" t="s">
        <v>235</v>
      </c>
      <c r="H701" s="403">
        <f>SUM(H682)</f>
        <v>27042100</v>
      </c>
      <c r="I701" s="403">
        <f>SUM(I698)</f>
        <v>25678178.449999999</v>
      </c>
      <c r="J701" s="750">
        <f t="shared" si="8"/>
        <v>94.956303134741745</v>
      </c>
      <c r="K701" s="404"/>
      <c r="L701" s="404"/>
      <c r="M701" s="399"/>
    </row>
    <row r="702" spans="5:13" hidden="1" x14ac:dyDescent="0.2">
      <c r="F702" s="503" t="s">
        <v>236</v>
      </c>
      <c r="G702" s="504" t="s">
        <v>237</v>
      </c>
      <c r="H702" s="397"/>
      <c r="I702" s="397"/>
      <c r="J702" s="750" t="e">
        <f t="shared" si="8"/>
        <v>#DIV/0!</v>
      </c>
      <c r="K702" s="398"/>
      <c r="L702" s="404"/>
      <c r="M702" s="399"/>
    </row>
    <row r="703" spans="5:13" hidden="1" x14ac:dyDescent="0.2">
      <c r="F703" s="503" t="s">
        <v>238</v>
      </c>
      <c r="G703" s="504" t="s">
        <v>239</v>
      </c>
      <c r="H703" s="397"/>
      <c r="I703" s="397"/>
      <c r="J703" s="750" t="e">
        <f t="shared" si="8"/>
        <v>#DIV/0!</v>
      </c>
      <c r="K703" s="398"/>
      <c r="L703" s="404"/>
      <c r="M703" s="399"/>
    </row>
    <row r="704" spans="5:13" hidden="1" x14ac:dyDescent="0.2">
      <c r="F704" s="503" t="s">
        <v>240</v>
      </c>
      <c r="G704" s="504" t="s">
        <v>241</v>
      </c>
      <c r="H704" s="397"/>
      <c r="I704" s="397"/>
      <c r="J704" s="750" t="e">
        <f t="shared" si="8"/>
        <v>#DIV/0!</v>
      </c>
      <c r="K704" s="398"/>
      <c r="L704" s="404"/>
      <c r="M704" s="399"/>
    </row>
    <row r="705" spans="5:13" hidden="1" x14ac:dyDescent="0.2">
      <c r="F705" s="503" t="s">
        <v>242</v>
      </c>
      <c r="G705" s="504" t="s">
        <v>243</v>
      </c>
      <c r="H705" s="397"/>
      <c r="I705" s="397"/>
      <c r="J705" s="750" t="e">
        <f t="shared" si="8"/>
        <v>#DIV/0!</v>
      </c>
      <c r="K705" s="398"/>
      <c r="L705" s="404"/>
      <c r="M705" s="399"/>
    </row>
    <row r="706" spans="5:13" hidden="1" x14ac:dyDescent="0.2">
      <c r="F706" s="503" t="s">
        <v>244</v>
      </c>
      <c r="G706" s="504" t="s">
        <v>245</v>
      </c>
      <c r="H706" s="397"/>
      <c r="I706" s="397"/>
      <c r="J706" s="750" t="e">
        <f t="shared" si="8"/>
        <v>#DIV/0!</v>
      </c>
      <c r="K706" s="398"/>
      <c r="L706" s="404"/>
      <c r="M706" s="399"/>
    </row>
    <row r="707" spans="5:13" ht="16.5" customHeight="1" x14ac:dyDescent="0.2">
      <c r="F707" s="503" t="s">
        <v>257</v>
      </c>
      <c r="G707" s="504" t="s">
        <v>258</v>
      </c>
      <c r="H707" s="397">
        <v>656171</v>
      </c>
      <c r="I707" s="397"/>
      <c r="J707" s="750">
        <f t="shared" si="8"/>
        <v>0</v>
      </c>
      <c r="K707" s="398"/>
      <c r="L707" s="404"/>
      <c r="M707" s="399"/>
    </row>
    <row r="708" spans="5:13" ht="26.25" thickBot="1" x14ac:dyDescent="0.25">
      <c r="F708" s="503" t="s">
        <v>261</v>
      </c>
      <c r="G708" s="504" t="s">
        <v>262</v>
      </c>
      <c r="H708" s="397">
        <v>2152541</v>
      </c>
      <c r="I708" s="397"/>
      <c r="J708" s="750">
        <f t="shared" si="8"/>
        <v>0</v>
      </c>
      <c r="K708" s="398"/>
      <c r="L708" s="404"/>
      <c r="M708" s="399"/>
    </row>
    <row r="709" spans="5:13" ht="13.5" hidden="1" thickBot="1" x14ac:dyDescent="0.25">
      <c r="F709" s="503" t="s">
        <v>250</v>
      </c>
      <c r="G709" s="504" t="s">
        <v>57</v>
      </c>
      <c r="H709" s="397"/>
      <c r="I709" s="397"/>
      <c r="J709" s="750" t="e">
        <f t="shared" si="8"/>
        <v>#DIV/0!</v>
      </c>
      <c r="K709" s="398"/>
      <c r="L709" s="404"/>
      <c r="M709" s="399"/>
    </row>
    <row r="710" spans="5:13" ht="13.5" hidden="1" thickBot="1" x14ac:dyDescent="0.25">
      <c r="F710" s="503" t="s">
        <v>251</v>
      </c>
      <c r="G710" s="504" t="s">
        <v>252</v>
      </c>
      <c r="H710" s="397"/>
      <c r="I710" s="397"/>
      <c r="J710" s="750" t="e">
        <f t="shared" si="8"/>
        <v>#DIV/0!</v>
      </c>
      <c r="K710" s="398"/>
      <c r="L710" s="404"/>
      <c r="M710" s="399"/>
    </row>
    <row r="711" spans="5:13" ht="13.5" hidden="1" thickBot="1" x14ac:dyDescent="0.25">
      <c r="F711" s="503" t="s">
        <v>253</v>
      </c>
      <c r="G711" s="504" t="s">
        <v>254</v>
      </c>
      <c r="H711" s="397"/>
      <c r="I711" s="397"/>
      <c r="J711" s="750" t="e">
        <f t="shared" si="8"/>
        <v>#DIV/0!</v>
      </c>
      <c r="K711" s="398"/>
      <c r="L711" s="404"/>
      <c r="M711" s="399"/>
    </row>
    <row r="712" spans="5:13" ht="26.25" hidden="1" thickBot="1" x14ac:dyDescent="0.25">
      <c r="F712" s="503" t="s">
        <v>255</v>
      </c>
      <c r="G712" s="504" t="s">
        <v>256</v>
      </c>
      <c r="H712" s="397"/>
      <c r="I712" s="397"/>
      <c r="J712" s="750" t="e">
        <f t="shared" si="8"/>
        <v>#DIV/0!</v>
      </c>
      <c r="K712" s="398"/>
      <c r="L712" s="404"/>
      <c r="M712" s="399"/>
    </row>
    <row r="713" spans="5:13" ht="26.25" hidden="1" thickBot="1" x14ac:dyDescent="0.25">
      <c r="F713" s="503" t="s">
        <v>257</v>
      </c>
      <c r="G713" s="504" t="s">
        <v>258</v>
      </c>
      <c r="H713" s="397"/>
      <c r="I713" s="397"/>
      <c r="J713" s="750" t="e">
        <f t="shared" si="8"/>
        <v>#DIV/0!</v>
      </c>
      <c r="K713" s="398"/>
      <c r="L713" s="404"/>
      <c r="M713" s="399"/>
    </row>
    <row r="714" spans="5:13" ht="26.25" hidden="1" thickBot="1" x14ac:dyDescent="0.25">
      <c r="F714" s="503" t="s">
        <v>259</v>
      </c>
      <c r="G714" s="504" t="s">
        <v>260</v>
      </c>
      <c r="H714" s="397"/>
      <c r="I714" s="397"/>
      <c r="J714" s="750" t="e">
        <f t="shared" si="8"/>
        <v>#DIV/0!</v>
      </c>
      <c r="K714" s="398"/>
      <c r="L714" s="404"/>
      <c r="M714" s="399"/>
    </row>
    <row r="715" spans="5:13" ht="26.25" hidden="1" thickBot="1" x14ac:dyDescent="0.25">
      <c r="F715" s="503" t="s">
        <v>261</v>
      </c>
      <c r="G715" s="504" t="s">
        <v>262</v>
      </c>
      <c r="H715" s="397"/>
      <c r="I715" s="397"/>
      <c r="J715" s="750" t="e">
        <f t="shared" si="8"/>
        <v>#DIV/0!</v>
      </c>
      <c r="K715" s="398"/>
      <c r="L715" s="404"/>
      <c r="M715" s="399"/>
    </row>
    <row r="716" spans="5:13" ht="14.25" hidden="1" customHeight="1" thickBot="1" x14ac:dyDescent="0.25">
      <c r="F716" s="503" t="s">
        <v>263</v>
      </c>
      <c r="G716" s="504" t="s">
        <v>264</v>
      </c>
      <c r="H716" s="403"/>
      <c r="I716" s="403"/>
      <c r="J716" s="750" t="e">
        <f t="shared" si="8"/>
        <v>#DIV/0!</v>
      </c>
      <c r="K716" s="404"/>
      <c r="L716" s="404"/>
      <c r="M716" s="399"/>
    </row>
    <row r="717" spans="5:13" ht="13.5" thickBot="1" x14ac:dyDescent="0.25">
      <c r="G717" s="505" t="s">
        <v>4207</v>
      </c>
      <c r="H717" s="405">
        <f>SUM(H701:H708)</f>
        <v>29850812</v>
      </c>
      <c r="I717" s="405">
        <f>SUM(I701)</f>
        <v>25678178.449999999</v>
      </c>
      <c r="J717" s="750">
        <f t="shared" ref="J717:J780" si="9">SUM(I717/H717)*100</f>
        <v>86.021708387698126</v>
      </c>
      <c r="K717" s="406">
        <f>SUM(K708)</f>
        <v>0</v>
      </c>
      <c r="L717" s="406"/>
      <c r="M717" s="399"/>
    </row>
    <row r="718" spans="5:13" hidden="1" x14ac:dyDescent="0.2">
      <c r="H718" s="397"/>
      <c r="I718" s="397"/>
      <c r="J718" s="750" t="e">
        <f t="shared" si="9"/>
        <v>#DIV/0!</v>
      </c>
      <c r="K718" s="398"/>
      <c r="L718" s="398"/>
      <c r="M718" s="399"/>
    </row>
    <row r="719" spans="5:13" x14ac:dyDescent="0.2">
      <c r="E719" s="500"/>
      <c r="F719" s="498"/>
      <c r="G719" s="511" t="s">
        <v>4211</v>
      </c>
      <c r="H719" s="413"/>
      <c r="I719" s="413"/>
      <c r="J719" s="750"/>
      <c r="K719" s="414"/>
      <c r="L719" s="415"/>
      <c r="M719" s="399"/>
    </row>
    <row r="720" spans="5:13" x14ac:dyDescent="0.2">
      <c r="E720" s="502"/>
      <c r="F720" s="503" t="s">
        <v>234</v>
      </c>
      <c r="G720" s="504" t="s">
        <v>235</v>
      </c>
      <c r="H720" s="403">
        <f>SUM(H701)</f>
        <v>27042100</v>
      </c>
      <c r="I720" s="403">
        <f>SUM(I717)</f>
        <v>25678178.449999999</v>
      </c>
      <c r="J720" s="750">
        <f t="shared" si="9"/>
        <v>94.956303134741745</v>
      </c>
      <c r="K720" s="404"/>
      <c r="L720" s="404"/>
      <c r="M720" s="399"/>
    </row>
    <row r="721" spans="6:13" hidden="1" x14ac:dyDescent="0.2">
      <c r="F721" s="503" t="s">
        <v>236</v>
      </c>
      <c r="G721" s="504" t="s">
        <v>237</v>
      </c>
      <c r="H721" s="397"/>
      <c r="I721" s="397"/>
      <c r="J721" s="750" t="e">
        <f t="shared" si="9"/>
        <v>#DIV/0!</v>
      </c>
      <c r="K721" s="398"/>
      <c r="L721" s="404"/>
      <c r="M721" s="399"/>
    </row>
    <row r="722" spans="6:13" hidden="1" x14ac:dyDescent="0.2">
      <c r="F722" s="503" t="s">
        <v>238</v>
      </c>
      <c r="G722" s="504" t="s">
        <v>239</v>
      </c>
      <c r="H722" s="397"/>
      <c r="I722" s="397"/>
      <c r="J722" s="750" t="e">
        <f t="shared" si="9"/>
        <v>#DIV/0!</v>
      </c>
      <c r="K722" s="398"/>
      <c r="L722" s="404"/>
      <c r="M722" s="399"/>
    </row>
    <row r="723" spans="6:13" hidden="1" x14ac:dyDescent="0.2">
      <c r="F723" s="503" t="s">
        <v>240</v>
      </c>
      <c r="G723" s="504" t="s">
        <v>241</v>
      </c>
      <c r="H723" s="397"/>
      <c r="I723" s="397"/>
      <c r="J723" s="750" t="e">
        <f t="shared" si="9"/>
        <v>#DIV/0!</v>
      </c>
      <c r="K723" s="398"/>
      <c r="L723" s="404"/>
      <c r="M723" s="399"/>
    </row>
    <row r="724" spans="6:13" hidden="1" x14ac:dyDescent="0.2">
      <c r="F724" s="503" t="s">
        <v>242</v>
      </c>
      <c r="G724" s="504" t="s">
        <v>243</v>
      </c>
      <c r="H724" s="397"/>
      <c r="I724" s="397"/>
      <c r="J724" s="750" t="e">
        <f t="shared" si="9"/>
        <v>#DIV/0!</v>
      </c>
      <c r="K724" s="398"/>
      <c r="L724" s="404"/>
      <c r="M724" s="399"/>
    </row>
    <row r="725" spans="6:13" hidden="1" x14ac:dyDescent="0.2">
      <c r="F725" s="503" t="s">
        <v>244</v>
      </c>
      <c r="G725" s="504" t="s">
        <v>245</v>
      </c>
      <c r="H725" s="397"/>
      <c r="I725" s="397"/>
      <c r="J725" s="750" t="e">
        <f t="shared" si="9"/>
        <v>#DIV/0!</v>
      </c>
      <c r="K725" s="398"/>
      <c r="L725" s="404"/>
      <c r="M725" s="399"/>
    </row>
    <row r="726" spans="6:13" ht="13.5" customHeight="1" x14ac:dyDescent="0.2">
      <c r="F726" s="503" t="s">
        <v>257</v>
      </c>
      <c r="G726" s="504" t="s">
        <v>258</v>
      </c>
      <c r="H726" s="397">
        <v>656171</v>
      </c>
      <c r="I726" s="397"/>
      <c r="J726" s="750">
        <f t="shared" si="9"/>
        <v>0</v>
      </c>
      <c r="K726" s="398"/>
      <c r="L726" s="404"/>
      <c r="M726" s="399"/>
    </row>
    <row r="727" spans="6:13" ht="26.25" thickBot="1" x14ac:dyDescent="0.25">
      <c r="F727" s="503" t="s">
        <v>261</v>
      </c>
      <c r="G727" s="504" t="s">
        <v>262</v>
      </c>
      <c r="H727" s="397">
        <v>2152541</v>
      </c>
      <c r="I727" s="397"/>
      <c r="J727" s="750">
        <f t="shared" si="9"/>
        <v>0</v>
      </c>
      <c r="K727" s="398"/>
      <c r="L727" s="404"/>
      <c r="M727" s="399"/>
    </row>
    <row r="728" spans="6:13" ht="13.5" hidden="1" thickBot="1" x14ac:dyDescent="0.25">
      <c r="F728" s="503" t="s">
        <v>250</v>
      </c>
      <c r="G728" s="504" t="s">
        <v>57</v>
      </c>
      <c r="H728" s="397"/>
      <c r="I728" s="397"/>
      <c r="J728" s="750" t="e">
        <f t="shared" si="9"/>
        <v>#DIV/0!</v>
      </c>
      <c r="K728" s="398"/>
      <c r="L728" s="404"/>
      <c r="M728" s="399"/>
    </row>
    <row r="729" spans="6:13" ht="13.5" hidden="1" thickBot="1" x14ac:dyDescent="0.25">
      <c r="F729" s="503" t="s">
        <v>251</v>
      </c>
      <c r="G729" s="504" t="s">
        <v>252</v>
      </c>
      <c r="H729" s="397"/>
      <c r="I729" s="397"/>
      <c r="J729" s="750" t="e">
        <f t="shared" si="9"/>
        <v>#DIV/0!</v>
      </c>
      <c r="K729" s="398"/>
      <c r="L729" s="404"/>
      <c r="M729" s="399"/>
    </row>
    <row r="730" spans="6:13" ht="13.5" hidden="1" thickBot="1" x14ac:dyDescent="0.25">
      <c r="F730" s="503" t="s">
        <v>253</v>
      </c>
      <c r="G730" s="504" t="s">
        <v>254</v>
      </c>
      <c r="H730" s="397"/>
      <c r="I730" s="397"/>
      <c r="J730" s="750" t="e">
        <f t="shared" si="9"/>
        <v>#DIV/0!</v>
      </c>
      <c r="K730" s="398"/>
      <c r="L730" s="404"/>
      <c r="M730" s="399"/>
    </row>
    <row r="731" spans="6:13" ht="26.25" hidden="1" thickBot="1" x14ac:dyDescent="0.25">
      <c r="F731" s="503" t="s">
        <v>255</v>
      </c>
      <c r="G731" s="504" t="s">
        <v>256</v>
      </c>
      <c r="H731" s="397"/>
      <c r="I731" s="397"/>
      <c r="J731" s="750" t="e">
        <f t="shared" si="9"/>
        <v>#DIV/0!</v>
      </c>
      <c r="K731" s="398"/>
      <c r="L731" s="404"/>
      <c r="M731" s="399"/>
    </row>
    <row r="732" spans="6:13" ht="26.25" hidden="1" thickBot="1" x14ac:dyDescent="0.25">
      <c r="F732" s="503" t="s">
        <v>257</v>
      </c>
      <c r="G732" s="504" t="s">
        <v>258</v>
      </c>
      <c r="H732" s="397"/>
      <c r="I732" s="397"/>
      <c r="J732" s="750" t="e">
        <f t="shared" si="9"/>
        <v>#DIV/0!</v>
      </c>
      <c r="K732" s="398"/>
      <c r="L732" s="404"/>
      <c r="M732" s="399"/>
    </row>
    <row r="733" spans="6:13" ht="26.25" hidden="1" thickBot="1" x14ac:dyDescent="0.25">
      <c r="F733" s="503" t="s">
        <v>259</v>
      </c>
      <c r="G733" s="504" t="s">
        <v>260</v>
      </c>
      <c r="H733" s="397"/>
      <c r="I733" s="397"/>
      <c r="J733" s="750" t="e">
        <f t="shared" si="9"/>
        <v>#DIV/0!</v>
      </c>
      <c r="K733" s="398"/>
      <c r="L733" s="404"/>
      <c r="M733" s="399"/>
    </row>
    <row r="734" spans="6:13" ht="26.25" hidden="1" thickBot="1" x14ac:dyDescent="0.25">
      <c r="F734" s="503" t="s">
        <v>261</v>
      </c>
      <c r="G734" s="504" t="s">
        <v>262</v>
      </c>
      <c r="H734" s="397"/>
      <c r="I734" s="397"/>
      <c r="J734" s="750" t="e">
        <f t="shared" si="9"/>
        <v>#DIV/0!</v>
      </c>
      <c r="K734" s="398"/>
      <c r="L734" s="404"/>
      <c r="M734" s="399"/>
    </row>
    <row r="735" spans="6:13" ht="13.5" hidden="1" thickBot="1" x14ac:dyDescent="0.25">
      <c r="F735" s="503" t="s">
        <v>263</v>
      </c>
      <c r="G735" s="504" t="s">
        <v>264</v>
      </c>
      <c r="H735" s="403"/>
      <c r="I735" s="403"/>
      <c r="J735" s="750" t="e">
        <f t="shared" si="9"/>
        <v>#DIV/0!</v>
      </c>
      <c r="K735" s="404"/>
      <c r="L735" s="404"/>
      <c r="M735" s="399"/>
    </row>
    <row r="736" spans="6:13" ht="16.5" customHeight="1" thickBot="1" x14ac:dyDescent="0.25">
      <c r="G736" s="505" t="s">
        <v>4212</v>
      </c>
      <c r="H736" s="405">
        <f>SUM(H720:H727)</f>
        <v>29850812</v>
      </c>
      <c r="I736" s="405">
        <f>SUM(I720)</f>
        <v>25678178.449999999</v>
      </c>
      <c r="J736" s="750">
        <f t="shared" si="9"/>
        <v>86.021708387698126</v>
      </c>
      <c r="K736" s="406">
        <f>SUM(K727:K735)</f>
        <v>0</v>
      </c>
      <c r="L736" s="406"/>
      <c r="M736" s="399"/>
    </row>
    <row r="737" spans="1:13" hidden="1" x14ac:dyDescent="0.2">
      <c r="H737" s="397"/>
      <c r="I737" s="397"/>
      <c r="J737" s="750" t="e">
        <f t="shared" si="9"/>
        <v>#DIV/0!</v>
      </c>
      <c r="K737" s="398"/>
      <c r="L737" s="398"/>
      <c r="M737" s="399"/>
    </row>
    <row r="738" spans="1:13" hidden="1" x14ac:dyDescent="0.2">
      <c r="H738" s="397"/>
      <c r="I738" s="397"/>
      <c r="J738" s="750" t="e">
        <f t="shared" si="9"/>
        <v>#DIV/0!</v>
      </c>
      <c r="K738" s="398"/>
      <c r="L738" s="398"/>
      <c r="M738" s="399"/>
    </row>
    <row r="739" spans="1:13" hidden="1" x14ac:dyDescent="0.2">
      <c r="A739" s="483"/>
      <c r="B739" s="483"/>
      <c r="C739" s="484"/>
      <c r="D739" s="485"/>
      <c r="E739" s="485"/>
      <c r="F739" s="485"/>
      <c r="G739" s="512" t="s">
        <v>3661</v>
      </c>
      <c r="H739" s="416"/>
      <c r="I739" s="416"/>
      <c r="J739" s="750" t="e">
        <f t="shared" si="9"/>
        <v>#DIV/0!</v>
      </c>
      <c r="K739" s="417"/>
      <c r="L739" s="417"/>
      <c r="M739" s="399"/>
    </row>
    <row r="740" spans="1:13" hidden="1" x14ac:dyDescent="0.2">
      <c r="C740" s="489" t="s">
        <v>3600</v>
      </c>
      <c r="D740" s="490"/>
      <c r="G740" s="513" t="s">
        <v>4166</v>
      </c>
      <c r="H740" s="397"/>
      <c r="I740" s="397"/>
      <c r="J740" s="750" t="e">
        <f t="shared" si="9"/>
        <v>#DIV/0!</v>
      </c>
      <c r="K740" s="398"/>
      <c r="L740" s="398"/>
      <c r="M740" s="399"/>
    </row>
    <row r="741" spans="1:13" hidden="1" x14ac:dyDescent="0.2">
      <c r="C741" s="489" t="s">
        <v>4139</v>
      </c>
      <c r="D741" s="490"/>
      <c r="G741" s="513" t="s">
        <v>4140</v>
      </c>
      <c r="H741" s="397"/>
      <c r="I741" s="397"/>
      <c r="J741" s="750" t="e">
        <f t="shared" si="9"/>
        <v>#DIV/0!</v>
      </c>
      <c r="K741" s="398"/>
      <c r="L741" s="398"/>
      <c r="M741" s="399"/>
    </row>
    <row r="742" spans="1:13" hidden="1" x14ac:dyDescent="0.2">
      <c r="C742" s="489"/>
      <c r="D742" s="492">
        <v>330</v>
      </c>
      <c r="E742" s="492"/>
      <c r="F742" s="492"/>
      <c r="G742" s="514" t="s">
        <v>130</v>
      </c>
      <c r="H742" s="418"/>
      <c r="I742" s="418"/>
      <c r="J742" s="750" t="e">
        <f t="shared" si="9"/>
        <v>#DIV/0!</v>
      </c>
      <c r="K742" s="419"/>
      <c r="L742" s="419"/>
      <c r="M742" s="399"/>
    </row>
    <row r="743" spans="1:13" hidden="1" x14ac:dyDescent="0.2">
      <c r="F743" s="494">
        <v>411</v>
      </c>
      <c r="G743" s="495" t="s">
        <v>4167</v>
      </c>
      <c r="H743" s="397"/>
      <c r="I743" s="397"/>
      <c r="J743" s="750" t="e">
        <f t="shared" si="9"/>
        <v>#DIV/0!</v>
      </c>
      <c r="K743" s="398"/>
      <c r="L743" s="398"/>
      <c r="M743" s="399"/>
    </row>
    <row r="744" spans="1:13" hidden="1" x14ac:dyDescent="0.2">
      <c r="F744" s="494">
        <v>412</v>
      </c>
      <c r="G744" s="496" t="s">
        <v>3764</v>
      </c>
      <c r="H744" s="397"/>
      <c r="I744" s="397"/>
      <c r="J744" s="750" t="e">
        <f t="shared" si="9"/>
        <v>#DIV/0!</v>
      </c>
      <c r="K744" s="398"/>
      <c r="L744" s="398"/>
      <c r="M744" s="399"/>
    </row>
    <row r="745" spans="1:13" hidden="1" x14ac:dyDescent="0.2">
      <c r="F745" s="494">
        <v>413</v>
      </c>
      <c r="G745" s="495" t="s">
        <v>4168</v>
      </c>
      <c r="H745" s="397"/>
      <c r="I745" s="397"/>
      <c r="J745" s="750" t="e">
        <f t="shared" si="9"/>
        <v>#DIV/0!</v>
      </c>
      <c r="K745" s="398"/>
      <c r="L745" s="398"/>
      <c r="M745" s="399"/>
    </row>
    <row r="746" spans="1:13" hidden="1" x14ac:dyDescent="0.2">
      <c r="F746" s="494">
        <v>414</v>
      </c>
      <c r="G746" s="495" t="s">
        <v>3767</v>
      </c>
      <c r="H746" s="397"/>
      <c r="I746" s="397"/>
      <c r="J746" s="750" t="e">
        <f t="shared" si="9"/>
        <v>#DIV/0!</v>
      </c>
      <c r="K746" s="398"/>
      <c r="L746" s="398"/>
      <c r="M746" s="399"/>
    </row>
    <row r="747" spans="1:13" hidden="1" x14ac:dyDescent="0.2">
      <c r="F747" s="494">
        <v>415</v>
      </c>
      <c r="G747" s="495" t="s">
        <v>4177</v>
      </c>
      <c r="H747" s="397"/>
      <c r="I747" s="397"/>
      <c r="J747" s="750" t="e">
        <f t="shared" si="9"/>
        <v>#DIV/0!</v>
      </c>
      <c r="K747" s="398"/>
      <c r="L747" s="398"/>
      <c r="M747" s="399"/>
    </row>
    <row r="748" spans="1:13" ht="25.5" hidden="1" x14ac:dyDescent="0.2">
      <c r="F748" s="494">
        <v>416</v>
      </c>
      <c r="G748" s="495" t="s">
        <v>4178</v>
      </c>
      <c r="H748" s="397"/>
      <c r="I748" s="397"/>
      <c r="J748" s="750" t="e">
        <f t="shared" si="9"/>
        <v>#DIV/0!</v>
      </c>
      <c r="K748" s="398"/>
      <c r="L748" s="398"/>
      <c r="M748" s="399"/>
    </row>
    <row r="749" spans="1:13" hidden="1" x14ac:dyDescent="0.2">
      <c r="F749" s="494">
        <v>417</v>
      </c>
      <c r="G749" s="495" t="s">
        <v>4179</v>
      </c>
      <c r="H749" s="397"/>
      <c r="I749" s="397"/>
      <c r="J749" s="750" t="e">
        <f t="shared" si="9"/>
        <v>#DIV/0!</v>
      </c>
      <c r="K749" s="398"/>
      <c r="L749" s="398"/>
      <c r="M749" s="399"/>
    </row>
    <row r="750" spans="1:13" hidden="1" x14ac:dyDescent="0.2">
      <c r="F750" s="494">
        <v>418</v>
      </c>
      <c r="G750" s="495" t="s">
        <v>3773</v>
      </c>
      <c r="H750" s="397"/>
      <c r="I750" s="397"/>
      <c r="J750" s="750" t="e">
        <f t="shared" si="9"/>
        <v>#DIV/0!</v>
      </c>
      <c r="K750" s="398"/>
      <c r="L750" s="398"/>
      <c r="M750" s="399"/>
    </row>
    <row r="751" spans="1:13" hidden="1" x14ac:dyDescent="0.2">
      <c r="F751" s="494">
        <v>421</v>
      </c>
      <c r="G751" s="495" t="s">
        <v>3777</v>
      </c>
      <c r="H751" s="397"/>
      <c r="I751" s="397"/>
      <c r="J751" s="750" t="e">
        <f t="shared" si="9"/>
        <v>#DIV/0!</v>
      </c>
      <c r="K751" s="398"/>
      <c r="L751" s="398"/>
      <c r="M751" s="399"/>
    </row>
    <row r="752" spans="1:13" hidden="1" x14ac:dyDescent="0.2">
      <c r="F752" s="494">
        <v>422</v>
      </c>
      <c r="G752" s="495" t="s">
        <v>3778</v>
      </c>
      <c r="H752" s="397"/>
      <c r="I752" s="397"/>
      <c r="J752" s="750" t="e">
        <f t="shared" si="9"/>
        <v>#DIV/0!</v>
      </c>
      <c r="K752" s="398"/>
      <c r="L752" s="398"/>
      <c r="M752" s="399"/>
    </row>
    <row r="753" spans="6:13" hidden="1" x14ac:dyDescent="0.2">
      <c r="F753" s="494">
        <v>423</v>
      </c>
      <c r="G753" s="495" t="s">
        <v>3779</v>
      </c>
      <c r="H753" s="397"/>
      <c r="I753" s="397"/>
      <c r="J753" s="750" t="e">
        <f t="shared" si="9"/>
        <v>#DIV/0!</v>
      </c>
      <c r="K753" s="398"/>
      <c r="L753" s="398"/>
      <c r="M753" s="399"/>
    </row>
    <row r="754" spans="6:13" hidden="1" x14ac:dyDescent="0.2">
      <c r="F754" s="494">
        <v>424</v>
      </c>
      <c r="G754" s="495" t="s">
        <v>3781</v>
      </c>
      <c r="H754" s="397"/>
      <c r="I754" s="397"/>
      <c r="J754" s="750" t="e">
        <f t="shared" si="9"/>
        <v>#DIV/0!</v>
      </c>
      <c r="K754" s="398"/>
      <c r="L754" s="398"/>
      <c r="M754" s="399"/>
    </row>
    <row r="755" spans="6:13" hidden="1" x14ac:dyDescent="0.2">
      <c r="F755" s="494">
        <v>425</v>
      </c>
      <c r="G755" s="495" t="s">
        <v>4180</v>
      </c>
      <c r="H755" s="397"/>
      <c r="I755" s="397"/>
      <c r="J755" s="750" t="e">
        <f t="shared" si="9"/>
        <v>#DIV/0!</v>
      </c>
      <c r="K755" s="398"/>
      <c r="L755" s="398"/>
      <c r="M755" s="399"/>
    </row>
    <row r="756" spans="6:13" hidden="1" x14ac:dyDescent="0.2">
      <c r="F756" s="494">
        <v>426</v>
      </c>
      <c r="G756" s="495" t="s">
        <v>3785</v>
      </c>
      <c r="H756" s="397"/>
      <c r="I756" s="397"/>
      <c r="J756" s="750" t="e">
        <f t="shared" si="9"/>
        <v>#DIV/0!</v>
      </c>
      <c r="K756" s="398"/>
      <c r="L756" s="398"/>
      <c r="M756" s="399"/>
    </row>
    <row r="757" spans="6:13" hidden="1" x14ac:dyDescent="0.2">
      <c r="F757" s="494">
        <v>431</v>
      </c>
      <c r="G757" s="495" t="s">
        <v>4181</v>
      </c>
      <c r="H757" s="397"/>
      <c r="I757" s="397"/>
      <c r="J757" s="750" t="e">
        <f t="shared" si="9"/>
        <v>#DIV/0!</v>
      </c>
      <c r="K757" s="398"/>
      <c r="L757" s="398"/>
      <c r="M757" s="399"/>
    </row>
    <row r="758" spans="6:13" hidden="1" x14ac:dyDescent="0.2">
      <c r="F758" s="494">
        <v>432</v>
      </c>
      <c r="G758" s="495" t="s">
        <v>4182</v>
      </c>
      <c r="H758" s="397"/>
      <c r="I758" s="397"/>
      <c r="J758" s="750" t="e">
        <f t="shared" si="9"/>
        <v>#DIV/0!</v>
      </c>
      <c r="K758" s="398"/>
      <c r="L758" s="398"/>
      <c r="M758" s="399"/>
    </row>
    <row r="759" spans="6:13" hidden="1" x14ac:dyDescent="0.2">
      <c r="F759" s="494">
        <v>433</v>
      </c>
      <c r="G759" s="495" t="s">
        <v>4183</v>
      </c>
      <c r="H759" s="397"/>
      <c r="I759" s="397"/>
      <c r="J759" s="750" t="e">
        <f t="shared" si="9"/>
        <v>#DIV/0!</v>
      </c>
      <c r="K759" s="398"/>
      <c r="L759" s="398"/>
      <c r="M759" s="399"/>
    </row>
    <row r="760" spans="6:13" hidden="1" x14ac:dyDescent="0.2">
      <c r="F760" s="494">
        <v>434</v>
      </c>
      <c r="G760" s="495" t="s">
        <v>4184</v>
      </c>
      <c r="H760" s="397"/>
      <c r="I760" s="397"/>
      <c r="J760" s="750" t="e">
        <f t="shared" si="9"/>
        <v>#DIV/0!</v>
      </c>
      <c r="K760" s="398"/>
      <c r="L760" s="398"/>
      <c r="M760" s="399"/>
    </row>
    <row r="761" spans="6:13" hidden="1" x14ac:dyDescent="0.2">
      <c r="F761" s="494">
        <v>435</v>
      </c>
      <c r="G761" s="495" t="s">
        <v>3792</v>
      </c>
      <c r="H761" s="397"/>
      <c r="I761" s="397"/>
      <c r="J761" s="750" t="e">
        <f t="shared" si="9"/>
        <v>#DIV/0!</v>
      </c>
      <c r="K761" s="398"/>
      <c r="L761" s="398"/>
      <c r="M761" s="399"/>
    </row>
    <row r="762" spans="6:13" hidden="1" x14ac:dyDescent="0.2">
      <c r="F762" s="494">
        <v>441</v>
      </c>
      <c r="G762" s="495" t="s">
        <v>4185</v>
      </c>
      <c r="H762" s="397"/>
      <c r="I762" s="397"/>
      <c r="J762" s="750" t="e">
        <f t="shared" si="9"/>
        <v>#DIV/0!</v>
      </c>
      <c r="K762" s="398"/>
      <c r="L762" s="398"/>
      <c r="M762" s="399"/>
    </row>
    <row r="763" spans="6:13" hidden="1" x14ac:dyDescent="0.2">
      <c r="F763" s="494">
        <v>442</v>
      </c>
      <c r="G763" s="495" t="s">
        <v>4186</v>
      </c>
      <c r="H763" s="397"/>
      <c r="I763" s="397"/>
      <c r="J763" s="750" t="e">
        <f t="shared" si="9"/>
        <v>#DIV/0!</v>
      </c>
      <c r="K763" s="398"/>
      <c r="L763" s="398"/>
      <c r="M763" s="399"/>
    </row>
    <row r="764" spans="6:13" hidden="1" x14ac:dyDescent="0.2">
      <c r="F764" s="494">
        <v>443</v>
      </c>
      <c r="G764" s="495" t="s">
        <v>3797</v>
      </c>
      <c r="H764" s="397"/>
      <c r="I764" s="397"/>
      <c r="J764" s="750" t="e">
        <f t="shared" si="9"/>
        <v>#DIV/0!</v>
      </c>
      <c r="K764" s="398"/>
      <c r="L764" s="398"/>
      <c r="M764" s="399"/>
    </row>
    <row r="765" spans="6:13" hidden="1" x14ac:dyDescent="0.2">
      <c r="F765" s="494">
        <v>444</v>
      </c>
      <c r="G765" s="495" t="s">
        <v>3798</v>
      </c>
      <c r="H765" s="397"/>
      <c r="I765" s="397"/>
      <c r="J765" s="750" t="e">
        <f t="shared" si="9"/>
        <v>#DIV/0!</v>
      </c>
      <c r="K765" s="398"/>
      <c r="L765" s="398"/>
      <c r="M765" s="399"/>
    </row>
    <row r="766" spans="6:13" ht="25.5" hidden="1" x14ac:dyDescent="0.2">
      <c r="F766" s="494">
        <v>4511</v>
      </c>
      <c r="G766" s="466" t="s">
        <v>1692</v>
      </c>
      <c r="H766" s="397"/>
      <c r="I766" s="397"/>
      <c r="J766" s="750" t="e">
        <f t="shared" si="9"/>
        <v>#DIV/0!</v>
      </c>
      <c r="K766" s="398"/>
      <c r="L766" s="398"/>
      <c r="M766" s="399"/>
    </row>
    <row r="767" spans="6:13" ht="25.5" hidden="1" x14ac:dyDescent="0.2">
      <c r="F767" s="494">
        <v>4512</v>
      </c>
      <c r="G767" s="466" t="s">
        <v>1701</v>
      </c>
      <c r="H767" s="397"/>
      <c r="I767" s="397"/>
      <c r="J767" s="750" t="e">
        <f t="shared" si="9"/>
        <v>#DIV/0!</v>
      </c>
      <c r="K767" s="398"/>
      <c r="L767" s="398"/>
      <c r="M767" s="399"/>
    </row>
    <row r="768" spans="6:13" ht="25.5" hidden="1" x14ac:dyDescent="0.2">
      <c r="F768" s="494">
        <v>452</v>
      </c>
      <c r="G768" s="495" t="s">
        <v>4187</v>
      </c>
      <c r="H768" s="397"/>
      <c r="I768" s="397"/>
      <c r="J768" s="750" t="e">
        <f t="shared" si="9"/>
        <v>#DIV/0!</v>
      </c>
      <c r="K768" s="398"/>
      <c r="L768" s="398"/>
      <c r="M768" s="399"/>
    </row>
    <row r="769" spans="6:13" ht="25.5" hidden="1" x14ac:dyDescent="0.2">
      <c r="F769" s="494">
        <v>453</v>
      </c>
      <c r="G769" s="495" t="s">
        <v>4188</v>
      </c>
      <c r="H769" s="397"/>
      <c r="I769" s="397"/>
      <c r="J769" s="750" t="e">
        <f t="shared" si="9"/>
        <v>#DIV/0!</v>
      </c>
      <c r="K769" s="398"/>
      <c r="L769" s="398"/>
      <c r="M769" s="399"/>
    </row>
    <row r="770" spans="6:13" hidden="1" x14ac:dyDescent="0.2">
      <c r="F770" s="494">
        <v>454</v>
      </c>
      <c r="G770" s="495" t="s">
        <v>3803</v>
      </c>
      <c r="H770" s="397"/>
      <c r="I770" s="397"/>
      <c r="J770" s="750" t="e">
        <f t="shared" si="9"/>
        <v>#DIV/0!</v>
      </c>
      <c r="K770" s="398"/>
      <c r="L770" s="398"/>
      <c r="M770" s="399"/>
    </row>
    <row r="771" spans="6:13" hidden="1" x14ac:dyDescent="0.2">
      <c r="F771" s="494">
        <v>461</v>
      </c>
      <c r="G771" s="495" t="s">
        <v>4169</v>
      </c>
      <c r="H771" s="397"/>
      <c r="I771" s="397"/>
      <c r="J771" s="750" t="e">
        <f t="shared" si="9"/>
        <v>#DIV/0!</v>
      </c>
      <c r="K771" s="398"/>
      <c r="L771" s="398"/>
      <c r="M771" s="399"/>
    </row>
    <row r="772" spans="6:13" ht="25.5" hidden="1" x14ac:dyDescent="0.2">
      <c r="F772" s="494">
        <v>462</v>
      </c>
      <c r="G772" s="495" t="s">
        <v>3806</v>
      </c>
      <c r="H772" s="397"/>
      <c r="I772" s="397"/>
      <c r="J772" s="750" t="e">
        <f t="shared" si="9"/>
        <v>#DIV/0!</v>
      </c>
      <c r="K772" s="398"/>
      <c r="L772" s="398"/>
      <c r="M772" s="399"/>
    </row>
    <row r="773" spans="6:13" hidden="1" x14ac:dyDescent="0.2">
      <c r="F773" s="494">
        <v>4631</v>
      </c>
      <c r="G773" s="495" t="s">
        <v>3807</v>
      </c>
      <c r="H773" s="397"/>
      <c r="I773" s="397"/>
      <c r="J773" s="750" t="e">
        <f t="shared" si="9"/>
        <v>#DIV/0!</v>
      </c>
      <c r="K773" s="398"/>
      <c r="L773" s="398"/>
      <c r="M773" s="399"/>
    </row>
    <row r="774" spans="6:13" hidden="1" x14ac:dyDescent="0.2">
      <c r="F774" s="494">
        <v>4632</v>
      </c>
      <c r="G774" s="495" t="s">
        <v>3808</v>
      </c>
      <c r="H774" s="397"/>
      <c r="I774" s="397"/>
      <c r="J774" s="750" t="e">
        <f t="shared" si="9"/>
        <v>#DIV/0!</v>
      </c>
      <c r="K774" s="398"/>
      <c r="L774" s="398"/>
      <c r="M774" s="399"/>
    </row>
    <row r="775" spans="6:13" ht="25.5" hidden="1" x14ac:dyDescent="0.2">
      <c r="F775" s="494">
        <v>464</v>
      </c>
      <c r="G775" s="495" t="s">
        <v>3809</v>
      </c>
      <c r="H775" s="397"/>
      <c r="I775" s="397"/>
      <c r="J775" s="750" t="e">
        <f t="shared" si="9"/>
        <v>#DIV/0!</v>
      </c>
      <c r="K775" s="398"/>
      <c r="L775" s="398"/>
      <c r="M775" s="399"/>
    </row>
    <row r="776" spans="6:13" hidden="1" x14ac:dyDescent="0.2">
      <c r="F776" s="494">
        <v>465</v>
      </c>
      <c r="G776" s="495" t="s">
        <v>4170</v>
      </c>
      <c r="H776" s="397"/>
      <c r="I776" s="397"/>
      <c r="J776" s="750" t="e">
        <f t="shared" si="9"/>
        <v>#DIV/0!</v>
      </c>
      <c r="K776" s="398"/>
      <c r="L776" s="398"/>
      <c r="M776" s="399"/>
    </row>
    <row r="777" spans="6:13" hidden="1" x14ac:dyDescent="0.2">
      <c r="F777" s="494">
        <v>472</v>
      </c>
      <c r="G777" s="495" t="s">
        <v>3813</v>
      </c>
      <c r="H777" s="397"/>
      <c r="I777" s="397"/>
      <c r="J777" s="750" t="e">
        <f t="shared" si="9"/>
        <v>#DIV/0!</v>
      </c>
      <c r="K777" s="398"/>
      <c r="L777" s="398"/>
      <c r="M777" s="399"/>
    </row>
    <row r="778" spans="6:13" hidden="1" x14ac:dyDescent="0.2">
      <c r="F778" s="494">
        <v>481</v>
      </c>
      <c r="G778" s="495" t="s">
        <v>4189</v>
      </c>
      <c r="H778" s="397"/>
      <c r="I778" s="397"/>
      <c r="J778" s="750" t="e">
        <f t="shared" si="9"/>
        <v>#DIV/0!</v>
      </c>
      <c r="K778" s="398"/>
      <c r="L778" s="398"/>
      <c r="M778" s="399"/>
    </row>
    <row r="779" spans="6:13" hidden="1" x14ac:dyDescent="0.2">
      <c r="F779" s="494">
        <v>482</v>
      </c>
      <c r="G779" s="495" t="s">
        <v>4190</v>
      </c>
      <c r="H779" s="397"/>
      <c r="I779" s="397"/>
      <c r="J779" s="750" t="e">
        <f t="shared" si="9"/>
        <v>#DIV/0!</v>
      </c>
      <c r="K779" s="398"/>
      <c r="L779" s="398"/>
      <c r="M779" s="399"/>
    </row>
    <row r="780" spans="6:13" hidden="1" x14ac:dyDescent="0.2">
      <c r="F780" s="494">
        <v>483</v>
      </c>
      <c r="G780" s="497" t="s">
        <v>4191</v>
      </c>
      <c r="H780" s="397"/>
      <c r="I780" s="397"/>
      <c r="J780" s="750" t="e">
        <f t="shared" si="9"/>
        <v>#DIV/0!</v>
      </c>
      <c r="K780" s="398"/>
      <c r="L780" s="398"/>
      <c r="M780" s="399"/>
    </row>
    <row r="781" spans="6:13" ht="38.25" hidden="1" x14ac:dyDescent="0.2">
      <c r="F781" s="494">
        <v>484</v>
      </c>
      <c r="G781" s="495" t="s">
        <v>4192</v>
      </c>
      <c r="H781" s="397"/>
      <c r="I781" s="397"/>
      <c r="J781" s="750" t="e">
        <f t="shared" ref="J781:J844" si="10">SUM(I781/H781)*100</f>
        <v>#DIV/0!</v>
      </c>
      <c r="K781" s="398"/>
      <c r="L781" s="398"/>
      <c r="M781" s="399"/>
    </row>
    <row r="782" spans="6:13" ht="25.5" hidden="1" x14ac:dyDescent="0.2">
      <c r="F782" s="494">
        <v>485</v>
      </c>
      <c r="G782" s="495" t="s">
        <v>4193</v>
      </c>
      <c r="H782" s="397"/>
      <c r="I782" s="397"/>
      <c r="J782" s="750" t="e">
        <f t="shared" si="10"/>
        <v>#DIV/0!</v>
      </c>
      <c r="K782" s="398"/>
      <c r="L782" s="398"/>
      <c r="M782" s="399"/>
    </row>
    <row r="783" spans="6:13" ht="25.5" hidden="1" x14ac:dyDescent="0.2">
      <c r="F783" s="494">
        <v>489</v>
      </c>
      <c r="G783" s="495" t="s">
        <v>3821</v>
      </c>
      <c r="H783" s="397"/>
      <c r="I783" s="397"/>
      <c r="J783" s="750" t="e">
        <f t="shared" si="10"/>
        <v>#DIV/0!</v>
      </c>
      <c r="K783" s="398"/>
      <c r="L783" s="398"/>
      <c r="M783" s="399"/>
    </row>
    <row r="784" spans="6:13" ht="25.5" hidden="1" x14ac:dyDescent="0.2">
      <c r="F784" s="494">
        <v>494</v>
      </c>
      <c r="G784" s="495" t="s">
        <v>4171</v>
      </c>
      <c r="H784" s="397"/>
      <c r="I784" s="397"/>
      <c r="J784" s="750" t="e">
        <f t="shared" si="10"/>
        <v>#DIV/0!</v>
      </c>
      <c r="K784" s="398"/>
      <c r="L784" s="398"/>
      <c r="M784" s="399"/>
    </row>
    <row r="785" spans="6:13" ht="25.5" hidden="1" x14ac:dyDescent="0.2">
      <c r="F785" s="494">
        <v>495</v>
      </c>
      <c r="G785" s="495" t="s">
        <v>4172</v>
      </c>
      <c r="H785" s="397"/>
      <c r="I785" s="397"/>
      <c r="J785" s="750" t="e">
        <f t="shared" si="10"/>
        <v>#DIV/0!</v>
      </c>
      <c r="K785" s="398"/>
      <c r="L785" s="398"/>
      <c r="M785" s="399"/>
    </row>
    <row r="786" spans="6:13" ht="38.25" hidden="1" x14ac:dyDescent="0.2">
      <c r="F786" s="494">
        <v>496</v>
      </c>
      <c r="G786" s="495" t="s">
        <v>4173</v>
      </c>
      <c r="H786" s="397"/>
      <c r="I786" s="397"/>
      <c r="J786" s="750" t="e">
        <f t="shared" si="10"/>
        <v>#DIV/0!</v>
      </c>
      <c r="K786" s="398"/>
      <c r="L786" s="398"/>
      <c r="M786" s="399"/>
    </row>
    <row r="787" spans="6:13" ht="25.5" hidden="1" x14ac:dyDescent="0.2">
      <c r="F787" s="494">
        <v>499</v>
      </c>
      <c r="G787" s="495" t="s">
        <v>4174</v>
      </c>
      <c r="H787" s="397"/>
      <c r="I787" s="397"/>
      <c r="J787" s="750" t="e">
        <f t="shared" si="10"/>
        <v>#DIV/0!</v>
      </c>
      <c r="K787" s="398"/>
      <c r="L787" s="398"/>
      <c r="M787" s="399"/>
    </row>
    <row r="788" spans="6:13" hidden="1" x14ac:dyDescent="0.2">
      <c r="F788" s="494">
        <v>511</v>
      </c>
      <c r="G788" s="497" t="s">
        <v>4194</v>
      </c>
      <c r="H788" s="397"/>
      <c r="I788" s="397"/>
      <c r="J788" s="750" t="e">
        <f t="shared" si="10"/>
        <v>#DIV/0!</v>
      </c>
      <c r="K788" s="398"/>
      <c r="L788" s="398"/>
      <c r="M788" s="399"/>
    </row>
    <row r="789" spans="6:13" hidden="1" x14ac:dyDescent="0.2">
      <c r="F789" s="494">
        <v>512</v>
      </c>
      <c r="G789" s="497" t="s">
        <v>4195</v>
      </c>
      <c r="H789" s="397"/>
      <c r="I789" s="397"/>
      <c r="J789" s="750" t="e">
        <f t="shared" si="10"/>
        <v>#DIV/0!</v>
      </c>
      <c r="K789" s="398"/>
      <c r="L789" s="398"/>
      <c r="M789" s="399"/>
    </row>
    <row r="790" spans="6:13" hidden="1" x14ac:dyDescent="0.2">
      <c r="F790" s="494">
        <v>513</v>
      </c>
      <c r="G790" s="497" t="s">
        <v>4196</v>
      </c>
      <c r="H790" s="397"/>
      <c r="I790" s="397"/>
      <c r="J790" s="750" t="e">
        <f t="shared" si="10"/>
        <v>#DIV/0!</v>
      </c>
      <c r="K790" s="398"/>
      <c r="L790" s="398"/>
      <c r="M790" s="399"/>
    </row>
    <row r="791" spans="6:13" hidden="1" x14ac:dyDescent="0.2">
      <c r="F791" s="494">
        <v>514</v>
      </c>
      <c r="G791" s="495" t="s">
        <v>4197</v>
      </c>
      <c r="H791" s="397"/>
      <c r="I791" s="397"/>
      <c r="J791" s="750" t="e">
        <f t="shared" si="10"/>
        <v>#DIV/0!</v>
      </c>
      <c r="K791" s="398"/>
      <c r="L791" s="398"/>
      <c r="M791" s="399"/>
    </row>
    <row r="792" spans="6:13" hidden="1" x14ac:dyDescent="0.2">
      <c r="F792" s="494">
        <v>515</v>
      </c>
      <c r="G792" s="495" t="s">
        <v>3832</v>
      </c>
      <c r="H792" s="397"/>
      <c r="I792" s="397"/>
      <c r="J792" s="750" t="e">
        <f t="shared" si="10"/>
        <v>#DIV/0!</v>
      </c>
      <c r="K792" s="398"/>
      <c r="L792" s="398"/>
      <c r="M792" s="399"/>
    </row>
    <row r="793" spans="6:13" hidden="1" x14ac:dyDescent="0.2">
      <c r="F793" s="494">
        <v>521</v>
      </c>
      <c r="G793" s="495" t="s">
        <v>4198</v>
      </c>
      <c r="H793" s="397"/>
      <c r="I793" s="397"/>
      <c r="J793" s="750" t="e">
        <f t="shared" si="10"/>
        <v>#DIV/0!</v>
      </c>
      <c r="K793" s="398"/>
      <c r="L793" s="398"/>
      <c r="M793" s="399"/>
    </row>
    <row r="794" spans="6:13" hidden="1" x14ac:dyDescent="0.2">
      <c r="F794" s="494">
        <v>522</v>
      </c>
      <c r="G794" s="495" t="s">
        <v>4199</v>
      </c>
      <c r="H794" s="397"/>
      <c r="I794" s="397"/>
      <c r="J794" s="750" t="e">
        <f t="shared" si="10"/>
        <v>#DIV/0!</v>
      </c>
      <c r="K794" s="398"/>
      <c r="L794" s="398"/>
      <c r="M794" s="399"/>
    </row>
    <row r="795" spans="6:13" hidden="1" x14ac:dyDescent="0.2">
      <c r="F795" s="494">
        <v>523</v>
      </c>
      <c r="G795" s="495" t="s">
        <v>3837</v>
      </c>
      <c r="H795" s="397"/>
      <c r="I795" s="397"/>
      <c r="J795" s="750" t="e">
        <f t="shared" si="10"/>
        <v>#DIV/0!</v>
      </c>
      <c r="K795" s="398"/>
      <c r="L795" s="398"/>
      <c r="M795" s="399"/>
    </row>
    <row r="796" spans="6:13" hidden="1" x14ac:dyDescent="0.2">
      <c r="F796" s="494">
        <v>531</v>
      </c>
      <c r="G796" s="496" t="s">
        <v>4175</v>
      </c>
      <c r="H796" s="397"/>
      <c r="I796" s="397"/>
      <c r="J796" s="750" t="e">
        <f t="shared" si="10"/>
        <v>#DIV/0!</v>
      </c>
      <c r="K796" s="398"/>
      <c r="L796" s="398"/>
      <c r="M796" s="399"/>
    </row>
    <row r="797" spans="6:13" hidden="1" x14ac:dyDescent="0.2">
      <c r="F797" s="494">
        <v>541</v>
      </c>
      <c r="G797" s="495" t="s">
        <v>4200</v>
      </c>
      <c r="H797" s="397"/>
      <c r="I797" s="397"/>
      <c r="J797" s="750" t="e">
        <f t="shared" si="10"/>
        <v>#DIV/0!</v>
      </c>
      <c r="K797" s="398"/>
      <c r="L797" s="398"/>
      <c r="M797" s="399"/>
    </row>
    <row r="798" spans="6:13" hidden="1" x14ac:dyDescent="0.2">
      <c r="F798" s="494">
        <v>542</v>
      </c>
      <c r="G798" s="495" t="s">
        <v>4201</v>
      </c>
      <c r="H798" s="397"/>
      <c r="I798" s="397"/>
      <c r="J798" s="750" t="e">
        <f t="shared" si="10"/>
        <v>#DIV/0!</v>
      </c>
      <c r="K798" s="398"/>
      <c r="L798" s="398"/>
      <c r="M798" s="399"/>
    </row>
    <row r="799" spans="6:13" hidden="1" x14ac:dyDescent="0.2">
      <c r="F799" s="494">
        <v>543</v>
      </c>
      <c r="G799" s="495" t="s">
        <v>3842</v>
      </c>
      <c r="H799" s="397"/>
      <c r="I799" s="397"/>
      <c r="J799" s="750" t="e">
        <f t="shared" si="10"/>
        <v>#DIV/0!</v>
      </c>
      <c r="K799" s="398"/>
      <c r="L799" s="398"/>
      <c r="M799" s="399"/>
    </row>
    <row r="800" spans="6:13" ht="38.25" hidden="1" x14ac:dyDescent="0.2">
      <c r="F800" s="494">
        <v>551</v>
      </c>
      <c r="G800" s="495" t="s">
        <v>4176</v>
      </c>
      <c r="H800" s="397"/>
      <c r="I800" s="397"/>
      <c r="J800" s="750" t="e">
        <f t="shared" si="10"/>
        <v>#DIV/0!</v>
      </c>
      <c r="K800" s="398"/>
      <c r="L800" s="398"/>
      <c r="M800" s="399"/>
    </row>
    <row r="801" spans="5:13" hidden="1" x14ac:dyDescent="0.2">
      <c r="F801" s="498">
        <v>611</v>
      </c>
      <c r="G801" s="499" t="s">
        <v>3848</v>
      </c>
      <c r="H801" s="397"/>
      <c r="I801" s="397"/>
      <c r="J801" s="750" t="e">
        <f t="shared" si="10"/>
        <v>#DIV/0!</v>
      </c>
      <c r="K801" s="398"/>
      <c r="L801" s="398"/>
      <c r="M801" s="399"/>
    </row>
    <row r="802" spans="5:13" hidden="1" x14ac:dyDescent="0.2">
      <c r="F802" s="498">
        <v>620</v>
      </c>
      <c r="G802" s="499" t="s">
        <v>88</v>
      </c>
      <c r="H802" s="397"/>
      <c r="I802" s="397"/>
      <c r="J802" s="750" t="e">
        <f t="shared" si="10"/>
        <v>#DIV/0!</v>
      </c>
      <c r="K802" s="398"/>
      <c r="L802" s="398"/>
      <c r="M802" s="399"/>
    </row>
    <row r="803" spans="5:13" hidden="1" x14ac:dyDescent="0.2">
      <c r="E803" s="500"/>
      <c r="F803" s="498"/>
      <c r="G803" s="501" t="s">
        <v>4343</v>
      </c>
      <c r="H803" s="400"/>
      <c r="I803" s="400"/>
      <c r="J803" s="750" t="e">
        <f t="shared" si="10"/>
        <v>#DIV/0!</v>
      </c>
      <c r="K803" s="401"/>
      <c r="L803" s="402"/>
      <c r="M803" s="399"/>
    </row>
    <row r="804" spans="5:13" hidden="1" x14ac:dyDescent="0.2">
      <c r="E804" s="502"/>
      <c r="F804" s="503" t="s">
        <v>234</v>
      </c>
      <c r="G804" s="504" t="s">
        <v>235</v>
      </c>
      <c r="H804" s="403">
        <f>SUM(H743:H802)</f>
        <v>0</v>
      </c>
      <c r="I804" s="403"/>
      <c r="J804" s="750" t="e">
        <f t="shared" si="10"/>
        <v>#DIV/0!</v>
      </c>
      <c r="K804" s="404"/>
      <c r="L804" s="404"/>
      <c r="M804" s="399"/>
    </row>
    <row r="805" spans="5:13" hidden="1" x14ac:dyDescent="0.2">
      <c r="F805" s="503" t="s">
        <v>236</v>
      </c>
      <c r="G805" s="504" t="s">
        <v>237</v>
      </c>
      <c r="H805" s="397"/>
      <c r="I805" s="397"/>
      <c r="J805" s="750" t="e">
        <f t="shared" si="10"/>
        <v>#DIV/0!</v>
      </c>
      <c r="K805" s="398"/>
      <c r="L805" s="404"/>
      <c r="M805" s="399"/>
    </row>
    <row r="806" spans="5:13" hidden="1" x14ac:dyDescent="0.2">
      <c r="F806" s="503" t="s">
        <v>238</v>
      </c>
      <c r="G806" s="504" t="s">
        <v>239</v>
      </c>
      <c r="H806" s="397"/>
      <c r="I806" s="397"/>
      <c r="J806" s="750" t="e">
        <f t="shared" si="10"/>
        <v>#DIV/0!</v>
      </c>
      <c r="K806" s="398"/>
      <c r="L806" s="404"/>
      <c r="M806" s="399"/>
    </row>
    <row r="807" spans="5:13" hidden="1" x14ac:dyDescent="0.2">
      <c r="F807" s="503" t="s">
        <v>240</v>
      </c>
      <c r="G807" s="504" t="s">
        <v>241</v>
      </c>
      <c r="H807" s="397"/>
      <c r="I807" s="397"/>
      <c r="J807" s="750" t="e">
        <f t="shared" si="10"/>
        <v>#DIV/0!</v>
      </c>
      <c r="K807" s="398"/>
      <c r="L807" s="404"/>
      <c r="M807" s="399"/>
    </row>
    <row r="808" spans="5:13" hidden="1" x14ac:dyDescent="0.2">
      <c r="F808" s="503" t="s">
        <v>242</v>
      </c>
      <c r="G808" s="504" t="s">
        <v>243</v>
      </c>
      <c r="H808" s="397"/>
      <c r="I808" s="397"/>
      <c r="J808" s="750" t="e">
        <f t="shared" si="10"/>
        <v>#DIV/0!</v>
      </c>
      <c r="K808" s="398"/>
      <c r="L808" s="404"/>
      <c r="M808" s="399"/>
    </row>
    <row r="809" spans="5:13" hidden="1" x14ac:dyDescent="0.2">
      <c r="F809" s="503" t="s">
        <v>244</v>
      </c>
      <c r="G809" s="504" t="s">
        <v>245</v>
      </c>
      <c r="H809" s="397"/>
      <c r="I809" s="397"/>
      <c r="J809" s="750" t="e">
        <f t="shared" si="10"/>
        <v>#DIV/0!</v>
      </c>
      <c r="K809" s="398"/>
      <c r="L809" s="404"/>
      <c r="M809" s="399"/>
    </row>
    <row r="810" spans="5:13" hidden="1" x14ac:dyDescent="0.2">
      <c r="F810" s="503" t="s">
        <v>246</v>
      </c>
      <c r="G810" s="504" t="s">
        <v>247</v>
      </c>
      <c r="H810" s="397"/>
      <c r="I810" s="397"/>
      <c r="J810" s="750" t="e">
        <f t="shared" si="10"/>
        <v>#DIV/0!</v>
      </c>
      <c r="K810" s="398"/>
      <c r="L810" s="404"/>
      <c r="M810" s="399"/>
    </row>
    <row r="811" spans="5:13" ht="25.5" hidden="1" x14ac:dyDescent="0.2">
      <c r="F811" s="503" t="s">
        <v>248</v>
      </c>
      <c r="G811" s="504" t="s">
        <v>249</v>
      </c>
      <c r="H811" s="397"/>
      <c r="I811" s="397"/>
      <c r="J811" s="750" t="e">
        <f t="shared" si="10"/>
        <v>#DIV/0!</v>
      </c>
      <c r="K811" s="398"/>
      <c r="L811" s="404"/>
      <c r="M811" s="399"/>
    </row>
    <row r="812" spans="5:13" hidden="1" x14ac:dyDescent="0.2">
      <c r="F812" s="503" t="s">
        <v>250</v>
      </c>
      <c r="G812" s="504" t="s">
        <v>57</v>
      </c>
      <c r="H812" s="397"/>
      <c r="I812" s="397"/>
      <c r="J812" s="750" t="e">
        <f t="shared" si="10"/>
        <v>#DIV/0!</v>
      </c>
      <c r="K812" s="398"/>
      <c r="L812" s="404"/>
      <c r="M812" s="399"/>
    </row>
    <row r="813" spans="5:13" hidden="1" x14ac:dyDescent="0.2">
      <c r="F813" s="503" t="s">
        <v>251</v>
      </c>
      <c r="G813" s="504" t="s">
        <v>252</v>
      </c>
      <c r="H813" s="397"/>
      <c r="I813" s="397"/>
      <c r="J813" s="750" t="e">
        <f t="shared" si="10"/>
        <v>#DIV/0!</v>
      </c>
      <c r="K813" s="398"/>
      <c r="L813" s="404"/>
      <c r="M813" s="399"/>
    </row>
    <row r="814" spans="5:13" hidden="1" x14ac:dyDescent="0.2">
      <c r="F814" s="503" t="s">
        <v>253</v>
      </c>
      <c r="G814" s="504" t="s">
        <v>254</v>
      </c>
      <c r="H814" s="397"/>
      <c r="I814" s="397"/>
      <c r="J814" s="750" t="e">
        <f t="shared" si="10"/>
        <v>#DIV/0!</v>
      </c>
      <c r="K814" s="398"/>
      <c r="L814" s="404"/>
      <c r="M814" s="399"/>
    </row>
    <row r="815" spans="5:13" ht="25.5" hidden="1" x14ac:dyDescent="0.2">
      <c r="F815" s="503" t="s">
        <v>255</v>
      </c>
      <c r="G815" s="504" t="s">
        <v>256</v>
      </c>
      <c r="H815" s="397"/>
      <c r="I815" s="397"/>
      <c r="J815" s="750" t="e">
        <f t="shared" si="10"/>
        <v>#DIV/0!</v>
      </c>
      <c r="K815" s="398"/>
      <c r="L815" s="404"/>
      <c r="M815" s="399"/>
    </row>
    <row r="816" spans="5:13" ht="25.5" hidden="1" x14ac:dyDescent="0.2">
      <c r="F816" s="503" t="s">
        <v>257</v>
      </c>
      <c r="G816" s="504" t="s">
        <v>258</v>
      </c>
      <c r="H816" s="397"/>
      <c r="I816" s="397"/>
      <c r="J816" s="750" t="e">
        <f t="shared" si="10"/>
        <v>#DIV/0!</v>
      </c>
      <c r="K816" s="398"/>
      <c r="L816" s="404"/>
      <c r="M816" s="399"/>
    </row>
    <row r="817" spans="5:13" ht="25.5" hidden="1" x14ac:dyDescent="0.2">
      <c r="F817" s="503" t="s">
        <v>259</v>
      </c>
      <c r="G817" s="504" t="s">
        <v>260</v>
      </c>
      <c r="H817" s="397"/>
      <c r="I817" s="397"/>
      <c r="J817" s="750" t="e">
        <f t="shared" si="10"/>
        <v>#DIV/0!</v>
      </c>
      <c r="K817" s="398"/>
      <c r="L817" s="404"/>
      <c r="M817" s="399"/>
    </row>
    <row r="818" spans="5:13" ht="25.5" hidden="1" x14ac:dyDescent="0.2">
      <c r="F818" s="503" t="s">
        <v>261</v>
      </c>
      <c r="G818" s="504" t="s">
        <v>262</v>
      </c>
      <c r="H818" s="397"/>
      <c r="I818" s="397"/>
      <c r="J818" s="750" t="e">
        <f t="shared" si="10"/>
        <v>#DIV/0!</v>
      </c>
      <c r="K818" s="398"/>
      <c r="L818" s="404"/>
      <c r="M818" s="399"/>
    </row>
    <row r="819" spans="5:13" hidden="1" x14ac:dyDescent="0.2">
      <c r="F819" s="503" t="s">
        <v>263</v>
      </c>
      <c r="G819" s="504" t="s">
        <v>264</v>
      </c>
      <c r="H819" s="403"/>
      <c r="I819" s="403"/>
      <c r="J819" s="750" t="e">
        <f t="shared" si="10"/>
        <v>#DIV/0!</v>
      </c>
      <c r="K819" s="404"/>
      <c r="L819" s="404"/>
      <c r="M819" s="399"/>
    </row>
    <row r="820" spans="5:13" ht="13.5" hidden="1" thickBot="1" x14ac:dyDescent="0.25">
      <c r="G820" s="505" t="s">
        <v>4285</v>
      </c>
      <c r="H820" s="405">
        <f>SUM(H804:H819)</f>
        <v>0</v>
      </c>
      <c r="I820" s="405"/>
      <c r="J820" s="750" t="e">
        <f t="shared" si="10"/>
        <v>#DIV/0!</v>
      </c>
      <c r="K820" s="406">
        <f>SUM(K805:K819)</f>
        <v>0</v>
      </c>
      <c r="L820" s="406"/>
      <c r="M820" s="399"/>
    </row>
    <row r="821" spans="5:13" ht="25.5" hidden="1" collapsed="1" x14ac:dyDescent="0.2">
      <c r="E821" s="500"/>
      <c r="F821" s="498"/>
      <c r="G821" s="506" t="s">
        <v>4286</v>
      </c>
      <c r="H821" s="407"/>
      <c r="I821" s="408"/>
      <c r="J821" s="750" t="e">
        <f t="shared" si="10"/>
        <v>#DIV/0!</v>
      </c>
      <c r="K821" s="409"/>
      <c r="L821" s="410"/>
      <c r="M821" s="399"/>
    </row>
    <row r="822" spans="5:13" hidden="1" x14ac:dyDescent="0.2">
      <c r="E822" s="502"/>
      <c r="F822" s="503" t="s">
        <v>234</v>
      </c>
      <c r="G822" s="504" t="s">
        <v>235</v>
      </c>
      <c r="H822" s="403">
        <f>SUM(H743:H802)</f>
        <v>0</v>
      </c>
      <c r="I822" s="403"/>
      <c r="J822" s="750" t="e">
        <f t="shared" si="10"/>
        <v>#DIV/0!</v>
      </c>
      <c r="K822" s="404"/>
      <c r="L822" s="404"/>
      <c r="M822" s="399"/>
    </row>
    <row r="823" spans="5:13" hidden="1" x14ac:dyDescent="0.2">
      <c r="F823" s="503" t="s">
        <v>236</v>
      </c>
      <c r="G823" s="504" t="s">
        <v>237</v>
      </c>
      <c r="H823" s="397"/>
      <c r="I823" s="397"/>
      <c r="J823" s="750" t="e">
        <f t="shared" si="10"/>
        <v>#DIV/0!</v>
      </c>
      <c r="K823" s="398"/>
      <c r="L823" s="404"/>
      <c r="M823" s="399"/>
    </row>
    <row r="824" spans="5:13" hidden="1" x14ac:dyDescent="0.2">
      <c r="F824" s="503" t="s">
        <v>238</v>
      </c>
      <c r="G824" s="504" t="s">
        <v>239</v>
      </c>
      <c r="H824" s="397"/>
      <c r="I824" s="397"/>
      <c r="J824" s="750" t="e">
        <f t="shared" si="10"/>
        <v>#DIV/0!</v>
      </c>
      <c r="K824" s="398"/>
      <c r="L824" s="404"/>
      <c r="M824" s="399"/>
    </row>
    <row r="825" spans="5:13" hidden="1" x14ac:dyDescent="0.2">
      <c r="F825" s="503" t="s">
        <v>240</v>
      </c>
      <c r="G825" s="504" t="s">
        <v>241</v>
      </c>
      <c r="H825" s="397"/>
      <c r="I825" s="397"/>
      <c r="J825" s="750" t="e">
        <f t="shared" si="10"/>
        <v>#DIV/0!</v>
      </c>
      <c r="K825" s="398"/>
      <c r="L825" s="404"/>
      <c r="M825" s="399"/>
    </row>
    <row r="826" spans="5:13" hidden="1" x14ac:dyDescent="0.2">
      <c r="F826" s="503" t="s">
        <v>242</v>
      </c>
      <c r="G826" s="504" t="s">
        <v>243</v>
      </c>
      <c r="H826" s="397"/>
      <c r="I826" s="397"/>
      <c r="J826" s="750" t="e">
        <f t="shared" si="10"/>
        <v>#DIV/0!</v>
      </c>
      <c r="K826" s="398"/>
      <c r="L826" s="404"/>
      <c r="M826" s="399"/>
    </row>
    <row r="827" spans="5:13" hidden="1" x14ac:dyDescent="0.2">
      <c r="F827" s="503" t="s">
        <v>244</v>
      </c>
      <c r="G827" s="504" t="s">
        <v>245</v>
      </c>
      <c r="H827" s="397"/>
      <c r="I827" s="397"/>
      <c r="J827" s="750" t="e">
        <f t="shared" si="10"/>
        <v>#DIV/0!</v>
      </c>
      <c r="K827" s="398"/>
      <c r="L827" s="404"/>
      <c r="M827" s="399"/>
    </row>
    <row r="828" spans="5:13" hidden="1" x14ac:dyDescent="0.2">
      <c r="F828" s="503" t="s">
        <v>246</v>
      </c>
      <c r="G828" s="504" t="s">
        <v>247</v>
      </c>
      <c r="H828" s="397"/>
      <c r="I828" s="397"/>
      <c r="J828" s="750" t="e">
        <f t="shared" si="10"/>
        <v>#DIV/0!</v>
      </c>
      <c r="K828" s="398"/>
      <c r="L828" s="404"/>
      <c r="M828" s="399"/>
    </row>
    <row r="829" spans="5:13" ht="25.5" hidden="1" x14ac:dyDescent="0.2">
      <c r="F829" s="503" t="s">
        <v>248</v>
      </c>
      <c r="G829" s="504" t="s">
        <v>249</v>
      </c>
      <c r="H829" s="397"/>
      <c r="I829" s="397"/>
      <c r="J829" s="750" t="e">
        <f t="shared" si="10"/>
        <v>#DIV/0!</v>
      </c>
      <c r="K829" s="398"/>
      <c r="L829" s="404"/>
      <c r="M829" s="399"/>
    </row>
    <row r="830" spans="5:13" hidden="1" x14ac:dyDescent="0.2">
      <c r="F830" s="503" t="s">
        <v>250</v>
      </c>
      <c r="G830" s="504" t="s">
        <v>57</v>
      </c>
      <c r="H830" s="397"/>
      <c r="I830" s="397"/>
      <c r="J830" s="750" t="e">
        <f t="shared" si="10"/>
        <v>#DIV/0!</v>
      </c>
      <c r="K830" s="398"/>
      <c r="L830" s="404"/>
      <c r="M830" s="399"/>
    </row>
    <row r="831" spans="5:13" hidden="1" x14ac:dyDescent="0.2">
      <c r="F831" s="503" t="s">
        <v>251</v>
      </c>
      <c r="G831" s="504" t="s">
        <v>252</v>
      </c>
      <c r="H831" s="397"/>
      <c r="I831" s="397"/>
      <c r="J831" s="750" t="e">
        <f t="shared" si="10"/>
        <v>#DIV/0!</v>
      </c>
      <c r="K831" s="398"/>
      <c r="L831" s="404"/>
      <c r="M831" s="399"/>
    </row>
    <row r="832" spans="5:13" hidden="1" x14ac:dyDescent="0.2">
      <c r="F832" s="503" t="s">
        <v>253</v>
      </c>
      <c r="G832" s="504" t="s">
        <v>254</v>
      </c>
      <c r="H832" s="397"/>
      <c r="I832" s="397"/>
      <c r="J832" s="750" t="e">
        <f t="shared" si="10"/>
        <v>#DIV/0!</v>
      </c>
      <c r="K832" s="398"/>
      <c r="L832" s="404"/>
      <c r="M832" s="399"/>
    </row>
    <row r="833" spans="5:13" ht="25.5" hidden="1" x14ac:dyDescent="0.2">
      <c r="F833" s="503" t="s">
        <v>255</v>
      </c>
      <c r="G833" s="504" t="s">
        <v>256</v>
      </c>
      <c r="H833" s="397"/>
      <c r="I833" s="397"/>
      <c r="J833" s="750" t="e">
        <f t="shared" si="10"/>
        <v>#DIV/0!</v>
      </c>
      <c r="K833" s="398"/>
      <c r="L833" s="404"/>
      <c r="M833" s="399"/>
    </row>
    <row r="834" spans="5:13" ht="25.5" hidden="1" x14ac:dyDescent="0.2">
      <c r="F834" s="503" t="s">
        <v>257</v>
      </c>
      <c r="G834" s="504" t="s">
        <v>258</v>
      </c>
      <c r="H834" s="397"/>
      <c r="I834" s="397"/>
      <c r="J834" s="750" t="e">
        <f t="shared" si="10"/>
        <v>#DIV/0!</v>
      </c>
      <c r="K834" s="398"/>
      <c r="L834" s="404"/>
      <c r="M834" s="399"/>
    </row>
    <row r="835" spans="5:13" ht="25.5" hidden="1" x14ac:dyDescent="0.2">
      <c r="F835" s="503" t="s">
        <v>259</v>
      </c>
      <c r="G835" s="504" t="s">
        <v>260</v>
      </c>
      <c r="H835" s="397"/>
      <c r="I835" s="397"/>
      <c r="J835" s="750" t="e">
        <f t="shared" si="10"/>
        <v>#DIV/0!</v>
      </c>
      <c r="K835" s="398"/>
      <c r="L835" s="404"/>
      <c r="M835" s="399"/>
    </row>
    <row r="836" spans="5:13" ht="25.5" hidden="1" x14ac:dyDescent="0.2">
      <c r="F836" s="503" t="s">
        <v>261</v>
      </c>
      <c r="G836" s="504" t="s">
        <v>262</v>
      </c>
      <c r="H836" s="397"/>
      <c r="I836" s="397"/>
      <c r="J836" s="750" t="e">
        <f t="shared" si="10"/>
        <v>#DIV/0!</v>
      </c>
      <c r="K836" s="398"/>
      <c r="L836" s="404"/>
      <c r="M836" s="399"/>
    </row>
    <row r="837" spans="5:13" hidden="1" x14ac:dyDescent="0.2">
      <c r="F837" s="503" t="s">
        <v>263</v>
      </c>
      <c r="G837" s="504" t="s">
        <v>264</v>
      </c>
      <c r="H837" s="403"/>
      <c r="I837" s="403"/>
      <c r="J837" s="750" t="e">
        <f t="shared" si="10"/>
        <v>#DIV/0!</v>
      </c>
      <c r="K837" s="404"/>
      <c r="L837" s="404"/>
      <c r="M837" s="399"/>
    </row>
    <row r="838" spans="5:13" ht="13.5" hidden="1" collapsed="1" thickBot="1" x14ac:dyDescent="0.25">
      <c r="G838" s="505" t="s">
        <v>4287</v>
      </c>
      <c r="H838" s="405">
        <f>SUM(H822:H837)</f>
        <v>0</v>
      </c>
      <c r="I838" s="405"/>
      <c r="J838" s="750" t="e">
        <f t="shared" si="10"/>
        <v>#DIV/0!</v>
      </c>
      <c r="K838" s="406">
        <f>SUM(K823:K837)</f>
        <v>0</v>
      </c>
      <c r="L838" s="406"/>
      <c r="M838" s="399"/>
    </row>
    <row r="839" spans="5:13" hidden="1" x14ac:dyDescent="0.2">
      <c r="H839" s="397"/>
      <c r="I839" s="397"/>
      <c r="J839" s="750" t="e">
        <f t="shared" si="10"/>
        <v>#DIV/0!</v>
      </c>
      <c r="K839" s="398"/>
      <c r="L839" s="398"/>
      <c r="M839" s="399"/>
    </row>
    <row r="840" spans="5:13" hidden="1" x14ac:dyDescent="0.2">
      <c r="E840" s="500"/>
      <c r="F840" s="498"/>
      <c r="G840" s="511" t="s">
        <v>4203</v>
      </c>
      <c r="H840" s="413"/>
      <c r="I840" s="413"/>
      <c r="J840" s="750" t="e">
        <f t="shared" si="10"/>
        <v>#DIV/0!</v>
      </c>
      <c r="K840" s="414"/>
      <c r="L840" s="415"/>
      <c r="M840" s="399"/>
    </row>
    <row r="841" spans="5:13" hidden="1" x14ac:dyDescent="0.2">
      <c r="E841" s="502"/>
      <c r="F841" s="503" t="s">
        <v>234</v>
      </c>
      <c r="G841" s="504" t="s">
        <v>235</v>
      </c>
      <c r="H841" s="403">
        <f>SUM(H822)</f>
        <v>0</v>
      </c>
      <c r="I841" s="403"/>
      <c r="J841" s="750" t="e">
        <f t="shared" si="10"/>
        <v>#DIV/0!</v>
      </c>
      <c r="K841" s="404"/>
      <c r="L841" s="404"/>
      <c r="M841" s="399"/>
    </row>
    <row r="842" spans="5:13" hidden="1" x14ac:dyDescent="0.2">
      <c r="F842" s="503" t="s">
        <v>236</v>
      </c>
      <c r="G842" s="504" t="s">
        <v>237</v>
      </c>
      <c r="H842" s="397"/>
      <c r="I842" s="397"/>
      <c r="J842" s="750" t="e">
        <f t="shared" si="10"/>
        <v>#DIV/0!</v>
      </c>
      <c r="K842" s="398"/>
      <c r="L842" s="404"/>
      <c r="M842" s="399"/>
    </row>
    <row r="843" spans="5:13" hidden="1" x14ac:dyDescent="0.2">
      <c r="F843" s="503" t="s">
        <v>238</v>
      </c>
      <c r="G843" s="504" t="s">
        <v>239</v>
      </c>
      <c r="H843" s="397"/>
      <c r="I843" s="397"/>
      <c r="J843" s="750" t="e">
        <f t="shared" si="10"/>
        <v>#DIV/0!</v>
      </c>
      <c r="K843" s="398"/>
      <c r="L843" s="404"/>
      <c r="M843" s="399"/>
    </row>
    <row r="844" spans="5:13" hidden="1" x14ac:dyDescent="0.2">
      <c r="F844" s="503" t="s">
        <v>240</v>
      </c>
      <c r="G844" s="504" t="s">
        <v>241</v>
      </c>
      <c r="H844" s="397"/>
      <c r="I844" s="397"/>
      <c r="J844" s="750" t="e">
        <f t="shared" si="10"/>
        <v>#DIV/0!</v>
      </c>
      <c r="K844" s="398"/>
      <c r="L844" s="404"/>
      <c r="M844" s="399"/>
    </row>
    <row r="845" spans="5:13" hidden="1" x14ac:dyDescent="0.2">
      <c r="F845" s="503" t="s">
        <v>242</v>
      </c>
      <c r="G845" s="504" t="s">
        <v>243</v>
      </c>
      <c r="H845" s="397"/>
      <c r="I845" s="397"/>
      <c r="J845" s="750" t="e">
        <f t="shared" ref="J845:J897" si="11">SUM(I845/H845)*100</f>
        <v>#DIV/0!</v>
      </c>
      <c r="K845" s="398"/>
      <c r="L845" s="404"/>
      <c r="M845" s="399"/>
    </row>
    <row r="846" spans="5:13" hidden="1" x14ac:dyDescent="0.2">
      <c r="F846" s="503" t="s">
        <v>244</v>
      </c>
      <c r="G846" s="504" t="s">
        <v>245</v>
      </c>
      <c r="H846" s="397"/>
      <c r="I846" s="397"/>
      <c r="J846" s="750" t="e">
        <f t="shared" si="11"/>
        <v>#DIV/0!</v>
      </c>
      <c r="K846" s="398"/>
      <c r="L846" s="404"/>
      <c r="M846" s="399"/>
    </row>
    <row r="847" spans="5:13" hidden="1" x14ac:dyDescent="0.2">
      <c r="F847" s="503" t="s">
        <v>246</v>
      </c>
      <c r="G847" s="504" t="s">
        <v>247</v>
      </c>
      <c r="H847" s="397"/>
      <c r="I847" s="397"/>
      <c r="J847" s="750" t="e">
        <f t="shared" si="11"/>
        <v>#DIV/0!</v>
      </c>
      <c r="K847" s="398"/>
      <c r="L847" s="404"/>
      <c r="M847" s="399"/>
    </row>
    <row r="848" spans="5:13" ht="25.5" hidden="1" x14ac:dyDescent="0.2">
      <c r="F848" s="503" t="s">
        <v>248</v>
      </c>
      <c r="G848" s="504" t="s">
        <v>249</v>
      </c>
      <c r="H848" s="397"/>
      <c r="I848" s="397"/>
      <c r="J848" s="750" t="e">
        <f t="shared" si="11"/>
        <v>#DIV/0!</v>
      </c>
      <c r="K848" s="398"/>
      <c r="L848" s="404"/>
      <c r="M848" s="399"/>
    </row>
    <row r="849" spans="5:13" hidden="1" x14ac:dyDescent="0.2">
      <c r="F849" s="503" t="s">
        <v>250</v>
      </c>
      <c r="G849" s="504" t="s">
        <v>57</v>
      </c>
      <c r="H849" s="397"/>
      <c r="I849" s="397"/>
      <c r="J849" s="750" t="e">
        <f t="shared" si="11"/>
        <v>#DIV/0!</v>
      </c>
      <c r="K849" s="398"/>
      <c r="L849" s="404"/>
      <c r="M849" s="399"/>
    </row>
    <row r="850" spans="5:13" hidden="1" x14ac:dyDescent="0.2">
      <c r="F850" s="503" t="s">
        <v>251</v>
      </c>
      <c r="G850" s="504" t="s">
        <v>252</v>
      </c>
      <c r="H850" s="397"/>
      <c r="I850" s="397"/>
      <c r="J850" s="750" t="e">
        <f t="shared" si="11"/>
        <v>#DIV/0!</v>
      </c>
      <c r="K850" s="398"/>
      <c r="L850" s="404"/>
      <c r="M850" s="399"/>
    </row>
    <row r="851" spans="5:13" hidden="1" x14ac:dyDescent="0.2">
      <c r="F851" s="503" t="s">
        <v>253</v>
      </c>
      <c r="G851" s="504" t="s">
        <v>254</v>
      </c>
      <c r="H851" s="397"/>
      <c r="I851" s="397"/>
      <c r="J851" s="750" t="e">
        <f t="shared" si="11"/>
        <v>#DIV/0!</v>
      </c>
      <c r="K851" s="398"/>
      <c r="L851" s="404"/>
      <c r="M851" s="399"/>
    </row>
    <row r="852" spans="5:13" ht="25.5" hidden="1" x14ac:dyDescent="0.2">
      <c r="F852" s="503" t="s">
        <v>255</v>
      </c>
      <c r="G852" s="504" t="s">
        <v>256</v>
      </c>
      <c r="H852" s="397"/>
      <c r="I852" s="397"/>
      <c r="J852" s="750" t="e">
        <f t="shared" si="11"/>
        <v>#DIV/0!</v>
      </c>
      <c r="K852" s="398"/>
      <c r="L852" s="404"/>
      <c r="M852" s="399"/>
    </row>
    <row r="853" spans="5:13" ht="25.5" hidden="1" x14ac:dyDescent="0.2">
      <c r="F853" s="503" t="s">
        <v>257</v>
      </c>
      <c r="G853" s="504" t="s">
        <v>258</v>
      </c>
      <c r="H853" s="397"/>
      <c r="I853" s="397"/>
      <c r="J853" s="750" t="e">
        <f t="shared" si="11"/>
        <v>#DIV/0!</v>
      </c>
      <c r="K853" s="398"/>
      <c r="L853" s="404"/>
      <c r="M853" s="399"/>
    </row>
    <row r="854" spans="5:13" ht="25.5" hidden="1" x14ac:dyDescent="0.2">
      <c r="F854" s="503" t="s">
        <v>259</v>
      </c>
      <c r="G854" s="504" t="s">
        <v>260</v>
      </c>
      <c r="H854" s="397"/>
      <c r="I854" s="397"/>
      <c r="J854" s="750" t="e">
        <f t="shared" si="11"/>
        <v>#DIV/0!</v>
      </c>
      <c r="K854" s="398"/>
      <c r="L854" s="404"/>
      <c r="M854" s="399"/>
    </row>
    <row r="855" spans="5:13" ht="25.5" hidden="1" x14ac:dyDescent="0.2">
      <c r="F855" s="503" t="s">
        <v>261</v>
      </c>
      <c r="G855" s="504" t="s">
        <v>262</v>
      </c>
      <c r="H855" s="397"/>
      <c r="I855" s="397"/>
      <c r="J855" s="750" t="e">
        <f t="shared" si="11"/>
        <v>#DIV/0!</v>
      </c>
      <c r="K855" s="398"/>
      <c r="L855" s="404"/>
      <c r="M855" s="399"/>
    </row>
    <row r="856" spans="5:13" hidden="1" x14ac:dyDescent="0.2">
      <c r="F856" s="503" t="s">
        <v>263</v>
      </c>
      <c r="G856" s="504" t="s">
        <v>264</v>
      </c>
      <c r="H856" s="403"/>
      <c r="I856" s="403"/>
      <c r="J856" s="750" t="e">
        <f t="shared" si="11"/>
        <v>#DIV/0!</v>
      </c>
      <c r="K856" s="404"/>
      <c r="L856" s="404"/>
      <c r="M856" s="399"/>
    </row>
    <row r="857" spans="5:13" ht="13.5" hidden="1" thickBot="1" x14ac:dyDescent="0.25">
      <c r="G857" s="505" t="s">
        <v>4204</v>
      </c>
      <c r="H857" s="405">
        <f>SUM(H841:H856)</f>
        <v>0</v>
      </c>
      <c r="I857" s="405"/>
      <c r="J857" s="750" t="e">
        <f t="shared" si="11"/>
        <v>#DIV/0!</v>
      </c>
      <c r="K857" s="406">
        <f>SUM(K842:K856)</f>
        <v>0</v>
      </c>
      <c r="L857" s="406"/>
      <c r="M857" s="399"/>
    </row>
    <row r="858" spans="5:13" hidden="1" x14ac:dyDescent="0.2">
      <c r="H858" s="397"/>
      <c r="I858" s="397"/>
      <c r="J858" s="750" t="e">
        <f t="shared" si="11"/>
        <v>#DIV/0!</v>
      </c>
      <c r="K858" s="398"/>
      <c r="L858" s="398"/>
      <c r="M858" s="399"/>
    </row>
    <row r="859" spans="5:13" hidden="1" x14ac:dyDescent="0.2">
      <c r="E859" s="500"/>
      <c r="F859" s="498"/>
      <c r="G859" s="511" t="s">
        <v>4206</v>
      </c>
      <c r="H859" s="413"/>
      <c r="I859" s="413"/>
      <c r="J859" s="750" t="e">
        <f t="shared" si="11"/>
        <v>#DIV/0!</v>
      </c>
      <c r="K859" s="414"/>
      <c r="L859" s="415"/>
      <c r="M859" s="399"/>
    </row>
    <row r="860" spans="5:13" hidden="1" x14ac:dyDescent="0.2">
      <c r="E860" s="502"/>
      <c r="F860" s="503" t="s">
        <v>234</v>
      </c>
      <c r="G860" s="504" t="s">
        <v>235</v>
      </c>
      <c r="H860" s="403">
        <f>SUM(H841)</f>
        <v>0</v>
      </c>
      <c r="I860" s="403"/>
      <c r="J860" s="750" t="e">
        <f t="shared" si="11"/>
        <v>#DIV/0!</v>
      </c>
      <c r="K860" s="404"/>
      <c r="L860" s="404"/>
      <c r="M860" s="399"/>
    </row>
    <row r="861" spans="5:13" hidden="1" x14ac:dyDescent="0.2">
      <c r="F861" s="503" t="s">
        <v>236</v>
      </c>
      <c r="G861" s="504" t="s">
        <v>237</v>
      </c>
      <c r="H861" s="397"/>
      <c r="I861" s="397"/>
      <c r="J861" s="750" t="e">
        <f t="shared" si="11"/>
        <v>#DIV/0!</v>
      </c>
      <c r="K861" s="398"/>
      <c r="L861" s="404"/>
      <c r="M861" s="399"/>
    </row>
    <row r="862" spans="5:13" hidden="1" x14ac:dyDescent="0.2">
      <c r="F862" s="503" t="s">
        <v>238</v>
      </c>
      <c r="G862" s="504" t="s">
        <v>239</v>
      </c>
      <c r="H862" s="397"/>
      <c r="I862" s="397"/>
      <c r="J862" s="750" t="e">
        <f t="shared" si="11"/>
        <v>#DIV/0!</v>
      </c>
      <c r="K862" s="398"/>
      <c r="L862" s="404"/>
      <c r="M862" s="399"/>
    </row>
    <row r="863" spans="5:13" hidden="1" x14ac:dyDescent="0.2">
      <c r="F863" s="503" t="s">
        <v>240</v>
      </c>
      <c r="G863" s="504" t="s">
        <v>241</v>
      </c>
      <c r="H863" s="397"/>
      <c r="I863" s="397"/>
      <c r="J863" s="750" t="e">
        <f t="shared" si="11"/>
        <v>#DIV/0!</v>
      </c>
      <c r="K863" s="398"/>
      <c r="L863" s="404"/>
      <c r="M863" s="399"/>
    </row>
    <row r="864" spans="5:13" hidden="1" x14ac:dyDescent="0.2">
      <c r="F864" s="503" t="s">
        <v>242</v>
      </c>
      <c r="G864" s="504" t="s">
        <v>243</v>
      </c>
      <c r="H864" s="397"/>
      <c r="I864" s="397"/>
      <c r="J864" s="750" t="e">
        <f t="shared" si="11"/>
        <v>#DIV/0!</v>
      </c>
      <c r="K864" s="398"/>
      <c r="L864" s="404"/>
      <c r="M864" s="399"/>
    </row>
    <row r="865" spans="5:13" hidden="1" x14ac:dyDescent="0.2">
      <c r="F865" s="503" t="s">
        <v>244</v>
      </c>
      <c r="G865" s="504" t="s">
        <v>245</v>
      </c>
      <c r="H865" s="397"/>
      <c r="I865" s="397"/>
      <c r="J865" s="750" t="e">
        <f t="shared" si="11"/>
        <v>#DIV/0!</v>
      </c>
      <c r="K865" s="398"/>
      <c r="L865" s="404"/>
      <c r="M865" s="399"/>
    </row>
    <row r="866" spans="5:13" hidden="1" x14ac:dyDescent="0.2">
      <c r="F866" s="503" t="s">
        <v>246</v>
      </c>
      <c r="G866" s="504" t="s">
        <v>247</v>
      </c>
      <c r="H866" s="397"/>
      <c r="I866" s="397"/>
      <c r="J866" s="750" t="e">
        <f t="shared" si="11"/>
        <v>#DIV/0!</v>
      </c>
      <c r="K866" s="398"/>
      <c r="L866" s="404"/>
      <c r="M866" s="399"/>
    </row>
    <row r="867" spans="5:13" ht="25.5" hidden="1" x14ac:dyDescent="0.2">
      <c r="F867" s="503" t="s">
        <v>248</v>
      </c>
      <c r="G867" s="504" t="s">
        <v>249</v>
      </c>
      <c r="H867" s="397"/>
      <c r="I867" s="397"/>
      <c r="J867" s="750" t="e">
        <f t="shared" si="11"/>
        <v>#DIV/0!</v>
      </c>
      <c r="K867" s="398"/>
      <c r="L867" s="404"/>
      <c r="M867" s="399"/>
    </row>
    <row r="868" spans="5:13" hidden="1" x14ac:dyDescent="0.2">
      <c r="F868" s="503" t="s">
        <v>250</v>
      </c>
      <c r="G868" s="504" t="s">
        <v>57</v>
      </c>
      <c r="H868" s="397"/>
      <c r="I868" s="397"/>
      <c r="J868" s="750" t="e">
        <f t="shared" si="11"/>
        <v>#DIV/0!</v>
      </c>
      <c r="K868" s="398"/>
      <c r="L868" s="404"/>
      <c r="M868" s="399"/>
    </row>
    <row r="869" spans="5:13" hidden="1" x14ac:dyDescent="0.2">
      <c r="F869" s="503" t="s">
        <v>251</v>
      </c>
      <c r="G869" s="504" t="s">
        <v>252</v>
      </c>
      <c r="H869" s="397"/>
      <c r="I869" s="397"/>
      <c r="J869" s="750" t="e">
        <f t="shared" si="11"/>
        <v>#DIV/0!</v>
      </c>
      <c r="K869" s="398"/>
      <c r="L869" s="404"/>
      <c r="M869" s="399"/>
    </row>
    <row r="870" spans="5:13" hidden="1" x14ac:dyDescent="0.2">
      <c r="F870" s="503" t="s">
        <v>253</v>
      </c>
      <c r="G870" s="504" t="s">
        <v>254</v>
      </c>
      <c r="H870" s="397"/>
      <c r="I870" s="397"/>
      <c r="J870" s="750" t="e">
        <f t="shared" si="11"/>
        <v>#DIV/0!</v>
      </c>
      <c r="K870" s="398"/>
      <c r="L870" s="404"/>
      <c r="M870" s="399"/>
    </row>
    <row r="871" spans="5:13" ht="25.5" hidden="1" x14ac:dyDescent="0.2">
      <c r="F871" s="503" t="s">
        <v>255</v>
      </c>
      <c r="G871" s="504" t="s">
        <v>256</v>
      </c>
      <c r="H871" s="397"/>
      <c r="I871" s="397"/>
      <c r="J871" s="750" t="e">
        <f t="shared" si="11"/>
        <v>#DIV/0!</v>
      </c>
      <c r="K871" s="398"/>
      <c r="L871" s="404"/>
      <c r="M871" s="399"/>
    </row>
    <row r="872" spans="5:13" ht="25.5" hidden="1" x14ac:dyDescent="0.2">
      <c r="F872" s="503" t="s">
        <v>257</v>
      </c>
      <c r="G872" s="504" t="s">
        <v>258</v>
      </c>
      <c r="H872" s="397"/>
      <c r="I872" s="397"/>
      <c r="J872" s="750" t="e">
        <f t="shared" si="11"/>
        <v>#DIV/0!</v>
      </c>
      <c r="K872" s="398"/>
      <c r="L872" s="404"/>
      <c r="M872" s="399"/>
    </row>
    <row r="873" spans="5:13" ht="25.5" hidden="1" x14ac:dyDescent="0.2">
      <c r="F873" s="503" t="s">
        <v>259</v>
      </c>
      <c r="G873" s="504" t="s">
        <v>260</v>
      </c>
      <c r="H873" s="397"/>
      <c r="I873" s="397"/>
      <c r="J873" s="750" t="e">
        <f t="shared" si="11"/>
        <v>#DIV/0!</v>
      </c>
      <c r="K873" s="398"/>
      <c r="L873" s="404"/>
      <c r="M873" s="399"/>
    </row>
    <row r="874" spans="5:13" ht="25.5" hidden="1" x14ac:dyDescent="0.2">
      <c r="F874" s="503" t="s">
        <v>261</v>
      </c>
      <c r="G874" s="504" t="s">
        <v>262</v>
      </c>
      <c r="H874" s="397"/>
      <c r="I874" s="397"/>
      <c r="J874" s="750" t="e">
        <f t="shared" si="11"/>
        <v>#DIV/0!</v>
      </c>
      <c r="K874" s="398"/>
      <c r="L874" s="404"/>
      <c r="M874" s="399"/>
    </row>
    <row r="875" spans="5:13" hidden="1" x14ac:dyDescent="0.2">
      <c r="F875" s="503" t="s">
        <v>263</v>
      </c>
      <c r="G875" s="504" t="s">
        <v>264</v>
      </c>
      <c r="H875" s="403"/>
      <c r="I875" s="403"/>
      <c r="J875" s="750" t="e">
        <f t="shared" si="11"/>
        <v>#DIV/0!</v>
      </c>
      <c r="K875" s="404"/>
      <c r="L875" s="404"/>
      <c r="M875" s="399"/>
    </row>
    <row r="876" spans="5:13" ht="13.5" hidden="1" thickBot="1" x14ac:dyDescent="0.25">
      <c r="G876" s="505" t="s">
        <v>4207</v>
      </c>
      <c r="H876" s="405">
        <f>SUM(H860:H875)</f>
        <v>0</v>
      </c>
      <c r="I876" s="405"/>
      <c r="J876" s="750" t="e">
        <f t="shared" si="11"/>
        <v>#DIV/0!</v>
      </c>
      <c r="K876" s="406">
        <f>SUM(K861:K875)</f>
        <v>0</v>
      </c>
      <c r="L876" s="406"/>
      <c r="M876" s="399"/>
    </row>
    <row r="877" spans="5:13" hidden="1" x14ac:dyDescent="0.2">
      <c r="H877" s="397"/>
      <c r="I877" s="397"/>
      <c r="J877" s="750" t="e">
        <f t="shared" si="11"/>
        <v>#DIV/0!</v>
      </c>
      <c r="K877" s="398"/>
      <c r="L877" s="398"/>
      <c r="M877" s="399"/>
    </row>
    <row r="878" spans="5:13" hidden="1" x14ac:dyDescent="0.2">
      <c r="E878" s="500"/>
      <c r="F878" s="498"/>
      <c r="G878" s="511" t="s">
        <v>4213</v>
      </c>
      <c r="H878" s="413"/>
      <c r="I878" s="413"/>
      <c r="J878" s="750" t="e">
        <f t="shared" si="11"/>
        <v>#DIV/0!</v>
      </c>
      <c r="K878" s="414"/>
      <c r="L878" s="415"/>
      <c r="M878" s="399"/>
    </row>
    <row r="879" spans="5:13" hidden="1" x14ac:dyDescent="0.2">
      <c r="E879" s="502"/>
      <c r="F879" s="503" t="s">
        <v>234</v>
      </c>
      <c r="G879" s="504" t="s">
        <v>235</v>
      </c>
      <c r="H879" s="403">
        <f>SUM(H860)</f>
        <v>0</v>
      </c>
      <c r="I879" s="403"/>
      <c r="J879" s="750" t="e">
        <f t="shared" si="11"/>
        <v>#DIV/0!</v>
      </c>
      <c r="K879" s="404"/>
      <c r="L879" s="404"/>
      <c r="M879" s="399"/>
    </row>
    <row r="880" spans="5:13" hidden="1" x14ac:dyDescent="0.2">
      <c r="F880" s="503" t="s">
        <v>236</v>
      </c>
      <c r="G880" s="504" t="s">
        <v>237</v>
      </c>
      <c r="H880" s="397"/>
      <c r="I880" s="397"/>
      <c r="J880" s="750" t="e">
        <f t="shared" si="11"/>
        <v>#DIV/0!</v>
      </c>
      <c r="K880" s="398"/>
      <c r="L880" s="404"/>
      <c r="M880" s="399"/>
    </row>
    <row r="881" spans="6:13" hidden="1" x14ac:dyDescent="0.2">
      <c r="F881" s="503" t="s">
        <v>238</v>
      </c>
      <c r="G881" s="504" t="s">
        <v>239</v>
      </c>
      <c r="H881" s="397"/>
      <c r="I881" s="397"/>
      <c r="J881" s="750" t="e">
        <f t="shared" si="11"/>
        <v>#DIV/0!</v>
      </c>
      <c r="K881" s="398"/>
      <c r="L881" s="404"/>
      <c r="M881" s="399"/>
    </row>
    <row r="882" spans="6:13" hidden="1" x14ac:dyDescent="0.2">
      <c r="F882" s="503" t="s">
        <v>240</v>
      </c>
      <c r="G882" s="504" t="s">
        <v>241</v>
      </c>
      <c r="H882" s="397"/>
      <c r="I882" s="397"/>
      <c r="J882" s="750" t="e">
        <f t="shared" si="11"/>
        <v>#DIV/0!</v>
      </c>
      <c r="K882" s="398"/>
      <c r="L882" s="404"/>
      <c r="M882" s="399"/>
    </row>
    <row r="883" spans="6:13" hidden="1" x14ac:dyDescent="0.2">
      <c r="F883" s="503" t="s">
        <v>242</v>
      </c>
      <c r="G883" s="504" t="s">
        <v>243</v>
      </c>
      <c r="H883" s="397"/>
      <c r="I883" s="397"/>
      <c r="J883" s="750" t="e">
        <f t="shared" si="11"/>
        <v>#DIV/0!</v>
      </c>
      <c r="K883" s="398"/>
      <c r="L883" s="404"/>
      <c r="M883" s="399"/>
    </row>
    <row r="884" spans="6:13" hidden="1" x14ac:dyDescent="0.2">
      <c r="F884" s="503" t="s">
        <v>244</v>
      </c>
      <c r="G884" s="504" t="s">
        <v>245</v>
      </c>
      <c r="H884" s="397"/>
      <c r="I884" s="397"/>
      <c r="J884" s="750" t="e">
        <f t="shared" si="11"/>
        <v>#DIV/0!</v>
      </c>
      <c r="K884" s="398"/>
      <c r="L884" s="404"/>
      <c r="M884" s="399"/>
    </row>
    <row r="885" spans="6:13" hidden="1" x14ac:dyDescent="0.2">
      <c r="F885" s="503" t="s">
        <v>246</v>
      </c>
      <c r="G885" s="504" t="s">
        <v>247</v>
      </c>
      <c r="H885" s="397"/>
      <c r="I885" s="397"/>
      <c r="J885" s="750" t="e">
        <f t="shared" si="11"/>
        <v>#DIV/0!</v>
      </c>
      <c r="K885" s="398"/>
      <c r="L885" s="404"/>
      <c r="M885" s="399"/>
    </row>
    <row r="886" spans="6:13" ht="25.5" hidden="1" x14ac:dyDescent="0.2">
      <c r="F886" s="503" t="s">
        <v>248</v>
      </c>
      <c r="G886" s="504" t="s">
        <v>249</v>
      </c>
      <c r="H886" s="397"/>
      <c r="I886" s="397"/>
      <c r="J886" s="750" t="e">
        <f t="shared" si="11"/>
        <v>#DIV/0!</v>
      </c>
      <c r="K886" s="398"/>
      <c r="L886" s="404"/>
      <c r="M886" s="399"/>
    </row>
    <row r="887" spans="6:13" hidden="1" x14ac:dyDescent="0.2">
      <c r="F887" s="503" t="s">
        <v>250</v>
      </c>
      <c r="G887" s="504" t="s">
        <v>57</v>
      </c>
      <c r="H887" s="397"/>
      <c r="I887" s="397"/>
      <c r="J887" s="750" t="e">
        <f t="shared" si="11"/>
        <v>#DIV/0!</v>
      </c>
      <c r="K887" s="398"/>
      <c r="L887" s="404"/>
      <c r="M887" s="399"/>
    </row>
    <row r="888" spans="6:13" hidden="1" x14ac:dyDescent="0.2">
      <c r="F888" s="503" t="s">
        <v>251</v>
      </c>
      <c r="G888" s="504" t="s">
        <v>252</v>
      </c>
      <c r="H888" s="397"/>
      <c r="I888" s="397"/>
      <c r="J888" s="750" t="e">
        <f t="shared" si="11"/>
        <v>#DIV/0!</v>
      </c>
      <c r="K888" s="398"/>
      <c r="L888" s="404"/>
      <c r="M888" s="399"/>
    </row>
    <row r="889" spans="6:13" hidden="1" x14ac:dyDescent="0.2">
      <c r="F889" s="503" t="s">
        <v>253</v>
      </c>
      <c r="G889" s="504" t="s">
        <v>254</v>
      </c>
      <c r="H889" s="397"/>
      <c r="I889" s="397"/>
      <c r="J889" s="750" t="e">
        <f t="shared" si="11"/>
        <v>#DIV/0!</v>
      </c>
      <c r="K889" s="398"/>
      <c r="L889" s="404"/>
      <c r="M889" s="399"/>
    </row>
    <row r="890" spans="6:13" ht="25.5" hidden="1" x14ac:dyDescent="0.2">
      <c r="F890" s="503" t="s">
        <v>255</v>
      </c>
      <c r="G890" s="504" t="s">
        <v>256</v>
      </c>
      <c r="H890" s="397"/>
      <c r="I890" s="397"/>
      <c r="J890" s="750" t="e">
        <f t="shared" si="11"/>
        <v>#DIV/0!</v>
      </c>
      <c r="K890" s="398"/>
      <c r="L890" s="404"/>
      <c r="M890" s="399"/>
    </row>
    <row r="891" spans="6:13" ht="25.5" hidden="1" x14ac:dyDescent="0.2">
      <c r="F891" s="503" t="s">
        <v>257</v>
      </c>
      <c r="G891" s="504" t="s">
        <v>258</v>
      </c>
      <c r="H891" s="397"/>
      <c r="I891" s="397"/>
      <c r="J891" s="750" t="e">
        <f t="shared" si="11"/>
        <v>#DIV/0!</v>
      </c>
      <c r="K891" s="398"/>
      <c r="L891" s="404"/>
      <c r="M891" s="399"/>
    </row>
    <row r="892" spans="6:13" ht="25.5" hidden="1" x14ac:dyDescent="0.2">
      <c r="F892" s="503" t="s">
        <v>259</v>
      </c>
      <c r="G892" s="504" t="s">
        <v>260</v>
      </c>
      <c r="H892" s="397"/>
      <c r="I892" s="397"/>
      <c r="J892" s="750" t="e">
        <f t="shared" si="11"/>
        <v>#DIV/0!</v>
      </c>
      <c r="K892" s="398"/>
      <c r="L892" s="404"/>
      <c r="M892" s="399"/>
    </row>
    <row r="893" spans="6:13" ht="25.5" hidden="1" x14ac:dyDescent="0.2">
      <c r="F893" s="503" t="s">
        <v>261</v>
      </c>
      <c r="G893" s="504" t="s">
        <v>262</v>
      </c>
      <c r="H893" s="397"/>
      <c r="I893" s="397"/>
      <c r="J893" s="750" t="e">
        <f t="shared" si="11"/>
        <v>#DIV/0!</v>
      </c>
      <c r="K893" s="398"/>
      <c r="L893" s="404"/>
      <c r="M893" s="399"/>
    </row>
    <row r="894" spans="6:13" hidden="1" x14ac:dyDescent="0.2">
      <c r="F894" s="503" t="s">
        <v>263</v>
      </c>
      <c r="G894" s="504" t="s">
        <v>264</v>
      </c>
      <c r="H894" s="403"/>
      <c r="I894" s="403"/>
      <c r="J894" s="750" t="e">
        <f t="shared" si="11"/>
        <v>#DIV/0!</v>
      </c>
      <c r="K894" s="404"/>
      <c r="L894" s="404"/>
      <c r="M894" s="399"/>
    </row>
    <row r="895" spans="6:13" ht="13.5" hidden="1" thickBot="1" x14ac:dyDescent="0.25">
      <c r="G895" s="505" t="s">
        <v>4212</v>
      </c>
      <c r="H895" s="405">
        <f>SUM(H879:H894)</f>
        <v>0</v>
      </c>
      <c r="I895" s="405"/>
      <c r="J895" s="750" t="e">
        <f t="shared" si="11"/>
        <v>#DIV/0!</v>
      </c>
      <c r="K895" s="406">
        <f>SUM(K880:K894)</f>
        <v>0</v>
      </c>
      <c r="L895" s="406"/>
      <c r="M895" s="399"/>
    </row>
    <row r="896" spans="6:13" hidden="1" x14ac:dyDescent="0.2">
      <c r="H896" s="397"/>
      <c r="I896" s="397"/>
      <c r="J896" s="750" t="e">
        <f t="shared" si="11"/>
        <v>#DIV/0!</v>
      </c>
      <c r="K896" s="398"/>
      <c r="L896" s="398"/>
      <c r="M896" s="399"/>
    </row>
    <row r="897" spans="1:27" ht="1.5" customHeight="1" x14ac:dyDescent="0.2">
      <c r="H897" s="397"/>
      <c r="I897" s="397"/>
      <c r="J897" s="750" t="e">
        <f t="shared" si="11"/>
        <v>#DIV/0!</v>
      </c>
      <c r="K897" s="398"/>
      <c r="L897" s="398"/>
      <c r="M897" s="399"/>
    </row>
    <row r="898" spans="1:27" x14ac:dyDescent="0.2">
      <c r="A898" s="521">
        <v>3</v>
      </c>
      <c r="B898" s="522">
        <v>3</v>
      </c>
      <c r="C898" s="523"/>
      <c r="D898" s="524"/>
      <c r="E898" s="524"/>
      <c r="F898" s="168"/>
      <c r="G898" s="525" t="s">
        <v>5289</v>
      </c>
      <c r="H898" s="420"/>
      <c r="I898" s="420"/>
      <c r="J898" s="751"/>
      <c r="K898" s="417"/>
      <c r="L898" s="421"/>
      <c r="M898" s="399"/>
    </row>
    <row r="899" spans="1:27" s="530" customFormat="1" hidden="1" x14ac:dyDescent="0.2">
      <c r="A899" s="526"/>
      <c r="B899" s="527"/>
      <c r="C899" s="528" t="s">
        <v>3558</v>
      </c>
      <c r="D899" s="464"/>
      <c r="E899" s="464"/>
      <c r="F899" s="464"/>
      <c r="G899" s="529" t="s">
        <v>4226</v>
      </c>
      <c r="H899" s="422"/>
      <c r="I899" s="422"/>
      <c r="J899" s="750"/>
      <c r="K899" s="423"/>
      <c r="L899" s="424"/>
      <c r="M899" s="399"/>
      <c r="N899" s="171"/>
      <c r="O899" s="171"/>
      <c r="P899" s="171"/>
      <c r="Q899" s="171"/>
      <c r="R899" s="171"/>
      <c r="S899" s="171"/>
      <c r="T899" s="171"/>
      <c r="U899" s="171"/>
      <c r="V899" s="171"/>
      <c r="W899" s="171"/>
      <c r="X899" s="171"/>
      <c r="Y899" s="171"/>
      <c r="Z899" s="171"/>
      <c r="AA899" s="171"/>
    </row>
    <row r="900" spans="1:27" s="530" customFormat="1" hidden="1" x14ac:dyDescent="0.2">
      <c r="A900" s="526"/>
      <c r="B900" s="527"/>
      <c r="C900" s="531" t="s">
        <v>4052</v>
      </c>
      <c r="D900" s="490"/>
      <c r="E900" s="490"/>
      <c r="F900" s="532"/>
      <c r="G900" s="178" t="s">
        <v>4054</v>
      </c>
      <c r="H900" s="422"/>
      <c r="I900" s="422"/>
      <c r="J900" s="750"/>
      <c r="K900" s="423"/>
      <c r="L900" s="424"/>
      <c r="M900" s="399"/>
      <c r="N900" s="171"/>
      <c r="O900" s="171"/>
      <c r="P900" s="171"/>
      <c r="Q900" s="171"/>
      <c r="R900" s="171"/>
      <c r="S900" s="171"/>
      <c r="T900" s="171"/>
      <c r="U900" s="171"/>
      <c r="V900" s="171"/>
      <c r="W900" s="171"/>
      <c r="X900" s="171"/>
      <c r="Y900" s="171"/>
      <c r="Z900" s="171"/>
      <c r="AA900" s="171"/>
    </row>
    <row r="901" spans="1:27" s="530" customFormat="1" hidden="1" x14ac:dyDescent="0.2">
      <c r="A901" s="526"/>
      <c r="B901" s="527"/>
      <c r="C901" s="528"/>
      <c r="D901" s="492">
        <v>620</v>
      </c>
      <c r="E901" s="492"/>
      <c r="F901" s="492"/>
      <c r="G901" s="533" t="s">
        <v>182</v>
      </c>
      <c r="H901" s="422"/>
      <c r="I901" s="422"/>
      <c r="J901" s="750"/>
      <c r="K901" s="423"/>
      <c r="L901" s="424"/>
      <c r="M901" s="399"/>
      <c r="N901" s="171"/>
      <c r="O901" s="171"/>
      <c r="P901" s="171"/>
      <c r="Q901" s="171"/>
      <c r="R901" s="171"/>
      <c r="S901" s="171"/>
      <c r="T901" s="171"/>
      <c r="U901" s="171"/>
      <c r="V901" s="171"/>
      <c r="W901" s="171"/>
      <c r="X901" s="171"/>
      <c r="Y901" s="171"/>
      <c r="Z901" s="171"/>
      <c r="AA901" s="171"/>
    </row>
    <row r="902" spans="1:27" s="530" customFormat="1" hidden="1" x14ac:dyDescent="0.2">
      <c r="A902" s="526"/>
      <c r="B902" s="527"/>
      <c r="C902" s="528"/>
      <c r="D902" s="492"/>
      <c r="E902" s="492"/>
      <c r="F902" s="464">
        <v>411</v>
      </c>
      <c r="G902" s="495" t="s">
        <v>4167</v>
      </c>
      <c r="H902" s="422"/>
      <c r="I902" s="422"/>
      <c r="J902" s="750"/>
      <c r="K902" s="423"/>
      <c r="L902" s="424"/>
      <c r="M902" s="399"/>
      <c r="N902" s="171"/>
      <c r="O902" s="171"/>
      <c r="P902" s="171"/>
      <c r="Q902" s="171"/>
      <c r="R902" s="171"/>
      <c r="S902" s="171"/>
      <c r="T902" s="171"/>
      <c r="U902" s="171"/>
      <c r="V902" s="171"/>
      <c r="W902" s="171"/>
      <c r="X902" s="171"/>
      <c r="Y902" s="171"/>
      <c r="Z902" s="171"/>
      <c r="AA902" s="171"/>
    </row>
    <row r="903" spans="1:27" s="530" customFormat="1" hidden="1" x14ac:dyDescent="0.2">
      <c r="A903" s="526"/>
      <c r="B903" s="527"/>
      <c r="C903" s="528"/>
      <c r="D903" s="492"/>
      <c r="E903" s="492"/>
      <c r="F903" s="464">
        <v>412</v>
      </c>
      <c r="G903" s="496" t="s">
        <v>3764</v>
      </c>
      <c r="H903" s="422"/>
      <c r="I903" s="422"/>
      <c r="J903" s="750"/>
      <c r="K903" s="423"/>
      <c r="L903" s="424"/>
      <c r="M903" s="399"/>
      <c r="N903" s="171"/>
      <c r="O903" s="171"/>
      <c r="P903" s="171"/>
      <c r="Q903" s="171"/>
      <c r="R903" s="171"/>
      <c r="S903" s="171"/>
      <c r="T903" s="171"/>
      <c r="U903" s="171"/>
      <c r="V903" s="171"/>
      <c r="W903" s="171"/>
      <c r="X903" s="171"/>
      <c r="Y903" s="171"/>
      <c r="Z903" s="171"/>
      <c r="AA903" s="171"/>
    </row>
    <row r="904" spans="1:27" s="530" customFormat="1" hidden="1" x14ac:dyDescent="0.2">
      <c r="A904" s="526"/>
      <c r="B904" s="527"/>
      <c r="C904" s="534"/>
      <c r="D904" s="535"/>
      <c r="E904" s="535"/>
      <c r="F904" s="494">
        <v>422</v>
      </c>
      <c r="G904" s="495" t="s">
        <v>3778</v>
      </c>
      <c r="H904" s="422"/>
      <c r="I904" s="422"/>
      <c r="J904" s="750"/>
      <c r="K904" s="423"/>
      <c r="L904" s="424"/>
      <c r="M904" s="399"/>
      <c r="N904" s="171"/>
      <c r="O904" s="171"/>
      <c r="P904" s="171"/>
      <c r="Q904" s="171"/>
      <c r="R904" s="171"/>
      <c r="S904" s="171"/>
      <c r="T904" s="171"/>
      <c r="U904" s="171"/>
      <c r="V904" s="171"/>
      <c r="W904" s="171"/>
      <c r="X904" s="171"/>
      <c r="Y904" s="171"/>
      <c r="Z904" s="171"/>
      <c r="AA904" s="171"/>
    </row>
    <row r="905" spans="1:27" s="530" customFormat="1" hidden="1" x14ac:dyDescent="0.2">
      <c r="A905" s="526"/>
      <c r="B905" s="527"/>
      <c r="C905" s="534"/>
      <c r="D905" s="535"/>
      <c r="E905" s="535"/>
      <c r="F905" s="494">
        <v>423</v>
      </c>
      <c r="G905" s="495" t="s">
        <v>3779</v>
      </c>
      <c r="H905" s="422"/>
      <c r="I905" s="422"/>
      <c r="J905" s="750"/>
      <c r="K905" s="423"/>
      <c r="L905" s="424"/>
      <c r="M905" s="399"/>
      <c r="N905" s="171"/>
      <c r="O905" s="171"/>
      <c r="P905" s="171"/>
      <c r="Q905" s="171"/>
      <c r="R905" s="171"/>
      <c r="S905" s="171"/>
      <c r="T905" s="171"/>
      <c r="U905" s="171"/>
      <c r="V905" s="171"/>
      <c r="W905" s="171"/>
      <c r="X905" s="171"/>
      <c r="Y905" s="171"/>
      <c r="Z905" s="171"/>
      <c r="AA905" s="171"/>
    </row>
    <row r="906" spans="1:27" s="530" customFormat="1" hidden="1" x14ac:dyDescent="0.2">
      <c r="A906" s="526"/>
      <c r="B906" s="527"/>
      <c r="C906" s="534"/>
      <c r="D906" s="535"/>
      <c r="E906" s="535"/>
      <c r="F906" s="494">
        <v>424</v>
      </c>
      <c r="G906" s="495" t="s">
        <v>3781</v>
      </c>
      <c r="H906" s="422"/>
      <c r="I906" s="422"/>
      <c r="J906" s="750"/>
      <c r="K906" s="423"/>
      <c r="L906" s="424"/>
      <c r="M906" s="399"/>
      <c r="N906" s="171"/>
      <c r="O906" s="171"/>
      <c r="P906" s="171"/>
      <c r="Q906" s="171"/>
      <c r="R906" s="171"/>
      <c r="S906" s="171"/>
      <c r="T906" s="171"/>
      <c r="U906" s="171"/>
      <c r="V906" s="171"/>
      <c r="W906" s="171"/>
      <c r="X906" s="171"/>
      <c r="Y906" s="171"/>
      <c r="Z906" s="171"/>
      <c r="AA906" s="171"/>
    </row>
    <row r="907" spans="1:27" s="530" customFormat="1" hidden="1" x14ac:dyDescent="0.2">
      <c r="A907" s="526"/>
      <c r="B907" s="527"/>
      <c r="C907" s="534"/>
      <c r="D907" s="535"/>
      <c r="E907" s="535"/>
      <c r="F907" s="494">
        <v>425</v>
      </c>
      <c r="G907" s="495" t="s">
        <v>4180</v>
      </c>
      <c r="H907" s="422"/>
      <c r="I907" s="422"/>
      <c r="J907" s="750"/>
      <c r="K907" s="423"/>
      <c r="L907" s="424"/>
      <c r="M907" s="399"/>
      <c r="N907" s="171"/>
      <c r="O907" s="171"/>
      <c r="P907" s="171"/>
      <c r="Q907" s="171"/>
      <c r="R907" s="171"/>
      <c r="S907" s="171"/>
      <c r="T907" s="171"/>
      <c r="U907" s="171"/>
      <c r="V907" s="171"/>
      <c r="W907" s="171"/>
      <c r="X907" s="171"/>
      <c r="Y907" s="171"/>
      <c r="Z907" s="171"/>
      <c r="AA907" s="171"/>
    </row>
    <row r="908" spans="1:27" s="530" customFormat="1" hidden="1" x14ac:dyDescent="0.2">
      <c r="A908" s="526"/>
      <c r="B908" s="527"/>
      <c r="C908" s="534"/>
      <c r="D908" s="535"/>
      <c r="E908" s="535"/>
      <c r="F908" s="494">
        <v>426</v>
      </c>
      <c r="G908" s="495" t="s">
        <v>3785</v>
      </c>
      <c r="H908" s="422"/>
      <c r="I908" s="422"/>
      <c r="J908" s="750"/>
      <c r="K908" s="423"/>
      <c r="L908" s="424"/>
      <c r="M908" s="399"/>
      <c r="N908" s="171"/>
      <c r="O908" s="171"/>
      <c r="P908" s="171"/>
      <c r="Q908" s="171"/>
      <c r="R908" s="171"/>
      <c r="S908" s="171"/>
      <c r="T908" s="171"/>
      <c r="U908" s="171"/>
      <c r="V908" s="171"/>
      <c r="W908" s="171"/>
      <c r="X908" s="171"/>
      <c r="Y908" s="171"/>
      <c r="Z908" s="171"/>
      <c r="AA908" s="171"/>
    </row>
    <row r="909" spans="1:27" s="530" customFormat="1" hidden="1" x14ac:dyDescent="0.2">
      <c r="A909" s="526"/>
      <c r="B909" s="527"/>
      <c r="C909" s="534"/>
      <c r="D909" s="535"/>
      <c r="E909" s="535"/>
      <c r="F909" s="494">
        <v>482</v>
      </c>
      <c r="G909" s="495" t="s">
        <v>4190</v>
      </c>
      <c r="H909" s="422"/>
      <c r="I909" s="422"/>
      <c r="J909" s="750"/>
      <c r="K909" s="423"/>
      <c r="L909" s="424"/>
      <c r="M909" s="399"/>
      <c r="N909" s="171"/>
      <c r="O909" s="171"/>
      <c r="P909" s="171"/>
      <c r="Q909" s="171"/>
      <c r="R909" s="171"/>
      <c r="S909" s="171"/>
      <c r="T909" s="171"/>
      <c r="U909" s="171"/>
      <c r="V909" s="171"/>
      <c r="W909" s="171"/>
      <c r="X909" s="171"/>
      <c r="Y909" s="171"/>
      <c r="Z909" s="171"/>
      <c r="AA909" s="171"/>
    </row>
    <row r="910" spans="1:27" s="530" customFormat="1" hidden="1" x14ac:dyDescent="0.2">
      <c r="A910" s="526"/>
      <c r="B910" s="527"/>
      <c r="C910" s="534"/>
      <c r="D910" s="535"/>
      <c r="E910" s="535"/>
      <c r="F910" s="494">
        <v>511</v>
      </c>
      <c r="G910" s="497" t="s">
        <v>4194</v>
      </c>
      <c r="H910" s="422"/>
      <c r="I910" s="422"/>
      <c r="J910" s="750"/>
      <c r="K910" s="423"/>
      <c r="L910" s="424"/>
      <c r="M910" s="399"/>
      <c r="N910" s="171"/>
      <c r="O910" s="171"/>
      <c r="P910" s="171"/>
      <c r="Q910" s="171"/>
      <c r="R910" s="171"/>
      <c r="S910" s="171"/>
      <c r="T910" s="171"/>
      <c r="U910" s="171"/>
      <c r="V910" s="171"/>
      <c r="W910" s="171"/>
      <c r="X910" s="171"/>
      <c r="Y910" s="171"/>
      <c r="Z910" s="171"/>
      <c r="AA910" s="171"/>
    </row>
    <row r="911" spans="1:27" hidden="1" x14ac:dyDescent="0.2">
      <c r="E911" s="500"/>
      <c r="F911" s="498"/>
      <c r="G911" s="501" t="s">
        <v>4344</v>
      </c>
      <c r="H911" s="400"/>
      <c r="I911" s="400"/>
      <c r="J911" s="750"/>
      <c r="K911" s="401"/>
      <c r="L911" s="402"/>
      <c r="M911" s="399"/>
    </row>
    <row r="912" spans="1:27" hidden="1" x14ac:dyDescent="0.2">
      <c r="E912" s="502"/>
      <c r="F912" s="503" t="s">
        <v>234</v>
      </c>
      <c r="G912" s="504" t="s">
        <v>235</v>
      </c>
      <c r="H912" s="403">
        <f>SUM(H902:H910)</f>
        <v>0</v>
      </c>
      <c r="I912" s="403"/>
      <c r="J912" s="750"/>
      <c r="K912" s="404"/>
      <c r="L912" s="404"/>
      <c r="M912" s="399"/>
    </row>
    <row r="913" spans="6:13" hidden="1" x14ac:dyDescent="0.2">
      <c r="F913" s="503" t="s">
        <v>236</v>
      </c>
      <c r="G913" s="504" t="s">
        <v>237</v>
      </c>
      <c r="H913" s="397"/>
      <c r="I913" s="397"/>
      <c r="J913" s="750"/>
      <c r="K913" s="398"/>
      <c r="L913" s="404"/>
      <c r="M913" s="399"/>
    </row>
    <row r="914" spans="6:13" hidden="1" x14ac:dyDescent="0.2">
      <c r="F914" s="503" t="s">
        <v>238</v>
      </c>
      <c r="G914" s="504" t="s">
        <v>239</v>
      </c>
      <c r="H914" s="397"/>
      <c r="I914" s="397"/>
      <c r="J914" s="750"/>
      <c r="K914" s="398"/>
      <c r="L914" s="404"/>
      <c r="M914" s="399"/>
    </row>
    <row r="915" spans="6:13" hidden="1" x14ac:dyDescent="0.2">
      <c r="F915" s="503" t="s">
        <v>240</v>
      </c>
      <c r="G915" s="504" t="s">
        <v>241</v>
      </c>
      <c r="H915" s="397"/>
      <c r="I915" s="397"/>
      <c r="J915" s="750"/>
      <c r="K915" s="398"/>
      <c r="L915" s="404"/>
      <c r="M915" s="399"/>
    </row>
    <row r="916" spans="6:13" hidden="1" x14ac:dyDescent="0.2">
      <c r="F916" s="503" t="s">
        <v>242</v>
      </c>
      <c r="G916" s="504" t="s">
        <v>243</v>
      </c>
      <c r="H916" s="397"/>
      <c r="I916" s="397"/>
      <c r="J916" s="750"/>
      <c r="K916" s="398"/>
      <c r="L916" s="404"/>
      <c r="M916" s="399"/>
    </row>
    <row r="917" spans="6:13" hidden="1" x14ac:dyDescent="0.2">
      <c r="F917" s="503" t="s">
        <v>244</v>
      </c>
      <c r="G917" s="504" t="s">
        <v>245</v>
      </c>
      <c r="H917" s="397"/>
      <c r="I917" s="397"/>
      <c r="J917" s="750"/>
      <c r="K917" s="398"/>
      <c r="L917" s="404"/>
      <c r="M917" s="399"/>
    </row>
    <row r="918" spans="6:13" hidden="1" x14ac:dyDescent="0.2">
      <c r="F918" s="503" t="s">
        <v>246</v>
      </c>
      <c r="G918" s="504" t="s">
        <v>247</v>
      </c>
      <c r="H918" s="397"/>
      <c r="I918" s="397"/>
      <c r="J918" s="750"/>
      <c r="K918" s="398"/>
      <c r="L918" s="404"/>
      <c r="M918" s="399"/>
    </row>
    <row r="919" spans="6:13" ht="25.5" hidden="1" x14ac:dyDescent="0.2">
      <c r="F919" s="503" t="s">
        <v>248</v>
      </c>
      <c r="G919" s="504" t="s">
        <v>249</v>
      </c>
      <c r="H919" s="397"/>
      <c r="I919" s="397"/>
      <c r="J919" s="750"/>
      <c r="K919" s="398"/>
      <c r="L919" s="404"/>
      <c r="M919" s="399"/>
    </row>
    <row r="920" spans="6:13" hidden="1" x14ac:dyDescent="0.2">
      <c r="F920" s="503" t="s">
        <v>250</v>
      </c>
      <c r="G920" s="504" t="s">
        <v>57</v>
      </c>
      <c r="H920" s="397"/>
      <c r="I920" s="397"/>
      <c r="J920" s="750"/>
      <c r="K920" s="398"/>
      <c r="L920" s="404"/>
      <c r="M920" s="399"/>
    </row>
    <row r="921" spans="6:13" hidden="1" x14ac:dyDescent="0.2">
      <c r="F921" s="503" t="s">
        <v>251</v>
      </c>
      <c r="G921" s="504" t="s">
        <v>252</v>
      </c>
      <c r="H921" s="397"/>
      <c r="I921" s="397"/>
      <c r="J921" s="750"/>
      <c r="K921" s="398"/>
      <c r="L921" s="404"/>
      <c r="M921" s="399"/>
    </row>
    <row r="922" spans="6:13" hidden="1" x14ac:dyDescent="0.2">
      <c r="F922" s="503" t="s">
        <v>253</v>
      </c>
      <c r="G922" s="504" t="s">
        <v>254</v>
      </c>
      <c r="H922" s="397"/>
      <c r="I922" s="397"/>
      <c r="J922" s="750"/>
      <c r="K922" s="398"/>
      <c r="L922" s="404"/>
      <c r="M922" s="399"/>
    </row>
    <row r="923" spans="6:13" ht="25.5" hidden="1" x14ac:dyDescent="0.2">
      <c r="F923" s="503" t="s">
        <v>255</v>
      </c>
      <c r="G923" s="504" t="s">
        <v>256</v>
      </c>
      <c r="H923" s="397"/>
      <c r="I923" s="397"/>
      <c r="J923" s="750"/>
      <c r="K923" s="398"/>
      <c r="L923" s="404"/>
      <c r="M923" s="399"/>
    </row>
    <row r="924" spans="6:13" ht="25.5" hidden="1" x14ac:dyDescent="0.2">
      <c r="F924" s="503" t="s">
        <v>257</v>
      </c>
      <c r="G924" s="504" t="s">
        <v>258</v>
      </c>
      <c r="H924" s="397"/>
      <c r="I924" s="397"/>
      <c r="J924" s="750"/>
      <c r="K924" s="398"/>
      <c r="L924" s="404"/>
      <c r="M924" s="399"/>
    </row>
    <row r="925" spans="6:13" ht="25.5" hidden="1" x14ac:dyDescent="0.2">
      <c r="F925" s="503" t="s">
        <v>259</v>
      </c>
      <c r="G925" s="504" t="s">
        <v>260</v>
      </c>
      <c r="H925" s="397"/>
      <c r="I925" s="397"/>
      <c r="J925" s="750"/>
      <c r="K925" s="398"/>
      <c r="L925" s="404"/>
      <c r="M925" s="399"/>
    </row>
    <row r="926" spans="6:13" ht="25.5" hidden="1" x14ac:dyDescent="0.2">
      <c r="F926" s="503" t="s">
        <v>261</v>
      </c>
      <c r="G926" s="504" t="s">
        <v>262</v>
      </c>
      <c r="H926" s="397"/>
      <c r="I926" s="397"/>
      <c r="J926" s="750"/>
      <c r="K926" s="398"/>
      <c r="L926" s="404"/>
      <c r="M926" s="399"/>
    </row>
    <row r="927" spans="6:13" hidden="1" x14ac:dyDescent="0.2">
      <c r="F927" s="503" t="s">
        <v>263</v>
      </c>
      <c r="G927" s="504" t="s">
        <v>264</v>
      </c>
      <c r="H927" s="403"/>
      <c r="I927" s="403"/>
      <c r="J927" s="750"/>
      <c r="K927" s="404"/>
      <c r="L927" s="404"/>
      <c r="M927" s="399"/>
    </row>
    <row r="928" spans="6:13" ht="13.5" hidden="1" thickBot="1" x14ac:dyDescent="0.25">
      <c r="G928" s="505" t="s">
        <v>4345</v>
      </c>
      <c r="H928" s="405">
        <f>SUM(H912:H927)</f>
        <v>0</v>
      </c>
      <c r="I928" s="405"/>
      <c r="J928" s="750"/>
      <c r="K928" s="406">
        <f>SUM(K913:K927)</f>
        <v>0</v>
      </c>
      <c r="L928" s="406"/>
      <c r="M928" s="399"/>
    </row>
    <row r="929" spans="5:13" ht="25.5" hidden="1" collapsed="1" x14ac:dyDescent="0.2">
      <c r="E929" s="500"/>
      <c r="F929" s="498"/>
      <c r="G929" s="506" t="s">
        <v>4346</v>
      </c>
      <c r="H929" s="407"/>
      <c r="I929" s="408"/>
      <c r="J929" s="750"/>
      <c r="K929" s="409"/>
      <c r="L929" s="410"/>
      <c r="M929" s="399"/>
    </row>
    <row r="930" spans="5:13" hidden="1" x14ac:dyDescent="0.2">
      <c r="E930" s="502"/>
      <c r="F930" s="503" t="s">
        <v>234</v>
      </c>
      <c r="G930" s="504" t="s">
        <v>235</v>
      </c>
      <c r="H930" s="403">
        <f>SUM(H902:H910)</f>
        <v>0</v>
      </c>
      <c r="I930" s="403"/>
      <c r="J930" s="750"/>
      <c r="K930" s="404"/>
      <c r="L930" s="404"/>
      <c r="M930" s="399"/>
    </row>
    <row r="931" spans="5:13" hidden="1" x14ac:dyDescent="0.2">
      <c r="F931" s="503" t="s">
        <v>236</v>
      </c>
      <c r="G931" s="504" t="s">
        <v>237</v>
      </c>
      <c r="H931" s="397"/>
      <c r="I931" s="397"/>
      <c r="J931" s="750"/>
      <c r="K931" s="398"/>
      <c r="L931" s="404"/>
      <c r="M931" s="399"/>
    </row>
    <row r="932" spans="5:13" hidden="1" x14ac:dyDescent="0.2">
      <c r="F932" s="503" t="s">
        <v>238</v>
      </c>
      <c r="G932" s="504" t="s">
        <v>239</v>
      </c>
      <c r="H932" s="397"/>
      <c r="I932" s="397"/>
      <c r="J932" s="750"/>
      <c r="K932" s="398"/>
      <c r="L932" s="404"/>
      <c r="M932" s="399"/>
    </row>
    <row r="933" spans="5:13" hidden="1" x14ac:dyDescent="0.2">
      <c r="F933" s="503" t="s">
        <v>240</v>
      </c>
      <c r="G933" s="504" t="s">
        <v>241</v>
      </c>
      <c r="H933" s="397"/>
      <c r="I933" s="397"/>
      <c r="J933" s="750"/>
      <c r="K933" s="398"/>
      <c r="L933" s="404"/>
      <c r="M933" s="399"/>
    </row>
    <row r="934" spans="5:13" hidden="1" x14ac:dyDescent="0.2">
      <c r="F934" s="503" t="s">
        <v>242</v>
      </c>
      <c r="G934" s="504" t="s">
        <v>243</v>
      </c>
      <c r="H934" s="397"/>
      <c r="I934" s="397"/>
      <c r="J934" s="750"/>
      <c r="K934" s="398"/>
      <c r="L934" s="404"/>
      <c r="M934" s="399"/>
    </row>
    <row r="935" spans="5:13" hidden="1" x14ac:dyDescent="0.2">
      <c r="F935" s="503" t="s">
        <v>244</v>
      </c>
      <c r="G935" s="504" t="s">
        <v>245</v>
      </c>
      <c r="H935" s="397"/>
      <c r="I935" s="397"/>
      <c r="J935" s="750"/>
      <c r="K935" s="398"/>
      <c r="L935" s="404"/>
      <c r="M935" s="399"/>
    </row>
    <row r="936" spans="5:13" hidden="1" x14ac:dyDescent="0.2">
      <c r="F936" s="503" t="s">
        <v>246</v>
      </c>
      <c r="G936" s="504" t="s">
        <v>247</v>
      </c>
      <c r="H936" s="397"/>
      <c r="I936" s="397"/>
      <c r="J936" s="750"/>
      <c r="K936" s="398"/>
      <c r="L936" s="404"/>
      <c r="M936" s="399"/>
    </row>
    <row r="937" spans="5:13" ht="25.5" hidden="1" x14ac:dyDescent="0.2">
      <c r="F937" s="503" t="s">
        <v>248</v>
      </c>
      <c r="G937" s="504" t="s">
        <v>249</v>
      </c>
      <c r="H937" s="397"/>
      <c r="I937" s="397"/>
      <c r="J937" s="750"/>
      <c r="K937" s="398"/>
      <c r="L937" s="404"/>
      <c r="M937" s="399"/>
    </row>
    <row r="938" spans="5:13" hidden="1" x14ac:dyDescent="0.2">
      <c r="F938" s="503" t="s">
        <v>250</v>
      </c>
      <c r="G938" s="504" t="s">
        <v>57</v>
      </c>
      <c r="H938" s="397"/>
      <c r="I938" s="397"/>
      <c r="J938" s="750"/>
      <c r="K938" s="398"/>
      <c r="L938" s="404"/>
      <c r="M938" s="399"/>
    </row>
    <row r="939" spans="5:13" hidden="1" x14ac:dyDescent="0.2">
      <c r="F939" s="503" t="s">
        <v>251</v>
      </c>
      <c r="G939" s="504" t="s">
        <v>252</v>
      </c>
      <c r="H939" s="397"/>
      <c r="I939" s="397"/>
      <c r="J939" s="750"/>
      <c r="K939" s="398"/>
      <c r="L939" s="404"/>
      <c r="M939" s="399"/>
    </row>
    <row r="940" spans="5:13" hidden="1" x14ac:dyDescent="0.2">
      <c r="F940" s="503" t="s">
        <v>253</v>
      </c>
      <c r="G940" s="504" t="s">
        <v>254</v>
      </c>
      <c r="H940" s="397"/>
      <c r="I940" s="397"/>
      <c r="J940" s="750"/>
      <c r="K940" s="398"/>
      <c r="L940" s="404"/>
      <c r="M940" s="399"/>
    </row>
    <row r="941" spans="5:13" ht="25.5" hidden="1" x14ac:dyDescent="0.2">
      <c r="F941" s="503" t="s">
        <v>255</v>
      </c>
      <c r="G941" s="504" t="s">
        <v>256</v>
      </c>
      <c r="H941" s="397"/>
      <c r="I941" s="397"/>
      <c r="J941" s="750"/>
      <c r="K941" s="398"/>
      <c r="L941" s="404"/>
      <c r="M941" s="399"/>
    </row>
    <row r="942" spans="5:13" ht="25.5" hidden="1" x14ac:dyDescent="0.2">
      <c r="F942" s="503" t="s">
        <v>257</v>
      </c>
      <c r="G942" s="504" t="s">
        <v>258</v>
      </c>
      <c r="H942" s="397"/>
      <c r="I942" s="397"/>
      <c r="J942" s="750"/>
      <c r="K942" s="398"/>
      <c r="L942" s="404"/>
      <c r="M942" s="399"/>
    </row>
    <row r="943" spans="5:13" ht="25.5" hidden="1" x14ac:dyDescent="0.2">
      <c r="F943" s="503" t="s">
        <v>259</v>
      </c>
      <c r="G943" s="504" t="s">
        <v>260</v>
      </c>
      <c r="H943" s="397"/>
      <c r="I943" s="397"/>
      <c r="J943" s="750"/>
      <c r="K943" s="398"/>
      <c r="L943" s="404"/>
      <c r="M943" s="399"/>
    </row>
    <row r="944" spans="5:13" ht="25.5" hidden="1" x14ac:dyDescent="0.2">
      <c r="F944" s="503" t="s">
        <v>261</v>
      </c>
      <c r="G944" s="504" t="s">
        <v>262</v>
      </c>
      <c r="H944" s="397"/>
      <c r="I944" s="397"/>
      <c r="J944" s="750"/>
      <c r="K944" s="398"/>
      <c r="L944" s="404"/>
      <c r="M944" s="399"/>
    </row>
    <row r="945" spans="1:27" hidden="1" x14ac:dyDescent="0.2">
      <c r="F945" s="503" t="s">
        <v>263</v>
      </c>
      <c r="G945" s="504" t="s">
        <v>264</v>
      </c>
      <c r="H945" s="403"/>
      <c r="I945" s="403"/>
      <c r="J945" s="750"/>
      <c r="K945" s="404"/>
      <c r="L945" s="404"/>
      <c r="M945" s="399"/>
    </row>
    <row r="946" spans="1:27" ht="13.5" hidden="1" collapsed="1" thickBot="1" x14ac:dyDescent="0.25">
      <c r="G946" s="505" t="s">
        <v>4347</v>
      </c>
      <c r="H946" s="405">
        <f>SUM(H930:H945)</f>
        <v>0</v>
      </c>
      <c r="I946" s="405"/>
      <c r="J946" s="750"/>
      <c r="K946" s="406">
        <f>SUM(K931:K945)</f>
        <v>0</v>
      </c>
      <c r="L946" s="406"/>
      <c r="M946" s="399"/>
    </row>
    <row r="947" spans="1:27" hidden="1" x14ac:dyDescent="0.2">
      <c r="G947" s="510"/>
      <c r="H947" s="411"/>
      <c r="I947" s="411"/>
      <c r="J947" s="750"/>
      <c r="K947" s="412"/>
      <c r="L947" s="412"/>
      <c r="M947" s="399"/>
    </row>
    <row r="948" spans="1:27" s="530" customFormat="1" hidden="1" x14ac:dyDescent="0.2">
      <c r="A948" s="526"/>
      <c r="B948" s="527"/>
      <c r="C948" s="531" t="s">
        <v>5091</v>
      </c>
      <c r="D948" s="490"/>
      <c r="E948" s="490"/>
      <c r="F948" s="532"/>
      <c r="G948" s="178" t="s">
        <v>5092</v>
      </c>
      <c r="H948" s="422"/>
      <c r="I948" s="422"/>
      <c r="J948" s="750"/>
      <c r="K948" s="423"/>
      <c r="L948" s="424"/>
      <c r="M948" s="399"/>
      <c r="N948" s="171"/>
      <c r="O948" s="171"/>
      <c r="P948" s="171"/>
      <c r="Q948" s="171"/>
      <c r="R948" s="171"/>
      <c r="S948" s="171"/>
      <c r="T948" s="171"/>
      <c r="U948" s="171"/>
      <c r="V948" s="171"/>
      <c r="W948" s="171"/>
      <c r="X948" s="171"/>
      <c r="Y948" s="171"/>
      <c r="Z948" s="171"/>
      <c r="AA948" s="171"/>
    </row>
    <row r="949" spans="1:27" s="530" customFormat="1" hidden="1" x14ac:dyDescent="0.2">
      <c r="A949" s="526"/>
      <c r="B949" s="527"/>
      <c r="C949" s="528"/>
      <c r="D949" s="492">
        <v>620</v>
      </c>
      <c r="E949" s="492"/>
      <c r="F949" s="492"/>
      <c r="G949" s="533" t="s">
        <v>182</v>
      </c>
      <c r="H949" s="422"/>
      <c r="I949" s="422"/>
      <c r="J949" s="750"/>
      <c r="K949" s="423"/>
      <c r="L949" s="424"/>
      <c r="M949" s="399"/>
      <c r="N949" s="171"/>
      <c r="O949" s="171"/>
      <c r="P949" s="171"/>
      <c r="Q949" s="171"/>
      <c r="R949" s="171"/>
      <c r="S949" s="171"/>
      <c r="T949" s="171"/>
      <c r="U949" s="171"/>
      <c r="V949" s="171"/>
      <c r="W949" s="171"/>
      <c r="X949" s="171"/>
      <c r="Y949" s="171"/>
      <c r="Z949" s="171"/>
      <c r="AA949" s="171"/>
    </row>
    <row r="950" spans="1:27" s="530" customFormat="1" hidden="1" x14ac:dyDescent="0.2">
      <c r="A950" s="526"/>
      <c r="B950" s="527"/>
      <c r="C950" s="528"/>
      <c r="D950" s="492"/>
      <c r="E950" s="492"/>
      <c r="F950" s="464">
        <v>411</v>
      </c>
      <c r="G950" s="495" t="s">
        <v>4167</v>
      </c>
      <c r="H950" s="422"/>
      <c r="I950" s="422"/>
      <c r="J950" s="750"/>
      <c r="K950" s="423"/>
      <c r="L950" s="424"/>
      <c r="M950" s="399"/>
      <c r="N950" s="171"/>
      <c r="O950" s="171"/>
      <c r="P950" s="171"/>
      <c r="Q950" s="171"/>
      <c r="R950" s="171"/>
      <c r="S950" s="171"/>
      <c r="T950" s="171"/>
      <c r="U950" s="171"/>
      <c r="V950" s="171"/>
      <c r="W950" s="171"/>
      <c r="X950" s="171"/>
      <c r="Y950" s="171"/>
      <c r="Z950" s="171"/>
      <c r="AA950" s="171"/>
    </row>
    <row r="951" spans="1:27" s="530" customFormat="1" hidden="1" x14ac:dyDescent="0.2">
      <c r="A951" s="526"/>
      <c r="B951" s="527"/>
      <c r="C951" s="528"/>
      <c r="D951" s="492"/>
      <c r="E951" s="492"/>
      <c r="F951" s="464">
        <v>412</v>
      </c>
      <c r="G951" s="496" t="s">
        <v>3764</v>
      </c>
      <c r="H951" s="422"/>
      <c r="I951" s="422"/>
      <c r="J951" s="750"/>
      <c r="K951" s="423"/>
      <c r="L951" s="424"/>
      <c r="M951" s="399"/>
      <c r="N951" s="171"/>
      <c r="O951" s="171"/>
      <c r="P951" s="171"/>
      <c r="Q951" s="171"/>
      <c r="R951" s="171"/>
      <c r="S951" s="171"/>
      <c r="T951" s="171"/>
      <c r="U951" s="171"/>
      <c r="V951" s="171"/>
      <c r="W951" s="171"/>
      <c r="X951" s="171"/>
      <c r="Y951" s="171"/>
      <c r="Z951" s="171"/>
      <c r="AA951" s="171"/>
    </row>
    <row r="952" spans="1:27" s="530" customFormat="1" hidden="1" x14ac:dyDescent="0.2">
      <c r="A952" s="526"/>
      <c r="B952" s="527"/>
      <c r="C952" s="534"/>
      <c r="D952" s="535"/>
      <c r="E952" s="535"/>
      <c r="F952" s="494">
        <v>422</v>
      </c>
      <c r="G952" s="495" t="s">
        <v>3778</v>
      </c>
      <c r="H952" s="422"/>
      <c r="I952" s="422"/>
      <c r="J952" s="750"/>
      <c r="K952" s="423"/>
      <c r="L952" s="424"/>
      <c r="M952" s="399"/>
      <c r="N952" s="171"/>
      <c r="O952" s="171"/>
      <c r="P952" s="171"/>
      <c r="Q952" s="171"/>
      <c r="R952" s="171"/>
      <c r="S952" s="171"/>
      <c r="T952" s="171"/>
      <c r="U952" s="171"/>
      <c r="V952" s="171"/>
      <c r="W952" s="171"/>
      <c r="X952" s="171"/>
      <c r="Y952" s="171"/>
      <c r="Z952" s="171"/>
      <c r="AA952" s="171"/>
    </row>
    <row r="953" spans="1:27" s="530" customFormat="1" hidden="1" x14ac:dyDescent="0.2">
      <c r="A953" s="526"/>
      <c r="B953" s="527"/>
      <c r="C953" s="534"/>
      <c r="D953" s="535"/>
      <c r="E953" s="535"/>
      <c r="F953" s="494">
        <v>423</v>
      </c>
      <c r="G953" s="495" t="s">
        <v>3779</v>
      </c>
      <c r="H953" s="422"/>
      <c r="I953" s="422"/>
      <c r="J953" s="750"/>
      <c r="K953" s="423"/>
      <c r="L953" s="424"/>
      <c r="M953" s="399"/>
      <c r="N953" s="171"/>
      <c r="O953" s="171"/>
      <c r="P953" s="171"/>
      <c r="Q953" s="171"/>
      <c r="R953" s="171"/>
      <c r="S953" s="171"/>
      <c r="T953" s="171"/>
      <c r="U953" s="171"/>
      <c r="V953" s="171"/>
      <c r="W953" s="171"/>
      <c r="X953" s="171"/>
      <c r="Y953" s="171"/>
      <c r="Z953" s="171"/>
      <c r="AA953" s="171"/>
    </row>
    <row r="954" spans="1:27" s="530" customFormat="1" hidden="1" x14ac:dyDescent="0.2">
      <c r="A954" s="526"/>
      <c r="B954" s="527"/>
      <c r="C954" s="534"/>
      <c r="D954" s="535"/>
      <c r="E954" s="535"/>
      <c r="F954" s="494">
        <v>424</v>
      </c>
      <c r="G954" s="495" t="s">
        <v>3781</v>
      </c>
      <c r="H954" s="422"/>
      <c r="I954" s="422"/>
      <c r="J954" s="750"/>
      <c r="K954" s="423"/>
      <c r="L954" s="424"/>
      <c r="M954" s="399"/>
      <c r="N954" s="171"/>
      <c r="O954" s="171"/>
      <c r="P954" s="171"/>
      <c r="Q954" s="171"/>
      <c r="R954" s="171"/>
      <c r="S954" s="171"/>
      <c r="T954" s="171"/>
      <c r="U954" s="171"/>
      <c r="V954" s="171"/>
      <c r="W954" s="171"/>
      <c r="X954" s="171"/>
      <c r="Y954" s="171"/>
      <c r="Z954" s="171"/>
      <c r="AA954" s="171"/>
    </row>
    <row r="955" spans="1:27" s="530" customFormat="1" hidden="1" x14ac:dyDescent="0.2">
      <c r="A955" s="526"/>
      <c r="B955" s="527"/>
      <c r="C955" s="534"/>
      <c r="D955" s="535"/>
      <c r="E955" s="535"/>
      <c r="F955" s="494">
        <v>425</v>
      </c>
      <c r="G955" s="495" t="s">
        <v>4180</v>
      </c>
      <c r="H955" s="422"/>
      <c r="I955" s="422"/>
      <c r="J955" s="750"/>
      <c r="K955" s="423"/>
      <c r="L955" s="424"/>
      <c r="M955" s="399"/>
      <c r="N955" s="171"/>
      <c r="O955" s="171"/>
      <c r="P955" s="171"/>
      <c r="Q955" s="171"/>
      <c r="R955" s="171"/>
      <c r="S955" s="171"/>
      <c r="T955" s="171"/>
      <c r="U955" s="171"/>
      <c r="V955" s="171"/>
      <c r="W955" s="171"/>
      <c r="X955" s="171"/>
      <c r="Y955" s="171"/>
      <c r="Z955" s="171"/>
      <c r="AA955" s="171"/>
    </row>
    <row r="956" spans="1:27" s="530" customFormat="1" hidden="1" x14ac:dyDescent="0.2">
      <c r="A956" s="526"/>
      <c r="B956" s="527"/>
      <c r="C956" s="534"/>
      <c r="D956" s="535"/>
      <c r="E956" s="535"/>
      <c r="F956" s="494">
        <v>426</v>
      </c>
      <c r="G956" s="495" t="s">
        <v>3785</v>
      </c>
      <c r="H956" s="422"/>
      <c r="I956" s="422"/>
      <c r="J956" s="750"/>
      <c r="K956" s="423"/>
      <c r="L956" s="424"/>
      <c r="M956" s="399"/>
      <c r="N956" s="171"/>
      <c r="O956" s="171"/>
      <c r="P956" s="171"/>
      <c r="Q956" s="171"/>
      <c r="R956" s="171"/>
      <c r="S956" s="171"/>
      <c r="T956" s="171"/>
      <c r="U956" s="171"/>
      <c r="V956" s="171"/>
      <c r="W956" s="171"/>
      <c r="X956" s="171"/>
      <c r="Y956" s="171"/>
      <c r="Z956" s="171"/>
      <c r="AA956" s="171"/>
    </row>
    <row r="957" spans="1:27" s="530" customFormat="1" hidden="1" x14ac:dyDescent="0.2">
      <c r="A957" s="526"/>
      <c r="B957" s="527"/>
      <c r="C957" s="534"/>
      <c r="D957" s="535"/>
      <c r="E957" s="535"/>
      <c r="F957" s="494">
        <v>482</v>
      </c>
      <c r="G957" s="495" t="s">
        <v>4190</v>
      </c>
      <c r="H957" s="422"/>
      <c r="I957" s="422"/>
      <c r="J957" s="750"/>
      <c r="K957" s="423"/>
      <c r="L957" s="424"/>
      <c r="M957" s="399"/>
      <c r="N957" s="171"/>
      <c r="O957" s="171"/>
      <c r="P957" s="171"/>
      <c r="Q957" s="171"/>
      <c r="R957" s="171"/>
      <c r="S957" s="171"/>
      <c r="T957" s="171"/>
      <c r="U957" s="171"/>
      <c r="V957" s="171"/>
      <c r="W957" s="171"/>
      <c r="X957" s="171"/>
      <c r="Y957" s="171"/>
      <c r="Z957" s="171"/>
      <c r="AA957" s="171"/>
    </row>
    <row r="958" spans="1:27" s="530" customFormat="1" hidden="1" x14ac:dyDescent="0.2">
      <c r="A958" s="526"/>
      <c r="B958" s="527"/>
      <c r="C958" s="534"/>
      <c r="D958" s="535"/>
      <c r="E958" s="535"/>
      <c r="F958" s="494">
        <v>511</v>
      </c>
      <c r="G958" s="497" t="s">
        <v>4194</v>
      </c>
      <c r="H958" s="422"/>
      <c r="I958" s="422"/>
      <c r="J958" s="750"/>
      <c r="K958" s="423"/>
      <c r="L958" s="424"/>
      <c r="M958" s="399"/>
      <c r="N958" s="171"/>
      <c r="O958" s="171"/>
      <c r="P958" s="171"/>
      <c r="Q958" s="171"/>
      <c r="R958" s="171"/>
      <c r="S958" s="171"/>
      <c r="T958" s="171"/>
      <c r="U958" s="171"/>
      <c r="V958" s="171"/>
      <c r="W958" s="171"/>
      <c r="X958" s="171"/>
      <c r="Y958" s="171"/>
      <c r="Z958" s="171"/>
      <c r="AA958" s="171"/>
    </row>
    <row r="959" spans="1:27" s="530" customFormat="1" hidden="1" x14ac:dyDescent="0.2">
      <c r="A959" s="526"/>
      <c r="B959" s="527"/>
      <c r="C959" s="534"/>
      <c r="D959" s="535"/>
      <c r="E959" s="535"/>
      <c r="F959" s="494">
        <v>541</v>
      </c>
      <c r="G959" s="497" t="s">
        <v>4200</v>
      </c>
      <c r="H959" s="422"/>
      <c r="I959" s="422"/>
      <c r="J959" s="750"/>
      <c r="K959" s="423"/>
      <c r="L959" s="424"/>
      <c r="M959" s="399"/>
      <c r="N959" s="171"/>
      <c r="O959" s="171"/>
      <c r="P959" s="171"/>
      <c r="Q959" s="171"/>
      <c r="R959" s="171"/>
      <c r="S959" s="171"/>
      <c r="T959" s="171"/>
      <c r="U959" s="171"/>
      <c r="V959" s="171"/>
      <c r="W959" s="171"/>
      <c r="X959" s="171"/>
      <c r="Y959" s="171"/>
      <c r="Z959" s="171"/>
      <c r="AA959" s="171"/>
    </row>
    <row r="960" spans="1:27" hidden="1" x14ac:dyDescent="0.2">
      <c r="E960" s="500"/>
      <c r="F960" s="498"/>
      <c r="G960" s="501" t="s">
        <v>4344</v>
      </c>
      <c r="H960" s="400"/>
      <c r="I960" s="400"/>
      <c r="J960" s="750"/>
      <c r="K960" s="401"/>
      <c r="L960" s="402"/>
      <c r="M960" s="399"/>
    </row>
    <row r="961" spans="5:13" hidden="1" x14ac:dyDescent="0.2">
      <c r="E961" s="502"/>
      <c r="F961" s="503" t="s">
        <v>234</v>
      </c>
      <c r="G961" s="504" t="s">
        <v>235</v>
      </c>
      <c r="H961" s="403">
        <f>SUM(H950:H959)</f>
        <v>0</v>
      </c>
      <c r="I961" s="403"/>
      <c r="J961" s="750"/>
      <c r="K961" s="404"/>
      <c r="L961" s="404"/>
      <c r="M961" s="399"/>
    </row>
    <row r="962" spans="5:13" hidden="1" x14ac:dyDescent="0.2">
      <c r="F962" s="503" t="s">
        <v>236</v>
      </c>
      <c r="G962" s="504" t="s">
        <v>237</v>
      </c>
      <c r="H962" s="397"/>
      <c r="I962" s="397"/>
      <c r="J962" s="750"/>
      <c r="K962" s="398"/>
      <c r="L962" s="404"/>
      <c r="M962" s="399"/>
    </row>
    <row r="963" spans="5:13" hidden="1" x14ac:dyDescent="0.2">
      <c r="F963" s="503" t="s">
        <v>238</v>
      </c>
      <c r="G963" s="504" t="s">
        <v>239</v>
      </c>
      <c r="H963" s="397"/>
      <c r="I963" s="397"/>
      <c r="J963" s="750"/>
      <c r="K963" s="398"/>
      <c r="L963" s="404"/>
      <c r="M963" s="399"/>
    </row>
    <row r="964" spans="5:13" hidden="1" x14ac:dyDescent="0.2">
      <c r="F964" s="503" t="s">
        <v>240</v>
      </c>
      <c r="G964" s="504" t="s">
        <v>241</v>
      </c>
      <c r="H964" s="397"/>
      <c r="I964" s="397"/>
      <c r="J964" s="750"/>
      <c r="K964" s="398"/>
      <c r="L964" s="404"/>
      <c r="M964" s="399"/>
    </row>
    <row r="965" spans="5:13" hidden="1" x14ac:dyDescent="0.2">
      <c r="F965" s="503" t="s">
        <v>242</v>
      </c>
      <c r="G965" s="504" t="s">
        <v>243</v>
      </c>
      <c r="H965" s="397"/>
      <c r="I965" s="397"/>
      <c r="J965" s="750"/>
      <c r="K965" s="398"/>
      <c r="L965" s="404"/>
      <c r="M965" s="399"/>
    </row>
    <row r="966" spans="5:13" hidden="1" x14ac:dyDescent="0.2">
      <c r="F966" s="503" t="s">
        <v>244</v>
      </c>
      <c r="G966" s="504" t="s">
        <v>245</v>
      </c>
      <c r="H966" s="397"/>
      <c r="I966" s="397"/>
      <c r="J966" s="750"/>
      <c r="K966" s="398"/>
      <c r="L966" s="404"/>
      <c r="M966" s="399"/>
    </row>
    <row r="967" spans="5:13" hidden="1" x14ac:dyDescent="0.2">
      <c r="F967" s="503" t="s">
        <v>246</v>
      </c>
      <c r="G967" s="504" t="s">
        <v>247</v>
      </c>
      <c r="H967" s="397"/>
      <c r="I967" s="397"/>
      <c r="J967" s="750"/>
      <c r="K967" s="398"/>
      <c r="L967" s="404"/>
      <c r="M967" s="399"/>
    </row>
    <row r="968" spans="5:13" ht="25.5" hidden="1" x14ac:dyDescent="0.2">
      <c r="F968" s="503" t="s">
        <v>248</v>
      </c>
      <c r="G968" s="504" t="s">
        <v>249</v>
      </c>
      <c r="H968" s="397"/>
      <c r="I968" s="397"/>
      <c r="J968" s="750"/>
      <c r="K968" s="398"/>
      <c r="L968" s="404"/>
      <c r="M968" s="399"/>
    </row>
    <row r="969" spans="5:13" hidden="1" x14ac:dyDescent="0.2">
      <c r="F969" s="503" t="s">
        <v>250</v>
      </c>
      <c r="G969" s="504" t="s">
        <v>57</v>
      </c>
      <c r="H969" s="397"/>
      <c r="I969" s="397"/>
      <c r="J969" s="750"/>
      <c r="K969" s="398"/>
      <c r="L969" s="404"/>
      <c r="M969" s="399"/>
    </row>
    <row r="970" spans="5:13" hidden="1" x14ac:dyDescent="0.2">
      <c r="F970" s="503" t="s">
        <v>251</v>
      </c>
      <c r="G970" s="504" t="s">
        <v>252</v>
      </c>
      <c r="H970" s="397"/>
      <c r="I970" s="397"/>
      <c r="J970" s="750"/>
      <c r="K970" s="398"/>
      <c r="L970" s="404"/>
      <c r="M970" s="399"/>
    </row>
    <row r="971" spans="5:13" hidden="1" x14ac:dyDescent="0.2">
      <c r="F971" s="503" t="s">
        <v>253</v>
      </c>
      <c r="G971" s="504" t="s">
        <v>254</v>
      </c>
      <c r="H971" s="397"/>
      <c r="I971" s="397"/>
      <c r="J971" s="750"/>
      <c r="K971" s="398"/>
      <c r="L971" s="404"/>
      <c r="M971" s="399"/>
    </row>
    <row r="972" spans="5:13" ht="25.5" hidden="1" x14ac:dyDescent="0.2">
      <c r="F972" s="503" t="s">
        <v>255</v>
      </c>
      <c r="G972" s="504" t="s">
        <v>256</v>
      </c>
      <c r="H972" s="397"/>
      <c r="I972" s="397"/>
      <c r="J972" s="750"/>
      <c r="K972" s="398"/>
      <c r="L972" s="404"/>
      <c r="M972" s="399"/>
    </row>
    <row r="973" spans="5:13" ht="25.5" hidden="1" x14ac:dyDescent="0.2">
      <c r="F973" s="503" t="s">
        <v>257</v>
      </c>
      <c r="G973" s="504" t="s">
        <v>258</v>
      </c>
      <c r="H973" s="397"/>
      <c r="I973" s="397"/>
      <c r="J973" s="750"/>
      <c r="K973" s="398"/>
      <c r="L973" s="404"/>
      <c r="M973" s="399"/>
    </row>
    <row r="974" spans="5:13" ht="25.5" hidden="1" x14ac:dyDescent="0.2">
      <c r="F974" s="503" t="s">
        <v>259</v>
      </c>
      <c r="G974" s="504" t="s">
        <v>260</v>
      </c>
      <c r="H974" s="397"/>
      <c r="I974" s="397"/>
      <c r="J974" s="750"/>
      <c r="K974" s="398"/>
      <c r="L974" s="404"/>
      <c r="M974" s="399"/>
    </row>
    <row r="975" spans="5:13" ht="25.5" hidden="1" x14ac:dyDescent="0.2">
      <c r="F975" s="503" t="s">
        <v>261</v>
      </c>
      <c r="G975" s="504" t="s">
        <v>262</v>
      </c>
      <c r="H975" s="397"/>
      <c r="I975" s="397"/>
      <c r="J975" s="750"/>
      <c r="K975" s="398"/>
      <c r="L975" s="404"/>
      <c r="M975" s="399"/>
    </row>
    <row r="976" spans="5:13" hidden="1" x14ac:dyDescent="0.2">
      <c r="F976" s="503" t="s">
        <v>263</v>
      </c>
      <c r="G976" s="504" t="s">
        <v>264</v>
      </c>
      <c r="H976" s="403"/>
      <c r="I976" s="403"/>
      <c r="J976" s="750"/>
      <c r="K976" s="404"/>
      <c r="L976" s="404"/>
      <c r="M976" s="399"/>
    </row>
    <row r="977" spans="5:13" ht="13.5" hidden="1" thickBot="1" x14ac:dyDescent="0.25">
      <c r="G977" s="505" t="s">
        <v>4345</v>
      </c>
      <c r="H977" s="405">
        <f>SUM(H961:H976)</f>
        <v>0</v>
      </c>
      <c r="I977" s="405"/>
      <c r="J977" s="750"/>
      <c r="K977" s="406">
        <f>SUM(K962:K976)</f>
        <v>0</v>
      </c>
      <c r="L977" s="406"/>
      <c r="M977" s="399"/>
    </row>
    <row r="978" spans="5:13" ht="25.5" hidden="1" collapsed="1" x14ac:dyDescent="0.2">
      <c r="E978" s="500"/>
      <c r="F978" s="498"/>
      <c r="G978" s="506" t="s">
        <v>4396</v>
      </c>
      <c r="H978" s="407"/>
      <c r="I978" s="408"/>
      <c r="J978" s="750"/>
      <c r="K978" s="409"/>
      <c r="L978" s="410"/>
      <c r="M978" s="399"/>
    </row>
    <row r="979" spans="5:13" hidden="1" x14ac:dyDescent="0.2">
      <c r="E979" s="502"/>
      <c r="F979" s="503" t="s">
        <v>234</v>
      </c>
      <c r="G979" s="504" t="s">
        <v>235</v>
      </c>
      <c r="H979" s="403">
        <f>SUM(H950:H959)</f>
        <v>0</v>
      </c>
      <c r="I979" s="403"/>
      <c r="J979" s="750"/>
      <c r="K979" s="404"/>
      <c r="L979" s="404"/>
      <c r="M979" s="399"/>
    </row>
    <row r="980" spans="5:13" hidden="1" x14ac:dyDescent="0.2">
      <c r="F980" s="503" t="s">
        <v>236</v>
      </c>
      <c r="G980" s="504" t="s">
        <v>237</v>
      </c>
      <c r="H980" s="397"/>
      <c r="I980" s="397"/>
      <c r="J980" s="750"/>
      <c r="K980" s="398"/>
      <c r="L980" s="404"/>
      <c r="M980" s="399"/>
    </row>
    <row r="981" spans="5:13" hidden="1" x14ac:dyDescent="0.2">
      <c r="F981" s="503" t="s">
        <v>238</v>
      </c>
      <c r="G981" s="504" t="s">
        <v>239</v>
      </c>
      <c r="H981" s="397"/>
      <c r="I981" s="397"/>
      <c r="J981" s="750"/>
      <c r="K981" s="398"/>
      <c r="L981" s="404"/>
      <c r="M981" s="399"/>
    </row>
    <row r="982" spans="5:13" hidden="1" x14ac:dyDescent="0.2">
      <c r="F982" s="503" t="s">
        <v>240</v>
      </c>
      <c r="G982" s="504" t="s">
        <v>241</v>
      </c>
      <c r="H982" s="397"/>
      <c r="I982" s="397"/>
      <c r="J982" s="750"/>
      <c r="K982" s="398"/>
      <c r="L982" s="404"/>
      <c r="M982" s="399"/>
    </row>
    <row r="983" spans="5:13" hidden="1" x14ac:dyDescent="0.2">
      <c r="F983" s="503" t="s">
        <v>242</v>
      </c>
      <c r="G983" s="504" t="s">
        <v>243</v>
      </c>
      <c r="H983" s="397"/>
      <c r="I983" s="397"/>
      <c r="J983" s="750"/>
      <c r="K983" s="398"/>
      <c r="L983" s="404"/>
      <c r="M983" s="399"/>
    </row>
    <row r="984" spans="5:13" hidden="1" x14ac:dyDescent="0.2">
      <c r="F984" s="503" t="s">
        <v>244</v>
      </c>
      <c r="G984" s="504" t="s">
        <v>245</v>
      </c>
      <c r="H984" s="397"/>
      <c r="I984" s="397"/>
      <c r="J984" s="750"/>
      <c r="K984" s="398"/>
      <c r="L984" s="404"/>
      <c r="M984" s="399"/>
    </row>
    <row r="985" spans="5:13" hidden="1" x14ac:dyDescent="0.2">
      <c r="F985" s="503" t="s">
        <v>246</v>
      </c>
      <c r="G985" s="504" t="s">
        <v>247</v>
      </c>
      <c r="H985" s="397"/>
      <c r="I985" s="397"/>
      <c r="J985" s="750"/>
      <c r="K985" s="398"/>
      <c r="L985" s="404"/>
      <c r="M985" s="399"/>
    </row>
    <row r="986" spans="5:13" ht="25.5" hidden="1" x14ac:dyDescent="0.2">
      <c r="F986" s="503" t="s">
        <v>248</v>
      </c>
      <c r="G986" s="504" t="s">
        <v>249</v>
      </c>
      <c r="H986" s="397"/>
      <c r="I986" s="397"/>
      <c r="J986" s="750"/>
      <c r="K986" s="398"/>
      <c r="L986" s="404"/>
      <c r="M986" s="399"/>
    </row>
    <row r="987" spans="5:13" hidden="1" x14ac:dyDescent="0.2">
      <c r="F987" s="503" t="s">
        <v>250</v>
      </c>
      <c r="G987" s="504" t="s">
        <v>57</v>
      </c>
      <c r="H987" s="397"/>
      <c r="I987" s="397"/>
      <c r="J987" s="750"/>
      <c r="K987" s="398"/>
      <c r="L987" s="404"/>
      <c r="M987" s="399"/>
    </row>
    <row r="988" spans="5:13" hidden="1" x14ac:dyDescent="0.2">
      <c r="F988" s="503" t="s">
        <v>251</v>
      </c>
      <c r="G988" s="504" t="s">
        <v>252</v>
      </c>
      <c r="H988" s="397"/>
      <c r="I988" s="397"/>
      <c r="J988" s="750"/>
      <c r="K988" s="398"/>
      <c r="L988" s="404"/>
      <c r="M988" s="399"/>
    </row>
    <row r="989" spans="5:13" hidden="1" x14ac:dyDescent="0.2">
      <c r="F989" s="503" t="s">
        <v>253</v>
      </c>
      <c r="G989" s="504" t="s">
        <v>254</v>
      </c>
      <c r="H989" s="397"/>
      <c r="I989" s="397"/>
      <c r="J989" s="750"/>
      <c r="K989" s="398"/>
      <c r="L989" s="404"/>
      <c r="M989" s="399"/>
    </row>
    <row r="990" spans="5:13" ht="25.5" hidden="1" x14ac:dyDescent="0.2">
      <c r="F990" s="503" t="s">
        <v>255</v>
      </c>
      <c r="G990" s="504" t="s">
        <v>256</v>
      </c>
      <c r="H990" s="397"/>
      <c r="I990" s="397"/>
      <c r="J990" s="750"/>
      <c r="K990" s="398"/>
      <c r="L990" s="404"/>
      <c r="M990" s="399"/>
    </row>
    <row r="991" spans="5:13" ht="25.5" hidden="1" x14ac:dyDescent="0.2">
      <c r="F991" s="503" t="s">
        <v>257</v>
      </c>
      <c r="G991" s="504" t="s">
        <v>258</v>
      </c>
      <c r="H991" s="397"/>
      <c r="I991" s="397"/>
      <c r="J991" s="750"/>
      <c r="K991" s="398"/>
      <c r="L991" s="404"/>
      <c r="M991" s="399"/>
    </row>
    <row r="992" spans="5:13" ht="25.5" hidden="1" x14ac:dyDescent="0.2">
      <c r="F992" s="503" t="s">
        <v>259</v>
      </c>
      <c r="G992" s="504" t="s">
        <v>260</v>
      </c>
      <c r="H992" s="397"/>
      <c r="I992" s="397"/>
      <c r="J992" s="750"/>
      <c r="K992" s="398"/>
      <c r="L992" s="404"/>
      <c r="M992" s="399"/>
    </row>
    <row r="993" spans="1:27" ht="25.5" hidden="1" x14ac:dyDescent="0.2">
      <c r="F993" s="503" t="s">
        <v>261</v>
      </c>
      <c r="G993" s="504" t="s">
        <v>262</v>
      </c>
      <c r="H993" s="397"/>
      <c r="I993" s="397"/>
      <c r="J993" s="750"/>
      <c r="K993" s="398"/>
      <c r="L993" s="404"/>
      <c r="M993" s="399"/>
    </row>
    <row r="994" spans="1:27" hidden="1" x14ac:dyDescent="0.2">
      <c r="F994" s="503" t="s">
        <v>263</v>
      </c>
      <c r="G994" s="504" t="s">
        <v>264</v>
      </c>
      <c r="H994" s="403"/>
      <c r="I994" s="403"/>
      <c r="J994" s="750"/>
      <c r="K994" s="404"/>
      <c r="L994" s="404"/>
      <c r="M994" s="399"/>
    </row>
    <row r="995" spans="1:27" ht="13.5" hidden="1" collapsed="1" thickBot="1" x14ac:dyDescent="0.25">
      <c r="G995" s="505" t="s">
        <v>4397</v>
      </c>
      <c r="H995" s="405">
        <f>SUM(H979:H994)</f>
        <v>0</v>
      </c>
      <c r="I995" s="405"/>
      <c r="J995" s="750"/>
      <c r="K995" s="406">
        <f>SUM(K980:K994)</f>
        <v>0</v>
      </c>
      <c r="L995" s="406"/>
      <c r="M995" s="399"/>
    </row>
    <row r="996" spans="1:27" hidden="1" x14ac:dyDescent="0.2">
      <c r="G996" s="510"/>
      <c r="H996" s="411"/>
      <c r="I996" s="411"/>
      <c r="J996" s="750"/>
      <c r="K996" s="412"/>
      <c r="L996" s="412"/>
      <c r="M996" s="399"/>
    </row>
    <row r="997" spans="1:27" s="530" customFormat="1" hidden="1" x14ac:dyDescent="0.2">
      <c r="A997" s="526"/>
      <c r="B997" s="527"/>
      <c r="C997" s="534" t="s">
        <v>4478</v>
      </c>
      <c r="D997" s="535"/>
      <c r="E997" s="535"/>
      <c r="F997" s="167"/>
      <c r="G997" s="513" t="s">
        <v>4503</v>
      </c>
      <c r="H997" s="422"/>
      <c r="I997" s="422"/>
      <c r="J997" s="750"/>
      <c r="K997" s="423"/>
      <c r="L997" s="424"/>
      <c r="M997" s="399"/>
      <c r="N997" s="171"/>
      <c r="O997" s="171"/>
      <c r="P997" s="171"/>
      <c r="Q997" s="171"/>
      <c r="R997" s="171"/>
      <c r="S997" s="171"/>
      <c r="T997" s="171"/>
      <c r="U997" s="171"/>
      <c r="V997" s="171"/>
      <c r="W997" s="171"/>
      <c r="X997" s="171"/>
      <c r="Y997" s="171"/>
      <c r="Z997" s="171"/>
      <c r="AA997" s="171"/>
    </row>
    <row r="998" spans="1:27" s="530" customFormat="1" hidden="1" x14ac:dyDescent="0.2">
      <c r="A998" s="526"/>
      <c r="B998" s="527"/>
      <c r="C998" s="528"/>
      <c r="D998" s="492">
        <v>620</v>
      </c>
      <c r="E998" s="492"/>
      <c r="F998" s="492"/>
      <c r="G998" s="533" t="s">
        <v>182</v>
      </c>
      <c r="H998" s="422"/>
      <c r="I998" s="422"/>
      <c r="J998" s="750"/>
      <c r="K998" s="423"/>
      <c r="L998" s="424"/>
      <c r="M998" s="399"/>
      <c r="N998" s="171"/>
      <c r="O998" s="171"/>
      <c r="P998" s="171"/>
      <c r="Q998" s="171"/>
      <c r="R998" s="171"/>
      <c r="S998" s="171"/>
      <c r="T998" s="171"/>
      <c r="U998" s="171"/>
      <c r="V998" s="171"/>
      <c r="W998" s="171"/>
      <c r="X998" s="171"/>
      <c r="Y998" s="171"/>
      <c r="Z998" s="171"/>
      <c r="AA998" s="171"/>
    </row>
    <row r="999" spans="1:27" s="530" customFormat="1" hidden="1" x14ac:dyDescent="0.2">
      <c r="A999" s="526"/>
      <c r="B999" s="527"/>
      <c r="C999" s="534"/>
      <c r="D999" s="535"/>
      <c r="E999" s="535"/>
      <c r="F999" s="494">
        <v>422</v>
      </c>
      <c r="G999" s="495" t="s">
        <v>3778</v>
      </c>
      <c r="H999" s="422"/>
      <c r="I999" s="422"/>
      <c r="J999" s="750"/>
      <c r="K999" s="423"/>
      <c r="L999" s="424"/>
      <c r="M999" s="399"/>
      <c r="N999" s="171"/>
      <c r="O999" s="171"/>
      <c r="P999" s="171"/>
      <c r="Q999" s="171"/>
      <c r="R999" s="171"/>
      <c r="S999" s="171"/>
      <c r="T999" s="171"/>
      <c r="U999" s="171"/>
      <c r="V999" s="171"/>
      <c r="W999" s="171"/>
      <c r="X999" s="171"/>
      <c r="Y999" s="171"/>
      <c r="Z999" s="171"/>
      <c r="AA999" s="171"/>
    </row>
    <row r="1000" spans="1:27" s="530" customFormat="1" hidden="1" x14ac:dyDescent="0.2">
      <c r="A1000" s="526"/>
      <c r="B1000" s="527"/>
      <c r="C1000" s="534"/>
      <c r="D1000" s="535"/>
      <c r="E1000" s="535"/>
      <c r="F1000" s="494">
        <v>423</v>
      </c>
      <c r="G1000" s="495" t="s">
        <v>3779</v>
      </c>
      <c r="H1000" s="422"/>
      <c r="I1000" s="422"/>
      <c r="J1000" s="750"/>
      <c r="K1000" s="423"/>
      <c r="L1000" s="424"/>
      <c r="M1000" s="399"/>
      <c r="N1000" s="171"/>
      <c r="O1000" s="171"/>
      <c r="P1000" s="171"/>
      <c r="Q1000" s="171"/>
      <c r="R1000" s="171"/>
      <c r="S1000" s="171"/>
      <c r="T1000" s="171"/>
      <c r="U1000" s="171"/>
      <c r="V1000" s="171"/>
      <c r="W1000" s="171"/>
      <c r="X1000" s="171"/>
      <c r="Y1000" s="171"/>
      <c r="Z1000" s="171"/>
      <c r="AA1000" s="171"/>
    </row>
    <row r="1001" spans="1:27" s="530" customFormat="1" hidden="1" x14ac:dyDescent="0.2">
      <c r="A1001" s="526"/>
      <c r="B1001" s="527"/>
      <c r="C1001" s="534"/>
      <c r="D1001" s="535"/>
      <c r="E1001" s="535"/>
      <c r="F1001" s="494">
        <v>424</v>
      </c>
      <c r="G1001" s="495" t="s">
        <v>3781</v>
      </c>
      <c r="H1001" s="422"/>
      <c r="I1001" s="422"/>
      <c r="J1001" s="750"/>
      <c r="K1001" s="423"/>
      <c r="L1001" s="424"/>
      <c r="M1001" s="399"/>
      <c r="N1001" s="171"/>
      <c r="O1001" s="171"/>
      <c r="P1001" s="171"/>
      <c r="Q1001" s="171"/>
      <c r="R1001" s="171"/>
      <c r="S1001" s="171"/>
      <c r="T1001" s="171"/>
      <c r="U1001" s="171"/>
      <c r="V1001" s="171"/>
      <c r="W1001" s="171"/>
      <c r="X1001" s="171"/>
      <c r="Y1001" s="171"/>
      <c r="Z1001" s="171"/>
      <c r="AA1001" s="171"/>
    </row>
    <row r="1002" spans="1:27" s="530" customFormat="1" hidden="1" x14ac:dyDescent="0.2">
      <c r="A1002" s="526"/>
      <c r="B1002" s="527"/>
      <c r="C1002" s="534"/>
      <c r="D1002" s="535"/>
      <c r="E1002" s="535"/>
      <c r="F1002" s="167">
        <v>482</v>
      </c>
      <c r="G1002" s="495" t="s">
        <v>4190</v>
      </c>
      <c r="H1002" s="422"/>
      <c r="I1002" s="422"/>
      <c r="J1002" s="750"/>
      <c r="K1002" s="423"/>
      <c r="L1002" s="424"/>
      <c r="M1002" s="399"/>
      <c r="N1002" s="171"/>
      <c r="O1002" s="171"/>
      <c r="P1002" s="171"/>
      <c r="Q1002" s="171"/>
      <c r="R1002" s="171"/>
      <c r="S1002" s="171"/>
      <c r="T1002" s="171"/>
      <c r="U1002" s="171"/>
      <c r="V1002" s="171"/>
      <c r="W1002" s="171"/>
      <c r="X1002" s="171"/>
      <c r="Y1002" s="171"/>
      <c r="Z1002" s="171"/>
      <c r="AA1002" s="171"/>
    </row>
    <row r="1003" spans="1:27" hidden="1" x14ac:dyDescent="0.2">
      <c r="E1003" s="500"/>
      <c r="F1003" s="498"/>
      <c r="G1003" s="509" t="s">
        <v>4344</v>
      </c>
      <c r="H1003" s="400"/>
      <c r="I1003" s="400"/>
      <c r="J1003" s="750"/>
      <c r="K1003" s="401"/>
      <c r="L1003" s="402"/>
      <c r="M1003" s="399"/>
    </row>
    <row r="1004" spans="1:27" hidden="1" x14ac:dyDescent="0.2">
      <c r="E1004" s="502"/>
      <c r="F1004" s="503" t="s">
        <v>234</v>
      </c>
      <c r="G1004" s="504" t="s">
        <v>235</v>
      </c>
      <c r="H1004" s="403">
        <f>SUM(H999:H1002)</f>
        <v>0</v>
      </c>
      <c r="I1004" s="403"/>
      <c r="J1004" s="750"/>
      <c r="K1004" s="404"/>
      <c r="L1004" s="404"/>
      <c r="M1004" s="399"/>
    </row>
    <row r="1005" spans="1:27" hidden="1" x14ac:dyDescent="0.2">
      <c r="F1005" s="503" t="s">
        <v>236</v>
      </c>
      <c r="G1005" s="504" t="s">
        <v>237</v>
      </c>
      <c r="H1005" s="397"/>
      <c r="I1005" s="397"/>
      <c r="J1005" s="750"/>
      <c r="K1005" s="398"/>
      <c r="L1005" s="404"/>
      <c r="M1005" s="399"/>
    </row>
    <row r="1006" spans="1:27" hidden="1" x14ac:dyDescent="0.2">
      <c r="F1006" s="503" t="s">
        <v>238</v>
      </c>
      <c r="G1006" s="504" t="s">
        <v>239</v>
      </c>
      <c r="H1006" s="397"/>
      <c r="I1006" s="397"/>
      <c r="J1006" s="750"/>
      <c r="K1006" s="398"/>
      <c r="L1006" s="404"/>
      <c r="M1006" s="399"/>
    </row>
    <row r="1007" spans="1:27" hidden="1" x14ac:dyDescent="0.2">
      <c r="F1007" s="503" t="s">
        <v>240</v>
      </c>
      <c r="G1007" s="504" t="s">
        <v>241</v>
      </c>
      <c r="H1007" s="397"/>
      <c r="I1007" s="397"/>
      <c r="J1007" s="750"/>
      <c r="K1007" s="398"/>
      <c r="L1007" s="404"/>
      <c r="M1007" s="399"/>
    </row>
    <row r="1008" spans="1:27" hidden="1" x14ac:dyDescent="0.2">
      <c r="F1008" s="503" t="s">
        <v>242</v>
      </c>
      <c r="G1008" s="504" t="s">
        <v>243</v>
      </c>
      <c r="H1008" s="397"/>
      <c r="I1008" s="397"/>
      <c r="J1008" s="750"/>
      <c r="K1008" s="398"/>
      <c r="L1008" s="404"/>
      <c r="M1008" s="399"/>
    </row>
    <row r="1009" spans="5:13" hidden="1" x14ac:dyDescent="0.2">
      <c r="F1009" s="503" t="s">
        <v>244</v>
      </c>
      <c r="G1009" s="504" t="s">
        <v>245</v>
      </c>
      <c r="H1009" s="397"/>
      <c r="I1009" s="397"/>
      <c r="J1009" s="750"/>
      <c r="K1009" s="398"/>
      <c r="L1009" s="404"/>
      <c r="M1009" s="399"/>
    </row>
    <row r="1010" spans="5:13" hidden="1" x14ac:dyDescent="0.2">
      <c r="F1010" s="503" t="s">
        <v>246</v>
      </c>
      <c r="G1010" s="504" t="s">
        <v>247</v>
      </c>
      <c r="H1010" s="397"/>
      <c r="I1010" s="397"/>
      <c r="J1010" s="750"/>
      <c r="K1010" s="398"/>
      <c r="L1010" s="404"/>
      <c r="M1010" s="399"/>
    </row>
    <row r="1011" spans="5:13" ht="25.5" hidden="1" x14ac:dyDescent="0.2">
      <c r="F1011" s="503" t="s">
        <v>248</v>
      </c>
      <c r="G1011" s="504" t="s">
        <v>249</v>
      </c>
      <c r="H1011" s="397"/>
      <c r="I1011" s="397"/>
      <c r="J1011" s="750"/>
      <c r="K1011" s="398"/>
      <c r="L1011" s="404"/>
      <c r="M1011" s="399"/>
    </row>
    <row r="1012" spans="5:13" hidden="1" x14ac:dyDescent="0.2">
      <c r="F1012" s="503" t="s">
        <v>250</v>
      </c>
      <c r="G1012" s="504" t="s">
        <v>57</v>
      </c>
      <c r="H1012" s="397"/>
      <c r="I1012" s="397"/>
      <c r="J1012" s="750"/>
      <c r="K1012" s="398"/>
      <c r="L1012" s="404"/>
      <c r="M1012" s="399"/>
    </row>
    <row r="1013" spans="5:13" hidden="1" x14ac:dyDescent="0.2">
      <c r="F1013" s="503" t="s">
        <v>251</v>
      </c>
      <c r="G1013" s="504" t="s">
        <v>252</v>
      </c>
      <c r="H1013" s="397"/>
      <c r="I1013" s="397"/>
      <c r="J1013" s="750"/>
      <c r="K1013" s="398"/>
      <c r="L1013" s="404"/>
      <c r="M1013" s="399"/>
    </row>
    <row r="1014" spans="5:13" hidden="1" x14ac:dyDescent="0.2">
      <c r="F1014" s="503" t="s">
        <v>253</v>
      </c>
      <c r="G1014" s="504" t="s">
        <v>254</v>
      </c>
      <c r="H1014" s="397"/>
      <c r="I1014" s="397"/>
      <c r="J1014" s="750"/>
      <c r="K1014" s="398"/>
      <c r="L1014" s="404"/>
      <c r="M1014" s="399"/>
    </row>
    <row r="1015" spans="5:13" ht="25.5" hidden="1" x14ac:dyDescent="0.2">
      <c r="F1015" s="503" t="s">
        <v>255</v>
      </c>
      <c r="G1015" s="504" t="s">
        <v>256</v>
      </c>
      <c r="H1015" s="397"/>
      <c r="I1015" s="397"/>
      <c r="J1015" s="750"/>
      <c r="K1015" s="398"/>
      <c r="L1015" s="404"/>
      <c r="M1015" s="399"/>
    </row>
    <row r="1016" spans="5:13" ht="25.5" hidden="1" x14ac:dyDescent="0.2">
      <c r="F1016" s="503" t="s">
        <v>257</v>
      </c>
      <c r="G1016" s="504" t="s">
        <v>258</v>
      </c>
      <c r="H1016" s="397"/>
      <c r="I1016" s="397"/>
      <c r="J1016" s="750"/>
      <c r="K1016" s="398"/>
      <c r="L1016" s="404"/>
      <c r="M1016" s="399"/>
    </row>
    <row r="1017" spans="5:13" ht="25.5" hidden="1" x14ac:dyDescent="0.2">
      <c r="F1017" s="503" t="s">
        <v>259</v>
      </c>
      <c r="G1017" s="504" t="s">
        <v>260</v>
      </c>
      <c r="H1017" s="397"/>
      <c r="I1017" s="397"/>
      <c r="J1017" s="750"/>
      <c r="K1017" s="398"/>
      <c r="L1017" s="404"/>
      <c r="M1017" s="399"/>
    </row>
    <row r="1018" spans="5:13" ht="25.5" hidden="1" x14ac:dyDescent="0.2">
      <c r="F1018" s="503" t="s">
        <v>261</v>
      </c>
      <c r="G1018" s="504" t="s">
        <v>262</v>
      </c>
      <c r="H1018" s="397"/>
      <c r="I1018" s="397"/>
      <c r="J1018" s="750"/>
      <c r="K1018" s="398"/>
      <c r="L1018" s="404"/>
      <c r="M1018" s="399"/>
    </row>
    <row r="1019" spans="5:13" hidden="1" x14ac:dyDescent="0.2">
      <c r="F1019" s="503" t="s">
        <v>263</v>
      </c>
      <c r="G1019" s="504" t="s">
        <v>264</v>
      </c>
      <c r="H1019" s="403"/>
      <c r="I1019" s="403"/>
      <c r="J1019" s="750"/>
      <c r="K1019" s="404"/>
      <c r="L1019" s="404"/>
      <c r="M1019" s="399"/>
    </row>
    <row r="1020" spans="5:13" ht="13.5" hidden="1" thickBot="1" x14ac:dyDescent="0.25">
      <c r="G1020" s="505" t="s">
        <v>4345</v>
      </c>
      <c r="H1020" s="405">
        <f>SUM(H1004:H1019)</f>
        <v>0</v>
      </c>
      <c r="I1020" s="405"/>
      <c r="J1020" s="750"/>
      <c r="K1020" s="406">
        <f>SUM(K1005:K1019)</f>
        <v>0</v>
      </c>
      <c r="L1020" s="406"/>
      <c r="M1020" s="399"/>
    </row>
    <row r="1021" spans="5:13" hidden="1" collapsed="1" x14ac:dyDescent="0.2">
      <c r="E1021" s="500"/>
      <c r="F1021" s="498"/>
      <c r="G1021" s="506" t="s">
        <v>5040</v>
      </c>
      <c r="H1021" s="407"/>
      <c r="I1021" s="408"/>
      <c r="J1021" s="750"/>
      <c r="K1021" s="409"/>
      <c r="L1021" s="410"/>
      <c r="M1021" s="399"/>
    </row>
    <row r="1022" spans="5:13" hidden="1" x14ac:dyDescent="0.2">
      <c r="E1022" s="502"/>
      <c r="F1022" s="503" t="s">
        <v>234</v>
      </c>
      <c r="G1022" s="504" t="s">
        <v>235</v>
      </c>
      <c r="H1022" s="403">
        <f>SUM(H999:H1002)</f>
        <v>0</v>
      </c>
      <c r="I1022" s="403"/>
      <c r="J1022" s="750"/>
      <c r="K1022" s="404"/>
      <c r="L1022" s="404"/>
      <c r="M1022" s="399"/>
    </row>
    <row r="1023" spans="5:13" hidden="1" x14ac:dyDescent="0.2">
      <c r="F1023" s="503" t="s">
        <v>236</v>
      </c>
      <c r="G1023" s="504" t="s">
        <v>237</v>
      </c>
      <c r="H1023" s="397"/>
      <c r="I1023" s="397"/>
      <c r="J1023" s="750"/>
      <c r="K1023" s="398"/>
      <c r="L1023" s="404"/>
      <c r="M1023" s="399"/>
    </row>
    <row r="1024" spans="5:13" hidden="1" x14ac:dyDescent="0.2">
      <c r="F1024" s="503" t="s">
        <v>238</v>
      </c>
      <c r="G1024" s="504" t="s">
        <v>239</v>
      </c>
      <c r="H1024" s="397"/>
      <c r="I1024" s="397"/>
      <c r="J1024" s="750"/>
      <c r="K1024" s="398"/>
      <c r="L1024" s="404"/>
      <c r="M1024" s="399"/>
    </row>
    <row r="1025" spans="1:27" hidden="1" x14ac:dyDescent="0.2">
      <c r="F1025" s="503" t="s">
        <v>240</v>
      </c>
      <c r="G1025" s="504" t="s">
        <v>241</v>
      </c>
      <c r="H1025" s="397"/>
      <c r="I1025" s="397"/>
      <c r="J1025" s="750"/>
      <c r="K1025" s="398"/>
      <c r="L1025" s="404"/>
      <c r="M1025" s="399"/>
    </row>
    <row r="1026" spans="1:27" hidden="1" x14ac:dyDescent="0.2">
      <c r="F1026" s="503" t="s">
        <v>242</v>
      </c>
      <c r="G1026" s="504" t="s">
        <v>243</v>
      </c>
      <c r="H1026" s="397"/>
      <c r="I1026" s="397"/>
      <c r="J1026" s="750"/>
      <c r="K1026" s="398"/>
      <c r="L1026" s="404"/>
      <c r="M1026" s="399"/>
    </row>
    <row r="1027" spans="1:27" hidden="1" x14ac:dyDescent="0.2">
      <c r="F1027" s="503" t="s">
        <v>244</v>
      </c>
      <c r="G1027" s="504" t="s">
        <v>245</v>
      </c>
      <c r="H1027" s="397"/>
      <c r="I1027" s="397"/>
      <c r="J1027" s="750"/>
      <c r="K1027" s="398"/>
      <c r="L1027" s="404"/>
      <c r="M1027" s="399"/>
    </row>
    <row r="1028" spans="1:27" hidden="1" x14ac:dyDescent="0.2">
      <c r="F1028" s="503" t="s">
        <v>246</v>
      </c>
      <c r="G1028" s="504" t="s">
        <v>247</v>
      </c>
      <c r="H1028" s="397"/>
      <c r="I1028" s="397"/>
      <c r="J1028" s="750"/>
      <c r="K1028" s="398"/>
      <c r="L1028" s="404"/>
      <c r="M1028" s="399"/>
    </row>
    <row r="1029" spans="1:27" ht="25.5" hidden="1" x14ac:dyDescent="0.2">
      <c r="F1029" s="503" t="s">
        <v>248</v>
      </c>
      <c r="G1029" s="504" t="s">
        <v>249</v>
      </c>
      <c r="H1029" s="397"/>
      <c r="I1029" s="397"/>
      <c r="J1029" s="750"/>
      <c r="K1029" s="398"/>
      <c r="L1029" s="404"/>
      <c r="M1029" s="399"/>
    </row>
    <row r="1030" spans="1:27" hidden="1" x14ac:dyDescent="0.2">
      <c r="F1030" s="503" t="s">
        <v>250</v>
      </c>
      <c r="G1030" s="504" t="s">
        <v>57</v>
      </c>
      <c r="H1030" s="397"/>
      <c r="I1030" s="397"/>
      <c r="J1030" s="750"/>
      <c r="K1030" s="398"/>
      <c r="L1030" s="404"/>
      <c r="M1030" s="399"/>
    </row>
    <row r="1031" spans="1:27" hidden="1" x14ac:dyDescent="0.2">
      <c r="F1031" s="503" t="s">
        <v>251</v>
      </c>
      <c r="G1031" s="504" t="s">
        <v>252</v>
      </c>
      <c r="H1031" s="397"/>
      <c r="I1031" s="397"/>
      <c r="J1031" s="750"/>
      <c r="K1031" s="398"/>
      <c r="L1031" s="404"/>
      <c r="M1031" s="399"/>
    </row>
    <row r="1032" spans="1:27" hidden="1" x14ac:dyDescent="0.2">
      <c r="F1032" s="503" t="s">
        <v>253</v>
      </c>
      <c r="G1032" s="504" t="s">
        <v>254</v>
      </c>
      <c r="H1032" s="397"/>
      <c r="I1032" s="397"/>
      <c r="J1032" s="750"/>
      <c r="K1032" s="398"/>
      <c r="L1032" s="404"/>
      <c r="M1032" s="399"/>
    </row>
    <row r="1033" spans="1:27" ht="25.5" hidden="1" x14ac:dyDescent="0.2">
      <c r="F1033" s="503" t="s">
        <v>255</v>
      </c>
      <c r="G1033" s="504" t="s">
        <v>256</v>
      </c>
      <c r="H1033" s="397"/>
      <c r="I1033" s="397"/>
      <c r="J1033" s="750"/>
      <c r="K1033" s="398"/>
      <c r="L1033" s="404"/>
      <c r="M1033" s="399"/>
    </row>
    <row r="1034" spans="1:27" ht="25.5" hidden="1" x14ac:dyDescent="0.2">
      <c r="F1034" s="503" t="s">
        <v>257</v>
      </c>
      <c r="G1034" s="504" t="s">
        <v>258</v>
      </c>
      <c r="H1034" s="397"/>
      <c r="I1034" s="397"/>
      <c r="J1034" s="750"/>
      <c r="K1034" s="398"/>
      <c r="L1034" s="404"/>
      <c r="M1034" s="399"/>
    </row>
    <row r="1035" spans="1:27" ht="25.5" hidden="1" x14ac:dyDescent="0.2">
      <c r="F1035" s="503" t="s">
        <v>259</v>
      </c>
      <c r="G1035" s="504" t="s">
        <v>260</v>
      </c>
      <c r="H1035" s="397"/>
      <c r="I1035" s="397"/>
      <c r="J1035" s="750"/>
      <c r="K1035" s="398"/>
      <c r="L1035" s="404"/>
      <c r="M1035" s="399"/>
    </row>
    <row r="1036" spans="1:27" ht="25.5" hidden="1" x14ac:dyDescent="0.2">
      <c r="F1036" s="503" t="s">
        <v>261</v>
      </c>
      <c r="G1036" s="504" t="s">
        <v>262</v>
      </c>
      <c r="H1036" s="397"/>
      <c r="I1036" s="397"/>
      <c r="J1036" s="750"/>
      <c r="K1036" s="398"/>
      <c r="L1036" s="404"/>
      <c r="M1036" s="399"/>
    </row>
    <row r="1037" spans="1:27" hidden="1" x14ac:dyDescent="0.2">
      <c r="F1037" s="503" t="s">
        <v>263</v>
      </c>
      <c r="G1037" s="504" t="s">
        <v>264</v>
      </c>
      <c r="H1037" s="403"/>
      <c r="I1037" s="403"/>
      <c r="J1037" s="750"/>
      <c r="K1037" s="404"/>
      <c r="L1037" s="404"/>
      <c r="M1037" s="399"/>
    </row>
    <row r="1038" spans="1:27" ht="13.5" hidden="1" thickBot="1" x14ac:dyDescent="0.25">
      <c r="G1038" s="505" t="s">
        <v>4502</v>
      </c>
      <c r="H1038" s="405">
        <f>SUM(H1022:H1037)</f>
        <v>0</v>
      </c>
      <c r="I1038" s="405"/>
      <c r="J1038" s="750"/>
      <c r="K1038" s="406">
        <f>SUM(K1023:K1037)</f>
        <v>0</v>
      </c>
      <c r="L1038" s="406"/>
      <c r="M1038" s="399"/>
    </row>
    <row r="1039" spans="1:27" s="530" customFormat="1" hidden="1" x14ac:dyDescent="0.2">
      <c r="A1039" s="526"/>
      <c r="B1039" s="527"/>
      <c r="C1039" s="534"/>
      <c r="D1039" s="535"/>
      <c r="E1039" s="535"/>
      <c r="F1039" s="167"/>
      <c r="G1039" s="513"/>
      <c r="H1039" s="422"/>
      <c r="I1039" s="422"/>
      <c r="J1039" s="750"/>
      <c r="K1039" s="423"/>
      <c r="L1039" s="424"/>
      <c r="M1039" s="399"/>
      <c r="N1039" s="171"/>
      <c r="O1039" s="171"/>
      <c r="P1039" s="171"/>
      <c r="Q1039" s="171"/>
      <c r="R1039" s="171"/>
      <c r="S1039" s="171"/>
      <c r="T1039" s="171"/>
      <c r="U1039" s="171"/>
      <c r="V1039" s="171"/>
      <c r="W1039" s="171"/>
      <c r="X1039" s="171"/>
      <c r="Y1039" s="171"/>
      <c r="Z1039" s="171"/>
      <c r="AA1039" s="171"/>
    </row>
    <row r="1040" spans="1:27" s="530" customFormat="1" hidden="1" x14ac:dyDescent="0.2">
      <c r="A1040" s="526"/>
      <c r="B1040" s="527"/>
      <c r="C1040" s="534"/>
      <c r="D1040" s="535"/>
      <c r="E1040" s="535"/>
      <c r="F1040" s="498"/>
      <c r="G1040" s="511" t="s">
        <v>4227</v>
      </c>
      <c r="H1040" s="413"/>
      <c r="I1040" s="413"/>
      <c r="J1040" s="750"/>
      <c r="K1040" s="414"/>
      <c r="L1040" s="415"/>
      <c r="M1040" s="399"/>
      <c r="N1040" s="171"/>
      <c r="O1040" s="171"/>
      <c r="P1040" s="171"/>
      <c r="Q1040" s="171"/>
      <c r="R1040" s="171"/>
      <c r="S1040" s="171"/>
      <c r="T1040" s="171"/>
      <c r="U1040" s="171"/>
      <c r="V1040" s="171"/>
      <c r="W1040" s="171"/>
      <c r="X1040" s="171"/>
      <c r="Y1040" s="171"/>
      <c r="Z1040" s="171"/>
      <c r="AA1040" s="171"/>
    </row>
    <row r="1041" spans="1:27" s="530" customFormat="1" hidden="1" x14ac:dyDescent="0.2">
      <c r="A1041" s="526"/>
      <c r="B1041" s="527"/>
      <c r="C1041" s="534"/>
      <c r="D1041" s="535"/>
      <c r="E1041" s="535"/>
      <c r="F1041" s="503" t="s">
        <v>234</v>
      </c>
      <c r="G1041" s="504" t="s">
        <v>235</v>
      </c>
      <c r="H1041" s="403">
        <f>SUM(H1022,H930,H979)</f>
        <v>0</v>
      </c>
      <c r="I1041" s="403"/>
      <c r="J1041" s="750"/>
      <c r="K1041" s="404"/>
      <c r="L1041" s="404"/>
      <c r="M1041" s="399"/>
      <c r="N1041" s="171"/>
      <c r="O1041" s="171"/>
      <c r="P1041" s="171"/>
      <c r="Q1041" s="171"/>
      <c r="R1041" s="171"/>
      <c r="S1041" s="171"/>
      <c r="T1041" s="171"/>
      <c r="U1041" s="171"/>
      <c r="V1041" s="171"/>
      <c r="W1041" s="171"/>
      <c r="X1041" s="171"/>
      <c r="Y1041" s="171"/>
      <c r="Z1041" s="171"/>
      <c r="AA1041" s="171"/>
    </row>
    <row r="1042" spans="1:27" s="530" customFormat="1" hidden="1" x14ac:dyDescent="0.2">
      <c r="A1042" s="526"/>
      <c r="B1042" s="527"/>
      <c r="C1042" s="534"/>
      <c r="D1042" s="535"/>
      <c r="E1042" s="535"/>
      <c r="F1042" s="503" t="s">
        <v>236</v>
      </c>
      <c r="G1042" s="504" t="s">
        <v>237</v>
      </c>
      <c r="H1042" s="397"/>
      <c r="I1042" s="397"/>
      <c r="J1042" s="750"/>
      <c r="K1042" s="398"/>
      <c r="L1042" s="404"/>
      <c r="M1042" s="399"/>
      <c r="N1042" s="171"/>
      <c r="O1042" s="171"/>
      <c r="P1042" s="171"/>
      <c r="Q1042" s="171"/>
      <c r="R1042" s="171"/>
      <c r="S1042" s="171"/>
      <c r="T1042" s="171"/>
      <c r="U1042" s="171"/>
      <c r="V1042" s="171"/>
      <c r="W1042" s="171"/>
      <c r="X1042" s="171"/>
      <c r="Y1042" s="171"/>
      <c r="Z1042" s="171"/>
      <c r="AA1042" s="171"/>
    </row>
    <row r="1043" spans="1:27" s="530" customFormat="1" hidden="1" x14ac:dyDescent="0.2">
      <c r="A1043" s="526"/>
      <c r="B1043" s="527"/>
      <c r="C1043" s="534"/>
      <c r="D1043" s="535"/>
      <c r="E1043" s="535"/>
      <c r="F1043" s="503" t="s">
        <v>238</v>
      </c>
      <c r="G1043" s="504" t="s">
        <v>239</v>
      </c>
      <c r="H1043" s="397"/>
      <c r="I1043" s="397"/>
      <c r="J1043" s="750"/>
      <c r="K1043" s="398"/>
      <c r="L1043" s="404"/>
      <c r="M1043" s="399"/>
      <c r="N1043" s="171"/>
      <c r="O1043" s="171"/>
      <c r="P1043" s="171"/>
      <c r="Q1043" s="171"/>
      <c r="R1043" s="171"/>
      <c r="S1043" s="171"/>
      <c r="T1043" s="171"/>
      <c r="U1043" s="171"/>
      <c r="V1043" s="171"/>
      <c r="W1043" s="171"/>
      <c r="X1043" s="171"/>
      <c r="Y1043" s="171"/>
      <c r="Z1043" s="171"/>
      <c r="AA1043" s="171"/>
    </row>
    <row r="1044" spans="1:27" s="530" customFormat="1" hidden="1" x14ac:dyDescent="0.2">
      <c r="A1044" s="526"/>
      <c r="B1044" s="527"/>
      <c r="C1044" s="534"/>
      <c r="D1044" s="535"/>
      <c r="E1044" s="535"/>
      <c r="F1044" s="503" t="s">
        <v>240</v>
      </c>
      <c r="G1044" s="504" t="s">
        <v>241</v>
      </c>
      <c r="H1044" s="397"/>
      <c r="I1044" s="397"/>
      <c r="J1044" s="750"/>
      <c r="K1044" s="398"/>
      <c r="L1044" s="404"/>
      <c r="M1044" s="399"/>
      <c r="N1044" s="171"/>
      <c r="O1044" s="171"/>
      <c r="P1044" s="171"/>
      <c r="Q1044" s="171"/>
      <c r="R1044" s="171"/>
      <c r="S1044" s="171"/>
      <c r="T1044" s="171"/>
      <c r="U1044" s="171"/>
      <c r="V1044" s="171"/>
      <c r="W1044" s="171"/>
      <c r="X1044" s="171"/>
      <c r="Y1044" s="171"/>
      <c r="Z1044" s="171"/>
      <c r="AA1044" s="171"/>
    </row>
    <row r="1045" spans="1:27" s="530" customFormat="1" hidden="1" x14ac:dyDescent="0.2">
      <c r="A1045" s="526"/>
      <c r="B1045" s="527"/>
      <c r="C1045" s="534"/>
      <c r="D1045" s="535"/>
      <c r="E1045" s="535"/>
      <c r="F1045" s="503" t="s">
        <v>242</v>
      </c>
      <c r="G1045" s="504" t="s">
        <v>243</v>
      </c>
      <c r="H1045" s="397"/>
      <c r="I1045" s="397"/>
      <c r="J1045" s="750"/>
      <c r="K1045" s="398"/>
      <c r="L1045" s="404"/>
      <c r="M1045" s="399"/>
      <c r="N1045" s="171"/>
      <c r="O1045" s="171"/>
      <c r="P1045" s="171"/>
      <c r="Q1045" s="171"/>
      <c r="R1045" s="171"/>
      <c r="S1045" s="171"/>
      <c r="T1045" s="171"/>
      <c r="U1045" s="171"/>
      <c r="V1045" s="171"/>
      <c r="W1045" s="171"/>
      <c r="X1045" s="171"/>
      <c r="Y1045" s="171"/>
      <c r="Z1045" s="171"/>
      <c r="AA1045" s="171"/>
    </row>
    <row r="1046" spans="1:27" s="530" customFormat="1" hidden="1" x14ac:dyDescent="0.2">
      <c r="A1046" s="526"/>
      <c r="B1046" s="527"/>
      <c r="C1046" s="534"/>
      <c r="D1046" s="535"/>
      <c r="E1046" s="535"/>
      <c r="F1046" s="503" t="s">
        <v>244</v>
      </c>
      <c r="G1046" s="504" t="s">
        <v>245</v>
      </c>
      <c r="H1046" s="397"/>
      <c r="I1046" s="397"/>
      <c r="J1046" s="750"/>
      <c r="K1046" s="398"/>
      <c r="L1046" s="404"/>
      <c r="M1046" s="399"/>
      <c r="N1046" s="171"/>
      <c r="O1046" s="171"/>
      <c r="P1046" s="171"/>
      <c r="Q1046" s="171"/>
      <c r="R1046" s="171"/>
      <c r="S1046" s="171"/>
      <c r="T1046" s="171"/>
      <c r="U1046" s="171"/>
      <c r="V1046" s="171"/>
      <c r="W1046" s="171"/>
      <c r="X1046" s="171"/>
      <c r="Y1046" s="171"/>
      <c r="Z1046" s="171"/>
      <c r="AA1046" s="171"/>
    </row>
    <row r="1047" spans="1:27" s="530" customFormat="1" hidden="1" x14ac:dyDescent="0.2">
      <c r="A1047" s="526"/>
      <c r="B1047" s="527"/>
      <c r="C1047" s="534"/>
      <c r="D1047" s="535"/>
      <c r="E1047" s="535"/>
      <c r="F1047" s="503" t="s">
        <v>246</v>
      </c>
      <c r="G1047" s="504" t="s">
        <v>247</v>
      </c>
      <c r="H1047" s="397"/>
      <c r="I1047" s="397"/>
      <c r="J1047" s="750"/>
      <c r="K1047" s="398"/>
      <c r="L1047" s="404"/>
      <c r="M1047" s="399"/>
      <c r="N1047" s="171"/>
      <c r="O1047" s="171"/>
      <c r="P1047" s="171"/>
      <c r="Q1047" s="171"/>
      <c r="R1047" s="171"/>
      <c r="S1047" s="171"/>
      <c r="T1047" s="171"/>
      <c r="U1047" s="171"/>
      <c r="V1047" s="171"/>
      <c r="W1047" s="171"/>
      <c r="X1047" s="171"/>
      <c r="Y1047" s="171"/>
      <c r="Z1047" s="171"/>
      <c r="AA1047" s="171"/>
    </row>
    <row r="1048" spans="1:27" s="530" customFormat="1" ht="25.5" hidden="1" x14ac:dyDescent="0.2">
      <c r="A1048" s="526"/>
      <c r="B1048" s="527"/>
      <c r="C1048" s="534"/>
      <c r="D1048" s="535"/>
      <c r="E1048" s="535"/>
      <c r="F1048" s="503" t="s">
        <v>248</v>
      </c>
      <c r="G1048" s="504" t="s">
        <v>249</v>
      </c>
      <c r="H1048" s="397"/>
      <c r="I1048" s="397"/>
      <c r="J1048" s="750"/>
      <c r="K1048" s="398"/>
      <c r="L1048" s="404"/>
      <c r="M1048" s="399"/>
      <c r="N1048" s="171"/>
      <c r="O1048" s="171"/>
      <c r="P1048" s="171"/>
      <c r="Q1048" s="171"/>
      <c r="R1048" s="171"/>
      <c r="S1048" s="171"/>
      <c r="T1048" s="171"/>
      <c r="U1048" s="171"/>
      <c r="V1048" s="171"/>
      <c r="W1048" s="171"/>
      <c r="X1048" s="171"/>
      <c r="Y1048" s="171"/>
      <c r="Z1048" s="171"/>
      <c r="AA1048" s="171"/>
    </row>
    <row r="1049" spans="1:27" s="530" customFormat="1" hidden="1" x14ac:dyDescent="0.2">
      <c r="A1049" s="526"/>
      <c r="B1049" s="527"/>
      <c r="C1049" s="534"/>
      <c r="D1049" s="535"/>
      <c r="E1049" s="535"/>
      <c r="F1049" s="503" t="s">
        <v>250</v>
      </c>
      <c r="G1049" s="504" t="s">
        <v>57</v>
      </c>
      <c r="H1049" s="397"/>
      <c r="I1049" s="397"/>
      <c r="J1049" s="750"/>
      <c r="K1049" s="398"/>
      <c r="L1049" s="404"/>
      <c r="M1049" s="399"/>
      <c r="N1049" s="171"/>
      <c r="O1049" s="171"/>
      <c r="P1049" s="171"/>
      <c r="Q1049" s="171"/>
      <c r="R1049" s="171"/>
      <c r="S1049" s="171"/>
      <c r="T1049" s="171"/>
      <c r="U1049" s="171"/>
      <c r="V1049" s="171"/>
      <c r="W1049" s="171"/>
      <c r="X1049" s="171"/>
      <c r="Y1049" s="171"/>
      <c r="Z1049" s="171"/>
      <c r="AA1049" s="171"/>
    </row>
    <row r="1050" spans="1:27" s="530" customFormat="1" hidden="1" x14ac:dyDescent="0.2">
      <c r="A1050" s="526"/>
      <c r="B1050" s="527"/>
      <c r="C1050" s="534"/>
      <c r="D1050" s="535"/>
      <c r="E1050" s="535"/>
      <c r="F1050" s="503" t="s">
        <v>251</v>
      </c>
      <c r="G1050" s="504" t="s">
        <v>252</v>
      </c>
      <c r="H1050" s="397"/>
      <c r="I1050" s="397"/>
      <c r="J1050" s="750"/>
      <c r="K1050" s="398"/>
      <c r="L1050" s="404"/>
      <c r="M1050" s="399"/>
      <c r="N1050" s="171"/>
      <c r="O1050" s="171"/>
      <c r="P1050" s="171"/>
      <c r="Q1050" s="171"/>
      <c r="R1050" s="171"/>
      <c r="S1050" s="171"/>
      <c r="T1050" s="171"/>
      <c r="U1050" s="171"/>
      <c r="V1050" s="171"/>
      <c r="W1050" s="171"/>
      <c r="X1050" s="171"/>
      <c r="Y1050" s="171"/>
      <c r="Z1050" s="171"/>
      <c r="AA1050" s="171"/>
    </row>
    <row r="1051" spans="1:27" s="530" customFormat="1" hidden="1" x14ac:dyDescent="0.2">
      <c r="A1051" s="526"/>
      <c r="B1051" s="527"/>
      <c r="C1051" s="534"/>
      <c r="D1051" s="535"/>
      <c r="E1051" s="535"/>
      <c r="F1051" s="503" t="s">
        <v>253</v>
      </c>
      <c r="G1051" s="504" t="s">
        <v>254</v>
      </c>
      <c r="H1051" s="397"/>
      <c r="I1051" s="397"/>
      <c r="J1051" s="750"/>
      <c r="K1051" s="398"/>
      <c r="L1051" s="404"/>
      <c r="M1051" s="399"/>
      <c r="N1051" s="171"/>
      <c r="O1051" s="171"/>
      <c r="P1051" s="171"/>
      <c r="Q1051" s="171"/>
      <c r="R1051" s="171"/>
      <c r="S1051" s="171"/>
      <c r="T1051" s="171"/>
      <c r="U1051" s="171"/>
      <c r="V1051" s="171"/>
      <c r="W1051" s="171"/>
      <c r="X1051" s="171"/>
      <c r="Y1051" s="171"/>
      <c r="Z1051" s="171"/>
      <c r="AA1051" s="171"/>
    </row>
    <row r="1052" spans="1:27" s="530" customFormat="1" ht="25.5" hidden="1" x14ac:dyDescent="0.2">
      <c r="A1052" s="526"/>
      <c r="B1052" s="527"/>
      <c r="C1052" s="534"/>
      <c r="D1052" s="535"/>
      <c r="E1052" s="535"/>
      <c r="F1052" s="503" t="s">
        <v>255</v>
      </c>
      <c r="G1052" s="504" t="s">
        <v>256</v>
      </c>
      <c r="H1052" s="397"/>
      <c r="I1052" s="397"/>
      <c r="J1052" s="750"/>
      <c r="K1052" s="398"/>
      <c r="L1052" s="404"/>
      <c r="M1052" s="399"/>
      <c r="N1052" s="171"/>
      <c r="O1052" s="171"/>
      <c r="P1052" s="171"/>
      <c r="Q1052" s="171"/>
      <c r="R1052" s="171"/>
      <c r="S1052" s="171"/>
      <c r="T1052" s="171"/>
      <c r="U1052" s="171"/>
      <c r="V1052" s="171"/>
      <c r="W1052" s="171"/>
      <c r="X1052" s="171"/>
      <c r="Y1052" s="171"/>
      <c r="Z1052" s="171"/>
      <c r="AA1052" s="171"/>
    </row>
    <row r="1053" spans="1:27" s="530" customFormat="1" ht="25.5" hidden="1" x14ac:dyDescent="0.2">
      <c r="A1053" s="526"/>
      <c r="B1053" s="527"/>
      <c r="C1053" s="534"/>
      <c r="D1053" s="535"/>
      <c r="E1053" s="535"/>
      <c r="F1053" s="503" t="s">
        <v>257</v>
      </c>
      <c r="G1053" s="504" t="s">
        <v>258</v>
      </c>
      <c r="H1053" s="397"/>
      <c r="I1053" s="397"/>
      <c r="J1053" s="750"/>
      <c r="K1053" s="398"/>
      <c r="L1053" s="404"/>
      <c r="M1053" s="399"/>
      <c r="N1053" s="171"/>
      <c r="O1053" s="171"/>
      <c r="P1053" s="171"/>
      <c r="Q1053" s="171"/>
      <c r="R1053" s="171"/>
      <c r="S1053" s="171"/>
      <c r="T1053" s="171"/>
      <c r="U1053" s="171"/>
      <c r="V1053" s="171"/>
      <c r="W1053" s="171"/>
      <c r="X1053" s="171"/>
      <c r="Y1053" s="171"/>
      <c r="Z1053" s="171"/>
      <c r="AA1053" s="171"/>
    </row>
    <row r="1054" spans="1:27" s="530" customFormat="1" ht="25.5" hidden="1" x14ac:dyDescent="0.2">
      <c r="A1054" s="526"/>
      <c r="B1054" s="527"/>
      <c r="C1054" s="534"/>
      <c r="D1054" s="535"/>
      <c r="E1054" s="535"/>
      <c r="F1054" s="503" t="s">
        <v>259</v>
      </c>
      <c r="G1054" s="504" t="s">
        <v>260</v>
      </c>
      <c r="H1054" s="397"/>
      <c r="I1054" s="397"/>
      <c r="J1054" s="750"/>
      <c r="K1054" s="398"/>
      <c r="L1054" s="404"/>
      <c r="M1054" s="399"/>
      <c r="N1054" s="171"/>
      <c r="O1054" s="171"/>
      <c r="P1054" s="171"/>
      <c r="Q1054" s="171"/>
      <c r="R1054" s="171"/>
      <c r="S1054" s="171"/>
      <c r="T1054" s="171"/>
      <c r="U1054" s="171"/>
      <c r="V1054" s="171"/>
      <c r="W1054" s="171"/>
      <c r="X1054" s="171"/>
      <c r="Y1054" s="171"/>
      <c r="Z1054" s="171"/>
      <c r="AA1054" s="171"/>
    </row>
    <row r="1055" spans="1:27" s="530" customFormat="1" ht="25.5" hidden="1" x14ac:dyDescent="0.2">
      <c r="A1055" s="526"/>
      <c r="B1055" s="527"/>
      <c r="C1055" s="534"/>
      <c r="D1055" s="535"/>
      <c r="E1055" s="535"/>
      <c r="F1055" s="503" t="s">
        <v>261</v>
      </c>
      <c r="G1055" s="504" t="s">
        <v>262</v>
      </c>
      <c r="H1055" s="397"/>
      <c r="I1055" s="397"/>
      <c r="J1055" s="750"/>
      <c r="K1055" s="398"/>
      <c r="L1055" s="404"/>
      <c r="M1055" s="399"/>
      <c r="N1055" s="171"/>
      <c r="O1055" s="171"/>
      <c r="P1055" s="171"/>
      <c r="Q1055" s="171"/>
      <c r="R1055" s="171"/>
      <c r="S1055" s="171"/>
      <c r="T1055" s="171"/>
      <c r="U1055" s="171"/>
      <c r="V1055" s="171"/>
      <c r="W1055" s="171"/>
      <c r="X1055" s="171"/>
      <c r="Y1055" s="171"/>
      <c r="Z1055" s="171"/>
      <c r="AA1055" s="171"/>
    </row>
    <row r="1056" spans="1:27" s="530" customFormat="1" hidden="1" x14ac:dyDescent="0.2">
      <c r="A1056" s="526"/>
      <c r="B1056" s="527"/>
      <c r="C1056" s="534"/>
      <c r="D1056" s="535"/>
      <c r="E1056" s="535"/>
      <c r="F1056" s="503" t="s">
        <v>263</v>
      </c>
      <c r="G1056" s="504" t="s">
        <v>264</v>
      </c>
      <c r="H1056" s="403"/>
      <c r="I1056" s="403"/>
      <c r="J1056" s="750"/>
      <c r="K1056" s="404"/>
      <c r="L1056" s="404"/>
      <c r="M1056" s="399"/>
      <c r="N1056" s="171"/>
      <c r="O1056" s="171"/>
      <c r="P1056" s="171"/>
      <c r="Q1056" s="171"/>
      <c r="R1056" s="171"/>
      <c r="S1056" s="171"/>
      <c r="T1056" s="171"/>
      <c r="U1056" s="171"/>
      <c r="V1056" s="171"/>
      <c r="W1056" s="171"/>
      <c r="X1056" s="171"/>
      <c r="Y1056" s="171"/>
      <c r="Z1056" s="171"/>
      <c r="AA1056" s="171"/>
    </row>
    <row r="1057" spans="1:27" s="530" customFormat="1" ht="13.5" hidden="1" thickBot="1" x14ac:dyDescent="0.25">
      <c r="A1057" s="526"/>
      <c r="B1057" s="527"/>
      <c r="C1057" s="534"/>
      <c r="D1057" s="535"/>
      <c r="E1057" s="535"/>
      <c r="F1057" s="464"/>
      <c r="G1057" s="505" t="s">
        <v>4228</v>
      </c>
      <c r="H1057" s="405">
        <f>SUM(H1041:H1056)</f>
        <v>0</v>
      </c>
      <c r="I1057" s="405"/>
      <c r="J1057" s="750"/>
      <c r="K1057" s="406">
        <f>SUM(K1042:K1056)</f>
        <v>0</v>
      </c>
      <c r="L1057" s="406"/>
      <c r="M1057" s="399"/>
      <c r="N1057" s="171"/>
      <c r="O1057" s="171"/>
      <c r="P1057" s="171"/>
      <c r="Q1057" s="171"/>
      <c r="R1057" s="171"/>
      <c r="S1057" s="171"/>
      <c r="T1057" s="171"/>
      <c r="U1057" s="171"/>
      <c r="V1057" s="171"/>
      <c r="W1057" s="171"/>
      <c r="X1057" s="171"/>
      <c r="Y1057" s="171"/>
      <c r="Z1057" s="171"/>
      <c r="AA1057" s="171"/>
    </row>
    <row r="1058" spans="1:27" s="530" customFormat="1" hidden="1" x14ac:dyDescent="0.2">
      <c r="A1058" s="526"/>
      <c r="B1058" s="527"/>
      <c r="C1058" s="534"/>
      <c r="D1058" s="535"/>
      <c r="E1058" s="535"/>
      <c r="F1058" s="167"/>
      <c r="G1058" s="513"/>
      <c r="H1058" s="422"/>
      <c r="I1058" s="422"/>
      <c r="J1058" s="750"/>
      <c r="K1058" s="423"/>
      <c r="L1058" s="424"/>
      <c r="M1058" s="399"/>
      <c r="N1058" s="171"/>
      <c r="O1058" s="171"/>
      <c r="P1058" s="169"/>
      <c r="Q1058" s="171"/>
      <c r="R1058" s="171"/>
      <c r="S1058" s="171"/>
      <c r="T1058" s="171"/>
      <c r="U1058" s="171"/>
      <c r="V1058" s="171"/>
      <c r="W1058" s="171"/>
      <c r="X1058" s="171"/>
      <c r="Y1058" s="171"/>
      <c r="Z1058" s="171"/>
      <c r="AA1058" s="171"/>
    </row>
    <row r="1059" spans="1:27" s="530" customFormat="1" hidden="1" x14ac:dyDescent="0.2">
      <c r="A1059" s="526"/>
      <c r="B1059" s="527"/>
      <c r="C1059" s="534"/>
      <c r="D1059" s="535"/>
      <c r="E1059" s="535"/>
      <c r="F1059" s="167"/>
      <c r="G1059" s="513"/>
      <c r="H1059" s="422"/>
      <c r="I1059" s="422"/>
      <c r="J1059" s="750"/>
      <c r="K1059" s="423"/>
      <c r="L1059" s="424"/>
      <c r="M1059" s="399"/>
      <c r="N1059" s="171"/>
      <c r="O1059" s="171"/>
      <c r="P1059" s="169"/>
      <c r="Q1059" s="171"/>
      <c r="R1059" s="171"/>
      <c r="S1059" s="171"/>
      <c r="T1059" s="171"/>
      <c r="U1059" s="171"/>
      <c r="V1059" s="171"/>
      <c r="W1059" s="171"/>
      <c r="X1059" s="171"/>
      <c r="Y1059" s="171"/>
      <c r="Z1059" s="171"/>
      <c r="AA1059" s="171"/>
    </row>
    <row r="1060" spans="1:27" s="530" customFormat="1" hidden="1" x14ac:dyDescent="0.2">
      <c r="A1060" s="526"/>
      <c r="B1060" s="527"/>
      <c r="C1060" s="528" t="s">
        <v>3564</v>
      </c>
      <c r="D1060" s="528"/>
      <c r="E1060" s="536"/>
      <c r="F1060" s="536"/>
      <c r="G1060" s="529" t="s">
        <v>4260</v>
      </c>
      <c r="H1060" s="425"/>
      <c r="I1060" s="425"/>
      <c r="J1060" s="750"/>
      <c r="K1060" s="243"/>
      <c r="L1060" s="243"/>
      <c r="M1060" s="399"/>
      <c r="N1060" s="171"/>
      <c r="O1060" s="171"/>
      <c r="P1060" s="171"/>
      <c r="Q1060" s="171"/>
      <c r="R1060" s="171"/>
      <c r="S1060" s="171"/>
      <c r="T1060" s="171"/>
      <c r="U1060" s="171"/>
      <c r="V1060" s="171"/>
      <c r="W1060" s="171"/>
      <c r="X1060" s="171"/>
      <c r="Y1060" s="171"/>
      <c r="Z1060" s="171"/>
      <c r="AA1060" s="171"/>
    </row>
    <row r="1061" spans="1:27" hidden="1" x14ac:dyDescent="0.2">
      <c r="C1061" s="489" t="s">
        <v>4083</v>
      </c>
      <c r="D1061" s="490"/>
      <c r="G1061" s="491" t="s">
        <v>5066</v>
      </c>
      <c r="H1061" s="397"/>
      <c r="I1061" s="397"/>
      <c r="J1061" s="750"/>
      <c r="K1061" s="398"/>
      <c r="L1061" s="398"/>
      <c r="M1061" s="399"/>
    </row>
    <row r="1062" spans="1:27" s="530" customFormat="1" hidden="1" x14ac:dyDescent="0.2">
      <c r="A1062" s="526"/>
      <c r="B1062" s="527"/>
      <c r="C1062" s="528"/>
      <c r="D1062" s="537">
        <v>411</v>
      </c>
      <c r="E1062" s="538"/>
      <c r="F1062" s="538"/>
      <c r="G1062" s="539" t="s">
        <v>135</v>
      </c>
      <c r="H1062" s="425"/>
      <c r="I1062" s="425"/>
      <c r="J1062" s="750"/>
      <c r="K1062" s="243"/>
      <c r="L1062" s="243"/>
      <c r="M1062" s="399"/>
      <c r="N1062" s="171"/>
      <c r="O1062" s="171"/>
      <c r="P1062" s="171"/>
      <c r="Q1062" s="171"/>
      <c r="R1062" s="171"/>
      <c r="S1062" s="171"/>
      <c r="T1062" s="171"/>
      <c r="U1062" s="171"/>
      <c r="V1062" s="171"/>
      <c r="W1062" s="171"/>
      <c r="X1062" s="171"/>
      <c r="Y1062" s="171"/>
      <c r="Z1062" s="171"/>
      <c r="AA1062" s="171"/>
    </row>
    <row r="1063" spans="1:27" hidden="1" x14ac:dyDescent="0.2">
      <c r="F1063" s="494">
        <v>411</v>
      </c>
      <c r="G1063" s="495" t="s">
        <v>4167</v>
      </c>
      <c r="H1063" s="397"/>
      <c r="I1063" s="397"/>
      <c r="J1063" s="750"/>
      <c r="K1063" s="398"/>
      <c r="L1063" s="398"/>
      <c r="M1063" s="399"/>
      <c r="N1063" s="540"/>
      <c r="O1063" s="540"/>
    </row>
    <row r="1064" spans="1:27" hidden="1" x14ac:dyDescent="0.2">
      <c r="F1064" s="494">
        <v>412</v>
      </c>
      <c r="G1064" s="496" t="s">
        <v>3764</v>
      </c>
      <c r="H1064" s="397"/>
      <c r="I1064" s="397"/>
      <c r="J1064" s="750"/>
      <c r="K1064" s="398"/>
      <c r="L1064" s="398"/>
      <c r="M1064" s="399"/>
    </row>
    <row r="1065" spans="1:27" hidden="1" x14ac:dyDescent="0.2">
      <c r="F1065" s="494">
        <v>413</v>
      </c>
      <c r="G1065" s="495" t="s">
        <v>4168</v>
      </c>
      <c r="H1065" s="397"/>
      <c r="I1065" s="397"/>
      <c r="J1065" s="750"/>
      <c r="K1065" s="398"/>
      <c r="L1065" s="398"/>
      <c r="M1065" s="399"/>
    </row>
    <row r="1066" spans="1:27" hidden="1" x14ac:dyDescent="0.2">
      <c r="F1066" s="494">
        <v>414</v>
      </c>
      <c r="G1066" s="495" t="s">
        <v>3767</v>
      </c>
      <c r="H1066" s="397"/>
      <c r="I1066" s="397"/>
      <c r="J1066" s="750"/>
      <c r="K1066" s="398"/>
      <c r="L1066" s="398"/>
      <c r="M1066" s="399"/>
    </row>
    <row r="1067" spans="1:27" hidden="1" x14ac:dyDescent="0.2">
      <c r="F1067" s="494">
        <v>415</v>
      </c>
      <c r="G1067" s="495" t="s">
        <v>4177</v>
      </c>
      <c r="H1067" s="397"/>
      <c r="I1067" s="397"/>
      <c r="J1067" s="750"/>
      <c r="K1067" s="398"/>
      <c r="L1067" s="398"/>
      <c r="M1067" s="399"/>
    </row>
    <row r="1068" spans="1:27" ht="25.5" hidden="1" x14ac:dyDescent="0.2">
      <c r="F1068" s="494">
        <v>416</v>
      </c>
      <c r="G1068" s="495" t="s">
        <v>4178</v>
      </c>
      <c r="H1068" s="397"/>
      <c r="I1068" s="397"/>
      <c r="J1068" s="750"/>
      <c r="K1068" s="398"/>
      <c r="L1068" s="398"/>
      <c r="M1068" s="399"/>
    </row>
    <row r="1069" spans="1:27" hidden="1" x14ac:dyDescent="0.2">
      <c r="F1069" s="494">
        <v>417</v>
      </c>
      <c r="G1069" s="495" t="s">
        <v>4179</v>
      </c>
      <c r="H1069" s="397"/>
      <c r="I1069" s="397"/>
      <c r="J1069" s="750"/>
      <c r="K1069" s="398"/>
      <c r="L1069" s="398"/>
      <c r="M1069" s="399"/>
    </row>
    <row r="1070" spans="1:27" hidden="1" x14ac:dyDescent="0.2">
      <c r="F1070" s="494">
        <v>418</v>
      </c>
      <c r="G1070" s="495" t="s">
        <v>3773</v>
      </c>
      <c r="H1070" s="397"/>
      <c r="I1070" s="397"/>
      <c r="J1070" s="750"/>
      <c r="K1070" s="398"/>
      <c r="L1070" s="398"/>
      <c r="M1070" s="399"/>
    </row>
    <row r="1071" spans="1:27" hidden="1" x14ac:dyDescent="0.2">
      <c r="F1071" s="494">
        <v>421</v>
      </c>
      <c r="G1071" s="495" t="s">
        <v>3777</v>
      </c>
      <c r="H1071" s="397"/>
      <c r="I1071" s="397"/>
      <c r="J1071" s="750"/>
      <c r="K1071" s="398"/>
      <c r="L1071" s="398"/>
      <c r="M1071" s="399"/>
    </row>
    <row r="1072" spans="1:27" hidden="1" x14ac:dyDescent="0.2">
      <c r="F1072" s="494">
        <v>422</v>
      </c>
      <c r="G1072" s="495" t="s">
        <v>3778</v>
      </c>
      <c r="H1072" s="397"/>
      <c r="I1072" s="397"/>
      <c r="J1072" s="750"/>
      <c r="K1072" s="398"/>
      <c r="L1072" s="398"/>
      <c r="M1072" s="399"/>
    </row>
    <row r="1073" spans="6:13" hidden="1" x14ac:dyDescent="0.2">
      <c r="F1073" s="494">
        <v>423</v>
      </c>
      <c r="G1073" s="495" t="s">
        <v>3779</v>
      </c>
      <c r="H1073" s="397"/>
      <c r="I1073" s="397"/>
      <c r="J1073" s="750"/>
      <c r="K1073" s="398"/>
      <c r="L1073" s="398"/>
      <c r="M1073" s="399"/>
    </row>
    <row r="1074" spans="6:13" hidden="1" x14ac:dyDescent="0.2">
      <c r="F1074" s="494">
        <v>424</v>
      </c>
      <c r="G1074" s="495" t="s">
        <v>3781</v>
      </c>
      <c r="H1074" s="397"/>
      <c r="I1074" s="397"/>
      <c r="J1074" s="750"/>
      <c r="K1074" s="398"/>
      <c r="L1074" s="398"/>
      <c r="M1074" s="399"/>
    </row>
    <row r="1075" spans="6:13" hidden="1" x14ac:dyDescent="0.2">
      <c r="F1075" s="494">
        <v>425</v>
      </c>
      <c r="G1075" s="495" t="s">
        <v>4180</v>
      </c>
      <c r="H1075" s="397"/>
      <c r="I1075" s="397"/>
      <c r="J1075" s="750"/>
      <c r="K1075" s="398"/>
      <c r="L1075" s="398"/>
      <c r="M1075" s="399"/>
    </row>
    <row r="1076" spans="6:13" hidden="1" x14ac:dyDescent="0.2">
      <c r="F1076" s="494">
        <v>426</v>
      </c>
      <c r="G1076" s="495" t="s">
        <v>3785</v>
      </c>
      <c r="H1076" s="397"/>
      <c r="I1076" s="397"/>
      <c r="J1076" s="750"/>
      <c r="K1076" s="398"/>
      <c r="L1076" s="398"/>
      <c r="M1076" s="399"/>
    </row>
    <row r="1077" spans="6:13" hidden="1" x14ac:dyDescent="0.2">
      <c r="F1077" s="494">
        <v>431</v>
      </c>
      <c r="G1077" s="495" t="s">
        <v>4181</v>
      </c>
      <c r="H1077" s="397"/>
      <c r="I1077" s="397"/>
      <c r="J1077" s="750"/>
      <c r="K1077" s="398"/>
      <c r="L1077" s="398"/>
      <c r="M1077" s="399"/>
    </row>
    <row r="1078" spans="6:13" hidden="1" x14ac:dyDescent="0.2">
      <c r="F1078" s="494">
        <v>432</v>
      </c>
      <c r="G1078" s="495" t="s">
        <v>4182</v>
      </c>
      <c r="H1078" s="397"/>
      <c r="I1078" s="397"/>
      <c r="J1078" s="750"/>
      <c r="K1078" s="398"/>
      <c r="L1078" s="398"/>
      <c r="M1078" s="399"/>
    </row>
    <row r="1079" spans="6:13" hidden="1" x14ac:dyDescent="0.2">
      <c r="F1079" s="494">
        <v>433</v>
      </c>
      <c r="G1079" s="495" t="s">
        <v>4183</v>
      </c>
      <c r="H1079" s="397"/>
      <c r="I1079" s="397"/>
      <c r="J1079" s="750"/>
      <c r="K1079" s="398"/>
      <c r="L1079" s="398"/>
      <c r="M1079" s="399"/>
    </row>
    <row r="1080" spans="6:13" hidden="1" x14ac:dyDescent="0.2">
      <c r="F1080" s="494">
        <v>434</v>
      </c>
      <c r="G1080" s="495" t="s">
        <v>4184</v>
      </c>
      <c r="H1080" s="397"/>
      <c r="I1080" s="397"/>
      <c r="J1080" s="750"/>
      <c r="K1080" s="398"/>
      <c r="L1080" s="398"/>
      <c r="M1080" s="399"/>
    </row>
    <row r="1081" spans="6:13" hidden="1" x14ac:dyDescent="0.2">
      <c r="F1081" s="494">
        <v>435</v>
      </c>
      <c r="G1081" s="495" t="s">
        <v>3792</v>
      </c>
      <c r="H1081" s="397"/>
      <c r="I1081" s="397"/>
      <c r="J1081" s="750"/>
      <c r="K1081" s="398"/>
      <c r="L1081" s="398"/>
      <c r="M1081" s="399"/>
    </row>
    <row r="1082" spans="6:13" hidden="1" x14ac:dyDescent="0.2">
      <c r="F1082" s="494">
        <v>441</v>
      </c>
      <c r="G1082" s="495" t="s">
        <v>4185</v>
      </c>
      <c r="H1082" s="397"/>
      <c r="I1082" s="397"/>
      <c r="J1082" s="750"/>
      <c r="K1082" s="398"/>
      <c r="L1082" s="398"/>
      <c r="M1082" s="399"/>
    </row>
    <row r="1083" spans="6:13" hidden="1" x14ac:dyDescent="0.2">
      <c r="F1083" s="494">
        <v>442</v>
      </c>
      <c r="G1083" s="495" t="s">
        <v>4186</v>
      </c>
      <c r="H1083" s="397"/>
      <c r="I1083" s="397"/>
      <c r="J1083" s="750"/>
      <c r="K1083" s="398"/>
      <c r="L1083" s="398"/>
      <c r="M1083" s="399"/>
    </row>
    <row r="1084" spans="6:13" hidden="1" x14ac:dyDescent="0.2">
      <c r="F1084" s="494">
        <v>443</v>
      </c>
      <c r="G1084" s="495" t="s">
        <v>3797</v>
      </c>
      <c r="H1084" s="397"/>
      <c r="I1084" s="397"/>
      <c r="J1084" s="750"/>
      <c r="K1084" s="398"/>
      <c r="L1084" s="398"/>
      <c r="M1084" s="399"/>
    </row>
    <row r="1085" spans="6:13" hidden="1" x14ac:dyDescent="0.2">
      <c r="F1085" s="494">
        <v>444</v>
      </c>
      <c r="G1085" s="495" t="s">
        <v>3798</v>
      </c>
      <c r="H1085" s="397"/>
      <c r="I1085" s="397"/>
      <c r="J1085" s="750"/>
      <c r="K1085" s="398"/>
      <c r="L1085" s="398"/>
      <c r="M1085" s="399"/>
    </row>
    <row r="1086" spans="6:13" ht="25.5" hidden="1" x14ac:dyDescent="0.2">
      <c r="F1086" s="494">
        <v>4511</v>
      </c>
      <c r="G1086" s="466" t="s">
        <v>1692</v>
      </c>
      <c r="H1086" s="397"/>
      <c r="I1086" s="397"/>
      <c r="J1086" s="750"/>
      <c r="K1086" s="398"/>
      <c r="L1086" s="398"/>
      <c r="M1086" s="399"/>
    </row>
    <row r="1087" spans="6:13" ht="25.5" hidden="1" x14ac:dyDescent="0.2">
      <c r="F1087" s="494">
        <v>4512</v>
      </c>
      <c r="G1087" s="466" t="s">
        <v>1701</v>
      </c>
      <c r="H1087" s="397"/>
      <c r="I1087" s="397"/>
      <c r="J1087" s="750"/>
      <c r="K1087" s="398"/>
      <c r="L1087" s="398"/>
      <c r="M1087" s="399"/>
    </row>
    <row r="1088" spans="6:13" ht="25.5" hidden="1" x14ac:dyDescent="0.2">
      <c r="F1088" s="494">
        <v>452</v>
      </c>
      <c r="G1088" s="495" t="s">
        <v>4187</v>
      </c>
      <c r="H1088" s="397"/>
      <c r="I1088" s="397"/>
      <c r="J1088" s="750"/>
      <c r="K1088" s="398"/>
      <c r="L1088" s="398"/>
      <c r="M1088" s="399"/>
    </row>
    <row r="1089" spans="6:13" ht="25.5" hidden="1" x14ac:dyDescent="0.2">
      <c r="F1089" s="494">
        <v>453</v>
      </c>
      <c r="G1089" s="495" t="s">
        <v>4188</v>
      </c>
      <c r="H1089" s="397"/>
      <c r="I1089" s="397"/>
      <c r="J1089" s="750"/>
      <c r="K1089" s="398"/>
      <c r="L1089" s="398"/>
      <c r="M1089" s="399"/>
    </row>
    <row r="1090" spans="6:13" hidden="1" x14ac:dyDescent="0.2">
      <c r="F1090" s="494">
        <v>454</v>
      </c>
      <c r="G1090" s="495" t="s">
        <v>3803</v>
      </c>
      <c r="H1090" s="397"/>
      <c r="I1090" s="397"/>
      <c r="J1090" s="750"/>
      <c r="K1090" s="398"/>
      <c r="L1090" s="398"/>
      <c r="M1090" s="399"/>
    </row>
    <row r="1091" spans="6:13" hidden="1" x14ac:dyDescent="0.2">
      <c r="F1091" s="494">
        <v>461</v>
      </c>
      <c r="G1091" s="495" t="s">
        <v>4169</v>
      </c>
      <c r="H1091" s="397"/>
      <c r="I1091" s="397"/>
      <c r="J1091" s="750"/>
      <c r="K1091" s="398"/>
      <c r="L1091" s="398"/>
      <c r="M1091" s="399"/>
    </row>
    <row r="1092" spans="6:13" ht="25.5" hidden="1" x14ac:dyDescent="0.2">
      <c r="F1092" s="494">
        <v>462</v>
      </c>
      <c r="G1092" s="495" t="s">
        <v>3806</v>
      </c>
      <c r="H1092" s="397"/>
      <c r="I1092" s="397"/>
      <c r="J1092" s="750"/>
      <c r="K1092" s="398"/>
      <c r="L1092" s="398"/>
      <c r="M1092" s="399"/>
    </row>
    <row r="1093" spans="6:13" hidden="1" x14ac:dyDescent="0.2">
      <c r="F1093" s="494">
        <v>4631</v>
      </c>
      <c r="G1093" s="495" t="s">
        <v>3807</v>
      </c>
      <c r="H1093" s="397"/>
      <c r="I1093" s="397"/>
      <c r="J1093" s="750"/>
      <c r="K1093" s="398"/>
      <c r="L1093" s="398"/>
      <c r="M1093" s="399"/>
    </row>
    <row r="1094" spans="6:13" hidden="1" x14ac:dyDescent="0.2">
      <c r="F1094" s="494">
        <v>4632</v>
      </c>
      <c r="G1094" s="495" t="s">
        <v>3808</v>
      </c>
      <c r="H1094" s="397"/>
      <c r="I1094" s="397"/>
      <c r="J1094" s="750"/>
      <c r="K1094" s="398"/>
      <c r="L1094" s="398"/>
      <c r="M1094" s="399"/>
    </row>
    <row r="1095" spans="6:13" ht="25.5" hidden="1" x14ac:dyDescent="0.2">
      <c r="F1095" s="494">
        <v>464</v>
      </c>
      <c r="G1095" s="495" t="s">
        <v>3809</v>
      </c>
      <c r="H1095" s="397"/>
      <c r="I1095" s="397"/>
      <c r="J1095" s="750"/>
      <c r="K1095" s="398"/>
      <c r="L1095" s="398"/>
      <c r="M1095" s="399"/>
    </row>
    <row r="1096" spans="6:13" hidden="1" x14ac:dyDescent="0.2">
      <c r="F1096" s="494">
        <v>465</v>
      </c>
      <c r="G1096" s="495" t="s">
        <v>4170</v>
      </c>
      <c r="H1096" s="397"/>
      <c r="I1096" s="397"/>
      <c r="J1096" s="750"/>
      <c r="K1096" s="398"/>
      <c r="L1096" s="398"/>
      <c r="M1096" s="399"/>
    </row>
    <row r="1097" spans="6:13" hidden="1" x14ac:dyDescent="0.2">
      <c r="F1097" s="494">
        <v>472</v>
      </c>
      <c r="G1097" s="495" t="s">
        <v>3813</v>
      </c>
      <c r="H1097" s="397"/>
      <c r="I1097" s="397"/>
      <c r="J1097" s="750"/>
      <c r="K1097" s="398"/>
      <c r="L1097" s="398"/>
      <c r="M1097" s="399"/>
    </row>
    <row r="1098" spans="6:13" hidden="1" x14ac:dyDescent="0.2">
      <c r="F1098" s="494">
        <v>481</v>
      </c>
      <c r="G1098" s="495" t="s">
        <v>4189</v>
      </c>
      <c r="H1098" s="397"/>
      <c r="I1098" s="397"/>
      <c r="J1098" s="750"/>
      <c r="K1098" s="398"/>
      <c r="L1098" s="398"/>
      <c r="M1098" s="399"/>
    </row>
    <row r="1099" spans="6:13" hidden="1" x14ac:dyDescent="0.2">
      <c r="F1099" s="494">
        <v>482</v>
      </c>
      <c r="G1099" s="495" t="s">
        <v>4190</v>
      </c>
      <c r="H1099" s="397"/>
      <c r="I1099" s="397"/>
      <c r="J1099" s="750"/>
      <c r="K1099" s="398"/>
      <c r="L1099" s="398"/>
      <c r="M1099" s="399"/>
    </row>
    <row r="1100" spans="6:13" hidden="1" x14ac:dyDescent="0.2">
      <c r="F1100" s="494">
        <v>483</v>
      </c>
      <c r="G1100" s="497" t="s">
        <v>4191</v>
      </c>
      <c r="H1100" s="397"/>
      <c r="I1100" s="397"/>
      <c r="J1100" s="750"/>
      <c r="K1100" s="398"/>
      <c r="L1100" s="398"/>
      <c r="M1100" s="399"/>
    </row>
    <row r="1101" spans="6:13" ht="38.25" hidden="1" x14ac:dyDescent="0.2">
      <c r="F1101" s="494">
        <v>484</v>
      </c>
      <c r="G1101" s="495" t="s">
        <v>4192</v>
      </c>
      <c r="H1101" s="397"/>
      <c r="I1101" s="397"/>
      <c r="J1101" s="750"/>
      <c r="K1101" s="398"/>
      <c r="L1101" s="398"/>
      <c r="M1101" s="399"/>
    </row>
    <row r="1102" spans="6:13" ht="25.5" hidden="1" x14ac:dyDescent="0.2">
      <c r="F1102" s="494">
        <v>485</v>
      </c>
      <c r="G1102" s="495" t="s">
        <v>4193</v>
      </c>
      <c r="H1102" s="397"/>
      <c r="I1102" s="397"/>
      <c r="J1102" s="750"/>
      <c r="K1102" s="398"/>
      <c r="L1102" s="398"/>
      <c r="M1102" s="399"/>
    </row>
    <row r="1103" spans="6:13" ht="25.5" hidden="1" x14ac:dyDescent="0.2">
      <c r="F1103" s="494">
        <v>489</v>
      </c>
      <c r="G1103" s="495" t="s">
        <v>3821</v>
      </c>
      <c r="H1103" s="397"/>
      <c r="I1103" s="397"/>
      <c r="J1103" s="750"/>
      <c r="K1103" s="398"/>
      <c r="L1103" s="398"/>
      <c r="M1103" s="399"/>
    </row>
    <row r="1104" spans="6:13" ht="25.5" hidden="1" x14ac:dyDescent="0.2">
      <c r="F1104" s="494">
        <v>494</v>
      </c>
      <c r="G1104" s="495" t="s">
        <v>4171</v>
      </c>
      <c r="H1104" s="397"/>
      <c r="I1104" s="397"/>
      <c r="J1104" s="750"/>
      <c r="K1104" s="398"/>
      <c r="L1104" s="398"/>
      <c r="M1104" s="399"/>
    </row>
    <row r="1105" spans="6:13" ht="25.5" hidden="1" x14ac:dyDescent="0.2">
      <c r="F1105" s="494">
        <v>495</v>
      </c>
      <c r="G1105" s="495" t="s">
        <v>4172</v>
      </c>
      <c r="H1105" s="397"/>
      <c r="I1105" s="397"/>
      <c r="J1105" s="750"/>
      <c r="K1105" s="398"/>
      <c r="L1105" s="398"/>
      <c r="M1105" s="399"/>
    </row>
    <row r="1106" spans="6:13" ht="38.25" hidden="1" x14ac:dyDescent="0.2">
      <c r="F1106" s="494">
        <v>496</v>
      </c>
      <c r="G1106" s="495" t="s">
        <v>4173</v>
      </c>
      <c r="H1106" s="397"/>
      <c r="I1106" s="397"/>
      <c r="J1106" s="750"/>
      <c r="K1106" s="398"/>
      <c r="L1106" s="398"/>
      <c r="M1106" s="399"/>
    </row>
    <row r="1107" spans="6:13" ht="25.5" hidden="1" x14ac:dyDescent="0.2">
      <c r="F1107" s="494">
        <v>499</v>
      </c>
      <c r="G1107" s="495" t="s">
        <v>4174</v>
      </c>
      <c r="H1107" s="397"/>
      <c r="I1107" s="397"/>
      <c r="J1107" s="750"/>
      <c r="K1107" s="398"/>
      <c r="L1107" s="398"/>
      <c r="M1107" s="399"/>
    </row>
    <row r="1108" spans="6:13" hidden="1" x14ac:dyDescent="0.2">
      <c r="F1108" s="494">
        <v>511</v>
      </c>
      <c r="G1108" s="497" t="s">
        <v>4194</v>
      </c>
      <c r="H1108" s="397"/>
      <c r="I1108" s="397"/>
      <c r="J1108" s="750"/>
      <c r="K1108" s="398"/>
      <c r="L1108" s="398"/>
      <c r="M1108" s="399"/>
    </row>
    <row r="1109" spans="6:13" hidden="1" x14ac:dyDescent="0.2">
      <c r="F1109" s="494">
        <v>512</v>
      </c>
      <c r="G1109" s="497" t="s">
        <v>4195</v>
      </c>
      <c r="H1109" s="397"/>
      <c r="I1109" s="397"/>
      <c r="J1109" s="750"/>
      <c r="K1109" s="398"/>
      <c r="L1109" s="398"/>
      <c r="M1109" s="399"/>
    </row>
    <row r="1110" spans="6:13" hidden="1" x14ac:dyDescent="0.2">
      <c r="F1110" s="494">
        <v>513</v>
      </c>
      <c r="G1110" s="497" t="s">
        <v>4196</v>
      </c>
      <c r="H1110" s="397"/>
      <c r="I1110" s="397"/>
      <c r="J1110" s="750"/>
      <c r="K1110" s="398"/>
      <c r="L1110" s="398"/>
      <c r="M1110" s="399"/>
    </row>
    <row r="1111" spans="6:13" hidden="1" x14ac:dyDescent="0.2">
      <c r="F1111" s="494">
        <v>514</v>
      </c>
      <c r="G1111" s="495" t="s">
        <v>4197</v>
      </c>
      <c r="H1111" s="397"/>
      <c r="I1111" s="397"/>
      <c r="J1111" s="750"/>
      <c r="K1111" s="398"/>
      <c r="L1111" s="398"/>
      <c r="M1111" s="399"/>
    </row>
    <row r="1112" spans="6:13" hidden="1" x14ac:dyDescent="0.2">
      <c r="F1112" s="494">
        <v>515</v>
      </c>
      <c r="G1112" s="495" t="s">
        <v>3832</v>
      </c>
      <c r="H1112" s="397"/>
      <c r="I1112" s="397"/>
      <c r="J1112" s="750"/>
      <c r="K1112" s="398"/>
      <c r="L1112" s="398"/>
      <c r="M1112" s="399"/>
    </row>
    <row r="1113" spans="6:13" hidden="1" x14ac:dyDescent="0.2">
      <c r="F1113" s="494">
        <v>521</v>
      </c>
      <c r="G1113" s="495" t="s">
        <v>4198</v>
      </c>
      <c r="H1113" s="397"/>
      <c r="I1113" s="397"/>
      <c r="J1113" s="750"/>
      <c r="K1113" s="398"/>
      <c r="L1113" s="398"/>
      <c r="M1113" s="399"/>
    </row>
    <row r="1114" spans="6:13" hidden="1" x14ac:dyDescent="0.2">
      <c r="F1114" s="494">
        <v>522</v>
      </c>
      <c r="G1114" s="495" t="s">
        <v>4199</v>
      </c>
      <c r="H1114" s="397"/>
      <c r="I1114" s="397"/>
      <c r="J1114" s="750"/>
      <c r="K1114" s="398"/>
      <c r="L1114" s="398"/>
      <c r="M1114" s="399"/>
    </row>
    <row r="1115" spans="6:13" hidden="1" x14ac:dyDescent="0.2">
      <c r="F1115" s="494">
        <v>523</v>
      </c>
      <c r="G1115" s="495" t="s">
        <v>3837</v>
      </c>
      <c r="H1115" s="397"/>
      <c r="I1115" s="397"/>
      <c r="J1115" s="750"/>
      <c r="K1115" s="398"/>
      <c r="L1115" s="398"/>
      <c r="M1115" s="399"/>
    </row>
    <row r="1116" spans="6:13" hidden="1" x14ac:dyDescent="0.2">
      <c r="F1116" s="494">
        <v>531</v>
      </c>
      <c r="G1116" s="496" t="s">
        <v>4175</v>
      </c>
      <c r="H1116" s="397"/>
      <c r="I1116" s="397"/>
      <c r="J1116" s="750"/>
      <c r="K1116" s="398"/>
      <c r="L1116" s="398"/>
      <c r="M1116" s="399"/>
    </row>
    <row r="1117" spans="6:13" hidden="1" x14ac:dyDescent="0.2">
      <c r="F1117" s="494">
        <v>541</v>
      </c>
      <c r="G1117" s="495" t="s">
        <v>4200</v>
      </c>
      <c r="H1117" s="397"/>
      <c r="I1117" s="397"/>
      <c r="J1117" s="750"/>
      <c r="K1117" s="398"/>
      <c r="L1117" s="398"/>
      <c r="M1117" s="399"/>
    </row>
    <row r="1118" spans="6:13" hidden="1" x14ac:dyDescent="0.2">
      <c r="F1118" s="494">
        <v>542</v>
      </c>
      <c r="G1118" s="495" t="s">
        <v>4201</v>
      </c>
      <c r="H1118" s="397"/>
      <c r="I1118" s="397"/>
      <c r="J1118" s="750"/>
      <c r="K1118" s="398"/>
      <c r="L1118" s="398"/>
      <c r="M1118" s="399"/>
    </row>
    <row r="1119" spans="6:13" hidden="1" x14ac:dyDescent="0.2">
      <c r="F1119" s="494">
        <v>543</v>
      </c>
      <c r="G1119" s="495" t="s">
        <v>3842</v>
      </c>
      <c r="H1119" s="397"/>
      <c r="I1119" s="397"/>
      <c r="J1119" s="750"/>
      <c r="K1119" s="398"/>
      <c r="L1119" s="398"/>
      <c r="M1119" s="399"/>
    </row>
    <row r="1120" spans="6:13" ht="38.25" hidden="1" x14ac:dyDescent="0.2">
      <c r="F1120" s="494">
        <v>551</v>
      </c>
      <c r="G1120" s="495" t="s">
        <v>4176</v>
      </c>
      <c r="H1120" s="397"/>
      <c r="I1120" s="397"/>
      <c r="J1120" s="750"/>
      <c r="K1120" s="398"/>
      <c r="L1120" s="398"/>
      <c r="M1120" s="399"/>
    </row>
    <row r="1121" spans="5:13" hidden="1" x14ac:dyDescent="0.2">
      <c r="F1121" s="498">
        <v>611</v>
      </c>
      <c r="G1121" s="499" t="s">
        <v>3848</v>
      </c>
      <c r="H1121" s="397"/>
      <c r="I1121" s="397"/>
      <c r="J1121" s="750"/>
      <c r="K1121" s="398"/>
      <c r="L1121" s="398"/>
      <c r="M1121" s="399"/>
    </row>
    <row r="1122" spans="5:13" hidden="1" x14ac:dyDescent="0.2">
      <c r="F1122" s="498">
        <v>620</v>
      </c>
      <c r="G1122" s="499" t="s">
        <v>88</v>
      </c>
      <c r="H1122" s="397"/>
      <c r="I1122" s="397"/>
      <c r="J1122" s="750"/>
      <c r="K1122" s="398"/>
      <c r="L1122" s="398"/>
      <c r="M1122" s="399"/>
    </row>
    <row r="1123" spans="5:13" hidden="1" x14ac:dyDescent="0.2">
      <c r="E1123" s="500"/>
      <c r="F1123" s="498"/>
      <c r="G1123" s="501" t="s">
        <v>4348</v>
      </c>
      <c r="H1123" s="400"/>
      <c r="I1123" s="400"/>
      <c r="J1123" s="750"/>
      <c r="K1123" s="401"/>
      <c r="L1123" s="402"/>
      <c r="M1123" s="399"/>
    </row>
    <row r="1124" spans="5:13" hidden="1" x14ac:dyDescent="0.2">
      <c r="E1124" s="502"/>
      <c r="F1124" s="503" t="s">
        <v>234</v>
      </c>
      <c r="G1124" s="504" t="s">
        <v>235</v>
      </c>
      <c r="H1124" s="403">
        <f>SUM(H1063:H1122)</f>
        <v>0</v>
      </c>
      <c r="I1124" s="403"/>
      <c r="J1124" s="750"/>
      <c r="K1124" s="404"/>
      <c r="L1124" s="404"/>
      <c r="M1124" s="399"/>
    </row>
    <row r="1125" spans="5:13" hidden="1" x14ac:dyDescent="0.2">
      <c r="F1125" s="503" t="s">
        <v>236</v>
      </c>
      <c r="G1125" s="504" t="s">
        <v>237</v>
      </c>
      <c r="H1125" s="397"/>
      <c r="I1125" s="397"/>
      <c r="J1125" s="750"/>
      <c r="K1125" s="398"/>
      <c r="L1125" s="404"/>
      <c r="M1125" s="399"/>
    </row>
    <row r="1126" spans="5:13" hidden="1" x14ac:dyDescent="0.2">
      <c r="F1126" s="503" t="s">
        <v>238</v>
      </c>
      <c r="G1126" s="504" t="s">
        <v>239</v>
      </c>
      <c r="H1126" s="397"/>
      <c r="I1126" s="397"/>
      <c r="J1126" s="750"/>
      <c r="K1126" s="398"/>
      <c r="L1126" s="404"/>
      <c r="M1126" s="399"/>
    </row>
    <row r="1127" spans="5:13" hidden="1" x14ac:dyDescent="0.2">
      <c r="F1127" s="503" t="s">
        <v>240</v>
      </c>
      <c r="G1127" s="504" t="s">
        <v>241</v>
      </c>
      <c r="H1127" s="397"/>
      <c r="I1127" s="397"/>
      <c r="J1127" s="750"/>
      <c r="K1127" s="398"/>
      <c r="L1127" s="404"/>
      <c r="M1127" s="399"/>
    </row>
    <row r="1128" spans="5:13" hidden="1" x14ac:dyDescent="0.2">
      <c r="F1128" s="503" t="s">
        <v>242</v>
      </c>
      <c r="G1128" s="504" t="s">
        <v>243</v>
      </c>
      <c r="H1128" s="397"/>
      <c r="I1128" s="397"/>
      <c r="J1128" s="750"/>
      <c r="K1128" s="398"/>
      <c r="L1128" s="404"/>
      <c r="M1128" s="399"/>
    </row>
    <row r="1129" spans="5:13" hidden="1" x14ac:dyDescent="0.2">
      <c r="F1129" s="503" t="s">
        <v>244</v>
      </c>
      <c r="G1129" s="504" t="s">
        <v>245</v>
      </c>
      <c r="H1129" s="397"/>
      <c r="I1129" s="397"/>
      <c r="J1129" s="750"/>
      <c r="K1129" s="398"/>
      <c r="L1129" s="404"/>
      <c r="M1129" s="399"/>
    </row>
    <row r="1130" spans="5:13" hidden="1" x14ac:dyDescent="0.2">
      <c r="F1130" s="503" t="s">
        <v>246</v>
      </c>
      <c r="G1130" s="504" t="s">
        <v>247</v>
      </c>
      <c r="H1130" s="397"/>
      <c r="I1130" s="397"/>
      <c r="J1130" s="750"/>
      <c r="K1130" s="398"/>
      <c r="L1130" s="404"/>
      <c r="M1130" s="399"/>
    </row>
    <row r="1131" spans="5:13" ht="25.5" hidden="1" x14ac:dyDescent="0.2">
      <c r="F1131" s="503" t="s">
        <v>248</v>
      </c>
      <c r="G1131" s="504" t="s">
        <v>249</v>
      </c>
      <c r="H1131" s="397"/>
      <c r="I1131" s="397"/>
      <c r="J1131" s="750"/>
      <c r="K1131" s="398"/>
      <c r="L1131" s="404"/>
      <c r="M1131" s="399"/>
    </row>
    <row r="1132" spans="5:13" hidden="1" x14ac:dyDescent="0.2">
      <c r="F1132" s="503" t="s">
        <v>250</v>
      </c>
      <c r="G1132" s="504" t="s">
        <v>57</v>
      </c>
      <c r="H1132" s="397"/>
      <c r="I1132" s="397"/>
      <c r="J1132" s="750"/>
      <c r="K1132" s="398"/>
      <c r="L1132" s="404"/>
      <c r="M1132" s="399"/>
    </row>
    <row r="1133" spans="5:13" hidden="1" x14ac:dyDescent="0.2">
      <c r="F1133" s="503" t="s">
        <v>251</v>
      </c>
      <c r="G1133" s="504" t="s">
        <v>252</v>
      </c>
      <c r="H1133" s="397"/>
      <c r="I1133" s="397"/>
      <c r="J1133" s="750"/>
      <c r="K1133" s="398"/>
      <c r="L1133" s="404"/>
      <c r="M1133" s="399"/>
    </row>
    <row r="1134" spans="5:13" hidden="1" x14ac:dyDescent="0.2">
      <c r="F1134" s="503" t="s">
        <v>253</v>
      </c>
      <c r="G1134" s="504" t="s">
        <v>254</v>
      </c>
      <c r="H1134" s="397"/>
      <c r="I1134" s="397"/>
      <c r="J1134" s="750"/>
      <c r="K1134" s="398"/>
      <c r="L1134" s="404"/>
      <c r="M1134" s="399"/>
    </row>
    <row r="1135" spans="5:13" ht="25.5" hidden="1" x14ac:dyDescent="0.2">
      <c r="F1135" s="503" t="s">
        <v>255</v>
      </c>
      <c r="G1135" s="504" t="s">
        <v>256</v>
      </c>
      <c r="H1135" s="397"/>
      <c r="I1135" s="397"/>
      <c r="J1135" s="750"/>
      <c r="K1135" s="398"/>
      <c r="L1135" s="404"/>
      <c r="M1135" s="399"/>
    </row>
    <row r="1136" spans="5:13" ht="25.5" hidden="1" x14ac:dyDescent="0.2">
      <c r="F1136" s="503" t="s">
        <v>257</v>
      </c>
      <c r="G1136" s="504" t="s">
        <v>258</v>
      </c>
      <c r="H1136" s="397"/>
      <c r="I1136" s="397"/>
      <c r="J1136" s="750"/>
      <c r="K1136" s="398"/>
      <c r="L1136" s="404"/>
      <c r="M1136" s="399"/>
    </row>
    <row r="1137" spans="5:13" ht="25.5" hidden="1" x14ac:dyDescent="0.2">
      <c r="F1137" s="503" t="s">
        <v>259</v>
      </c>
      <c r="G1137" s="504" t="s">
        <v>260</v>
      </c>
      <c r="H1137" s="397"/>
      <c r="I1137" s="397"/>
      <c r="J1137" s="750"/>
      <c r="K1137" s="398"/>
      <c r="L1137" s="404"/>
      <c r="M1137" s="399"/>
    </row>
    <row r="1138" spans="5:13" ht="25.5" hidden="1" x14ac:dyDescent="0.2">
      <c r="F1138" s="503" t="s">
        <v>261</v>
      </c>
      <c r="G1138" s="504" t="s">
        <v>262</v>
      </c>
      <c r="H1138" s="397"/>
      <c r="I1138" s="397"/>
      <c r="J1138" s="750"/>
      <c r="K1138" s="398"/>
      <c r="L1138" s="404"/>
      <c r="M1138" s="399"/>
    </row>
    <row r="1139" spans="5:13" hidden="1" x14ac:dyDescent="0.2">
      <c r="F1139" s="503" t="s">
        <v>263</v>
      </c>
      <c r="G1139" s="504" t="s">
        <v>264</v>
      </c>
      <c r="H1139" s="403"/>
      <c r="I1139" s="403"/>
      <c r="J1139" s="750"/>
      <c r="K1139" s="404"/>
      <c r="L1139" s="404"/>
      <c r="M1139" s="399"/>
    </row>
    <row r="1140" spans="5:13" ht="13.5" hidden="1" thickBot="1" x14ac:dyDescent="0.25">
      <c r="G1140" s="505" t="s">
        <v>4349</v>
      </c>
      <c r="H1140" s="405">
        <f>SUM(H1124:H1139)</f>
        <v>0</v>
      </c>
      <c r="I1140" s="405"/>
      <c r="J1140" s="750"/>
      <c r="K1140" s="406">
        <f>SUM(K1125:K1139)</f>
        <v>0</v>
      </c>
      <c r="L1140" s="406"/>
      <c r="M1140" s="399"/>
    </row>
    <row r="1141" spans="5:13" ht="25.5" hidden="1" collapsed="1" x14ac:dyDescent="0.2">
      <c r="E1141" s="500"/>
      <c r="F1141" s="498"/>
      <c r="G1141" s="506" t="s">
        <v>4350</v>
      </c>
      <c r="H1141" s="407"/>
      <c r="I1141" s="408"/>
      <c r="J1141" s="750"/>
      <c r="K1141" s="409"/>
      <c r="L1141" s="410"/>
      <c r="M1141" s="399"/>
    </row>
    <row r="1142" spans="5:13" hidden="1" x14ac:dyDescent="0.2">
      <c r="E1142" s="502"/>
      <c r="F1142" s="503" t="s">
        <v>234</v>
      </c>
      <c r="G1142" s="504" t="s">
        <v>235</v>
      </c>
      <c r="H1142" s="403">
        <f>SUM(H1063:H1122)</f>
        <v>0</v>
      </c>
      <c r="I1142" s="403"/>
      <c r="J1142" s="750"/>
      <c r="K1142" s="404"/>
      <c r="L1142" s="404"/>
      <c r="M1142" s="399"/>
    </row>
    <row r="1143" spans="5:13" hidden="1" x14ac:dyDescent="0.2">
      <c r="F1143" s="503" t="s">
        <v>236</v>
      </c>
      <c r="G1143" s="504" t="s">
        <v>237</v>
      </c>
      <c r="H1143" s="397"/>
      <c r="I1143" s="397"/>
      <c r="J1143" s="750"/>
      <c r="K1143" s="398"/>
      <c r="L1143" s="404"/>
      <c r="M1143" s="399"/>
    </row>
    <row r="1144" spans="5:13" hidden="1" x14ac:dyDescent="0.2">
      <c r="F1144" s="503" t="s">
        <v>238</v>
      </c>
      <c r="G1144" s="504" t="s">
        <v>239</v>
      </c>
      <c r="H1144" s="397"/>
      <c r="I1144" s="397"/>
      <c r="J1144" s="750"/>
      <c r="K1144" s="398"/>
      <c r="L1144" s="404"/>
      <c r="M1144" s="399"/>
    </row>
    <row r="1145" spans="5:13" hidden="1" x14ac:dyDescent="0.2">
      <c r="F1145" s="503" t="s">
        <v>240</v>
      </c>
      <c r="G1145" s="504" t="s">
        <v>241</v>
      </c>
      <c r="H1145" s="397"/>
      <c r="I1145" s="397"/>
      <c r="J1145" s="750"/>
      <c r="K1145" s="398"/>
      <c r="L1145" s="404"/>
      <c r="M1145" s="399"/>
    </row>
    <row r="1146" spans="5:13" hidden="1" x14ac:dyDescent="0.2">
      <c r="F1146" s="503" t="s">
        <v>242</v>
      </c>
      <c r="G1146" s="504" t="s">
        <v>243</v>
      </c>
      <c r="H1146" s="397"/>
      <c r="I1146" s="397"/>
      <c r="J1146" s="750"/>
      <c r="K1146" s="398"/>
      <c r="L1146" s="404"/>
      <c r="M1146" s="399"/>
    </row>
    <row r="1147" spans="5:13" hidden="1" x14ac:dyDescent="0.2">
      <c r="F1147" s="503" t="s">
        <v>244</v>
      </c>
      <c r="G1147" s="504" t="s">
        <v>245</v>
      </c>
      <c r="H1147" s="397"/>
      <c r="I1147" s="397"/>
      <c r="J1147" s="750"/>
      <c r="K1147" s="398"/>
      <c r="L1147" s="404"/>
      <c r="M1147" s="399"/>
    </row>
    <row r="1148" spans="5:13" hidden="1" x14ac:dyDescent="0.2">
      <c r="F1148" s="503" t="s">
        <v>246</v>
      </c>
      <c r="G1148" s="504" t="s">
        <v>247</v>
      </c>
      <c r="H1148" s="397"/>
      <c r="I1148" s="397"/>
      <c r="J1148" s="750"/>
      <c r="K1148" s="398"/>
      <c r="L1148" s="404"/>
      <c r="M1148" s="399"/>
    </row>
    <row r="1149" spans="5:13" ht="25.5" hidden="1" x14ac:dyDescent="0.2">
      <c r="F1149" s="503" t="s">
        <v>248</v>
      </c>
      <c r="G1149" s="504" t="s">
        <v>249</v>
      </c>
      <c r="H1149" s="397"/>
      <c r="I1149" s="397"/>
      <c r="J1149" s="750"/>
      <c r="K1149" s="398"/>
      <c r="L1149" s="404"/>
      <c r="M1149" s="399"/>
    </row>
    <row r="1150" spans="5:13" hidden="1" x14ac:dyDescent="0.2">
      <c r="F1150" s="503" t="s">
        <v>250</v>
      </c>
      <c r="G1150" s="504" t="s">
        <v>57</v>
      </c>
      <c r="H1150" s="397"/>
      <c r="I1150" s="397"/>
      <c r="J1150" s="750"/>
      <c r="K1150" s="398"/>
      <c r="L1150" s="404"/>
      <c r="M1150" s="399"/>
    </row>
    <row r="1151" spans="5:13" hidden="1" x14ac:dyDescent="0.2">
      <c r="F1151" s="503" t="s">
        <v>251</v>
      </c>
      <c r="G1151" s="504" t="s">
        <v>252</v>
      </c>
      <c r="H1151" s="397"/>
      <c r="I1151" s="397"/>
      <c r="J1151" s="750"/>
      <c r="K1151" s="398"/>
      <c r="L1151" s="404"/>
      <c r="M1151" s="399"/>
    </row>
    <row r="1152" spans="5:13" hidden="1" x14ac:dyDescent="0.2">
      <c r="F1152" s="503" t="s">
        <v>253</v>
      </c>
      <c r="G1152" s="504" t="s">
        <v>254</v>
      </c>
      <c r="H1152" s="397"/>
      <c r="I1152" s="397"/>
      <c r="J1152" s="750"/>
      <c r="K1152" s="398"/>
      <c r="L1152" s="404"/>
      <c r="M1152" s="399"/>
    </row>
    <row r="1153" spans="1:27" ht="25.5" hidden="1" x14ac:dyDescent="0.2">
      <c r="F1153" s="503" t="s">
        <v>255</v>
      </c>
      <c r="G1153" s="504" t="s">
        <v>256</v>
      </c>
      <c r="H1153" s="397"/>
      <c r="I1153" s="397"/>
      <c r="J1153" s="750"/>
      <c r="K1153" s="398"/>
      <c r="L1153" s="404"/>
      <c r="M1153" s="399"/>
    </row>
    <row r="1154" spans="1:27" ht="25.5" hidden="1" x14ac:dyDescent="0.2">
      <c r="F1154" s="503" t="s">
        <v>257</v>
      </c>
      <c r="G1154" s="504" t="s">
        <v>258</v>
      </c>
      <c r="H1154" s="397"/>
      <c r="I1154" s="397"/>
      <c r="J1154" s="750"/>
      <c r="K1154" s="398"/>
      <c r="L1154" s="404"/>
      <c r="M1154" s="399"/>
    </row>
    <row r="1155" spans="1:27" ht="25.5" hidden="1" x14ac:dyDescent="0.2">
      <c r="F1155" s="503" t="s">
        <v>259</v>
      </c>
      <c r="G1155" s="504" t="s">
        <v>260</v>
      </c>
      <c r="H1155" s="397"/>
      <c r="I1155" s="397"/>
      <c r="J1155" s="750"/>
      <c r="K1155" s="398"/>
      <c r="L1155" s="404"/>
      <c r="M1155" s="399"/>
    </row>
    <row r="1156" spans="1:27" ht="25.5" hidden="1" x14ac:dyDescent="0.2">
      <c r="F1156" s="503" t="s">
        <v>261</v>
      </c>
      <c r="G1156" s="504" t="s">
        <v>262</v>
      </c>
      <c r="H1156" s="397"/>
      <c r="I1156" s="397"/>
      <c r="J1156" s="750"/>
      <c r="K1156" s="398"/>
      <c r="L1156" s="404"/>
      <c r="M1156" s="399"/>
    </row>
    <row r="1157" spans="1:27" hidden="1" x14ac:dyDescent="0.2">
      <c r="F1157" s="503" t="s">
        <v>263</v>
      </c>
      <c r="G1157" s="504" t="s">
        <v>264</v>
      </c>
      <c r="H1157" s="403"/>
      <c r="I1157" s="403"/>
      <c r="J1157" s="750"/>
      <c r="K1157" s="404"/>
      <c r="L1157" s="404"/>
      <c r="M1157" s="399"/>
    </row>
    <row r="1158" spans="1:27" ht="13.5" hidden="1" collapsed="1" thickBot="1" x14ac:dyDescent="0.25">
      <c r="G1158" s="505" t="s">
        <v>4351</v>
      </c>
      <c r="H1158" s="405">
        <f>SUM(H1142:H1157)</f>
        <v>0</v>
      </c>
      <c r="I1158" s="405"/>
      <c r="J1158" s="750"/>
      <c r="K1158" s="406">
        <f>SUM(K1143:K1157)</f>
        <v>0</v>
      </c>
      <c r="L1158" s="406"/>
      <c r="M1158" s="399"/>
    </row>
    <row r="1159" spans="1:27" s="530" customFormat="1" hidden="1" x14ac:dyDescent="0.2">
      <c r="A1159" s="526"/>
      <c r="B1159" s="527"/>
      <c r="C1159" s="534"/>
      <c r="D1159" s="535"/>
      <c r="E1159" s="535"/>
      <c r="F1159" s="167"/>
      <c r="G1159" s="513"/>
      <c r="H1159" s="422"/>
      <c r="I1159" s="422"/>
      <c r="J1159" s="750"/>
      <c r="K1159" s="423"/>
      <c r="L1159" s="424"/>
      <c r="M1159" s="399"/>
      <c r="N1159" s="171"/>
      <c r="O1159" s="171"/>
      <c r="P1159" s="169"/>
      <c r="Q1159" s="171"/>
      <c r="R1159" s="171"/>
      <c r="S1159" s="171"/>
      <c r="T1159" s="171"/>
      <c r="U1159" s="171"/>
      <c r="V1159" s="171"/>
      <c r="W1159" s="171"/>
      <c r="X1159" s="171"/>
      <c r="Y1159" s="171"/>
      <c r="Z1159" s="171"/>
      <c r="AA1159" s="171"/>
    </row>
    <row r="1160" spans="1:27" hidden="1" x14ac:dyDescent="0.2">
      <c r="C1160" s="489"/>
      <c r="D1160" s="490"/>
      <c r="G1160" s="491" t="s">
        <v>4084</v>
      </c>
      <c r="H1160" s="397"/>
      <c r="I1160" s="397"/>
      <c r="J1160" s="750"/>
      <c r="K1160" s="398"/>
      <c r="L1160" s="398"/>
      <c r="M1160" s="399"/>
    </row>
    <row r="1161" spans="1:27" hidden="1" x14ac:dyDescent="0.2">
      <c r="C1161" s="489"/>
      <c r="D1161" s="537">
        <v>411</v>
      </c>
      <c r="E1161" s="538"/>
      <c r="F1161" s="538"/>
      <c r="G1161" s="539" t="s">
        <v>135</v>
      </c>
      <c r="H1161" s="397"/>
      <c r="I1161" s="397"/>
      <c r="J1161" s="750"/>
      <c r="K1161" s="398"/>
      <c r="L1161" s="398"/>
      <c r="M1161" s="399"/>
    </row>
    <row r="1162" spans="1:27" hidden="1" x14ac:dyDescent="0.2">
      <c r="F1162" s="494">
        <v>411</v>
      </c>
      <c r="G1162" s="495" t="s">
        <v>4167</v>
      </c>
      <c r="H1162" s="397"/>
      <c r="I1162" s="397"/>
      <c r="J1162" s="750"/>
      <c r="K1162" s="398"/>
      <c r="L1162" s="398"/>
      <c r="M1162" s="399"/>
      <c r="N1162" s="540"/>
      <c r="O1162" s="540"/>
    </row>
    <row r="1163" spans="1:27" hidden="1" x14ac:dyDescent="0.2">
      <c r="F1163" s="494">
        <v>412</v>
      </c>
      <c r="G1163" s="496" t="s">
        <v>3764</v>
      </c>
      <c r="H1163" s="397"/>
      <c r="I1163" s="397"/>
      <c r="J1163" s="750"/>
      <c r="K1163" s="398"/>
      <c r="L1163" s="398"/>
      <c r="M1163" s="399"/>
    </row>
    <row r="1164" spans="1:27" hidden="1" x14ac:dyDescent="0.2">
      <c r="F1164" s="494">
        <v>413</v>
      </c>
      <c r="G1164" s="495" t="s">
        <v>4168</v>
      </c>
      <c r="H1164" s="397"/>
      <c r="I1164" s="397"/>
      <c r="J1164" s="750"/>
      <c r="K1164" s="398"/>
      <c r="L1164" s="398"/>
      <c r="M1164" s="399"/>
    </row>
    <row r="1165" spans="1:27" hidden="1" x14ac:dyDescent="0.2">
      <c r="F1165" s="494">
        <v>414</v>
      </c>
      <c r="G1165" s="495" t="s">
        <v>3767</v>
      </c>
      <c r="H1165" s="397"/>
      <c r="I1165" s="397"/>
      <c r="J1165" s="750"/>
      <c r="K1165" s="398"/>
      <c r="L1165" s="398"/>
      <c r="M1165" s="399"/>
    </row>
    <row r="1166" spans="1:27" hidden="1" x14ac:dyDescent="0.2">
      <c r="F1166" s="494">
        <v>415</v>
      </c>
      <c r="G1166" s="495" t="s">
        <v>4177</v>
      </c>
      <c r="H1166" s="397"/>
      <c r="I1166" s="397"/>
      <c r="J1166" s="750"/>
      <c r="K1166" s="398"/>
      <c r="L1166" s="398"/>
      <c r="M1166" s="399"/>
    </row>
    <row r="1167" spans="1:27" ht="25.5" hidden="1" x14ac:dyDescent="0.2">
      <c r="F1167" s="494">
        <v>416</v>
      </c>
      <c r="G1167" s="495" t="s">
        <v>4178</v>
      </c>
      <c r="H1167" s="397"/>
      <c r="I1167" s="397"/>
      <c r="J1167" s="750"/>
      <c r="K1167" s="398"/>
      <c r="L1167" s="398"/>
      <c r="M1167" s="399"/>
    </row>
    <row r="1168" spans="1:27" hidden="1" x14ac:dyDescent="0.2">
      <c r="F1168" s="494">
        <v>417</v>
      </c>
      <c r="G1168" s="495" t="s">
        <v>4179</v>
      </c>
      <c r="H1168" s="397"/>
      <c r="I1168" s="397"/>
      <c r="J1168" s="750"/>
      <c r="K1168" s="398"/>
      <c r="L1168" s="398"/>
      <c r="M1168" s="399"/>
    </row>
    <row r="1169" spans="6:13" hidden="1" x14ac:dyDescent="0.2">
      <c r="F1169" s="494">
        <v>418</v>
      </c>
      <c r="G1169" s="495" t="s">
        <v>3773</v>
      </c>
      <c r="H1169" s="397"/>
      <c r="I1169" s="397"/>
      <c r="J1169" s="750"/>
      <c r="K1169" s="398"/>
      <c r="L1169" s="398"/>
      <c r="M1169" s="399"/>
    </row>
    <row r="1170" spans="6:13" hidden="1" x14ac:dyDescent="0.2">
      <c r="F1170" s="494">
        <v>421</v>
      </c>
      <c r="G1170" s="495" t="s">
        <v>3777</v>
      </c>
      <c r="H1170" s="397"/>
      <c r="I1170" s="397"/>
      <c r="J1170" s="750"/>
      <c r="K1170" s="398"/>
      <c r="L1170" s="398"/>
      <c r="M1170" s="399"/>
    </row>
    <row r="1171" spans="6:13" hidden="1" x14ac:dyDescent="0.2">
      <c r="F1171" s="494">
        <v>422</v>
      </c>
      <c r="G1171" s="495" t="s">
        <v>3778</v>
      </c>
      <c r="H1171" s="397"/>
      <c r="I1171" s="397"/>
      <c r="J1171" s="750"/>
      <c r="K1171" s="398"/>
      <c r="L1171" s="398"/>
      <c r="M1171" s="399"/>
    </row>
    <row r="1172" spans="6:13" hidden="1" x14ac:dyDescent="0.2">
      <c r="F1172" s="494">
        <v>423</v>
      </c>
      <c r="G1172" s="495" t="s">
        <v>3779</v>
      </c>
      <c r="H1172" s="397"/>
      <c r="I1172" s="397"/>
      <c r="J1172" s="750"/>
      <c r="K1172" s="398"/>
      <c r="L1172" s="398"/>
      <c r="M1172" s="399"/>
    </row>
    <row r="1173" spans="6:13" hidden="1" x14ac:dyDescent="0.2">
      <c r="F1173" s="494">
        <v>424</v>
      </c>
      <c r="G1173" s="495" t="s">
        <v>3781</v>
      </c>
      <c r="H1173" s="397"/>
      <c r="I1173" s="397"/>
      <c r="J1173" s="750"/>
      <c r="K1173" s="398"/>
      <c r="L1173" s="398"/>
      <c r="M1173" s="399"/>
    </row>
    <row r="1174" spans="6:13" hidden="1" x14ac:dyDescent="0.2">
      <c r="F1174" s="494">
        <v>425</v>
      </c>
      <c r="G1174" s="495" t="s">
        <v>4180</v>
      </c>
      <c r="H1174" s="397"/>
      <c r="I1174" s="397"/>
      <c r="J1174" s="750"/>
      <c r="K1174" s="398"/>
      <c r="L1174" s="398"/>
      <c r="M1174" s="399"/>
    </row>
    <row r="1175" spans="6:13" hidden="1" x14ac:dyDescent="0.2">
      <c r="F1175" s="494">
        <v>426</v>
      </c>
      <c r="G1175" s="495" t="s">
        <v>3785</v>
      </c>
      <c r="H1175" s="397"/>
      <c r="I1175" s="397"/>
      <c r="J1175" s="750"/>
      <c r="K1175" s="398"/>
      <c r="L1175" s="398"/>
      <c r="M1175" s="399"/>
    </row>
    <row r="1176" spans="6:13" hidden="1" x14ac:dyDescent="0.2">
      <c r="F1176" s="494">
        <v>431</v>
      </c>
      <c r="G1176" s="495" t="s">
        <v>4181</v>
      </c>
      <c r="H1176" s="397"/>
      <c r="I1176" s="397"/>
      <c r="J1176" s="750"/>
      <c r="K1176" s="398"/>
      <c r="L1176" s="398"/>
      <c r="M1176" s="399"/>
    </row>
    <row r="1177" spans="6:13" hidden="1" x14ac:dyDescent="0.2">
      <c r="F1177" s="494">
        <v>432</v>
      </c>
      <c r="G1177" s="495" t="s">
        <v>4182</v>
      </c>
      <c r="H1177" s="397"/>
      <c r="I1177" s="397"/>
      <c r="J1177" s="750"/>
      <c r="K1177" s="398"/>
      <c r="L1177" s="398"/>
      <c r="M1177" s="399"/>
    </row>
    <row r="1178" spans="6:13" hidden="1" x14ac:dyDescent="0.2">
      <c r="F1178" s="494">
        <v>433</v>
      </c>
      <c r="G1178" s="495" t="s">
        <v>4183</v>
      </c>
      <c r="H1178" s="397"/>
      <c r="I1178" s="397"/>
      <c r="J1178" s="750"/>
      <c r="K1178" s="398"/>
      <c r="L1178" s="398"/>
      <c r="M1178" s="399"/>
    </row>
    <row r="1179" spans="6:13" hidden="1" x14ac:dyDescent="0.2">
      <c r="F1179" s="494">
        <v>434</v>
      </c>
      <c r="G1179" s="495" t="s">
        <v>4184</v>
      </c>
      <c r="H1179" s="397"/>
      <c r="I1179" s="397"/>
      <c r="J1179" s="750"/>
      <c r="K1179" s="398"/>
      <c r="L1179" s="398"/>
      <c r="M1179" s="399"/>
    </row>
    <row r="1180" spans="6:13" hidden="1" x14ac:dyDescent="0.2">
      <c r="F1180" s="494">
        <v>435</v>
      </c>
      <c r="G1180" s="495" t="s">
        <v>3792</v>
      </c>
      <c r="H1180" s="397"/>
      <c r="I1180" s="397"/>
      <c r="J1180" s="750"/>
      <c r="K1180" s="398"/>
      <c r="L1180" s="398"/>
      <c r="M1180" s="399"/>
    </row>
    <row r="1181" spans="6:13" hidden="1" x14ac:dyDescent="0.2">
      <c r="F1181" s="494">
        <v>441</v>
      </c>
      <c r="G1181" s="495" t="s">
        <v>4185</v>
      </c>
      <c r="H1181" s="397"/>
      <c r="I1181" s="397"/>
      <c r="J1181" s="750"/>
      <c r="K1181" s="398"/>
      <c r="L1181" s="398"/>
      <c r="M1181" s="399"/>
    </row>
    <row r="1182" spans="6:13" hidden="1" x14ac:dyDescent="0.2">
      <c r="F1182" s="494">
        <v>442</v>
      </c>
      <c r="G1182" s="495" t="s">
        <v>4186</v>
      </c>
      <c r="H1182" s="397"/>
      <c r="I1182" s="397"/>
      <c r="J1182" s="750"/>
      <c r="K1182" s="398"/>
      <c r="L1182" s="398"/>
      <c r="M1182" s="399"/>
    </row>
    <row r="1183" spans="6:13" hidden="1" x14ac:dyDescent="0.2">
      <c r="F1183" s="494">
        <v>443</v>
      </c>
      <c r="G1183" s="495" t="s">
        <v>3797</v>
      </c>
      <c r="H1183" s="397"/>
      <c r="I1183" s="397"/>
      <c r="J1183" s="750"/>
      <c r="K1183" s="398"/>
      <c r="L1183" s="398"/>
      <c r="M1183" s="399"/>
    </row>
    <row r="1184" spans="6:13" hidden="1" x14ac:dyDescent="0.2">
      <c r="F1184" s="494">
        <v>444</v>
      </c>
      <c r="G1184" s="495" t="s">
        <v>3798</v>
      </c>
      <c r="H1184" s="397"/>
      <c r="I1184" s="397"/>
      <c r="J1184" s="750"/>
      <c r="K1184" s="398"/>
      <c r="L1184" s="398"/>
      <c r="M1184" s="399"/>
    </row>
    <row r="1185" spans="6:13" ht="25.5" hidden="1" x14ac:dyDescent="0.2">
      <c r="F1185" s="494">
        <v>4511</v>
      </c>
      <c r="G1185" s="466" t="s">
        <v>1692</v>
      </c>
      <c r="H1185" s="397"/>
      <c r="I1185" s="397"/>
      <c r="J1185" s="750"/>
      <c r="K1185" s="398"/>
      <c r="L1185" s="398"/>
      <c r="M1185" s="399"/>
    </row>
    <row r="1186" spans="6:13" ht="25.5" hidden="1" x14ac:dyDescent="0.2">
      <c r="F1186" s="494">
        <v>4512</v>
      </c>
      <c r="G1186" s="466" t="s">
        <v>1701</v>
      </c>
      <c r="H1186" s="397"/>
      <c r="I1186" s="397"/>
      <c r="J1186" s="750"/>
      <c r="K1186" s="398"/>
      <c r="L1186" s="398"/>
      <c r="M1186" s="399"/>
    </row>
    <row r="1187" spans="6:13" ht="25.5" hidden="1" x14ac:dyDescent="0.2">
      <c r="F1187" s="494">
        <v>452</v>
      </c>
      <c r="G1187" s="495" t="s">
        <v>4187</v>
      </c>
      <c r="H1187" s="397"/>
      <c r="I1187" s="397"/>
      <c r="J1187" s="750"/>
      <c r="K1187" s="398"/>
      <c r="L1187" s="398"/>
      <c r="M1187" s="399"/>
    </row>
    <row r="1188" spans="6:13" ht="25.5" hidden="1" x14ac:dyDescent="0.2">
      <c r="F1188" s="494">
        <v>453</v>
      </c>
      <c r="G1188" s="495" t="s">
        <v>4188</v>
      </c>
      <c r="H1188" s="397"/>
      <c r="I1188" s="397"/>
      <c r="J1188" s="750"/>
      <c r="K1188" s="398"/>
      <c r="L1188" s="398"/>
      <c r="M1188" s="399"/>
    </row>
    <row r="1189" spans="6:13" hidden="1" x14ac:dyDescent="0.2">
      <c r="F1189" s="494">
        <v>454</v>
      </c>
      <c r="G1189" s="495" t="s">
        <v>3803</v>
      </c>
      <c r="H1189" s="397"/>
      <c r="I1189" s="397"/>
      <c r="J1189" s="750"/>
      <c r="K1189" s="398"/>
      <c r="L1189" s="398"/>
      <c r="M1189" s="399"/>
    </row>
    <row r="1190" spans="6:13" hidden="1" x14ac:dyDescent="0.2">
      <c r="F1190" s="494">
        <v>461</v>
      </c>
      <c r="G1190" s="495" t="s">
        <v>4169</v>
      </c>
      <c r="H1190" s="397"/>
      <c r="I1190" s="397"/>
      <c r="J1190" s="750"/>
      <c r="K1190" s="398"/>
      <c r="L1190" s="398"/>
      <c r="M1190" s="399"/>
    </row>
    <row r="1191" spans="6:13" ht="25.5" hidden="1" x14ac:dyDescent="0.2">
      <c r="F1191" s="494">
        <v>462</v>
      </c>
      <c r="G1191" s="495" t="s">
        <v>3806</v>
      </c>
      <c r="H1191" s="397"/>
      <c r="I1191" s="397"/>
      <c r="J1191" s="750"/>
      <c r="K1191" s="398"/>
      <c r="L1191" s="398"/>
      <c r="M1191" s="399"/>
    </row>
    <row r="1192" spans="6:13" hidden="1" x14ac:dyDescent="0.2">
      <c r="F1192" s="494">
        <v>4631</v>
      </c>
      <c r="G1192" s="495" t="s">
        <v>3807</v>
      </c>
      <c r="H1192" s="397"/>
      <c r="I1192" s="397"/>
      <c r="J1192" s="750"/>
      <c r="K1192" s="398"/>
      <c r="L1192" s="398"/>
      <c r="M1192" s="399"/>
    </row>
    <row r="1193" spans="6:13" hidden="1" x14ac:dyDescent="0.2">
      <c r="F1193" s="494">
        <v>4632</v>
      </c>
      <c r="G1193" s="495" t="s">
        <v>3808</v>
      </c>
      <c r="H1193" s="397"/>
      <c r="I1193" s="397"/>
      <c r="J1193" s="750"/>
      <c r="K1193" s="398"/>
      <c r="L1193" s="398"/>
      <c r="M1193" s="399"/>
    </row>
    <row r="1194" spans="6:13" ht="25.5" hidden="1" x14ac:dyDescent="0.2">
      <c r="F1194" s="494">
        <v>464</v>
      </c>
      <c r="G1194" s="495" t="s">
        <v>3809</v>
      </c>
      <c r="H1194" s="397"/>
      <c r="I1194" s="397"/>
      <c r="J1194" s="750"/>
      <c r="K1194" s="398"/>
      <c r="L1194" s="398"/>
      <c r="M1194" s="399"/>
    </row>
    <row r="1195" spans="6:13" hidden="1" x14ac:dyDescent="0.2">
      <c r="F1195" s="494">
        <v>465</v>
      </c>
      <c r="G1195" s="495" t="s">
        <v>4170</v>
      </c>
      <c r="H1195" s="397"/>
      <c r="I1195" s="397"/>
      <c r="J1195" s="750"/>
      <c r="K1195" s="398"/>
      <c r="L1195" s="398"/>
      <c r="M1195" s="399"/>
    </row>
    <row r="1196" spans="6:13" hidden="1" x14ac:dyDescent="0.2">
      <c r="F1196" s="494">
        <v>472</v>
      </c>
      <c r="G1196" s="495" t="s">
        <v>3813</v>
      </c>
      <c r="H1196" s="397"/>
      <c r="I1196" s="397"/>
      <c r="J1196" s="750"/>
      <c r="K1196" s="398"/>
      <c r="L1196" s="398"/>
      <c r="M1196" s="399"/>
    </row>
    <row r="1197" spans="6:13" hidden="1" x14ac:dyDescent="0.2">
      <c r="F1197" s="494">
        <v>481</v>
      </c>
      <c r="G1197" s="495" t="s">
        <v>4189</v>
      </c>
      <c r="H1197" s="397"/>
      <c r="I1197" s="397"/>
      <c r="J1197" s="750"/>
      <c r="K1197" s="398"/>
      <c r="L1197" s="398"/>
      <c r="M1197" s="399"/>
    </row>
    <row r="1198" spans="6:13" hidden="1" x14ac:dyDescent="0.2">
      <c r="F1198" s="494">
        <v>482</v>
      </c>
      <c r="G1198" s="495" t="s">
        <v>4190</v>
      </c>
      <c r="H1198" s="397"/>
      <c r="I1198" s="397"/>
      <c r="J1198" s="750"/>
      <c r="K1198" s="398"/>
      <c r="L1198" s="398"/>
      <c r="M1198" s="399"/>
    </row>
    <row r="1199" spans="6:13" hidden="1" x14ac:dyDescent="0.2">
      <c r="F1199" s="494">
        <v>483</v>
      </c>
      <c r="G1199" s="497" t="s">
        <v>4191</v>
      </c>
      <c r="H1199" s="397"/>
      <c r="I1199" s="397"/>
      <c r="J1199" s="750"/>
      <c r="K1199" s="398"/>
      <c r="L1199" s="398"/>
      <c r="M1199" s="399"/>
    </row>
    <row r="1200" spans="6:13" ht="38.25" hidden="1" x14ac:dyDescent="0.2">
      <c r="F1200" s="494">
        <v>484</v>
      </c>
      <c r="G1200" s="495" t="s">
        <v>4192</v>
      </c>
      <c r="H1200" s="397"/>
      <c r="I1200" s="397"/>
      <c r="J1200" s="750"/>
      <c r="K1200" s="398"/>
      <c r="L1200" s="398"/>
      <c r="M1200" s="399"/>
    </row>
    <row r="1201" spans="6:13" ht="25.5" hidden="1" x14ac:dyDescent="0.2">
      <c r="F1201" s="494">
        <v>485</v>
      </c>
      <c r="G1201" s="495" t="s">
        <v>4193</v>
      </c>
      <c r="H1201" s="397"/>
      <c r="I1201" s="397"/>
      <c r="J1201" s="750"/>
      <c r="K1201" s="398"/>
      <c r="L1201" s="398"/>
      <c r="M1201" s="399"/>
    </row>
    <row r="1202" spans="6:13" ht="25.5" hidden="1" x14ac:dyDescent="0.2">
      <c r="F1202" s="494">
        <v>489</v>
      </c>
      <c r="G1202" s="495" t="s">
        <v>3821</v>
      </c>
      <c r="H1202" s="397"/>
      <c r="I1202" s="397"/>
      <c r="J1202" s="750"/>
      <c r="K1202" s="398"/>
      <c r="L1202" s="398"/>
      <c r="M1202" s="399"/>
    </row>
    <row r="1203" spans="6:13" ht="25.5" hidden="1" x14ac:dyDescent="0.2">
      <c r="F1203" s="494">
        <v>494</v>
      </c>
      <c r="G1203" s="495" t="s">
        <v>4171</v>
      </c>
      <c r="H1203" s="397"/>
      <c r="I1203" s="397"/>
      <c r="J1203" s="750"/>
      <c r="K1203" s="398"/>
      <c r="L1203" s="398"/>
      <c r="M1203" s="399"/>
    </row>
    <row r="1204" spans="6:13" ht="25.5" hidden="1" x14ac:dyDescent="0.2">
      <c r="F1204" s="494">
        <v>495</v>
      </c>
      <c r="G1204" s="495" t="s">
        <v>4172</v>
      </c>
      <c r="H1204" s="397"/>
      <c r="I1204" s="397"/>
      <c r="J1204" s="750"/>
      <c r="K1204" s="398"/>
      <c r="L1204" s="398"/>
      <c r="M1204" s="399"/>
    </row>
    <row r="1205" spans="6:13" ht="38.25" hidden="1" x14ac:dyDescent="0.2">
      <c r="F1205" s="494">
        <v>496</v>
      </c>
      <c r="G1205" s="495" t="s">
        <v>4173</v>
      </c>
      <c r="H1205" s="397"/>
      <c r="I1205" s="397"/>
      <c r="J1205" s="750"/>
      <c r="K1205" s="398"/>
      <c r="L1205" s="398"/>
      <c r="M1205" s="399"/>
    </row>
    <row r="1206" spans="6:13" ht="25.5" hidden="1" x14ac:dyDescent="0.2">
      <c r="F1206" s="494">
        <v>499</v>
      </c>
      <c r="G1206" s="495" t="s">
        <v>4174</v>
      </c>
      <c r="H1206" s="397"/>
      <c r="I1206" s="397"/>
      <c r="J1206" s="750"/>
      <c r="K1206" s="398"/>
      <c r="L1206" s="398"/>
      <c r="M1206" s="399"/>
    </row>
    <row r="1207" spans="6:13" hidden="1" x14ac:dyDescent="0.2">
      <c r="F1207" s="494">
        <v>511</v>
      </c>
      <c r="G1207" s="497" t="s">
        <v>4194</v>
      </c>
      <c r="H1207" s="397"/>
      <c r="I1207" s="397"/>
      <c r="J1207" s="750"/>
      <c r="K1207" s="398"/>
      <c r="L1207" s="398"/>
      <c r="M1207" s="399"/>
    </row>
    <row r="1208" spans="6:13" hidden="1" x14ac:dyDescent="0.2">
      <c r="F1208" s="494">
        <v>512</v>
      </c>
      <c r="G1208" s="497" t="s">
        <v>4195</v>
      </c>
      <c r="H1208" s="397"/>
      <c r="I1208" s="397"/>
      <c r="J1208" s="750"/>
      <c r="K1208" s="398"/>
      <c r="L1208" s="398"/>
      <c r="M1208" s="399"/>
    </row>
    <row r="1209" spans="6:13" hidden="1" x14ac:dyDescent="0.2">
      <c r="F1209" s="494">
        <v>513</v>
      </c>
      <c r="G1209" s="497" t="s">
        <v>4196</v>
      </c>
      <c r="H1209" s="397"/>
      <c r="I1209" s="397"/>
      <c r="J1209" s="750"/>
      <c r="K1209" s="398"/>
      <c r="L1209" s="398"/>
      <c r="M1209" s="399"/>
    </row>
    <row r="1210" spans="6:13" hidden="1" x14ac:dyDescent="0.2">
      <c r="F1210" s="494">
        <v>514</v>
      </c>
      <c r="G1210" s="495" t="s">
        <v>4197</v>
      </c>
      <c r="H1210" s="397"/>
      <c r="I1210" s="397"/>
      <c r="J1210" s="750"/>
      <c r="K1210" s="398"/>
      <c r="L1210" s="398"/>
      <c r="M1210" s="399"/>
    </row>
    <row r="1211" spans="6:13" hidden="1" x14ac:dyDescent="0.2">
      <c r="F1211" s="494">
        <v>515</v>
      </c>
      <c r="G1211" s="495" t="s">
        <v>3832</v>
      </c>
      <c r="H1211" s="397"/>
      <c r="I1211" s="397"/>
      <c r="J1211" s="750"/>
      <c r="K1211" s="398"/>
      <c r="L1211" s="398"/>
      <c r="M1211" s="399"/>
    </row>
    <row r="1212" spans="6:13" hidden="1" x14ac:dyDescent="0.2">
      <c r="F1212" s="494">
        <v>521</v>
      </c>
      <c r="G1212" s="495" t="s">
        <v>4198</v>
      </c>
      <c r="H1212" s="397"/>
      <c r="I1212" s="397"/>
      <c r="J1212" s="750"/>
      <c r="K1212" s="398"/>
      <c r="L1212" s="398"/>
      <c r="M1212" s="399"/>
    </row>
    <row r="1213" spans="6:13" hidden="1" x14ac:dyDescent="0.2">
      <c r="F1213" s="494">
        <v>522</v>
      </c>
      <c r="G1213" s="495" t="s">
        <v>4199</v>
      </c>
      <c r="H1213" s="397"/>
      <c r="I1213" s="397"/>
      <c r="J1213" s="750"/>
      <c r="K1213" s="398"/>
      <c r="L1213" s="398"/>
      <c r="M1213" s="399"/>
    </row>
    <row r="1214" spans="6:13" hidden="1" x14ac:dyDescent="0.2">
      <c r="F1214" s="494">
        <v>523</v>
      </c>
      <c r="G1214" s="495" t="s">
        <v>3837</v>
      </c>
      <c r="H1214" s="397"/>
      <c r="I1214" s="397"/>
      <c r="J1214" s="750"/>
      <c r="K1214" s="398"/>
      <c r="L1214" s="398"/>
      <c r="M1214" s="399"/>
    </row>
    <row r="1215" spans="6:13" hidden="1" x14ac:dyDescent="0.2">
      <c r="F1215" s="494">
        <v>531</v>
      </c>
      <c r="G1215" s="496" t="s">
        <v>4175</v>
      </c>
      <c r="H1215" s="397"/>
      <c r="I1215" s="397"/>
      <c r="J1215" s="750"/>
      <c r="K1215" s="398"/>
      <c r="L1215" s="398"/>
      <c r="M1215" s="399"/>
    </row>
    <row r="1216" spans="6:13" hidden="1" x14ac:dyDescent="0.2">
      <c r="F1216" s="494">
        <v>541</v>
      </c>
      <c r="G1216" s="495" t="s">
        <v>4200</v>
      </c>
      <c r="H1216" s="397"/>
      <c r="I1216" s="397"/>
      <c r="J1216" s="750"/>
      <c r="K1216" s="398"/>
      <c r="L1216" s="398"/>
      <c r="M1216" s="399"/>
    </row>
    <row r="1217" spans="5:13" hidden="1" x14ac:dyDescent="0.2">
      <c r="F1217" s="494">
        <v>542</v>
      </c>
      <c r="G1217" s="495" t="s">
        <v>4201</v>
      </c>
      <c r="H1217" s="397"/>
      <c r="I1217" s="397"/>
      <c r="J1217" s="750"/>
      <c r="K1217" s="398"/>
      <c r="L1217" s="398"/>
      <c r="M1217" s="399"/>
    </row>
    <row r="1218" spans="5:13" hidden="1" x14ac:dyDescent="0.2">
      <c r="F1218" s="494">
        <v>543</v>
      </c>
      <c r="G1218" s="495" t="s">
        <v>3842</v>
      </c>
      <c r="H1218" s="397"/>
      <c r="I1218" s="397"/>
      <c r="J1218" s="750"/>
      <c r="K1218" s="398"/>
      <c r="L1218" s="398"/>
      <c r="M1218" s="399"/>
    </row>
    <row r="1219" spans="5:13" ht="38.25" hidden="1" x14ac:dyDescent="0.2">
      <c r="F1219" s="494">
        <v>551</v>
      </c>
      <c r="G1219" s="495" t="s">
        <v>4176</v>
      </c>
      <c r="H1219" s="397"/>
      <c r="I1219" s="397"/>
      <c r="J1219" s="750"/>
      <c r="K1219" s="398"/>
      <c r="L1219" s="398"/>
      <c r="M1219" s="399"/>
    </row>
    <row r="1220" spans="5:13" hidden="1" x14ac:dyDescent="0.2">
      <c r="F1220" s="498">
        <v>611</v>
      </c>
      <c r="G1220" s="499" t="s">
        <v>3848</v>
      </c>
      <c r="H1220" s="397"/>
      <c r="I1220" s="397"/>
      <c r="J1220" s="750"/>
      <c r="K1220" s="398"/>
      <c r="L1220" s="398"/>
      <c r="M1220" s="399"/>
    </row>
    <row r="1221" spans="5:13" hidden="1" x14ac:dyDescent="0.2">
      <c r="F1221" s="498">
        <v>620</v>
      </c>
      <c r="G1221" s="499" t="s">
        <v>88</v>
      </c>
      <c r="H1221" s="397"/>
      <c r="I1221" s="397"/>
      <c r="J1221" s="750"/>
      <c r="K1221" s="398"/>
      <c r="L1221" s="398"/>
      <c r="M1221" s="399"/>
    </row>
    <row r="1222" spans="5:13" hidden="1" x14ac:dyDescent="0.2">
      <c r="E1222" s="500"/>
      <c r="F1222" s="498"/>
      <c r="G1222" s="509" t="s">
        <v>4348</v>
      </c>
      <c r="H1222" s="400"/>
      <c r="I1222" s="400"/>
      <c r="J1222" s="750"/>
      <c r="K1222" s="401"/>
      <c r="L1222" s="402"/>
      <c r="M1222" s="399"/>
    </row>
    <row r="1223" spans="5:13" hidden="1" x14ac:dyDescent="0.2">
      <c r="E1223" s="502"/>
      <c r="F1223" s="503" t="s">
        <v>234</v>
      </c>
      <c r="G1223" s="504" t="s">
        <v>235</v>
      </c>
      <c r="H1223" s="403">
        <f>SUM(H1162:H1221)</f>
        <v>0</v>
      </c>
      <c r="I1223" s="403"/>
      <c r="J1223" s="750"/>
      <c r="K1223" s="404"/>
      <c r="L1223" s="404"/>
      <c r="M1223" s="399"/>
    </row>
    <row r="1224" spans="5:13" hidden="1" x14ac:dyDescent="0.2">
      <c r="F1224" s="503" t="s">
        <v>236</v>
      </c>
      <c r="G1224" s="504" t="s">
        <v>237</v>
      </c>
      <c r="H1224" s="397"/>
      <c r="I1224" s="397"/>
      <c r="J1224" s="750"/>
      <c r="K1224" s="398"/>
      <c r="L1224" s="404"/>
      <c r="M1224" s="399"/>
    </row>
    <row r="1225" spans="5:13" hidden="1" x14ac:dyDescent="0.2">
      <c r="F1225" s="503" t="s">
        <v>238</v>
      </c>
      <c r="G1225" s="504" t="s">
        <v>239</v>
      </c>
      <c r="H1225" s="397"/>
      <c r="I1225" s="397"/>
      <c r="J1225" s="750"/>
      <c r="K1225" s="398"/>
      <c r="L1225" s="404"/>
      <c r="M1225" s="399"/>
    </row>
    <row r="1226" spans="5:13" hidden="1" x14ac:dyDescent="0.2">
      <c r="F1226" s="503" t="s">
        <v>240</v>
      </c>
      <c r="G1226" s="504" t="s">
        <v>241</v>
      </c>
      <c r="H1226" s="397"/>
      <c r="I1226" s="397"/>
      <c r="J1226" s="750"/>
      <c r="K1226" s="398"/>
      <c r="L1226" s="404"/>
      <c r="M1226" s="399"/>
    </row>
    <row r="1227" spans="5:13" hidden="1" x14ac:dyDescent="0.2">
      <c r="F1227" s="503" t="s">
        <v>242</v>
      </c>
      <c r="G1227" s="504" t="s">
        <v>243</v>
      </c>
      <c r="H1227" s="397"/>
      <c r="I1227" s="397"/>
      <c r="J1227" s="750"/>
      <c r="K1227" s="398"/>
      <c r="L1227" s="404"/>
      <c r="M1227" s="399"/>
    </row>
    <row r="1228" spans="5:13" hidden="1" x14ac:dyDescent="0.2">
      <c r="F1228" s="503" t="s">
        <v>244</v>
      </c>
      <c r="G1228" s="504" t="s">
        <v>245</v>
      </c>
      <c r="H1228" s="397"/>
      <c r="I1228" s="397"/>
      <c r="J1228" s="750"/>
      <c r="K1228" s="398"/>
      <c r="L1228" s="404"/>
      <c r="M1228" s="399"/>
    </row>
    <row r="1229" spans="5:13" hidden="1" x14ac:dyDescent="0.2">
      <c r="F1229" s="503" t="s">
        <v>246</v>
      </c>
      <c r="G1229" s="504" t="s">
        <v>247</v>
      </c>
      <c r="H1229" s="397"/>
      <c r="I1229" s="397"/>
      <c r="J1229" s="750"/>
      <c r="K1229" s="398"/>
      <c r="L1229" s="404"/>
      <c r="M1229" s="399"/>
    </row>
    <row r="1230" spans="5:13" ht="25.5" hidden="1" x14ac:dyDescent="0.2">
      <c r="F1230" s="503" t="s">
        <v>248</v>
      </c>
      <c r="G1230" s="504" t="s">
        <v>249</v>
      </c>
      <c r="H1230" s="397"/>
      <c r="I1230" s="397"/>
      <c r="J1230" s="750"/>
      <c r="K1230" s="398"/>
      <c r="L1230" s="404"/>
      <c r="M1230" s="399"/>
    </row>
    <row r="1231" spans="5:13" hidden="1" x14ac:dyDescent="0.2">
      <c r="F1231" s="503" t="s">
        <v>250</v>
      </c>
      <c r="G1231" s="504" t="s">
        <v>57</v>
      </c>
      <c r="H1231" s="397"/>
      <c r="I1231" s="397"/>
      <c r="J1231" s="750"/>
      <c r="K1231" s="398"/>
      <c r="L1231" s="404"/>
      <c r="M1231" s="399"/>
    </row>
    <row r="1232" spans="5:13" hidden="1" x14ac:dyDescent="0.2">
      <c r="F1232" s="503" t="s">
        <v>251</v>
      </c>
      <c r="G1232" s="504" t="s">
        <v>252</v>
      </c>
      <c r="H1232" s="397"/>
      <c r="I1232" s="397"/>
      <c r="J1232" s="750"/>
      <c r="K1232" s="398"/>
      <c r="L1232" s="404"/>
      <c r="M1232" s="399"/>
    </row>
    <row r="1233" spans="5:13" hidden="1" x14ac:dyDescent="0.2">
      <c r="F1233" s="503" t="s">
        <v>253</v>
      </c>
      <c r="G1233" s="504" t="s">
        <v>254</v>
      </c>
      <c r="H1233" s="397"/>
      <c r="I1233" s="397"/>
      <c r="J1233" s="750"/>
      <c r="K1233" s="398"/>
      <c r="L1233" s="404"/>
      <c r="M1233" s="399"/>
    </row>
    <row r="1234" spans="5:13" ht="25.5" hidden="1" x14ac:dyDescent="0.2">
      <c r="F1234" s="503" t="s">
        <v>255</v>
      </c>
      <c r="G1234" s="504" t="s">
        <v>256</v>
      </c>
      <c r="H1234" s="397"/>
      <c r="I1234" s="397"/>
      <c r="J1234" s="750"/>
      <c r="K1234" s="398"/>
      <c r="L1234" s="404"/>
      <c r="M1234" s="399"/>
    </row>
    <row r="1235" spans="5:13" ht="25.5" hidden="1" x14ac:dyDescent="0.2">
      <c r="F1235" s="503" t="s">
        <v>257</v>
      </c>
      <c r="G1235" s="504" t="s">
        <v>258</v>
      </c>
      <c r="H1235" s="397"/>
      <c r="I1235" s="397"/>
      <c r="J1235" s="750"/>
      <c r="K1235" s="398"/>
      <c r="L1235" s="404"/>
      <c r="M1235" s="399"/>
    </row>
    <row r="1236" spans="5:13" ht="25.5" hidden="1" x14ac:dyDescent="0.2">
      <c r="F1236" s="503" t="s">
        <v>259</v>
      </c>
      <c r="G1236" s="504" t="s">
        <v>260</v>
      </c>
      <c r="H1236" s="397"/>
      <c r="I1236" s="397"/>
      <c r="J1236" s="750"/>
      <c r="K1236" s="398"/>
      <c r="L1236" s="404"/>
      <c r="M1236" s="399"/>
    </row>
    <row r="1237" spans="5:13" ht="25.5" hidden="1" x14ac:dyDescent="0.2">
      <c r="F1237" s="503" t="s">
        <v>261</v>
      </c>
      <c r="G1237" s="504" t="s">
        <v>262</v>
      </c>
      <c r="H1237" s="397"/>
      <c r="I1237" s="397"/>
      <c r="J1237" s="750"/>
      <c r="K1237" s="398"/>
      <c r="L1237" s="404"/>
      <c r="M1237" s="399"/>
    </row>
    <row r="1238" spans="5:13" hidden="1" x14ac:dyDescent="0.2">
      <c r="F1238" s="503" t="s">
        <v>263</v>
      </c>
      <c r="G1238" s="504" t="s">
        <v>264</v>
      </c>
      <c r="H1238" s="403"/>
      <c r="I1238" s="403"/>
      <c r="J1238" s="750"/>
      <c r="K1238" s="404"/>
      <c r="L1238" s="404"/>
      <c r="M1238" s="399"/>
    </row>
    <row r="1239" spans="5:13" ht="13.5" hidden="1" thickBot="1" x14ac:dyDescent="0.25">
      <c r="G1239" s="505" t="s">
        <v>4349</v>
      </c>
      <c r="H1239" s="405">
        <f>SUM(H1223:H1238)</f>
        <v>0</v>
      </c>
      <c r="I1239" s="405"/>
      <c r="J1239" s="750"/>
      <c r="K1239" s="406">
        <f>SUM(K1224:K1238)</f>
        <v>0</v>
      </c>
      <c r="L1239" s="406"/>
      <c r="M1239" s="399"/>
    </row>
    <row r="1240" spans="5:13" ht="25.5" hidden="1" collapsed="1" x14ac:dyDescent="0.2">
      <c r="E1240" s="500"/>
      <c r="F1240" s="498"/>
      <c r="G1240" s="506" t="s">
        <v>4352</v>
      </c>
      <c r="H1240" s="407"/>
      <c r="I1240" s="408"/>
      <c r="J1240" s="750"/>
      <c r="K1240" s="409"/>
      <c r="L1240" s="410"/>
      <c r="M1240" s="399"/>
    </row>
    <row r="1241" spans="5:13" hidden="1" x14ac:dyDescent="0.2">
      <c r="E1241" s="502"/>
      <c r="F1241" s="503" t="s">
        <v>234</v>
      </c>
      <c r="G1241" s="504" t="s">
        <v>235</v>
      </c>
      <c r="H1241" s="403">
        <f>SUM(H1162:H1221)</f>
        <v>0</v>
      </c>
      <c r="I1241" s="403"/>
      <c r="J1241" s="750"/>
      <c r="K1241" s="404"/>
      <c r="L1241" s="404"/>
      <c r="M1241" s="399"/>
    </row>
    <row r="1242" spans="5:13" hidden="1" x14ac:dyDescent="0.2">
      <c r="F1242" s="503" t="s">
        <v>236</v>
      </c>
      <c r="G1242" s="504" t="s">
        <v>237</v>
      </c>
      <c r="H1242" s="397"/>
      <c r="I1242" s="397"/>
      <c r="J1242" s="750"/>
      <c r="K1242" s="398"/>
      <c r="L1242" s="404"/>
      <c r="M1242" s="399"/>
    </row>
    <row r="1243" spans="5:13" hidden="1" x14ac:dyDescent="0.2">
      <c r="F1243" s="503" t="s">
        <v>238</v>
      </c>
      <c r="G1243" s="504" t="s">
        <v>239</v>
      </c>
      <c r="H1243" s="397"/>
      <c r="I1243" s="397"/>
      <c r="J1243" s="750"/>
      <c r="K1243" s="398"/>
      <c r="L1243" s="404"/>
      <c r="M1243" s="399"/>
    </row>
    <row r="1244" spans="5:13" hidden="1" x14ac:dyDescent="0.2">
      <c r="F1244" s="503" t="s">
        <v>240</v>
      </c>
      <c r="G1244" s="504" t="s">
        <v>241</v>
      </c>
      <c r="H1244" s="397"/>
      <c r="I1244" s="397"/>
      <c r="J1244" s="750"/>
      <c r="K1244" s="398"/>
      <c r="L1244" s="404"/>
      <c r="M1244" s="399"/>
    </row>
    <row r="1245" spans="5:13" hidden="1" x14ac:dyDescent="0.2">
      <c r="F1245" s="503" t="s">
        <v>242</v>
      </c>
      <c r="G1245" s="504" t="s">
        <v>243</v>
      </c>
      <c r="H1245" s="397"/>
      <c r="I1245" s="397"/>
      <c r="J1245" s="750"/>
      <c r="K1245" s="398"/>
      <c r="L1245" s="404"/>
      <c r="M1245" s="399"/>
    </row>
    <row r="1246" spans="5:13" hidden="1" x14ac:dyDescent="0.2">
      <c r="F1246" s="503" t="s">
        <v>244</v>
      </c>
      <c r="G1246" s="504" t="s">
        <v>245</v>
      </c>
      <c r="H1246" s="397"/>
      <c r="I1246" s="397"/>
      <c r="J1246" s="750"/>
      <c r="K1246" s="398"/>
      <c r="L1246" s="404"/>
      <c r="M1246" s="399"/>
    </row>
    <row r="1247" spans="5:13" hidden="1" x14ac:dyDescent="0.2">
      <c r="F1247" s="503" t="s">
        <v>246</v>
      </c>
      <c r="G1247" s="504" t="s">
        <v>247</v>
      </c>
      <c r="H1247" s="397"/>
      <c r="I1247" s="397"/>
      <c r="J1247" s="750"/>
      <c r="K1247" s="398"/>
      <c r="L1247" s="404"/>
      <c r="M1247" s="399"/>
    </row>
    <row r="1248" spans="5:13" ht="25.5" hidden="1" x14ac:dyDescent="0.2">
      <c r="F1248" s="503" t="s">
        <v>248</v>
      </c>
      <c r="G1248" s="504" t="s">
        <v>249</v>
      </c>
      <c r="H1248" s="397"/>
      <c r="I1248" s="397"/>
      <c r="J1248" s="750"/>
      <c r="K1248" s="398"/>
      <c r="L1248" s="404"/>
      <c r="M1248" s="399"/>
    </row>
    <row r="1249" spans="3:15" hidden="1" x14ac:dyDescent="0.2">
      <c r="F1249" s="503" t="s">
        <v>250</v>
      </c>
      <c r="G1249" s="504" t="s">
        <v>57</v>
      </c>
      <c r="H1249" s="397"/>
      <c r="I1249" s="397"/>
      <c r="J1249" s="750"/>
      <c r="K1249" s="398"/>
      <c r="L1249" s="404"/>
      <c r="M1249" s="399"/>
    </row>
    <row r="1250" spans="3:15" hidden="1" x14ac:dyDescent="0.2">
      <c r="F1250" s="503" t="s">
        <v>251</v>
      </c>
      <c r="G1250" s="504" t="s">
        <v>252</v>
      </c>
      <c r="H1250" s="397"/>
      <c r="I1250" s="397"/>
      <c r="J1250" s="750"/>
      <c r="K1250" s="398"/>
      <c r="L1250" s="404"/>
      <c r="M1250" s="399"/>
    </row>
    <row r="1251" spans="3:15" hidden="1" x14ac:dyDescent="0.2">
      <c r="F1251" s="503" t="s">
        <v>253</v>
      </c>
      <c r="G1251" s="504" t="s">
        <v>254</v>
      </c>
      <c r="H1251" s="397"/>
      <c r="I1251" s="397"/>
      <c r="J1251" s="750"/>
      <c r="K1251" s="398"/>
      <c r="L1251" s="404"/>
      <c r="M1251" s="399"/>
    </row>
    <row r="1252" spans="3:15" ht="25.5" hidden="1" x14ac:dyDescent="0.2">
      <c r="F1252" s="503" t="s">
        <v>255</v>
      </c>
      <c r="G1252" s="504" t="s">
        <v>256</v>
      </c>
      <c r="H1252" s="397"/>
      <c r="I1252" s="397"/>
      <c r="J1252" s="750"/>
      <c r="K1252" s="398"/>
      <c r="L1252" s="404"/>
      <c r="M1252" s="399"/>
    </row>
    <row r="1253" spans="3:15" ht="25.5" hidden="1" x14ac:dyDescent="0.2">
      <c r="F1253" s="503" t="s">
        <v>257</v>
      </c>
      <c r="G1253" s="504" t="s">
        <v>258</v>
      </c>
      <c r="H1253" s="397"/>
      <c r="I1253" s="397"/>
      <c r="J1253" s="750"/>
      <c r="K1253" s="398"/>
      <c r="L1253" s="404"/>
      <c r="M1253" s="399"/>
    </row>
    <row r="1254" spans="3:15" ht="25.5" hidden="1" x14ac:dyDescent="0.2">
      <c r="F1254" s="503" t="s">
        <v>259</v>
      </c>
      <c r="G1254" s="504" t="s">
        <v>260</v>
      </c>
      <c r="H1254" s="397"/>
      <c r="I1254" s="397"/>
      <c r="J1254" s="750"/>
      <c r="K1254" s="398"/>
      <c r="L1254" s="404"/>
      <c r="M1254" s="399"/>
    </row>
    <row r="1255" spans="3:15" ht="25.5" hidden="1" x14ac:dyDescent="0.2">
      <c r="F1255" s="503" t="s">
        <v>261</v>
      </c>
      <c r="G1255" s="504" t="s">
        <v>262</v>
      </c>
      <c r="H1255" s="397"/>
      <c r="I1255" s="397"/>
      <c r="J1255" s="750"/>
      <c r="K1255" s="398"/>
      <c r="L1255" s="404"/>
      <c r="M1255" s="399"/>
    </row>
    <row r="1256" spans="3:15" hidden="1" x14ac:dyDescent="0.2">
      <c r="F1256" s="503" t="s">
        <v>263</v>
      </c>
      <c r="G1256" s="504" t="s">
        <v>264</v>
      </c>
      <c r="H1256" s="403"/>
      <c r="I1256" s="403"/>
      <c r="J1256" s="750"/>
      <c r="K1256" s="404"/>
      <c r="L1256" s="404"/>
      <c r="M1256" s="399"/>
    </row>
    <row r="1257" spans="3:15" ht="13.5" hidden="1" collapsed="1" thickBot="1" x14ac:dyDescent="0.25">
      <c r="G1257" s="505" t="s">
        <v>4353</v>
      </c>
      <c r="H1257" s="405">
        <f>SUM(H1241:H1256)</f>
        <v>0</v>
      </c>
      <c r="I1257" s="405"/>
      <c r="J1257" s="750"/>
      <c r="K1257" s="406">
        <f>SUM(K1242:K1256)</f>
        <v>0</v>
      </c>
      <c r="L1257" s="406"/>
      <c r="M1257" s="399"/>
    </row>
    <row r="1258" spans="3:15" ht="25.5" hidden="1" x14ac:dyDescent="0.2">
      <c r="C1258" s="489" t="s">
        <v>4085</v>
      </c>
      <c r="D1258" s="490"/>
      <c r="G1258" s="491" t="s">
        <v>5067</v>
      </c>
      <c r="H1258" s="397"/>
      <c r="I1258" s="397"/>
      <c r="J1258" s="750"/>
      <c r="K1258" s="398"/>
      <c r="L1258" s="398"/>
      <c r="M1258" s="399"/>
    </row>
    <row r="1259" spans="3:15" hidden="1" x14ac:dyDescent="0.2">
      <c r="C1259" s="489"/>
      <c r="D1259" s="537">
        <v>411</v>
      </c>
      <c r="E1259" s="538"/>
      <c r="F1259" s="538"/>
      <c r="G1259" s="539" t="s">
        <v>135</v>
      </c>
      <c r="H1259" s="397"/>
      <c r="I1259" s="397"/>
      <c r="J1259" s="750"/>
      <c r="K1259" s="398"/>
      <c r="L1259" s="398"/>
      <c r="M1259" s="399"/>
    </row>
    <row r="1260" spans="3:15" hidden="1" x14ac:dyDescent="0.2">
      <c r="F1260" s="494">
        <v>411</v>
      </c>
      <c r="G1260" s="495" t="s">
        <v>4167</v>
      </c>
      <c r="H1260" s="397"/>
      <c r="I1260" s="397"/>
      <c r="J1260" s="750"/>
      <c r="K1260" s="398"/>
      <c r="L1260" s="398"/>
      <c r="M1260" s="399"/>
      <c r="N1260" s="540"/>
      <c r="O1260" s="540"/>
    </row>
    <row r="1261" spans="3:15" hidden="1" x14ac:dyDescent="0.2">
      <c r="F1261" s="494">
        <v>412</v>
      </c>
      <c r="G1261" s="496" t="s">
        <v>3764</v>
      </c>
      <c r="H1261" s="397"/>
      <c r="I1261" s="397"/>
      <c r="J1261" s="750"/>
      <c r="K1261" s="398"/>
      <c r="L1261" s="398"/>
      <c r="M1261" s="399"/>
    </row>
    <row r="1262" spans="3:15" hidden="1" x14ac:dyDescent="0.2">
      <c r="F1262" s="494">
        <v>413</v>
      </c>
      <c r="G1262" s="495" t="s">
        <v>4168</v>
      </c>
      <c r="H1262" s="397"/>
      <c r="I1262" s="397"/>
      <c r="J1262" s="750"/>
      <c r="K1262" s="398"/>
      <c r="L1262" s="398"/>
      <c r="M1262" s="399"/>
    </row>
    <row r="1263" spans="3:15" hidden="1" x14ac:dyDescent="0.2">
      <c r="F1263" s="494">
        <v>414</v>
      </c>
      <c r="G1263" s="495" t="s">
        <v>3767</v>
      </c>
      <c r="H1263" s="397"/>
      <c r="I1263" s="397"/>
      <c r="J1263" s="750"/>
      <c r="K1263" s="398"/>
      <c r="L1263" s="398"/>
      <c r="M1263" s="399"/>
    </row>
    <row r="1264" spans="3:15" hidden="1" x14ac:dyDescent="0.2">
      <c r="F1264" s="494">
        <v>415</v>
      </c>
      <c r="G1264" s="495" t="s">
        <v>4177</v>
      </c>
      <c r="H1264" s="397"/>
      <c r="I1264" s="397"/>
      <c r="J1264" s="750"/>
      <c r="K1264" s="398"/>
      <c r="L1264" s="398"/>
      <c r="M1264" s="399"/>
    </row>
    <row r="1265" spans="6:13" ht="25.5" hidden="1" x14ac:dyDescent="0.2">
      <c r="F1265" s="494">
        <v>416</v>
      </c>
      <c r="G1265" s="495" t="s">
        <v>4178</v>
      </c>
      <c r="H1265" s="397"/>
      <c r="I1265" s="397"/>
      <c r="J1265" s="750"/>
      <c r="K1265" s="398"/>
      <c r="L1265" s="398"/>
      <c r="M1265" s="399"/>
    </row>
    <row r="1266" spans="6:13" hidden="1" x14ac:dyDescent="0.2">
      <c r="F1266" s="494">
        <v>417</v>
      </c>
      <c r="G1266" s="495" t="s">
        <v>4179</v>
      </c>
      <c r="H1266" s="397"/>
      <c r="I1266" s="397"/>
      <c r="J1266" s="750"/>
      <c r="K1266" s="398"/>
      <c r="L1266" s="398"/>
      <c r="M1266" s="399"/>
    </row>
    <row r="1267" spans="6:13" hidden="1" x14ac:dyDescent="0.2">
      <c r="F1267" s="494">
        <v>418</v>
      </c>
      <c r="G1267" s="495" t="s">
        <v>3773</v>
      </c>
      <c r="H1267" s="397"/>
      <c r="I1267" s="397"/>
      <c r="J1267" s="750"/>
      <c r="K1267" s="398"/>
      <c r="L1267" s="398"/>
      <c r="M1267" s="399"/>
    </row>
    <row r="1268" spans="6:13" hidden="1" x14ac:dyDescent="0.2">
      <c r="F1268" s="494">
        <v>421</v>
      </c>
      <c r="G1268" s="495" t="s">
        <v>3777</v>
      </c>
      <c r="H1268" s="397"/>
      <c r="I1268" s="397"/>
      <c r="J1268" s="750"/>
      <c r="K1268" s="398"/>
      <c r="L1268" s="398"/>
      <c r="M1268" s="399"/>
    </row>
    <row r="1269" spans="6:13" hidden="1" x14ac:dyDescent="0.2">
      <c r="F1269" s="494">
        <v>422</v>
      </c>
      <c r="G1269" s="495" t="s">
        <v>3778</v>
      </c>
      <c r="H1269" s="397"/>
      <c r="I1269" s="397"/>
      <c r="J1269" s="750"/>
      <c r="K1269" s="398"/>
      <c r="L1269" s="398"/>
      <c r="M1269" s="399"/>
    </row>
    <row r="1270" spans="6:13" hidden="1" x14ac:dyDescent="0.2">
      <c r="F1270" s="494">
        <v>423</v>
      </c>
      <c r="G1270" s="495" t="s">
        <v>3779</v>
      </c>
      <c r="H1270" s="397"/>
      <c r="I1270" s="397"/>
      <c r="J1270" s="750"/>
      <c r="K1270" s="398"/>
      <c r="L1270" s="398"/>
      <c r="M1270" s="399"/>
    </row>
    <row r="1271" spans="6:13" hidden="1" x14ac:dyDescent="0.2">
      <c r="F1271" s="494">
        <v>424</v>
      </c>
      <c r="G1271" s="495" t="s">
        <v>3781</v>
      </c>
      <c r="H1271" s="397"/>
      <c r="I1271" s="397"/>
      <c r="J1271" s="750"/>
      <c r="K1271" s="398"/>
      <c r="L1271" s="398"/>
      <c r="M1271" s="399"/>
    </row>
    <row r="1272" spans="6:13" hidden="1" x14ac:dyDescent="0.2">
      <c r="F1272" s="494">
        <v>425</v>
      </c>
      <c r="G1272" s="495" t="s">
        <v>4180</v>
      </c>
      <c r="H1272" s="397"/>
      <c r="I1272" s="397"/>
      <c r="J1272" s="750"/>
      <c r="K1272" s="398"/>
      <c r="L1272" s="398"/>
      <c r="M1272" s="399"/>
    </row>
    <row r="1273" spans="6:13" hidden="1" x14ac:dyDescent="0.2">
      <c r="F1273" s="494">
        <v>426</v>
      </c>
      <c r="G1273" s="495" t="s">
        <v>3785</v>
      </c>
      <c r="H1273" s="397"/>
      <c r="I1273" s="397"/>
      <c r="J1273" s="750"/>
      <c r="K1273" s="398"/>
      <c r="L1273" s="398"/>
      <c r="M1273" s="399"/>
    </row>
    <row r="1274" spans="6:13" hidden="1" x14ac:dyDescent="0.2">
      <c r="F1274" s="494">
        <v>431</v>
      </c>
      <c r="G1274" s="495" t="s">
        <v>4181</v>
      </c>
      <c r="H1274" s="397"/>
      <c r="I1274" s="397"/>
      <c r="J1274" s="750"/>
      <c r="K1274" s="398"/>
      <c r="L1274" s="398"/>
      <c r="M1274" s="399"/>
    </row>
    <row r="1275" spans="6:13" hidden="1" x14ac:dyDescent="0.2">
      <c r="F1275" s="494">
        <v>432</v>
      </c>
      <c r="G1275" s="495" t="s">
        <v>4182</v>
      </c>
      <c r="H1275" s="397"/>
      <c r="I1275" s="397"/>
      <c r="J1275" s="750"/>
      <c r="K1275" s="398"/>
      <c r="L1275" s="398"/>
      <c r="M1275" s="399"/>
    </row>
    <row r="1276" spans="6:13" hidden="1" x14ac:dyDescent="0.2">
      <c r="F1276" s="494">
        <v>433</v>
      </c>
      <c r="G1276" s="495" t="s">
        <v>4183</v>
      </c>
      <c r="H1276" s="397"/>
      <c r="I1276" s="397"/>
      <c r="J1276" s="750"/>
      <c r="K1276" s="398"/>
      <c r="L1276" s="398"/>
      <c r="M1276" s="399"/>
    </row>
    <row r="1277" spans="6:13" hidden="1" x14ac:dyDescent="0.2">
      <c r="F1277" s="494">
        <v>434</v>
      </c>
      <c r="G1277" s="495" t="s">
        <v>4184</v>
      </c>
      <c r="H1277" s="397"/>
      <c r="I1277" s="397"/>
      <c r="J1277" s="750"/>
      <c r="K1277" s="398"/>
      <c r="L1277" s="398"/>
      <c r="M1277" s="399"/>
    </row>
    <row r="1278" spans="6:13" hidden="1" x14ac:dyDescent="0.2">
      <c r="F1278" s="494">
        <v>435</v>
      </c>
      <c r="G1278" s="495" t="s">
        <v>3792</v>
      </c>
      <c r="H1278" s="397"/>
      <c r="I1278" s="397"/>
      <c r="J1278" s="750"/>
      <c r="K1278" s="398"/>
      <c r="L1278" s="398"/>
      <c r="M1278" s="399"/>
    </row>
    <row r="1279" spans="6:13" hidden="1" x14ac:dyDescent="0.2">
      <c r="F1279" s="494">
        <v>441</v>
      </c>
      <c r="G1279" s="495" t="s">
        <v>4185</v>
      </c>
      <c r="H1279" s="397"/>
      <c r="I1279" s="397"/>
      <c r="J1279" s="750"/>
      <c r="K1279" s="398"/>
      <c r="L1279" s="398"/>
      <c r="M1279" s="399"/>
    </row>
    <row r="1280" spans="6:13" hidden="1" x14ac:dyDescent="0.2">
      <c r="F1280" s="494">
        <v>442</v>
      </c>
      <c r="G1280" s="495" t="s">
        <v>4186</v>
      </c>
      <c r="H1280" s="397"/>
      <c r="I1280" s="397"/>
      <c r="J1280" s="750"/>
      <c r="K1280" s="398"/>
      <c r="L1280" s="398"/>
      <c r="M1280" s="399"/>
    </row>
    <row r="1281" spans="6:13" hidden="1" x14ac:dyDescent="0.2">
      <c r="F1281" s="494">
        <v>443</v>
      </c>
      <c r="G1281" s="495" t="s">
        <v>3797</v>
      </c>
      <c r="H1281" s="397"/>
      <c r="I1281" s="397"/>
      <c r="J1281" s="750"/>
      <c r="K1281" s="398"/>
      <c r="L1281" s="398"/>
      <c r="M1281" s="399"/>
    </row>
    <row r="1282" spans="6:13" hidden="1" x14ac:dyDescent="0.2">
      <c r="F1282" s="494">
        <v>444</v>
      </c>
      <c r="G1282" s="495" t="s">
        <v>3798</v>
      </c>
      <c r="H1282" s="397"/>
      <c r="I1282" s="397"/>
      <c r="J1282" s="750"/>
      <c r="K1282" s="398"/>
      <c r="L1282" s="398"/>
      <c r="M1282" s="399"/>
    </row>
    <row r="1283" spans="6:13" ht="25.5" hidden="1" x14ac:dyDescent="0.2">
      <c r="F1283" s="494">
        <v>4511</v>
      </c>
      <c r="G1283" s="466" t="s">
        <v>1692</v>
      </c>
      <c r="H1283" s="397"/>
      <c r="I1283" s="397"/>
      <c r="J1283" s="750"/>
      <c r="K1283" s="398"/>
      <c r="L1283" s="398"/>
      <c r="M1283" s="399"/>
    </row>
    <row r="1284" spans="6:13" ht="25.5" hidden="1" x14ac:dyDescent="0.2">
      <c r="F1284" s="494">
        <v>4512</v>
      </c>
      <c r="G1284" s="466" t="s">
        <v>1701</v>
      </c>
      <c r="H1284" s="397"/>
      <c r="I1284" s="397"/>
      <c r="J1284" s="750"/>
      <c r="K1284" s="398"/>
      <c r="L1284" s="398"/>
      <c r="M1284" s="399"/>
    </row>
    <row r="1285" spans="6:13" ht="25.5" hidden="1" x14ac:dyDescent="0.2">
      <c r="F1285" s="494">
        <v>452</v>
      </c>
      <c r="G1285" s="495" t="s">
        <v>4187</v>
      </c>
      <c r="H1285" s="397"/>
      <c r="I1285" s="397"/>
      <c r="J1285" s="750"/>
      <c r="K1285" s="398"/>
      <c r="L1285" s="398"/>
      <c r="M1285" s="399"/>
    </row>
    <row r="1286" spans="6:13" ht="25.5" hidden="1" x14ac:dyDescent="0.2">
      <c r="F1286" s="494">
        <v>453</v>
      </c>
      <c r="G1286" s="495" t="s">
        <v>4188</v>
      </c>
      <c r="H1286" s="397"/>
      <c r="I1286" s="397"/>
      <c r="J1286" s="750"/>
      <c r="K1286" s="398"/>
      <c r="L1286" s="398"/>
      <c r="M1286" s="399"/>
    </row>
    <row r="1287" spans="6:13" hidden="1" x14ac:dyDescent="0.2">
      <c r="F1287" s="494">
        <v>454</v>
      </c>
      <c r="G1287" s="495" t="s">
        <v>3803</v>
      </c>
      <c r="H1287" s="397"/>
      <c r="I1287" s="397"/>
      <c r="J1287" s="750"/>
      <c r="K1287" s="398"/>
      <c r="L1287" s="398"/>
      <c r="M1287" s="399"/>
    </row>
    <row r="1288" spans="6:13" hidden="1" x14ac:dyDescent="0.2">
      <c r="F1288" s="494">
        <v>461</v>
      </c>
      <c r="G1288" s="495" t="s">
        <v>4169</v>
      </c>
      <c r="H1288" s="397"/>
      <c r="I1288" s="397"/>
      <c r="J1288" s="750"/>
      <c r="K1288" s="398"/>
      <c r="L1288" s="398"/>
      <c r="M1288" s="399"/>
    </row>
    <row r="1289" spans="6:13" ht="25.5" hidden="1" x14ac:dyDescent="0.2">
      <c r="F1289" s="494">
        <v>462</v>
      </c>
      <c r="G1289" s="495" t="s">
        <v>3806</v>
      </c>
      <c r="H1289" s="397"/>
      <c r="I1289" s="397"/>
      <c r="J1289" s="750"/>
      <c r="K1289" s="398"/>
      <c r="L1289" s="398"/>
      <c r="M1289" s="399"/>
    </row>
    <row r="1290" spans="6:13" hidden="1" x14ac:dyDescent="0.2">
      <c r="F1290" s="494">
        <v>4631</v>
      </c>
      <c r="G1290" s="495" t="s">
        <v>3807</v>
      </c>
      <c r="H1290" s="397"/>
      <c r="I1290" s="397"/>
      <c r="J1290" s="750"/>
      <c r="K1290" s="398"/>
      <c r="L1290" s="398"/>
      <c r="M1290" s="399"/>
    </row>
    <row r="1291" spans="6:13" hidden="1" x14ac:dyDescent="0.2">
      <c r="F1291" s="494">
        <v>4632</v>
      </c>
      <c r="G1291" s="495" t="s">
        <v>3808</v>
      </c>
      <c r="H1291" s="397"/>
      <c r="I1291" s="397"/>
      <c r="J1291" s="750"/>
      <c r="K1291" s="398"/>
      <c r="L1291" s="398"/>
      <c r="M1291" s="399"/>
    </row>
    <row r="1292" spans="6:13" ht="25.5" hidden="1" x14ac:dyDescent="0.2">
      <c r="F1292" s="494">
        <v>464</v>
      </c>
      <c r="G1292" s="495" t="s">
        <v>3809</v>
      </c>
      <c r="H1292" s="397"/>
      <c r="I1292" s="397"/>
      <c r="J1292" s="750"/>
      <c r="K1292" s="398"/>
      <c r="L1292" s="398"/>
      <c r="M1292" s="399"/>
    </row>
    <row r="1293" spans="6:13" hidden="1" x14ac:dyDescent="0.2">
      <c r="F1293" s="494">
        <v>465</v>
      </c>
      <c r="G1293" s="495" t="s">
        <v>4170</v>
      </c>
      <c r="H1293" s="397"/>
      <c r="I1293" s="397"/>
      <c r="J1293" s="750"/>
      <c r="K1293" s="398"/>
      <c r="L1293" s="398"/>
      <c r="M1293" s="399"/>
    </row>
    <row r="1294" spans="6:13" hidden="1" x14ac:dyDescent="0.2">
      <c r="F1294" s="494">
        <v>472</v>
      </c>
      <c r="G1294" s="495" t="s">
        <v>3813</v>
      </c>
      <c r="H1294" s="397"/>
      <c r="I1294" s="397"/>
      <c r="J1294" s="750"/>
      <c r="K1294" s="398"/>
      <c r="L1294" s="398"/>
      <c r="M1294" s="399"/>
    </row>
    <row r="1295" spans="6:13" hidden="1" x14ac:dyDescent="0.2">
      <c r="F1295" s="494">
        <v>481</v>
      </c>
      <c r="G1295" s="495" t="s">
        <v>4189</v>
      </c>
      <c r="H1295" s="397"/>
      <c r="I1295" s="397"/>
      <c r="J1295" s="750"/>
      <c r="K1295" s="398"/>
      <c r="L1295" s="398"/>
      <c r="M1295" s="399"/>
    </row>
    <row r="1296" spans="6:13" hidden="1" x14ac:dyDescent="0.2">
      <c r="F1296" s="494">
        <v>482</v>
      </c>
      <c r="G1296" s="495" t="s">
        <v>4190</v>
      </c>
      <c r="H1296" s="397"/>
      <c r="I1296" s="397"/>
      <c r="J1296" s="750"/>
      <c r="K1296" s="398"/>
      <c r="L1296" s="398"/>
      <c r="M1296" s="399"/>
    </row>
    <row r="1297" spans="6:13" hidden="1" x14ac:dyDescent="0.2">
      <c r="F1297" s="494">
        <v>483</v>
      </c>
      <c r="G1297" s="497" t="s">
        <v>4191</v>
      </c>
      <c r="H1297" s="397"/>
      <c r="I1297" s="397"/>
      <c r="J1297" s="750"/>
      <c r="K1297" s="398"/>
      <c r="L1297" s="398"/>
      <c r="M1297" s="399"/>
    </row>
    <row r="1298" spans="6:13" ht="38.25" hidden="1" x14ac:dyDescent="0.2">
      <c r="F1298" s="494">
        <v>484</v>
      </c>
      <c r="G1298" s="495" t="s">
        <v>4192</v>
      </c>
      <c r="H1298" s="397"/>
      <c r="I1298" s="397"/>
      <c r="J1298" s="750"/>
      <c r="K1298" s="398"/>
      <c r="L1298" s="398"/>
      <c r="M1298" s="399"/>
    </row>
    <row r="1299" spans="6:13" ht="25.5" hidden="1" x14ac:dyDescent="0.2">
      <c r="F1299" s="494">
        <v>485</v>
      </c>
      <c r="G1299" s="495" t="s">
        <v>4193</v>
      </c>
      <c r="H1299" s="397"/>
      <c r="I1299" s="397"/>
      <c r="J1299" s="750"/>
      <c r="K1299" s="398"/>
      <c r="L1299" s="398"/>
      <c r="M1299" s="399"/>
    </row>
    <row r="1300" spans="6:13" ht="25.5" hidden="1" x14ac:dyDescent="0.2">
      <c r="F1300" s="494">
        <v>489</v>
      </c>
      <c r="G1300" s="495" t="s">
        <v>3821</v>
      </c>
      <c r="H1300" s="397"/>
      <c r="I1300" s="397"/>
      <c r="J1300" s="750"/>
      <c r="K1300" s="398"/>
      <c r="L1300" s="398"/>
      <c r="M1300" s="399"/>
    </row>
    <row r="1301" spans="6:13" ht="25.5" hidden="1" x14ac:dyDescent="0.2">
      <c r="F1301" s="494">
        <v>494</v>
      </c>
      <c r="G1301" s="495" t="s">
        <v>4171</v>
      </c>
      <c r="H1301" s="397"/>
      <c r="I1301" s="397"/>
      <c r="J1301" s="750"/>
      <c r="K1301" s="398"/>
      <c r="L1301" s="398"/>
      <c r="M1301" s="399"/>
    </row>
    <row r="1302" spans="6:13" ht="25.5" hidden="1" x14ac:dyDescent="0.2">
      <c r="F1302" s="494">
        <v>495</v>
      </c>
      <c r="G1302" s="495" t="s">
        <v>4172</v>
      </c>
      <c r="H1302" s="397"/>
      <c r="I1302" s="397"/>
      <c r="J1302" s="750"/>
      <c r="K1302" s="398"/>
      <c r="L1302" s="398"/>
      <c r="M1302" s="399"/>
    </row>
    <row r="1303" spans="6:13" ht="38.25" hidden="1" x14ac:dyDescent="0.2">
      <c r="F1303" s="494">
        <v>496</v>
      </c>
      <c r="G1303" s="495" t="s">
        <v>4173</v>
      </c>
      <c r="H1303" s="397"/>
      <c r="I1303" s="397"/>
      <c r="J1303" s="750"/>
      <c r="K1303" s="398"/>
      <c r="L1303" s="398"/>
      <c r="M1303" s="399"/>
    </row>
    <row r="1304" spans="6:13" ht="25.5" hidden="1" x14ac:dyDescent="0.2">
      <c r="F1304" s="494">
        <v>499</v>
      </c>
      <c r="G1304" s="495" t="s">
        <v>4174</v>
      </c>
      <c r="H1304" s="397"/>
      <c r="I1304" s="397"/>
      <c r="J1304" s="750"/>
      <c r="K1304" s="398"/>
      <c r="L1304" s="398"/>
      <c r="M1304" s="399"/>
    </row>
    <row r="1305" spans="6:13" hidden="1" x14ac:dyDescent="0.2">
      <c r="F1305" s="494">
        <v>511</v>
      </c>
      <c r="G1305" s="497" t="s">
        <v>4194</v>
      </c>
      <c r="H1305" s="397"/>
      <c r="I1305" s="397"/>
      <c r="J1305" s="750"/>
      <c r="K1305" s="398"/>
      <c r="L1305" s="398"/>
      <c r="M1305" s="399"/>
    </row>
    <row r="1306" spans="6:13" hidden="1" x14ac:dyDescent="0.2">
      <c r="F1306" s="494">
        <v>512</v>
      </c>
      <c r="G1306" s="497" t="s">
        <v>4195</v>
      </c>
      <c r="H1306" s="397"/>
      <c r="I1306" s="397"/>
      <c r="J1306" s="750"/>
      <c r="K1306" s="398"/>
      <c r="L1306" s="398"/>
      <c r="M1306" s="399"/>
    </row>
    <row r="1307" spans="6:13" hidden="1" x14ac:dyDescent="0.2">
      <c r="F1307" s="494">
        <v>513</v>
      </c>
      <c r="G1307" s="497" t="s">
        <v>4196</v>
      </c>
      <c r="H1307" s="397"/>
      <c r="I1307" s="397"/>
      <c r="J1307" s="750"/>
      <c r="K1307" s="398"/>
      <c r="L1307" s="398"/>
      <c r="M1307" s="399"/>
    </row>
    <row r="1308" spans="6:13" hidden="1" x14ac:dyDescent="0.2">
      <c r="F1308" s="494">
        <v>514</v>
      </c>
      <c r="G1308" s="495" t="s">
        <v>4197</v>
      </c>
      <c r="H1308" s="397"/>
      <c r="I1308" s="397"/>
      <c r="J1308" s="750"/>
      <c r="K1308" s="398"/>
      <c r="L1308" s="398"/>
      <c r="M1308" s="399"/>
    </row>
    <row r="1309" spans="6:13" hidden="1" x14ac:dyDescent="0.2">
      <c r="F1309" s="494">
        <v>515</v>
      </c>
      <c r="G1309" s="495" t="s">
        <v>3832</v>
      </c>
      <c r="H1309" s="397"/>
      <c r="I1309" s="397"/>
      <c r="J1309" s="750"/>
      <c r="K1309" s="398"/>
      <c r="L1309" s="398"/>
      <c r="M1309" s="399"/>
    </row>
    <row r="1310" spans="6:13" hidden="1" x14ac:dyDescent="0.2">
      <c r="F1310" s="494">
        <v>521</v>
      </c>
      <c r="G1310" s="495" t="s">
        <v>4198</v>
      </c>
      <c r="H1310" s="397"/>
      <c r="I1310" s="397"/>
      <c r="J1310" s="750"/>
      <c r="K1310" s="398"/>
      <c r="L1310" s="398"/>
      <c r="M1310" s="399"/>
    </row>
    <row r="1311" spans="6:13" hidden="1" x14ac:dyDescent="0.2">
      <c r="F1311" s="494">
        <v>522</v>
      </c>
      <c r="G1311" s="495" t="s">
        <v>4199</v>
      </c>
      <c r="H1311" s="397"/>
      <c r="I1311" s="397"/>
      <c r="J1311" s="750"/>
      <c r="K1311" s="398"/>
      <c r="L1311" s="398"/>
      <c r="M1311" s="399"/>
    </row>
    <row r="1312" spans="6:13" hidden="1" x14ac:dyDescent="0.2">
      <c r="F1312" s="494">
        <v>523</v>
      </c>
      <c r="G1312" s="495" t="s">
        <v>3837</v>
      </c>
      <c r="H1312" s="397"/>
      <c r="I1312" s="397"/>
      <c r="J1312" s="750"/>
      <c r="K1312" s="398"/>
      <c r="L1312" s="398"/>
      <c r="M1312" s="399"/>
    </row>
    <row r="1313" spans="5:13" hidden="1" x14ac:dyDescent="0.2">
      <c r="F1313" s="494">
        <v>531</v>
      </c>
      <c r="G1313" s="496" t="s">
        <v>4175</v>
      </c>
      <c r="H1313" s="397"/>
      <c r="I1313" s="397"/>
      <c r="J1313" s="750"/>
      <c r="K1313" s="398"/>
      <c r="L1313" s="398"/>
      <c r="M1313" s="399"/>
    </row>
    <row r="1314" spans="5:13" hidden="1" x14ac:dyDescent="0.2">
      <c r="F1314" s="494">
        <v>541</v>
      </c>
      <c r="G1314" s="495" t="s">
        <v>4200</v>
      </c>
      <c r="H1314" s="397"/>
      <c r="I1314" s="397"/>
      <c r="J1314" s="750"/>
      <c r="K1314" s="398"/>
      <c r="L1314" s="398"/>
      <c r="M1314" s="399"/>
    </row>
    <row r="1315" spans="5:13" hidden="1" x14ac:dyDescent="0.2">
      <c r="F1315" s="494">
        <v>542</v>
      </c>
      <c r="G1315" s="495" t="s">
        <v>4201</v>
      </c>
      <c r="H1315" s="397"/>
      <c r="I1315" s="397"/>
      <c r="J1315" s="750"/>
      <c r="K1315" s="398"/>
      <c r="L1315" s="398"/>
      <c r="M1315" s="399"/>
    </row>
    <row r="1316" spans="5:13" hidden="1" x14ac:dyDescent="0.2">
      <c r="F1316" s="494">
        <v>543</v>
      </c>
      <c r="G1316" s="495" t="s">
        <v>3842</v>
      </c>
      <c r="H1316" s="397"/>
      <c r="I1316" s="397"/>
      <c r="J1316" s="750"/>
      <c r="K1316" s="398"/>
      <c r="L1316" s="398"/>
      <c r="M1316" s="399"/>
    </row>
    <row r="1317" spans="5:13" ht="38.25" hidden="1" x14ac:dyDescent="0.2">
      <c r="F1317" s="494">
        <v>551</v>
      </c>
      <c r="G1317" s="495" t="s">
        <v>4176</v>
      </c>
      <c r="H1317" s="397"/>
      <c r="I1317" s="397"/>
      <c r="J1317" s="750"/>
      <c r="K1317" s="398"/>
      <c r="L1317" s="398"/>
      <c r="M1317" s="399"/>
    </row>
    <row r="1318" spans="5:13" hidden="1" x14ac:dyDescent="0.2">
      <c r="F1318" s="498">
        <v>611</v>
      </c>
      <c r="G1318" s="499" t="s">
        <v>3848</v>
      </c>
      <c r="H1318" s="397"/>
      <c r="I1318" s="397"/>
      <c r="J1318" s="750"/>
      <c r="K1318" s="398"/>
      <c r="L1318" s="398"/>
      <c r="M1318" s="399"/>
    </row>
    <row r="1319" spans="5:13" hidden="1" x14ac:dyDescent="0.2">
      <c r="F1319" s="498">
        <v>620</v>
      </c>
      <c r="G1319" s="499" t="s">
        <v>88</v>
      </c>
      <c r="H1319" s="397"/>
      <c r="I1319" s="397"/>
      <c r="J1319" s="750"/>
      <c r="K1319" s="398"/>
      <c r="L1319" s="398"/>
      <c r="M1319" s="399"/>
    </row>
    <row r="1320" spans="5:13" hidden="1" x14ac:dyDescent="0.2">
      <c r="E1320" s="500"/>
      <c r="F1320" s="498"/>
      <c r="G1320" s="501" t="s">
        <v>4348</v>
      </c>
      <c r="H1320" s="400"/>
      <c r="I1320" s="400"/>
      <c r="J1320" s="750"/>
      <c r="K1320" s="401"/>
      <c r="L1320" s="402"/>
      <c r="M1320" s="399"/>
    </row>
    <row r="1321" spans="5:13" hidden="1" x14ac:dyDescent="0.2">
      <c r="E1321" s="502"/>
      <c r="F1321" s="503" t="s">
        <v>234</v>
      </c>
      <c r="G1321" s="504" t="s">
        <v>235</v>
      </c>
      <c r="H1321" s="403">
        <f>SUM(H1260:H1319)</f>
        <v>0</v>
      </c>
      <c r="I1321" s="403"/>
      <c r="J1321" s="750"/>
      <c r="K1321" s="404"/>
      <c r="L1321" s="404"/>
      <c r="M1321" s="399"/>
    </row>
    <row r="1322" spans="5:13" hidden="1" x14ac:dyDescent="0.2">
      <c r="F1322" s="503" t="s">
        <v>236</v>
      </c>
      <c r="G1322" s="504" t="s">
        <v>237</v>
      </c>
      <c r="H1322" s="397"/>
      <c r="I1322" s="397"/>
      <c r="J1322" s="750"/>
      <c r="K1322" s="398"/>
      <c r="L1322" s="404"/>
      <c r="M1322" s="399"/>
    </row>
    <row r="1323" spans="5:13" hidden="1" x14ac:dyDescent="0.2">
      <c r="F1323" s="503" t="s">
        <v>238</v>
      </c>
      <c r="G1323" s="504" t="s">
        <v>239</v>
      </c>
      <c r="H1323" s="397"/>
      <c r="I1323" s="397"/>
      <c r="J1323" s="750"/>
      <c r="K1323" s="398"/>
      <c r="L1323" s="404"/>
      <c r="M1323" s="399"/>
    </row>
    <row r="1324" spans="5:13" hidden="1" x14ac:dyDescent="0.2">
      <c r="F1324" s="503" t="s">
        <v>240</v>
      </c>
      <c r="G1324" s="504" t="s">
        <v>241</v>
      </c>
      <c r="H1324" s="397"/>
      <c r="I1324" s="397"/>
      <c r="J1324" s="750"/>
      <c r="K1324" s="398"/>
      <c r="L1324" s="404"/>
      <c r="M1324" s="399"/>
    </row>
    <row r="1325" spans="5:13" hidden="1" x14ac:dyDescent="0.2">
      <c r="F1325" s="503" t="s">
        <v>242</v>
      </c>
      <c r="G1325" s="504" t="s">
        <v>243</v>
      </c>
      <c r="H1325" s="397"/>
      <c r="I1325" s="397"/>
      <c r="J1325" s="750"/>
      <c r="K1325" s="398"/>
      <c r="L1325" s="404"/>
      <c r="M1325" s="399"/>
    </row>
    <row r="1326" spans="5:13" hidden="1" x14ac:dyDescent="0.2">
      <c r="F1326" s="503" t="s">
        <v>244</v>
      </c>
      <c r="G1326" s="504" t="s">
        <v>245</v>
      </c>
      <c r="H1326" s="397"/>
      <c r="I1326" s="397"/>
      <c r="J1326" s="750"/>
      <c r="K1326" s="398"/>
      <c r="L1326" s="404"/>
      <c r="M1326" s="399"/>
    </row>
    <row r="1327" spans="5:13" hidden="1" x14ac:dyDescent="0.2">
      <c r="F1327" s="503" t="s">
        <v>246</v>
      </c>
      <c r="G1327" s="504" t="s">
        <v>247</v>
      </c>
      <c r="H1327" s="397"/>
      <c r="I1327" s="397"/>
      <c r="J1327" s="750"/>
      <c r="K1327" s="398"/>
      <c r="L1327" s="404"/>
      <c r="M1327" s="399"/>
    </row>
    <row r="1328" spans="5:13" ht="25.5" hidden="1" x14ac:dyDescent="0.2">
      <c r="F1328" s="503" t="s">
        <v>248</v>
      </c>
      <c r="G1328" s="504" t="s">
        <v>249</v>
      </c>
      <c r="H1328" s="397"/>
      <c r="I1328" s="397"/>
      <c r="J1328" s="750"/>
      <c r="K1328" s="398"/>
      <c r="L1328" s="404"/>
      <c r="M1328" s="399"/>
    </row>
    <row r="1329" spans="5:13" hidden="1" x14ac:dyDescent="0.2">
      <c r="F1329" s="503" t="s">
        <v>250</v>
      </c>
      <c r="G1329" s="504" t="s">
        <v>57</v>
      </c>
      <c r="H1329" s="397"/>
      <c r="I1329" s="397"/>
      <c r="J1329" s="750"/>
      <c r="K1329" s="398"/>
      <c r="L1329" s="404"/>
      <c r="M1329" s="399"/>
    </row>
    <row r="1330" spans="5:13" hidden="1" x14ac:dyDescent="0.2">
      <c r="F1330" s="503" t="s">
        <v>251</v>
      </c>
      <c r="G1330" s="504" t="s">
        <v>252</v>
      </c>
      <c r="H1330" s="397"/>
      <c r="I1330" s="397"/>
      <c r="J1330" s="750"/>
      <c r="K1330" s="398"/>
      <c r="L1330" s="404"/>
      <c r="M1330" s="399"/>
    </row>
    <row r="1331" spans="5:13" hidden="1" x14ac:dyDescent="0.2">
      <c r="F1331" s="503" t="s">
        <v>253</v>
      </c>
      <c r="G1331" s="504" t="s">
        <v>254</v>
      </c>
      <c r="H1331" s="397"/>
      <c r="I1331" s="397"/>
      <c r="J1331" s="750"/>
      <c r="K1331" s="398"/>
      <c r="L1331" s="404"/>
      <c r="M1331" s="399"/>
    </row>
    <row r="1332" spans="5:13" ht="25.5" hidden="1" x14ac:dyDescent="0.2">
      <c r="F1332" s="503" t="s">
        <v>255</v>
      </c>
      <c r="G1332" s="504" t="s">
        <v>256</v>
      </c>
      <c r="H1332" s="397"/>
      <c r="I1332" s="397"/>
      <c r="J1332" s="750"/>
      <c r="K1332" s="398"/>
      <c r="L1332" s="404"/>
      <c r="M1332" s="399"/>
    </row>
    <row r="1333" spans="5:13" ht="25.5" hidden="1" x14ac:dyDescent="0.2">
      <c r="F1333" s="503" t="s">
        <v>257</v>
      </c>
      <c r="G1333" s="504" t="s">
        <v>258</v>
      </c>
      <c r="H1333" s="397"/>
      <c r="I1333" s="397"/>
      <c r="J1333" s="750"/>
      <c r="K1333" s="398"/>
      <c r="L1333" s="404"/>
      <c r="M1333" s="399"/>
    </row>
    <row r="1334" spans="5:13" ht="25.5" hidden="1" x14ac:dyDescent="0.2">
      <c r="F1334" s="503" t="s">
        <v>259</v>
      </c>
      <c r="G1334" s="504" t="s">
        <v>260</v>
      </c>
      <c r="H1334" s="397"/>
      <c r="I1334" s="397"/>
      <c r="J1334" s="750"/>
      <c r="K1334" s="398"/>
      <c r="L1334" s="404"/>
      <c r="M1334" s="399"/>
    </row>
    <row r="1335" spans="5:13" ht="25.5" hidden="1" x14ac:dyDescent="0.2">
      <c r="F1335" s="503" t="s">
        <v>261</v>
      </c>
      <c r="G1335" s="504" t="s">
        <v>262</v>
      </c>
      <c r="H1335" s="397"/>
      <c r="I1335" s="397"/>
      <c r="J1335" s="750"/>
      <c r="K1335" s="398"/>
      <c r="L1335" s="404"/>
      <c r="M1335" s="399"/>
    </row>
    <row r="1336" spans="5:13" hidden="1" x14ac:dyDescent="0.2">
      <c r="F1336" s="503" t="s">
        <v>263</v>
      </c>
      <c r="G1336" s="504" t="s">
        <v>264</v>
      </c>
      <c r="H1336" s="403"/>
      <c r="I1336" s="403"/>
      <c r="J1336" s="750"/>
      <c r="K1336" s="404"/>
      <c r="L1336" s="404"/>
      <c r="M1336" s="399"/>
    </row>
    <row r="1337" spans="5:13" ht="13.5" hidden="1" thickBot="1" x14ac:dyDescent="0.25">
      <c r="G1337" s="505" t="s">
        <v>4349</v>
      </c>
      <c r="H1337" s="405">
        <f>SUM(H1321:H1336)</f>
        <v>0</v>
      </c>
      <c r="I1337" s="405"/>
      <c r="J1337" s="750"/>
      <c r="K1337" s="406">
        <f>SUM(K1322:K1336)</f>
        <v>0</v>
      </c>
      <c r="L1337" s="406"/>
      <c r="M1337" s="399"/>
    </row>
    <row r="1338" spans="5:13" ht="25.5" hidden="1" collapsed="1" x14ac:dyDescent="0.2">
      <c r="E1338" s="500"/>
      <c r="F1338" s="498"/>
      <c r="G1338" s="506" t="s">
        <v>4354</v>
      </c>
      <c r="H1338" s="407"/>
      <c r="I1338" s="408"/>
      <c r="J1338" s="750"/>
      <c r="K1338" s="409"/>
      <c r="L1338" s="410"/>
      <c r="M1338" s="399"/>
    </row>
    <row r="1339" spans="5:13" hidden="1" x14ac:dyDescent="0.2">
      <c r="E1339" s="502"/>
      <c r="F1339" s="503" t="s">
        <v>234</v>
      </c>
      <c r="G1339" s="504" t="s">
        <v>235</v>
      </c>
      <c r="H1339" s="403">
        <f>SUM(H1260:H1319)</f>
        <v>0</v>
      </c>
      <c r="I1339" s="403"/>
      <c r="J1339" s="750"/>
      <c r="K1339" s="404"/>
      <c r="L1339" s="404"/>
      <c r="M1339" s="399"/>
    </row>
    <row r="1340" spans="5:13" hidden="1" x14ac:dyDescent="0.2">
      <c r="F1340" s="503" t="s">
        <v>236</v>
      </c>
      <c r="G1340" s="504" t="s">
        <v>237</v>
      </c>
      <c r="H1340" s="397"/>
      <c r="I1340" s="397"/>
      <c r="J1340" s="750"/>
      <c r="K1340" s="398"/>
      <c r="L1340" s="404"/>
      <c r="M1340" s="399"/>
    </row>
    <row r="1341" spans="5:13" hidden="1" x14ac:dyDescent="0.2">
      <c r="F1341" s="503" t="s">
        <v>238</v>
      </c>
      <c r="G1341" s="504" t="s">
        <v>239</v>
      </c>
      <c r="H1341" s="397"/>
      <c r="I1341" s="397"/>
      <c r="J1341" s="750"/>
      <c r="K1341" s="398"/>
      <c r="L1341" s="404"/>
      <c r="M1341" s="399"/>
    </row>
    <row r="1342" spans="5:13" hidden="1" x14ac:dyDescent="0.2">
      <c r="F1342" s="503" t="s">
        <v>240</v>
      </c>
      <c r="G1342" s="504" t="s">
        <v>241</v>
      </c>
      <c r="H1342" s="397"/>
      <c r="I1342" s="397"/>
      <c r="J1342" s="750"/>
      <c r="K1342" s="398"/>
      <c r="L1342" s="404"/>
      <c r="M1342" s="399"/>
    </row>
    <row r="1343" spans="5:13" hidden="1" x14ac:dyDescent="0.2">
      <c r="F1343" s="503" t="s">
        <v>242</v>
      </c>
      <c r="G1343" s="504" t="s">
        <v>243</v>
      </c>
      <c r="H1343" s="397"/>
      <c r="I1343" s="397"/>
      <c r="J1343" s="750"/>
      <c r="K1343" s="398"/>
      <c r="L1343" s="404"/>
      <c r="M1343" s="399"/>
    </row>
    <row r="1344" spans="5:13" hidden="1" x14ac:dyDescent="0.2">
      <c r="F1344" s="503" t="s">
        <v>244</v>
      </c>
      <c r="G1344" s="504" t="s">
        <v>245</v>
      </c>
      <c r="H1344" s="397"/>
      <c r="I1344" s="397"/>
      <c r="J1344" s="750"/>
      <c r="K1344" s="398"/>
      <c r="L1344" s="404"/>
      <c r="M1344" s="399"/>
    </row>
    <row r="1345" spans="1:27" hidden="1" x14ac:dyDescent="0.2">
      <c r="F1345" s="503" t="s">
        <v>246</v>
      </c>
      <c r="G1345" s="504" t="s">
        <v>247</v>
      </c>
      <c r="H1345" s="397"/>
      <c r="I1345" s="397"/>
      <c r="J1345" s="750"/>
      <c r="K1345" s="398"/>
      <c r="L1345" s="404"/>
      <c r="M1345" s="399"/>
    </row>
    <row r="1346" spans="1:27" ht="25.5" hidden="1" x14ac:dyDescent="0.2">
      <c r="F1346" s="503" t="s">
        <v>248</v>
      </c>
      <c r="G1346" s="504" t="s">
        <v>249</v>
      </c>
      <c r="H1346" s="397"/>
      <c r="I1346" s="397"/>
      <c r="J1346" s="750"/>
      <c r="K1346" s="398"/>
      <c r="L1346" s="404"/>
      <c r="M1346" s="399"/>
    </row>
    <row r="1347" spans="1:27" hidden="1" x14ac:dyDescent="0.2">
      <c r="F1347" s="503" t="s">
        <v>250</v>
      </c>
      <c r="G1347" s="504" t="s">
        <v>57</v>
      </c>
      <c r="H1347" s="397"/>
      <c r="I1347" s="397"/>
      <c r="J1347" s="750"/>
      <c r="K1347" s="398"/>
      <c r="L1347" s="404"/>
      <c r="M1347" s="399"/>
    </row>
    <row r="1348" spans="1:27" hidden="1" x14ac:dyDescent="0.2">
      <c r="F1348" s="503" t="s">
        <v>251</v>
      </c>
      <c r="G1348" s="504" t="s">
        <v>252</v>
      </c>
      <c r="H1348" s="397"/>
      <c r="I1348" s="397"/>
      <c r="J1348" s="750"/>
      <c r="K1348" s="398"/>
      <c r="L1348" s="404"/>
      <c r="M1348" s="399"/>
    </row>
    <row r="1349" spans="1:27" hidden="1" x14ac:dyDescent="0.2">
      <c r="F1349" s="503" t="s">
        <v>253</v>
      </c>
      <c r="G1349" s="504" t="s">
        <v>254</v>
      </c>
      <c r="H1349" s="397"/>
      <c r="I1349" s="397"/>
      <c r="J1349" s="750"/>
      <c r="K1349" s="398"/>
      <c r="L1349" s="404"/>
      <c r="M1349" s="399"/>
    </row>
    <row r="1350" spans="1:27" ht="25.5" hidden="1" x14ac:dyDescent="0.2">
      <c r="F1350" s="503" t="s">
        <v>255</v>
      </c>
      <c r="G1350" s="504" t="s">
        <v>256</v>
      </c>
      <c r="H1350" s="397"/>
      <c r="I1350" s="397"/>
      <c r="J1350" s="750"/>
      <c r="K1350" s="398"/>
      <c r="L1350" s="404"/>
      <c r="M1350" s="399"/>
    </row>
    <row r="1351" spans="1:27" ht="25.5" hidden="1" x14ac:dyDescent="0.2">
      <c r="F1351" s="503" t="s">
        <v>257</v>
      </c>
      <c r="G1351" s="504" t="s">
        <v>258</v>
      </c>
      <c r="H1351" s="397"/>
      <c r="I1351" s="397"/>
      <c r="J1351" s="750"/>
      <c r="K1351" s="398"/>
      <c r="L1351" s="404"/>
      <c r="M1351" s="399"/>
    </row>
    <row r="1352" spans="1:27" ht="25.5" hidden="1" x14ac:dyDescent="0.2">
      <c r="F1352" s="503" t="s">
        <v>259</v>
      </c>
      <c r="G1352" s="504" t="s">
        <v>260</v>
      </c>
      <c r="H1352" s="397"/>
      <c r="I1352" s="397"/>
      <c r="J1352" s="750"/>
      <c r="K1352" s="398"/>
      <c r="L1352" s="404"/>
      <c r="M1352" s="399"/>
    </row>
    <row r="1353" spans="1:27" ht="25.5" hidden="1" x14ac:dyDescent="0.2">
      <c r="F1353" s="503" t="s">
        <v>261</v>
      </c>
      <c r="G1353" s="504" t="s">
        <v>262</v>
      </c>
      <c r="H1353" s="397"/>
      <c r="I1353" s="397"/>
      <c r="J1353" s="750"/>
      <c r="K1353" s="398"/>
      <c r="L1353" s="404"/>
      <c r="M1353" s="399"/>
    </row>
    <row r="1354" spans="1:27" hidden="1" x14ac:dyDescent="0.2">
      <c r="F1354" s="503" t="s">
        <v>263</v>
      </c>
      <c r="G1354" s="504" t="s">
        <v>264</v>
      </c>
      <c r="H1354" s="403"/>
      <c r="I1354" s="403"/>
      <c r="J1354" s="750"/>
      <c r="K1354" s="404"/>
      <c r="L1354" s="404"/>
      <c r="M1354" s="399"/>
    </row>
    <row r="1355" spans="1:27" ht="13.5" hidden="1" collapsed="1" thickBot="1" x14ac:dyDescent="0.25">
      <c r="G1355" s="505" t="s">
        <v>4261</v>
      </c>
      <c r="H1355" s="405">
        <f>SUM(H1339:H1354)</f>
        <v>0</v>
      </c>
      <c r="I1355" s="405"/>
      <c r="J1355" s="750"/>
      <c r="K1355" s="406">
        <f>SUM(K1340:K1354)</f>
        <v>0</v>
      </c>
      <c r="L1355" s="406"/>
      <c r="M1355" s="399"/>
    </row>
    <row r="1356" spans="1:27" s="530" customFormat="1" hidden="1" x14ac:dyDescent="0.2">
      <c r="A1356" s="526"/>
      <c r="B1356" s="527"/>
      <c r="C1356" s="534"/>
      <c r="D1356" s="535"/>
      <c r="E1356" s="535"/>
      <c r="F1356" s="167"/>
      <c r="G1356" s="513"/>
      <c r="H1356" s="422"/>
      <c r="I1356" s="422"/>
      <c r="J1356" s="750"/>
      <c r="K1356" s="423"/>
      <c r="L1356" s="424"/>
      <c r="M1356" s="399"/>
      <c r="N1356" s="171"/>
      <c r="O1356" s="171"/>
      <c r="P1356" s="169"/>
      <c r="Q1356" s="171"/>
      <c r="R1356" s="171"/>
      <c r="S1356" s="171"/>
      <c r="T1356" s="171"/>
      <c r="U1356" s="171"/>
      <c r="V1356" s="171"/>
      <c r="W1356" s="171"/>
      <c r="X1356" s="171"/>
      <c r="Y1356" s="171"/>
      <c r="Z1356" s="171"/>
      <c r="AA1356" s="171"/>
    </row>
    <row r="1357" spans="1:27" ht="25.5" hidden="1" x14ac:dyDescent="0.2">
      <c r="C1357" s="489" t="s">
        <v>4087</v>
      </c>
      <c r="D1357" s="490"/>
      <c r="G1357" s="491" t="s">
        <v>5068</v>
      </c>
      <c r="H1357" s="397"/>
      <c r="I1357" s="397"/>
      <c r="J1357" s="750"/>
      <c r="K1357" s="398"/>
      <c r="L1357" s="398"/>
      <c r="M1357" s="399"/>
    </row>
    <row r="1358" spans="1:27" hidden="1" x14ac:dyDescent="0.2">
      <c r="C1358" s="489"/>
      <c r="D1358" s="537">
        <v>411</v>
      </c>
      <c r="E1358" s="538"/>
      <c r="F1358" s="538"/>
      <c r="G1358" s="539" t="s">
        <v>135</v>
      </c>
      <c r="H1358" s="397"/>
      <c r="I1358" s="397"/>
      <c r="J1358" s="750"/>
      <c r="K1358" s="398"/>
      <c r="L1358" s="398"/>
      <c r="M1358" s="399"/>
    </row>
    <row r="1359" spans="1:27" hidden="1" x14ac:dyDescent="0.2">
      <c r="F1359" s="494">
        <v>411</v>
      </c>
      <c r="G1359" s="495" t="s">
        <v>4167</v>
      </c>
      <c r="H1359" s="397"/>
      <c r="I1359" s="397"/>
      <c r="J1359" s="750"/>
      <c r="K1359" s="398"/>
      <c r="L1359" s="398"/>
      <c r="M1359" s="399"/>
      <c r="N1359" s="540"/>
      <c r="O1359" s="540"/>
    </row>
    <row r="1360" spans="1:27" hidden="1" x14ac:dyDescent="0.2">
      <c r="F1360" s="494">
        <v>412</v>
      </c>
      <c r="G1360" s="496" t="s">
        <v>3764</v>
      </c>
      <c r="H1360" s="397"/>
      <c r="I1360" s="397"/>
      <c r="J1360" s="750"/>
      <c r="K1360" s="398"/>
      <c r="L1360" s="398"/>
      <c r="M1360" s="399"/>
    </row>
    <row r="1361" spans="6:13" hidden="1" x14ac:dyDescent="0.2">
      <c r="F1361" s="494">
        <v>413</v>
      </c>
      <c r="G1361" s="495" t="s">
        <v>4168</v>
      </c>
      <c r="H1361" s="397"/>
      <c r="I1361" s="397"/>
      <c r="J1361" s="750"/>
      <c r="K1361" s="398"/>
      <c r="L1361" s="398"/>
      <c r="M1361" s="399"/>
    </row>
    <row r="1362" spans="6:13" hidden="1" x14ac:dyDescent="0.2">
      <c r="F1362" s="494">
        <v>414</v>
      </c>
      <c r="G1362" s="495" t="s">
        <v>3767</v>
      </c>
      <c r="H1362" s="397"/>
      <c r="I1362" s="397"/>
      <c r="J1362" s="750"/>
      <c r="K1362" s="398"/>
      <c r="L1362" s="398"/>
      <c r="M1362" s="399"/>
    </row>
    <row r="1363" spans="6:13" hidden="1" x14ac:dyDescent="0.2">
      <c r="F1363" s="494">
        <v>415</v>
      </c>
      <c r="G1363" s="495" t="s">
        <v>4177</v>
      </c>
      <c r="H1363" s="397"/>
      <c r="I1363" s="397"/>
      <c r="J1363" s="750"/>
      <c r="K1363" s="398"/>
      <c r="L1363" s="398"/>
      <c r="M1363" s="399"/>
    </row>
    <row r="1364" spans="6:13" ht="25.5" hidden="1" x14ac:dyDescent="0.2">
      <c r="F1364" s="494">
        <v>416</v>
      </c>
      <c r="G1364" s="495" t="s">
        <v>4178</v>
      </c>
      <c r="H1364" s="397"/>
      <c r="I1364" s="397"/>
      <c r="J1364" s="750"/>
      <c r="K1364" s="398"/>
      <c r="L1364" s="398"/>
      <c r="M1364" s="399"/>
    </row>
    <row r="1365" spans="6:13" hidden="1" x14ac:dyDescent="0.2">
      <c r="F1365" s="494">
        <v>417</v>
      </c>
      <c r="G1365" s="495" t="s">
        <v>4179</v>
      </c>
      <c r="H1365" s="397"/>
      <c r="I1365" s="397"/>
      <c r="J1365" s="750"/>
      <c r="K1365" s="398"/>
      <c r="L1365" s="398"/>
      <c r="M1365" s="399"/>
    </row>
    <row r="1366" spans="6:13" hidden="1" x14ac:dyDescent="0.2">
      <c r="F1366" s="494">
        <v>418</v>
      </c>
      <c r="G1366" s="495" t="s">
        <v>3773</v>
      </c>
      <c r="H1366" s="397"/>
      <c r="I1366" s="397"/>
      <c r="J1366" s="750"/>
      <c r="K1366" s="398"/>
      <c r="L1366" s="398"/>
      <c r="M1366" s="399"/>
    </row>
    <row r="1367" spans="6:13" hidden="1" x14ac:dyDescent="0.2">
      <c r="F1367" s="494">
        <v>421</v>
      </c>
      <c r="G1367" s="495" t="s">
        <v>3777</v>
      </c>
      <c r="H1367" s="397"/>
      <c r="I1367" s="397"/>
      <c r="J1367" s="750"/>
      <c r="K1367" s="398"/>
      <c r="L1367" s="398"/>
      <c r="M1367" s="399"/>
    </row>
    <row r="1368" spans="6:13" hidden="1" x14ac:dyDescent="0.2">
      <c r="F1368" s="494">
        <v>422</v>
      </c>
      <c r="G1368" s="495" t="s">
        <v>3778</v>
      </c>
      <c r="H1368" s="397"/>
      <c r="I1368" s="397"/>
      <c r="J1368" s="750"/>
      <c r="K1368" s="398"/>
      <c r="L1368" s="398"/>
      <c r="M1368" s="399"/>
    </row>
    <row r="1369" spans="6:13" hidden="1" x14ac:dyDescent="0.2">
      <c r="F1369" s="494">
        <v>423</v>
      </c>
      <c r="G1369" s="495" t="s">
        <v>3779</v>
      </c>
      <c r="H1369" s="397"/>
      <c r="I1369" s="397"/>
      <c r="J1369" s="750"/>
      <c r="K1369" s="398"/>
      <c r="L1369" s="398"/>
      <c r="M1369" s="399"/>
    </row>
    <row r="1370" spans="6:13" hidden="1" x14ac:dyDescent="0.2">
      <c r="F1370" s="494">
        <v>424</v>
      </c>
      <c r="G1370" s="495" t="s">
        <v>3781</v>
      </c>
      <c r="H1370" s="397"/>
      <c r="I1370" s="397"/>
      <c r="J1370" s="750"/>
      <c r="K1370" s="398"/>
      <c r="L1370" s="398"/>
      <c r="M1370" s="399"/>
    </row>
    <row r="1371" spans="6:13" hidden="1" x14ac:dyDescent="0.2">
      <c r="F1371" s="494">
        <v>425</v>
      </c>
      <c r="G1371" s="495" t="s">
        <v>4180</v>
      </c>
      <c r="H1371" s="397"/>
      <c r="I1371" s="397"/>
      <c r="J1371" s="750"/>
      <c r="K1371" s="398"/>
      <c r="L1371" s="398"/>
      <c r="M1371" s="399"/>
    </row>
    <row r="1372" spans="6:13" hidden="1" x14ac:dyDescent="0.2">
      <c r="F1372" s="494">
        <v>426</v>
      </c>
      <c r="G1372" s="495" t="s">
        <v>3785</v>
      </c>
      <c r="H1372" s="397"/>
      <c r="I1372" s="397"/>
      <c r="J1372" s="750"/>
      <c r="K1372" s="398"/>
      <c r="L1372" s="398"/>
      <c r="M1372" s="399"/>
    </row>
    <row r="1373" spans="6:13" hidden="1" x14ac:dyDescent="0.2">
      <c r="F1373" s="494">
        <v>431</v>
      </c>
      <c r="G1373" s="495" t="s">
        <v>4181</v>
      </c>
      <c r="H1373" s="397"/>
      <c r="I1373" s="397"/>
      <c r="J1373" s="750"/>
      <c r="K1373" s="398"/>
      <c r="L1373" s="398"/>
      <c r="M1373" s="399"/>
    </row>
    <row r="1374" spans="6:13" hidden="1" x14ac:dyDescent="0.2">
      <c r="F1374" s="494">
        <v>432</v>
      </c>
      <c r="G1374" s="495" t="s">
        <v>4182</v>
      </c>
      <c r="H1374" s="397"/>
      <c r="I1374" s="397"/>
      <c r="J1374" s="750"/>
      <c r="K1374" s="398"/>
      <c r="L1374" s="398"/>
      <c r="M1374" s="399"/>
    </row>
    <row r="1375" spans="6:13" hidden="1" x14ac:dyDescent="0.2">
      <c r="F1375" s="494">
        <v>433</v>
      </c>
      <c r="G1375" s="495" t="s">
        <v>4183</v>
      </c>
      <c r="H1375" s="397"/>
      <c r="I1375" s="397"/>
      <c r="J1375" s="750"/>
      <c r="K1375" s="398"/>
      <c r="L1375" s="398"/>
      <c r="M1375" s="399"/>
    </row>
    <row r="1376" spans="6:13" hidden="1" x14ac:dyDescent="0.2">
      <c r="F1376" s="494">
        <v>434</v>
      </c>
      <c r="G1376" s="495" t="s">
        <v>4184</v>
      </c>
      <c r="H1376" s="397"/>
      <c r="I1376" s="397"/>
      <c r="J1376" s="750"/>
      <c r="K1376" s="398"/>
      <c r="L1376" s="398"/>
      <c r="M1376" s="399"/>
    </row>
    <row r="1377" spans="6:13" hidden="1" x14ac:dyDescent="0.2">
      <c r="F1377" s="494">
        <v>435</v>
      </c>
      <c r="G1377" s="495" t="s">
        <v>3792</v>
      </c>
      <c r="H1377" s="397"/>
      <c r="I1377" s="397"/>
      <c r="J1377" s="750"/>
      <c r="K1377" s="398"/>
      <c r="L1377" s="398"/>
      <c r="M1377" s="399"/>
    </row>
    <row r="1378" spans="6:13" hidden="1" x14ac:dyDescent="0.2">
      <c r="F1378" s="494">
        <v>441</v>
      </c>
      <c r="G1378" s="495" t="s">
        <v>4185</v>
      </c>
      <c r="H1378" s="397"/>
      <c r="I1378" s="397"/>
      <c r="J1378" s="750"/>
      <c r="K1378" s="398"/>
      <c r="L1378" s="398"/>
      <c r="M1378" s="399"/>
    </row>
    <row r="1379" spans="6:13" hidden="1" x14ac:dyDescent="0.2">
      <c r="F1379" s="494">
        <v>442</v>
      </c>
      <c r="G1379" s="495" t="s">
        <v>4186</v>
      </c>
      <c r="H1379" s="397"/>
      <c r="I1379" s="397"/>
      <c r="J1379" s="750"/>
      <c r="K1379" s="398"/>
      <c r="L1379" s="398"/>
      <c r="M1379" s="399"/>
    </row>
    <row r="1380" spans="6:13" hidden="1" x14ac:dyDescent="0.2">
      <c r="F1380" s="494">
        <v>443</v>
      </c>
      <c r="G1380" s="495" t="s">
        <v>3797</v>
      </c>
      <c r="H1380" s="397"/>
      <c r="I1380" s="397"/>
      <c r="J1380" s="750"/>
      <c r="K1380" s="398"/>
      <c r="L1380" s="398"/>
      <c r="M1380" s="399"/>
    </row>
    <row r="1381" spans="6:13" hidden="1" x14ac:dyDescent="0.2">
      <c r="F1381" s="494">
        <v>444</v>
      </c>
      <c r="G1381" s="495" t="s">
        <v>3798</v>
      </c>
      <c r="H1381" s="397"/>
      <c r="I1381" s="397"/>
      <c r="J1381" s="750"/>
      <c r="K1381" s="398"/>
      <c r="L1381" s="398"/>
      <c r="M1381" s="399"/>
    </row>
    <row r="1382" spans="6:13" ht="25.5" hidden="1" x14ac:dyDescent="0.2">
      <c r="F1382" s="494">
        <v>4511</v>
      </c>
      <c r="G1382" s="466" t="s">
        <v>1692</v>
      </c>
      <c r="H1382" s="397"/>
      <c r="I1382" s="397"/>
      <c r="J1382" s="750"/>
      <c r="K1382" s="398"/>
      <c r="L1382" s="398"/>
      <c r="M1382" s="399"/>
    </row>
    <row r="1383" spans="6:13" ht="25.5" hidden="1" x14ac:dyDescent="0.2">
      <c r="F1383" s="494">
        <v>4512</v>
      </c>
      <c r="G1383" s="466" t="s">
        <v>1701</v>
      </c>
      <c r="H1383" s="397"/>
      <c r="I1383" s="397"/>
      <c r="J1383" s="750"/>
      <c r="K1383" s="398"/>
      <c r="L1383" s="398"/>
      <c r="M1383" s="399"/>
    </row>
    <row r="1384" spans="6:13" ht="25.5" hidden="1" x14ac:dyDescent="0.2">
      <c r="F1384" s="494">
        <v>452</v>
      </c>
      <c r="G1384" s="495" t="s">
        <v>4187</v>
      </c>
      <c r="H1384" s="397"/>
      <c r="I1384" s="397"/>
      <c r="J1384" s="750"/>
      <c r="K1384" s="398"/>
      <c r="L1384" s="398"/>
      <c r="M1384" s="399"/>
    </row>
    <row r="1385" spans="6:13" ht="25.5" hidden="1" x14ac:dyDescent="0.2">
      <c r="F1385" s="494">
        <v>453</v>
      </c>
      <c r="G1385" s="495" t="s">
        <v>4188</v>
      </c>
      <c r="H1385" s="397"/>
      <c r="I1385" s="397"/>
      <c r="J1385" s="750"/>
      <c r="K1385" s="398"/>
      <c r="L1385" s="398"/>
      <c r="M1385" s="399"/>
    </row>
    <row r="1386" spans="6:13" hidden="1" x14ac:dyDescent="0.2">
      <c r="F1386" s="494">
        <v>454</v>
      </c>
      <c r="G1386" s="495" t="s">
        <v>3803</v>
      </c>
      <c r="H1386" s="397"/>
      <c r="I1386" s="397"/>
      <c r="J1386" s="750"/>
      <c r="K1386" s="398"/>
      <c r="L1386" s="398"/>
      <c r="M1386" s="399"/>
    </row>
    <row r="1387" spans="6:13" hidden="1" x14ac:dyDescent="0.2">
      <c r="F1387" s="494">
        <v>461</v>
      </c>
      <c r="G1387" s="495" t="s">
        <v>4169</v>
      </c>
      <c r="H1387" s="397"/>
      <c r="I1387" s="397"/>
      <c r="J1387" s="750"/>
      <c r="K1387" s="398"/>
      <c r="L1387" s="398"/>
      <c r="M1387" s="399"/>
    </row>
    <row r="1388" spans="6:13" ht="25.5" hidden="1" x14ac:dyDescent="0.2">
      <c r="F1388" s="494">
        <v>462</v>
      </c>
      <c r="G1388" s="495" t="s">
        <v>3806</v>
      </c>
      <c r="H1388" s="397"/>
      <c r="I1388" s="397"/>
      <c r="J1388" s="750"/>
      <c r="K1388" s="398"/>
      <c r="L1388" s="398"/>
      <c r="M1388" s="399"/>
    </row>
    <row r="1389" spans="6:13" hidden="1" x14ac:dyDescent="0.2">
      <c r="F1389" s="494">
        <v>4631</v>
      </c>
      <c r="G1389" s="495" t="s">
        <v>3807</v>
      </c>
      <c r="H1389" s="397"/>
      <c r="I1389" s="397"/>
      <c r="J1389" s="750"/>
      <c r="K1389" s="398"/>
      <c r="L1389" s="398"/>
      <c r="M1389" s="399"/>
    </row>
    <row r="1390" spans="6:13" hidden="1" x14ac:dyDescent="0.2">
      <c r="F1390" s="494">
        <v>4632</v>
      </c>
      <c r="G1390" s="495" t="s">
        <v>3808</v>
      </c>
      <c r="H1390" s="397"/>
      <c r="I1390" s="397"/>
      <c r="J1390" s="750"/>
      <c r="K1390" s="398"/>
      <c r="L1390" s="398"/>
      <c r="M1390" s="399"/>
    </row>
    <row r="1391" spans="6:13" ht="25.5" hidden="1" x14ac:dyDescent="0.2">
      <c r="F1391" s="494">
        <v>464</v>
      </c>
      <c r="G1391" s="495" t="s">
        <v>3809</v>
      </c>
      <c r="H1391" s="397"/>
      <c r="I1391" s="397"/>
      <c r="J1391" s="750"/>
      <c r="K1391" s="398"/>
      <c r="L1391" s="398"/>
      <c r="M1391" s="399"/>
    </row>
    <row r="1392" spans="6:13" hidden="1" x14ac:dyDescent="0.2">
      <c r="F1392" s="494">
        <v>465</v>
      </c>
      <c r="G1392" s="495" t="s">
        <v>4170</v>
      </c>
      <c r="H1392" s="397"/>
      <c r="I1392" s="397"/>
      <c r="J1392" s="750"/>
      <c r="K1392" s="398"/>
      <c r="L1392" s="398"/>
      <c r="M1392" s="399"/>
    </row>
    <row r="1393" spans="6:13" hidden="1" x14ac:dyDescent="0.2">
      <c r="F1393" s="494">
        <v>472</v>
      </c>
      <c r="G1393" s="495" t="s">
        <v>3813</v>
      </c>
      <c r="H1393" s="397"/>
      <c r="I1393" s="397"/>
      <c r="J1393" s="750"/>
      <c r="K1393" s="398"/>
      <c r="L1393" s="398"/>
      <c r="M1393" s="399"/>
    </row>
    <row r="1394" spans="6:13" hidden="1" x14ac:dyDescent="0.2">
      <c r="F1394" s="494">
        <v>481</v>
      </c>
      <c r="G1394" s="495" t="s">
        <v>4189</v>
      </c>
      <c r="H1394" s="397"/>
      <c r="I1394" s="397"/>
      <c r="J1394" s="750"/>
      <c r="K1394" s="398"/>
      <c r="L1394" s="398"/>
      <c r="M1394" s="399"/>
    </row>
    <row r="1395" spans="6:13" hidden="1" x14ac:dyDescent="0.2">
      <c r="F1395" s="494">
        <v>482</v>
      </c>
      <c r="G1395" s="495" t="s">
        <v>4190</v>
      </c>
      <c r="H1395" s="397"/>
      <c r="I1395" s="397"/>
      <c r="J1395" s="750"/>
      <c r="K1395" s="398"/>
      <c r="L1395" s="398"/>
      <c r="M1395" s="399"/>
    </row>
    <row r="1396" spans="6:13" hidden="1" x14ac:dyDescent="0.2">
      <c r="F1396" s="494">
        <v>483</v>
      </c>
      <c r="G1396" s="497" t="s">
        <v>4191</v>
      </c>
      <c r="H1396" s="397"/>
      <c r="I1396" s="397"/>
      <c r="J1396" s="750"/>
      <c r="K1396" s="398"/>
      <c r="L1396" s="398"/>
      <c r="M1396" s="399"/>
    </row>
    <row r="1397" spans="6:13" ht="38.25" hidden="1" x14ac:dyDescent="0.2">
      <c r="F1397" s="494">
        <v>484</v>
      </c>
      <c r="G1397" s="495" t="s">
        <v>4192</v>
      </c>
      <c r="H1397" s="397"/>
      <c r="I1397" s="397"/>
      <c r="J1397" s="750"/>
      <c r="K1397" s="398"/>
      <c r="L1397" s="398"/>
      <c r="M1397" s="399"/>
    </row>
    <row r="1398" spans="6:13" ht="25.5" hidden="1" x14ac:dyDescent="0.2">
      <c r="F1398" s="494">
        <v>485</v>
      </c>
      <c r="G1398" s="495" t="s">
        <v>4193</v>
      </c>
      <c r="H1398" s="397"/>
      <c r="I1398" s="397"/>
      <c r="J1398" s="750"/>
      <c r="K1398" s="398"/>
      <c r="L1398" s="398"/>
      <c r="M1398" s="399"/>
    </row>
    <row r="1399" spans="6:13" ht="25.5" hidden="1" x14ac:dyDescent="0.2">
      <c r="F1399" s="494">
        <v>489</v>
      </c>
      <c r="G1399" s="495" t="s">
        <v>3821</v>
      </c>
      <c r="H1399" s="397"/>
      <c r="I1399" s="397"/>
      <c r="J1399" s="750"/>
      <c r="K1399" s="398"/>
      <c r="L1399" s="398"/>
      <c r="M1399" s="399"/>
    </row>
    <row r="1400" spans="6:13" ht="25.5" hidden="1" x14ac:dyDescent="0.2">
      <c r="F1400" s="494">
        <v>494</v>
      </c>
      <c r="G1400" s="495" t="s">
        <v>4171</v>
      </c>
      <c r="H1400" s="397"/>
      <c r="I1400" s="397"/>
      <c r="J1400" s="750"/>
      <c r="K1400" s="398"/>
      <c r="L1400" s="398"/>
      <c r="M1400" s="399"/>
    </row>
    <row r="1401" spans="6:13" ht="25.5" hidden="1" x14ac:dyDescent="0.2">
      <c r="F1401" s="494">
        <v>495</v>
      </c>
      <c r="G1401" s="495" t="s">
        <v>4172</v>
      </c>
      <c r="H1401" s="397"/>
      <c r="I1401" s="397"/>
      <c r="J1401" s="750"/>
      <c r="K1401" s="398"/>
      <c r="L1401" s="398"/>
      <c r="M1401" s="399"/>
    </row>
    <row r="1402" spans="6:13" ht="38.25" hidden="1" x14ac:dyDescent="0.2">
      <c r="F1402" s="494">
        <v>496</v>
      </c>
      <c r="G1402" s="495" t="s">
        <v>4173</v>
      </c>
      <c r="H1402" s="397"/>
      <c r="I1402" s="397"/>
      <c r="J1402" s="750"/>
      <c r="K1402" s="398"/>
      <c r="L1402" s="398"/>
      <c r="M1402" s="399"/>
    </row>
    <row r="1403" spans="6:13" ht="25.5" hidden="1" x14ac:dyDescent="0.2">
      <c r="F1403" s="494">
        <v>499</v>
      </c>
      <c r="G1403" s="495" t="s">
        <v>4174</v>
      </c>
      <c r="H1403" s="397"/>
      <c r="I1403" s="397"/>
      <c r="J1403" s="750"/>
      <c r="K1403" s="398"/>
      <c r="L1403" s="398"/>
      <c r="M1403" s="399"/>
    </row>
    <row r="1404" spans="6:13" hidden="1" x14ac:dyDescent="0.2">
      <c r="F1404" s="494">
        <v>511</v>
      </c>
      <c r="G1404" s="497" t="s">
        <v>4194</v>
      </c>
      <c r="H1404" s="397"/>
      <c r="I1404" s="397"/>
      <c r="J1404" s="750"/>
      <c r="K1404" s="398"/>
      <c r="L1404" s="398"/>
      <c r="M1404" s="399"/>
    </row>
    <row r="1405" spans="6:13" hidden="1" x14ac:dyDescent="0.2">
      <c r="F1405" s="494">
        <v>512</v>
      </c>
      <c r="G1405" s="497" t="s">
        <v>4195</v>
      </c>
      <c r="H1405" s="397"/>
      <c r="I1405" s="397"/>
      <c r="J1405" s="750"/>
      <c r="K1405" s="398"/>
      <c r="L1405" s="398"/>
      <c r="M1405" s="399"/>
    </row>
    <row r="1406" spans="6:13" hidden="1" x14ac:dyDescent="0.2">
      <c r="F1406" s="494">
        <v>513</v>
      </c>
      <c r="G1406" s="497" t="s">
        <v>4196</v>
      </c>
      <c r="H1406" s="397"/>
      <c r="I1406" s="397"/>
      <c r="J1406" s="750"/>
      <c r="K1406" s="398"/>
      <c r="L1406" s="398"/>
      <c r="M1406" s="399"/>
    </row>
    <row r="1407" spans="6:13" hidden="1" x14ac:dyDescent="0.2">
      <c r="F1407" s="494">
        <v>514</v>
      </c>
      <c r="G1407" s="495" t="s">
        <v>4197</v>
      </c>
      <c r="H1407" s="397"/>
      <c r="I1407" s="397"/>
      <c r="J1407" s="750"/>
      <c r="K1407" s="398"/>
      <c r="L1407" s="398"/>
      <c r="M1407" s="399"/>
    </row>
    <row r="1408" spans="6:13" hidden="1" x14ac:dyDescent="0.2">
      <c r="F1408" s="494">
        <v>515</v>
      </c>
      <c r="G1408" s="495" t="s">
        <v>3832</v>
      </c>
      <c r="H1408" s="397"/>
      <c r="I1408" s="397"/>
      <c r="J1408" s="750"/>
      <c r="K1408" s="398"/>
      <c r="L1408" s="398"/>
      <c r="M1408" s="399"/>
    </row>
    <row r="1409" spans="5:13" hidden="1" x14ac:dyDescent="0.2">
      <c r="F1409" s="494">
        <v>521</v>
      </c>
      <c r="G1409" s="495" t="s">
        <v>4198</v>
      </c>
      <c r="H1409" s="397"/>
      <c r="I1409" s="397"/>
      <c r="J1409" s="750"/>
      <c r="K1409" s="398"/>
      <c r="L1409" s="398"/>
      <c r="M1409" s="399"/>
    </row>
    <row r="1410" spans="5:13" hidden="1" x14ac:dyDescent="0.2">
      <c r="F1410" s="494">
        <v>522</v>
      </c>
      <c r="G1410" s="495" t="s">
        <v>4199</v>
      </c>
      <c r="H1410" s="397"/>
      <c r="I1410" s="397"/>
      <c r="J1410" s="750"/>
      <c r="K1410" s="398"/>
      <c r="L1410" s="398"/>
      <c r="M1410" s="399"/>
    </row>
    <row r="1411" spans="5:13" hidden="1" x14ac:dyDescent="0.2">
      <c r="F1411" s="494">
        <v>523</v>
      </c>
      <c r="G1411" s="495" t="s">
        <v>3837</v>
      </c>
      <c r="H1411" s="397"/>
      <c r="I1411" s="397"/>
      <c r="J1411" s="750"/>
      <c r="K1411" s="398"/>
      <c r="L1411" s="398"/>
      <c r="M1411" s="399"/>
    </row>
    <row r="1412" spans="5:13" hidden="1" x14ac:dyDescent="0.2">
      <c r="F1412" s="494">
        <v>531</v>
      </c>
      <c r="G1412" s="496" t="s">
        <v>4175</v>
      </c>
      <c r="H1412" s="397"/>
      <c r="I1412" s="397"/>
      <c r="J1412" s="750"/>
      <c r="K1412" s="398"/>
      <c r="L1412" s="398"/>
      <c r="M1412" s="399"/>
    </row>
    <row r="1413" spans="5:13" hidden="1" x14ac:dyDescent="0.2">
      <c r="F1413" s="494">
        <v>541</v>
      </c>
      <c r="G1413" s="495" t="s">
        <v>4200</v>
      </c>
      <c r="H1413" s="397"/>
      <c r="I1413" s="397"/>
      <c r="J1413" s="750"/>
      <c r="K1413" s="398"/>
      <c r="L1413" s="398"/>
      <c r="M1413" s="399"/>
    </row>
    <row r="1414" spans="5:13" hidden="1" x14ac:dyDescent="0.2">
      <c r="F1414" s="494">
        <v>542</v>
      </c>
      <c r="G1414" s="495" t="s">
        <v>4201</v>
      </c>
      <c r="H1414" s="397"/>
      <c r="I1414" s="397"/>
      <c r="J1414" s="750"/>
      <c r="K1414" s="398"/>
      <c r="L1414" s="398"/>
      <c r="M1414" s="399"/>
    </row>
    <row r="1415" spans="5:13" hidden="1" x14ac:dyDescent="0.2">
      <c r="F1415" s="494">
        <v>543</v>
      </c>
      <c r="G1415" s="495" t="s">
        <v>3842</v>
      </c>
      <c r="H1415" s="397"/>
      <c r="I1415" s="397"/>
      <c r="J1415" s="750"/>
      <c r="K1415" s="398"/>
      <c r="L1415" s="398"/>
      <c r="M1415" s="399"/>
    </row>
    <row r="1416" spans="5:13" ht="38.25" hidden="1" x14ac:dyDescent="0.2">
      <c r="F1416" s="494">
        <v>551</v>
      </c>
      <c r="G1416" s="495" t="s">
        <v>4176</v>
      </c>
      <c r="H1416" s="397"/>
      <c r="I1416" s="397"/>
      <c r="J1416" s="750"/>
      <c r="K1416" s="398"/>
      <c r="L1416" s="398"/>
      <c r="M1416" s="399"/>
    </row>
    <row r="1417" spans="5:13" hidden="1" x14ac:dyDescent="0.2">
      <c r="F1417" s="498">
        <v>611</v>
      </c>
      <c r="G1417" s="499" t="s">
        <v>3848</v>
      </c>
      <c r="H1417" s="397"/>
      <c r="I1417" s="397"/>
      <c r="J1417" s="750"/>
      <c r="K1417" s="398"/>
      <c r="L1417" s="398"/>
      <c r="M1417" s="399"/>
    </row>
    <row r="1418" spans="5:13" hidden="1" x14ac:dyDescent="0.2">
      <c r="F1418" s="498">
        <v>620</v>
      </c>
      <c r="G1418" s="499" t="s">
        <v>88</v>
      </c>
      <c r="H1418" s="397"/>
      <c r="I1418" s="397"/>
      <c r="J1418" s="750"/>
      <c r="K1418" s="398"/>
      <c r="L1418" s="398"/>
      <c r="M1418" s="399"/>
    </row>
    <row r="1419" spans="5:13" hidden="1" x14ac:dyDescent="0.2">
      <c r="E1419" s="500"/>
      <c r="F1419" s="498"/>
      <c r="G1419" s="501" t="s">
        <v>4348</v>
      </c>
      <c r="H1419" s="400"/>
      <c r="I1419" s="400"/>
      <c r="J1419" s="750"/>
      <c r="K1419" s="401"/>
      <c r="L1419" s="402"/>
      <c r="M1419" s="399"/>
    </row>
    <row r="1420" spans="5:13" hidden="1" x14ac:dyDescent="0.2">
      <c r="E1420" s="502"/>
      <c r="F1420" s="503" t="s">
        <v>234</v>
      </c>
      <c r="G1420" s="504" t="s">
        <v>235</v>
      </c>
      <c r="H1420" s="403">
        <f>SUM(H1359:H1418)</f>
        <v>0</v>
      </c>
      <c r="I1420" s="403"/>
      <c r="J1420" s="750"/>
      <c r="K1420" s="404"/>
      <c r="L1420" s="404"/>
      <c r="M1420" s="399"/>
    </row>
    <row r="1421" spans="5:13" hidden="1" x14ac:dyDescent="0.2">
      <c r="F1421" s="503" t="s">
        <v>236</v>
      </c>
      <c r="G1421" s="504" t="s">
        <v>237</v>
      </c>
      <c r="H1421" s="397"/>
      <c r="I1421" s="397"/>
      <c r="J1421" s="750"/>
      <c r="K1421" s="398"/>
      <c r="L1421" s="404"/>
      <c r="M1421" s="399"/>
    </row>
    <row r="1422" spans="5:13" hidden="1" x14ac:dyDescent="0.2">
      <c r="F1422" s="503" t="s">
        <v>238</v>
      </c>
      <c r="G1422" s="504" t="s">
        <v>239</v>
      </c>
      <c r="H1422" s="397"/>
      <c r="I1422" s="397"/>
      <c r="J1422" s="750"/>
      <c r="K1422" s="398"/>
      <c r="L1422" s="404"/>
      <c r="M1422" s="399"/>
    </row>
    <row r="1423" spans="5:13" hidden="1" x14ac:dyDescent="0.2">
      <c r="F1423" s="503" t="s">
        <v>240</v>
      </c>
      <c r="G1423" s="504" t="s">
        <v>241</v>
      </c>
      <c r="H1423" s="397"/>
      <c r="I1423" s="397"/>
      <c r="J1423" s="750"/>
      <c r="K1423" s="398"/>
      <c r="L1423" s="404"/>
      <c r="M1423" s="399"/>
    </row>
    <row r="1424" spans="5:13" hidden="1" x14ac:dyDescent="0.2">
      <c r="F1424" s="503" t="s">
        <v>242</v>
      </c>
      <c r="G1424" s="504" t="s">
        <v>243</v>
      </c>
      <c r="H1424" s="397"/>
      <c r="I1424" s="397"/>
      <c r="J1424" s="750"/>
      <c r="K1424" s="398"/>
      <c r="L1424" s="404"/>
      <c r="M1424" s="399"/>
    </row>
    <row r="1425" spans="5:13" hidden="1" x14ac:dyDescent="0.2">
      <c r="F1425" s="503" t="s">
        <v>244</v>
      </c>
      <c r="G1425" s="504" t="s">
        <v>245</v>
      </c>
      <c r="H1425" s="397"/>
      <c r="I1425" s="397"/>
      <c r="J1425" s="750"/>
      <c r="K1425" s="398"/>
      <c r="L1425" s="404"/>
      <c r="M1425" s="399"/>
    </row>
    <row r="1426" spans="5:13" hidden="1" x14ac:dyDescent="0.2">
      <c r="F1426" s="503" t="s">
        <v>246</v>
      </c>
      <c r="G1426" s="504" t="s">
        <v>247</v>
      </c>
      <c r="H1426" s="397"/>
      <c r="I1426" s="397"/>
      <c r="J1426" s="750"/>
      <c r="K1426" s="398"/>
      <c r="L1426" s="404"/>
      <c r="M1426" s="399"/>
    </row>
    <row r="1427" spans="5:13" ht="25.5" hidden="1" x14ac:dyDescent="0.2">
      <c r="F1427" s="503" t="s">
        <v>248</v>
      </c>
      <c r="G1427" s="504" t="s">
        <v>249</v>
      </c>
      <c r="H1427" s="397"/>
      <c r="I1427" s="397"/>
      <c r="J1427" s="750"/>
      <c r="K1427" s="398"/>
      <c r="L1427" s="404"/>
      <c r="M1427" s="399"/>
    </row>
    <row r="1428" spans="5:13" hidden="1" x14ac:dyDescent="0.2">
      <c r="F1428" s="503" t="s">
        <v>250</v>
      </c>
      <c r="G1428" s="504" t="s">
        <v>57</v>
      </c>
      <c r="H1428" s="397"/>
      <c r="I1428" s="397"/>
      <c r="J1428" s="750"/>
      <c r="K1428" s="398"/>
      <c r="L1428" s="404"/>
      <c r="M1428" s="399"/>
    </row>
    <row r="1429" spans="5:13" hidden="1" x14ac:dyDescent="0.2">
      <c r="F1429" s="503" t="s">
        <v>251</v>
      </c>
      <c r="G1429" s="504" t="s">
        <v>252</v>
      </c>
      <c r="H1429" s="397"/>
      <c r="I1429" s="397"/>
      <c r="J1429" s="750"/>
      <c r="K1429" s="398"/>
      <c r="L1429" s="404"/>
      <c r="M1429" s="399"/>
    </row>
    <row r="1430" spans="5:13" hidden="1" x14ac:dyDescent="0.2">
      <c r="F1430" s="503" t="s">
        <v>253</v>
      </c>
      <c r="G1430" s="504" t="s">
        <v>254</v>
      </c>
      <c r="H1430" s="397"/>
      <c r="I1430" s="397"/>
      <c r="J1430" s="750"/>
      <c r="K1430" s="398"/>
      <c r="L1430" s="404"/>
      <c r="M1430" s="399"/>
    </row>
    <row r="1431" spans="5:13" ht="25.5" hidden="1" x14ac:dyDescent="0.2">
      <c r="F1431" s="503" t="s">
        <v>255</v>
      </c>
      <c r="G1431" s="504" t="s">
        <v>256</v>
      </c>
      <c r="H1431" s="397"/>
      <c r="I1431" s="397"/>
      <c r="J1431" s="750"/>
      <c r="K1431" s="398"/>
      <c r="L1431" s="404"/>
      <c r="M1431" s="399"/>
    </row>
    <row r="1432" spans="5:13" ht="25.5" hidden="1" x14ac:dyDescent="0.2">
      <c r="F1432" s="503" t="s">
        <v>257</v>
      </c>
      <c r="G1432" s="504" t="s">
        <v>258</v>
      </c>
      <c r="H1432" s="397"/>
      <c r="I1432" s="397"/>
      <c r="J1432" s="750"/>
      <c r="K1432" s="398"/>
      <c r="L1432" s="404"/>
      <c r="M1432" s="399"/>
    </row>
    <row r="1433" spans="5:13" ht="25.5" hidden="1" x14ac:dyDescent="0.2">
      <c r="F1433" s="503" t="s">
        <v>259</v>
      </c>
      <c r="G1433" s="504" t="s">
        <v>260</v>
      </c>
      <c r="H1433" s="397"/>
      <c r="I1433" s="397"/>
      <c r="J1433" s="750"/>
      <c r="K1433" s="398"/>
      <c r="L1433" s="404"/>
      <c r="M1433" s="399"/>
    </row>
    <row r="1434" spans="5:13" ht="25.5" hidden="1" x14ac:dyDescent="0.2">
      <c r="F1434" s="503" t="s">
        <v>261</v>
      </c>
      <c r="G1434" s="504" t="s">
        <v>262</v>
      </c>
      <c r="H1434" s="397"/>
      <c r="I1434" s="397"/>
      <c r="J1434" s="750"/>
      <c r="K1434" s="398"/>
      <c r="L1434" s="404"/>
      <c r="M1434" s="399"/>
    </row>
    <row r="1435" spans="5:13" hidden="1" x14ac:dyDescent="0.2">
      <c r="F1435" s="503" t="s">
        <v>263</v>
      </c>
      <c r="G1435" s="504" t="s">
        <v>264</v>
      </c>
      <c r="H1435" s="403"/>
      <c r="I1435" s="403"/>
      <c r="J1435" s="750"/>
      <c r="K1435" s="404"/>
      <c r="L1435" s="404"/>
      <c r="M1435" s="399"/>
    </row>
    <row r="1436" spans="5:13" ht="13.5" hidden="1" thickBot="1" x14ac:dyDescent="0.25">
      <c r="G1436" s="505" t="s">
        <v>4349</v>
      </c>
      <c r="H1436" s="405">
        <f>SUM(H1420:H1435)</f>
        <v>0</v>
      </c>
      <c r="I1436" s="405"/>
      <c r="J1436" s="750"/>
      <c r="K1436" s="406">
        <f>SUM(K1421:K1435)</f>
        <v>0</v>
      </c>
      <c r="L1436" s="406"/>
      <c r="M1436" s="399"/>
    </row>
    <row r="1437" spans="5:13" ht="25.5" hidden="1" collapsed="1" x14ac:dyDescent="0.2">
      <c r="E1437" s="500"/>
      <c r="F1437" s="498"/>
      <c r="G1437" s="506" t="s">
        <v>4355</v>
      </c>
      <c r="H1437" s="407"/>
      <c r="I1437" s="408"/>
      <c r="J1437" s="750"/>
      <c r="K1437" s="409"/>
      <c r="L1437" s="410"/>
      <c r="M1437" s="399"/>
    </row>
    <row r="1438" spans="5:13" hidden="1" x14ac:dyDescent="0.2">
      <c r="E1438" s="502"/>
      <c r="F1438" s="503" t="s">
        <v>234</v>
      </c>
      <c r="G1438" s="504" t="s">
        <v>235</v>
      </c>
      <c r="H1438" s="403">
        <f>SUM(H1359:H1418)</f>
        <v>0</v>
      </c>
      <c r="I1438" s="403"/>
      <c r="J1438" s="750"/>
      <c r="K1438" s="404"/>
      <c r="L1438" s="404"/>
      <c r="M1438" s="399"/>
    </row>
    <row r="1439" spans="5:13" hidden="1" x14ac:dyDescent="0.2">
      <c r="F1439" s="503" t="s">
        <v>236</v>
      </c>
      <c r="G1439" s="504" t="s">
        <v>237</v>
      </c>
      <c r="H1439" s="397"/>
      <c r="I1439" s="397"/>
      <c r="J1439" s="750"/>
      <c r="K1439" s="398"/>
      <c r="L1439" s="404"/>
      <c r="M1439" s="399"/>
    </row>
    <row r="1440" spans="5:13" hidden="1" x14ac:dyDescent="0.2">
      <c r="F1440" s="503" t="s">
        <v>238</v>
      </c>
      <c r="G1440" s="504" t="s">
        <v>239</v>
      </c>
      <c r="H1440" s="397"/>
      <c r="I1440" s="397"/>
      <c r="J1440" s="750"/>
      <c r="K1440" s="398"/>
      <c r="L1440" s="404"/>
      <c r="M1440" s="399"/>
    </row>
    <row r="1441" spans="1:27" hidden="1" x14ac:dyDescent="0.2">
      <c r="F1441" s="503" t="s">
        <v>240</v>
      </c>
      <c r="G1441" s="504" t="s">
        <v>241</v>
      </c>
      <c r="H1441" s="397"/>
      <c r="I1441" s="397"/>
      <c r="J1441" s="750"/>
      <c r="K1441" s="398"/>
      <c r="L1441" s="404"/>
      <c r="M1441" s="399"/>
    </row>
    <row r="1442" spans="1:27" hidden="1" x14ac:dyDescent="0.2">
      <c r="F1442" s="503" t="s">
        <v>242</v>
      </c>
      <c r="G1442" s="504" t="s">
        <v>243</v>
      </c>
      <c r="H1442" s="397"/>
      <c r="I1442" s="397"/>
      <c r="J1442" s="750"/>
      <c r="K1442" s="398"/>
      <c r="L1442" s="404"/>
      <c r="M1442" s="399"/>
    </row>
    <row r="1443" spans="1:27" hidden="1" x14ac:dyDescent="0.2">
      <c r="F1443" s="503" t="s">
        <v>244</v>
      </c>
      <c r="G1443" s="504" t="s">
        <v>245</v>
      </c>
      <c r="H1443" s="397"/>
      <c r="I1443" s="397"/>
      <c r="J1443" s="750"/>
      <c r="K1443" s="398"/>
      <c r="L1443" s="404"/>
      <c r="M1443" s="399"/>
    </row>
    <row r="1444" spans="1:27" hidden="1" x14ac:dyDescent="0.2">
      <c r="F1444" s="503" t="s">
        <v>246</v>
      </c>
      <c r="G1444" s="504" t="s">
        <v>247</v>
      </c>
      <c r="H1444" s="397"/>
      <c r="I1444" s="397"/>
      <c r="J1444" s="750"/>
      <c r="K1444" s="398"/>
      <c r="L1444" s="404"/>
      <c r="M1444" s="399"/>
    </row>
    <row r="1445" spans="1:27" ht="25.5" hidden="1" x14ac:dyDescent="0.2">
      <c r="F1445" s="503" t="s">
        <v>248</v>
      </c>
      <c r="G1445" s="504" t="s">
        <v>249</v>
      </c>
      <c r="H1445" s="397"/>
      <c r="I1445" s="397"/>
      <c r="J1445" s="750"/>
      <c r="K1445" s="398"/>
      <c r="L1445" s="404"/>
      <c r="M1445" s="399"/>
    </row>
    <row r="1446" spans="1:27" hidden="1" x14ac:dyDescent="0.2">
      <c r="F1446" s="503" t="s">
        <v>250</v>
      </c>
      <c r="G1446" s="504" t="s">
        <v>57</v>
      </c>
      <c r="H1446" s="397"/>
      <c r="I1446" s="397"/>
      <c r="J1446" s="750"/>
      <c r="K1446" s="398"/>
      <c r="L1446" s="404"/>
      <c r="M1446" s="399"/>
    </row>
    <row r="1447" spans="1:27" hidden="1" x14ac:dyDescent="0.2">
      <c r="F1447" s="503" t="s">
        <v>251</v>
      </c>
      <c r="G1447" s="504" t="s">
        <v>252</v>
      </c>
      <c r="H1447" s="397"/>
      <c r="I1447" s="397"/>
      <c r="J1447" s="750"/>
      <c r="K1447" s="398"/>
      <c r="L1447" s="404"/>
      <c r="M1447" s="399"/>
    </row>
    <row r="1448" spans="1:27" hidden="1" x14ac:dyDescent="0.2">
      <c r="F1448" s="503" t="s">
        <v>253</v>
      </c>
      <c r="G1448" s="504" t="s">
        <v>254</v>
      </c>
      <c r="H1448" s="397"/>
      <c r="I1448" s="397"/>
      <c r="J1448" s="750"/>
      <c r="K1448" s="398"/>
      <c r="L1448" s="404"/>
      <c r="M1448" s="399"/>
    </row>
    <row r="1449" spans="1:27" ht="25.5" hidden="1" x14ac:dyDescent="0.2">
      <c r="F1449" s="503" t="s">
        <v>255</v>
      </c>
      <c r="G1449" s="504" t="s">
        <v>256</v>
      </c>
      <c r="H1449" s="397"/>
      <c r="I1449" s="397"/>
      <c r="J1449" s="750"/>
      <c r="K1449" s="398"/>
      <c r="L1449" s="404"/>
      <c r="M1449" s="399"/>
    </row>
    <row r="1450" spans="1:27" ht="25.5" hidden="1" x14ac:dyDescent="0.2">
      <c r="F1450" s="503" t="s">
        <v>257</v>
      </c>
      <c r="G1450" s="504" t="s">
        <v>258</v>
      </c>
      <c r="H1450" s="397"/>
      <c r="I1450" s="397"/>
      <c r="J1450" s="750"/>
      <c r="K1450" s="398"/>
      <c r="L1450" s="404"/>
      <c r="M1450" s="399"/>
    </row>
    <row r="1451" spans="1:27" ht="25.5" hidden="1" x14ac:dyDescent="0.2">
      <c r="F1451" s="503" t="s">
        <v>259</v>
      </c>
      <c r="G1451" s="504" t="s">
        <v>260</v>
      </c>
      <c r="H1451" s="397"/>
      <c r="I1451" s="397"/>
      <c r="J1451" s="750"/>
      <c r="K1451" s="398"/>
      <c r="L1451" s="404"/>
      <c r="M1451" s="399"/>
    </row>
    <row r="1452" spans="1:27" ht="25.5" hidden="1" x14ac:dyDescent="0.2">
      <c r="F1452" s="503" t="s">
        <v>261</v>
      </c>
      <c r="G1452" s="504" t="s">
        <v>262</v>
      </c>
      <c r="H1452" s="397"/>
      <c r="I1452" s="397"/>
      <c r="J1452" s="750"/>
      <c r="K1452" s="398"/>
      <c r="L1452" s="404"/>
      <c r="M1452" s="399"/>
    </row>
    <row r="1453" spans="1:27" hidden="1" x14ac:dyDescent="0.2">
      <c r="F1453" s="503" t="s">
        <v>263</v>
      </c>
      <c r="G1453" s="504" t="s">
        <v>264</v>
      </c>
      <c r="H1453" s="403"/>
      <c r="I1453" s="403"/>
      <c r="J1453" s="750"/>
      <c r="K1453" s="404"/>
      <c r="L1453" s="404"/>
      <c r="M1453" s="399"/>
    </row>
    <row r="1454" spans="1:27" ht="13.5" hidden="1" collapsed="1" thickBot="1" x14ac:dyDescent="0.25">
      <c r="G1454" s="505" t="s">
        <v>4263</v>
      </c>
      <c r="H1454" s="405">
        <f>SUM(H1438:H1453)</f>
        <v>0</v>
      </c>
      <c r="I1454" s="405"/>
      <c r="J1454" s="750"/>
      <c r="K1454" s="406">
        <f>SUM(K1439:K1453)</f>
        <v>0</v>
      </c>
      <c r="L1454" s="406"/>
      <c r="M1454" s="399"/>
    </row>
    <row r="1455" spans="1:27" s="530" customFormat="1" hidden="1" x14ac:dyDescent="0.2">
      <c r="A1455" s="526"/>
      <c r="B1455" s="527"/>
      <c r="C1455" s="534"/>
      <c r="D1455" s="535"/>
      <c r="E1455" s="535"/>
      <c r="F1455" s="167"/>
      <c r="G1455" s="513"/>
      <c r="H1455" s="422"/>
      <c r="I1455" s="422"/>
      <c r="J1455" s="750"/>
      <c r="K1455" s="423"/>
      <c r="L1455" s="424"/>
      <c r="M1455" s="399"/>
      <c r="N1455" s="171"/>
      <c r="O1455" s="171"/>
      <c r="P1455" s="169"/>
      <c r="Q1455" s="171"/>
      <c r="R1455" s="171"/>
      <c r="S1455" s="171"/>
      <c r="T1455" s="171"/>
      <c r="U1455" s="171"/>
      <c r="V1455" s="171"/>
      <c r="W1455" s="171"/>
      <c r="X1455" s="171"/>
      <c r="Y1455" s="171"/>
      <c r="Z1455" s="171"/>
      <c r="AA1455" s="171"/>
    </row>
    <row r="1456" spans="1:27" ht="25.5" hidden="1" x14ac:dyDescent="0.2">
      <c r="C1456" s="489" t="s">
        <v>4089</v>
      </c>
      <c r="D1456" s="490"/>
      <c r="G1456" s="491" t="s">
        <v>5069</v>
      </c>
      <c r="H1456" s="397"/>
      <c r="I1456" s="397"/>
      <c r="J1456" s="750"/>
      <c r="K1456" s="398"/>
      <c r="L1456" s="398"/>
      <c r="M1456" s="399"/>
    </row>
    <row r="1457" spans="3:15" hidden="1" x14ac:dyDescent="0.2">
      <c r="C1457" s="489"/>
      <c r="D1457" s="537">
        <v>411</v>
      </c>
      <c r="E1457" s="538"/>
      <c r="F1457" s="538"/>
      <c r="G1457" s="539" t="s">
        <v>135</v>
      </c>
      <c r="H1457" s="397"/>
      <c r="I1457" s="397"/>
      <c r="J1457" s="750"/>
      <c r="K1457" s="398"/>
      <c r="L1457" s="398"/>
      <c r="M1457" s="399"/>
    </row>
    <row r="1458" spans="3:15" hidden="1" x14ac:dyDescent="0.2">
      <c r="F1458" s="494">
        <v>411</v>
      </c>
      <c r="G1458" s="495" t="s">
        <v>4167</v>
      </c>
      <c r="H1458" s="397"/>
      <c r="I1458" s="397"/>
      <c r="J1458" s="750"/>
      <c r="K1458" s="398"/>
      <c r="L1458" s="398"/>
      <c r="M1458" s="399"/>
      <c r="N1458" s="540"/>
      <c r="O1458" s="540"/>
    </row>
    <row r="1459" spans="3:15" hidden="1" x14ac:dyDescent="0.2">
      <c r="F1459" s="494">
        <v>412</v>
      </c>
      <c r="G1459" s="496" t="s">
        <v>3764</v>
      </c>
      <c r="H1459" s="397"/>
      <c r="I1459" s="397"/>
      <c r="J1459" s="750"/>
      <c r="K1459" s="398"/>
      <c r="L1459" s="398"/>
      <c r="M1459" s="399"/>
    </row>
    <row r="1460" spans="3:15" hidden="1" x14ac:dyDescent="0.2">
      <c r="F1460" s="494">
        <v>413</v>
      </c>
      <c r="G1460" s="495" t="s">
        <v>4168</v>
      </c>
      <c r="H1460" s="397"/>
      <c r="I1460" s="397"/>
      <c r="J1460" s="750"/>
      <c r="K1460" s="398"/>
      <c r="L1460" s="398"/>
      <c r="M1460" s="399"/>
    </row>
    <row r="1461" spans="3:15" hidden="1" x14ac:dyDescent="0.2">
      <c r="F1461" s="494">
        <v>414</v>
      </c>
      <c r="G1461" s="495" t="s">
        <v>3767</v>
      </c>
      <c r="H1461" s="397"/>
      <c r="I1461" s="397"/>
      <c r="J1461" s="750"/>
      <c r="K1461" s="398"/>
      <c r="L1461" s="398"/>
      <c r="M1461" s="399"/>
    </row>
    <row r="1462" spans="3:15" hidden="1" x14ac:dyDescent="0.2">
      <c r="F1462" s="494">
        <v>415</v>
      </c>
      <c r="G1462" s="495" t="s">
        <v>4177</v>
      </c>
      <c r="H1462" s="397"/>
      <c r="I1462" s="397"/>
      <c r="J1462" s="750"/>
      <c r="K1462" s="398"/>
      <c r="L1462" s="398"/>
      <c r="M1462" s="399"/>
    </row>
    <row r="1463" spans="3:15" ht="25.5" hidden="1" x14ac:dyDescent="0.2">
      <c r="F1463" s="494">
        <v>416</v>
      </c>
      <c r="G1463" s="495" t="s">
        <v>4178</v>
      </c>
      <c r="H1463" s="397"/>
      <c r="I1463" s="397"/>
      <c r="J1463" s="750"/>
      <c r="K1463" s="398"/>
      <c r="L1463" s="398"/>
      <c r="M1463" s="399"/>
    </row>
    <row r="1464" spans="3:15" hidden="1" x14ac:dyDescent="0.2">
      <c r="F1464" s="494">
        <v>417</v>
      </c>
      <c r="G1464" s="495" t="s">
        <v>4179</v>
      </c>
      <c r="H1464" s="397"/>
      <c r="I1464" s="397"/>
      <c r="J1464" s="750"/>
      <c r="K1464" s="398"/>
      <c r="L1464" s="398"/>
      <c r="M1464" s="399"/>
    </row>
    <row r="1465" spans="3:15" hidden="1" x14ac:dyDescent="0.2">
      <c r="F1465" s="494">
        <v>418</v>
      </c>
      <c r="G1465" s="495" t="s">
        <v>3773</v>
      </c>
      <c r="H1465" s="397"/>
      <c r="I1465" s="397"/>
      <c r="J1465" s="750"/>
      <c r="K1465" s="398"/>
      <c r="L1465" s="398"/>
      <c r="M1465" s="399"/>
    </row>
    <row r="1466" spans="3:15" hidden="1" x14ac:dyDescent="0.2">
      <c r="F1466" s="494">
        <v>421</v>
      </c>
      <c r="G1466" s="495" t="s">
        <v>3777</v>
      </c>
      <c r="H1466" s="397"/>
      <c r="I1466" s="397"/>
      <c r="J1466" s="750"/>
      <c r="K1466" s="398"/>
      <c r="L1466" s="398"/>
      <c r="M1466" s="399"/>
    </row>
    <row r="1467" spans="3:15" hidden="1" x14ac:dyDescent="0.2">
      <c r="F1467" s="494">
        <v>422</v>
      </c>
      <c r="G1467" s="495" t="s">
        <v>3778</v>
      </c>
      <c r="H1467" s="397"/>
      <c r="I1467" s="397"/>
      <c r="J1467" s="750"/>
      <c r="K1467" s="398"/>
      <c r="L1467" s="398"/>
      <c r="M1467" s="399"/>
    </row>
    <row r="1468" spans="3:15" hidden="1" x14ac:dyDescent="0.2">
      <c r="F1468" s="494">
        <v>423</v>
      </c>
      <c r="G1468" s="495" t="s">
        <v>3779</v>
      </c>
      <c r="H1468" s="397"/>
      <c r="I1468" s="397"/>
      <c r="J1468" s="750"/>
      <c r="K1468" s="398"/>
      <c r="L1468" s="398"/>
      <c r="M1468" s="399"/>
    </row>
    <row r="1469" spans="3:15" hidden="1" x14ac:dyDescent="0.2">
      <c r="F1469" s="494">
        <v>424</v>
      </c>
      <c r="G1469" s="495" t="s">
        <v>3781</v>
      </c>
      <c r="H1469" s="397"/>
      <c r="I1469" s="397"/>
      <c r="J1469" s="750"/>
      <c r="K1469" s="398"/>
      <c r="L1469" s="398"/>
      <c r="M1469" s="399"/>
    </row>
    <row r="1470" spans="3:15" hidden="1" x14ac:dyDescent="0.2">
      <c r="F1470" s="494">
        <v>425</v>
      </c>
      <c r="G1470" s="495" t="s">
        <v>4180</v>
      </c>
      <c r="H1470" s="397"/>
      <c r="I1470" s="397"/>
      <c r="J1470" s="750"/>
      <c r="K1470" s="398"/>
      <c r="L1470" s="398"/>
      <c r="M1470" s="399"/>
    </row>
    <row r="1471" spans="3:15" hidden="1" x14ac:dyDescent="0.2">
      <c r="F1471" s="494">
        <v>426</v>
      </c>
      <c r="G1471" s="495" t="s">
        <v>3785</v>
      </c>
      <c r="H1471" s="397"/>
      <c r="I1471" s="397"/>
      <c r="J1471" s="750"/>
      <c r="K1471" s="398"/>
      <c r="L1471" s="398"/>
      <c r="M1471" s="399"/>
    </row>
    <row r="1472" spans="3:15" hidden="1" x14ac:dyDescent="0.2">
      <c r="F1472" s="494">
        <v>431</v>
      </c>
      <c r="G1472" s="495" t="s">
        <v>4181</v>
      </c>
      <c r="H1472" s="397"/>
      <c r="I1472" s="397"/>
      <c r="J1472" s="750"/>
      <c r="K1472" s="398"/>
      <c r="L1472" s="398"/>
      <c r="M1472" s="399"/>
    </row>
    <row r="1473" spans="6:13" hidden="1" x14ac:dyDescent="0.2">
      <c r="F1473" s="494">
        <v>432</v>
      </c>
      <c r="G1473" s="495" t="s">
        <v>4182</v>
      </c>
      <c r="H1473" s="397"/>
      <c r="I1473" s="397"/>
      <c r="J1473" s="750"/>
      <c r="K1473" s="398"/>
      <c r="L1473" s="398"/>
      <c r="M1473" s="399"/>
    </row>
    <row r="1474" spans="6:13" hidden="1" x14ac:dyDescent="0.2">
      <c r="F1474" s="494">
        <v>433</v>
      </c>
      <c r="G1474" s="495" t="s">
        <v>4183</v>
      </c>
      <c r="H1474" s="397"/>
      <c r="I1474" s="397"/>
      <c r="J1474" s="750"/>
      <c r="K1474" s="398"/>
      <c r="L1474" s="398"/>
      <c r="M1474" s="399"/>
    </row>
    <row r="1475" spans="6:13" hidden="1" x14ac:dyDescent="0.2">
      <c r="F1475" s="494">
        <v>434</v>
      </c>
      <c r="G1475" s="495" t="s">
        <v>4184</v>
      </c>
      <c r="H1475" s="397"/>
      <c r="I1475" s="397"/>
      <c r="J1475" s="750"/>
      <c r="K1475" s="398"/>
      <c r="L1475" s="398"/>
      <c r="M1475" s="399"/>
    </row>
    <row r="1476" spans="6:13" hidden="1" x14ac:dyDescent="0.2">
      <c r="F1476" s="494">
        <v>435</v>
      </c>
      <c r="G1476" s="495" t="s">
        <v>3792</v>
      </c>
      <c r="H1476" s="397"/>
      <c r="I1476" s="397"/>
      <c r="J1476" s="750"/>
      <c r="K1476" s="398"/>
      <c r="L1476" s="398"/>
      <c r="M1476" s="399"/>
    </row>
    <row r="1477" spans="6:13" hidden="1" x14ac:dyDescent="0.2">
      <c r="F1477" s="494">
        <v>441</v>
      </c>
      <c r="G1477" s="495" t="s">
        <v>4185</v>
      </c>
      <c r="H1477" s="397"/>
      <c r="I1477" s="397"/>
      <c r="J1477" s="750"/>
      <c r="K1477" s="398"/>
      <c r="L1477" s="398"/>
      <c r="M1477" s="399"/>
    </row>
    <row r="1478" spans="6:13" hidden="1" x14ac:dyDescent="0.2">
      <c r="F1478" s="494">
        <v>442</v>
      </c>
      <c r="G1478" s="495" t="s">
        <v>4186</v>
      </c>
      <c r="H1478" s="397"/>
      <c r="I1478" s="397"/>
      <c r="J1478" s="750"/>
      <c r="K1478" s="398"/>
      <c r="L1478" s="398"/>
      <c r="M1478" s="399"/>
    </row>
    <row r="1479" spans="6:13" hidden="1" x14ac:dyDescent="0.2">
      <c r="F1479" s="494">
        <v>443</v>
      </c>
      <c r="G1479" s="495" t="s">
        <v>3797</v>
      </c>
      <c r="H1479" s="397"/>
      <c r="I1479" s="397"/>
      <c r="J1479" s="750"/>
      <c r="K1479" s="398"/>
      <c r="L1479" s="398"/>
      <c r="M1479" s="399"/>
    </row>
    <row r="1480" spans="6:13" hidden="1" x14ac:dyDescent="0.2">
      <c r="F1480" s="494">
        <v>444</v>
      </c>
      <c r="G1480" s="495" t="s">
        <v>3798</v>
      </c>
      <c r="H1480" s="397"/>
      <c r="I1480" s="397"/>
      <c r="J1480" s="750"/>
      <c r="K1480" s="398"/>
      <c r="L1480" s="398"/>
      <c r="M1480" s="399"/>
    </row>
    <row r="1481" spans="6:13" ht="25.5" hidden="1" x14ac:dyDescent="0.2">
      <c r="F1481" s="494">
        <v>4511</v>
      </c>
      <c r="G1481" s="466" t="s">
        <v>1692</v>
      </c>
      <c r="H1481" s="397"/>
      <c r="I1481" s="397"/>
      <c r="J1481" s="750"/>
      <c r="K1481" s="398"/>
      <c r="L1481" s="398"/>
      <c r="M1481" s="399"/>
    </row>
    <row r="1482" spans="6:13" ht="25.5" hidden="1" x14ac:dyDescent="0.2">
      <c r="F1482" s="494">
        <v>4512</v>
      </c>
      <c r="G1482" s="466" t="s">
        <v>1701</v>
      </c>
      <c r="H1482" s="397"/>
      <c r="I1482" s="397"/>
      <c r="J1482" s="750"/>
      <c r="K1482" s="398"/>
      <c r="L1482" s="398"/>
      <c r="M1482" s="399"/>
    </row>
    <row r="1483" spans="6:13" ht="25.5" hidden="1" x14ac:dyDescent="0.2">
      <c r="F1483" s="494">
        <v>452</v>
      </c>
      <c r="G1483" s="495" t="s">
        <v>4187</v>
      </c>
      <c r="H1483" s="397"/>
      <c r="I1483" s="397"/>
      <c r="J1483" s="750"/>
      <c r="K1483" s="398"/>
      <c r="L1483" s="398"/>
      <c r="M1483" s="399"/>
    </row>
    <row r="1484" spans="6:13" ht="25.5" hidden="1" x14ac:dyDescent="0.2">
      <c r="F1484" s="494">
        <v>453</v>
      </c>
      <c r="G1484" s="495" t="s">
        <v>4188</v>
      </c>
      <c r="H1484" s="397"/>
      <c r="I1484" s="397"/>
      <c r="J1484" s="750"/>
      <c r="K1484" s="398"/>
      <c r="L1484" s="398"/>
      <c r="M1484" s="399"/>
    </row>
    <row r="1485" spans="6:13" hidden="1" x14ac:dyDescent="0.2">
      <c r="F1485" s="494">
        <v>454</v>
      </c>
      <c r="G1485" s="495" t="s">
        <v>3803</v>
      </c>
      <c r="H1485" s="397"/>
      <c r="I1485" s="397"/>
      <c r="J1485" s="750"/>
      <c r="K1485" s="398"/>
      <c r="L1485" s="398"/>
      <c r="M1485" s="399"/>
    </row>
    <row r="1486" spans="6:13" hidden="1" x14ac:dyDescent="0.2">
      <c r="F1486" s="494">
        <v>461</v>
      </c>
      <c r="G1486" s="495" t="s">
        <v>4169</v>
      </c>
      <c r="H1486" s="397"/>
      <c r="I1486" s="397"/>
      <c r="J1486" s="750"/>
      <c r="K1486" s="398"/>
      <c r="L1486" s="398"/>
      <c r="M1486" s="399"/>
    </row>
    <row r="1487" spans="6:13" ht="25.5" hidden="1" x14ac:dyDescent="0.2">
      <c r="F1487" s="494">
        <v>462</v>
      </c>
      <c r="G1487" s="495" t="s">
        <v>3806</v>
      </c>
      <c r="H1487" s="397"/>
      <c r="I1487" s="397"/>
      <c r="J1487" s="750"/>
      <c r="K1487" s="398"/>
      <c r="L1487" s="398"/>
      <c r="M1487" s="399"/>
    </row>
    <row r="1488" spans="6:13" hidden="1" x14ac:dyDescent="0.2">
      <c r="F1488" s="494">
        <v>4631</v>
      </c>
      <c r="G1488" s="495" t="s">
        <v>3807</v>
      </c>
      <c r="H1488" s="397"/>
      <c r="I1488" s="397"/>
      <c r="J1488" s="750"/>
      <c r="K1488" s="398"/>
      <c r="L1488" s="398"/>
      <c r="M1488" s="399"/>
    </row>
    <row r="1489" spans="6:13" hidden="1" x14ac:dyDescent="0.2">
      <c r="F1489" s="494">
        <v>4632</v>
      </c>
      <c r="G1489" s="495" t="s">
        <v>3808</v>
      </c>
      <c r="H1489" s="397"/>
      <c r="I1489" s="397"/>
      <c r="J1489" s="750"/>
      <c r="K1489" s="398"/>
      <c r="L1489" s="398"/>
      <c r="M1489" s="399"/>
    </row>
    <row r="1490" spans="6:13" ht="25.5" hidden="1" x14ac:dyDescent="0.2">
      <c r="F1490" s="494">
        <v>464</v>
      </c>
      <c r="G1490" s="495" t="s">
        <v>3809</v>
      </c>
      <c r="H1490" s="397"/>
      <c r="I1490" s="397"/>
      <c r="J1490" s="750"/>
      <c r="K1490" s="398"/>
      <c r="L1490" s="398"/>
      <c r="M1490" s="399"/>
    </row>
    <row r="1491" spans="6:13" hidden="1" x14ac:dyDescent="0.2">
      <c r="F1491" s="494">
        <v>465</v>
      </c>
      <c r="G1491" s="495" t="s">
        <v>4170</v>
      </c>
      <c r="H1491" s="397"/>
      <c r="I1491" s="397"/>
      <c r="J1491" s="750"/>
      <c r="K1491" s="398"/>
      <c r="L1491" s="398"/>
      <c r="M1491" s="399"/>
    </row>
    <row r="1492" spans="6:13" hidden="1" x14ac:dyDescent="0.2">
      <c r="F1492" s="494">
        <v>472</v>
      </c>
      <c r="G1492" s="495" t="s">
        <v>3813</v>
      </c>
      <c r="H1492" s="397"/>
      <c r="I1492" s="397"/>
      <c r="J1492" s="750"/>
      <c r="K1492" s="398"/>
      <c r="L1492" s="398"/>
      <c r="M1492" s="399"/>
    </row>
    <row r="1493" spans="6:13" hidden="1" x14ac:dyDescent="0.2">
      <c r="F1493" s="494">
        <v>481</v>
      </c>
      <c r="G1493" s="495" t="s">
        <v>4189</v>
      </c>
      <c r="H1493" s="397"/>
      <c r="I1493" s="397"/>
      <c r="J1493" s="750"/>
      <c r="K1493" s="398"/>
      <c r="L1493" s="398"/>
      <c r="M1493" s="399"/>
    </row>
    <row r="1494" spans="6:13" hidden="1" x14ac:dyDescent="0.2">
      <c r="F1494" s="494">
        <v>482</v>
      </c>
      <c r="G1494" s="495" t="s">
        <v>4190</v>
      </c>
      <c r="H1494" s="397"/>
      <c r="I1494" s="397"/>
      <c r="J1494" s="750"/>
      <c r="K1494" s="398"/>
      <c r="L1494" s="398"/>
      <c r="M1494" s="399"/>
    </row>
    <row r="1495" spans="6:13" hidden="1" x14ac:dyDescent="0.2">
      <c r="F1495" s="494">
        <v>483</v>
      </c>
      <c r="G1495" s="497" t="s">
        <v>4191</v>
      </c>
      <c r="H1495" s="397"/>
      <c r="I1495" s="397"/>
      <c r="J1495" s="750"/>
      <c r="K1495" s="398"/>
      <c r="L1495" s="398"/>
      <c r="M1495" s="399"/>
    </row>
    <row r="1496" spans="6:13" ht="38.25" hidden="1" x14ac:dyDescent="0.2">
      <c r="F1496" s="494">
        <v>484</v>
      </c>
      <c r="G1496" s="495" t="s">
        <v>4192</v>
      </c>
      <c r="H1496" s="397"/>
      <c r="I1496" s="397"/>
      <c r="J1496" s="750"/>
      <c r="K1496" s="398"/>
      <c r="L1496" s="398"/>
      <c r="M1496" s="399"/>
    </row>
    <row r="1497" spans="6:13" ht="25.5" hidden="1" x14ac:dyDescent="0.2">
      <c r="F1497" s="494">
        <v>485</v>
      </c>
      <c r="G1497" s="495" t="s">
        <v>4193</v>
      </c>
      <c r="H1497" s="397"/>
      <c r="I1497" s="397"/>
      <c r="J1497" s="750"/>
      <c r="K1497" s="398"/>
      <c r="L1497" s="398"/>
      <c r="M1497" s="399"/>
    </row>
    <row r="1498" spans="6:13" ht="25.5" hidden="1" x14ac:dyDescent="0.2">
      <c r="F1498" s="494">
        <v>489</v>
      </c>
      <c r="G1498" s="495" t="s">
        <v>3821</v>
      </c>
      <c r="H1498" s="397"/>
      <c r="I1498" s="397"/>
      <c r="J1498" s="750"/>
      <c r="K1498" s="398"/>
      <c r="L1498" s="398"/>
      <c r="M1498" s="399"/>
    </row>
    <row r="1499" spans="6:13" ht="25.5" hidden="1" x14ac:dyDescent="0.2">
      <c r="F1499" s="494">
        <v>494</v>
      </c>
      <c r="G1499" s="495" t="s">
        <v>4171</v>
      </c>
      <c r="H1499" s="397"/>
      <c r="I1499" s="397"/>
      <c r="J1499" s="750"/>
      <c r="K1499" s="398"/>
      <c r="L1499" s="398"/>
      <c r="M1499" s="399"/>
    </row>
    <row r="1500" spans="6:13" ht="25.5" hidden="1" x14ac:dyDescent="0.2">
      <c r="F1500" s="494">
        <v>495</v>
      </c>
      <c r="G1500" s="495" t="s">
        <v>4172</v>
      </c>
      <c r="H1500" s="397"/>
      <c r="I1500" s="397"/>
      <c r="J1500" s="750"/>
      <c r="K1500" s="398"/>
      <c r="L1500" s="398"/>
      <c r="M1500" s="399"/>
    </row>
    <row r="1501" spans="6:13" ht="38.25" hidden="1" x14ac:dyDescent="0.2">
      <c r="F1501" s="494">
        <v>496</v>
      </c>
      <c r="G1501" s="495" t="s">
        <v>4173</v>
      </c>
      <c r="H1501" s="397"/>
      <c r="I1501" s="397"/>
      <c r="J1501" s="750"/>
      <c r="K1501" s="398"/>
      <c r="L1501" s="398"/>
      <c r="M1501" s="399"/>
    </row>
    <row r="1502" spans="6:13" ht="25.5" hidden="1" x14ac:dyDescent="0.2">
      <c r="F1502" s="494">
        <v>499</v>
      </c>
      <c r="G1502" s="495" t="s">
        <v>4174</v>
      </c>
      <c r="H1502" s="397"/>
      <c r="I1502" s="397"/>
      <c r="J1502" s="750"/>
      <c r="K1502" s="398"/>
      <c r="L1502" s="398"/>
      <c r="M1502" s="399"/>
    </row>
    <row r="1503" spans="6:13" hidden="1" x14ac:dyDescent="0.2">
      <c r="F1503" s="494">
        <v>511</v>
      </c>
      <c r="G1503" s="497" t="s">
        <v>4194</v>
      </c>
      <c r="H1503" s="397"/>
      <c r="I1503" s="397"/>
      <c r="J1503" s="750"/>
      <c r="K1503" s="398"/>
      <c r="L1503" s="398"/>
      <c r="M1503" s="399"/>
    </row>
    <row r="1504" spans="6:13" hidden="1" x14ac:dyDescent="0.2">
      <c r="F1504" s="494">
        <v>512</v>
      </c>
      <c r="G1504" s="497" t="s">
        <v>4195</v>
      </c>
      <c r="H1504" s="397"/>
      <c r="I1504" s="397"/>
      <c r="J1504" s="750"/>
      <c r="K1504" s="398"/>
      <c r="L1504" s="398"/>
      <c r="M1504" s="399"/>
    </row>
    <row r="1505" spans="5:13" hidden="1" x14ac:dyDescent="0.2">
      <c r="F1505" s="494">
        <v>513</v>
      </c>
      <c r="G1505" s="497" t="s">
        <v>4196</v>
      </c>
      <c r="H1505" s="397"/>
      <c r="I1505" s="397"/>
      <c r="J1505" s="750"/>
      <c r="K1505" s="398"/>
      <c r="L1505" s="398"/>
      <c r="M1505" s="399"/>
    </row>
    <row r="1506" spans="5:13" hidden="1" x14ac:dyDescent="0.2">
      <c r="F1506" s="494">
        <v>514</v>
      </c>
      <c r="G1506" s="495" t="s">
        <v>4197</v>
      </c>
      <c r="H1506" s="397"/>
      <c r="I1506" s="397"/>
      <c r="J1506" s="750"/>
      <c r="K1506" s="398"/>
      <c r="L1506" s="398"/>
      <c r="M1506" s="399"/>
    </row>
    <row r="1507" spans="5:13" hidden="1" x14ac:dyDescent="0.2">
      <c r="F1507" s="494">
        <v>515</v>
      </c>
      <c r="G1507" s="495" t="s">
        <v>3832</v>
      </c>
      <c r="H1507" s="397"/>
      <c r="I1507" s="397"/>
      <c r="J1507" s="750"/>
      <c r="K1507" s="398"/>
      <c r="L1507" s="398"/>
      <c r="M1507" s="399"/>
    </row>
    <row r="1508" spans="5:13" hidden="1" x14ac:dyDescent="0.2">
      <c r="F1508" s="494">
        <v>521</v>
      </c>
      <c r="G1508" s="495" t="s">
        <v>4198</v>
      </c>
      <c r="H1508" s="397"/>
      <c r="I1508" s="397"/>
      <c r="J1508" s="750"/>
      <c r="K1508" s="398"/>
      <c r="L1508" s="398"/>
      <c r="M1508" s="399"/>
    </row>
    <row r="1509" spans="5:13" hidden="1" x14ac:dyDescent="0.2">
      <c r="F1509" s="494">
        <v>522</v>
      </c>
      <c r="G1509" s="495" t="s">
        <v>4199</v>
      </c>
      <c r="H1509" s="397"/>
      <c r="I1509" s="397"/>
      <c r="J1509" s="750"/>
      <c r="K1509" s="398"/>
      <c r="L1509" s="398"/>
      <c r="M1509" s="399"/>
    </row>
    <row r="1510" spans="5:13" hidden="1" x14ac:dyDescent="0.2">
      <c r="F1510" s="494">
        <v>523</v>
      </c>
      <c r="G1510" s="495" t="s">
        <v>3837</v>
      </c>
      <c r="H1510" s="397"/>
      <c r="I1510" s="397"/>
      <c r="J1510" s="750"/>
      <c r="K1510" s="398"/>
      <c r="L1510" s="398"/>
      <c r="M1510" s="399"/>
    </row>
    <row r="1511" spans="5:13" hidden="1" x14ac:dyDescent="0.2">
      <c r="F1511" s="494">
        <v>531</v>
      </c>
      <c r="G1511" s="496" t="s">
        <v>4175</v>
      </c>
      <c r="H1511" s="397"/>
      <c r="I1511" s="397"/>
      <c r="J1511" s="750"/>
      <c r="K1511" s="398"/>
      <c r="L1511" s="398"/>
      <c r="M1511" s="399"/>
    </row>
    <row r="1512" spans="5:13" hidden="1" x14ac:dyDescent="0.2">
      <c r="F1512" s="494">
        <v>541</v>
      </c>
      <c r="G1512" s="495" t="s">
        <v>4200</v>
      </c>
      <c r="H1512" s="397"/>
      <c r="I1512" s="397"/>
      <c r="J1512" s="750"/>
      <c r="K1512" s="398"/>
      <c r="L1512" s="398"/>
      <c r="M1512" s="399"/>
    </row>
    <row r="1513" spans="5:13" hidden="1" x14ac:dyDescent="0.2">
      <c r="F1513" s="494">
        <v>542</v>
      </c>
      <c r="G1513" s="495" t="s">
        <v>4201</v>
      </c>
      <c r="H1513" s="397"/>
      <c r="I1513" s="397"/>
      <c r="J1513" s="750"/>
      <c r="K1513" s="398"/>
      <c r="L1513" s="398"/>
      <c r="M1513" s="399"/>
    </row>
    <row r="1514" spans="5:13" hidden="1" x14ac:dyDescent="0.2">
      <c r="F1514" s="494">
        <v>543</v>
      </c>
      <c r="G1514" s="495" t="s">
        <v>3842</v>
      </c>
      <c r="H1514" s="397"/>
      <c r="I1514" s="397"/>
      <c r="J1514" s="750"/>
      <c r="K1514" s="398"/>
      <c r="L1514" s="398"/>
      <c r="M1514" s="399"/>
    </row>
    <row r="1515" spans="5:13" ht="38.25" hidden="1" x14ac:dyDescent="0.2">
      <c r="F1515" s="494">
        <v>551</v>
      </c>
      <c r="G1515" s="495" t="s">
        <v>4176</v>
      </c>
      <c r="H1515" s="397"/>
      <c r="I1515" s="397"/>
      <c r="J1515" s="750"/>
      <c r="K1515" s="398"/>
      <c r="L1515" s="398"/>
      <c r="M1515" s="399"/>
    </row>
    <row r="1516" spans="5:13" hidden="1" x14ac:dyDescent="0.2">
      <c r="F1516" s="498">
        <v>611</v>
      </c>
      <c r="G1516" s="499" t="s">
        <v>3848</v>
      </c>
      <c r="H1516" s="397"/>
      <c r="I1516" s="397"/>
      <c r="J1516" s="750"/>
      <c r="K1516" s="398"/>
      <c r="L1516" s="398"/>
      <c r="M1516" s="399"/>
    </row>
    <row r="1517" spans="5:13" hidden="1" x14ac:dyDescent="0.2">
      <c r="F1517" s="498">
        <v>620</v>
      </c>
      <c r="G1517" s="499" t="s">
        <v>88</v>
      </c>
      <c r="H1517" s="397"/>
      <c r="I1517" s="397"/>
      <c r="J1517" s="750"/>
      <c r="K1517" s="398"/>
      <c r="L1517" s="398"/>
      <c r="M1517" s="399"/>
    </row>
    <row r="1518" spans="5:13" hidden="1" x14ac:dyDescent="0.2">
      <c r="E1518" s="500"/>
      <c r="F1518" s="498"/>
      <c r="G1518" s="501" t="s">
        <v>4348</v>
      </c>
      <c r="H1518" s="400"/>
      <c r="I1518" s="400"/>
      <c r="J1518" s="750"/>
      <c r="K1518" s="401"/>
      <c r="L1518" s="402"/>
      <c r="M1518" s="399"/>
    </row>
    <row r="1519" spans="5:13" hidden="1" x14ac:dyDescent="0.2">
      <c r="E1519" s="502"/>
      <c r="F1519" s="503" t="s">
        <v>234</v>
      </c>
      <c r="G1519" s="504" t="s">
        <v>235</v>
      </c>
      <c r="H1519" s="403">
        <f>SUM(H1458:H1517)</f>
        <v>0</v>
      </c>
      <c r="I1519" s="403"/>
      <c r="J1519" s="750"/>
      <c r="K1519" s="404"/>
      <c r="L1519" s="404"/>
      <c r="M1519" s="399"/>
    </row>
    <row r="1520" spans="5:13" hidden="1" x14ac:dyDescent="0.2">
      <c r="F1520" s="503" t="s">
        <v>236</v>
      </c>
      <c r="G1520" s="504" t="s">
        <v>237</v>
      </c>
      <c r="H1520" s="397"/>
      <c r="I1520" s="397"/>
      <c r="J1520" s="750"/>
      <c r="K1520" s="398"/>
      <c r="L1520" s="404"/>
      <c r="M1520" s="399"/>
    </row>
    <row r="1521" spans="5:13" hidden="1" x14ac:dyDescent="0.2">
      <c r="F1521" s="503" t="s">
        <v>238</v>
      </c>
      <c r="G1521" s="504" t="s">
        <v>239</v>
      </c>
      <c r="H1521" s="397"/>
      <c r="I1521" s="397"/>
      <c r="J1521" s="750"/>
      <c r="K1521" s="398"/>
      <c r="L1521" s="404"/>
      <c r="M1521" s="399"/>
    </row>
    <row r="1522" spans="5:13" hidden="1" x14ac:dyDescent="0.2">
      <c r="F1522" s="503" t="s">
        <v>240</v>
      </c>
      <c r="G1522" s="504" t="s">
        <v>241</v>
      </c>
      <c r="H1522" s="397"/>
      <c r="I1522" s="397"/>
      <c r="J1522" s="750"/>
      <c r="K1522" s="398"/>
      <c r="L1522" s="404"/>
      <c r="M1522" s="399"/>
    </row>
    <row r="1523" spans="5:13" hidden="1" x14ac:dyDescent="0.2">
      <c r="F1523" s="503" t="s">
        <v>242</v>
      </c>
      <c r="G1523" s="504" t="s">
        <v>243</v>
      </c>
      <c r="H1523" s="397"/>
      <c r="I1523" s="397"/>
      <c r="J1523" s="750"/>
      <c r="K1523" s="398"/>
      <c r="L1523" s="404"/>
      <c r="M1523" s="399"/>
    </row>
    <row r="1524" spans="5:13" hidden="1" x14ac:dyDescent="0.2">
      <c r="F1524" s="503" t="s">
        <v>244</v>
      </c>
      <c r="G1524" s="504" t="s">
        <v>245</v>
      </c>
      <c r="H1524" s="397"/>
      <c r="I1524" s="397"/>
      <c r="J1524" s="750"/>
      <c r="K1524" s="398"/>
      <c r="L1524" s="404"/>
      <c r="M1524" s="399"/>
    </row>
    <row r="1525" spans="5:13" hidden="1" x14ac:dyDescent="0.2">
      <c r="F1525" s="503" t="s">
        <v>246</v>
      </c>
      <c r="G1525" s="504" t="s">
        <v>247</v>
      </c>
      <c r="H1525" s="397"/>
      <c r="I1525" s="397"/>
      <c r="J1525" s="750"/>
      <c r="K1525" s="398"/>
      <c r="L1525" s="404"/>
      <c r="M1525" s="399"/>
    </row>
    <row r="1526" spans="5:13" ht="25.5" hidden="1" x14ac:dyDescent="0.2">
      <c r="F1526" s="503" t="s">
        <v>248</v>
      </c>
      <c r="G1526" s="504" t="s">
        <v>249</v>
      </c>
      <c r="H1526" s="397"/>
      <c r="I1526" s="397"/>
      <c r="J1526" s="750"/>
      <c r="K1526" s="398"/>
      <c r="L1526" s="404"/>
      <c r="M1526" s="399"/>
    </row>
    <row r="1527" spans="5:13" hidden="1" x14ac:dyDescent="0.2">
      <c r="F1527" s="503" t="s">
        <v>250</v>
      </c>
      <c r="G1527" s="504" t="s">
        <v>57</v>
      </c>
      <c r="H1527" s="397"/>
      <c r="I1527" s="397"/>
      <c r="J1527" s="750"/>
      <c r="K1527" s="398"/>
      <c r="L1527" s="404"/>
      <c r="M1527" s="399"/>
    </row>
    <row r="1528" spans="5:13" hidden="1" x14ac:dyDescent="0.2">
      <c r="F1528" s="503" t="s">
        <v>251</v>
      </c>
      <c r="G1528" s="504" t="s">
        <v>252</v>
      </c>
      <c r="H1528" s="397"/>
      <c r="I1528" s="397"/>
      <c r="J1528" s="750"/>
      <c r="K1528" s="398"/>
      <c r="L1528" s="404"/>
      <c r="M1528" s="399"/>
    </row>
    <row r="1529" spans="5:13" hidden="1" x14ac:dyDescent="0.2">
      <c r="F1529" s="503" t="s">
        <v>253</v>
      </c>
      <c r="G1529" s="504" t="s">
        <v>254</v>
      </c>
      <c r="H1529" s="397"/>
      <c r="I1529" s="397"/>
      <c r="J1529" s="750"/>
      <c r="K1529" s="398"/>
      <c r="L1529" s="404"/>
      <c r="M1529" s="399"/>
    </row>
    <row r="1530" spans="5:13" ht="25.5" hidden="1" x14ac:dyDescent="0.2">
      <c r="F1530" s="503" t="s">
        <v>255</v>
      </c>
      <c r="G1530" s="504" t="s">
        <v>256</v>
      </c>
      <c r="H1530" s="397"/>
      <c r="I1530" s="397"/>
      <c r="J1530" s="750"/>
      <c r="K1530" s="398"/>
      <c r="L1530" s="404"/>
      <c r="M1530" s="399"/>
    </row>
    <row r="1531" spans="5:13" ht="25.5" hidden="1" x14ac:dyDescent="0.2">
      <c r="F1531" s="503" t="s">
        <v>257</v>
      </c>
      <c r="G1531" s="504" t="s">
        <v>258</v>
      </c>
      <c r="H1531" s="397"/>
      <c r="I1531" s="397"/>
      <c r="J1531" s="750"/>
      <c r="K1531" s="398"/>
      <c r="L1531" s="404"/>
      <c r="M1531" s="399"/>
    </row>
    <row r="1532" spans="5:13" ht="25.5" hidden="1" x14ac:dyDescent="0.2">
      <c r="F1532" s="503" t="s">
        <v>259</v>
      </c>
      <c r="G1532" s="504" t="s">
        <v>260</v>
      </c>
      <c r="H1532" s="397"/>
      <c r="I1532" s="397"/>
      <c r="J1532" s="750"/>
      <c r="K1532" s="398"/>
      <c r="L1532" s="404"/>
      <c r="M1532" s="399"/>
    </row>
    <row r="1533" spans="5:13" ht="25.5" hidden="1" x14ac:dyDescent="0.2">
      <c r="F1533" s="503" t="s">
        <v>261</v>
      </c>
      <c r="G1533" s="504" t="s">
        <v>262</v>
      </c>
      <c r="H1533" s="397"/>
      <c r="I1533" s="397"/>
      <c r="J1533" s="750"/>
      <c r="K1533" s="398"/>
      <c r="L1533" s="404"/>
      <c r="M1533" s="399"/>
    </row>
    <row r="1534" spans="5:13" hidden="1" x14ac:dyDescent="0.2">
      <c r="F1534" s="503" t="s">
        <v>263</v>
      </c>
      <c r="G1534" s="504" t="s">
        <v>264</v>
      </c>
      <c r="H1534" s="403"/>
      <c r="I1534" s="403"/>
      <c r="J1534" s="750"/>
      <c r="K1534" s="404"/>
      <c r="L1534" s="404"/>
      <c r="M1534" s="399"/>
    </row>
    <row r="1535" spans="5:13" ht="13.5" hidden="1" thickBot="1" x14ac:dyDescent="0.25">
      <c r="G1535" s="505" t="s">
        <v>4349</v>
      </c>
      <c r="H1535" s="405">
        <f>SUM(H1519:H1534)</f>
        <v>0</v>
      </c>
      <c r="I1535" s="405"/>
      <c r="J1535" s="750"/>
      <c r="K1535" s="406">
        <f>SUM(K1520:K1534)</f>
        <v>0</v>
      </c>
      <c r="L1535" s="406"/>
      <c r="M1535" s="399"/>
    </row>
    <row r="1536" spans="5:13" ht="25.5" hidden="1" collapsed="1" x14ac:dyDescent="0.2">
      <c r="E1536" s="500"/>
      <c r="F1536" s="498"/>
      <c r="G1536" s="506" t="s">
        <v>4262</v>
      </c>
      <c r="H1536" s="407"/>
      <c r="I1536" s="408"/>
      <c r="J1536" s="750"/>
      <c r="K1536" s="409"/>
      <c r="L1536" s="410"/>
      <c r="M1536" s="399"/>
    </row>
    <row r="1537" spans="5:13" hidden="1" x14ac:dyDescent="0.2">
      <c r="E1537" s="502"/>
      <c r="F1537" s="503" t="s">
        <v>234</v>
      </c>
      <c r="G1537" s="504" t="s">
        <v>235</v>
      </c>
      <c r="H1537" s="403">
        <f>SUM(H1458:H1517)</f>
        <v>0</v>
      </c>
      <c r="I1537" s="403"/>
      <c r="J1537" s="750"/>
      <c r="K1537" s="404"/>
      <c r="L1537" s="404"/>
      <c r="M1537" s="399"/>
    </row>
    <row r="1538" spans="5:13" hidden="1" x14ac:dyDescent="0.2">
      <c r="F1538" s="503" t="s">
        <v>236</v>
      </c>
      <c r="G1538" s="504" t="s">
        <v>237</v>
      </c>
      <c r="H1538" s="397"/>
      <c r="I1538" s="397"/>
      <c r="J1538" s="750"/>
      <c r="K1538" s="398"/>
      <c r="L1538" s="404"/>
      <c r="M1538" s="399"/>
    </row>
    <row r="1539" spans="5:13" hidden="1" x14ac:dyDescent="0.2">
      <c r="F1539" s="503" t="s">
        <v>238</v>
      </c>
      <c r="G1539" s="504" t="s">
        <v>239</v>
      </c>
      <c r="H1539" s="397"/>
      <c r="I1539" s="397"/>
      <c r="J1539" s="750"/>
      <c r="K1539" s="398"/>
      <c r="L1539" s="404"/>
      <c r="M1539" s="399"/>
    </row>
    <row r="1540" spans="5:13" hidden="1" x14ac:dyDescent="0.2">
      <c r="F1540" s="503" t="s">
        <v>240</v>
      </c>
      <c r="G1540" s="504" t="s">
        <v>241</v>
      </c>
      <c r="H1540" s="397"/>
      <c r="I1540" s="397"/>
      <c r="J1540" s="750"/>
      <c r="K1540" s="398"/>
      <c r="L1540" s="404"/>
      <c r="M1540" s="399"/>
    </row>
    <row r="1541" spans="5:13" hidden="1" x14ac:dyDescent="0.2">
      <c r="F1541" s="503" t="s">
        <v>242</v>
      </c>
      <c r="G1541" s="504" t="s">
        <v>243</v>
      </c>
      <c r="H1541" s="397"/>
      <c r="I1541" s="397"/>
      <c r="J1541" s="750"/>
      <c r="K1541" s="398"/>
      <c r="L1541" s="404"/>
      <c r="M1541" s="399"/>
    </row>
    <row r="1542" spans="5:13" hidden="1" x14ac:dyDescent="0.2">
      <c r="F1542" s="503" t="s">
        <v>244</v>
      </c>
      <c r="G1542" s="504" t="s">
        <v>245</v>
      </c>
      <c r="H1542" s="397"/>
      <c r="I1542" s="397"/>
      <c r="J1542" s="750"/>
      <c r="K1542" s="398"/>
      <c r="L1542" s="404"/>
      <c r="M1542" s="399"/>
    </row>
    <row r="1543" spans="5:13" hidden="1" x14ac:dyDescent="0.2">
      <c r="F1543" s="503" t="s">
        <v>246</v>
      </c>
      <c r="G1543" s="504" t="s">
        <v>247</v>
      </c>
      <c r="H1543" s="397"/>
      <c r="I1543" s="397"/>
      <c r="J1543" s="750"/>
      <c r="K1543" s="398"/>
      <c r="L1543" s="404"/>
      <c r="M1543" s="399"/>
    </row>
    <row r="1544" spans="5:13" ht="25.5" hidden="1" x14ac:dyDescent="0.2">
      <c r="F1544" s="503" t="s">
        <v>248</v>
      </c>
      <c r="G1544" s="504" t="s">
        <v>249</v>
      </c>
      <c r="H1544" s="397"/>
      <c r="I1544" s="397"/>
      <c r="J1544" s="750"/>
      <c r="K1544" s="398"/>
      <c r="L1544" s="404"/>
      <c r="M1544" s="399"/>
    </row>
    <row r="1545" spans="5:13" hidden="1" x14ac:dyDescent="0.2">
      <c r="F1545" s="503" t="s">
        <v>250</v>
      </c>
      <c r="G1545" s="504" t="s">
        <v>57</v>
      </c>
      <c r="H1545" s="397"/>
      <c r="I1545" s="397"/>
      <c r="J1545" s="750"/>
      <c r="K1545" s="398"/>
      <c r="L1545" s="404"/>
      <c r="M1545" s="399"/>
    </row>
    <row r="1546" spans="5:13" hidden="1" x14ac:dyDescent="0.2">
      <c r="F1546" s="503" t="s">
        <v>251</v>
      </c>
      <c r="G1546" s="504" t="s">
        <v>252</v>
      </c>
      <c r="H1546" s="397"/>
      <c r="I1546" s="397"/>
      <c r="J1546" s="750"/>
      <c r="K1546" s="398"/>
      <c r="L1546" s="404"/>
      <c r="M1546" s="399"/>
    </row>
    <row r="1547" spans="5:13" hidden="1" x14ac:dyDescent="0.2">
      <c r="F1547" s="503" t="s">
        <v>253</v>
      </c>
      <c r="G1547" s="504" t="s">
        <v>254</v>
      </c>
      <c r="H1547" s="397"/>
      <c r="I1547" s="397"/>
      <c r="J1547" s="750"/>
      <c r="K1547" s="398"/>
      <c r="L1547" s="404"/>
      <c r="M1547" s="399"/>
    </row>
    <row r="1548" spans="5:13" ht="25.5" hidden="1" x14ac:dyDescent="0.2">
      <c r="F1548" s="503" t="s">
        <v>255</v>
      </c>
      <c r="G1548" s="504" t="s">
        <v>256</v>
      </c>
      <c r="H1548" s="397"/>
      <c r="I1548" s="397"/>
      <c r="J1548" s="750"/>
      <c r="K1548" s="398"/>
      <c r="L1548" s="404"/>
      <c r="M1548" s="399"/>
    </row>
    <row r="1549" spans="5:13" ht="25.5" hidden="1" x14ac:dyDescent="0.2">
      <c r="F1549" s="503" t="s">
        <v>257</v>
      </c>
      <c r="G1549" s="504" t="s">
        <v>258</v>
      </c>
      <c r="H1549" s="397"/>
      <c r="I1549" s="397"/>
      <c r="J1549" s="750"/>
      <c r="K1549" s="398"/>
      <c r="L1549" s="404"/>
      <c r="M1549" s="399"/>
    </row>
    <row r="1550" spans="5:13" ht="25.5" hidden="1" x14ac:dyDescent="0.2">
      <c r="F1550" s="503" t="s">
        <v>259</v>
      </c>
      <c r="G1550" s="504" t="s">
        <v>260</v>
      </c>
      <c r="H1550" s="397"/>
      <c r="I1550" s="397"/>
      <c r="J1550" s="750"/>
      <c r="K1550" s="398"/>
      <c r="L1550" s="404"/>
      <c r="M1550" s="399"/>
    </row>
    <row r="1551" spans="5:13" ht="25.5" hidden="1" x14ac:dyDescent="0.2">
      <c r="F1551" s="503" t="s">
        <v>261</v>
      </c>
      <c r="G1551" s="504" t="s">
        <v>262</v>
      </c>
      <c r="H1551" s="397"/>
      <c r="I1551" s="397"/>
      <c r="J1551" s="750"/>
      <c r="K1551" s="398"/>
      <c r="L1551" s="404"/>
      <c r="M1551" s="399"/>
    </row>
    <row r="1552" spans="5:13" hidden="1" x14ac:dyDescent="0.2">
      <c r="F1552" s="503" t="s">
        <v>263</v>
      </c>
      <c r="G1552" s="504" t="s">
        <v>264</v>
      </c>
      <c r="H1552" s="403"/>
      <c r="I1552" s="403"/>
      <c r="J1552" s="750"/>
      <c r="K1552" s="404"/>
      <c r="L1552" s="404"/>
      <c r="M1552" s="399"/>
    </row>
    <row r="1553" spans="1:27" ht="13.5" hidden="1" collapsed="1" thickBot="1" x14ac:dyDescent="0.25">
      <c r="G1553" s="505" t="s">
        <v>4263</v>
      </c>
      <c r="H1553" s="405">
        <f>SUM(H1537:H1552)</f>
        <v>0</v>
      </c>
      <c r="I1553" s="405"/>
      <c r="J1553" s="750"/>
      <c r="K1553" s="406">
        <f>SUM(K1538:K1552)</f>
        <v>0</v>
      </c>
      <c r="L1553" s="406"/>
      <c r="M1553" s="399"/>
    </row>
    <row r="1554" spans="1:27" s="530" customFormat="1" hidden="1" x14ac:dyDescent="0.2">
      <c r="A1554" s="526"/>
      <c r="B1554" s="527"/>
      <c r="C1554" s="541"/>
      <c r="E1554" s="535"/>
      <c r="F1554" s="167"/>
      <c r="G1554" s="177"/>
      <c r="H1554" s="422"/>
      <c r="I1554" s="422"/>
      <c r="J1554" s="750"/>
      <c r="K1554" s="423"/>
      <c r="L1554" s="424"/>
      <c r="M1554" s="399"/>
      <c r="N1554" s="171"/>
      <c r="O1554" s="171"/>
      <c r="P1554" s="169"/>
      <c r="Q1554" s="171"/>
      <c r="R1554" s="171"/>
      <c r="S1554" s="171"/>
      <c r="T1554" s="171"/>
      <c r="U1554" s="171"/>
      <c r="V1554" s="171"/>
      <c r="W1554" s="171"/>
      <c r="X1554" s="171"/>
      <c r="Y1554" s="171"/>
      <c r="Z1554" s="171"/>
      <c r="AA1554" s="171"/>
    </row>
    <row r="1555" spans="1:27" hidden="1" x14ac:dyDescent="0.2">
      <c r="C1555" s="489" t="s">
        <v>4554</v>
      </c>
      <c r="D1555" s="490"/>
      <c r="G1555" s="491" t="s">
        <v>5070</v>
      </c>
      <c r="H1555" s="397"/>
      <c r="I1555" s="397"/>
      <c r="J1555" s="750"/>
      <c r="K1555" s="398"/>
      <c r="L1555" s="398"/>
      <c r="M1555" s="399"/>
    </row>
    <row r="1556" spans="1:27" hidden="1" x14ac:dyDescent="0.2">
      <c r="C1556" s="489"/>
      <c r="D1556" s="537">
        <v>411</v>
      </c>
      <c r="E1556" s="538"/>
      <c r="F1556" s="538"/>
      <c r="G1556" s="539" t="s">
        <v>135</v>
      </c>
      <c r="H1556" s="397"/>
      <c r="I1556" s="397"/>
      <c r="J1556" s="750"/>
      <c r="K1556" s="398"/>
      <c r="L1556" s="398"/>
      <c r="M1556" s="399"/>
    </row>
    <row r="1557" spans="1:27" hidden="1" x14ac:dyDescent="0.2">
      <c r="F1557" s="494">
        <v>411</v>
      </c>
      <c r="G1557" s="495" t="s">
        <v>4167</v>
      </c>
      <c r="H1557" s="397"/>
      <c r="I1557" s="397"/>
      <c r="J1557" s="750"/>
      <c r="K1557" s="398"/>
      <c r="L1557" s="398"/>
      <c r="M1557" s="399"/>
      <c r="N1557" s="540"/>
      <c r="O1557" s="540"/>
    </row>
    <row r="1558" spans="1:27" hidden="1" x14ac:dyDescent="0.2">
      <c r="F1558" s="494">
        <v>412</v>
      </c>
      <c r="G1558" s="496" t="s">
        <v>3764</v>
      </c>
      <c r="H1558" s="397"/>
      <c r="I1558" s="397"/>
      <c r="J1558" s="750"/>
      <c r="K1558" s="398"/>
      <c r="L1558" s="398"/>
      <c r="M1558" s="399"/>
    </row>
    <row r="1559" spans="1:27" hidden="1" x14ac:dyDescent="0.2">
      <c r="F1559" s="494">
        <v>413</v>
      </c>
      <c r="G1559" s="495" t="s">
        <v>4168</v>
      </c>
      <c r="H1559" s="397"/>
      <c r="I1559" s="397"/>
      <c r="J1559" s="750"/>
      <c r="K1559" s="398"/>
      <c r="L1559" s="398"/>
      <c r="M1559" s="399"/>
    </row>
    <row r="1560" spans="1:27" hidden="1" x14ac:dyDescent="0.2">
      <c r="F1560" s="494">
        <v>414</v>
      </c>
      <c r="G1560" s="495" t="s">
        <v>3767</v>
      </c>
      <c r="H1560" s="397"/>
      <c r="I1560" s="397"/>
      <c r="J1560" s="750"/>
      <c r="K1560" s="398"/>
      <c r="L1560" s="398"/>
      <c r="M1560" s="399"/>
    </row>
    <row r="1561" spans="1:27" hidden="1" x14ac:dyDescent="0.2">
      <c r="F1561" s="494">
        <v>415</v>
      </c>
      <c r="G1561" s="495" t="s">
        <v>4177</v>
      </c>
      <c r="H1561" s="397"/>
      <c r="I1561" s="397"/>
      <c r="J1561" s="750"/>
      <c r="K1561" s="398"/>
      <c r="L1561" s="398"/>
      <c r="M1561" s="399"/>
    </row>
    <row r="1562" spans="1:27" ht="25.5" hidden="1" x14ac:dyDescent="0.2">
      <c r="F1562" s="494">
        <v>416</v>
      </c>
      <c r="G1562" s="495" t="s">
        <v>4178</v>
      </c>
      <c r="H1562" s="397"/>
      <c r="I1562" s="397"/>
      <c r="J1562" s="750"/>
      <c r="K1562" s="398"/>
      <c r="L1562" s="398"/>
      <c r="M1562" s="399"/>
    </row>
    <row r="1563" spans="1:27" hidden="1" x14ac:dyDescent="0.2">
      <c r="F1563" s="494">
        <v>417</v>
      </c>
      <c r="G1563" s="495" t="s">
        <v>4179</v>
      </c>
      <c r="H1563" s="397"/>
      <c r="I1563" s="397"/>
      <c r="J1563" s="750"/>
      <c r="K1563" s="398"/>
      <c r="L1563" s="398"/>
      <c r="M1563" s="399"/>
    </row>
    <row r="1564" spans="1:27" hidden="1" x14ac:dyDescent="0.2">
      <c r="F1564" s="494">
        <v>418</v>
      </c>
      <c r="G1564" s="495" t="s">
        <v>3773</v>
      </c>
      <c r="H1564" s="397"/>
      <c r="I1564" s="397"/>
      <c r="J1564" s="750"/>
      <c r="K1564" s="398"/>
      <c r="L1564" s="398"/>
      <c r="M1564" s="399"/>
    </row>
    <row r="1565" spans="1:27" hidden="1" x14ac:dyDescent="0.2">
      <c r="F1565" s="494">
        <v>421</v>
      </c>
      <c r="G1565" s="495" t="s">
        <v>3777</v>
      </c>
      <c r="H1565" s="397"/>
      <c r="I1565" s="397"/>
      <c r="J1565" s="750"/>
      <c r="K1565" s="398"/>
      <c r="L1565" s="398"/>
      <c r="M1565" s="399"/>
    </row>
    <row r="1566" spans="1:27" hidden="1" x14ac:dyDescent="0.2">
      <c r="F1566" s="494">
        <v>422</v>
      </c>
      <c r="G1566" s="495" t="s">
        <v>3778</v>
      </c>
      <c r="H1566" s="397"/>
      <c r="I1566" s="397"/>
      <c r="J1566" s="750"/>
      <c r="K1566" s="398"/>
      <c r="L1566" s="398"/>
      <c r="M1566" s="399"/>
    </row>
    <row r="1567" spans="1:27" hidden="1" x14ac:dyDescent="0.2">
      <c r="F1567" s="494">
        <v>423</v>
      </c>
      <c r="G1567" s="495" t="s">
        <v>3779</v>
      </c>
      <c r="H1567" s="397"/>
      <c r="I1567" s="397"/>
      <c r="J1567" s="750"/>
      <c r="K1567" s="398"/>
      <c r="L1567" s="398"/>
      <c r="M1567" s="399"/>
    </row>
    <row r="1568" spans="1:27" hidden="1" x14ac:dyDescent="0.2">
      <c r="F1568" s="494">
        <v>424</v>
      </c>
      <c r="G1568" s="495" t="s">
        <v>3781</v>
      </c>
      <c r="H1568" s="397"/>
      <c r="I1568" s="397"/>
      <c r="J1568" s="750"/>
      <c r="K1568" s="398"/>
      <c r="L1568" s="398"/>
      <c r="M1568" s="399"/>
    </row>
    <row r="1569" spans="6:13" hidden="1" x14ac:dyDescent="0.2">
      <c r="F1569" s="494">
        <v>425</v>
      </c>
      <c r="G1569" s="495" t="s">
        <v>4180</v>
      </c>
      <c r="H1569" s="397"/>
      <c r="I1569" s="397"/>
      <c r="J1569" s="750"/>
      <c r="K1569" s="398"/>
      <c r="L1569" s="398"/>
      <c r="M1569" s="399"/>
    </row>
    <row r="1570" spans="6:13" hidden="1" x14ac:dyDescent="0.2">
      <c r="F1570" s="494">
        <v>426</v>
      </c>
      <c r="G1570" s="495" t="s">
        <v>3785</v>
      </c>
      <c r="H1570" s="397"/>
      <c r="I1570" s="397"/>
      <c r="J1570" s="750"/>
      <c r="K1570" s="398"/>
      <c r="L1570" s="398"/>
      <c r="M1570" s="399"/>
    </row>
    <row r="1571" spans="6:13" hidden="1" x14ac:dyDescent="0.2">
      <c r="F1571" s="494">
        <v>431</v>
      </c>
      <c r="G1571" s="495" t="s">
        <v>4181</v>
      </c>
      <c r="H1571" s="397"/>
      <c r="I1571" s="397"/>
      <c r="J1571" s="750"/>
      <c r="K1571" s="398"/>
      <c r="L1571" s="398"/>
      <c r="M1571" s="399"/>
    </row>
    <row r="1572" spans="6:13" hidden="1" x14ac:dyDescent="0.2">
      <c r="F1572" s="494">
        <v>432</v>
      </c>
      <c r="G1572" s="495" t="s">
        <v>4182</v>
      </c>
      <c r="H1572" s="397"/>
      <c r="I1572" s="397"/>
      <c r="J1572" s="750"/>
      <c r="K1572" s="398"/>
      <c r="L1572" s="398"/>
      <c r="M1572" s="399"/>
    </row>
    <row r="1573" spans="6:13" hidden="1" x14ac:dyDescent="0.2">
      <c r="F1573" s="494">
        <v>433</v>
      </c>
      <c r="G1573" s="495" t="s">
        <v>4183</v>
      </c>
      <c r="H1573" s="397"/>
      <c r="I1573" s="397"/>
      <c r="J1573" s="750"/>
      <c r="K1573" s="398"/>
      <c r="L1573" s="398"/>
      <c r="M1573" s="399"/>
    </row>
    <row r="1574" spans="6:13" hidden="1" x14ac:dyDescent="0.2">
      <c r="F1574" s="494">
        <v>434</v>
      </c>
      <c r="G1574" s="495" t="s">
        <v>4184</v>
      </c>
      <c r="H1574" s="397"/>
      <c r="I1574" s="397"/>
      <c r="J1574" s="750"/>
      <c r="K1574" s="398"/>
      <c r="L1574" s="398"/>
      <c r="M1574" s="399"/>
    </row>
    <row r="1575" spans="6:13" hidden="1" x14ac:dyDescent="0.2">
      <c r="F1575" s="494">
        <v>435</v>
      </c>
      <c r="G1575" s="495" t="s">
        <v>3792</v>
      </c>
      <c r="H1575" s="397"/>
      <c r="I1575" s="397"/>
      <c r="J1575" s="750"/>
      <c r="K1575" s="398"/>
      <c r="L1575" s="398"/>
      <c r="M1575" s="399"/>
    </row>
    <row r="1576" spans="6:13" hidden="1" x14ac:dyDescent="0.2">
      <c r="F1576" s="494">
        <v>441</v>
      </c>
      <c r="G1576" s="495" t="s">
        <v>4185</v>
      </c>
      <c r="H1576" s="397"/>
      <c r="I1576" s="397"/>
      <c r="J1576" s="750"/>
      <c r="K1576" s="398"/>
      <c r="L1576" s="398"/>
      <c r="M1576" s="399"/>
    </row>
    <row r="1577" spans="6:13" hidden="1" x14ac:dyDescent="0.2">
      <c r="F1577" s="494">
        <v>442</v>
      </c>
      <c r="G1577" s="495" t="s">
        <v>4186</v>
      </c>
      <c r="H1577" s="397"/>
      <c r="I1577" s="397"/>
      <c r="J1577" s="750"/>
      <c r="K1577" s="398"/>
      <c r="L1577" s="398"/>
      <c r="M1577" s="399"/>
    </row>
    <row r="1578" spans="6:13" hidden="1" x14ac:dyDescent="0.2">
      <c r="F1578" s="494">
        <v>443</v>
      </c>
      <c r="G1578" s="495" t="s">
        <v>3797</v>
      </c>
      <c r="H1578" s="397"/>
      <c r="I1578" s="397"/>
      <c r="J1578" s="750"/>
      <c r="K1578" s="398"/>
      <c r="L1578" s="398"/>
      <c r="M1578" s="399"/>
    </row>
    <row r="1579" spans="6:13" hidden="1" x14ac:dyDescent="0.2">
      <c r="F1579" s="494">
        <v>444</v>
      </c>
      <c r="G1579" s="495" t="s">
        <v>3798</v>
      </c>
      <c r="H1579" s="397"/>
      <c r="I1579" s="397"/>
      <c r="J1579" s="750"/>
      <c r="K1579" s="398"/>
      <c r="L1579" s="398"/>
      <c r="M1579" s="399"/>
    </row>
    <row r="1580" spans="6:13" ht="25.5" hidden="1" x14ac:dyDescent="0.2">
      <c r="F1580" s="494">
        <v>4511</v>
      </c>
      <c r="G1580" s="466" t="s">
        <v>1692</v>
      </c>
      <c r="H1580" s="397"/>
      <c r="I1580" s="397"/>
      <c r="J1580" s="750"/>
      <c r="K1580" s="398"/>
      <c r="L1580" s="398"/>
      <c r="M1580" s="399"/>
    </row>
    <row r="1581" spans="6:13" ht="25.5" hidden="1" x14ac:dyDescent="0.2">
      <c r="F1581" s="494">
        <v>4512</v>
      </c>
      <c r="G1581" s="466" t="s">
        <v>1701</v>
      </c>
      <c r="H1581" s="397"/>
      <c r="I1581" s="397"/>
      <c r="J1581" s="750"/>
      <c r="K1581" s="398"/>
      <c r="L1581" s="398"/>
      <c r="M1581" s="399"/>
    </row>
    <row r="1582" spans="6:13" ht="25.5" hidden="1" x14ac:dyDescent="0.2">
      <c r="F1582" s="494">
        <v>452</v>
      </c>
      <c r="G1582" s="495" t="s">
        <v>4187</v>
      </c>
      <c r="H1582" s="397"/>
      <c r="I1582" s="397"/>
      <c r="J1582" s="750"/>
      <c r="K1582" s="398"/>
      <c r="L1582" s="398"/>
      <c r="M1582" s="399"/>
    </row>
    <row r="1583" spans="6:13" ht="25.5" hidden="1" x14ac:dyDescent="0.2">
      <c r="F1583" s="494">
        <v>453</v>
      </c>
      <c r="G1583" s="495" t="s">
        <v>4188</v>
      </c>
      <c r="H1583" s="397"/>
      <c r="I1583" s="397"/>
      <c r="J1583" s="750"/>
      <c r="K1583" s="398"/>
      <c r="L1583" s="398"/>
      <c r="M1583" s="399"/>
    </row>
    <row r="1584" spans="6:13" hidden="1" x14ac:dyDescent="0.2">
      <c r="F1584" s="494">
        <v>454</v>
      </c>
      <c r="G1584" s="495" t="s">
        <v>3803</v>
      </c>
      <c r="H1584" s="397"/>
      <c r="I1584" s="397"/>
      <c r="J1584" s="750"/>
      <c r="K1584" s="398"/>
      <c r="L1584" s="398"/>
      <c r="M1584" s="399"/>
    </row>
    <row r="1585" spans="6:13" hidden="1" x14ac:dyDescent="0.2">
      <c r="F1585" s="494">
        <v>461</v>
      </c>
      <c r="G1585" s="495" t="s">
        <v>4169</v>
      </c>
      <c r="H1585" s="397"/>
      <c r="I1585" s="397"/>
      <c r="J1585" s="750"/>
      <c r="K1585" s="398"/>
      <c r="L1585" s="398"/>
      <c r="M1585" s="399"/>
    </row>
    <row r="1586" spans="6:13" ht="25.5" hidden="1" x14ac:dyDescent="0.2">
      <c r="F1586" s="494">
        <v>462</v>
      </c>
      <c r="G1586" s="495" t="s">
        <v>3806</v>
      </c>
      <c r="H1586" s="397"/>
      <c r="I1586" s="397"/>
      <c r="J1586" s="750"/>
      <c r="K1586" s="398"/>
      <c r="L1586" s="398"/>
      <c r="M1586" s="399"/>
    </row>
    <row r="1587" spans="6:13" hidden="1" x14ac:dyDescent="0.2">
      <c r="F1587" s="494">
        <v>4631</v>
      </c>
      <c r="G1587" s="495" t="s">
        <v>3807</v>
      </c>
      <c r="H1587" s="397"/>
      <c r="I1587" s="397"/>
      <c r="J1587" s="750"/>
      <c r="K1587" s="398"/>
      <c r="L1587" s="398"/>
      <c r="M1587" s="399"/>
    </row>
    <row r="1588" spans="6:13" hidden="1" x14ac:dyDescent="0.2">
      <c r="F1588" s="494">
        <v>4632</v>
      </c>
      <c r="G1588" s="495" t="s">
        <v>3808</v>
      </c>
      <c r="H1588" s="397"/>
      <c r="I1588" s="397"/>
      <c r="J1588" s="750"/>
      <c r="K1588" s="398"/>
      <c r="L1588" s="398"/>
      <c r="M1588" s="399"/>
    </row>
    <row r="1589" spans="6:13" ht="25.5" hidden="1" x14ac:dyDescent="0.2">
      <c r="F1589" s="494">
        <v>464</v>
      </c>
      <c r="G1589" s="495" t="s">
        <v>3809</v>
      </c>
      <c r="H1589" s="397"/>
      <c r="I1589" s="397"/>
      <c r="J1589" s="750"/>
      <c r="K1589" s="398"/>
      <c r="L1589" s="398"/>
      <c r="M1589" s="399"/>
    </row>
    <row r="1590" spans="6:13" hidden="1" x14ac:dyDescent="0.2">
      <c r="F1590" s="494">
        <v>465</v>
      </c>
      <c r="G1590" s="495" t="s">
        <v>4170</v>
      </c>
      <c r="H1590" s="397"/>
      <c r="I1590" s="397"/>
      <c r="J1590" s="750"/>
      <c r="K1590" s="398"/>
      <c r="L1590" s="398"/>
      <c r="M1590" s="399"/>
    </row>
    <row r="1591" spans="6:13" hidden="1" x14ac:dyDescent="0.2">
      <c r="F1591" s="494">
        <v>472</v>
      </c>
      <c r="G1591" s="495" t="s">
        <v>3813</v>
      </c>
      <c r="H1591" s="397"/>
      <c r="I1591" s="397"/>
      <c r="J1591" s="750"/>
      <c r="K1591" s="398"/>
      <c r="L1591" s="398"/>
      <c r="M1591" s="399"/>
    </row>
    <row r="1592" spans="6:13" hidden="1" x14ac:dyDescent="0.2">
      <c r="F1592" s="494">
        <v>481</v>
      </c>
      <c r="G1592" s="495" t="s">
        <v>4189</v>
      </c>
      <c r="H1592" s="397"/>
      <c r="I1592" s="397"/>
      <c r="J1592" s="750"/>
      <c r="K1592" s="398"/>
      <c r="L1592" s="398"/>
      <c r="M1592" s="399"/>
    </row>
    <row r="1593" spans="6:13" hidden="1" x14ac:dyDescent="0.2">
      <c r="F1593" s="494">
        <v>482</v>
      </c>
      <c r="G1593" s="495" t="s">
        <v>4190</v>
      </c>
      <c r="H1593" s="397"/>
      <c r="I1593" s="397"/>
      <c r="J1593" s="750"/>
      <c r="K1593" s="398"/>
      <c r="L1593" s="398"/>
      <c r="M1593" s="399"/>
    </row>
    <row r="1594" spans="6:13" hidden="1" x14ac:dyDescent="0.2">
      <c r="F1594" s="494">
        <v>483</v>
      </c>
      <c r="G1594" s="497" t="s">
        <v>4191</v>
      </c>
      <c r="H1594" s="397"/>
      <c r="I1594" s="397"/>
      <c r="J1594" s="750"/>
      <c r="K1594" s="398"/>
      <c r="L1594" s="398"/>
      <c r="M1594" s="399"/>
    </row>
    <row r="1595" spans="6:13" ht="38.25" hidden="1" x14ac:dyDescent="0.2">
      <c r="F1595" s="494">
        <v>484</v>
      </c>
      <c r="G1595" s="495" t="s">
        <v>4192</v>
      </c>
      <c r="H1595" s="397"/>
      <c r="I1595" s="397"/>
      <c r="J1595" s="750"/>
      <c r="K1595" s="398"/>
      <c r="L1595" s="398"/>
      <c r="M1595" s="399"/>
    </row>
    <row r="1596" spans="6:13" ht="25.5" hidden="1" x14ac:dyDescent="0.2">
      <c r="F1596" s="494">
        <v>485</v>
      </c>
      <c r="G1596" s="495" t="s">
        <v>4193</v>
      </c>
      <c r="H1596" s="397"/>
      <c r="I1596" s="397"/>
      <c r="J1596" s="750"/>
      <c r="K1596" s="398"/>
      <c r="L1596" s="398"/>
      <c r="M1596" s="399"/>
    </row>
    <row r="1597" spans="6:13" ht="25.5" hidden="1" x14ac:dyDescent="0.2">
      <c r="F1597" s="494">
        <v>489</v>
      </c>
      <c r="G1597" s="495" t="s">
        <v>3821</v>
      </c>
      <c r="H1597" s="397"/>
      <c r="I1597" s="397"/>
      <c r="J1597" s="750"/>
      <c r="K1597" s="398"/>
      <c r="L1597" s="398"/>
      <c r="M1597" s="399"/>
    </row>
    <row r="1598" spans="6:13" ht="25.5" hidden="1" x14ac:dyDescent="0.2">
      <c r="F1598" s="494">
        <v>494</v>
      </c>
      <c r="G1598" s="495" t="s">
        <v>4171</v>
      </c>
      <c r="H1598" s="397"/>
      <c r="I1598" s="397"/>
      <c r="J1598" s="750"/>
      <c r="K1598" s="398"/>
      <c r="L1598" s="398"/>
      <c r="M1598" s="399"/>
    </row>
    <row r="1599" spans="6:13" ht="25.5" hidden="1" x14ac:dyDescent="0.2">
      <c r="F1599" s="494">
        <v>495</v>
      </c>
      <c r="G1599" s="495" t="s">
        <v>4172</v>
      </c>
      <c r="H1599" s="397"/>
      <c r="I1599" s="397"/>
      <c r="J1599" s="750"/>
      <c r="K1599" s="398"/>
      <c r="L1599" s="398"/>
      <c r="M1599" s="399"/>
    </row>
    <row r="1600" spans="6:13" ht="38.25" hidden="1" x14ac:dyDescent="0.2">
      <c r="F1600" s="494">
        <v>496</v>
      </c>
      <c r="G1600" s="495" t="s">
        <v>4173</v>
      </c>
      <c r="H1600" s="397"/>
      <c r="I1600" s="397"/>
      <c r="J1600" s="750"/>
      <c r="K1600" s="398"/>
      <c r="L1600" s="398"/>
      <c r="M1600" s="399"/>
    </row>
    <row r="1601" spans="6:13" ht="25.5" hidden="1" x14ac:dyDescent="0.2">
      <c r="F1601" s="494">
        <v>499</v>
      </c>
      <c r="G1601" s="495" t="s">
        <v>4174</v>
      </c>
      <c r="H1601" s="397"/>
      <c r="I1601" s="397"/>
      <c r="J1601" s="750"/>
      <c r="K1601" s="398"/>
      <c r="L1601" s="398"/>
      <c r="M1601" s="399"/>
    </row>
    <row r="1602" spans="6:13" hidden="1" x14ac:dyDescent="0.2">
      <c r="F1602" s="494">
        <v>511</v>
      </c>
      <c r="G1602" s="497" t="s">
        <v>4194</v>
      </c>
      <c r="H1602" s="397"/>
      <c r="I1602" s="397"/>
      <c r="J1602" s="750"/>
      <c r="K1602" s="398"/>
      <c r="L1602" s="398"/>
      <c r="M1602" s="399"/>
    </row>
    <row r="1603" spans="6:13" hidden="1" x14ac:dyDescent="0.2">
      <c r="F1603" s="494">
        <v>512</v>
      </c>
      <c r="G1603" s="497" t="s">
        <v>4195</v>
      </c>
      <c r="H1603" s="397"/>
      <c r="I1603" s="397"/>
      <c r="J1603" s="750"/>
      <c r="K1603" s="398"/>
      <c r="L1603" s="398"/>
      <c r="M1603" s="399"/>
    </row>
    <row r="1604" spans="6:13" hidden="1" x14ac:dyDescent="0.2">
      <c r="F1604" s="494">
        <v>513</v>
      </c>
      <c r="G1604" s="497" t="s">
        <v>4196</v>
      </c>
      <c r="H1604" s="397"/>
      <c r="I1604" s="397"/>
      <c r="J1604" s="750"/>
      <c r="K1604" s="398"/>
      <c r="L1604" s="398"/>
      <c r="M1604" s="399"/>
    </row>
    <row r="1605" spans="6:13" hidden="1" x14ac:dyDescent="0.2">
      <c r="F1605" s="494">
        <v>514</v>
      </c>
      <c r="G1605" s="495" t="s">
        <v>4197</v>
      </c>
      <c r="H1605" s="397"/>
      <c r="I1605" s="397"/>
      <c r="J1605" s="750"/>
      <c r="K1605" s="398"/>
      <c r="L1605" s="398"/>
      <c r="M1605" s="399"/>
    </row>
    <row r="1606" spans="6:13" hidden="1" x14ac:dyDescent="0.2">
      <c r="F1606" s="494">
        <v>515</v>
      </c>
      <c r="G1606" s="495" t="s">
        <v>3832</v>
      </c>
      <c r="H1606" s="397"/>
      <c r="I1606" s="397"/>
      <c r="J1606" s="750"/>
      <c r="K1606" s="398"/>
      <c r="L1606" s="398"/>
      <c r="M1606" s="399"/>
    </row>
    <row r="1607" spans="6:13" hidden="1" x14ac:dyDescent="0.2">
      <c r="F1607" s="494">
        <v>521</v>
      </c>
      <c r="G1607" s="495" t="s">
        <v>4198</v>
      </c>
      <c r="H1607" s="397"/>
      <c r="I1607" s="397"/>
      <c r="J1607" s="750"/>
      <c r="K1607" s="398"/>
      <c r="L1607" s="398"/>
      <c r="M1607" s="399"/>
    </row>
    <row r="1608" spans="6:13" hidden="1" x14ac:dyDescent="0.2">
      <c r="F1608" s="494">
        <v>522</v>
      </c>
      <c r="G1608" s="495" t="s">
        <v>4199</v>
      </c>
      <c r="H1608" s="397"/>
      <c r="I1608" s="397"/>
      <c r="J1608" s="750"/>
      <c r="K1608" s="398"/>
      <c r="L1608" s="398"/>
      <c r="M1608" s="399"/>
    </row>
    <row r="1609" spans="6:13" hidden="1" x14ac:dyDescent="0.2">
      <c r="F1609" s="494">
        <v>523</v>
      </c>
      <c r="G1609" s="495" t="s">
        <v>3837</v>
      </c>
      <c r="H1609" s="397"/>
      <c r="I1609" s="397"/>
      <c r="J1609" s="750"/>
      <c r="K1609" s="398"/>
      <c r="L1609" s="398"/>
      <c r="M1609" s="399"/>
    </row>
    <row r="1610" spans="6:13" hidden="1" x14ac:dyDescent="0.2">
      <c r="F1610" s="494">
        <v>531</v>
      </c>
      <c r="G1610" s="496" t="s">
        <v>4175</v>
      </c>
      <c r="H1610" s="397"/>
      <c r="I1610" s="397"/>
      <c r="J1610" s="750"/>
      <c r="K1610" s="398"/>
      <c r="L1610" s="398"/>
      <c r="M1610" s="399"/>
    </row>
    <row r="1611" spans="6:13" hidden="1" x14ac:dyDescent="0.2">
      <c r="F1611" s="494">
        <v>541</v>
      </c>
      <c r="G1611" s="495" t="s">
        <v>4200</v>
      </c>
      <c r="H1611" s="397"/>
      <c r="I1611" s="397"/>
      <c r="J1611" s="750"/>
      <c r="K1611" s="398"/>
      <c r="L1611" s="398"/>
      <c r="M1611" s="399"/>
    </row>
    <row r="1612" spans="6:13" hidden="1" x14ac:dyDescent="0.2">
      <c r="F1612" s="494">
        <v>542</v>
      </c>
      <c r="G1612" s="495" t="s">
        <v>4201</v>
      </c>
      <c r="H1612" s="397"/>
      <c r="I1612" s="397"/>
      <c r="J1612" s="750"/>
      <c r="K1612" s="398"/>
      <c r="L1612" s="398"/>
      <c r="M1612" s="399"/>
    </row>
    <row r="1613" spans="6:13" hidden="1" x14ac:dyDescent="0.2">
      <c r="F1613" s="494">
        <v>543</v>
      </c>
      <c r="G1613" s="495" t="s">
        <v>3842</v>
      </c>
      <c r="H1613" s="397"/>
      <c r="I1613" s="397"/>
      <c r="J1613" s="750"/>
      <c r="K1613" s="398"/>
      <c r="L1613" s="398"/>
      <c r="M1613" s="399"/>
    </row>
    <row r="1614" spans="6:13" ht="38.25" hidden="1" x14ac:dyDescent="0.2">
      <c r="F1614" s="494">
        <v>551</v>
      </c>
      <c r="G1614" s="495" t="s">
        <v>4176</v>
      </c>
      <c r="H1614" s="397"/>
      <c r="I1614" s="397"/>
      <c r="J1614" s="750"/>
      <c r="K1614" s="398"/>
      <c r="L1614" s="398"/>
      <c r="M1614" s="399"/>
    </row>
    <row r="1615" spans="6:13" hidden="1" x14ac:dyDescent="0.2">
      <c r="F1615" s="498">
        <v>611</v>
      </c>
      <c r="G1615" s="499" t="s">
        <v>3848</v>
      </c>
      <c r="H1615" s="397"/>
      <c r="I1615" s="397"/>
      <c r="J1615" s="750"/>
      <c r="K1615" s="398"/>
      <c r="L1615" s="398"/>
      <c r="M1615" s="399"/>
    </row>
    <row r="1616" spans="6:13" hidden="1" x14ac:dyDescent="0.2">
      <c r="F1616" s="498">
        <v>620</v>
      </c>
      <c r="G1616" s="499" t="s">
        <v>88</v>
      </c>
      <c r="H1616" s="397"/>
      <c r="I1616" s="397"/>
      <c r="J1616" s="750"/>
      <c r="K1616" s="398"/>
      <c r="L1616" s="398"/>
      <c r="M1616" s="399"/>
    </row>
    <row r="1617" spans="5:13" hidden="1" x14ac:dyDescent="0.2">
      <c r="E1617" s="500"/>
      <c r="F1617" s="498"/>
      <c r="G1617" s="501" t="s">
        <v>4348</v>
      </c>
      <c r="H1617" s="400"/>
      <c r="I1617" s="400"/>
      <c r="J1617" s="750"/>
      <c r="K1617" s="401"/>
      <c r="L1617" s="402"/>
      <c r="M1617" s="399"/>
    </row>
    <row r="1618" spans="5:13" hidden="1" x14ac:dyDescent="0.2">
      <c r="E1618" s="502"/>
      <c r="F1618" s="503" t="s">
        <v>234</v>
      </c>
      <c r="G1618" s="504" t="s">
        <v>235</v>
      </c>
      <c r="H1618" s="403">
        <f>SUM(H1557:H1616)</f>
        <v>0</v>
      </c>
      <c r="I1618" s="403"/>
      <c r="J1618" s="750"/>
      <c r="K1618" s="404"/>
      <c r="L1618" s="404"/>
      <c r="M1618" s="399"/>
    </row>
    <row r="1619" spans="5:13" hidden="1" x14ac:dyDescent="0.2">
      <c r="F1619" s="503" t="s">
        <v>236</v>
      </c>
      <c r="G1619" s="504" t="s">
        <v>237</v>
      </c>
      <c r="H1619" s="397"/>
      <c r="I1619" s="397"/>
      <c r="J1619" s="750"/>
      <c r="K1619" s="398"/>
      <c r="L1619" s="404"/>
      <c r="M1619" s="399"/>
    </row>
    <row r="1620" spans="5:13" hidden="1" x14ac:dyDescent="0.2">
      <c r="F1620" s="503" t="s">
        <v>238</v>
      </c>
      <c r="G1620" s="504" t="s">
        <v>239</v>
      </c>
      <c r="H1620" s="397"/>
      <c r="I1620" s="397"/>
      <c r="J1620" s="750"/>
      <c r="K1620" s="398"/>
      <c r="L1620" s="404"/>
      <c r="M1620" s="399"/>
    </row>
    <row r="1621" spans="5:13" hidden="1" x14ac:dyDescent="0.2">
      <c r="F1621" s="503" t="s">
        <v>240</v>
      </c>
      <c r="G1621" s="504" t="s">
        <v>241</v>
      </c>
      <c r="H1621" s="397"/>
      <c r="I1621" s="397"/>
      <c r="J1621" s="750"/>
      <c r="K1621" s="398"/>
      <c r="L1621" s="404"/>
      <c r="M1621" s="399"/>
    </row>
    <row r="1622" spans="5:13" hidden="1" x14ac:dyDescent="0.2">
      <c r="F1622" s="503" t="s">
        <v>242</v>
      </c>
      <c r="G1622" s="504" t="s">
        <v>243</v>
      </c>
      <c r="H1622" s="397"/>
      <c r="I1622" s="397"/>
      <c r="J1622" s="750"/>
      <c r="K1622" s="398"/>
      <c r="L1622" s="404"/>
      <c r="M1622" s="399"/>
    </row>
    <row r="1623" spans="5:13" hidden="1" x14ac:dyDescent="0.2">
      <c r="F1623" s="503" t="s">
        <v>244</v>
      </c>
      <c r="G1623" s="504" t="s">
        <v>245</v>
      </c>
      <c r="H1623" s="397"/>
      <c r="I1623" s="397"/>
      <c r="J1623" s="750"/>
      <c r="K1623" s="398"/>
      <c r="L1623" s="404"/>
      <c r="M1623" s="399"/>
    </row>
    <row r="1624" spans="5:13" hidden="1" x14ac:dyDescent="0.2">
      <c r="F1624" s="503" t="s">
        <v>246</v>
      </c>
      <c r="G1624" s="504" t="s">
        <v>247</v>
      </c>
      <c r="H1624" s="397"/>
      <c r="I1624" s="397"/>
      <c r="J1624" s="750"/>
      <c r="K1624" s="398"/>
      <c r="L1624" s="404"/>
      <c r="M1624" s="399"/>
    </row>
    <row r="1625" spans="5:13" ht="25.5" hidden="1" x14ac:dyDescent="0.2">
      <c r="F1625" s="503" t="s">
        <v>248</v>
      </c>
      <c r="G1625" s="504" t="s">
        <v>249</v>
      </c>
      <c r="H1625" s="397"/>
      <c r="I1625" s="397"/>
      <c r="J1625" s="750"/>
      <c r="K1625" s="398"/>
      <c r="L1625" s="404"/>
      <c r="M1625" s="399"/>
    </row>
    <row r="1626" spans="5:13" hidden="1" x14ac:dyDescent="0.2">
      <c r="F1626" s="503" t="s">
        <v>250</v>
      </c>
      <c r="G1626" s="504" t="s">
        <v>57</v>
      </c>
      <c r="H1626" s="397"/>
      <c r="I1626" s="397"/>
      <c r="J1626" s="750"/>
      <c r="K1626" s="398"/>
      <c r="L1626" s="404"/>
      <c r="M1626" s="399"/>
    </row>
    <row r="1627" spans="5:13" hidden="1" x14ac:dyDescent="0.2">
      <c r="F1627" s="503" t="s">
        <v>251</v>
      </c>
      <c r="G1627" s="504" t="s">
        <v>252</v>
      </c>
      <c r="H1627" s="397"/>
      <c r="I1627" s="397"/>
      <c r="J1627" s="750"/>
      <c r="K1627" s="398"/>
      <c r="L1627" s="404"/>
      <c r="M1627" s="399"/>
    </row>
    <row r="1628" spans="5:13" hidden="1" x14ac:dyDescent="0.2">
      <c r="F1628" s="503" t="s">
        <v>253</v>
      </c>
      <c r="G1628" s="504" t="s">
        <v>254</v>
      </c>
      <c r="H1628" s="397"/>
      <c r="I1628" s="397"/>
      <c r="J1628" s="750"/>
      <c r="K1628" s="398"/>
      <c r="L1628" s="404"/>
      <c r="M1628" s="399"/>
    </row>
    <row r="1629" spans="5:13" ht="25.5" hidden="1" x14ac:dyDescent="0.2">
      <c r="F1629" s="503" t="s">
        <v>255</v>
      </c>
      <c r="G1629" s="504" t="s">
        <v>256</v>
      </c>
      <c r="H1629" s="397"/>
      <c r="I1629" s="397"/>
      <c r="J1629" s="750"/>
      <c r="K1629" s="398"/>
      <c r="L1629" s="404"/>
      <c r="M1629" s="399"/>
    </row>
    <row r="1630" spans="5:13" ht="25.5" hidden="1" x14ac:dyDescent="0.2">
      <c r="F1630" s="503" t="s">
        <v>257</v>
      </c>
      <c r="G1630" s="504" t="s">
        <v>258</v>
      </c>
      <c r="H1630" s="397"/>
      <c r="I1630" s="397"/>
      <c r="J1630" s="750"/>
      <c r="K1630" s="398"/>
      <c r="L1630" s="404"/>
      <c r="M1630" s="399"/>
    </row>
    <row r="1631" spans="5:13" ht="25.5" hidden="1" x14ac:dyDescent="0.2">
      <c r="F1631" s="503" t="s">
        <v>259</v>
      </c>
      <c r="G1631" s="504" t="s">
        <v>260</v>
      </c>
      <c r="H1631" s="397"/>
      <c r="I1631" s="397"/>
      <c r="J1631" s="750"/>
      <c r="K1631" s="398"/>
      <c r="L1631" s="404"/>
      <c r="M1631" s="399"/>
    </row>
    <row r="1632" spans="5:13" ht="25.5" hidden="1" x14ac:dyDescent="0.2">
      <c r="F1632" s="503" t="s">
        <v>261</v>
      </c>
      <c r="G1632" s="504" t="s">
        <v>262</v>
      </c>
      <c r="H1632" s="397"/>
      <c r="I1632" s="397"/>
      <c r="J1632" s="750"/>
      <c r="K1632" s="398"/>
      <c r="L1632" s="404"/>
      <c r="M1632" s="399"/>
    </row>
    <row r="1633" spans="5:13" hidden="1" x14ac:dyDescent="0.2">
      <c r="F1633" s="503" t="s">
        <v>263</v>
      </c>
      <c r="G1633" s="504" t="s">
        <v>264</v>
      </c>
      <c r="H1633" s="403"/>
      <c r="I1633" s="403"/>
      <c r="J1633" s="750"/>
      <c r="K1633" s="404"/>
      <c r="L1633" s="404"/>
      <c r="M1633" s="399"/>
    </row>
    <row r="1634" spans="5:13" ht="13.5" hidden="1" thickBot="1" x14ac:dyDescent="0.25">
      <c r="G1634" s="505" t="s">
        <v>4349</v>
      </c>
      <c r="H1634" s="405">
        <f>SUM(H1618:H1633)</f>
        <v>0</v>
      </c>
      <c r="I1634" s="405"/>
      <c r="J1634" s="750"/>
      <c r="K1634" s="406">
        <f>SUM(K1619:K1633)</f>
        <v>0</v>
      </c>
      <c r="L1634" s="406"/>
      <c r="M1634" s="399"/>
    </row>
    <row r="1635" spans="5:13" hidden="1" collapsed="1" x14ac:dyDescent="0.2">
      <c r="E1635" s="500"/>
      <c r="F1635" s="498"/>
      <c r="G1635" s="506" t="s">
        <v>5071</v>
      </c>
      <c r="H1635" s="407"/>
      <c r="I1635" s="408"/>
      <c r="J1635" s="750"/>
      <c r="K1635" s="409"/>
      <c r="L1635" s="410"/>
      <c r="M1635" s="399"/>
    </row>
    <row r="1636" spans="5:13" hidden="1" x14ac:dyDescent="0.2">
      <c r="E1636" s="502"/>
      <c r="F1636" s="503" t="s">
        <v>234</v>
      </c>
      <c r="G1636" s="504" t="s">
        <v>235</v>
      </c>
      <c r="H1636" s="403">
        <f>SUM(H1557:H1616)</f>
        <v>0</v>
      </c>
      <c r="I1636" s="403"/>
      <c r="J1636" s="750"/>
      <c r="K1636" s="404"/>
      <c r="L1636" s="404"/>
      <c r="M1636" s="399"/>
    </row>
    <row r="1637" spans="5:13" hidden="1" x14ac:dyDescent="0.2">
      <c r="F1637" s="503" t="s">
        <v>236</v>
      </c>
      <c r="G1637" s="504" t="s">
        <v>237</v>
      </c>
      <c r="H1637" s="397"/>
      <c r="I1637" s="397"/>
      <c r="J1637" s="750"/>
      <c r="K1637" s="398"/>
      <c r="L1637" s="404"/>
      <c r="M1637" s="399"/>
    </row>
    <row r="1638" spans="5:13" hidden="1" x14ac:dyDescent="0.2">
      <c r="F1638" s="503" t="s">
        <v>238</v>
      </c>
      <c r="G1638" s="504" t="s">
        <v>239</v>
      </c>
      <c r="H1638" s="397"/>
      <c r="I1638" s="397"/>
      <c r="J1638" s="750"/>
      <c r="K1638" s="398"/>
      <c r="L1638" s="404"/>
      <c r="M1638" s="399"/>
    </row>
    <row r="1639" spans="5:13" hidden="1" x14ac:dyDescent="0.2">
      <c r="F1639" s="503" t="s">
        <v>240</v>
      </c>
      <c r="G1639" s="504" t="s">
        <v>241</v>
      </c>
      <c r="H1639" s="397"/>
      <c r="I1639" s="397"/>
      <c r="J1639" s="750"/>
      <c r="K1639" s="398"/>
      <c r="L1639" s="404"/>
      <c r="M1639" s="399"/>
    </row>
    <row r="1640" spans="5:13" hidden="1" x14ac:dyDescent="0.2">
      <c r="F1640" s="503" t="s">
        <v>242</v>
      </c>
      <c r="G1640" s="504" t="s">
        <v>243</v>
      </c>
      <c r="H1640" s="397"/>
      <c r="I1640" s="397"/>
      <c r="J1640" s="750"/>
      <c r="K1640" s="398"/>
      <c r="L1640" s="404"/>
      <c r="M1640" s="399"/>
    </row>
    <row r="1641" spans="5:13" hidden="1" x14ac:dyDescent="0.2">
      <c r="F1641" s="503" t="s">
        <v>244</v>
      </c>
      <c r="G1641" s="504" t="s">
        <v>245</v>
      </c>
      <c r="H1641" s="397"/>
      <c r="I1641" s="397"/>
      <c r="J1641" s="750"/>
      <c r="K1641" s="398"/>
      <c r="L1641" s="404"/>
      <c r="M1641" s="399"/>
    </row>
    <row r="1642" spans="5:13" hidden="1" x14ac:dyDescent="0.2">
      <c r="F1642" s="503" t="s">
        <v>246</v>
      </c>
      <c r="G1642" s="504" t="s">
        <v>247</v>
      </c>
      <c r="H1642" s="397"/>
      <c r="I1642" s="397"/>
      <c r="J1642" s="750"/>
      <c r="K1642" s="398"/>
      <c r="L1642" s="404"/>
      <c r="M1642" s="399"/>
    </row>
    <row r="1643" spans="5:13" ht="25.5" hidden="1" x14ac:dyDescent="0.2">
      <c r="F1643" s="503" t="s">
        <v>248</v>
      </c>
      <c r="G1643" s="504" t="s">
        <v>249</v>
      </c>
      <c r="H1643" s="397"/>
      <c r="I1643" s="397"/>
      <c r="J1643" s="750"/>
      <c r="K1643" s="398"/>
      <c r="L1643" s="404"/>
      <c r="M1643" s="399"/>
    </row>
    <row r="1644" spans="5:13" hidden="1" x14ac:dyDescent="0.2">
      <c r="F1644" s="503" t="s">
        <v>250</v>
      </c>
      <c r="G1644" s="504" t="s">
        <v>57</v>
      </c>
      <c r="H1644" s="397"/>
      <c r="I1644" s="397"/>
      <c r="J1644" s="750"/>
      <c r="K1644" s="398"/>
      <c r="L1644" s="404"/>
      <c r="M1644" s="399"/>
    </row>
    <row r="1645" spans="5:13" hidden="1" x14ac:dyDescent="0.2">
      <c r="F1645" s="503" t="s">
        <v>251</v>
      </c>
      <c r="G1645" s="504" t="s">
        <v>252</v>
      </c>
      <c r="H1645" s="397"/>
      <c r="I1645" s="397"/>
      <c r="J1645" s="750"/>
      <c r="K1645" s="398"/>
      <c r="L1645" s="404"/>
      <c r="M1645" s="399"/>
    </row>
    <row r="1646" spans="5:13" hidden="1" x14ac:dyDescent="0.2">
      <c r="F1646" s="503" t="s">
        <v>253</v>
      </c>
      <c r="G1646" s="504" t="s">
        <v>254</v>
      </c>
      <c r="H1646" s="397"/>
      <c r="I1646" s="397"/>
      <c r="J1646" s="750"/>
      <c r="K1646" s="398"/>
      <c r="L1646" s="404"/>
      <c r="M1646" s="399"/>
    </row>
    <row r="1647" spans="5:13" ht="25.5" hidden="1" x14ac:dyDescent="0.2">
      <c r="F1647" s="503" t="s">
        <v>255</v>
      </c>
      <c r="G1647" s="504" t="s">
        <v>256</v>
      </c>
      <c r="H1647" s="397"/>
      <c r="I1647" s="397"/>
      <c r="J1647" s="750"/>
      <c r="K1647" s="398"/>
      <c r="L1647" s="404"/>
      <c r="M1647" s="399"/>
    </row>
    <row r="1648" spans="5:13" ht="25.5" hidden="1" x14ac:dyDescent="0.2">
      <c r="F1648" s="503" t="s">
        <v>257</v>
      </c>
      <c r="G1648" s="504" t="s">
        <v>258</v>
      </c>
      <c r="H1648" s="397"/>
      <c r="I1648" s="397"/>
      <c r="J1648" s="750"/>
      <c r="K1648" s="398"/>
      <c r="L1648" s="404"/>
      <c r="M1648" s="399"/>
    </row>
    <row r="1649" spans="1:27" ht="25.5" hidden="1" x14ac:dyDescent="0.2">
      <c r="F1649" s="503" t="s">
        <v>259</v>
      </c>
      <c r="G1649" s="504" t="s">
        <v>260</v>
      </c>
      <c r="H1649" s="397"/>
      <c r="I1649" s="397"/>
      <c r="J1649" s="750"/>
      <c r="K1649" s="398"/>
      <c r="L1649" s="404"/>
      <c r="M1649" s="399"/>
    </row>
    <row r="1650" spans="1:27" ht="25.5" hidden="1" x14ac:dyDescent="0.2">
      <c r="F1650" s="503" t="s">
        <v>261</v>
      </c>
      <c r="G1650" s="504" t="s">
        <v>262</v>
      </c>
      <c r="H1650" s="397"/>
      <c r="I1650" s="397"/>
      <c r="J1650" s="750"/>
      <c r="K1650" s="398"/>
      <c r="L1650" s="404"/>
      <c r="M1650" s="399"/>
    </row>
    <row r="1651" spans="1:27" hidden="1" x14ac:dyDescent="0.2">
      <c r="F1651" s="503" t="s">
        <v>263</v>
      </c>
      <c r="G1651" s="504" t="s">
        <v>264</v>
      </c>
      <c r="H1651" s="403"/>
      <c r="I1651" s="403"/>
      <c r="J1651" s="750"/>
      <c r="K1651" s="404"/>
      <c r="L1651" s="404"/>
      <c r="M1651" s="399"/>
    </row>
    <row r="1652" spans="1:27" ht="13.5" hidden="1" collapsed="1" thickBot="1" x14ac:dyDescent="0.25">
      <c r="G1652" s="505" t="s">
        <v>5072</v>
      </c>
      <c r="H1652" s="405">
        <f>SUM(H1636:H1651)</f>
        <v>0</v>
      </c>
      <c r="I1652" s="405"/>
      <c r="J1652" s="750"/>
      <c r="K1652" s="406">
        <f>SUM(K1637:K1651)</f>
        <v>0</v>
      </c>
      <c r="L1652" s="406"/>
      <c r="M1652" s="399"/>
    </row>
    <row r="1653" spans="1:27" s="530" customFormat="1" hidden="1" x14ac:dyDescent="0.2">
      <c r="A1653" s="526"/>
      <c r="B1653" s="527"/>
      <c r="C1653" s="541"/>
      <c r="E1653" s="535"/>
      <c r="F1653" s="167"/>
      <c r="G1653" s="177"/>
      <c r="H1653" s="422"/>
      <c r="I1653" s="422"/>
      <c r="J1653" s="750"/>
      <c r="K1653" s="423"/>
      <c r="L1653" s="424"/>
      <c r="M1653" s="399"/>
      <c r="N1653" s="171"/>
      <c r="O1653" s="171"/>
      <c r="P1653" s="169"/>
      <c r="Q1653" s="171"/>
      <c r="R1653" s="171"/>
      <c r="S1653" s="171"/>
      <c r="T1653" s="171"/>
      <c r="U1653" s="171"/>
      <c r="V1653" s="171"/>
      <c r="W1653" s="171"/>
      <c r="X1653" s="171"/>
      <c r="Y1653" s="171"/>
      <c r="Z1653" s="171"/>
      <c r="AA1653" s="171"/>
    </row>
    <row r="1654" spans="1:27" hidden="1" x14ac:dyDescent="0.2">
      <c r="C1654" s="489" t="s">
        <v>4555</v>
      </c>
      <c r="D1654" s="490"/>
      <c r="G1654" s="491" t="s">
        <v>5073</v>
      </c>
      <c r="H1654" s="397"/>
      <c r="I1654" s="397"/>
      <c r="J1654" s="750"/>
      <c r="K1654" s="398"/>
      <c r="L1654" s="398"/>
      <c r="M1654" s="399"/>
    </row>
    <row r="1655" spans="1:27" hidden="1" x14ac:dyDescent="0.2">
      <c r="C1655" s="489"/>
      <c r="D1655" s="537">
        <v>411</v>
      </c>
      <c r="E1655" s="538"/>
      <c r="F1655" s="538"/>
      <c r="G1655" s="539" t="s">
        <v>135</v>
      </c>
      <c r="H1655" s="397"/>
      <c r="I1655" s="397"/>
      <c r="J1655" s="750"/>
      <c r="K1655" s="398"/>
      <c r="L1655" s="398"/>
      <c r="M1655" s="399"/>
    </row>
    <row r="1656" spans="1:27" hidden="1" x14ac:dyDescent="0.2">
      <c r="F1656" s="494">
        <v>411</v>
      </c>
      <c r="G1656" s="495" t="s">
        <v>4167</v>
      </c>
      <c r="H1656" s="397"/>
      <c r="I1656" s="397"/>
      <c r="J1656" s="750"/>
      <c r="K1656" s="398"/>
      <c r="L1656" s="398"/>
      <c r="M1656" s="399"/>
      <c r="N1656" s="540"/>
      <c r="O1656" s="540"/>
    </row>
    <row r="1657" spans="1:27" hidden="1" x14ac:dyDescent="0.2">
      <c r="F1657" s="494">
        <v>412</v>
      </c>
      <c r="G1657" s="496" t="s">
        <v>3764</v>
      </c>
      <c r="H1657" s="397"/>
      <c r="I1657" s="397"/>
      <c r="J1657" s="750"/>
      <c r="K1657" s="398"/>
      <c r="L1657" s="398"/>
      <c r="M1657" s="399"/>
    </row>
    <row r="1658" spans="1:27" hidden="1" x14ac:dyDescent="0.2">
      <c r="F1658" s="494">
        <v>413</v>
      </c>
      <c r="G1658" s="495" t="s">
        <v>4168</v>
      </c>
      <c r="H1658" s="397"/>
      <c r="I1658" s="397"/>
      <c r="J1658" s="750"/>
      <c r="K1658" s="398"/>
      <c r="L1658" s="398"/>
      <c r="M1658" s="399"/>
    </row>
    <row r="1659" spans="1:27" hidden="1" x14ac:dyDescent="0.2">
      <c r="F1659" s="494">
        <v>414</v>
      </c>
      <c r="G1659" s="495" t="s">
        <v>3767</v>
      </c>
      <c r="H1659" s="397"/>
      <c r="I1659" s="397"/>
      <c r="J1659" s="750"/>
      <c r="K1659" s="398"/>
      <c r="L1659" s="398"/>
      <c r="M1659" s="399"/>
    </row>
    <row r="1660" spans="1:27" hidden="1" x14ac:dyDescent="0.2">
      <c r="F1660" s="494">
        <v>415</v>
      </c>
      <c r="G1660" s="495" t="s">
        <v>4177</v>
      </c>
      <c r="H1660" s="397"/>
      <c r="I1660" s="397"/>
      <c r="J1660" s="750"/>
      <c r="K1660" s="398"/>
      <c r="L1660" s="398"/>
      <c r="M1660" s="399"/>
    </row>
    <row r="1661" spans="1:27" ht="25.5" hidden="1" x14ac:dyDescent="0.2">
      <c r="F1661" s="494">
        <v>416</v>
      </c>
      <c r="G1661" s="495" t="s">
        <v>4178</v>
      </c>
      <c r="H1661" s="397"/>
      <c r="I1661" s="397"/>
      <c r="J1661" s="750"/>
      <c r="K1661" s="398"/>
      <c r="L1661" s="398"/>
      <c r="M1661" s="399"/>
    </row>
    <row r="1662" spans="1:27" hidden="1" x14ac:dyDescent="0.2">
      <c r="F1662" s="494">
        <v>417</v>
      </c>
      <c r="G1662" s="495" t="s">
        <v>4179</v>
      </c>
      <c r="H1662" s="397"/>
      <c r="I1662" s="397"/>
      <c r="J1662" s="750"/>
      <c r="K1662" s="398"/>
      <c r="L1662" s="398"/>
      <c r="M1662" s="399"/>
    </row>
    <row r="1663" spans="1:27" hidden="1" x14ac:dyDescent="0.2">
      <c r="F1663" s="494">
        <v>418</v>
      </c>
      <c r="G1663" s="495" t="s">
        <v>3773</v>
      </c>
      <c r="H1663" s="397"/>
      <c r="I1663" s="397"/>
      <c r="J1663" s="750"/>
      <c r="K1663" s="398"/>
      <c r="L1663" s="398"/>
      <c r="M1663" s="399"/>
    </row>
    <row r="1664" spans="1:27" hidden="1" x14ac:dyDescent="0.2">
      <c r="F1664" s="494">
        <v>421</v>
      </c>
      <c r="G1664" s="495" t="s">
        <v>3777</v>
      </c>
      <c r="H1664" s="397"/>
      <c r="I1664" s="397"/>
      <c r="J1664" s="750"/>
      <c r="K1664" s="398"/>
      <c r="L1664" s="398"/>
      <c r="M1664" s="399"/>
    </row>
    <row r="1665" spans="6:13" hidden="1" x14ac:dyDescent="0.2">
      <c r="F1665" s="494">
        <v>422</v>
      </c>
      <c r="G1665" s="495" t="s">
        <v>3778</v>
      </c>
      <c r="H1665" s="397"/>
      <c r="I1665" s="397"/>
      <c r="J1665" s="750"/>
      <c r="K1665" s="398"/>
      <c r="L1665" s="398"/>
      <c r="M1665" s="399"/>
    </row>
    <row r="1666" spans="6:13" hidden="1" x14ac:dyDescent="0.2">
      <c r="F1666" s="494">
        <v>423</v>
      </c>
      <c r="G1666" s="495" t="s">
        <v>3779</v>
      </c>
      <c r="H1666" s="397"/>
      <c r="I1666" s="397"/>
      <c r="J1666" s="750"/>
      <c r="K1666" s="398"/>
      <c r="L1666" s="398"/>
      <c r="M1666" s="399"/>
    </row>
    <row r="1667" spans="6:13" hidden="1" x14ac:dyDescent="0.2">
      <c r="F1667" s="494">
        <v>424</v>
      </c>
      <c r="G1667" s="495" t="s">
        <v>3781</v>
      </c>
      <c r="H1667" s="397"/>
      <c r="I1667" s="397"/>
      <c r="J1667" s="750"/>
      <c r="K1667" s="398"/>
      <c r="L1667" s="398"/>
      <c r="M1667" s="399"/>
    </row>
    <row r="1668" spans="6:13" hidden="1" x14ac:dyDescent="0.2">
      <c r="F1668" s="494">
        <v>425</v>
      </c>
      <c r="G1668" s="495" t="s">
        <v>4180</v>
      </c>
      <c r="H1668" s="397"/>
      <c r="I1668" s="397"/>
      <c r="J1668" s="750"/>
      <c r="K1668" s="398"/>
      <c r="L1668" s="398"/>
      <c r="M1668" s="399"/>
    </row>
    <row r="1669" spans="6:13" hidden="1" x14ac:dyDescent="0.2">
      <c r="F1669" s="494">
        <v>426</v>
      </c>
      <c r="G1669" s="495" t="s">
        <v>3785</v>
      </c>
      <c r="H1669" s="397"/>
      <c r="I1669" s="397"/>
      <c r="J1669" s="750"/>
      <c r="K1669" s="398"/>
      <c r="L1669" s="398"/>
      <c r="M1669" s="399"/>
    </row>
    <row r="1670" spans="6:13" hidden="1" x14ac:dyDescent="0.2">
      <c r="F1670" s="494">
        <v>431</v>
      </c>
      <c r="G1670" s="495" t="s">
        <v>4181</v>
      </c>
      <c r="H1670" s="397"/>
      <c r="I1670" s="397"/>
      <c r="J1670" s="750"/>
      <c r="K1670" s="398"/>
      <c r="L1670" s="398"/>
      <c r="M1670" s="399"/>
    </row>
    <row r="1671" spans="6:13" hidden="1" x14ac:dyDescent="0.2">
      <c r="F1671" s="494">
        <v>432</v>
      </c>
      <c r="G1671" s="495" t="s">
        <v>4182</v>
      </c>
      <c r="H1671" s="397"/>
      <c r="I1671" s="397"/>
      <c r="J1671" s="750"/>
      <c r="K1671" s="398"/>
      <c r="L1671" s="398"/>
      <c r="M1671" s="399"/>
    </row>
    <row r="1672" spans="6:13" hidden="1" x14ac:dyDescent="0.2">
      <c r="F1672" s="494">
        <v>433</v>
      </c>
      <c r="G1672" s="495" t="s">
        <v>4183</v>
      </c>
      <c r="H1672" s="397"/>
      <c r="I1672" s="397"/>
      <c r="J1672" s="750"/>
      <c r="K1672" s="398"/>
      <c r="L1672" s="398"/>
      <c r="M1672" s="399"/>
    </row>
    <row r="1673" spans="6:13" hidden="1" x14ac:dyDescent="0.2">
      <c r="F1673" s="494">
        <v>434</v>
      </c>
      <c r="G1673" s="495" t="s">
        <v>4184</v>
      </c>
      <c r="H1673" s="397"/>
      <c r="I1673" s="397"/>
      <c r="J1673" s="750"/>
      <c r="K1673" s="398"/>
      <c r="L1673" s="398"/>
      <c r="M1673" s="399"/>
    </row>
    <row r="1674" spans="6:13" hidden="1" x14ac:dyDescent="0.2">
      <c r="F1674" s="494">
        <v>435</v>
      </c>
      <c r="G1674" s="495" t="s">
        <v>3792</v>
      </c>
      <c r="H1674" s="397"/>
      <c r="I1674" s="397"/>
      <c r="J1674" s="750"/>
      <c r="K1674" s="398"/>
      <c r="L1674" s="398"/>
      <c r="M1674" s="399"/>
    </row>
    <row r="1675" spans="6:13" hidden="1" x14ac:dyDescent="0.2">
      <c r="F1675" s="494">
        <v>441</v>
      </c>
      <c r="G1675" s="495" t="s">
        <v>4185</v>
      </c>
      <c r="H1675" s="397"/>
      <c r="I1675" s="397"/>
      <c r="J1675" s="750"/>
      <c r="K1675" s="398"/>
      <c r="L1675" s="398"/>
      <c r="M1675" s="399"/>
    </row>
    <row r="1676" spans="6:13" hidden="1" x14ac:dyDescent="0.2">
      <c r="F1676" s="494">
        <v>442</v>
      </c>
      <c r="G1676" s="495" t="s">
        <v>4186</v>
      </c>
      <c r="H1676" s="397"/>
      <c r="I1676" s="397"/>
      <c r="J1676" s="750"/>
      <c r="K1676" s="398"/>
      <c r="L1676" s="398"/>
      <c r="M1676" s="399"/>
    </row>
    <row r="1677" spans="6:13" hidden="1" x14ac:dyDescent="0.2">
      <c r="F1677" s="494">
        <v>443</v>
      </c>
      <c r="G1677" s="495" t="s">
        <v>3797</v>
      </c>
      <c r="H1677" s="397"/>
      <c r="I1677" s="397"/>
      <c r="J1677" s="750"/>
      <c r="K1677" s="398"/>
      <c r="L1677" s="398"/>
      <c r="M1677" s="399"/>
    </row>
    <row r="1678" spans="6:13" hidden="1" x14ac:dyDescent="0.2">
      <c r="F1678" s="494">
        <v>444</v>
      </c>
      <c r="G1678" s="495" t="s">
        <v>3798</v>
      </c>
      <c r="H1678" s="397"/>
      <c r="I1678" s="397"/>
      <c r="J1678" s="750"/>
      <c r="K1678" s="398"/>
      <c r="L1678" s="398"/>
      <c r="M1678" s="399"/>
    </row>
    <row r="1679" spans="6:13" ht="25.5" hidden="1" x14ac:dyDescent="0.2">
      <c r="F1679" s="494">
        <v>4511</v>
      </c>
      <c r="G1679" s="466" t="s">
        <v>1692</v>
      </c>
      <c r="H1679" s="397"/>
      <c r="I1679" s="397"/>
      <c r="J1679" s="750"/>
      <c r="K1679" s="398"/>
      <c r="L1679" s="398"/>
      <c r="M1679" s="399"/>
    </row>
    <row r="1680" spans="6:13" ht="25.5" hidden="1" x14ac:dyDescent="0.2">
      <c r="F1680" s="494">
        <v>4512</v>
      </c>
      <c r="G1680" s="466" t="s">
        <v>1701</v>
      </c>
      <c r="H1680" s="397"/>
      <c r="I1680" s="397"/>
      <c r="J1680" s="750"/>
      <c r="K1680" s="398"/>
      <c r="L1680" s="398"/>
      <c r="M1680" s="399"/>
    </row>
    <row r="1681" spans="6:13" ht="25.5" hidden="1" x14ac:dyDescent="0.2">
      <c r="F1681" s="494">
        <v>452</v>
      </c>
      <c r="G1681" s="495" t="s">
        <v>4187</v>
      </c>
      <c r="H1681" s="397"/>
      <c r="I1681" s="397"/>
      <c r="J1681" s="750"/>
      <c r="K1681" s="398"/>
      <c r="L1681" s="398"/>
      <c r="M1681" s="399"/>
    </row>
    <row r="1682" spans="6:13" ht="25.5" hidden="1" x14ac:dyDescent="0.2">
      <c r="F1682" s="494">
        <v>453</v>
      </c>
      <c r="G1682" s="495" t="s">
        <v>4188</v>
      </c>
      <c r="H1682" s="397"/>
      <c r="I1682" s="397"/>
      <c r="J1682" s="750"/>
      <c r="K1682" s="398"/>
      <c r="L1682" s="398"/>
      <c r="M1682" s="399"/>
    </row>
    <row r="1683" spans="6:13" hidden="1" x14ac:dyDescent="0.2">
      <c r="F1683" s="494">
        <v>454</v>
      </c>
      <c r="G1683" s="495" t="s">
        <v>3803</v>
      </c>
      <c r="H1683" s="397"/>
      <c r="I1683" s="397"/>
      <c r="J1683" s="750"/>
      <c r="K1683" s="398"/>
      <c r="L1683" s="398"/>
      <c r="M1683" s="399"/>
    </row>
    <row r="1684" spans="6:13" hidden="1" x14ac:dyDescent="0.2">
      <c r="F1684" s="494">
        <v>461</v>
      </c>
      <c r="G1684" s="495" t="s">
        <v>4169</v>
      </c>
      <c r="H1684" s="397"/>
      <c r="I1684" s="397"/>
      <c r="J1684" s="750"/>
      <c r="K1684" s="398"/>
      <c r="L1684" s="398"/>
      <c r="M1684" s="399"/>
    </row>
    <row r="1685" spans="6:13" ht="25.5" hidden="1" x14ac:dyDescent="0.2">
      <c r="F1685" s="494">
        <v>462</v>
      </c>
      <c r="G1685" s="495" t="s">
        <v>3806</v>
      </c>
      <c r="H1685" s="397"/>
      <c r="I1685" s="397"/>
      <c r="J1685" s="750"/>
      <c r="K1685" s="398"/>
      <c r="L1685" s="398"/>
      <c r="M1685" s="399"/>
    </row>
    <row r="1686" spans="6:13" hidden="1" x14ac:dyDescent="0.2">
      <c r="F1686" s="494">
        <v>4631</v>
      </c>
      <c r="G1686" s="495" t="s">
        <v>3807</v>
      </c>
      <c r="H1686" s="397"/>
      <c r="I1686" s="397"/>
      <c r="J1686" s="750"/>
      <c r="K1686" s="398"/>
      <c r="L1686" s="398"/>
      <c r="M1686" s="399"/>
    </row>
    <row r="1687" spans="6:13" hidden="1" x14ac:dyDescent="0.2">
      <c r="F1687" s="494">
        <v>4632</v>
      </c>
      <c r="G1687" s="495" t="s">
        <v>3808</v>
      </c>
      <c r="H1687" s="397"/>
      <c r="I1687" s="397"/>
      <c r="J1687" s="750"/>
      <c r="K1687" s="398"/>
      <c r="L1687" s="398"/>
      <c r="M1687" s="399"/>
    </row>
    <row r="1688" spans="6:13" ht="25.5" hidden="1" x14ac:dyDescent="0.2">
      <c r="F1688" s="494">
        <v>464</v>
      </c>
      <c r="G1688" s="495" t="s">
        <v>3809</v>
      </c>
      <c r="H1688" s="397"/>
      <c r="I1688" s="397"/>
      <c r="J1688" s="750"/>
      <c r="K1688" s="398"/>
      <c r="L1688" s="398"/>
      <c r="M1688" s="399"/>
    </row>
    <row r="1689" spans="6:13" hidden="1" x14ac:dyDescent="0.2">
      <c r="F1689" s="494">
        <v>465</v>
      </c>
      <c r="G1689" s="495" t="s">
        <v>4170</v>
      </c>
      <c r="H1689" s="397"/>
      <c r="I1689" s="397"/>
      <c r="J1689" s="750"/>
      <c r="K1689" s="398"/>
      <c r="L1689" s="398"/>
      <c r="M1689" s="399"/>
    </row>
    <row r="1690" spans="6:13" hidden="1" x14ac:dyDescent="0.2">
      <c r="F1690" s="494">
        <v>472</v>
      </c>
      <c r="G1690" s="495" t="s">
        <v>3813</v>
      </c>
      <c r="H1690" s="397"/>
      <c r="I1690" s="397"/>
      <c r="J1690" s="750"/>
      <c r="K1690" s="398"/>
      <c r="L1690" s="398"/>
      <c r="M1690" s="399"/>
    </row>
    <row r="1691" spans="6:13" hidden="1" x14ac:dyDescent="0.2">
      <c r="F1691" s="494">
        <v>481</v>
      </c>
      <c r="G1691" s="495" t="s">
        <v>4189</v>
      </c>
      <c r="H1691" s="397"/>
      <c r="I1691" s="397"/>
      <c r="J1691" s="750"/>
      <c r="K1691" s="398"/>
      <c r="L1691" s="398"/>
      <c r="M1691" s="399"/>
    </row>
    <row r="1692" spans="6:13" hidden="1" x14ac:dyDescent="0.2">
      <c r="F1692" s="494">
        <v>482</v>
      </c>
      <c r="G1692" s="495" t="s">
        <v>4190</v>
      </c>
      <c r="H1692" s="397"/>
      <c r="I1692" s="397"/>
      <c r="J1692" s="750"/>
      <c r="K1692" s="398"/>
      <c r="L1692" s="398"/>
      <c r="M1692" s="399"/>
    </row>
    <row r="1693" spans="6:13" hidden="1" x14ac:dyDescent="0.2">
      <c r="F1693" s="494">
        <v>483</v>
      </c>
      <c r="G1693" s="497" t="s">
        <v>4191</v>
      </c>
      <c r="H1693" s="397"/>
      <c r="I1693" s="397"/>
      <c r="J1693" s="750"/>
      <c r="K1693" s="398"/>
      <c r="L1693" s="398"/>
      <c r="M1693" s="399"/>
    </row>
    <row r="1694" spans="6:13" ht="38.25" hidden="1" x14ac:dyDescent="0.2">
      <c r="F1694" s="494">
        <v>484</v>
      </c>
      <c r="G1694" s="495" t="s">
        <v>4192</v>
      </c>
      <c r="H1694" s="397"/>
      <c r="I1694" s="397"/>
      <c r="J1694" s="750"/>
      <c r="K1694" s="398"/>
      <c r="L1694" s="398"/>
      <c r="M1694" s="399"/>
    </row>
    <row r="1695" spans="6:13" ht="25.5" hidden="1" x14ac:dyDescent="0.2">
      <c r="F1695" s="494">
        <v>485</v>
      </c>
      <c r="G1695" s="495" t="s">
        <v>4193</v>
      </c>
      <c r="H1695" s="397"/>
      <c r="I1695" s="397"/>
      <c r="J1695" s="750"/>
      <c r="K1695" s="398"/>
      <c r="L1695" s="398"/>
      <c r="M1695" s="399"/>
    </row>
    <row r="1696" spans="6:13" ht="25.5" hidden="1" x14ac:dyDescent="0.2">
      <c r="F1696" s="494">
        <v>489</v>
      </c>
      <c r="G1696" s="495" t="s">
        <v>3821</v>
      </c>
      <c r="H1696" s="397"/>
      <c r="I1696" s="397"/>
      <c r="J1696" s="750"/>
      <c r="K1696" s="398"/>
      <c r="L1696" s="398"/>
      <c r="M1696" s="399"/>
    </row>
    <row r="1697" spans="6:13" ht="25.5" hidden="1" x14ac:dyDescent="0.2">
      <c r="F1697" s="494">
        <v>494</v>
      </c>
      <c r="G1697" s="495" t="s">
        <v>4171</v>
      </c>
      <c r="H1697" s="397"/>
      <c r="I1697" s="397"/>
      <c r="J1697" s="750"/>
      <c r="K1697" s="398"/>
      <c r="L1697" s="398"/>
      <c r="M1697" s="399"/>
    </row>
    <row r="1698" spans="6:13" ht="25.5" hidden="1" x14ac:dyDescent="0.2">
      <c r="F1698" s="494">
        <v>495</v>
      </c>
      <c r="G1698" s="495" t="s">
        <v>4172</v>
      </c>
      <c r="H1698" s="397"/>
      <c r="I1698" s="397"/>
      <c r="J1698" s="750"/>
      <c r="K1698" s="398"/>
      <c r="L1698" s="398"/>
      <c r="M1698" s="399"/>
    </row>
    <row r="1699" spans="6:13" ht="38.25" hidden="1" x14ac:dyDescent="0.2">
      <c r="F1699" s="494">
        <v>496</v>
      </c>
      <c r="G1699" s="495" t="s">
        <v>4173</v>
      </c>
      <c r="H1699" s="397"/>
      <c r="I1699" s="397"/>
      <c r="J1699" s="750"/>
      <c r="K1699" s="398"/>
      <c r="L1699" s="398"/>
      <c r="M1699" s="399"/>
    </row>
    <row r="1700" spans="6:13" ht="25.5" hidden="1" x14ac:dyDescent="0.2">
      <c r="F1700" s="494">
        <v>499</v>
      </c>
      <c r="G1700" s="495" t="s">
        <v>4174</v>
      </c>
      <c r="H1700" s="397"/>
      <c r="I1700" s="397"/>
      <c r="J1700" s="750"/>
      <c r="K1700" s="398"/>
      <c r="L1700" s="398"/>
      <c r="M1700" s="399"/>
    </row>
    <row r="1701" spans="6:13" hidden="1" x14ac:dyDescent="0.2">
      <c r="F1701" s="494">
        <v>511</v>
      </c>
      <c r="G1701" s="497" t="s">
        <v>4194</v>
      </c>
      <c r="H1701" s="397"/>
      <c r="I1701" s="397"/>
      <c r="J1701" s="750"/>
      <c r="K1701" s="398"/>
      <c r="L1701" s="398"/>
      <c r="M1701" s="399"/>
    </row>
    <row r="1702" spans="6:13" hidden="1" x14ac:dyDescent="0.2">
      <c r="F1702" s="494">
        <v>512</v>
      </c>
      <c r="G1702" s="497" t="s">
        <v>4195</v>
      </c>
      <c r="H1702" s="397"/>
      <c r="I1702" s="397"/>
      <c r="J1702" s="750"/>
      <c r="K1702" s="398"/>
      <c r="L1702" s="398"/>
      <c r="M1702" s="399"/>
    </row>
    <row r="1703" spans="6:13" hidden="1" x14ac:dyDescent="0.2">
      <c r="F1703" s="494">
        <v>513</v>
      </c>
      <c r="G1703" s="497" t="s">
        <v>4196</v>
      </c>
      <c r="H1703" s="397"/>
      <c r="I1703" s="397"/>
      <c r="J1703" s="750"/>
      <c r="K1703" s="398"/>
      <c r="L1703" s="398"/>
      <c r="M1703" s="399"/>
    </row>
    <row r="1704" spans="6:13" hidden="1" x14ac:dyDescent="0.2">
      <c r="F1704" s="494">
        <v>514</v>
      </c>
      <c r="G1704" s="495" t="s">
        <v>4197</v>
      </c>
      <c r="H1704" s="397"/>
      <c r="I1704" s="397"/>
      <c r="J1704" s="750"/>
      <c r="K1704" s="398"/>
      <c r="L1704" s="398"/>
      <c r="M1704" s="399"/>
    </row>
    <row r="1705" spans="6:13" hidden="1" x14ac:dyDescent="0.2">
      <c r="F1705" s="494">
        <v>515</v>
      </c>
      <c r="G1705" s="495" t="s">
        <v>3832</v>
      </c>
      <c r="H1705" s="397"/>
      <c r="I1705" s="397"/>
      <c r="J1705" s="750"/>
      <c r="K1705" s="398"/>
      <c r="L1705" s="398"/>
      <c r="M1705" s="399"/>
    </row>
    <row r="1706" spans="6:13" hidden="1" x14ac:dyDescent="0.2">
      <c r="F1706" s="494">
        <v>521</v>
      </c>
      <c r="G1706" s="495" t="s">
        <v>4198</v>
      </c>
      <c r="H1706" s="397"/>
      <c r="I1706" s="397"/>
      <c r="J1706" s="750"/>
      <c r="K1706" s="398"/>
      <c r="L1706" s="398"/>
      <c r="M1706" s="399"/>
    </row>
    <row r="1707" spans="6:13" hidden="1" x14ac:dyDescent="0.2">
      <c r="F1707" s="494">
        <v>522</v>
      </c>
      <c r="G1707" s="495" t="s">
        <v>4199</v>
      </c>
      <c r="H1707" s="397"/>
      <c r="I1707" s="397"/>
      <c r="J1707" s="750"/>
      <c r="K1707" s="398"/>
      <c r="L1707" s="398"/>
      <c r="M1707" s="399"/>
    </row>
    <row r="1708" spans="6:13" hidden="1" x14ac:dyDescent="0.2">
      <c r="F1708" s="494">
        <v>523</v>
      </c>
      <c r="G1708" s="495" t="s">
        <v>3837</v>
      </c>
      <c r="H1708" s="397"/>
      <c r="I1708" s="397"/>
      <c r="J1708" s="750"/>
      <c r="K1708" s="398"/>
      <c r="L1708" s="398"/>
      <c r="M1708" s="399"/>
    </row>
    <row r="1709" spans="6:13" hidden="1" x14ac:dyDescent="0.2">
      <c r="F1709" s="494">
        <v>531</v>
      </c>
      <c r="G1709" s="496" t="s">
        <v>4175</v>
      </c>
      <c r="H1709" s="397"/>
      <c r="I1709" s="397"/>
      <c r="J1709" s="750"/>
      <c r="K1709" s="398"/>
      <c r="L1709" s="398"/>
      <c r="M1709" s="399"/>
    </row>
    <row r="1710" spans="6:13" hidden="1" x14ac:dyDescent="0.2">
      <c r="F1710" s="494">
        <v>541</v>
      </c>
      <c r="G1710" s="495" t="s">
        <v>4200</v>
      </c>
      <c r="H1710" s="397"/>
      <c r="I1710" s="397"/>
      <c r="J1710" s="750"/>
      <c r="K1710" s="398"/>
      <c r="L1710" s="398"/>
      <c r="M1710" s="399"/>
    </row>
    <row r="1711" spans="6:13" hidden="1" x14ac:dyDescent="0.2">
      <c r="F1711" s="494">
        <v>542</v>
      </c>
      <c r="G1711" s="495" t="s">
        <v>4201</v>
      </c>
      <c r="H1711" s="397"/>
      <c r="I1711" s="397"/>
      <c r="J1711" s="750"/>
      <c r="K1711" s="398"/>
      <c r="L1711" s="398"/>
      <c r="M1711" s="399"/>
    </row>
    <row r="1712" spans="6:13" hidden="1" x14ac:dyDescent="0.2">
      <c r="F1712" s="494">
        <v>543</v>
      </c>
      <c r="G1712" s="495" t="s">
        <v>3842</v>
      </c>
      <c r="H1712" s="397"/>
      <c r="I1712" s="397"/>
      <c r="J1712" s="750"/>
      <c r="K1712" s="398"/>
      <c r="L1712" s="398"/>
      <c r="M1712" s="399"/>
    </row>
    <row r="1713" spans="5:13" ht="38.25" hidden="1" x14ac:dyDescent="0.2">
      <c r="F1713" s="494">
        <v>551</v>
      </c>
      <c r="G1713" s="495" t="s">
        <v>4176</v>
      </c>
      <c r="H1713" s="397"/>
      <c r="I1713" s="397"/>
      <c r="J1713" s="750"/>
      <c r="K1713" s="398"/>
      <c r="L1713" s="398"/>
      <c r="M1713" s="399"/>
    </row>
    <row r="1714" spans="5:13" hidden="1" x14ac:dyDescent="0.2">
      <c r="F1714" s="498">
        <v>611</v>
      </c>
      <c r="G1714" s="499" t="s">
        <v>3848</v>
      </c>
      <c r="H1714" s="397"/>
      <c r="I1714" s="397"/>
      <c r="J1714" s="750"/>
      <c r="K1714" s="398"/>
      <c r="L1714" s="398"/>
      <c r="M1714" s="399"/>
    </row>
    <row r="1715" spans="5:13" hidden="1" x14ac:dyDescent="0.2">
      <c r="F1715" s="498">
        <v>620</v>
      </c>
      <c r="G1715" s="499" t="s">
        <v>88</v>
      </c>
      <c r="H1715" s="397"/>
      <c r="I1715" s="397"/>
      <c r="J1715" s="750"/>
      <c r="K1715" s="398"/>
      <c r="L1715" s="398"/>
      <c r="M1715" s="399"/>
    </row>
    <row r="1716" spans="5:13" hidden="1" x14ac:dyDescent="0.2">
      <c r="E1716" s="500"/>
      <c r="F1716" s="498"/>
      <c r="G1716" s="501" t="s">
        <v>4348</v>
      </c>
      <c r="H1716" s="400"/>
      <c r="I1716" s="400"/>
      <c r="J1716" s="750"/>
      <c r="K1716" s="401"/>
      <c r="L1716" s="402"/>
      <c r="M1716" s="399"/>
    </row>
    <row r="1717" spans="5:13" hidden="1" x14ac:dyDescent="0.2">
      <c r="E1717" s="502"/>
      <c r="F1717" s="503" t="s">
        <v>234</v>
      </c>
      <c r="G1717" s="504" t="s">
        <v>235</v>
      </c>
      <c r="H1717" s="403">
        <f>SUM(H1656:H1715)</f>
        <v>0</v>
      </c>
      <c r="I1717" s="403"/>
      <c r="J1717" s="750"/>
      <c r="K1717" s="404"/>
      <c r="L1717" s="404"/>
      <c r="M1717" s="399"/>
    </row>
    <row r="1718" spans="5:13" hidden="1" x14ac:dyDescent="0.2">
      <c r="F1718" s="503" t="s">
        <v>236</v>
      </c>
      <c r="G1718" s="504" t="s">
        <v>237</v>
      </c>
      <c r="H1718" s="397"/>
      <c r="I1718" s="397"/>
      <c r="J1718" s="750"/>
      <c r="K1718" s="398"/>
      <c r="L1718" s="404"/>
      <c r="M1718" s="399"/>
    </row>
    <row r="1719" spans="5:13" hidden="1" x14ac:dyDescent="0.2">
      <c r="F1719" s="503" t="s">
        <v>238</v>
      </c>
      <c r="G1719" s="504" t="s">
        <v>239</v>
      </c>
      <c r="H1719" s="397"/>
      <c r="I1719" s="397"/>
      <c r="J1719" s="750"/>
      <c r="K1719" s="398"/>
      <c r="L1719" s="404"/>
      <c r="M1719" s="399"/>
    </row>
    <row r="1720" spans="5:13" hidden="1" x14ac:dyDescent="0.2">
      <c r="F1720" s="503" t="s">
        <v>240</v>
      </c>
      <c r="G1720" s="504" t="s">
        <v>241</v>
      </c>
      <c r="H1720" s="397"/>
      <c r="I1720" s="397"/>
      <c r="J1720" s="750"/>
      <c r="K1720" s="398"/>
      <c r="L1720" s="404"/>
      <c r="M1720" s="399"/>
    </row>
    <row r="1721" spans="5:13" hidden="1" x14ac:dyDescent="0.2">
      <c r="F1721" s="503" t="s">
        <v>242</v>
      </c>
      <c r="G1721" s="504" t="s">
        <v>243</v>
      </c>
      <c r="H1721" s="397"/>
      <c r="I1721" s="397"/>
      <c r="J1721" s="750"/>
      <c r="K1721" s="398"/>
      <c r="L1721" s="404"/>
      <c r="M1721" s="399"/>
    </row>
    <row r="1722" spans="5:13" hidden="1" x14ac:dyDescent="0.2">
      <c r="F1722" s="503" t="s">
        <v>244</v>
      </c>
      <c r="G1722" s="504" t="s">
        <v>245</v>
      </c>
      <c r="H1722" s="397"/>
      <c r="I1722" s="397"/>
      <c r="J1722" s="750"/>
      <c r="K1722" s="398"/>
      <c r="L1722" s="404"/>
      <c r="M1722" s="399"/>
    </row>
    <row r="1723" spans="5:13" hidden="1" x14ac:dyDescent="0.2">
      <c r="F1723" s="503" t="s">
        <v>246</v>
      </c>
      <c r="G1723" s="504" t="s">
        <v>247</v>
      </c>
      <c r="H1723" s="397"/>
      <c r="I1723" s="397"/>
      <c r="J1723" s="750"/>
      <c r="K1723" s="398"/>
      <c r="L1723" s="404"/>
      <c r="M1723" s="399"/>
    </row>
    <row r="1724" spans="5:13" ht="25.5" hidden="1" x14ac:dyDescent="0.2">
      <c r="F1724" s="503" t="s">
        <v>248</v>
      </c>
      <c r="G1724" s="504" t="s">
        <v>249</v>
      </c>
      <c r="H1724" s="397"/>
      <c r="I1724" s="397"/>
      <c r="J1724" s="750"/>
      <c r="K1724" s="398"/>
      <c r="L1724" s="404"/>
      <c r="M1724" s="399"/>
    </row>
    <row r="1725" spans="5:13" hidden="1" x14ac:dyDescent="0.2">
      <c r="F1725" s="503" t="s">
        <v>250</v>
      </c>
      <c r="G1725" s="504" t="s">
        <v>57</v>
      </c>
      <c r="H1725" s="397"/>
      <c r="I1725" s="397"/>
      <c r="J1725" s="750"/>
      <c r="K1725" s="398"/>
      <c r="L1725" s="404"/>
      <c r="M1725" s="399"/>
    </row>
    <row r="1726" spans="5:13" hidden="1" x14ac:dyDescent="0.2">
      <c r="F1726" s="503" t="s">
        <v>251</v>
      </c>
      <c r="G1726" s="504" t="s">
        <v>252</v>
      </c>
      <c r="H1726" s="397"/>
      <c r="I1726" s="397"/>
      <c r="J1726" s="750"/>
      <c r="K1726" s="398"/>
      <c r="L1726" s="404"/>
      <c r="M1726" s="399"/>
    </row>
    <row r="1727" spans="5:13" hidden="1" x14ac:dyDescent="0.2">
      <c r="F1727" s="503" t="s">
        <v>253</v>
      </c>
      <c r="G1727" s="504" t="s">
        <v>254</v>
      </c>
      <c r="H1727" s="397"/>
      <c r="I1727" s="397"/>
      <c r="J1727" s="750"/>
      <c r="K1727" s="398"/>
      <c r="L1727" s="404"/>
      <c r="M1727" s="399"/>
    </row>
    <row r="1728" spans="5:13" ht="25.5" hidden="1" x14ac:dyDescent="0.2">
      <c r="F1728" s="503" t="s">
        <v>255</v>
      </c>
      <c r="G1728" s="504" t="s">
        <v>256</v>
      </c>
      <c r="H1728" s="397"/>
      <c r="I1728" s="397"/>
      <c r="J1728" s="750"/>
      <c r="K1728" s="398"/>
      <c r="L1728" s="404"/>
      <c r="M1728" s="399"/>
    </row>
    <row r="1729" spans="5:13" ht="25.5" hidden="1" x14ac:dyDescent="0.2">
      <c r="F1729" s="503" t="s">
        <v>257</v>
      </c>
      <c r="G1729" s="504" t="s">
        <v>258</v>
      </c>
      <c r="H1729" s="397"/>
      <c r="I1729" s="397"/>
      <c r="J1729" s="750"/>
      <c r="K1729" s="398"/>
      <c r="L1729" s="404"/>
      <c r="M1729" s="399"/>
    </row>
    <row r="1730" spans="5:13" ht="25.5" hidden="1" x14ac:dyDescent="0.2">
      <c r="F1730" s="503" t="s">
        <v>259</v>
      </c>
      <c r="G1730" s="504" t="s">
        <v>260</v>
      </c>
      <c r="H1730" s="397"/>
      <c r="I1730" s="397"/>
      <c r="J1730" s="750"/>
      <c r="K1730" s="398"/>
      <c r="L1730" s="404"/>
      <c r="M1730" s="399"/>
    </row>
    <row r="1731" spans="5:13" ht="25.5" hidden="1" x14ac:dyDescent="0.2">
      <c r="F1731" s="503" t="s">
        <v>261</v>
      </c>
      <c r="G1731" s="504" t="s">
        <v>262</v>
      </c>
      <c r="H1731" s="397"/>
      <c r="I1731" s="397"/>
      <c r="J1731" s="750"/>
      <c r="K1731" s="398"/>
      <c r="L1731" s="404"/>
      <c r="M1731" s="399"/>
    </row>
    <row r="1732" spans="5:13" hidden="1" x14ac:dyDescent="0.2">
      <c r="F1732" s="503" t="s">
        <v>263</v>
      </c>
      <c r="G1732" s="504" t="s">
        <v>264</v>
      </c>
      <c r="H1732" s="403"/>
      <c r="I1732" s="403"/>
      <c r="J1732" s="750"/>
      <c r="K1732" s="404"/>
      <c r="L1732" s="404"/>
      <c r="M1732" s="399"/>
    </row>
    <row r="1733" spans="5:13" ht="13.5" hidden="1" thickBot="1" x14ac:dyDescent="0.25">
      <c r="G1733" s="505" t="s">
        <v>4349</v>
      </c>
      <c r="H1733" s="405">
        <f>SUM(H1717:H1732)</f>
        <v>0</v>
      </c>
      <c r="I1733" s="405"/>
      <c r="J1733" s="750"/>
      <c r="K1733" s="406">
        <f>SUM(K1718:K1732)</f>
        <v>0</v>
      </c>
      <c r="L1733" s="406"/>
      <c r="M1733" s="399"/>
    </row>
    <row r="1734" spans="5:13" hidden="1" collapsed="1" x14ac:dyDescent="0.2">
      <c r="E1734" s="500"/>
      <c r="F1734" s="498"/>
      <c r="G1734" s="506" t="s">
        <v>5071</v>
      </c>
      <c r="H1734" s="407"/>
      <c r="I1734" s="408"/>
      <c r="J1734" s="750"/>
      <c r="K1734" s="409"/>
      <c r="L1734" s="410"/>
      <c r="M1734" s="399"/>
    </row>
    <row r="1735" spans="5:13" hidden="1" x14ac:dyDescent="0.2">
      <c r="E1735" s="502"/>
      <c r="F1735" s="503" t="s">
        <v>234</v>
      </c>
      <c r="G1735" s="504" t="s">
        <v>235</v>
      </c>
      <c r="H1735" s="403">
        <f>SUM(H1656:H1715)</f>
        <v>0</v>
      </c>
      <c r="I1735" s="403"/>
      <c r="J1735" s="750"/>
      <c r="K1735" s="404"/>
      <c r="L1735" s="404"/>
      <c r="M1735" s="399"/>
    </row>
    <row r="1736" spans="5:13" hidden="1" x14ac:dyDescent="0.2">
      <c r="F1736" s="503" t="s">
        <v>236</v>
      </c>
      <c r="G1736" s="504" t="s">
        <v>237</v>
      </c>
      <c r="H1736" s="397"/>
      <c r="I1736" s="397"/>
      <c r="J1736" s="750"/>
      <c r="K1736" s="398"/>
      <c r="L1736" s="404"/>
      <c r="M1736" s="399"/>
    </row>
    <row r="1737" spans="5:13" hidden="1" x14ac:dyDescent="0.2">
      <c r="F1737" s="503" t="s">
        <v>238</v>
      </c>
      <c r="G1737" s="504" t="s">
        <v>239</v>
      </c>
      <c r="H1737" s="397"/>
      <c r="I1737" s="397"/>
      <c r="J1737" s="750"/>
      <c r="K1737" s="398"/>
      <c r="L1737" s="404"/>
      <c r="M1737" s="399"/>
    </row>
    <row r="1738" spans="5:13" hidden="1" x14ac:dyDescent="0.2">
      <c r="F1738" s="503" t="s">
        <v>240</v>
      </c>
      <c r="G1738" s="504" t="s">
        <v>241</v>
      </c>
      <c r="H1738" s="397"/>
      <c r="I1738" s="397"/>
      <c r="J1738" s="750"/>
      <c r="K1738" s="398"/>
      <c r="L1738" s="404"/>
      <c r="M1738" s="399"/>
    </row>
    <row r="1739" spans="5:13" hidden="1" x14ac:dyDescent="0.2">
      <c r="F1739" s="503" t="s">
        <v>242</v>
      </c>
      <c r="G1739" s="504" t="s">
        <v>243</v>
      </c>
      <c r="H1739" s="397"/>
      <c r="I1739" s="397"/>
      <c r="J1739" s="750"/>
      <c r="K1739" s="398"/>
      <c r="L1739" s="404"/>
      <c r="M1739" s="399"/>
    </row>
    <row r="1740" spans="5:13" hidden="1" x14ac:dyDescent="0.2">
      <c r="F1740" s="503" t="s">
        <v>244</v>
      </c>
      <c r="G1740" s="504" t="s">
        <v>245</v>
      </c>
      <c r="H1740" s="397"/>
      <c r="I1740" s="397"/>
      <c r="J1740" s="750"/>
      <c r="K1740" s="398"/>
      <c r="L1740" s="404"/>
      <c r="M1740" s="399"/>
    </row>
    <row r="1741" spans="5:13" hidden="1" x14ac:dyDescent="0.2">
      <c r="F1741" s="503" t="s">
        <v>246</v>
      </c>
      <c r="G1741" s="504" t="s">
        <v>247</v>
      </c>
      <c r="H1741" s="397"/>
      <c r="I1741" s="397"/>
      <c r="J1741" s="750"/>
      <c r="K1741" s="398"/>
      <c r="L1741" s="404"/>
      <c r="M1741" s="399"/>
    </row>
    <row r="1742" spans="5:13" ht="25.5" hidden="1" x14ac:dyDescent="0.2">
      <c r="F1742" s="503" t="s">
        <v>248</v>
      </c>
      <c r="G1742" s="504" t="s">
        <v>249</v>
      </c>
      <c r="H1742" s="397"/>
      <c r="I1742" s="397"/>
      <c r="J1742" s="750"/>
      <c r="K1742" s="398"/>
      <c r="L1742" s="404"/>
      <c r="M1742" s="399"/>
    </row>
    <row r="1743" spans="5:13" hidden="1" x14ac:dyDescent="0.2">
      <c r="F1743" s="503" t="s">
        <v>250</v>
      </c>
      <c r="G1743" s="504" t="s">
        <v>57</v>
      </c>
      <c r="H1743" s="397"/>
      <c r="I1743" s="397"/>
      <c r="J1743" s="750"/>
      <c r="K1743" s="398"/>
      <c r="L1743" s="404"/>
      <c r="M1743" s="399"/>
    </row>
    <row r="1744" spans="5:13" hidden="1" x14ac:dyDescent="0.2">
      <c r="F1744" s="503" t="s">
        <v>251</v>
      </c>
      <c r="G1744" s="504" t="s">
        <v>252</v>
      </c>
      <c r="H1744" s="397"/>
      <c r="I1744" s="397"/>
      <c r="J1744" s="750"/>
      <c r="K1744" s="398"/>
      <c r="L1744" s="404"/>
      <c r="M1744" s="399"/>
    </row>
    <row r="1745" spans="1:27" hidden="1" x14ac:dyDescent="0.2">
      <c r="F1745" s="503" t="s">
        <v>253</v>
      </c>
      <c r="G1745" s="504" t="s">
        <v>254</v>
      </c>
      <c r="H1745" s="397"/>
      <c r="I1745" s="397"/>
      <c r="J1745" s="750"/>
      <c r="K1745" s="398"/>
      <c r="L1745" s="404"/>
      <c r="M1745" s="399"/>
    </row>
    <row r="1746" spans="1:27" ht="25.5" hidden="1" x14ac:dyDescent="0.2">
      <c r="F1746" s="503" t="s">
        <v>255</v>
      </c>
      <c r="G1746" s="504" t="s">
        <v>256</v>
      </c>
      <c r="H1746" s="397"/>
      <c r="I1746" s="397"/>
      <c r="J1746" s="750"/>
      <c r="K1746" s="398"/>
      <c r="L1746" s="404"/>
      <c r="M1746" s="399"/>
    </row>
    <row r="1747" spans="1:27" ht="25.5" hidden="1" x14ac:dyDescent="0.2">
      <c r="F1747" s="503" t="s">
        <v>257</v>
      </c>
      <c r="G1747" s="504" t="s">
        <v>258</v>
      </c>
      <c r="H1747" s="397"/>
      <c r="I1747" s="397"/>
      <c r="J1747" s="750"/>
      <c r="K1747" s="398"/>
      <c r="L1747" s="404"/>
      <c r="M1747" s="399"/>
    </row>
    <row r="1748" spans="1:27" ht="25.5" hidden="1" x14ac:dyDescent="0.2">
      <c r="F1748" s="503" t="s">
        <v>259</v>
      </c>
      <c r="G1748" s="504" t="s">
        <v>260</v>
      </c>
      <c r="H1748" s="397"/>
      <c r="I1748" s="397"/>
      <c r="J1748" s="750"/>
      <c r="K1748" s="398"/>
      <c r="L1748" s="404"/>
      <c r="M1748" s="399"/>
    </row>
    <row r="1749" spans="1:27" ht="25.5" hidden="1" x14ac:dyDescent="0.2">
      <c r="F1749" s="503" t="s">
        <v>261</v>
      </c>
      <c r="G1749" s="504" t="s">
        <v>262</v>
      </c>
      <c r="H1749" s="397"/>
      <c r="I1749" s="397"/>
      <c r="J1749" s="750"/>
      <c r="K1749" s="398"/>
      <c r="L1749" s="404"/>
      <c r="M1749" s="399"/>
    </row>
    <row r="1750" spans="1:27" hidden="1" x14ac:dyDescent="0.2">
      <c r="F1750" s="503" t="s">
        <v>263</v>
      </c>
      <c r="G1750" s="504" t="s">
        <v>264</v>
      </c>
      <c r="H1750" s="403"/>
      <c r="I1750" s="403"/>
      <c r="J1750" s="750"/>
      <c r="K1750" s="404"/>
      <c r="L1750" s="404"/>
      <c r="M1750" s="399"/>
    </row>
    <row r="1751" spans="1:27" ht="13.5" hidden="1" collapsed="1" thickBot="1" x14ac:dyDescent="0.25">
      <c r="G1751" s="505" t="s">
        <v>5072</v>
      </c>
      <c r="H1751" s="405">
        <f>SUM(H1735:H1750)</f>
        <v>0</v>
      </c>
      <c r="I1751" s="405"/>
      <c r="J1751" s="750"/>
      <c r="K1751" s="406">
        <f>SUM(K1736:K1750)</f>
        <v>0</v>
      </c>
      <c r="L1751" s="406"/>
      <c r="M1751" s="399"/>
    </row>
    <row r="1752" spans="1:27" s="530" customFormat="1" hidden="1" x14ac:dyDescent="0.2">
      <c r="A1752" s="526"/>
      <c r="B1752" s="527"/>
      <c r="C1752" s="541"/>
      <c r="E1752" s="535"/>
      <c r="F1752" s="167"/>
      <c r="G1752" s="177"/>
      <c r="H1752" s="422"/>
      <c r="I1752" s="422"/>
      <c r="J1752" s="750"/>
      <c r="K1752" s="423"/>
      <c r="L1752" s="424"/>
      <c r="M1752" s="399"/>
      <c r="N1752" s="171"/>
      <c r="O1752" s="171"/>
      <c r="P1752" s="169"/>
      <c r="Q1752" s="171"/>
      <c r="R1752" s="171"/>
      <c r="S1752" s="171"/>
      <c r="T1752" s="171"/>
      <c r="U1752" s="171"/>
      <c r="V1752" s="171"/>
      <c r="W1752" s="171"/>
      <c r="X1752" s="171"/>
      <c r="Y1752" s="171"/>
      <c r="Z1752" s="171"/>
      <c r="AA1752" s="171"/>
    </row>
    <row r="1753" spans="1:27" s="530" customFormat="1" hidden="1" x14ac:dyDescent="0.2">
      <c r="A1753" s="526"/>
      <c r="B1753" s="527"/>
      <c r="C1753" s="534"/>
      <c r="D1753" s="535"/>
      <c r="E1753" s="535"/>
      <c r="F1753" s="498"/>
      <c r="G1753" s="511" t="s">
        <v>4264</v>
      </c>
      <c r="H1753" s="413"/>
      <c r="I1753" s="413"/>
      <c r="J1753" s="750"/>
      <c r="K1753" s="414"/>
      <c r="L1753" s="415"/>
      <c r="M1753" s="399"/>
      <c r="N1753" s="171"/>
      <c r="O1753" s="171"/>
      <c r="P1753" s="171"/>
      <c r="Q1753" s="171"/>
      <c r="R1753" s="171"/>
      <c r="S1753" s="171"/>
      <c r="T1753" s="171"/>
      <c r="U1753" s="171"/>
      <c r="V1753" s="171"/>
      <c r="W1753" s="171"/>
      <c r="X1753" s="171"/>
      <c r="Y1753" s="171"/>
      <c r="Z1753" s="171"/>
      <c r="AA1753" s="171"/>
    </row>
    <row r="1754" spans="1:27" s="530" customFormat="1" hidden="1" x14ac:dyDescent="0.2">
      <c r="A1754" s="526"/>
      <c r="B1754" s="527"/>
      <c r="C1754" s="534"/>
      <c r="D1754" s="535"/>
      <c r="E1754" s="535"/>
      <c r="F1754" s="503" t="s">
        <v>234</v>
      </c>
      <c r="G1754" s="504" t="s">
        <v>235</v>
      </c>
      <c r="H1754" s="403">
        <f>SUM(H1537,H1438,H1339,H1241,H1142,H1636,H1735)</f>
        <v>0</v>
      </c>
      <c r="I1754" s="403"/>
      <c r="J1754" s="750"/>
      <c r="K1754" s="404"/>
      <c r="L1754" s="404"/>
      <c r="M1754" s="399"/>
      <c r="N1754" s="171"/>
      <c r="O1754" s="171"/>
      <c r="P1754" s="171"/>
      <c r="Q1754" s="171"/>
      <c r="R1754" s="171"/>
      <c r="S1754" s="171"/>
      <c r="T1754" s="171"/>
      <c r="U1754" s="171"/>
      <c r="V1754" s="171"/>
      <c r="W1754" s="171"/>
      <c r="X1754" s="171"/>
      <c r="Y1754" s="171"/>
      <c r="Z1754" s="171"/>
      <c r="AA1754" s="171"/>
    </row>
    <row r="1755" spans="1:27" s="530" customFormat="1" hidden="1" x14ac:dyDescent="0.2">
      <c r="A1755" s="526"/>
      <c r="B1755" s="527"/>
      <c r="C1755" s="534"/>
      <c r="D1755" s="535"/>
      <c r="E1755" s="535"/>
      <c r="F1755" s="503" t="s">
        <v>236</v>
      </c>
      <c r="G1755" s="504" t="s">
        <v>237</v>
      </c>
      <c r="H1755" s="397"/>
      <c r="I1755" s="397"/>
      <c r="J1755" s="750"/>
      <c r="K1755" s="398"/>
      <c r="L1755" s="404"/>
      <c r="M1755" s="399"/>
      <c r="N1755" s="171"/>
      <c r="O1755" s="171"/>
      <c r="P1755" s="171"/>
      <c r="Q1755" s="171"/>
      <c r="R1755" s="171"/>
      <c r="S1755" s="171"/>
      <c r="T1755" s="171"/>
      <c r="U1755" s="171"/>
      <c r="V1755" s="171"/>
      <c r="W1755" s="171"/>
      <c r="X1755" s="171"/>
      <c r="Y1755" s="171"/>
      <c r="Z1755" s="171"/>
      <c r="AA1755" s="171"/>
    </row>
    <row r="1756" spans="1:27" s="530" customFormat="1" hidden="1" x14ac:dyDescent="0.2">
      <c r="A1756" s="526"/>
      <c r="B1756" s="527"/>
      <c r="C1756" s="534"/>
      <c r="D1756" s="535"/>
      <c r="E1756" s="535"/>
      <c r="F1756" s="503" t="s">
        <v>238</v>
      </c>
      <c r="G1756" s="504" t="s">
        <v>239</v>
      </c>
      <c r="H1756" s="397"/>
      <c r="I1756" s="397"/>
      <c r="J1756" s="750"/>
      <c r="K1756" s="398"/>
      <c r="L1756" s="404"/>
      <c r="M1756" s="399"/>
      <c r="N1756" s="171"/>
      <c r="O1756" s="171"/>
      <c r="P1756" s="171"/>
      <c r="Q1756" s="171"/>
      <c r="R1756" s="171"/>
      <c r="S1756" s="171"/>
      <c r="T1756" s="171"/>
      <c r="U1756" s="171"/>
      <c r="V1756" s="171"/>
      <c r="W1756" s="171"/>
      <c r="X1756" s="171"/>
      <c r="Y1756" s="171"/>
      <c r="Z1756" s="171"/>
      <c r="AA1756" s="171"/>
    </row>
    <row r="1757" spans="1:27" s="530" customFormat="1" hidden="1" x14ac:dyDescent="0.2">
      <c r="A1757" s="526"/>
      <c r="B1757" s="527"/>
      <c r="C1757" s="534"/>
      <c r="D1757" s="535"/>
      <c r="E1757" s="535"/>
      <c r="F1757" s="503" t="s">
        <v>240</v>
      </c>
      <c r="G1757" s="504" t="s">
        <v>241</v>
      </c>
      <c r="H1757" s="397"/>
      <c r="I1757" s="397"/>
      <c r="J1757" s="750"/>
      <c r="K1757" s="398"/>
      <c r="L1757" s="404"/>
      <c r="M1757" s="399"/>
      <c r="N1757" s="171"/>
      <c r="O1757" s="171"/>
      <c r="P1757" s="171"/>
      <c r="Q1757" s="171"/>
      <c r="R1757" s="171"/>
      <c r="S1757" s="171"/>
      <c r="T1757" s="171"/>
      <c r="U1757" s="171"/>
      <c r="V1757" s="171"/>
      <c r="W1757" s="171"/>
      <c r="X1757" s="171"/>
      <c r="Y1757" s="171"/>
      <c r="Z1757" s="171"/>
      <c r="AA1757" s="171"/>
    </row>
    <row r="1758" spans="1:27" s="530" customFormat="1" hidden="1" x14ac:dyDescent="0.2">
      <c r="A1758" s="526"/>
      <c r="B1758" s="527"/>
      <c r="C1758" s="534"/>
      <c r="D1758" s="535"/>
      <c r="E1758" s="535"/>
      <c r="F1758" s="503" t="s">
        <v>242</v>
      </c>
      <c r="G1758" s="504" t="s">
        <v>243</v>
      </c>
      <c r="H1758" s="397"/>
      <c r="I1758" s="397"/>
      <c r="J1758" s="750"/>
      <c r="K1758" s="398"/>
      <c r="L1758" s="404"/>
      <c r="M1758" s="399"/>
      <c r="N1758" s="171"/>
      <c r="O1758" s="171"/>
      <c r="P1758" s="171"/>
      <c r="Q1758" s="171"/>
      <c r="R1758" s="171"/>
      <c r="S1758" s="171"/>
      <c r="T1758" s="171"/>
      <c r="U1758" s="171"/>
      <c r="V1758" s="171"/>
      <c r="W1758" s="171"/>
      <c r="X1758" s="171"/>
      <c r="Y1758" s="171"/>
      <c r="Z1758" s="171"/>
      <c r="AA1758" s="171"/>
    </row>
    <row r="1759" spans="1:27" s="530" customFormat="1" hidden="1" x14ac:dyDescent="0.2">
      <c r="A1759" s="526"/>
      <c r="B1759" s="527"/>
      <c r="C1759" s="534"/>
      <c r="D1759" s="535"/>
      <c r="E1759" s="535"/>
      <c r="F1759" s="503" t="s">
        <v>244</v>
      </c>
      <c r="G1759" s="504" t="s">
        <v>245</v>
      </c>
      <c r="H1759" s="397"/>
      <c r="I1759" s="397"/>
      <c r="J1759" s="750"/>
      <c r="K1759" s="398"/>
      <c r="L1759" s="404"/>
      <c r="M1759" s="399"/>
      <c r="N1759" s="171"/>
      <c r="O1759" s="171"/>
      <c r="P1759" s="171"/>
      <c r="Q1759" s="171"/>
      <c r="R1759" s="171"/>
      <c r="S1759" s="171"/>
      <c r="T1759" s="171"/>
      <c r="U1759" s="171"/>
      <c r="V1759" s="171"/>
      <c r="W1759" s="171"/>
      <c r="X1759" s="171"/>
      <c r="Y1759" s="171"/>
      <c r="Z1759" s="171"/>
      <c r="AA1759" s="171"/>
    </row>
    <row r="1760" spans="1:27" s="530" customFormat="1" hidden="1" x14ac:dyDescent="0.2">
      <c r="A1760" s="526"/>
      <c r="B1760" s="527"/>
      <c r="C1760" s="534"/>
      <c r="D1760" s="535"/>
      <c r="E1760" s="535"/>
      <c r="F1760" s="503" t="s">
        <v>246</v>
      </c>
      <c r="G1760" s="504" t="s">
        <v>247</v>
      </c>
      <c r="H1760" s="397"/>
      <c r="I1760" s="397"/>
      <c r="J1760" s="750"/>
      <c r="K1760" s="398"/>
      <c r="L1760" s="404"/>
      <c r="M1760" s="399"/>
      <c r="N1760" s="171"/>
      <c r="O1760" s="171"/>
      <c r="P1760" s="171"/>
      <c r="Q1760" s="171"/>
      <c r="R1760" s="171"/>
      <c r="S1760" s="171"/>
      <c r="T1760" s="171"/>
      <c r="U1760" s="171"/>
      <c r="V1760" s="171"/>
      <c r="W1760" s="171"/>
      <c r="X1760" s="171"/>
      <c r="Y1760" s="171"/>
      <c r="Z1760" s="171"/>
      <c r="AA1760" s="171"/>
    </row>
    <row r="1761" spans="1:27" s="530" customFormat="1" ht="25.5" hidden="1" x14ac:dyDescent="0.2">
      <c r="A1761" s="526"/>
      <c r="B1761" s="527"/>
      <c r="C1761" s="534"/>
      <c r="D1761" s="535"/>
      <c r="E1761" s="535"/>
      <c r="F1761" s="503" t="s">
        <v>248</v>
      </c>
      <c r="G1761" s="504" t="s">
        <v>249</v>
      </c>
      <c r="H1761" s="397"/>
      <c r="I1761" s="397"/>
      <c r="J1761" s="750"/>
      <c r="K1761" s="398"/>
      <c r="L1761" s="404"/>
      <c r="M1761" s="399"/>
      <c r="N1761" s="171"/>
      <c r="O1761" s="171"/>
      <c r="P1761" s="171"/>
      <c r="Q1761" s="171"/>
      <c r="R1761" s="171"/>
      <c r="S1761" s="171"/>
      <c r="T1761" s="171"/>
      <c r="U1761" s="171"/>
      <c r="V1761" s="171"/>
      <c r="W1761" s="171"/>
      <c r="X1761" s="171"/>
      <c r="Y1761" s="171"/>
      <c r="Z1761" s="171"/>
      <c r="AA1761" s="171"/>
    </row>
    <row r="1762" spans="1:27" s="530" customFormat="1" hidden="1" x14ac:dyDescent="0.2">
      <c r="A1762" s="526"/>
      <c r="B1762" s="527"/>
      <c r="C1762" s="534"/>
      <c r="D1762" s="535"/>
      <c r="E1762" s="535"/>
      <c r="F1762" s="503" t="s">
        <v>250</v>
      </c>
      <c r="G1762" s="504" t="s">
        <v>57</v>
      </c>
      <c r="H1762" s="397"/>
      <c r="I1762" s="397"/>
      <c r="J1762" s="750"/>
      <c r="K1762" s="398"/>
      <c r="L1762" s="404"/>
      <c r="M1762" s="399"/>
      <c r="N1762" s="171"/>
      <c r="O1762" s="171"/>
      <c r="P1762" s="171"/>
      <c r="Q1762" s="171"/>
      <c r="R1762" s="171"/>
      <c r="S1762" s="171"/>
      <c r="T1762" s="171"/>
      <c r="U1762" s="171"/>
      <c r="V1762" s="171"/>
      <c r="W1762" s="171"/>
      <c r="X1762" s="171"/>
      <c r="Y1762" s="171"/>
      <c r="Z1762" s="171"/>
      <c r="AA1762" s="171"/>
    </row>
    <row r="1763" spans="1:27" s="530" customFormat="1" hidden="1" x14ac:dyDescent="0.2">
      <c r="A1763" s="526"/>
      <c r="B1763" s="527"/>
      <c r="C1763" s="534"/>
      <c r="D1763" s="535"/>
      <c r="E1763" s="535"/>
      <c r="F1763" s="503" t="s">
        <v>251</v>
      </c>
      <c r="G1763" s="504" t="s">
        <v>252</v>
      </c>
      <c r="H1763" s="397"/>
      <c r="I1763" s="397"/>
      <c r="J1763" s="750"/>
      <c r="K1763" s="398"/>
      <c r="L1763" s="404"/>
      <c r="M1763" s="399"/>
      <c r="N1763" s="171"/>
      <c r="O1763" s="171"/>
      <c r="P1763" s="171"/>
      <c r="Q1763" s="171"/>
      <c r="R1763" s="171"/>
      <c r="S1763" s="171"/>
      <c r="T1763" s="171"/>
      <c r="U1763" s="171"/>
      <c r="V1763" s="171"/>
      <c r="W1763" s="171"/>
      <c r="X1763" s="171"/>
      <c r="Y1763" s="171"/>
      <c r="Z1763" s="171"/>
      <c r="AA1763" s="171"/>
    </row>
    <row r="1764" spans="1:27" s="530" customFormat="1" hidden="1" x14ac:dyDescent="0.2">
      <c r="A1764" s="526"/>
      <c r="B1764" s="527"/>
      <c r="C1764" s="534"/>
      <c r="D1764" s="535"/>
      <c r="E1764" s="535"/>
      <c r="F1764" s="503" t="s">
        <v>253</v>
      </c>
      <c r="G1764" s="504" t="s">
        <v>254</v>
      </c>
      <c r="H1764" s="397"/>
      <c r="I1764" s="397"/>
      <c r="J1764" s="750"/>
      <c r="K1764" s="398"/>
      <c r="L1764" s="404"/>
      <c r="M1764" s="399"/>
      <c r="N1764" s="171"/>
      <c r="O1764" s="171"/>
      <c r="P1764" s="171"/>
      <c r="Q1764" s="171"/>
      <c r="R1764" s="171"/>
      <c r="S1764" s="171"/>
      <c r="T1764" s="171"/>
      <c r="U1764" s="171"/>
      <c r="V1764" s="171"/>
      <c r="W1764" s="171"/>
      <c r="X1764" s="171"/>
      <c r="Y1764" s="171"/>
      <c r="Z1764" s="171"/>
      <c r="AA1764" s="171"/>
    </row>
    <row r="1765" spans="1:27" s="530" customFormat="1" ht="25.5" hidden="1" x14ac:dyDescent="0.2">
      <c r="A1765" s="526"/>
      <c r="B1765" s="527"/>
      <c r="C1765" s="534"/>
      <c r="D1765" s="535"/>
      <c r="E1765" s="535"/>
      <c r="F1765" s="503" t="s">
        <v>255</v>
      </c>
      <c r="G1765" s="504" t="s">
        <v>256</v>
      </c>
      <c r="H1765" s="397"/>
      <c r="I1765" s="397"/>
      <c r="J1765" s="750"/>
      <c r="K1765" s="398"/>
      <c r="L1765" s="404"/>
      <c r="M1765" s="399"/>
      <c r="N1765" s="171"/>
      <c r="O1765" s="171"/>
      <c r="P1765" s="171"/>
      <c r="Q1765" s="171"/>
      <c r="R1765" s="171"/>
      <c r="S1765" s="171"/>
      <c r="T1765" s="171"/>
      <c r="U1765" s="171"/>
      <c r="V1765" s="171"/>
      <c r="W1765" s="171"/>
      <c r="X1765" s="171"/>
      <c r="Y1765" s="171"/>
      <c r="Z1765" s="171"/>
      <c r="AA1765" s="171"/>
    </row>
    <row r="1766" spans="1:27" s="530" customFormat="1" ht="25.5" hidden="1" x14ac:dyDescent="0.2">
      <c r="A1766" s="526"/>
      <c r="B1766" s="527"/>
      <c r="C1766" s="534"/>
      <c r="D1766" s="535"/>
      <c r="E1766" s="535"/>
      <c r="F1766" s="503" t="s">
        <v>257</v>
      </c>
      <c r="G1766" s="504" t="s">
        <v>258</v>
      </c>
      <c r="H1766" s="397"/>
      <c r="I1766" s="397"/>
      <c r="J1766" s="750"/>
      <c r="K1766" s="398"/>
      <c r="L1766" s="404"/>
      <c r="M1766" s="399"/>
      <c r="N1766" s="171"/>
      <c r="O1766" s="171"/>
      <c r="P1766" s="171"/>
      <c r="Q1766" s="171"/>
      <c r="R1766" s="171"/>
      <c r="S1766" s="171"/>
      <c r="T1766" s="171"/>
      <c r="U1766" s="171"/>
      <c r="V1766" s="171"/>
      <c r="W1766" s="171"/>
      <c r="X1766" s="171"/>
      <c r="Y1766" s="171"/>
      <c r="Z1766" s="171"/>
      <c r="AA1766" s="171"/>
    </row>
    <row r="1767" spans="1:27" s="530" customFormat="1" ht="25.5" hidden="1" x14ac:dyDescent="0.2">
      <c r="A1767" s="526"/>
      <c r="B1767" s="527"/>
      <c r="C1767" s="534"/>
      <c r="D1767" s="535"/>
      <c r="E1767" s="535"/>
      <c r="F1767" s="503" t="s">
        <v>259</v>
      </c>
      <c r="G1767" s="504" t="s">
        <v>260</v>
      </c>
      <c r="H1767" s="397"/>
      <c r="I1767" s="397"/>
      <c r="J1767" s="750"/>
      <c r="K1767" s="398"/>
      <c r="L1767" s="404"/>
      <c r="M1767" s="399"/>
      <c r="N1767" s="171"/>
      <c r="O1767" s="171"/>
      <c r="P1767" s="171"/>
      <c r="Q1767" s="171"/>
      <c r="R1767" s="171"/>
      <c r="S1767" s="171"/>
      <c r="T1767" s="171"/>
      <c r="U1767" s="171"/>
      <c r="V1767" s="171"/>
      <c r="W1767" s="171"/>
      <c r="X1767" s="171"/>
      <c r="Y1767" s="171"/>
      <c r="Z1767" s="171"/>
      <c r="AA1767" s="171"/>
    </row>
    <row r="1768" spans="1:27" s="530" customFormat="1" ht="25.5" hidden="1" x14ac:dyDescent="0.2">
      <c r="A1768" s="526"/>
      <c r="B1768" s="527"/>
      <c r="C1768" s="534"/>
      <c r="D1768" s="535"/>
      <c r="E1768" s="535"/>
      <c r="F1768" s="503" t="s">
        <v>261</v>
      </c>
      <c r="G1768" s="504" t="s">
        <v>262</v>
      </c>
      <c r="H1768" s="397"/>
      <c r="I1768" s="397"/>
      <c r="J1768" s="750"/>
      <c r="K1768" s="398"/>
      <c r="L1768" s="404"/>
      <c r="M1768" s="399"/>
      <c r="N1768" s="171"/>
      <c r="O1768" s="171"/>
      <c r="P1768" s="171"/>
      <c r="Q1768" s="171"/>
      <c r="R1768" s="171"/>
      <c r="S1768" s="171"/>
      <c r="T1768" s="171"/>
      <c r="U1768" s="171"/>
      <c r="V1768" s="171"/>
      <c r="W1768" s="171"/>
      <c r="X1768" s="171"/>
      <c r="Y1768" s="171"/>
      <c r="Z1768" s="171"/>
      <c r="AA1768" s="171"/>
    </row>
    <row r="1769" spans="1:27" s="530" customFormat="1" hidden="1" x14ac:dyDescent="0.2">
      <c r="A1769" s="526"/>
      <c r="B1769" s="527"/>
      <c r="C1769" s="534"/>
      <c r="D1769" s="535"/>
      <c r="E1769" s="535"/>
      <c r="F1769" s="503" t="s">
        <v>263</v>
      </c>
      <c r="G1769" s="504" t="s">
        <v>264</v>
      </c>
      <c r="H1769" s="403"/>
      <c r="I1769" s="403"/>
      <c r="J1769" s="750"/>
      <c r="K1769" s="404"/>
      <c r="L1769" s="404"/>
      <c r="M1769" s="399"/>
      <c r="N1769" s="171"/>
      <c r="O1769" s="171"/>
      <c r="P1769" s="171"/>
      <c r="Q1769" s="171"/>
      <c r="R1769" s="171"/>
      <c r="S1769" s="171"/>
      <c r="T1769" s="171"/>
      <c r="U1769" s="171"/>
      <c r="V1769" s="171"/>
      <c r="W1769" s="171"/>
      <c r="X1769" s="171"/>
      <c r="Y1769" s="171"/>
      <c r="Z1769" s="171"/>
      <c r="AA1769" s="171"/>
    </row>
    <row r="1770" spans="1:27" s="530" customFormat="1" ht="13.5" hidden="1" thickBot="1" x14ac:dyDescent="0.25">
      <c r="A1770" s="526"/>
      <c r="B1770" s="527"/>
      <c r="C1770" s="534"/>
      <c r="D1770" s="535"/>
      <c r="E1770" s="535"/>
      <c r="F1770" s="464"/>
      <c r="G1770" s="505" t="s">
        <v>4265</v>
      </c>
      <c r="H1770" s="405">
        <f>SUM(H1754:H1769)</f>
        <v>0</v>
      </c>
      <c r="I1770" s="405"/>
      <c r="J1770" s="750"/>
      <c r="K1770" s="406">
        <f>SUM(K1755:K1769)</f>
        <v>0</v>
      </c>
      <c r="L1770" s="406"/>
      <c r="M1770" s="399"/>
      <c r="N1770" s="171"/>
      <c r="O1770" s="171"/>
      <c r="P1770" s="171"/>
      <c r="Q1770" s="171"/>
      <c r="R1770" s="171"/>
      <c r="S1770" s="171"/>
      <c r="T1770" s="171"/>
      <c r="U1770" s="171"/>
      <c r="V1770" s="171"/>
      <c r="W1770" s="171"/>
      <c r="X1770" s="171"/>
      <c r="Y1770" s="171"/>
      <c r="Z1770" s="171"/>
      <c r="AA1770" s="171"/>
    </row>
    <row r="1771" spans="1:27" s="530" customFormat="1" hidden="1" x14ac:dyDescent="0.2">
      <c r="A1771" s="526"/>
      <c r="B1771" s="527"/>
      <c r="C1771" s="534"/>
      <c r="D1771" s="535"/>
      <c r="E1771" s="535"/>
      <c r="F1771" s="167"/>
      <c r="G1771" s="513"/>
      <c r="H1771" s="422"/>
      <c r="I1771" s="422"/>
      <c r="J1771" s="750"/>
      <c r="K1771" s="423"/>
      <c r="L1771" s="424"/>
      <c r="M1771" s="399"/>
      <c r="N1771" s="171"/>
      <c r="O1771" s="171"/>
      <c r="P1771" s="169"/>
      <c r="Q1771" s="171"/>
      <c r="R1771" s="171"/>
      <c r="S1771" s="171"/>
      <c r="T1771" s="171"/>
      <c r="U1771" s="171"/>
      <c r="V1771" s="171"/>
      <c r="W1771" s="171"/>
      <c r="X1771" s="171"/>
      <c r="Y1771" s="171"/>
      <c r="Z1771" s="171"/>
      <c r="AA1771" s="171"/>
    </row>
    <row r="1772" spans="1:27" s="530" customFormat="1" hidden="1" x14ac:dyDescent="0.2">
      <c r="A1772" s="526"/>
      <c r="B1772" s="527"/>
      <c r="C1772" s="534"/>
      <c r="D1772" s="535"/>
      <c r="E1772" s="535"/>
      <c r="F1772" s="167"/>
      <c r="G1772" s="513"/>
      <c r="H1772" s="422"/>
      <c r="I1772" s="422"/>
      <c r="J1772" s="750"/>
      <c r="K1772" s="423"/>
      <c r="L1772" s="424"/>
      <c r="M1772" s="399"/>
      <c r="N1772" s="171"/>
      <c r="O1772" s="171"/>
      <c r="P1772" s="169"/>
      <c r="Q1772" s="171"/>
      <c r="R1772" s="171"/>
      <c r="S1772" s="171"/>
      <c r="T1772" s="171"/>
      <c r="U1772" s="171"/>
      <c r="V1772" s="171"/>
      <c r="W1772" s="171"/>
      <c r="X1772" s="171"/>
      <c r="Y1772" s="171"/>
      <c r="Z1772" s="171"/>
      <c r="AA1772" s="171"/>
    </row>
    <row r="1773" spans="1:27" s="530" customFormat="1" x14ac:dyDescent="0.2">
      <c r="A1773" s="526"/>
      <c r="B1773" s="527"/>
      <c r="C1773" s="489" t="s">
        <v>3600</v>
      </c>
      <c r="D1773" s="464"/>
      <c r="E1773" s="464"/>
      <c r="F1773" s="464"/>
      <c r="G1773" s="513" t="s">
        <v>4202</v>
      </c>
      <c r="H1773" s="397"/>
      <c r="I1773" s="397"/>
      <c r="J1773" s="750"/>
      <c r="K1773" s="398"/>
      <c r="L1773" s="398"/>
      <c r="M1773" s="399"/>
      <c r="N1773" s="171"/>
      <c r="O1773" s="171"/>
      <c r="P1773" s="169"/>
      <c r="Q1773" s="171"/>
      <c r="R1773" s="171"/>
      <c r="S1773" s="171"/>
      <c r="T1773" s="171"/>
      <c r="U1773" s="171"/>
      <c r="V1773" s="171"/>
      <c r="W1773" s="171"/>
      <c r="X1773" s="171"/>
      <c r="Y1773" s="171"/>
      <c r="Z1773" s="171"/>
      <c r="AA1773" s="171"/>
    </row>
    <row r="1774" spans="1:27" s="530" customFormat="1" ht="12.75" customHeight="1" x14ac:dyDescent="0.2">
      <c r="A1774" s="526"/>
      <c r="B1774" s="527"/>
      <c r="C1774" s="542" t="s">
        <v>4134</v>
      </c>
      <c r="D1774" s="464"/>
      <c r="E1774" s="464"/>
      <c r="F1774" s="464"/>
      <c r="G1774" s="513" t="s">
        <v>4135</v>
      </c>
      <c r="H1774" s="397"/>
      <c r="I1774" s="397"/>
      <c r="J1774" s="750"/>
      <c r="K1774" s="398"/>
      <c r="L1774" s="398"/>
      <c r="M1774" s="399"/>
      <c r="N1774" s="171"/>
      <c r="O1774" s="171"/>
      <c r="P1774" s="169"/>
      <c r="Q1774" s="171"/>
      <c r="R1774" s="171"/>
      <c r="S1774" s="171"/>
      <c r="T1774" s="171"/>
      <c r="U1774" s="171"/>
      <c r="V1774" s="171"/>
      <c r="W1774" s="171"/>
      <c r="X1774" s="171"/>
      <c r="Y1774" s="171"/>
      <c r="Z1774" s="171"/>
      <c r="AA1774" s="171"/>
    </row>
    <row r="1775" spans="1:27" s="530" customFormat="1" x14ac:dyDescent="0.2">
      <c r="A1775" s="526"/>
      <c r="B1775" s="527"/>
      <c r="C1775" s="489"/>
      <c r="D1775" s="492">
        <v>130</v>
      </c>
      <c r="E1775" s="492"/>
      <c r="F1775" s="492"/>
      <c r="G1775" s="514" t="s">
        <v>4301</v>
      </c>
      <c r="H1775" s="397"/>
      <c r="I1775" s="397"/>
      <c r="J1775" s="750"/>
      <c r="K1775" s="398"/>
      <c r="L1775" s="398"/>
      <c r="M1775" s="399"/>
      <c r="N1775" s="171"/>
      <c r="O1775" s="171"/>
      <c r="P1775" s="169"/>
      <c r="Q1775" s="171"/>
      <c r="R1775" s="171"/>
      <c r="S1775" s="171"/>
      <c r="T1775" s="171"/>
      <c r="U1775" s="171"/>
      <c r="V1775" s="171"/>
      <c r="W1775" s="171"/>
      <c r="X1775" s="171"/>
      <c r="Y1775" s="171"/>
      <c r="Z1775" s="171"/>
      <c r="AA1775" s="171"/>
    </row>
    <row r="1776" spans="1:27" s="530" customFormat="1" x14ac:dyDescent="0.2">
      <c r="A1776" s="526"/>
      <c r="B1776" s="527"/>
      <c r="C1776" s="465"/>
      <c r="D1776" s="464"/>
      <c r="E1776" s="464">
        <v>16</v>
      </c>
      <c r="F1776" s="494">
        <v>411</v>
      </c>
      <c r="G1776" s="495" t="s">
        <v>4167</v>
      </c>
      <c r="H1776" s="397">
        <v>33691500</v>
      </c>
      <c r="I1776" s="397">
        <v>33674843.590000004</v>
      </c>
      <c r="J1776" s="750">
        <f t="shared" ref="J1776:J1804" si="12">SUM(I1776/H1776)*100</f>
        <v>99.950561981508699</v>
      </c>
      <c r="K1776" s="398">
        <v>486515</v>
      </c>
      <c r="L1776" s="398">
        <v>1045397.19</v>
      </c>
      <c r="M1776" s="682"/>
      <c r="N1776" s="171"/>
      <c r="O1776" s="171"/>
      <c r="P1776" s="169"/>
      <c r="Q1776" s="171"/>
      <c r="R1776" s="171"/>
      <c r="S1776" s="171"/>
      <c r="T1776" s="171"/>
      <c r="U1776" s="171"/>
      <c r="V1776" s="171"/>
      <c r="W1776" s="171"/>
      <c r="X1776" s="171"/>
      <c r="Y1776" s="171"/>
      <c r="Z1776" s="171"/>
      <c r="AA1776" s="171"/>
    </row>
    <row r="1777" spans="1:27" s="530" customFormat="1" x14ac:dyDescent="0.2">
      <c r="A1777" s="526"/>
      <c r="B1777" s="527"/>
      <c r="C1777" s="465"/>
      <c r="D1777" s="464"/>
      <c r="E1777" s="464">
        <v>17</v>
      </c>
      <c r="F1777" s="494">
        <v>412</v>
      </c>
      <c r="G1777" s="496" t="s">
        <v>3764</v>
      </c>
      <c r="H1777" s="397">
        <v>6031800</v>
      </c>
      <c r="I1777" s="397">
        <v>6015511.6100000003</v>
      </c>
      <c r="J1777" s="750">
        <f t="shared" si="12"/>
        <v>99.729958055638463</v>
      </c>
      <c r="K1777" s="398">
        <v>120000</v>
      </c>
      <c r="L1777" s="398">
        <v>187581.9</v>
      </c>
      <c r="M1777" s="682"/>
      <c r="N1777" s="171"/>
      <c r="O1777" s="171"/>
      <c r="P1777" s="169"/>
      <c r="Q1777" s="171"/>
      <c r="R1777" s="171"/>
      <c r="S1777" s="171"/>
      <c r="T1777" s="171"/>
      <c r="U1777" s="171"/>
      <c r="V1777" s="171"/>
      <c r="W1777" s="171"/>
      <c r="X1777" s="171"/>
      <c r="Y1777" s="171"/>
      <c r="Z1777" s="171"/>
      <c r="AA1777" s="171"/>
    </row>
    <row r="1778" spans="1:27" s="530" customFormat="1" x14ac:dyDescent="0.2">
      <c r="A1778" s="526"/>
      <c r="B1778" s="527"/>
      <c r="C1778" s="465"/>
      <c r="D1778" s="464"/>
      <c r="E1778" s="464">
        <v>18</v>
      </c>
      <c r="F1778" s="494">
        <v>413</v>
      </c>
      <c r="G1778" s="495" t="s">
        <v>4168</v>
      </c>
      <c r="H1778" s="397">
        <v>272000</v>
      </c>
      <c r="I1778" s="397">
        <v>133900</v>
      </c>
      <c r="J1778" s="750">
        <f t="shared" si="12"/>
        <v>49.227941176470594</v>
      </c>
      <c r="K1778" s="398"/>
      <c r="L1778" s="398"/>
      <c r="M1778" s="682"/>
      <c r="N1778" s="171"/>
      <c r="O1778" s="171"/>
      <c r="P1778" s="169"/>
      <c r="Q1778" s="171"/>
      <c r="R1778" s="171"/>
      <c r="S1778" s="171"/>
      <c r="T1778" s="171"/>
      <c r="U1778" s="171"/>
      <c r="V1778" s="171"/>
      <c r="W1778" s="171"/>
      <c r="X1778" s="171"/>
      <c r="Y1778" s="171"/>
      <c r="Z1778" s="171"/>
      <c r="AA1778" s="171"/>
    </row>
    <row r="1779" spans="1:27" s="530" customFormat="1" x14ac:dyDescent="0.2">
      <c r="A1779" s="526"/>
      <c r="B1779" s="527"/>
      <c r="C1779" s="465"/>
      <c r="D1779" s="464"/>
      <c r="E1779" s="464">
        <v>19</v>
      </c>
      <c r="F1779" s="494">
        <v>414</v>
      </c>
      <c r="G1779" s="495" t="s">
        <v>3767</v>
      </c>
      <c r="H1779" s="397">
        <v>1000000</v>
      </c>
      <c r="I1779" s="397">
        <v>419820.6</v>
      </c>
      <c r="J1779" s="750">
        <f t="shared" si="12"/>
        <v>41.982059999999997</v>
      </c>
      <c r="K1779" s="398"/>
      <c r="L1779" s="398"/>
      <c r="M1779" s="682"/>
      <c r="N1779" s="171"/>
      <c r="O1779" s="171"/>
      <c r="P1779" s="169"/>
      <c r="Q1779" s="171"/>
      <c r="R1779" s="171"/>
      <c r="S1779" s="171"/>
      <c r="T1779" s="171"/>
      <c r="U1779" s="171"/>
      <c r="V1779" s="171"/>
      <c r="W1779" s="171"/>
      <c r="X1779" s="171"/>
      <c r="Y1779" s="171"/>
      <c r="Z1779" s="171"/>
      <c r="AA1779" s="171"/>
    </row>
    <row r="1780" spans="1:27" s="530" customFormat="1" x14ac:dyDescent="0.2">
      <c r="A1780" s="526"/>
      <c r="B1780" s="527"/>
      <c r="C1780" s="465"/>
      <c r="D1780" s="464"/>
      <c r="E1780" s="464">
        <v>20</v>
      </c>
      <c r="F1780" s="494">
        <v>415</v>
      </c>
      <c r="G1780" s="495" t="s">
        <v>4177</v>
      </c>
      <c r="H1780" s="397">
        <v>1450000</v>
      </c>
      <c r="I1780" s="397">
        <v>1144813.58</v>
      </c>
      <c r="J1780" s="750">
        <f t="shared" si="12"/>
        <v>78.952660689655175</v>
      </c>
      <c r="K1780" s="398">
        <v>36000</v>
      </c>
      <c r="L1780" s="398">
        <v>17712</v>
      </c>
      <c r="M1780" s="682"/>
      <c r="N1780" s="171"/>
      <c r="O1780" s="171"/>
      <c r="P1780" s="329"/>
      <c r="Q1780" s="171"/>
      <c r="R1780" s="171"/>
      <c r="S1780" s="171"/>
      <c r="T1780" s="171"/>
      <c r="U1780" s="171"/>
      <c r="V1780" s="171"/>
      <c r="W1780" s="171"/>
      <c r="X1780" s="171"/>
      <c r="Y1780" s="171"/>
      <c r="Z1780" s="171"/>
      <c r="AA1780" s="171"/>
    </row>
    <row r="1781" spans="1:27" s="530" customFormat="1" ht="25.5" x14ac:dyDescent="0.2">
      <c r="A1781" s="526"/>
      <c r="B1781" s="527"/>
      <c r="C1781" s="465"/>
      <c r="D1781" s="464"/>
      <c r="E1781" s="464">
        <v>21</v>
      </c>
      <c r="F1781" s="494">
        <v>416</v>
      </c>
      <c r="G1781" s="495" t="s">
        <v>4178</v>
      </c>
      <c r="H1781" s="397">
        <v>500000</v>
      </c>
      <c r="I1781" s="397">
        <v>389532</v>
      </c>
      <c r="J1781" s="750">
        <f t="shared" si="12"/>
        <v>77.906399999999991</v>
      </c>
      <c r="K1781" s="398"/>
      <c r="L1781" s="398"/>
      <c r="M1781" s="682"/>
      <c r="N1781" s="171"/>
      <c r="O1781" s="171"/>
      <c r="P1781" s="710"/>
      <c r="Q1781" s="171"/>
      <c r="R1781" s="171"/>
      <c r="S1781" s="171"/>
      <c r="T1781" s="171"/>
      <c r="U1781" s="171"/>
      <c r="V1781" s="171"/>
      <c r="W1781" s="171"/>
      <c r="X1781" s="171"/>
      <c r="Y1781" s="171"/>
      <c r="Z1781" s="171"/>
      <c r="AA1781" s="171"/>
    </row>
    <row r="1782" spans="1:27" s="530" customFormat="1" hidden="1" x14ac:dyDescent="0.2">
      <c r="A1782" s="526"/>
      <c r="B1782" s="527"/>
      <c r="C1782" s="465"/>
      <c r="D1782" s="464"/>
      <c r="E1782" s="464"/>
      <c r="F1782" s="494">
        <v>417</v>
      </c>
      <c r="G1782" s="495" t="s">
        <v>4179</v>
      </c>
      <c r="H1782" s="397"/>
      <c r="I1782" s="397"/>
      <c r="J1782" s="750" t="e">
        <f t="shared" si="12"/>
        <v>#DIV/0!</v>
      </c>
      <c r="K1782" s="398"/>
      <c r="L1782" s="398"/>
      <c r="M1782" s="682"/>
      <c r="N1782" s="171"/>
      <c r="O1782" s="171"/>
      <c r="P1782" s="169"/>
      <c r="Q1782" s="171"/>
      <c r="R1782" s="171"/>
      <c r="S1782" s="171"/>
      <c r="T1782" s="171"/>
      <c r="U1782" s="171"/>
      <c r="V1782" s="171"/>
      <c r="W1782" s="171"/>
      <c r="X1782" s="171"/>
      <c r="Y1782" s="171"/>
      <c r="Z1782" s="171"/>
      <c r="AA1782" s="171"/>
    </row>
    <row r="1783" spans="1:27" s="530" customFormat="1" hidden="1" x14ac:dyDescent="0.2">
      <c r="A1783" s="526"/>
      <c r="B1783" s="527"/>
      <c r="C1783" s="465"/>
      <c r="D1783" s="464"/>
      <c r="E1783" s="464"/>
      <c r="F1783" s="494">
        <v>418</v>
      </c>
      <c r="G1783" s="495" t="s">
        <v>3773</v>
      </c>
      <c r="H1783" s="397"/>
      <c r="I1783" s="397"/>
      <c r="J1783" s="750" t="e">
        <f t="shared" si="12"/>
        <v>#DIV/0!</v>
      </c>
      <c r="K1783" s="398"/>
      <c r="L1783" s="398"/>
      <c r="M1783" s="682"/>
      <c r="N1783" s="171"/>
      <c r="O1783" s="171"/>
      <c r="P1783" s="169"/>
      <c r="Q1783" s="171"/>
      <c r="R1783" s="171"/>
      <c r="S1783" s="171"/>
      <c r="T1783" s="171"/>
      <c r="U1783" s="171"/>
      <c r="V1783" s="171"/>
      <c r="W1783" s="171"/>
      <c r="X1783" s="171"/>
      <c r="Y1783" s="171"/>
      <c r="Z1783" s="171"/>
      <c r="AA1783" s="171"/>
    </row>
    <row r="1784" spans="1:27" s="530" customFormat="1" x14ac:dyDescent="0.2">
      <c r="A1784" s="526"/>
      <c r="B1784" s="527"/>
      <c r="C1784" s="465"/>
      <c r="D1784" s="464"/>
      <c r="E1784" s="464">
        <v>22</v>
      </c>
      <c r="F1784" s="494">
        <v>421</v>
      </c>
      <c r="G1784" s="495" t="s">
        <v>3777</v>
      </c>
      <c r="H1784" s="397">
        <v>7096000</v>
      </c>
      <c r="I1784" s="397">
        <v>7092478.7699999996</v>
      </c>
      <c r="J1784" s="750">
        <f t="shared" si="12"/>
        <v>99.95037725479142</v>
      </c>
      <c r="K1784" s="398">
        <v>16000</v>
      </c>
      <c r="L1784" s="398">
        <v>1524.25</v>
      </c>
      <c r="M1784" s="682"/>
      <c r="N1784" s="543"/>
      <c r="O1784" s="171"/>
      <c r="P1784" s="169"/>
      <c r="Q1784" s="171"/>
      <c r="R1784" s="171"/>
      <c r="S1784" s="171"/>
      <c r="T1784" s="171"/>
      <c r="U1784" s="171"/>
      <c r="V1784" s="171"/>
      <c r="W1784" s="171"/>
      <c r="X1784" s="171"/>
      <c r="Y1784" s="171"/>
      <c r="Z1784" s="171"/>
      <c r="AA1784" s="171"/>
    </row>
    <row r="1785" spans="1:27" s="530" customFormat="1" x14ac:dyDescent="0.2">
      <c r="A1785" s="526"/>
      <c r="B1785" s="527"/>
      <c r="C1785" s="465"/>
      <c r="D1785" s="464"/>
      <c r="E1785" s="464">
        <v>23</v>
      </c>
      <c r="F1785" s="494">
        <v>422</v>
      </c>
      <c r="G1785" s="495" t="s">
        <v>3778</v>
      </c>
      <c r="H1785" s="397">
        <v>700000</v>
      </c>
      <c r="I1785" s="397">
        <v>626168.43999999994</v>
      </c>
      <c r="J1785" s="750">
        <f t="shared" si="12"/>
        <v>89.452634285714282</v>
      </c>
      <c r="K1785" s="398"/>
      <c r="L1785" s="398"/>
      <c r="M1785" s="682"/>
      <c r="N1785" s="171"/>
      <c r="O1785" s="171"/>
      <c r="P1785" s="169"/>
      <c r="Q1785" s="171"/>
      <c r="R1785" s="171"/>
      <c r="S1785" s="171"/>
      <c r="T1785" s="171"/>
      <c r="U1785" s="171"/>
      <c r="V1785" s="171"/>
      <c r="W1785" s="171"/>
      <c r="X1785" s="171"/>
      <c r="Y1785" s="171"/>
      <c r="Z1785" s="171"/>
      <c r="AA1785" s="171"/>
    </row>
    <row r="1786" spans="1:27" s="530" customFormat="1" x14ac:dyDescent="0.2">
      <c r="A1786" s="526"/>
      <c r="B1786" s="527"/>
      <c r="C1786" s="465"/>
      <c r="D1786" s="464"/>
      <c r="E1786" s="464">
        <v>24</v>
      </c>
      <c r="F1786" s="494">
        <v>423</v>
      </c>
      <c r="G1786" s="515" t="s">
        <v>3779</v>
      </c>
      <c r="H1786" s="397">
        <v>5217813</v>
      </c>
      <c r="I1786" s="397">
        <v>4426031.6900000004</v>
      </c>
      <c r="J1786" s="750">
        <f t="shared" si="12"/>
        <v>84.825418043919939</v>
      </c>
      <c r="K1786" s="398"/>
      <c r="L1786" s="398"/>
      <c r="M1786" s="682"/>
      <c r="N1786" s="171"/>
      <c r="O1786" s="171"/>
      <c r="P1786" s="169"/>
      <c r="Q1786" s="171"/>
      <c r="R1786" s="171"/>
      <c r="S1786" s="171"/>
      <c r="T1786" s="171"/>
      <c r="U1786" s="171"/>
      <c r="V1786" s="171"/>
      <c r="W1786" s="171"/>
      <c r="X1786" s="171"/>
      <c r="Y1786" s="171"/>
      <c r="Z1786" s="171"/>
      <c r="AA1786" s="171"/>
    </row>
    <row r="1787" spans="1:27" s="530" customFormat="1" x14ac:dyDescent="0.2">
      <c r="A1787" s="526"/>
      <c r="B1787" s="527"/>
      <c r="C1787" s="465"/>
      <c r="D1787" s="464"/>
      <c r="E1787" s="464">
        <v>25</v>
      </c>
      <c r="F1787" s="494">
        <v>424</v>
      </c>
      <c r="G1787" s="495" t="s">
        <v>3781</v>
      </c>
      <c r="H1787" s="397">
        <v>7007000</v>
      </c>
      <c r="I1787" s="397">
        <v>4502315.24</v>
      </c>
      <c r="J1787" s="750">
        <f t="shared" si="12"/>
        <v>64.254534608248889</v>
      </c>
      <c r="K1787" s="398"/>
      <c r="L1787" s="398"/>
      <c r="M1787" s="682"/>
      <c r="N1787" s="171"/>
      <c r="O1787" s="171"/>
      <c r="P1787" s="169"/>
      <c r="Q1787" s="171"/>
      <c r="R1787" s="171"/>
      <c r="S1787" s="171"/>
      <c r="T1787" s="171"/>
      <c r="U1787" s="171"/>
      <c r="V1787" s="171"/>
      <c r="W1787" s="171"/>
      <c r="X1787" s="171"/>
      <c r="Y1787" s="171"/>
      <c r="Z1787" s="171"/>
      <c r="AA1787" s="171"/>
    </row>
    <row r="1788" spans="1:27" s="530" customFormat="1" x14ac:dyDescent="0.2">
      <c r="A1788" s="526"/>
      <c r="B1788" s="527"/>
      <c r="C1788" s="465"/>
      <c r="D1788" s="464"/>
      <c r="E1788" s="464">
        <v>26</v>
      </c>
      <c r="F1788" s="494">
        <v>425</v>
      </c>
      <c r="G1788" s="515" t="s">
        <v>4180</v>
      </c>
      <c r="H1788" s="397">
        <v>4700000</v>
      </c>
      <c r="I1788" s="397">
        <v>4261773.13</v>
      </c>
      <c r="J1788" s="750">
        <f t="shared" si="12"/>
        <v>90.676024042553195</v>
      </c>
      <c r="K1788" s="398"/>
      <c r="L1788" s="398"/>
      <c r="M1788" s="682"/>
      <c r="N1788" s="171"/>
      <c r="O1788" s="171"/>
      <c r="P1788" s="169"/>
      <c r="Q1788" s="171"/>
      <c r="R1788" s="171"/>
      <c r="S1788" s="171"/>
      <c r="T1788" s="171"/>
      <c r="U1788" s="171"/>
      <c r="V1788" s="171"/>
      <c r="W1788" s="171"/>
      <c r="X1788" s="171"/>
      <c r="Y1788" s="171"/>
      <c r="Z1788" s="171"/>
      <c r="AA1788" s="171"/>
    </row>
    <row r="1789" spans="1:27" s="530" customFormat="1" ht="12.75" hidden="1" customHeight="1" x14ac:dyDescent="0.2">
      <c r="A1789" s="526"/>
      <c r="B1789" s="527"/>
      <c r="C1789" s="465"/>
      <c r="D1789" s="464"/>
      <c r="E1789" s="464"/>
      <c r="F1789" s="494"/>
      <c r="G1789" s="544"/>
      <c r="H1789" s="397"/>
      <c r="I1789" s="397"/>
      <c r="J1789" s="750" t="e">
        <f t="shared" si="12"/>
        <v>#DIV/0!</v>
      </c>
      <c r="K1789" s="398"/>
      <c r="L1789" s="398"/>
      <c r="M1789" s="682"/>
      <c r="N1789" s="171"/>
      <c r="O1789" s="171"/>
      <c r="P1789" s="169"/>
      <c r="Q1789" s="171"/>
      <c r="R1789" s="171"/>
      <c r="S1789" s="171"/>
      <c r="T1789" s="171"/>
      <c r="U1789" s="171"/>
      <c r="V1789" s="171"/>
      <c r="W1789" s="171"/>
      <c r="X1789" s="171"/>
      <c r="Y1789" s="171"/>
      <c r="Z1789" s="171"/>
      <c r="AA1789" s="171"/>
    </row>
    <row r="1790" spans="1:27" s="530" customFormat="1" x14ac:dyDescent="0.2">
      <c r="A1790" s="526"/>
      <c r="B1790" s="527"/>
      <c r="C1790" s="465"/>
      <c r="D1790" s="464"/>
      <c r="E1790" s="464">
        <v>27</v>
      </c>
      <c r="F1790" s="494">
        <v>426</v>
      </c>
      <c r="G1790" s="495" t="s">
        <v>3785</v>
      </c>
      <c r="H1790" s="397">
        <v>6497790</v>
      </c>
      <c r="I1790" s="397">
        <v>5627832.75</v>
      </c>
      <c r="J1790" s="750">
        <f t="shared" si="12"/>
        <v>86.61149021436519</v>
      </c>
      <c r="K1790" s="398"/>
      <c r="L1790" s="398">
        <v>15808</v>
      </c>
      <c r="M1790" s="682"/>
      <c r="N1790" s="171"/>
      <c r="O1790" s="171"/>
      <c r="P1790" s="169"/>
      <c r="Q1790" s="171"/>
      <c r="R1790" s="171"/>
      <c r="S1790" s="171"/>
      <c r="T1790" s="171"/>
      <c r="U1790" s="171"/>
      <c r="V1790" s="171"/>
      <c r="W1790" s="171"/>
      <c r="X1790" s="171"/>
      <c r="Y1790" s="171"/>
      <c r="Z1790" s="171"/>
      <c r="AA1790" s="171"/>
    </row>
    <row r="1791" spans="1:27" s="530" customFormat="1" hidden="1" x14ac:dyDescent="0.2">
      <c r="A1791" s="526"/>
      <c r="B1791" s="527"/>
      <c r="C1791" s="465"/>
      <c r="D1791" s="464"/>
      <c r="E1791" s="464"/>
      <c r="F1791" s="494">
        <v>431</v>
      </c>
      <c r="G1791" s="495" t="s">
        <v>4181</v>
      </c>
      <c r="H1791" s="397"/>
      <c r="I1791" s="397"/>
      <c r="J1791" s="750" t="e">
        <f t="shared" si="12"/>
        <v>#DIV/0!</v>
      </c>
      <c r="K1791" s="398"/>
      <c r="L1791" s="398"/>
      <c r="M1791" s="682"/>
      <c r="N1791" s="171"/>
      <c r="O1791" s="171"/>
      <c r="P1791" s="169"/>
      <c r="Q1791" s="171"/>
      <c r="R1791" s="171"/>
      <c r="S1791" s="171"/>
      <c r="T1791" s="171"/>
      <c r="U1791" s="171"/>
      <c r="V1791" s="171"/>
      <c r="W1791" s="171"/>
      <c r="X1791" s="171"/>
      <c r="Y1791" s="171"/>
      <c r="Z1791" s="171"/>
      <c r="AA1791" s="171"/>
    </row>
    <row r="1792" spans="1:27" s="530" customFormat="1" hidden="1" x14ac:dyDescent="0.2">
      <c r="A1792" s="526"/>
      <c r="B1792" s="527"/>
      <c r="C1792" s="465"/>
      <c r="D1792" s="464"/>
      <c r="E1792" s="464"/>
      <c r="F1792" s="494">
        <v>432</v>
      </c>
      <c r="G1792" s="495" t="s">
        <v>4182</v>
      </c>
      <c r="H1792" s="397"/>
      <c r="I1792" s="397"/>
      <c r="J1792" s="750" t="e">
        <f t="shared" si="12"/>
        <v>#DIV/0!</v>
      </c>
      <c r="K1792" s="398"/>
      <c r="L1792" s="398"/>
      <c r="M1792" s="682"/>
      <c r="N1792" s="171"/>
      <c r="O1792" s="171"/>
      <c r="P1792" s="169"/>
      <c r="Q1792" s="171"/>
      <c r="R1792" s="171"/>
      <c r="S1792" s="171"/>
      <c r="T1792" s="171"/>
      <c r="U1792" s="171"/>
      <c r="V1792" s="171"/>
      <c r="W1792" s="171"/>
      <c r="X1792" s="171"/>
      <c r="Y1792" s="171"/>
      <c r="Z1792" s="171"/>
      <c r="AA1792" s="171"/>
    </row>
    <row r="1793" spans="1:27" s="530" customFormat="1" hidden="1" x14ac:dyDescent="0.2">
      <c r="A1793" s="526"/>
      <c r="B1793" s="527"/>
      <c r="C1793" s="465"/>
      <c r="D1793" s="464"/>
      <c r="E1793" s="464"/>
      <c r="F1793" s="494">
        <v>433</v>
      </c>
      <c r="G1793" s="495" t="s">
        <v>4183</v>
      </c>
      <c r="H1793" s="397"/>
      <c r="I1793" s="397"/>
      <c r="J1793" s="750" t="e">
        <f t="shared" si="12"/>
        <v>#DIV/0!</v>
      </c>
      <c r="K1793" s="398"/>
      <c r="L1793" s="398"/>
      <c r="M1793" s="682"/>
      <c r="N1793" s="171"/>
      <c r="O1793" s="171"/>
      <c r="P1793" s="169"/>
      <c r="Q1793" s="171"/>
      <c r="R1793" s="171"/>
      <c r="S1793" s="171"/>
      <c r="T1793" s="171"/>
      <c r="U1793" s="171"/>
      <c r="V1793" s="171"/>
      <c r="W1793" s="171"/>
      <c r="X1793" s="171"/>
      <c r="Y1793" s="171"/>
      <c r="Z1793" s="171"/>
      <c r="AA1793" s="171"/>
    </row>
    <row r="1794" spans="1:27" s="530" customFormat="1" hidden="1" x14ac:dyDescent="0.2">
      <c r="A1794" s="526"/>
      <c r="B1794" s="527"/>
      <c r="C1794" s="465"/>
      <c r="D1794" s="464"/>
      <c r="E1794" s="464"/>
      <c r="F1794" s="494">
        <v>434</v>
      </c>
      <c r="G1794" s="495" t="s">
        <v>4184</v>
      </c>
      <c r="H1794" s="397"/>
      <c r="I1794" s="397"/>
      <c r="J1794" s="750" t="e">
        <f t="shared" si="12"/>
        <v>#DIV/0!</v>
      </c>
      <c r="K1794" s="398"/>
      <c r="L1794" s="398"/>
      <c r="M1794" s="682"/>
      <c r="N1794" s="171"/>
      <c r="O1794" s="171"/>
      <c r="P1794" s="169"/>
      <c r="Q1794" s="171"/>
      <c r="R1794" s="171"/>
      <c r="S1794" s="171"/>
      <c r="T1794" s="171"/>
      <c r="U1794" s="171"/>
      <c r="V1794" s="171"/>
      <c r="W1794" s="171"/>
      <c r="X1794" s="171"/>
      <c r="Y1794" s="171"/>
      <c r="Z1794" s="171"/>
      <c r="AA1794" s="171"/>
    </row>
    <row r="1795" spans="1:27" s="530" customFormat="1" hidden="1" x14ac:dyDescent="0.2">
      <c r="A1795" s="526"/>
      <c r="B1795" s="527"/>
      <c r="C1795" s="465"/>
      <c r="D1795" s="464"/>
      <c r="E1795" s="464"/>
      <c r="F1795" s="494">
        <v>435</v>
      </c>
      <c r="G1795" s="495" t="s">
        <v>3792</v>
      </c>
      <c r="H1795" s="397"/>
      <c r="I1795" s="397"/>
      <c r="J1795" s="750" t="e">
        <f t="shared" si="12"/>
        <v>#DIV/0!</v>
      </c>
      <c r="K1795" s="398"/>
      <c r="L1795" s="398"/>
      <c r="M1795" s="682"/>
      <c r="N1795" s="171"/>
      <c r="O1795" s="171"/>
      <c r="P1795" s="169"/>
      <c r="Q1795" s="171"/>
      <c r="R1795" s="171"/>
      <c r="S1795" s="171"/>
      <c r="T1795" s="171"/>
      <c r="U1795" s="171"/>
      <c r="V1795" s="171"/>
      <c r="W1795" s="171"/>
      <c r="X1795" s="171"/>
      <c r="Y1795" s="171"/>
      <c r="Z1795" s="171"/>
      <c r="AA1795" s="171"/>
    </row>
    <row r="1796" spans="1:27" s="530" customFormat="1" hidden="1" x14ac:dyDescent="0.2">
      <c r="A1796" s="526"/>
      <c r="B1796" s="527"/>
      <c r="C1796" s="465"/>
      <c r="D1796" s="464"/>
      <c r="E1796" s="464"/>
      <c r="F1796" s="494">
        <v>441</v>
      </c>
      <c r="G1796" s="495" t="s">
        <v>4185</v>
      </c>
      <c r="H1796" s="397"/>
      <c r="I1796" s="397"/>
      <c r="J1796" s="750" t="e">
        <f t="shared" si="12"/>
        <v>#DIV/0!</v>
      </c>
      <c r="K1796" s="398"/>
      <c r="L1796" s="398"/>
      <c r="M1796" s="682"/>
      <c r="N1796" s="171"/>
      <c r="O1796" s="171"/>
      <c r="P1796" s="169"/>
      <c r="Q1796" s="171"/>
      <c r="R1796" s="171"/>
      <c r="S1796" s="171"/>
      <c r="T1796" s="171"/>
      <c r="U1796" s="171"/>
      <c r="V1796" s="171"/>
      <c r="W1796" s="171"/>
      <c r="X1796" s="171"/>
      <c r="Y1796" s="171"/>
      <c r="Z1796" s="171"/>
      <c r="AA1796" s="171"/>
    </row>
    <row r="1797" spans="1:27" s="530" customFormat="1" hidden="1" x14ac:dyDescent="0.2">
      <c r="A1797" s="526"/>
      <c r="B1797" s="527"/>
      <c r="C1797" s="465"/>
      <c r="D1797" s="464"/>
      <c r="E1797" s="464"/>
      <c r="F1797" s="494">
        <v>442</v>
      </c>
      <c r="G1797" s="495" t="s">
        <v>4186</v>
      </c>
      <c r="H1797" s="397"/>
      <c r="I1797" s="397"/>
      <c r="J1797" s="750" t="e">
        <f t="shared" si="12"/>
        <v>#DIV/0!</v>
      </c>
      <c r="K1797" s="398"/>
      <c r="L1797" s="398"/>
      <c r="M1797" s="682"/>
      <c r="N1797" s="171"/>
      <c r="O1797" s="171"/>
      <c r="P1797" s="169"/>
      <c r="Q1797" s="171"/>
      <c r="R1797" s="171"/>
      <c r="S1797" s="171"/>
      <c r="T1797" s="171"/>
      <c r="U1797" s="171"/>
      <c r="V1797" s="171"/>
      <c r="W1797" s="171"/>
      <c r="X1797" s="171"/>
      <c r="Y1797" s="171"/>
      <c r="Z1797" s="171"/>
      <c r="AA1797" s="171"/>
    </row>
    <row r="1798" spans="1:27" s="530" customFormat="1" hidden="1" x14ac:dyDescent="0.2">
      <c r="A1798" s="526"/>
      <c r="B1798" s="527"/>
      <c r="C1798" s="465"/>
      <c r="D1798" s="464"/>
      <c r="E1798" s="464"/>
      <c r="F1798" s="494">
        <v>443</v>
      </c>
      <c r="G1798" s="495" t="s">
        <v>3797</v>
      </c>
      <c r="H1798" s="397"/>
      <c r="I1798" s="397"/>
      <c r="J1798" s="750" t="e">
        <f t="shared" si="12"/>
        <v>#DIV/0!</v>
      </c>
      <c r="K1798" s="398"/>
      <c r="L1798" s="398"/>
      <c r="M1798" s="682"/>
      <c r="N1798" s="171"/>
      <c r="O1798" s="171"/>
      <c r="P1798" s="169"/>
      <c r="Q1798" s="171"/>
      <c r="R1798" s="171"/>
      <c r="S1798" s="171"/>
      <c r="T1798" s="171"/>
      <c r="U1798" s="171"/>
      <c r="V1798" s="171"/>
      <c r="W1798" s="171"/>
      <c r="X1798" s="171"/>
      <c r="Y1798" s="171"/>
      <c r="Z1798" s="171"/>
      <c r="AA1798" s="171"/>
    </row>
    <row r="1799" spans="1:27" s="530" customFormat="1" hidden="1" x14ac:dyDescent="0.2">
      <c r="A1799" s="526"/>
      <c r="B1799" s="527"/>
      <c r="C1799" s="465"/>
      <c r="D1799" s="464"/>
      <c r="E1799" s="464"/>
      <c r="F1799" s="494">
        <v>444</v>
      </c>
      <c r="G1799" s="495" t="s">
        <v>3798</v>
      </c>
      <c r="H1799" s="397"/>
      <c r="I1799" s="397"/>
      <c r="J1799" s="750" t="e">
        <f t="shared" si="12"/>
        <v>#DIV/0!</v>
      </c>
      <c r="K1799" s="398"/>
      <c r="L1799" s="398"/>
      <c r="M1799" s="682"/>
      <c r="N1799" s="171"/>
      <c r="O1799" s="171"/>
      <c r="P1799" s="169"/>
      <c r="Q1799" s="171"/>
      <c r="R1799" s="171"/>
      <c r="S1799" s="171"/>
      <c r="T1799" s="171"/>
      <c r="U1799" s="171"/>
      <c r="V1799" s="171"/>
      <c r="W1799" s="171"/>
      <c r="X1799" s="171"/>
      <c r="Y1799" s="171"/>
      <c r="Z1799" s="171"/>
      <c r="AA1799" s="171"/>
    </row>
    <row r="1800" spans="1:27" s="530" customFormat="1" ht="25.5" hidden="1" x14ac:dyDescent="0.2">
      <c r="A1800" s="526"/>
      <c r="B1800" s="527"/>
      <c r="C1800" s="465"/>
      <c r="D1800" s="464"/>
      <c r="E1800" s="464"/>
      <c r="F1800" s="494">
        <v>4511</v>
      </c>
      <c r="G1800" s="466" t="s">
        <v>1692</v>
      </c>
      <c r="H1800" s="397"/>
      <c r="I1800" s="397"/>
      <c r="J1800" s="750" t="e">
        <f t="shared" si="12"/>
        <v>#DIV/0!</v>
      </c>
      <c r="K1800" s="398"/>
      <c r="L1800" s="398"/>
      <c r="M1800" s="682"/>
      <c r="N1800" s="171"/>
      <c r="O1800" s="171"/>
      <c r="P1800" s="169"/>
      <c r="Q1800" s="171"/>
      <c r="R1800" s="171"/>
      <c r="S1800" s="171"/>
      <c r="T1800" s="171"/>
      <c r="U1800" s="171"/>
      <c r="V1800" s="171"/>
      <c r="W1800" s="171"/>
      <c r="X1800" s="171"/>
      <c r="Y1800" s="171"/>
      <c r="Z1800" s="171"/>
      <c r="AA1800" s="171"/>
    </row>
    <row r="1801" spans="1:27" s="530" customFormat="1" ht="25.5" hidden="1" x14ac:dyDescent="0.2">
      <c r="A1801" s="526"/>
      <c r="B1801" s="527"/>
      <c r="C1801" s="465"/>
      <c r="D1801" s="464"/>
      <c r="E1801" s="464"/>
      <c r="F1801" s="494">
        <v>4512</v>
      </c>
      <c r="G1801" s="466" t="s">
        <v>1701</v>
      </c>
      <c r="H1801" s="397"/>
      <c r="I1801" s="397"/>
      <c r="J1801" s="750" t="e">
        <f t="shared" si="12"/>
        <v>#DIV/0!</v>
      </c>
      <c r="K1801" s="398"/>
      <c r="L1801" s="398"/>
      <c r="M1801" s="682"/>
      <c r="N1801" s="171"/>
      <c r="O1801" s="171"/>
      <c r="P1801" s="169"/>
      <c r="Q1801" s="171"/>
      <c r="R1801" s="171"/>
      <c r="S1801" s="171"/>
      <c r="T1801" s="171"/>
      <c r="U1801" s="171"/>
      <c r="V1801" s="171"/>
      <c r="W1801" s="171"/>
      <c r="X1801" s="171"/>
      <c r="Y1801" s="171"/>
      <c r="Z1801" s="171"/>
      <c r="AA1801" s="171"/>
    </row>
    <row r="1802" spans="1:27" s="530" customFormat="1" ht="25.5" hidden="1" x14ac:dyDescent="0.2">
      <c r="A1802" s="526"/>
      <c r="B1802" s="527"/>
      <c r="C1802" s="465"/>
      <c r="D1802" s="464"/>
      <c r="E1802" s="464"/>
      <c r="F1802" s="494">
        <v>452</v>
      </c>
      <c r="G1802" s="495" t="s">
        <v>4187</v>
      </c>
      <c r="H1802" s="397"/>
      <c r="I1802" s="397"/>
      <c r="J1802" s="750" t="e">
        <f t="shared" si="12"/>
        <v>#DIV/0!</v>
      </c>
      <c r="K1802" s="398"/>
      <c r="L1802" s="398"/>
      <c r="M1802" s="682"/>
      <c r="N1802" s="171"/>
      <c r="O1802" s="171"/>
      <c r="P1802" s="169"/>
      <c r="Q1802" s="171"/>
      <c r="R1802" s="171"/>
      <c r="S1802" s="171"/>
      <c r="T1802" s="171"/>
      <c r="U1802" s="171"/>
      <c r="V1802" s="171"/>
      <c r="W1802" s="171"/>
      <c r="X1802" s="171"/>
      <c r="Y1802" s="171"/>
      <c r="Z1802" s="171"/>
      <c r="AA1802" s="171"/>
    </row>
    <row r="1803" spans="1:27" s="530" customFormat="1" ht="25.5" hidden="1" x14ac:dyDescent="0.2">
      <c r="A1803" s="526"/>
      <c r="B1803" s="527"/>
      <c r="C1803" s="465"/>
      <c r="D1803" s="464"/>
      <c r="E1803" s="464"/>
      <c r="F1803" s="494">
        <v>453</v>
      </c>
      <c r="G1803" s="495" t="s">
        <v>4188</v>
      </c>
      <c r="H1803" s="397"/>
      <c r="I1803" s="397"/>
      <c r="J1803" s="750" t="e">
        <f t="shared" si="12"/>
        <v>#DIV/0!</v>
      </c>
      <c r="K1803" s="398"/>
      <c r="L1803" s="398"/>
      <c r="M1803" s="682"/>
      <c r="N1803" s="171"/>
      <c r="O1803" s="171"/>
      <c r="P1803" s="169"/>
      <c r="Q1803" s="171"/>
      <c r="R1803" s="171"/>
      <c r="S1803" s="171"/>
      <c r="T1803" s="171"/>
      <c r="U1803" s="171"/>
      <c r="V1803" s="171"/>
      <c r="W1803" s="171"/>
      <c r="X1803" s="171"/>
      <c r="Y1803" s="171"/>
      <c r="Z1803" s="171"/>
      <c r="AA1803" s="171"/>
    </row>
    <row r="1804" spans="1:27" s="530" customFormat="1" hidden="1" x14ac:dyDescent="0.2">
      <c r="A1804" s="526"/>
      <c r="B1804" s="527"/>
      <c r="C1804" s="465"/>
      <c r="D1804" s="464"/>
      <c r="E1804" s="464"/>
      <c r="F1804" s="494">
        <v>454</v>
      </c>
      <c r="G1804" s="495" t="s">
        <v>3803</v>
      </c>
      <c r="H1804" s="397"/>
      <c r="I1804" s="397"/>
      <c r="J1804" s="750" t="e">
        <f t="shared" si="12"/>
        <v>#DIV/0!</v>
      </c>
      <c r="K1804" s="398"/>
      <c r="L1804" s="398"/>
      <c r="M1804" s="682"/>
      <c r="N1804" s="171"/>
      <c r="O1804" s="171"/>
      <c r="P1804" s="169"/>
      <c r="Q1804" s="171"/>
      <c r="R1804" s="171"/>
      <c r="S1804" s="171"/>
      <c r="T1804" s="171"/>
      <c r="U1804" s="171"/>
      <c r="V1804" s="171"/>
      <c r="W1804" s="171"/>
      <c r="X1804" s="171"/>
      <c r="Y1804" s="171"/>
      <c r="Z1804" s="171"/>
      <c r="AA1804" s="171"/>
    </row>
    <row r="1805" spans="1:27" s="530" customFormat="1" hidden="1" x14ac:dyDescent="0.2">
      <c r="A1805" s="526"/>
      <c r="B1805" s="527"/>
      <c r="C1805" s="465"/>
      <c r="D1805" s="464"/>
      <c r="E1805" s="464"/>
      <c r="F1805" s="494">
        <v>461</v>
      </c>
      <c r="G1805" s="495" t="s">
        <v>4169</v>
      </c>
      <c r="H1805" s="397"/>
      <c r="I1805" s="397"/>
      <c r="J1805" s="750" t="e">
        <f t="shared" ref="J1805:J1868" si="13">SUM(I1805/H1805)*100</f>
        <v>#DIV/0!</v>
      </c>
      <c r="K1805" s="398"/>
      <c r="L1805" s="398"/>
      <c r="M1805" s="682"/>
      <c r="N1805" s="171"/>
      <c r="O1805" s="171"/>
      <c r="P1805" s="169"/>
      <c r="Q1805" s="171"/>
      <c r="R1805" s="171"/>
      <c r="S1805" s="171"/>
      <c r="T1805" s="171"/>
      <c r="U1805" s="171"/>
      <c r="V1805" s="171"/>
      <c r="W1805" s="171"/>
      <c r="X1805" s="171"/>
      <c r="Y1805" s="171"/>
      <c r="Z1805" s="171"/>
      <c r="AA1805" s="171"/>
    </row>
    <row r="1806" spans="1:27" s="530" customFormat="1" ht="25.5" hidden="1" x14ac:dyDescent="0.2">
      <c r="A1806" s="526"/>
      <c r="B1806" s="527"/>
      <c r="C1806" s="465"/>
      <c r="D1806" s="464"/>
      <c r="E1806" s="464"/>
      <c r="F1806" s="494">
        <v>462</v>
      </c>
      <c r="G1806" s="495" t="s">
        <v>3806</v>
      </c>
      <c r="H1806" s="397"/>
      <c r="I1806" s="397"/>
      <c r="J1806" s="750" t="e">
        <f t="shared" si="13"/>
        <v>#DIV/0!</v>
      </c>
      <c r="K1806" s="398"/>
      <c r="L1806" s="398"/>
      <c r="M1806" s="682"/>
      <c r="N1806" s="171"/>
      <c r="O1806" s="171"/>
      <c r="P1806" s="169"/>
      <c r="Q1806" s="171"/>
      <c r="R1806" s="171"/>
      <c r="S1806" s="171"/>
      <c r="T1806" s="171"/>
      <c r="U1806" s="171"/>
      <c r="V1806" s="171"/>
      <c r="W1806" s="171"/>
      <c r="X1806" s="171"/>
      <c r="Y1806" s="171"/>
      <c r="Z1806" s="171"/>
      <c r="AA1806" s="171"/>
    </row>
    <row r="1807" spans="1:27" s="530" customFormat="1" hidden="1" x14ac:dyDescent="0.2">
      <c r="A1807" s="526"/>
      <c r="B1807" s="527"/>
      <c r="C1807" s="465"/>
      <c r="D1807" s="464"/>
      <c r="E1807" s="464"/>
      <c r="F1807" s="494">
        <v>4631</v>
      </c>
      <c r="G1807" s="495" t="s">
        <v>3807</v>
      </c>
      <c r="H1807" s="397"/>
      <c r="I1807" s="397"/>
      <c r="J1807" s="750" t="e">
        <f t="shared" si="13"/>
        <v>#DIV/0!</v>
      </c>
      <c r="K1807" s="398"/>
      <c r="L1807" s="398"/>
      <c r="M1807" s="682"/>
      <c r="N1807" s="171"/>
      <c r="O1807" s="171"/>
      <c r="P1807" s="169"/>
      <c r="Q1807" s="171"/>
      <c r="R1807" s="171"/>
      <c r="S1807" s="171"/>
      <c r="T1807" s="171"/>
      <c r="U1807" s="171"/>
      <c r="V1807" s="171"/>
      <c r="W1807" s="171"/>
      <c r="X1807" s="171"/>
      <c r="Y1807" s="171"/>
      <c r="Z1807" s="171"/>
      <c r="AA1807" s="171"/>
    </row>
    <row r="1808" spans="1:27" s="530" customFormat="1" hidden="1" x14ac:dyDescent="0.2">
      <c r="A1808" s="526"/>
      <c r="B1808" s="527"/>
      <c r="C1808" s="465"/>
      <c r="D1808" s="464"/>
      <c r="E1808" s="464"/>
      <c r="F1808" s="494">
        <v>4632</v>
      </c>
      <c r="G1808" s="495" t="s">
        <v>3808</v>
      </c>
      <c r="H1808" s="397"/>
      <c r="I1808" s="397"/>
      <c r="J1808" s="750" t="e">
        <f t="shared" si="13"/>
        <v>#DIV/0!</v>
      </c>
      <c r="K1808" s="398"/>
      <c r="L1808" s="398"/>
      <c r="M1808" s="682"/>
      <c r="N1808" s="171"/>
      <c r="O1808" s="171"/>
      <c r="P1808" s="169"/>
      <c r="Q1808" s="171"/>
      <c r="R1808" s="171"/>
      <c r="S1808" s="171"/>
      <c r="T1808" s="171"/>
      <c r="U1808" s="171"/>
      <c r="V1808" s="171"/>
      <c r="W1808" s="171"/>
      <c r="X1808" s="171"/>
      <c r="Y1808" s="171"/>
      <c r="Z1808" s="171"/>
      <c r="AA1808" s="171"/>
    </row>
    <row r="1809" spans="1:27" s="530" customFormat="1" ht="25.5" hidden="1" x14ac:dyDescent="0.2">
      <c r="A1809" s="526"/>
      <c r="B1809" s="527"/>
      <c r="C1809" s="465"/>
      <c r="D1809" s="464"/>
      <c r="E1809" s="464"/>
      <c r="F1809" s="494">
        <v>464</v>
      </c>
      <c r="G1809" s="495" t="s">
        <v>3809</v>
      </c>
      <c r="H1809" s="397"/>
      <c r="I1809" s="397"/>
      <c r="J1809" s="750" t="e">
        <f t="shared" si="13"/>
        <v>#DIV/0!</v>
      </c>
      <c r="K1809" s="398"/>
      <c r="L1809" s="398"/>
      <c r="M1809" s="682"/>
      <c r="N1809" s="171"/>
      <c r="O1809" s="171"/>
      <c r="P1809" s="169"/>
      <c r="Q1809" s="171"/>
      <c r="R1809" s="171"/>
      <c r="S1809" s="171"/>
      <c r="T1809" s="171"/>
      <c r="U1809" s="171"/>
      <c r="V1809" s="171"/>
      <c r="W1809" s="171"/>
      <c r="X1809" s="171"/>
      <c r="Y1809" s="171"/>
      <c r="Z1809" s="171"/>
      <c r="AA1809" s="171"/>
    </row>
    <row r="1810" spans="1:27" s="530" customFormat="1" x14ac:dyDescent="0.2">
      <c r="A1810" s="526"/>
      <c r="B1810" s="527"/>
      <c r="C1810" s="465"/>
      <c r="D1810" s="464"/>
      <c r="E1810" s="464">
        <v>28</v>
      </c>
      <c r="F1810" s="494">
        <v>465</v>
      </c>
      <c r="G1810" s="495" t="s">
        <v>4170</v>
      </c>
      <c r="H1810" s="397">
        <v>5216000</v>
      </c>
      <c r="I1810" s="397">
        <v>5070179.26</v>
      </c>
      <c r="J1810" s="750">
        <f t="shared" si="13"/>
        <v>97.204356978527613</v>
      </c>
      <c r="K1810" s="398"/>
      <c r="L1810" s="398"/>
      <c r="M1810" s="682"/>
      <c r="N1810" s="545"/>
      <c r="O1810" s="171"/>
      <c r="P1810" s="329"/>
      <c r="Q1810" s="171"/>
      <c r="R1810" s="171"/>
      <c r="S1810" s="171"/>
      <c r="T1810" s="171"/>
      <c r="U1810" s="171"/>
      <c r="V1810" s="171"/>
      <c r="W1810" s="171"/>
      <c r="X1810" s="171"/>
      <c r="Y1810" s="171"/>
      <c r="Z1810" s="171"/>
      <c r="AA1810" s="171"/>
    </row>
    <row r="1811" spans="1:27" s="530" customFormat="1" hidden="1" x14ac:dyDescent="0.2">
      <c r="A1811" s="526"/>
      <c r="B1811" s="527"/>
      <c r="C1811" s="465"/>
      <c r="D1811" s="464"/>
      <c r="E1811" s="464"/>
      <c r="F1811" s="494">
        <v>472</v>
      </c>
      <c r="G1811" s="495" t="s">
        <v>3813</v>
      </c>
      <c r="H1811" s="397"/>
      <c r="I1811" s="397"/>
      <c r="J1811" s="750" t="e">
        <f t="shared" si="13"/>
        <v>#DIV/0!</v>
      </c>
      <c r="K1811" s="398"/>
      <c r="L1811" s="398"/>
      <c r="M1811" s="682"/>
      <c r="N1811" s="171"/>
      <c r="O1811" s="171"/>
      <c r="P1811" s="169"/>
      <c r="Q1811" s="171"/>
      <c r="R1811" s="171"/>
      <c r="S1811" s="171"/>
      <c r="T1811" s="171"/>
      <c r="U1811" s="171"/>
      <c r="V1811" s="171"/>
      <c r="W1811" s="171"/>
      <c r="X1811" s="171"/>
      <c r="Y1811" s="171"/>
      <c r="Z1811" s="171"/>
      <c r="AA1811" s="171"/>
    </row>
    <row r="1812" spans="1:27" s="530" customFormat="1" hidden="1" x14ac:dyDescent="0.2">
      <c r="A1812" s="526"/>
      <c r="B1812" s="527"/>
      <c r="C1812" s="465"/>
      <c r="D1812" s="464"/>
      <c r="E1812" s="464"/>
      <c r="F1812" s="494">
        <v>481</v>
      </c>
      <c r="G1812" s="495" t="s">
        <v>4189</v>
      </c>
      <c r="H1812" s="397"/>
      <c r="I1812" s="397"/>
      <c r="J1812" s="750" t="e">
        <f t="shared" si="13"/>
        <v>#DIV/0!</v>
      </c>
      <c r="K1812" s="398"/>
      <c r="L1812" s="398"/>
      <c r="M1812" s="682"/>
      <c r="N1812" s="171"/>
      <c r="O1812" s="171"/>
      <c r="P1812" s="169"/>
      <c r="Q1812" s="171"/>
      <c r="R1812" s="171"/>
      <c r="S1812" s="171"/>
      <c r="T1812" s="171"/>
      <c r="U1812" s="171"/>
      <c r="V1812" s="171"/>
      <c r="W1812" s="171"/>
      <c r="X1812" s="171"/>
      <c r="Y1812" s="171"/>
      <c r="Z1812" s="171"/>
      <c r="AA1812" s="171"/>
    </row>
    <row r="1813" spans="1:27" s="530" customFormat="1" x14ac:dyDescent="0.2">
      <c r="A1813" s="526"/>
      <c r="B1813" s="527"/>
      <c r="C1813" s="465"/>
      <c r="D1813" s="464"/>
      <c r="E1813" s="464">
        <v>29</v>
      </c>
      <c r="F1813" s="494">
        <v>482</v>
      </c>
      <c r="G1813" s="495" t="s">
        <v>4190</v>
      </c>
      <c r="H1813" s="397">
        <v>450000</v>
      </c>
      <c r="I1813" s="397">
        <v>371656.91</v>
      </c>
      <c r="J1813" s="750">
        <f t="shared" si="13"/>
        <v>82.590424444444437</v>
      </c>
      <c r="K1813" s="398"/>
      <c r="L1813" s="398"/>
      <c r="M1813" s="682"/>
      <c r="N1813" s="171"/>
      <c r="O1813" s="171"/>
      <c r="P1813" s="169"/>
      <c r="Q1813" s="171"/>
      <c r="R1813" s="171"/>
      <c r="S1813" s="171"/>
      <c r="T1813" s="171"/>
      <c r="U1813" s="171"/>
      <c r="V1813" s="171"/>
      <c r="W1813" s="171"/>
      <c r="X1813" s="171"/>
      <c r="Y1813" s="171"/>
      <c r="Z1813" s="171"/>
      <c r="AA1813" s="171"/>
    </row>
    <row r="1814" spans="1:27" s="530" customFormat="1" hidden="1" x14ac:dyDescent="0.2">
      <c r="A1814" s="526"/>
      <c r="B1814" s="527"/>
      <c r="C1814" s="465"/>
      <c r="D1814" s="464"/>
      <c r="E1814" s="464"/>
      <c r="F1814" s="494">
        <v>483</v>
      </c>
      <c r="G1814" s="497" t="s">
        <v>4191</v>
      </c>
      <c r="H1814" s="397"/>
      <c r="I1814" s="397"/>
      <c r="J1814" s="750" t="e">
        <f t="shared" si="13"/>
        <v>#DIV/0!</v>
      </c>
      <c r="K1814" s="398"/>
      <c r="L1814" s="398"/>
      <c r="M1814" s="682"/>
      <c r="N1814" s="171"/>
      <c r="O1814" s="171"/>
      <c r="P1814" s="169"/>
      <c r="Q1814" s="171"/>
      <c r="R1814" s="171"/>
      <c r="S1814" s="171"/>
      <c r="T1814" s="171"/>
      <c r="U1814" s="171"/>
      <c r="V1814" s="171"/>
      <c r="W1814" s="171"/>
      <c r="X1814" s="171"/>
      <c r="Y1814" s="171"/>
      <c r="Z1814" s="171"/>
      <c r="AA1814" s="171"/>
    </row>
    <row r="1815" spans="1:27" s="530" customFormat="1" ht="38.25" hidden="1" x14ac:dyDescent="0.2">
      <c r="A1815" s="526"/>
      <c r="B1815" s="527"/>
      <c r="C1815" s="465"/>
      <c r="D1815" s="464"/>
      <c r="E1815" s="464"/>
      <c r="F1815" s="494">
        <v>484</v>
      </c>
      <c r="G1815" s="495" t="s">
        <v>4192</v>
      </c>
      <c r="H1815" s="397"/>
      <c r="I1815" s="397"/>
      <c r="J1815" s="750" t="e">
        <f t="shared" si="13"/>
        <v>#DIV/0!</v>
      </c>
      <c r="K1815" s="398"/>
      <c r="L1815" s="398"/>
      <c r="M1815" s="682"/>
      <c r="N1815" s="171"/>
      <c r="O1815" s="171"/>
      <c r="P1815" s="169"/>
      <c r="Q1815" s="171"/>
      <c r="R1815" s="171"/>
      <c r="S1815" s="171"/>
      <c r="T1815" s="171"/>
      <c r="U1815" s="171"/>
      <c r="V1815" s="171"/>
      <c r="W1815" s="171"/>
      <c r="X1815" s="171"/>
      <c r="Y1815" s="171"/>
      <c r="Z1815" s="171"/>
      <c r="AA1815" s="171"/>
    </row>
    <row r="1816" spans="1:27" s="530" customFormat="1" ht="25.5" hidden="1" x14ac:dyDescent="0.2">
      <c r="A1816" s="526"/>
      <c r="B1816" s="527"/>
      <c r="C1816" s="465"/>
      <c r="D1816" s="464"/>
      <c r="E1816" s="464"/>
      <c r="F1816" s="494">
        <v>485</v>
      </c>
      <c r="G1816" s="495" t="s">
        <v>4193</v>
      </c>
      <c r="H1816" s="397"/>
      <c r="I1816" s="397"/>
      <c r="J1816" s="750" t="e">
        <f t="shared" si="13"/>
        <v>#DIV/0!</v>
      </c>
      <c r="K1816" s="398"/>
      <c r="L1816" s="398"/>
      <c r="M1816" s="682"/>
      <c r="N1816" s="171"/>
      <c r="O1816" s="171"/>
      <c r="P1816" s="169"/>
      <c r="Q1816" s="171"/>
      <c r="R1816" s="171"/>
      <c r="S1816" s="171"/>
      <c r="T1816" s="171"/>
      <c r="U1816" s="171"/>
      <c r="V1816" s="171"/>
      <c r="W1816" s="171"/>
      <c r="X1816" s="171"/>
      <c r="Y1816" s="171"/>
      <c r="Z1816" s="171"/>
      <c r="AA1816" s="171"/>
    </row>
    <row r="1817" spans="1:27" s="530" customFormat="1" ht="25.5" hidden="1" x14ac:dyDescent="0.2">
      <c r="A1817" s="526"/>
      <c r="B1817" s="527"/>
      <c r="C1817" s="465"/>
      <c r="D1817" s="464"/>
      <c r="E1817" s="464"/>
      <c r="F1817" s="494">
        <v>489</v>
      </c>
      <c r="G1817" s="495" t="s">
        <v>3821</v>
      </c>
      <c r="H1817" s="397"/>
      <c r="I1817" s="397"/>
      <c r="J1817" s="750" t="e">
        <f t="shared" si="13"/>
        <v>#DIV/0!</v>
      </c>
      <c r="K1817" s="398"/>
      <c r="L1817" s="398"/>
      <c r="M1817" s="682"/>
      <c r="N1817" s="171"/>
      <c r="O1817" s="171"/>
      <c r="P1817" s="169"/>
      <c r="Q1817" s="171"/>
      <c r="R1817" s="171"/>
      <c r="S1817" s="171"/>
      <c r="T1817" s="171"/>
      <c r="U1817" s="171"/>
      <c r="V1817" s="171"/>
      <c r="W1817" s="171"/>
      <c r="X1817" s="171"/>
      <c r="Y1817" s="171"/>
      <c r="Z1817" s="171"/>
      <c r="AA1817" s="171"/>
    </row>
    <row r="1818" spans="1:27" s="530" customFormat="1" ht="25.5" hidden="1" x14ac:dyDescent="0.2">
      <c r="A1818" s="526"/>
      <c r="B1818" s="527"/>
      <c r="C1818" s="465"/>
      <c r="D1818" s="464"/>
      <c r="E1818" s="464"/>
      <c r="F1818" s="494">
        <v>494</v>
      </c>
      <c r="G1818" s="495" t="s">
        <v>4171</v>
      </c>
      <c r="H1818" s="397"/>
      <c r="I1818" s="397"/>
      <c r="J1818" s="750" t="e">
        <f t="shared" si="13"/>
        <v>#DIV/0!</v>
      </c>
      <c r="K1818" s="398"/>
      <c r="L1818" s="398"/>
      <c r="M1818" s="682"/>
      <c r="N1818" s="171"/>
      <c r="O1818" s="171"/>
      <c r="P1818" s="169"/>
      <c r="Q1818" s="171"/>
      <c r="R1818" s="171"/>
      <c r="S1818" s="171"/>
      <c r="T1818" s="171"/>
      <c r="U1818" s="171"/>
      <c r="V1818" s="171"/>
      <c r="W1818" s="171"/>
      <c r="X1818" s="171"/>
      <c r="Y1818" s="171"/>
      <c r="Z1818" s="171"/>
      <c r="AA1818" s="171"/>
    </row>
    <row r="1819" spans="1:27" s="530" customFormat="1" ht="25.5" hidden="1" x14ac:dyDescent="0.2">
      <c r="A1819" s="526"/>
      <c r="B1819" s="527"/>
      <c r="C1819" s="465"/>
      <c r="D1819" s="464"/>
      <c r="E1819" s="464"/>
      <c r="F1819" s="494">
        <v>495</v>
      </c>
      <c r="G1819" s="495" t="s">
        <v>4172</v>
      </c>
      <c r="H1819" s="397"/>
      <c r="I1819" s="397"/>
      <c r="J1819" s="750" t="e">
        <f t="shared" si="13"/>
        <v>#DIV/0!</v>
      </c>
      <c r="K1819" s="398"/>
      <c r="L1819" s="398"/>
      <c r="M1819" s="682"/>
      <c r="N1819" s="171"/>
      <c r="O1819" s="171"/>
      <c r="P1819" s="169"/>
      <c r="Q1819" s="171"/>
      <c r="R1819" s="171"/>
      <c r="S1819" s="171"/>
      <c r="T1819" s="171"/>
      <c r="U1819" s="171"/>
      <c r="V1819" s="171"/>
      <c r="W1819" s="171"/>
      <c r="X1819" s="171"/>
      <c r="Y1819" s="171"/>
      <c r="Z1819" s="171"/>
      <c r="AA1819" s="171"/>
    </row>
    <row r="1820" spans="1:27" s="530" customFormat="1" ht="38.25" hidden="1" x14ac:dyDescent="0.2">
      <c r="A1820" s="526"/>
      <c r="B1820" s="527"/>
      <c r="C1820" s="465"/>
      <c r="D1820" s="464"/>
      <c r="E1820" s="464"/>
      <c r="F1820" s="494">
        <v>496</v>
      </c>
      <c r="G1820" s="495" t="s">
        <v>4173</v>
      </c>
      <c r="H1820" s="397"/>
      <c r="I1820" s="397"/>
      <c r="J1820" s="750" t="e">
        <f t="shared" si="13"/>
        <v>#DIV/0!</v>
      </c>
      <c r="K1820" s="398"/>
      <c r="L1820" s="398"/>
      <c r="M1820" s="682"/>
      <c r="N1820" s="171"/>
      <c r="O1820" s="171"/>
      <c r="P1820" s="169"/>
      <c r="Q1820" s="171"/>
      <c r="R1820" s="171"/>
      <c r="S1820" s="171"/>
      <c r="T1820" s="171"/>
      <c r="U1820" s="171"/>
      <c r="V1820" s="171"/>
      <c r="W1820" s="171"/>
      <c r="X1820" s="171"/>
      <c r="Y1820" s="171"/>
      <c r="Z1820" s="171"/>
      <c r="AA1820" s="171"/>
    </row>
    <row r="1821" spans="1:27" s="530" customFormat="1" ht="25.5" hidden="1" x14ac:dyDescent="0.2">
      <c r="A1821" s="526"/>
      <c r="B1821" s="527"/>
      <c r="C1821" s="465"/>
      <c r="D1821" s="464"/>
      <c r="E1821" s="464"/>
      <c r="F1821" s="494">
        <v>499</v>
      </c>
      <c r="G1821" s="495" t="s">
        <v>4174</v>
      </c>
      <c r="H1821" s="397"/>
      <c r="I1821" s="397"/>
      <c r="J1821" s="750" t="e">
        <f t="shared" si="13"/>
        <v>#DIV/0!</v>
      </c>
      <c r="K1821" s="398"/>
      <c r="L1821" s="398"/>
      <c r="M1821" s="682"/>
      <c r="N1821" s="171"/>
      <c r="O1821" s="171"/>
      <c r="P1821" s="169"/>
      <c r="Q1821" s="171"/>
      <c r="R1821" s="171"/>
      <c r="S1821" s="171"/>
      <c r="T1821" s="171"/>
      <c r="U1821" s="171"/>
      <c r="V1821" s="171"/>
      <c r="W1821" s="171"/>
      <c r="X1821" s="171"/>
      <c r="Y1821" s="171"/>
      <c r="Z1821" s="171"/>
      <c r="AA1821" s="171"/>
    </row>
    <row r="1822" spans="1:27" s="530" customFormat="1" ht="15" customHeight="1" x14ac:dyDescent="0.2">
      <c r="A1822" s="526"/>
      <c r="B1822" s="527"/>
      <c r="C1822" s="465"/>
      <c r="D1822" s="464"/>
      <c r="E1822" s="464">
        <v>30</v>
      </c>
      <c r="F1822" s="494">
        <v>511</v>
      </c>
      <c r="G1822" s="497" t="s">
        <v>4194</v>
      </c>
      <c r="H1822" s="397">
        <v>6450000</v>
      </c>
      <c r="I1822" s="397">
        <v>2368266.09</v>
      </c>
      <c r="J1822" s="750">
        <f t="shared" si="13"/>
        <v>36.717303720930225</v>
      </c>
      <c r="K1822" s="398"/>
      <c r="L1822" s="398">
        <v>900000</v>
      </c>
      <c r="M1822" s="682"/>
      <c r="N1822" s="171"/>
      <c r="O1822" s="545"/>
      <c r="P1822" s="329"/>
      <c r="Q1822" s="171"/>
      <c r="R1822" s="171"/>
      <c r="S1822" s="171"/>
      <c r="T1822" s="171"/>
      <c r="U1822" s="171"/>
      <c r="V1822" s="171"/>
      <c r="W1822" s="171"/>
      <c r="X1822" s="171"/>
      <c r="Y1822" s="171"/>
      <c r="Z1822" s="171"/>
      <c r="AA1822" s="171"/>
    </row>
    <row r="1823" spans="1:27" s="530" customFormat="1" ht="15" customHeight="1" x14ac:dyDescent="0.2">
      <c r="A1823" s="526"/>
      <c r="B1823" s="527"/>
      <c r="C1823" s="465"/>
      <c r="D1823" s="464"/>
      <c r="E1823" s="464"/>
      <c r="F1823" s="494"/>
      <c r="G1823" s="546"/>
      <c r="H1823" s="397"/>
      <c r="I1823" s="397"/>
      <c r="J1823" s="750"/>
      <c r="K1823" s="398"/>
      <c r="L1823" s="398"/>
      <c r="M1823" s="682"/>
      <c r="N1823" s="171"/>
      <c r="O1823" s="545"/>
      <c r="P1823" s="329"/>
      <c r="Q1823" s="171"/>
      <c r="R1823" s="171"/>
      <c r="S1823" s="171"/>
      <c r="T1823" s="171"/>
      <c r="U1823" s="171"/>
      <c r="V1823" s="171"/>
      <c r="W1823" s="171"/>
      <c r="X1823" s="171"/>
      <c r="Y1823" s="171"/>
      <c r="Z1823" s="171"/>
      <c r="AA1823" s="171"/>
    </row>
    <row r="1824" spans="1:27" s="530" customFormat="1" ht="13.5" customHeight="1" x14ac:dyDescent="0.2">
      <c r="A1824" s="526"/>
      <c r="B1824" s="527"/>
      <c r="C1824" s="465"/>
      <c r="D1824" s="464"/>
      <c r="E1824" s="464"/>
      <c r="F1824" s="494"/>
      <c r="G1824" s="547" t="s">
        <v>5339</v>
      </c>
      <c r="H1824" s="397"/>
      <c r="I1824" s="397"/>
      <c r="J1824" s="750"/>
      <c r="K1824" s="398"/>
      <c r="L1824" s="398"/>
      <c r="M1824" s="682"/>
      <c r="N1824" s="171"/>
      <c r="O1824" s="171"/>
      <c r="P1824" s="169"/>
      <c r="Q1824" s="171"/>
      <c r="R1824" s="171"/>
      <c r="S1824" s="171"/>
      <c r="T1824" s="171"/>
      <c r="U1824" s="171"/>
      <c r="V1824" s="171"/>
      <c r="W1824" s="171"/>
      <c r="X1824" s="171"/>
      <c r="Y1824" s="171"/>
      <c r="Z1824" s="171"/>
      <c r="AA1824" s="171"/>
    </row>
    <row r="1825" spans="1:27" s="530" customFormat="1" x14ac:dyDescent="0.2">
      <c r="A1825" s="526"/>
      <c r="B1825" s="527"/>
      <c r="C1825" s="465"/>
      <c r="D1825" s="464"/>
      <c r="E1825" s="464">
        <v>31</v>
      </c>
      <c r="F1825" s="494">
        <v>512</v>
      </c>
      <c r="G1825" s="497" t="s">
        <v>4195</v>
      </c>
      <c r="H1825" s="397">
        <v>938000</v>
      </c>
      <c r="I1825" s="397">
        <v>583786.5</v>
      </c>
      <c r="J1825" s="750">
        <f t="shared" si="13"/>
        <v>62.237366737739876</v>
      </c>
      <c r="K1825" s="398"/>
      <c r="L1825" s="398"/>
      <c r="M1825" s="682"/>
      <c r="N1825" s="171"/>
      <c r="O1825" s="171"/>
      <c r="P1825" s="169"/>
      <c r="Q1825" s="171"/>
      <c r="R1825" s="171"/>
      <c r="S1825" s="171"/>
      <c r="T1825" s="171"/>
      <c r="U1825" s="171"/>
      <c r="V1825" s="171"/>
      <c r="W1825" s="171"/>
      <c r="X1825" s="171"/>
      <c r="Y1825" s="171"/>
      <c r="Z1825" s="171"/>
      <c r="AA1825" s="171"/>
    </row>
    <row r="1826" spans="1:27" s="530" customFormat="1" hidden="1" x14ac:dyDescent="0.2">
      <c r="A1826" s="526"/>
      <c r="B1826" s="527"/>
      <c r="C1826" s="465"/>
      <c r="D1826" s="464"/>
      <c r="E1826" s="464"/>
      <c r="F1826" s="494">
        <v>513</v>
      </c>
      <c r="G1826" s="497" t="s">
        <v>4196</v>
      </c>
      <c r="H1826" s="397"/>
      <c r="I1826" s="397"/>
      <c r="J1826" s="750" t="e">
        <f t="shared" si="13"/>
        <v>#DIV/0!</v>
      </c>
      <c r="K1826" s="398"/>
      <c r="L1826" s="398"/>
      <c r="M1826" s="682"/>
      <c r="N1826" s="171"/>
      <c r="O1826" s="171"/>
      <c r="P1826" s="169"/>
      <c r="Q1826" s="171"/>
      <c r="R1826" s="171"/>
      <c r="S1826" s="171"/>
      <c r="T1826" s="171"/>
      <c r="U1826" s="171"/>
      <c r="V1826" s="171"/>
      <c r="W1826" s="171"/>
      <c r="X1826" s="171"/>
      <c r="Y1826" s="171"/>
      <c r="Z1826" s="171"/>
      <c r="AA1826" s="171"/>
    </row>
    <row r="1827" spans="1:27" s="530" customFormat="1" hidden="1" x14ac:dyDescent="0.2">
      <c r="A1827" s="526"/>
      <c r="B1827" s="527"/>
      <c r="C1827" s="465"/>
      <c r="D1827" s="464"/>
      <c r="E1827" s="464"/>
      <c r="F1827" s="494">
        <v>514</v>
      </c>
      <c r="G1827" s="495" t="s">
        <v>4197</v>
      </c>
      <c r="H1827" s="397"/>
      <c r="I1827" s="397"/>
      <c r="J1827" s="750" t="e">
        <f t="shared" si="13"/>
        <v>#DIV/0!</v>
      </c>
      <c r="K1827" s="398"/>
      <c r="L1827" s="398"/>
      <c r="M1827" s="682"/>
      <c r="N1827" s="171"/>
      <c r="O1827" s="171"/>
      <c r="P1827" s="169"/>
      <c r="Q1827" s="171"/>
      <c r="R1827" s="171"/>
      <c r="S1827" s="171"/>
      <c r="T1827" s="171"/>
      <c r="U1827" s="171"/>
      <c r="V1827" s="171"/>
      <c r="W1827" s="171"/>
      <c r="X1827" s="171"/>
      <c r="Y1827" s="171"/>
      <c r="Z1827" s="171"/>
      <c r="AA1827" s="171"/>
    </row>
    <row r="1828" spans="1:27" s="530" customFormat="1" hidden="1" x14ac:dyDescent="0.2">
      <c r="A1828" s="526"/>
      <c r="B1828" s="527"/>
      <c r="C1828" s="465"/>
      <c r="D1828" s="464"/>
      <c r="E1828" s="464"/>
      <c r="F1828" s="494">
        <v>515</v>
      </c>
      <c r="G1828" s="495" t="s">
        <v>3832</v>
      </c>
      <c r="H1828" s="397"/>
      <c r="I1828" s="397"/>
      <c r="J1828" s="750" t="e">
        <f t="shared" si="13"/>
        <v>#DIV/0!</v>
      </c>
      <c r="K1828" s="398"/>
      <c r="L1828" s="398"/>
      <c r="M1828" s="682"/>
      <c r="N1828" s="171"/>
      <c r="O1828" s="171"/>
      <c r="P1828" s="169"/>
      <c r="Q1828" s="171"/>
      <c r="R1828" s="171"/>
      <c r="S1828" s="171"/>
      <c r="T1828" s="171"/>
      <c r="U1828" s="171"/>
      <c r="V1828" s="171"/>
      <c r="W1828" s="171"/>
      <c r="X1828" s="171"/>
      <c r="Y1828" s="171"/>
      <c r="Z1828" s="171"/>
      <c r="AA1828" s="171"/>
    </row>
    <row r="1829" spans="1:27" s="530" customFormat="1" hidden="1" x14ac:dyDescent="0.2">
      <c r="A1829" s="526"/>
      <c r="B1829" s="527"/>
      <c r="C1829" s="465"/>
      <c r="D1829" s="464"/>
      <c r="E1829" s="464"/>
      <c r="F1829" s="494">
        <v>521</v>
      </c>
      <c r="G1829" s="495" t="s">
        <v>4198</v>
      </c>
      <c r="H1829" s="397"/>
      <c r="I1829" s="397"/>
      <c r="J1829" s="750" t="e">
        <f t="shared" si="13"/>
        <v>#DIV/0!</v>
      </c>
      <c r="K1829" s="398"/>
      <c r="L1829" s="398"/>
      <c r="M1829" s="682"/>
      <c r="N1829" s="171"/>
      <c r="O1829" s="171"/>
      <c r="P1829" s="169"/>
      <c r="Q1829" s="171"/>
      <c r="R1829" s="171"/>
      <c r="S1829" s="171"/>
      <c r="T1829" s="171"/>
      <c r="U1829" s="171"/>
      <c r="V1829" s="171"/>
      <c r="W1829" s="171"/>
      <c r="X1829" s="171"/>
      <c r="Y1829" s="171"/>
      <c r="Z1829" s="171"/>
      <c r="AA1829" s="171"/>
    </row>
    <row r="1830" spans="1:27" s="530" customFormat="1" hidden="1" x14ac:dyDescent="0.2">
      <c r="A1830" s="526"/>
      <c r="B1830" s="527"/>
      <c r="C1830" s="465"/>
      <c r="D1830" s="464"/>
      <c r="E1830" s="464"/>
      <c r="F1830" s="494">
        <v>522</v>
      </c>
      <c r="G1830" s="495" t="s">
        <v>4199</v>
      </c>
      <c r="H1830" s="397"/>
      <c r="I1830" s="397"/>
      <c r="J1830" s="750" t="e">
        <f t="shared" si="13"/>
        <v>#DIV/0!</v>
      </c>
      <c r="K1830" s="398"/>
      <c r="L1830" s="398"/>
      <c r="M1830" s="682"/>
      <c r="N1830" s="171"/>
      <c r="O1830" s="171"/>
      <c r="P1830" s="169"/>
      <c r="Q1830" s="171"/>
      <c r="R1830" s="171"/>
      <c r="S1830" s="171"/>
      <c r="T1830" s="171"/>
      <c r="U1830" s="171"/>
      <c r="V1830" s="171"/>
      <c r="W1830" s="171"/>
      <c r="X1830" s="171"/>
      <c r="Y1830" s="171"/>
      <c r="Z1830" s="171"/>
      <c r="AA1830" s="171"/>
    </row>
    <row r="1831" spans="1:27" s="530" customFormat="1" hidden="1" x14ac:dyDescent="0.2">
      <c r="A1831" s="526"/>
      <c r="B1831" s="527"/>
      <c r="C1831" s="465"/>
      <c r="D1831" s="464"/>
      <c r="E1831" s="464"/>
      <c r="F1831" s="494">
        <v>523</v>
      </c>
      <c r="G1831" s="495" t="s">
        <v>3837</v>
      </c>
      <c r="H1831" s="397"/>
      <c r="I1831" s="397"/>
      <c r="J1831" s="750" t="e">
        <f t="shared" si="13"/>
        <v>#DIV/0!</v>
      </c>
      <c r="K1831" s="398"/>
      <c r="L1831" s="398"/>
      <c r="M1831" s="682"/>
      <c r="N1831" s="171"/>
      <c r="O1831" s="171"/>
      <c r="P1831" s="169"/>
      <c r="Q1831" s="171"/>
      <c r="R1831" s="171"/>
      <c r="S1831" s="171"/>
      <c r="T1831" s="171"/>
      <c r="U1831" s="171"/>
      <c r="V1831" s="171"/>
      <c r="W1831" s="171"/>
      <c r="X1831" s="171"/>
      <c r="Y1831" s="171"/>
      <c r="Z1831" s="171"/>
      <c r="AA1831" s="171"/>
    </row>
    <row r="1832" spans="1:27" s="530" customFormat="1" ht="13.5" customHeight="1" x14ac:dyDescent="0.2">
      <c r="A1832" s="526"/>
      <c r="B1832" s="527"/>
      <c r="C1832" s="465"/>
      <c r="D1832" s="464"/>
      <c r="E1832" s="548" t="s">
        <v>5307</v>
      </c>
      <c r="F1832" s="494">
        <v>515</v>
      </c>
      <c r="G1832" s="496" t="s">
        <v>5308</v>
      </c>
      <c r="H1832" s="397">
        <v>0</v>
      </c>
      <c r="I1832" s="397">
        <v>0</v>
      </c>
      <c r="J1832" s="750"/>
      <c r="K1832" s="398"/>
      <c r="L1832" s="398"/>
      <c r="M1832" s="682"/>
      <c r="N1832" s="171"/>
      <c r="O1832" s="543"/>
      <c r="P1832" s="169"/>
      <c r="Q1832" s="171"/>
      <c r="R1832" s="171"/>
      <c r="S1832" s="171"/>
      <c r="T1832" s="171"/>
      <c r="U1832" s="171"/>
      <c r="V1832" s="171"/>
      <c r="W1832" s="171"/>
      <c r="X1832" s="171"/>
      <c r="Y1832" s="171"/>
      <c r="Z1832" s="171"/>
      <c r="AA1832" s="171"/>
    </row>
    <row r="1833" spans="1:27" s="530" customFormat="1" ht="13.5" thickBot="1" x14ac:dyDescent="0.25">
      <c r="A1833" s="526"/>
      <c r="B1833" s="527"/>
      <c r="C1833" s="465"/>
      <c r="D1833" s="464"/>
      <c r="E1833" s="464">
        <v>32</v>
      </c>
      <c r="F1833" s="494">
        <v>541</v>
      </c>
      <c r="G1833" s="515" t="s">
        <v>4200</v>
      </c>
      <c r="H1833" s="397">
        <v>2400000</v>
      </c>
      <c r="I1833" s="397">
        <v>2233139.1</v>
      </c>
      <c r="J1833" s="750">
        <f t="shared" si="13"/>
        <v>93.047462499999995</v>
      </c>
      <c r="K1833" s="398"/>
      <c r="L1833" s="398"/>
      <c r="M1833" s="682"/>
      <c r="N1833" s="543"/>
      <c r="O1833" s="171"/>
      <c r="P1833" s="169"/>
      <c r="Q1833" s="171"/>
      <c r="R1833" s="171"/>
      <c r="S1833" s="171"/>
      <c r="T1833" s="171"/>
      <c r="U1833" s="171"/>
      <c r="V1833" s="171"/>
      <c r="W1833" s="171"/>
      <c r="X1833" s="171"/>
      <c r="Y1833" s="171"/>
      <c r="Z1833" s="171"/>
      <c r="AA1833" s="171"/>
    </row>
    <row r="1834" spans="1:27" s="530" customFormat="1" ht="13.5" hidden="1" thickBot="1" x14ac:dyDescent="0.25">
      <c r="A1834" s="526"/>
      <c r="B1834" s="527"/>
      <c r="C1834" s="465"/>
      <c r="D1834" s="464"/>
      <c r="E1834" s="464"/>
      <c r="F1834" s="494">
        <v>542</v>
      </c>
      <c r="G1834" s="495" t="s">
        <v>4201</v>
      </c>
      <c r="H1834" s="397"/>
      <c r="I1834" s="397"/>
      <c r="J1834" s="750" t="e">
        <f t="shared" si="13"/>
        <v>#DIV/0!</v>
      </c>
      <c r="K1834" s="398"/>
      <c r="L1834" s="398"/>
      <c r="M1834" s="682"/>
      <c r="N1834" s="171"/>
      <c r="O1834" s="171"/>
      <c r="P1834" s="169"/>
      <c r="Q1834" s="171"/>
      <c r="R1834" s="171"/>
      <c r="S1834" s="171"/>
      <c r="T1834" s="171"/>
      <c r="U1834" s="171"/>
      <c r="V1834" s="171"/>
      <c r="W1834" s="171"/>
      <c r="X1834" s="171"/>
      <c r="Y1834" s="171"/>
      <c r="Z1834" s="171"/>
      <c r="AA1834" s="171"/>
    </row>
    <row r="1835" spans="1:27" s="530" customFormat="1" ht="13.5" hidden="1" thickBot="1" x14ac:dyDescent="0.25">
      <c r="A1835" s="526"/>
      <c r="B1835" s="527"/>
      <c r="C1835" s="465"/>
      <c r="D1835" s="464"/>
      <c r="E1835" s="464"/>
      <c r="F1835" s="494">
        <v>543</v>
      </c>
      <c r="G1835" s="495" t="s">
        <v>3842</v>
      </c>
      <c r="H1835" s="397"/>
      <c r="I1835" s="397"/>
      <c r="J1835" s="750" t="e">
        <f t="shared" si="13"/>
        <v>#DIV/0!</v>
      </c>
      <c r="K1835" s="398"/>
      <c r="L1835" s="398"/>
      <c r="M1835" s="682"/>
      <c r="N1835" s="171"/>
      <c r="O1835" s="171"/>
      <c r="P1835" s="169"/>
      <c r="Q1835" s="171"/>
      <c r="R1835" s="171"/>
      <c r="S1835" s="171"/>
      <c r="T1835" s="171"/>
      <c r="U1835" s="171"/>
      <c r="V1835" s="171"/>
      <c r="W1835" s="171"/>
      <c r="X1835" s="171"/>
      <c r="Y1835" s="171"/>
      <c r="Z1835" s="171"/>
      <c r="AA1835" s="171"/>
    </row>
    <row r="1836" spans="1:27" s="530" customFormat="1" ht="39" hidden="1" thickBot="1" x14ac:dyDescent="0.25">
      <c r="A1836" s="526"/>
      <c r="B1836" s="527"/>
      <c r="C1836" s="465"/>
      <c r="D1836" s="464"/>
      <c r="E1836" s="464"/>
      <c r="F1836" s="494">
        <v>551</v>
      </c>
      <c r="G1836" s="495" t="s">
        <v>4176</v>
      </c>
      <c r="H1836" s="397"/>
      <c r="I1836" s="397"/>
      <c r="J1836" s="750" t="e">
        <f t="shared" si="13"/>
        <v>#DIV/0!</v>
      </c>
      <c r="K1836" s="398"/>
      <c r="L1836" s="398"/>
      <c r="M1836" s="682"/>
      <c r="N1836" s="171"/>
      <c r="O1836" s="171"/>
      <c r="P1836" s="169"/>
      <c r="Q1836" s="171"/>
      <c r="R1836" s="171"/>
      <c r="S1836" s="171"/>
      <c r="T1836" s="171"/>
      <c r="U1836" s="171"/>
      <c r="V1836" s="171"/>
      <c r="W1836" s="171"/>
      <c r="X1836" s="171"/>
      <c r="Y1836" s="171"/>
      <c r="Z1836" s="171"/>
      <c r="AA1836" s="171"/>
    </row>
    <row r="1837" spans="1:27" s="530" customFormat="1" ht="13.5" hidden="1" thickBot="1" x14ac:dyDescent="0.25">
      <c r="A1837" s="526"/>
      <c r="B1837" s="527"/>
      <c r="C1837" s="465"/>
      <c r="D1837" s="464"/>
      <c r="E1837" s="464"/>
      <c r="F1837" s="498">
        <v>611</v>
      </c>
      <c r="G1837" s="499" t="s">
        <v>3848</v>
      </c>
      <c r="H1837" s="397"/>
      <c r="I1837" s="397"/>
      <c r="J1837" s="750" t="e">
        <f t="shared" si="13"/>
        <v>#DIV/0!</v>
      </c>
      <c r="K1837" s="398"/>
      <c r="L1837" s="398"/>
      <c r="M1837" s="682"/>
      <c r="N1837" s="171"/>
      <c r="O1837" s="171"/>
      <c r="P1837" s="169"/>
      <c r="Q1837" s="171"/>
      <c r="R1837" s="171"/>
      <c r="S1837" s="171"/>
      <c r="T1837" s="171"/>
      <c r="U1837" s="171"/>
      <c r="V1837" s="171"/>
      <c r="W1837" s="171"/>
      <c r="X1837" s="171"/>
      <c r="Y1837" s="171"/>
      <c r="Z1837" s="171"/>
      <c r="AA1837" s="171"/>
    </row>
    <row r="1838" spans="1:27" s="530" customFormat="1" ht="13.5" hidden="1" thickBot="1" x14ac:dyDescent="0.25">
      <c r="A1838" s="526"/>
      <c r="B1838" s="527"/>
      <c r="C1838" s="465"/>
      <c r="D1838" s="464"/>
      <c r="E1838" s="464"/>
      <c r="F1838" s="498">
        <v>620</v>
      </c>
      <c r="G1838" s="499" t="s">
        <v>88</v>
      </c>
      <c r="H1838" s="397"/>
      <c r="I1838" s="397"/>
      <c r="J1838" s="750" t="e">
        <f t="shared" si="13"/>
        <v>#DIV/0!</v>
      </c>
      <c r="K1838" s="398"/>
      <c r="L1838" s="398"/>
      <c r="M1838" s="682"/>
      <c r="N1838" s="171"/>
      <c r="O1838" s="171"/>
      <c r="P1838" s="169"/>
      <c r="Q1838" s="171"/>
      <c r="R1838" s="171"/>
      <c r="S1838" s="171"/>
      <c r="T1838" s="171"/>
      <c r="U1838" s="171"/>
      <c r="V1838" s="171"/>
      <c r="W1838" s="171"/>
      <c r="X1838" s="171"/>
      <c r="Y1838" s="171"/>
      <c r="Z1838" s="171"/>
      <c r="AA1838" s="171"/>
    </row>
    <row r="1839" spans="1:27" s="530" customFormat="1" x14ac:dyDescent="0.2">
      <c r="A1839" s="526"/>
      <c r="B1839" s="527"/>
      <c r="C1839" s="465"/>
      <c r="D1839" s="464"/>
      <c r="E1839" s="500"/>
      <c r="F1839" s="498"/>
      <c r="G1839" s="509" t="s">
        <v>4378</v>
      </c>
      <c r="H1839" s="400"/>
      <c r="I1839" s="400"/>
      <c r="J1839" s="750"/>
      <c r="K1839" s="401"/>
      <c r="L1839" s="402"/>
      <c r="M1839" s="682"/>
      <c r="N1839" s="171"/>
      <c r="O1839" s="171"/>
      <c r="P1839" s="169"/>
      <c r="Q1839" s="171"/>
      <c r="R1839" s="171"/>
      <c r="S1839" s="171"/>
      <c r="T1839" s="171"/>
      <c r="U1839" s="171"/>
      <c r="V1839" s="171"/>
      <c r="W1839" s="171"/>
      <c r="X1839" s="171"/>
      <c r="Y1839" s="171"/>
      <c r="Z1839" s="171"/>
      <c r="AA1839" s="171"/>
    </row>
    <row r="1840" spans="1:27" s="530" customFormat="1" x14ac:dyDescent="0.2">
      <c r="A1840" s="526"/>
      <c r="B1840" s="527"/>
      <c r="C1840" s="465"/>
      <c r="D1840" s="464"/>
      <c r="E1840" s="502"/>
      <c r="F1840" s="503" t="s">
        <v>234</v>
      </c>
      <c r="G1840" s="504" t="s">
        <v>235</v>
      </c>
      <c r="H1840" s="403">
        <v>81679903</v>
      </c>
      <c r="I1840" s="403">
        <f>SUM(I1776:I1833)</f>
        <v>78942049.260000005</v>
      </c>
      <c r="J1840" s="750">
        <f t="shared" si="13"/>
        <v>96.648069305371237</v>
      </c>
      <c r="K1840" s="404"/>
      <c r="L1840" s="404"/>
      <c r="M1840" s="682"/>
      <c r="N1840" s="171"/>
      <c r="O1840" s="171"/>
      <c r="P1840" s="169"/>
      <c r="Q1840" s="171"/>
      <c r="R1840" s="171"/>
      <c r="S1840" s="171"/>
      <c r="T1840" s="171"/>
      <c r="U1840" s="171"/>
      <c r="V1840" s="171"/>
      <c r="W1840" s="171"/>
      <c r="X1840" s="171"/>
      <c r="Y1840" s="171"/>
      <c r="Z1840" s="171"/>
      <c r="AA1840" s="171"/>
    </row>
    <row r="1841" spans="1:27" s="530" customFormat="1" hidden="1" x14ac:dyDescent="0.2">
      <c r="A1841" s="526"/>
      <c r="B1841" s="527"/>
      <c r="C1841" s="465"/>
      <c r="D1841" s="464"/>
      <c r="E1841" s="464"/>
      <c r="F1841" s="503" t="s">
        <v>236</v>
      </c>
      <c r="G1841" s="504" t="s">
        <v>237</v>
      </c>
      <c r="H1841" s="397"/>
      <c r="I1841" s="397"/>
      <c r="J1841" s="750" t="e">
        <f t="shared" si="13"/>
        <v>#DIV/0!</v>
      </c>
      <c r="K1841" s="398"/>
      <c r="L1841" s="404"/>
      <c r="M1841" s="682"/>
      <c r="N1841" s="171"/>
      <c r="O1841" s="171"/>
      <c r="P1841" s="169"/>
      <c r="Q1841" s="171"/>
      <c r="R1841" s="171"/>
      <c r="S1841" s="171"/>
      <c r="T1841" s="171"/>
      <c r="U1841" s="171"/>
      <c r="V1841" s="171"/>
      <c r="W1841" s="171"/>
      <c r="X1841" s="171"/>
      <c r="Y1841" s="171"/>
      <c r="Z1841" s="171"/>
      <c r="AA1841" s="171"/>
    </row>
    <row r="1842" spans="1:27" s="530" customFormat="1" hidden="1" x14ac:dyDescent="0.2">
      <c r="A1842" s="526"/>
      <c r="B1842" s="527"/>
      <c r="C1842" s="465"/>
      <c r="D1842" s="464"/>
      <c r="E1842" s="464"/>
      <c r="F1842" s="503" t="s">
        <v>238</v>
      </c>
      <c r="G1842" s="504" t="s">
        <v>239</v>
      </c>
      <c r="H1842" s="397"/>
      <c r="I1842" s="397"/>
      <c r="J1842" s="750" t="e">
        <f t="shared" si="13"/>
        <v>#DIV/0!</v>
      </c>
      <c r="K1842" s="398"/>
      <c r="L1842" s="404"/>
      <c r="M1842" s="682"/>
      <c r="N1842" s="171"/>
      <c r="O1842" s="171"/>
      <c r="P1842" s="169"/>
      <c r="Q1842" s="171"/>
      <c r="R1842" s="171"/>
      <c r="S1842" s="171"/>
      <c r="T1842" s="171"/>
      <c r="U1842" s="171"/>
      <c r="V1842" s="171"/>
      <c r="W1842" s="171"/>
      <c r="X1842" s="171"/>
      <c r="Y1842" s="171"/>
      <c r="Z1842" s="171"/>
      <c r="AA1842" s="171"/>
    </row>
    <row r="1843" spans="1:27" s="530" customFormat="1" hidden="1" x14ac:dyDescent="0.2">
      <c r="A1843" s="526"/>
      <c r="B1843" s="527"/>
      <c r="C1843" s="465"/>
      <c r="D1843" s="464"/>
      <c r="E1843" s="464"/>
      <c r="F1843" s="503" t="s">
        <v>240</v>
      </c>
      <c r="G1843" s="504" t="s">
        <v>241</v>
      </c>
      <c r="H1843" s="397"/>
      <c r="I1843" s="397"/>
      <c r="J1843" s="750" t="e">
        <f t="shared" si="13"/>
        <v>#DIV/0!</v>
      </c>
      <c r="K1843" s="398"/>
      <c r="L1843" s="404"/>
      <c r="M1843" s="682"/>
      <c r="N1843" s="171"/>
      <c r="O1843" s="171"/>
      <c r="P1843" s="169"/>
      <c r="Q1843" s="171"/>
      <c r="R1843" s="171"/>
      <c r="S1843" s="171"/>
      <c r="T1843" s="171"/>
      <c r="U1843" s="171"/>
      <c r="V1843" s="171"/>
      <c r="W1843" s="171"/>
      <c r="X1843" s="171"/>
      <c r="Y1843" s="171"/>
      <c r="Z1843" s="171"/>
      <c r="AA1843" s="171"/>
    </row>
    <row r="1844" spans="1:27" s="530" customFormat="1" hidden="1" x14ac:dyDescent="0.2">
      <c r="A1844" s="526"/>
      <c r="B1844" s="527"/>
      <c r="C1844" s="465"/>
      <c r="D1844" s="464"/>
      <c r="E1844" s="464"/>
      <c r="F1844" s="503" t="s">
        <v>242</v>
      </c>
      <c r="G1844" s="504" t="s">
        <v>243</v>
      </c>
      <c r="H1844" s="397"/>
      <c r="I1844" s="397"/>
      <c r="J1844" s="750" t="e">
        <f t="shared" si="13"/>
        <v>#DIV/0!</v>
      </c>
      <c r="K1844" s="398"/>
      <c r="L1844" s="404"/>
      <c r="M1844" s="682"/>
      <c r="N1844" s="171"/>
      <c r="O1844" s="171"/>
      <c r="P1844" s="169"/>
      <c r="Q1844" s="171"/>
      <c r="R1844" s="171"/>
      <c r="S1844" s="171"/>
      <c r="T1844" s="171"/>
      <c r="U1844" s="171"/>
      <c r="V1844" s="171"/>
      <c r="W1844" s="171"/>
      <c r="X1844" s="171"/>
      <c r="Y1844" s="171"/>
      <c r="Z1844" s="171"/>
      <c r="AA1844" s="171"/>
    </row>
    <row r="1845" spans="1:27" s="530" customFormat="1" hidden="1" x14ac:dyDescent="0.2">
      <c r="A1845" s="526"/>
      <c r="B1845" s="527"/>
      <c r="C1845" s="465"/>
      <c r="D1845" s="464"/>
      <c r="E1845" s="464"/>
      <c r="F1845" s="503" t="s">
        <v>244</v>
      </c>
      <c r="G1845" s="504" t="s">
        <v>245</v>
      </c>
      <c r="H1845" s="397"/>
      <c r="I1845" s="397"/>
      <c r="J1845" s="750" t="e">
        <f t="shared" si="13"/>
        <v>#DIV/0!</v>
      </c>
      <c r="K1845" s="398"/>
      <c r="L1845" s="404"/>
      <c r="M1845" s="682"/>
      <c r="N1845" s="171"/>
      <c r="O1845" s="171"/>
      <c r="P1845" s="169"/>
      <c r="Q1845" s="171"/>
      <c r="R1845" s="171"/>
      <c r="S1845" s="171"/>
      <c r="T1845" s="171"/>
      <c r="U1845" s="171"/>
      <c r="V1845" s="171"/>
      <c r="W1845" s="171"/>
      <c r="X1845" s="171"/>
      <c r="Y1845" s="171"/>
      <c r="Z1845" s="171"/>
      <c r="AA1845" s="171"/>
    </row>
    <row r="1846" spans="1:27" s="530" customFormat="1" hidden="1" x14ac:dyDescent="0.2">
      <c r="A1846" s="526"/>
      <c r="B1846" s="527"/>
      <c r="C1846" s="465"/>
      <c r="D1846" s="464"/>
      <c r="E1846" s="464"/>
      <c r="F1846" s="503" t="s">
        <v>246</v>
      </c>
      <c r="G1846" s="504" t="s">
        <v>247</v>
      </c>
      <c r="H1846" s="397"/>
      <c r="I1846" s="397"/>
      <c r="J1846" s="750" t="e">
        <f t="shared" si="13"/>
        <v>#DIV/0!</v>
      </c>
      <c r="K1846" s="398"/>
      <c r="L1846" s="404"/>
      <c r="M1846" s="682"/>
      <c r="N1846" s="171"/>
      <c r="O1846" s="171"/>
      <c r="P1846" s="169"/>
      <c r="Q1846" s="171"/>
      <c r="R1846" s="171"/>
      <c r="S1846" s="171"/>
      <c r="T1846" s="171"/>
      <c r="U1846" s="171"/>
      <c r="V1846" s="171"/>
      <c r="W1846" s="171"/>
      <c r="X1846" s="171"/>
      <c r="Y1846" s="171"/>
      <c r="Z1846" s="171"/>
      <c r="AA1846" s="171"/>
    </row>
    <row r="1847" spans="1:27" s="530" customFormat="1" ht="25.5" hidden="1" x14ac:dyDescent="0.2">
      <c r="A1847" s="526"/>
      <c r="B1847" s="527"/>
      <c r="C1847" s="465"/>
      <c r="D1847" s="464"/>
      <c r="E1847" s="464"/>
      <c r="F1847" s="503" t="s">
        <v>248</v>
      </c>
      <c r="G1847" s="504" t="s">
        <v>249</v>
      </c>
      <c r="H1847" s="397"/>
      <c r="I1847" s="397"/>
      <c r="J1847" s="750" t="e">
        <f t="shared" si="13"/>
        <v>#DIV/0!</v>
      </c>
      <c r="K1847" s="398"/>
      <c r="L1847" s="404"/>
      <c r="M1847" s="682"/>
      <c r="N1847" s="171"/>
      <c r="O1847" s="171"/>
      <c r="P1847" s="169"/>
      <c r="Q1847" s="171"/>
      <c r="R1847" s="171"/>
      <c r="S1847" s="171"/>
      <c r="T1847" s="171"/>
      <c r="U1847" s="171"/>
      <c r="V1847" s="171"/>
      <c r="W1847" s="171"/>
      <c r="X1847" s="171"/>
      <c r="Y1847" s="171"/>
      <c r="Z1847" s="171"/>
      <c r="AA1847" s="171"/>
    </row>
    <row r="1848" spans="1:27" s="530" customFormat="1" hidden="1" x14ac:dyDescent="0.2">
      <c r="A1848" s="526"/>
      <c r="B1848" s="527"/>
      <c r="C1848" s="465"/>
      <c r="D1848" s="464"/>
      <c r="E1848" s="464"/>
      <c r="F1848" s="503" t="s">
        <v>250</v>
      </c>
      <c r="G1848" s="504" t="s">
        <v>57</v>
      </c>
      <c r="H1848" s="397"/>
      <c r="I1848" s="397"/>
      <c r="J1848" s="750" t="e">
        <f t="shared" si="13"/>
        <v>#DIV/0!</v>
      </c>
      <c r="K1848" s="398"/>
      <c r="L1848" s="404"/>
      <c r="M1848" s="682"/>
      <c r="N1848" s="171"/>
      <c r="O1848" s="171"/>
      <c r="P1848" s="169"/>
      <c r="Q1848" s="171"/>
      <c r="R1848" s="171"/>
      <c r="S1848" s="171"/>
      <c r="T1848" s="171"/>
      <c r="U1848" s="171"/>
      <c r="V1848" s="171"/>
      <c r="W1848" s="171"/>
      <c r="X1848" s="171"/>
      <c r="Y1848" s="171"/>
      <c r="Z1848" s="171"/>
      <c r="AA1848" s="171"/>
    </row>
    <row r="1849" spans="1:27" s="530" customFormat="1" hidden="1" x14ac:dyDescent="0.2">
      <c r="A1849" s="526"/>
      <c r="B1849" s="527"/>
      <c r="C1849" s="465"/>
      <c r="D1849" s="464"/>
      <c r="E1849" s="464"/>
      <c r="F1849" s="503" t="s">
        <v>251</v>
      </c>
      <c r="G1849" s="504" t="s">
        <v>252</v>
      </c>
      <c r="H1849" s="397"/>
      <c r="I1849" s="397"/>
      <c r="J1849" s="750" t="e">
        <f t="shared" si="13"/>
        <v>#DIV/0!</v>
      </c>
      <c r="K1849" s="398"/>
      <c r="L1849" s="404"/>
      <c r="M1849" s="682"/>
      <c r="N1849" s="171"/>
      <c r="O1849" s="171"/>
      <c r="P1849" s="169"/>
      <c r="Q1849" s="171"/>
      <c r="R1849" s="171"/>
      <c r="S1849" s="171"/>
      <c r="T1849" s="171"/>
      <c r="U1849" s="171"/>
      <c r="V1849" s="171"/>
      <c r="W1849" s="171"/>
      <c r="X1849" s="171"/>
      <c r="Y1849" s="171"/>
      <c r="Z1849" s="171"/>
      <c r="AA1849" s="171"/>
    </row>
    <row r="1850" spans="1:27" s="530" customFormat="1" hidden="1" x14ac:dyDescent="0.2">
      <c r="A1850" s="526"/>
      <c r="B1850" s="527"/>
      <c r="C1850" s="465"/>
      <c r="D1850" s="464"/>
      <c r="E1850" s="464"/>
      <c r="F1850" s="503" t="s">
        <v>253</v>
      </c>
      <c r="G1850" s="504" t="s">
        <v>254</v>
      </c>
      <c r="H1850" s="397"/>
      <c r="I1850" s="397"/>
      <c r="J1850" s="750" t="e">
        <f t="shared" si="13"/>
        <v>#DIV/0!</v>
      </c>
      <c r="K1850" s="398"/>
      <c r="L1850" s="404"/>
      <c r="M1850" s="682"/>
      <c r="N1850" s="171"/>
      <c r="O1850" s="171"/>
      <c r="P1850" s="169"/>
      <c r="Q1850" s="171"/>
      <c r="R1850" s="171"/>
      <c r="S1850" s="171"/>
      <c r="T1850" s="171"/>
      <c r="U1850" s="171"/>
      <c r="V1850" s="171"/>
      <c r="W1850" s="171"/>
      <c r="X1850" s="171"/>
      <c r="Y1850" s="171"/>
      <c r="Z1850" s="171"/>
      <c r="AA1850" s="171"/>
    </row>
    <row r="1851" spans="1:27" s="530" customFormat="1" ht="25.5" hidden="1" x14ac:dyDescent="0.2">
      <c r="A1851" s="526"/>
      <c r="B1851" s="527"/>
      <c r="C1851" s="465"/>
      <c r="D1851" s="464"/>
      <c r="E1851" s="464"/>
      <c r="F1851" s="503" t="s">
        <v>255</v>
      </c>
      <c r="G1851" s="504" t="s">
        <v>256</v>
      </c>
      <c r="H1851" s="397"/>
      <c r="I1851" s="397"/>
      <c r="J1851" s="750" t="e">
        <f t="shared" si="13"/>
        <v>#DIV/0!</v>
      </c>
      <c r="K1851" s="398"/>
      <c r="L1851" s="404"/>
      <c r="M1851" s="682"/>
      <c r="N1851" s="171"/>
      <c r="O1851" s="171"/>
      <c r="P1851" s="169"/>
      <c r="Q1851" s="171"/>
      <c r="R1851" s="171"/>
      <c r="S1851" s="171"/>
      <c r="T1851" s="171"/>
      <c r="U1851" s="171"/>
      <c r="V1851" s="171"/>
      <c r="W1851" s="171"/>
      <c r="X1851" s="171"/>
      <c r="Y1851" s="171"/>
      <c r="Z1851" s="171"/>
      <c r="AA1851" s="171"/>
    </row>
    <row r="1852" spans="1:27" s="530" customFormat="1" ht="25.5" hidden="1" x14ac:dyDescent="0.2">
      <c r="A1852" s="526"/>
      <c r="B1852" s="527"/>
      <c r="C1852" s="465"/>
      <c r="D1852" s="464"/>
      <c r="E1852" s="464"/>
      <c r="F1852" s="503" t="s">
        <v>257</v>
      </c>
      <c r="G1852" s="504" t="s">
        <v>258</v>
      </c>
      <c r="H1852" s="397"/>
      <c r="I1852" s="397"/>
      <c r="J1852" s="750" t="e">
        <f t="shared" si="13"/>
        <v>#DIV/0!</v>
      </c>
      <c r="K1852" s="398"/>
      <c r="L1852" s="404"/>
      <c r="M1852" s="682"/>
      <c r="N1852" s="171"/>
      <c r="O1852" s="171"/>
      <c r="P1852" s="169"/>
      <c r="Q1852" s="171"/>
      <c r="R1852" s="171"/>
      <c r="S1852" s="171"/>
      <c r="T1852" s="171"/>
      <c r="U1852" s="171"/>
      <c r="V1852" s="171"/>
      <c r="W1852" s="171"/>
      <c r="X1852" s="171"/>
      <c r="Y1852" s="171"/>
      <c r="Z1852" s="171"/>
      <c r="AA1852" s="171"/>
    </row>
    <row r="1853" spans="1:27" s="530" customFormat="1" ht="12.75" customHeight="1" x14ac:dyDescent="0.2">
      <c r="A1853" s="526"/>
      <c r="B1853" s="527"/>
      <c r="C1853" s="465"/>
      <c r="D1853" s="464"/>
      <c r="E1853" s="464"/>
      <c r="F1853" s="549" t="s">
        <v>240</v>
      </c>
      <c r="G1853" s="504" t="s">
        <v>241</v>
      </c>
      <c r="H1853" s="397"/>
      <c r="I1853" s="397"/>
      <c r="J1853" s="750"/>
      <c r="K1853" s="398"/>
      <c r="L1853" s="404">
        <v>164.69</v>
      </c>
      <c r="M1853" s="682"/>
      <c r="N1853" s="171"/>
      <c r="O1853" s="545"/>
      <c r="P1853" s="169"/>
      <c r="Q1853" s="171"/>
      <c r="R1853" s="171"/>
      <c r="S1853" s="171"/>
      <c r="T1853" s="171"/>
      <c r="U1853" s="171"/>
      <c r="V1853" s="171"/>
      <c r="W1853" s="171"/>
      <c r="X1853" s="171"/>
      <c r="Y1853" s="171"/>
      <c r="Z1853" s="171"/>
      <c r="AA1853" s="171"/>
    </row>
    <row r="1854" spans="1:27" s="530" customFormat="1" ht="15" customHeight="1" x14ac:dyDescent="0.2">
      <c r="A1854" s="526"/>
      <c r="B1854" s="527"/>
      <c r="C1854" s="465"/>
      <c r="D1854" s="464"/>
      <c r="E1854" s="464"/>
      <c r="F1854" s="549" t="s">
        <v>246</v>
      </c>
      <c r="G1854" s="504" t="s">
        <v>247</v>
      </c>
      <c r="H1854" s="397"/>
      <c r="I1854" s="397"/>
      <c r="J1854" s="750"/>
      <c r="K1854" s="398">
        <f>SUM(K1776:K1784)</f>
        <v>658515</v>
      </c>
      <c r="L1854" s="404">
        <v>2167858.65</v>
      </c>
      <c r="M1854" s="682"/>
      <c r="N1854" s="171"/>
      <c r="O1854" s="171"/>
      <c r="P1854" s="169"/>
      <c r="Q1854" s="171"/>
      <c r="R1854" s="171"/>
      <c r="S1854" s="171"/>
      <c r="T1854" s="171"/>
      <c r="U1854" s="171"/>
      <c r="V1854" s="171"/>
      <c r="W1854" s="171"/>
      <c r="X1854" s="171"/>
      <c r="Y1854" s="171"/>
      <c r="Z1854" s="171"/>
      <c r="AA1854" s="171"/>
    </row>
    <row r="1855" spans="1:27" s="530" customFormat="1" ht="15" customHeight="1" thickBot="1" x14ac:dyDescent="0.25">
      <c r="A1855" s="526"/>
      <c r="B1855" s="527"/>
      <c r="C1855" s="465"/>
      <c r="D1855" s="464"/>
      <c r="E1855" s="464"/>
      <c r="F1855" s="503" t="s">
        <v>257</v>
      </c>
      <c r="G1855" s="504" t="s">
        <v>258</v>
      </c>
      <c r="H1855" s="403">
        <v>7938000</v>
      </c>
      <c r="I1855" s="403"/>
      <c r="J1855" s="750">
        <f t="shared" si="13"/>
        <v>0</v>
      </c>
      <c r="K1855" s="404"/>
      <c r="L1855" s="404"/>
      <c r="M1855" s="682"/>
      <c r="N1855" s="171"/>
      <c r="O1855" s="171"/>
      <c r="P1855" s="169"/>
      <c r="Q1855" s="171"/>
      <c r="R1855" s="171"/>
      <c r="S1855" s="171"/>
      <c r="T1855" s="171"/>
      <c r="U1855" s="171"/>
      <c r="V1855" s="171"/>
      <c r="W1855" s="171"/>
      <c r="X1855" s="171"/>
      <c r="Y1855" s="171"/>
      <c r="Z1855" s="171"/>
      <c r="AA1855" s="171"/>
    </row>
    <row r="1856" spans="1:27" s="530" customFormat="1" ht="13.5" thickBot="1" x14ac:dyDescent="0.25">
      <c r="A1856" s="526"/>
      <c r="B1856" s="527"/>
      <c r="C1856" s="465"/>
      <c r="D1856" s="464"/>
      <c r="E1856" s="464"/>
      <c r="F1856" s="464"/>
      <c r="G1856" s="505" t="s">
        <v>4291</v>
      </c>
      <c r="H1856" s="405">
        <f>SUM(H1840:H1855)</f>
        <v>89617903</v>
      </c>
      <c r="I1856" s="405">
        <f>SUM(I1840)</f>
        <v>78942049.260000005</v>
      </c>
      <c r="J1856" s="750">
        <f t="shared" si="13"/>
        <v>88.087364931982407</v>
      </c>
      <c r="K1856" s="406">
        <f>SUM(K1841:K1855)</f>
        <v>658515</v>
      </c>
      <c r="L1856" s="406">
        <f>SUM(L1853:L1855)</f>
        <v>2168023.34</v>
      </c>
      <c r="M1856" s="682"/>
      <c r="N1856" s="171"/>
      <c r="O1856" s="171"/>
      <c r="P1856" s="169"/>
      <c r="Q1856" s="171"/>
      <c r="R1856" s="171"/>
      <c r="S1856" s="171"/>
      <c r="T1856" s="171"/>
      <c r="U1856" s="171"/>
      <c r="V1856" s="171"/>
      <c r="W1856" s="171"/>
      <c r="X1856" s="171"/>
      <c r="Y1856" s="171"/>
      <c r="Z1856" s="171"/>
      <c r="AA1856" s="171"/>
    </row>
    <row r="1857" spans="1:27" s="530" customFormat="1" ht="24" customHeight="1" x14ac:dyDescent="0.2">
      <c r="A1857" s="526"/>
      <c r="B1857" s="527"/>
      <c r="C1857" s="465"/>
      <c r="D1857" s="464"/>
      <c r="E1857" s="500"/>
      <c r="F1857" s="498"/>
      <c r="G1857" s="506" t="s">
        <v>4209</v>
      </c>
      <c r="H1857" s="407"/>
      <c r="I1857" s="408"/>
      <c r="J1857" s="750"/>
      <c r="K1857" s="409"/>
      <c r="L1857" s="410"/>
      <c r="M1857" s="682"/>
      <c r="N1857" s="171"/>
      <c r="O1857" s="171"/>
      <c r="P1857" s="169"/>
      <c r="Q1857" s="171"/>
      <c r="R1857" s="171"/>
      <c r="S1857" s="171"/>
      <c r="T1857" s="171"/>
      <c r="U1857" s="171"/>
      <c r="V1857" s="171"/>
      <c r="W1857" s="171"/>
      <c r="X1857" s="171"/>
      <c r="Y1857" s="171"/>
      <c r="Z1857" s="171"/>
      <c r="AA1857" s="171"/>
    </row>
    <row r="1858" spans="1:27" s="530" customFormat="1" x14ac:dyDescent="0.2">
      <c r="A1858" s="526"/>
      <c r="B1858" s="527"/>
      <c r="C1858" s="465"/>
      <c r="D1858" s="464"/>
      <c r="E1858" s="502"/>
      <c r="F1858" s="503" t="s">
        <v>234</v>
      </c>
      <c r="G1858" s="504" t="s">
        <v>235</v>
      </c>
      <c r="H1858" s="403">
        <f>SUM(H1840)</f>
        <v>81679903</v>
      </c>
      <c r="I1858" s="403">
        <f>SUM(I1856)</f>
        <v>78942049.260000005</v>
      </c>
      <c r="J1858" s="750">
        <f t="shared" si="13"/>
        <v>96.648069305371237</v>
      </c>
      <c r="K1858" s="404"/>
      <c r="L1858" s="404"/>
      <c r="M1858" s="682"/>
      <c r="N1858" s="171"/>
      <c r="O1858" s="545"/>
      <c r="P1858" s="169"/>
      <c r="Q1858" s="171"/>
      <c r="R1858" s="171"/>
      <c r="S1858" s="171"/>
      <c r="T1858" s="171"/>
      <c r="U1858" s="171"/>
      <c r="V1858" s="171"/>
      <c r="W1858" s="171"/>
      <c r="X1858" s="171"/>
      <c r="Y1858" s="171"/>
      <c r="Z1858" s="171"/>
      <c r="AA1858" s="171"/>
    </row>
    <row r="1859" spans="1:27" s="530" customFormat="1" hidden="1" x14ac:dyDescent="0.2">
      <c r="A1859" s="526"/>
      <c r="B1859" s="527"/>
      <c r="C1859" s="465"/>
      <c r="D1859" s="464"/>
      <c r="E1859" s="464"/>
      <c r="F1859" s="503" t="s">
        <v>236</v>
      </c>
      <c r="G1859" s="504" t="s">
        <v>237</v>
      </c>
      <c r="H1859" s="397"/>
      <c r="I1859" s="397"/>
      <c r="J1859" s="750" t="e">
        <f t="shared" si="13"/>
        <v>#DIV/0!</v>
      </c>
      <c r="K1859" s="398"/>
      <c r="L1859" s="404"/>
      <c r="M1859" s="682"/>
      <c r="N1859" s="171"/>
      <c r="O1859" s="171"/>
      <c r="P1859" s="169"/>
      <c r="Q1859" s="171"/>
      <c r="R1859" s="171"/>
      <c r="S1859" s="171"/>
      <c r="T1859" s="171"/>
      <c r="U1859" s="171"/>
      <c r="V1859" s="171"/>
      <c r="W1859" s="171"/>
      <c r="X1859" s="171"/>
      <c r="Y1859" s="171"/>
      <c r="Z1859" s="171"/>
      <c r="AA1859" s="171"/>
    </row>
    <row r="1860" spans="1:27" s="530" customFormat="1" hidden="1" x14ac:dyDescent="0.2">
      <c r="A1860" s="526"/>
      <c r="B1860" s="527"/>
      <c r="C1860" s="465"/>
      <c r="D1860" s="464"/>
      <c r="E1860" s="464"/>
      <c r="F1860" s="503" t="s">
        <v>238</v>
      </c>
      <c r="G1860" s="504" t="s">
        <v>239</v>
      </c>
      <c r="H1860" s="397"/>
      <c r="I1860" s="397"/>
      <c r="J1860" s="750" t="e">
        <f t="shared" si="13"/>
        <v>#DIV/0!</v>
      </c>
      <c r="K1860" s="398"/>
      <c r="L1860" s="404"/>
      <c r="M1860" s="682"/>
      <c r="N1860" s="171"/>
      <c r="O1860" s="171"/>
      <c r="P1860" s="169"/>
      <c r="Q1860" s="171"/>
      <c r="R1860" s="171"/>
      <c r="S1860" s="171"/>
      <c r="T1860" s="171"/>
      <c r="U1860" s="171"/>
      <c r="V1860" s="171"/>
      <c r="W1860" s="171"/>
      <c r="X1860" s="171"/>
      <c r="Y1860" s="171"/>
      <c r="Z1860" s="171"/>
      <c r="AA1860" s="171"/>
    </row>
    <row r="1861" spans="1:27" s="530" customFormat="1" hidden="1" x14ac:dyDescent="0.2">
      <c r="A1861" s="526"/>
      <c r="B1861" s="527"/>
      <c r="C1861" s="465"/>
      <c r="D1861" s="464"/>
      <c r="E1861" s="464"/>
      <c r="F1861" s="503" t="s">
        <v>240</v>
      </c>
      <c r="G1861" s="504" t="s">
        <v>241</v>
      </c>
      <c r="H1861" s="397"/>
      <c r="I1861" s="397"/>
      <c r="J1861" s="750" t="e">
        <f t="shared" si="13"/>
        <v>#DIV/0!</v>
      </c>
      <c r="K1861" s="398"/>
      <c r="L1861" s="404"/>
      <c r="M1861" s="682"/>
      <c r="N1861" s="171"/>
      <c r="O1861" s="171"/>
      <c r="P1861" s="169"/>
      <c r="Q1861" s="171"/>
      <c r="R1861" s="171"/>
      <c r="S1861" s="171"/>
      <c r="T1861" s="171"/>
      <c r="U1861" s="171"/>
      <c r="V1861" s="171"/>
      <c r="W1861" s="171"/>
      <c r="X1861" s="171"/>
      <c r="Y1861" s="171"/>
      <c r="Z1861" s="171"/>
      <c r="AA1861" s="171"/>
    </row>
    <row r="1862" spans="1:27" s="530" customFormat="1" hidden="1" x14ac:dyDescent="0.2">
      <c r="A1862" s="526"/>
      <c r="B1862" s="527"/>
      <c r="C1862" s="465"/>
      <c r="D1862" s="464"/>
      <c r="E1862" s="464"/>
      <c r="F1862" s="503" t="s">
        <v>242</v>
      </c>
      <c r="G1862" s="504" t="s">
        <v>243</v>
      </c>
      <c r="H1862" s="397"/>
      <c r="I1862" s="397"/>
      <c r="J1862" s="750" t="e">
        <f t="shared" si="13"/>
        <v>#DIV/0!</v>
      </c>
      <c r="K1862" s="398"/>
      <c r="L1862" s="404"/>
      <c r="M1862" s="682"/>
      <c r="N1862" s="171"/>
      <c r="O1862" s="171"/>
      <c r="P1862" s="169"/>
      <c r="Q1862" s="171"/>
      <c r="R1862" s="171"/>
      <c r="S1862" s="171"/>
      <c r="T1862" s="171"/>
      <c r="U1862" s="171"/>
      <c r="V1862" s="171"/>
      <c r="W1862" s="171"/>
      <c r="X1862" s="171"/>
      <c r="Y1862" s="171"/>
      <c r="Z1862" s="171"/>
      <c r="AA1862" s="171"/>
    </row>
    <row r="1863" spans="1:27" s="530" customFormat="1" hidden="1" x14ac:dyDescent="0.2">
      <c r="A1863" s="526"/>
      <c r="B1863" s="527"/>
      <c r="C1863" s="465"/>
      <c r="D1863" s="464"/>
      <c r="E1863" s="464"/>
      <c r="F1863" s="503" t="s">
        <v>244</v>
      </c>
      <c r="G1863" s="504" t="s">
        <v>245</v>
      </c>
      <c r="H1863" s="397"/>
      <c r="I1863" s="397"/>
      <c r="J1863" s="750" t="e">
        <f t="shared" si="13"/>
        <v>#DIV/0!</v>
      </c>
      <c r="K1863" s="398"/>
      <c r="L1863" s="404"/>
      <c r="M1863" s="682"/>
      <c r="N1863" s="171"/>
      <c r="O1863" s="171"/>
      <c r="P1863" s="169"/>
      <c r="Q1863" s="171"/>
      <c r="R1863" s="171"/>
      <c r="S1863" s="171"/>
      <c r="T1863" s="171"/>
      <c r="U1863" s="171"/>
      <c r="V1863" s="171"/>
      <c r="W1863" s="171"/>
      <c r="X1863" s="171"/>
      <c r="Y1863" s="171"/>
      <c r="Z1863" s="171"/>
      <c r="AA1863" s="171"/>
    </row>
    <row r="1864" spans="1:27" s="530" customFormat="1" hidden="1" x14ac:dyDescent="0.2">
      <c r="A1864" s="526"/>
      <c r="B1864" s="527"/>
      <c r="C1864" s="465"/>
      <c r="D1864" s="464"/>
      <c r="E1864" s="464"/>
      <c r="F1864" s="503" t="s">
        <v>246</v>
      </c>
      <c r="G1864" s="504" t="s">
        <v>247</v>
      </c>
      <c r="H1864" s="397"/>
      <c r="I1864" s="397"/>
      <c r="J1864" s="750" t="e">
        <f t="shared" si="13"/>
        <v>#DIV/0!</v>
      </c>
      <c r="K1864" s="398"/>
      <c r="L1864" s="404"/>
      <c r="M1864" s="682"/>
      <c r="N1864" s="171"/>
      <c r="O1864" s="171"/>
      <c r="P1864" s="169"/>
      <c r="Q1864" s="171"/>
      <c r="R1864" s="171"/>
      <c r="S1864" s="171"/>
      <c r="T1864" s="171"/>
      <c r="U1864" s="171"/>
      <c r="V1864" s="171"/>
      <c r="W1864" s="171"/>
      <c r="X1864" s="171"/>
      <c r="Y1864" s="171"/>
      <c r="Z1864" s="171"/>
      <c r="AA1864" s="171"/>
    </row>
    <row r="1865" spans="1:27" s="530" customFormat="1" ht="25.5" hidden="1" x14ac:dyDescent="0.2">
      <c r="A1865" s="526"/>
      <c r="B1865" s="527"/>
      <c r="C1865" s="465"/>
      <c r="D1865" s="464"/>
      <c r="E1865" s="464"/>
      <c r="F1865" s="503" t="s">
        <v>248</v>
      </c>
      <c r="G1865" s="504" t="s">
        <v>249</v>
      </c>
      <c r="H1865" s="397"/>
      <c r="I1865" s="397"/>
      <c r="J1865" s="750" t="e">
        <f t="shared" si="13"/>
        <v>#DIV/0!</v>
      </c>
      <c r="K1865" s="398"/>
      <c r="L1865" s="404"/>
      <c r="M1865" s="682"/>
      <c r="N1865" s="171"/>
      <c r="O1865" s="171"/>
      <c r="P1865" s="169"/>
      <c r="Q1865" s="171"/>
      <c r="R1865" s="171"/>
      <c r="S1865" s="171"/>
      <c r="T1865" s="171"/>
      <c r="U1865" s="171"/>
      <c r="V1865" s="171"/>
      <c r="W1865" s="171"/>
      <c r="X1865" s="171"/>
      <c r="Y1865" s="171"/>
      <c r="Z1865" s="171"/>
      <c r="AA1865" s="171"/>
    </row>
    <row r="1866" spans="1:27" s="530" customFormat="1" hidden="1" x14ac:dyDescent="0.2">
      <c r="A1866" s="526"/>
      <c r="B1866" s="527"/>
      <c r="C1866" s="465"/>
      <c r="D1866" s="464"/>
      <c r="E1866" s="464"/>
      <c r="F1866" s="503" t="s">
        <v>250</v>
      </c>
      <c r="G1866" s="504" t="s">
        <v>57</v>
      </c>
      <c r="H1866" s="397"/>
      <c r="I1866" s="397"/>
      <c r="J1866" s="750" t="e">
        <f t="shared" si="13"/>
        <v>#DIV/0!</v>
      </c>
      <c r="K1866" s="398"/>
      <c r="L1866" s="404"/>
      <c r="M1866" s="682"/>
      <c r="N1866" s="171"/>
      <c r="O1866" s="171"/>
      <c r="P1866" s="169"/>
      <c r="Q1866" s="171"/>
      <c r="R1866" s="171"/>
      <c r="S1866" s="171"/>
      <c r="T1866" s="171"/>
      <c r="U1866" s="171"/>
      <c r="V1866" s="171"/>
      <c r="W1866" s="171"/>
      <c r="X1866" s="171"/>
      <c r="Y1866" s="171"/>
      <c r="Z1866" s="171"/>
      <c r="AA1866" s="171"/>
    </row>
    <row r="1867" spans="1:27" s="530" customFormat="1" hidden="1" x14ac:dyDescent="0.2">
      <c r="A1867" s="526"/>
      <c r="B1867" s="527"/>
      <c r="C1867" s="465"/>
      <c r="D1867" s="464"/>
      <c r="E1867" s="464"/>
      <c r="F1867" s="503" t="s">
        <v>251</v>
      </c>
      <c r="G1867" s="504" t="s">
        <v>252</v>
      </c>
      <c r="H1867" s="397"/>
      <c r="I1867" s="397"/>
      <c r="J1867" s="750" t="e">
        <f t="shared" si="13"/>
        <v>#DIV/0!</v>
      </c>
      <c r="K1867" s="398"/>
      <c r="L1867" s="404"/>
      <c r="M1867" s="682"/>
      <c r="N1867" s="171"/>
      <c r="O1867" s="171"/>
      <c r="P1867" s="169"/>
      <c r="Q1867" s="171"/>
      <c r="R1867" s="171"/>
      <c r="S1867" s="171"/>
      <c r="T1867" s="171"/>
      <c r="U1867" s="171"/>
      <c r="V1867" s="171"/>
      <c r="W1867" s="171"/>
      <c r="X1867" s="171"/>
      <c r="Y1867" s="171"/>
      <c r="Z1867" s="171"/>
      <c r="AA1867" s="171"/>
    </row>
    <row r="1868" spans="1:27" s="530" customFormat="1" hidden="1" x14ac:dyDescent="0.2">
      <c r="A1868" s="526"/>
      <c r="B1868" s="527"/>
      <c r="C1868" s="465"/>
      <c r="D1868" s="464"/>
      <c r="E1868" s="464"/>
      <c r="F1868" s="503" t="s">
        <v>253</v>
      </c>
      <c r="G1868" s="504" t="s">
        <v>254</v>
      </c>
      <c r="H1868" s="397"/>
      <c r="I1868" s="397"/>
      <c r="J1868" s="750" t="e">
        <f t="shared" si="13"/>
        <v>#DIV/0!</v>
      </c>
      <c r="K1868" s="398"/>
      <c r="L1868" s="404"/>
      <c r="M1868" s="682"/>
      <c r="N1868" s="171"/>
      <c r="O1868" s="171"/>
      <c r="P1868" s="169"/>
      <c r="Q1868" s="171"/>
      <c r="R1868" s="171"/>
      <c r="S1868" s="171"/>
      <c r="T1868" s="171"/>
      <c r="U1868" s="171"/>
      <c r="V1868" s="171"/>
      <c r="W1868" s="171"/>
      <c r="X1868" s="171"/>
      <c r="Y1868" s="171"/>
      <c r="Z1868" s="171"/>
      <c r="AA1868" s="171"/>
    </row>
    <row r="1869" spans="1:27" s="530" customFormat="1" ht="25.5" hidden="1" x14ac:dyDescent="0.2">
      <c r="A1869" s="526"/>
      <c r="B1869" s="527"/>
      <c r="C1869" s="465"/>
      <c r="D1869" s="464"/>
      <c r="E1869" s="464"/>
      <c r="F1869" s="503" t="s">
        <v>255</v>
      </c>
      <c r="G1869" s="504" t="s">
        <v>256</v>
      </c>
      <c r="H1869" s="397"/>
      <c r="I1869" s="397"/>
      <c r="J1869" s="750" t="e">
        <f t="shared" ref="J1869:J1932" si="14">SUM(I1869/H1869)*100</f>
        <v>#DIV/0!</v>
      </c>
      <c r="K1869" s="398"/>
      <c r="L1869" s="404"/>
      <c r="M1869" s="682"/>
      <c r="N1869" s="171"/>
      <c r="O1869" s="171"/>
      <c r="P1869" s="169"/>
      <c r="Q1869" s="171"/>
      <c r="R1869" s="171"/>
      <c r="S1869" s="171"/>
      <c r="T1869" s="171"/>
      <c r="U1869" s="171"/>
      <c r="V1869" s="171"/>
      <c r="W1869" s="171"/>
      <c r="X1869" s="171"/>
      <c r="Y1869" s="171"/>
      <c r="Z1869" s="171"/>
      <c r="AA1869" s="171"/>
    </row>
    <row r="1870" spans="1:27" s="530" customFormat="1" ht="25.5" hidden="1" x14ac:dyDescent="0.2">
      <c r="A1870" s="526"/>
      <c r="B1870" s="527"/>
      <c r="C1870" s="465"/>
      <c r="D1870" s="464"/>
      <c r="E1870" s="464"/>
      <c r="F1870" s="503" t="s">
        <v>257</v>
      </c>
      <c r="G1870" s="504" t="s">
        <v>258</v>
      </c>
      <c r="H1870" s="397"/>
      <c r="I1870" s="397"/>
      <c r="J1870" s="750" t="e">
        <f t="shared" si="14"/>
        <v>#DIV/0!</v>
      </c>
      <c r="K1870" s="398"/>
      <c r="L1870" s="404"/>
      <c r="M1870" s="682"/>
      <c r="N1870" s="171"/>
      <c r="O1870" s="171"/>
      <c r="P1870" s="169"/>
      <c r="Q1870" s="171"/>
      <c r="R1870" s="171"/>
      <c r="S1870" s="171"/>
      <c r="T1870" s="171"/>
      <c r="U1870" s="171"/>
      <c r="V1870" s="171"/>
      <c r="W1870" s="171"/>
      <c r="X1870" s="171"/>
      <c r="Y1870" s="171"/>
      <c r="Z1870" s="171"/>
      <c r="AA1870" s="171"/>
    </row>
    <row r="1871" spans="1:27" s="530" customFormat="1" ht="13.5" customHeight="1" x14ac:dyDescent="0.2">
      <c r="A1871" s="526"/>
      <c r="B1871" s="527"/>
      <c r="C1871" s="465"/>
      <c r="D1871" s="464"/>
      <c r="E1871" s="464"/>
      <c r="F1871" s="549" t="s">
        <v>240</v>
      </c>
      <c r="G1871" s="504" t="s">
        <v>241</v>
      </c>
      <c r="H1871" s="397"/>
      <c r="I1871" s="397"/>
      <c r="J1871" s="750"/>
      <c r="K1871" s="398"/>
      <c r="L1871" s="404">
        <v>164.69</v>
      </c>
      <c r="M1871" s="682"/>
      <c r="N1871" s="171"/>
      <c r="O1871" s="171"/>
      <c r="P1871" s="169"/>
      <c r="Q1871" s="171"/>
      <c r="R1871" s="171"/>
      <c r="S1871" s="171"/>
      <c r="T1871" s="171"/>
      <c r="U1871" s="171"/>
      <c r="V1871" s="171"/>
      <c r="W1871" s="171"/>
      <c r="X1871" s="171"/>
      <c r="Y1871" s="171"/>
      <c r="Z1871" s="171"/>
      <c r="AA1871" s="171"/>
    </row>
    <row r="1872" spans="1:27" s="530" customFormat="1" ht="14.25" customHeight="1" x14ac:dyDescent="0.2">
      <c r="A1872" s="526"/>
      <c r="B1872" s="527"/>
      <c r="C1872" s="465"/>
      <c r="D1872" s="464"/>
      <c r="E1872" s="464"/>
      <c r="F1872" s="549" t="s">
        <v>246</v>
      </c>
      <c r="G1872" s="504" t="s">
        <v>247</v>
      </c>
      <c r="H1872" s="397"/>
      <c r="I1872" s="397"/>
      <c r="J1872" s="750"/>
      <c r="K1872" s="398">
        <f>SUM(K1854)</f>
        <v>658515</v>
      </c>
      <c r="L1872" s="404">
        <f>SUM(L1854)</f>
        <v>2167858.65</v>
      </c>
      <c r="M1872" s="682"/>
      <c r="N1872" s="171"/>
      <c r="O1872" s="171"/>
      <c r="P1872" s="169"/>
      <c r="Q1872" s="171"/>
      <c r="R1872" s="171"/>
      <c r="S1872" s="171"/>
      <c r="T1872" s="171"/>
      <c r="U1872" s="171"/>
      <c r="V1872" s="171"/>
      <c r="W1872" s="171"/>
      <c r="X1872" s="171"/>
      <c r="Y1872" s="171"/>
      <c r="Z1872" s="171"/>
      <c r="AA1872" s="171"/>
    </row>
    <row r="1873" spans="1:27" s="530" customFormat="1" ht="15" customHeight="1" thickBot="1" x14ac:dyDescent="0.25">
      <c r="A1873" s="526"/>
      <c r="B1873" s="527"/>
      <c r="C1873" s="465"/>
      <c r="D1873" s="464"/>
      <c r="E1873" s="464"/>
      <c r="F1873" s="503" t="s">
        <v>257</v>
      </c>
      <c r="G1873" s="504" t="s">
        <v>258</v>
      </c>
      <c r="H1873" s="403">
        <f>SUM(H1855)</f>
        <v>7938000</v>
      </c>
      <c r="I1873" s="403"/>
      <c r="J1873" s="750">
        <f t="shared" si="14"/>
        <v>0</v>
      </c>
      <c r="K1873" s="404"/>
      <c r="L1873" s="404"/>
      <c r="M1873" s="682"/>
      <c r="N1873" s="171"/>
      <c r="O1873" s="171"/>
      <c r="P1873" s="169"/>
      <c r="Q1873" s="171"/>
      <c r="R1873" s="171"/>
      <c r="S1873" s="171"/>
      <c r="T1873" s="171"/>
      <c r="U1873" s="171"/>
      <c r="V1873" s="171"/>
      <c r="W1873" s="171"/>
      <c r="X1873" s="171"/>
      <c r="Y1873" s="171"/>
      <c r="Z1873" s="171"/>
      <c r="AA1873" s="171"/>
    </row>
    <row r="1874" spans="1:27" s="530" customFormat="1" ht="15" customHeight="1" thickBot="1" x14ac:dyDescent="0.25">
      <c r="A1874" s="526"/>
      <c r="B1874" s="527"/>
      <c r="C1874" s="465"/>
      <c r="D1874" s="464"/>
      <c r="E1874" s="464"/>
      <c r="F1874" s="464"/>
      <c r="G1874" s="505" t="s">
        <v>4208</v>
      </c>
      <c r="H1874" s="405">
        <f>SUM(H1858:H1873)</f>
        <v>89617903</v>
      </c>
      <c r="I1874" s="405">
        <f>SUM(I1858)</f>
        <v>78942049.260000005</v>
      </c>
      <c r="J1874" s="750">
        <f t="shared" si="14"/>
        <v>88.087364931982407</v>
      </c>
      <c r="K1874" s="406">
        <f>SUM(K1872)</f>
        <v>658515</v>
      </c>
      <c r="L1874" s="406">
        <f>SUM(L1871:L1872)</f>
        <v>2168023.34</v>
      </c>
      <c r="M1874" s="682"/>
      <c r="N1874" s="171"/>
      <c r="O1874" s="171"/>
      <c r="P1874" s="169"/>
      <c r="Q1874" s="171"/>
      <c r="R1874" s="171"/>
      <c r="S1874" s="171"/>
      <c r="T1874" s="171"/>
      <c r="U1874" s="171"/>
      <c r="V1874" s="171"/>
      <c r="W1874" s="171"/>
      <c r="X1874" s="171"/>
      <c r="Y1874" s="171"/>
      <c r="Z1874" s="171"/>
      <c r="AA1874" s="171"/>
    </row>
    <row r="1875" spans="1:27" s="530" customFormat="1" ht="6" hidden="1" customHeight="1" x14ac:dyDescent="0.2">
      <c r="A1875" s="526"/>
      <c r="B1875" s="527"/>
      <c r="C1875" s="465"/>
      <c r="D1875" s="464"/>
      <c r="E1875" s="464"/>
      <c r="F1875" s="464"/>
      <c r="G1875" s="510"/>
      <c r="H1875" s="411"/>
      <c r="I1875" s="411"/>
      <c r="J1875" s="750" t="e">
        <f t="shared" si="14"/>
        <v>#DIV/0!</v>
      </c>
      <c r="K1875" s="412"/>
      <c r="L1875" s="412"/>
      <c r="M1875" s="682"/>
      <c r="N1875" s="171"/>
      <c r="O1875" s="171"/>
      <c r="P1875" s="169"/>
      <c r="Q1875" s="171"/>
      <c r="R1875" s="171"/>
      <c r="S1875" s="171"/>
      <c r="T1875" s="171"/>
      <c r="U1875" s="171"/>
      <c r="V1875" s="171"/>
      <c r="W1875" s="171"/>
      <c r="X1875" s="171"/>
      <c r="Y1875" s="171"/>
      <c r="Z1875" s="171"/>
      <c r="AA1875" s="171"/>
    </row>
    <row r="1876" spans="1:27" s="530" customFormat="1" x14ac:dyDescent="0.2">
      <c r="A1876" s="526"/>
      <c r="B1876" s="527"/>
      <c r="C1876" s="542" t="s">
        <v>4144</v>
      </c>
      <c r="D1876" s="173"/>
      <c r="E1876" s="173"/>
      <c r="F1876" s="502"/>
      <c r="G1876" s="550" t="s">
        <v>3663</v>
      </c>
      <c r="H1876" s="397"/>
      <c r="I1876" s="397"/>
      <c r="J1876" s="750"/>
      <c r="K1876" s="398"/>
      <c r="L1876" s="398"/>
      <c r="M1876" s="682"/>
      <c r="N1876" s="171"/>
      <c r="O1876" s="171"/>
      <c r="P1876" s="169"/>
      <c r="Q1876" s="171"/>
      <c r="R1876" s="171"/>
      <c r="S1876" s="171"/>
      <c r="T1876" s="171"/>
      <c r="U1876" s="171"/>
      <c r="V1876" s="171"/>
      <c r="W1876" s="171"/>
      <c r="X1876" s="171"/>
      <c r="Y1876" s="171"/>
      <c r="Z1876" s="171"/>
      <c r="AA1876" s="171"/>
    </row>
    <row r="1877" spans="1:27" s="530" customFormat="1" ht="15" customHeight="1" x14ac:dyDescent="0.2">
      <c r="A1877" s="526"/>
      <c r="B1877" s="527"/>
      <c r="C1877" s="465"/>
      <c r="D1877" s="492">
        <v>150</v>
      </c>
      <c r="E1877" s="492"/>
      <c r="F1877" s="492"/>
      <c r="G1877" s="551" t="s">
        <v>4292</v>
      </c>
      <c r="H1877" s="397"/>
      <c r="I1877" s="397"/>
      <c r="J1877" s="750"/>
      <c r="K1877" s="398"/>
      <c r="L1877" s="398"/>
      <c r="M1877" s="682"/>
      <c r="N1877" s="171"/>
      <c r="O1877" s="171"/>
      <c r="P1877" s="169"/>
      <c r="Q1877" s="171"/>
      <c r="R1877" s="171"/>
      <c r="S1877" s="171"/>
      <c r="T1877" s="171"/>
      <c r="U1877" s="171"/>
      <c r="V1877" s="171"/>
      <c r="W1877" s="171"/>
      <c r="X1877" s="171"/>
      <c r="Y1877" s="171"/>
      <c r="Z1877" s="171"/>
      <c r="AA1877" s="171"/>
    </row>
    <row r="1878" spans="1:27" s="530" customFormat="1" hidden="1" x14ac:dyDescent="0.2">
      <c r="A1878" s="526"/>
      <c r="B1878" s="527"/>
      <c r="C1878" s="465"/>
      <c r="D1878" s="464"/>
      <c r="E1878" s="464"/>
      <c r="F1878" s="494">
        <v>411</v>
      </c>
      <c r="G1878" s="495" t="s">
        <v>4167</v>
      </c>
      <c r="H1878" s="397"/>
      <c r="I1878" s="397"/>
      <c r="J1878" s="750" t="e">
        <f t="shared" si="14"/>
        <v>#DIV/0!</v>
      </c>
      <c r="K1878" s="398"/>
      <c r="L1878" s="398"/>
      <c r="M1878" s="682"/>
      <c r="N1878" s="171"/>
      <c r="O1878" s="171"/>
      <c r="P1878" s="169"/>
      <c r="Q1878" s="171"/>
      <c r="R1878" s="171"/>
      <c r="S1878" s="171"/>
      <c r="T1878" s="171"/>
      <c r="U1878" s="171"/>
      <c r="V1878" s="171"/>
      <c r="W1878" s="171"/>
      <c r="X1878" s="171"/>
      <c r="Y1878" s="171"/>
      <c r="Z1878" s="171"/>
      <c r="AA1878" s="171"/>
    </row>
    <row r="1879" spans="1:27" s="530" customFormat="1" hidden="1" x14ac:dyDescent="0.2">
      <c r="A1879" s="526"/>
      <c r="B1879" s="527"/>
      <c r="C1879" s="465"/>
      <c r="D1879" s="464"/>
      <c r="E1879" s="464"/>
      <c r="F1879" s="494">
        <v>412</v>
      </c>
      <c r="G1879" s="496" t="s">
        <v>3764</v>
      </c>
      <c r="H1879" s="397"/>
      <c r="I1879" s="397"/>
      <c r="J1879" s="750" t="e">
        <f t="shared" si="14"/>
        <v>#DIV/0!</v>
      </c>
      <c r="K1879" s="398"/>
      <c r="L1879" s="398"/>
      <c r="M1879" s="682"/>
      <c r="N1879" s="171"/>
      <c r="O1879" s="171"/>
      <c r="P1879" s="169"/>
      <c r="Q1879" s="171"/>
      <c r="R1879" s="171"/>
      <c r="S1879" s="171"/>
      <c r="T1879" s="171"/>
      <c r="U1879" s="171"/>
      <c r="V1879" s="171"/>
      <c r="W1879" s="171"/>
      <c r="X1879" s="171"/>
      <c r="Y1879" s="171"/>
      <c r="Z1879" s="171"/>
      <c r="AA1879" s="171"/>
    </row>
    <row r="1880" spans="1:27" s="530" customFormat="1" hidden="1" x14ac:dyDescent="0.2">
      <c r="A1880" s="526"/>
      <c r="B1880" s="527"/>
      <c r="C1880" s="465"/>
      <c r="D1880" s="464"/>
      <c r="E1880" s="464"/>
      <c r="F1880" s="494">
        <v>413</v>
      </c>
      <c r="G1880" s="495" t="s">
        <v>4168</v>
      </c>
      <c r="H1880" s="397"/>
      <c r="I1880" s="397"/>
      <c r="J1880" s="750" t="e">
        <f t="shared" si="14"/>
        <v>#DIV/0!</v>
      </c>
      <c r="K1880" s="398"/>
      <c r="L1880" s="398"/>
      <c r="M1880" s="682"/>
      <c r="N1880" s="171"/>
      <c r="O1880" s="171"/>
      <c r="P1880" s="169"/>
      <c r="Q1880" s="171"/>
      <c r="R1880" s="171"/>
      <c r="S1880" s="171"/>
      <c r="T1880" s="171"/>
      <c r="U1880" s="171"/>
      <c r="V1880" s="171"/>
      <c r="W1880" s="171"/>
      <c r="X1880" s="171"/>
      <c r="Y1880" s="171"/>
      <c r="Z1880" s="171"/>
      <c r="AA1880" s="171"/>
    </row>
    <row r="1881" spans="1:27" s="530" customFormat="1" hidden="1" x14ac:dyDescent="0.2">
      <c r="A1881" s="526"/>
      <c r="B1881" s="527"/>
      <c r="C1881" s="465"/>
      <c r="D1881" s="464"/>
      <c r="E1881" s="464"/>
      <c r="F1881" s="494">
        <v>414</v>
      </c>
      <c r="G1881" s="495" t="s">
        <v>3767</v>
      </c>
      <c r="H1881" s="397"/>
      <c r="I1881" s="397"/>
      <c r="J1881" s="750" t="e">
        <f t="shared" si="14"/>
        <v>#DIV/0!</v>
      </c>
      <c r="K1881" s="398"/>
      <c r="L1881" s="398"/>
      <c r="M1881" s="682"/>
      <c r="N1881" s="171"/>
      <c r="O1881" s="171"/>
      <c r="P1881" s="169"/>
      <c r="Q1881" s="171"/>
      <c r="R1881" s="171"/>
      <c r="S1881" s="171"/>
      <c r="T1881" s="171"/>
      <c r="U1881" s="171"/>
      <c r="V1881" s="171"/>
      <c r="W1881" s="171"/>
      <c r="X1881" s="171"/>
      <c r="Y1881" s="171"/>
      <c r="Z1881" s="171"/>
      <c r="AA1881" s="171"/>
    </row>
    <row r="1882" spans="1:27" s="530" customFormat="1" hidden="1" x14ac:dyDescent="0.2">
      <c r="A1882" s="526"/>
      <c r="B1882" s="527"/>
      <c r="C1882" s="465"/>
      <c r="D1882" s="464"/>
      <c r="E1882" s="464"/>
      <c r="F1882" s="494">
        <v>415</v>
      </c>
      <c r="G1882" s="495" t="s">
        <v>4177</v>
      </c>
      <c r="H1882" s="397"/>
      <c r="I1882" s="397"/>
      <c r="J1882" s="750" t="e">
        <f t="shared" si="14"/>
        <v>#DIV/0!</v>
      </c>
      <c r="K1882" s="398"/>
      <c r="L1882" s="398"/>
      <c r="M1882" s="682"/>
      <c r="N1882" s="171"/>
      <c r="O1882" s="171"/>
      <c r="P1882" s="169"/>
      <c r="Q1882" s="171"/>
      <c r="R1882" s="171"/>
      <c r="S1882" s="171"/>
      <c r="T1882" s="171"/>
      <c r="U1882" s="171"/>
      <c r="V1882" s="171"/>
      <c r="W1882" s="171"/>
      <c r="X1882" s="171"/>
      <c r="Y1882" s="171"/>
      <c r="Z1882" s="171"/>
      <c r="AA1882" s="171"/>
    </row>
    <row r="1883" spans="1:27" s="530" customFormat="1" ht="25.5" hidden="1" x14ac:dyDescent="0.2">
      <c r="A1883" s="526"/>
      <c r="B1883" s="527"/>
      <c r="C1883" s="465"/>
      <c r="D1883" s="464"/>
      <c r="E1883" s="464"/>
      <c r="F1883" s="494">
        <v>416</v>
      </c>
      <c r="G1883" s="495" t="s">
        <v>4178</v>
      </c>
      <c r="H1883" s="397"/>
      <c r="I1883" s="397"/>
      <c r="J1883" s="750" t="e">
        <f t="shared" si="14"/>
        <v>#DIV/0!</v>
      </c>
      <c r="K1883" s="398"/>
      <c r="L1883" s="398"/>
      <c r="M1883" s="682"/>
      <c r="N1883" s="171"/>
      <c r="O1883" s="171"/>
      <c r="P1883" s="169"/>
      <c r="Q1883" s="171"/>
      <c r="R1883" s="171"/>
      <c r="S1883" s="171"/>
      <c r="T1883" s="171"/>
      <c r="U1883" s="171"/>
      <c r="V1883" s="171"/>
      <c r="W1883" s="171"/>
      <c r="X1883" s="171"/>
      <c r="Y1883" s="171"/>
      <c r="Z1883" s="171"/>
      <c r="AA1883" s="171"/>
    </row>
    <row r="1884" spans="1:27" s="530" customFormat="1" hidden="1" x14ac:dyDescent="0.2">
      <c r="A1884" s="526"/>
      <c r="B1884" s="527"/>
      <c r="C1884" s="465"/>
      <c r="D1884" s="464"/>
      <c r="E1884" s="464"/>
      <c r="F1884" s="494">
        <v>417</v>
      </c>
      <c r="G1884" s="495" t="s">
        <v>4179</v>
      </c>
      <c r="H1884" s="397"/>
      <c r="I1884" s="397"/>
      <c r="J1884" s="750" t="e">
        <f t="shared" si="14"/>
        <v>#DIV/0!</v>
      </c>
      <c r="K1884" s="398"/>
      <c r="L1884" s="398"/>
      <c r="M1884" s="682"/>
      <c r="N1884" s="171"/>
      <c r="O1884" s="171"/>
      <c r="P1884" s="169"/>
      <c r="Q1884" s="171"/>
      <c r="R1884" s="171"/>
      <c r="S1884" s="171"/>
      <c r="T1884" s="171"/>
      <c r="U1884" s="171"/>
      <c r="V1884" s="171"/>
      <c r="W1884" s="171"/>
      <c r="X1884" s="171"/>
      <c r="Y1884" s="171"/>
      <c r="Z1884" s="171"/>
      <c r="AA1884" s="171"/>
    </row>
    <row r="1885" spans="1:27" s="530" customFormat="1" hidden="1" x14ac:dyDescent="0.2">
      <c r="A1885" s="526"/>
      <c r="B1885" s="527"/>
      <c r="C1885" s="465"/>
      <c r="D1885" s="464"/>
      <c r="E1885" s="464"/>
      <c r="F1885" s="494">
        <v>418</v>
      </c>
      <c r="G1885" s="495" t="s">
        <v>3773</v>
      </c>
      <c r="H1885" s="397"/>
      <c r="I1885" s="397"/>
      <c r="J1885" s="750" t="e">
        <f t="shared" si="14"/>
        <v>#DIV/0!</v>
      </c>
      <c r="K1885" s="398"/>
      <c r="L1885" s="398"/>
      <c r="M1885" s="682"/>
      <c r="N1885" s="171"/>
      <c r="O1885" s="171"/>
      <c r="P1885" s="169"/>
      <c r="Q1885" s="171"/>
      <c r="R1885" s="171"/>
      <c r="S1885" s="171"/>
      <c r="T1885" s="171"/>
      <c r="U1885" s="171"/>
      <c r="V1885" s="171"/>
      <c r="W1885" s="171"/>
      <c r="X1885" s="171"/>
      <c r="Y1885" s="171"/>
      <c r="Z1885" s="171"/>
      <c r="AA1885" s="171"/>
    </row>
    <row r="1886" spans="1:27" s="530" customFormat="1" x14ac:dyDescent="0.2">
      <c r="A1886" s="526"/>
      <c r="B1886" s="527"/>
      <c r="C1886" s="465"/>
      <c r="D1886" s="464"/>
      <c r="E1886" s="464"/>
      <c r="F1886" s="494">
        <v>421</v>
      </c>
      <c r="G1886" s="495" t="s">
        <v>3777</v>
      </c>
      <c r="H1886" s="397">
        <v>35000</v>
      </c>
      <c r="I1886" s="397">
        <v>35000</v>
      </c>
      <c r="J1886" s="750">
        <f t="shared" si="14"/>
        <v>100</v>
      </c>
      <c r="K1886" s="398"/>
      <c r="L1886" s="398"/>
      <c r="M1886" s="682"/>
      <c r="N1886" s="171"/>
      <c r="O1886" s="171"/>
      <c r="P1886" s="169"/>
      <c r="Q1886" s="171"/>
      <c r="R1886" s="171"/>
      <c r="S1886" s="171"/>
      <c r="T1886" s="171"/>
      <c r="U1886" s="171"/>
      <c r="V1886" s="171"/>
      <c r="W1886" s="171"/>
      <c r="X1886" s="171"/>
      <c r="Y1886" s="171"/>
      <c r="Z1886" s="171"/>
      <c r="AA1886" s="171"/>
    </row>
    <row r="1887" spans="1:27" s="530" customFormat="1" ht="0.75" customHeight="1" x14ac:dyDescent="0.2">
      <c r="A1887" s="526"/>
      <c r="B1887" s="527"/>
      <c r="C1887" s="465"/>
      <c r="D1887" s="464"/>
      <c r="E1887" s="464"/>
      <c r="F1887" s="494">
        <v>422</v>
      </c>
      <c r="G1887" s="495" t="s">
        <v>3778</v>
      </c>
      <c r="H1887" s="397"/>
      <c r="I1887" s="397"/>
      <c r="J1887" s="750" t="e">
        <f t="shared" si="14"/>
        <v>#DIV/0!</v>
      </c>
      <c r="K1887" s="398"/>
      <c r="L1887" s="398"/>
      <c r="M1887" s="682"/>
      <c r="N1887" s="171"/>
      <c r="O1887" s="171"/>
      <c r="P1887" s="169"/>
      <c r="Q1887" s="171"/>
      <c r="R1887" s="171"/>
      <c r="S1887" s="171"/>
      <c r="T1887" s="171"/>
      <c r="U1887" s="171"/>
      <c r="V1887" s="171"/>
      <c r="W1887" s="171"/>
      <c r="X1887" s="171"/>
      <c r="Y1887" s="171"/>
      <c r="Z1887" s="171"/>
      <c r="AA1887" s="171"/>
    </row>
    <row r="1888" spans="1:27" s="530" customFormat="1" x14ac:dyDescent="0.2">
      <c r="A1888" s="526"/>
      <c r="B1888" s="527"/>
      <c r="C1888" s="465"/>
      <c r="D1888" s="464"/>
      <c r="E1888" s="464">
        <v>33</v>
      </c>
      <c r="F1888" s="494">
        <v>423</v>
      </c>
      <c r="G1888" s="495" t="s">
        <v>3779</v>
      </c>
      <c r="H1888" s="397">
        <v>505000</v>
      </c>
      <c r="I1888" s="397">
        <v>478377.61</v>
      </c>
      <c r="J1888" s="750">
        <f t="shared" si="14"/>
        <v>94.72823960396039</v>
      </c>
      <c r="K1888" s="398">
        <v>253750</v>
      </c>
      <c r="L1888" s="398">
        <v>164655</v>
      </c>
      <c r="M1888" s="682"/>
      <c r="N1888" s="171"/>
      <c r="O1888" s="171"/>
      <c r="P1888" s="169"/>
      <c r="Q1888" s="171"/>
      <c r="R1888" s="171"/>
      <c r="S1888" s="171"/>
      <c r="T1888" s="171"/>
      <c r="U1888" s="171"/>
      <c r="V1888" s="171"/>
      <c r="W1888" s="171"/>
      <c r="X1888" s="171"/>
      <c r="Y1888" s="171"/>
      <c r="Z1888" s="171"/>
      <c r="AA1888" s="171"/>
    </row>
    <row r="1889" spans="1:27" s="530" customFormat="1" ht="15" customHeight="1" x14ac:dyDescent="0.2">
      <c r="A1889" s="526"/>
      <c r="B1889" s="527"/>
      <c r="C1889" s="465"/>
      <c r="D1889" s="464"/>
      <c r="E1889" s="464"/>
      <c r="F1889" s="494">
        <v>424</v>
      </c>
      <c r="G1889" s="495" t="s">
        <v>3781</v>
      </c>
      <c r="H1889" s="397">
        <v>390000</v>
      </c>
      <c r="I1889" s="397">
        <v>380768.28</v>
      </c>
      <c r="J1889" s="750">
        <f t="shared" si="14"/>
        <v>97.632892307692316</v>
      </c>
      <c r="K1889" s="398"/>
      <c r="L1889" s="398"/>
      <c r="M1889" s="682"/>
      <c r="N1889" s="171"/>
      <c r="O1889" s="171"/>
      <c r="P1889" s="169"/>
      <c r="Q1889" s="171"/>
      <c r="R1889" s="171"/>
      <c r="S1889" s="171"/>
      <c r="T1889" s="171"/>
      <c r="U1889" s="171"/>
      <c r="V1889" s="171"/>
      <c r="W1889" s="171"/>
      <c r="X1889" s="171"/>
      <c r="Y1889" s="171"/>
      <c r="Z1889" s="171"/>
      <c r="AA1889" s="171"/>
    </row>
    <row r="1890" spans="1:27" s="530" customFormat="1" ht="13.5" customHeight="1" x14ac:dyDescent="0.2">
      <c r="A1890" s="526"/>
      <c r="B1890" s="527"/>
      <c r="C1890" s="465"/>
      <c r="D1890" s="464"/>
      <c r="E1890" s="464"/>
      <c r="F1890" s="494">
        <v>425</v>
      </c>
      <c r="G1890" s="495" t="s">
        <v>4180</v>
      </c>
      <c r="H1890" s="397"/>
      <c r="I1890" s="397"/>
      <c r="J1890" s="750"/>
      <c r="K1890" s="398">
        <v>50000</v>
      </c>
      <c r="L1890" s="398">
        <v>50000</v>
      </c>
      <c r="M1890" s="682"/>
      <c r="N1890" s="171"/>
      <c r="O1890" s="171"/>
      <c r="P1890" s="169"/>
      <c r="Q1890" s="171"/>
      <c r="R1890" s="171"/>
      <c r="S1890" s="171"/>
      <c r="T1890" s="171"/>
      <c r="U1890" s="171"/>
      <c r="V1890" s="171"/>
      <c r="W1890" s="171"/>
      <c r="X1890" s="171"/>
      <c r="Y1890" s="171"/>
      <c r="Z1890" s="171"/>
      <c r="AA1890" s="171"/>
    </row>
    <row r="1891" spans="1:27" s="530" customFormat="1" x14ac:dyDescent="0.2">
      <c r="A1891" s="526"/>
      <c r="B1891" s="527"/>
      <c r="C1891" s="465"/>
      <c r="D1891" s="464"/>
      <c r="E1891" s="464">
        <v>34</v>
      </c>
      <c r="F1891" s="494">
        <v>426</v>
      </c>
      <c r="G1891" s="495" t="s">
        <v>3785</v>
      </c>
      <c r="H1891" s="397">
        <v>215000</v>
      </c>
      <c r="I1891" s="397">
        <v>213620</v>
      </c>
      <c r="J1891" s="750">
        <f t="shared" si="14"/>
        <v>99.358139534883719</v>
      </c>
      <c r="K1891" s="398">
        <v>50400</v>
      </c>
      <c r="L1891" s="398">
        <v>47924</v>
      </c>
      <c r="M1891" s="682"/>
      <c r="N1891" s="171"/>
      <c r="O1891" s="171"/>
      <c r="P1891" s="169"/>
      <c r="Q1891" s="171"/>
      <c r="R1891" s="171"/>
      <c r="S1891" s="171"/>
      <c r="T1891" s="171"/>
      <c r="U1891" s="171"/>
      <c r="V1891" s="171"/>
      <c r="W1891" s="171"/>
      <c r="X1891" s="171"/>
      <c r="Y1891" s="171"/>
      <c r="Z1891" s="171"/>
      <c r="AA1891" s="171"/>
    </row>
    <row r="1892" spans="1:27" s="530" customFormat="1" hidden="1" x14ac:dyDescent="0.2">
      <c r="A1892" s="526"/>
      <c r="B1892" s="527"/>
      <c r="C1892" s="465"/>
      <c r="D1892" s="464"/>
      <c r="E1892" s="464"/>
      <c r="F1892" s="494">
        <v>431</v>
      </c>
      <c r="G1892" s="495" t="s">
        <v>4181</v>
      </c>
      <c r="H1892" s="397"/>
      <c r="I1892" s="397"/>
      <c r="J1892" s="750" t="e">
        <f t="shared" si="14"/>
        <v>#DIV/0!</v>
      </c>
      <c r="K1892" s="398"/>
      <c r="L1892" s="398"/>
      <c r="M1892" s="682"/>
      <c r="N1892" s="171"/>
      <c r="O1892" s="171"/>
      <c r="P1892" s="169"/>
      <c r="Q1892" s="171"/>
      <c r="R1892" s="171"/>
      <c r="S1892" s="171"/>
      <c r="T1892" s="171"/>
      <c r="U1892" s="171"/>
      <c r="V1892" s="171"/>
      <c r="W1892" s="171"/>
      <c r="X1892" s="171"/>
      <c r="Y1892" s="171"/>
      <c r="Z1892" s="171"/>
      <c r="AA1892" s="171"/>
    </row>
    <row r="1893" spans="1:27" s="530" customFormat="1" hidden="1" x14ac:dyDescent="0.2">
      <c r="A1893" s="526"/>
      <c r="B1893" s="527"/>
      <c r="C1893" s="465"/>
      <c r="D1893" s="464"/>
      <c r="E1893" s="464"/>
      <c r="F1893" s="494">
        <v>432</v>
      </c>
      <c r="G1893" s="495" t="s">
        <v>4182</v>
      </c>
      <c r="H1893" s="397"/>
      <c r="I1893" s="397"/>
      <c r="J1893" s="750" t="e">
        <f t="shared" si="14"/>
        <v>#DIV/0!</v>
      </c>
      <c r="K1893" s="398"/>
      <c r="L1893" s="398"/>
      <c r="M1893" s="682"/>
      <c r="N1893" s="171"/>
      <c r="O1893" s="171"/>
      <c r="P1893" s="169"/>
      <c r="Q1893" s="171"/>
      <c r="R1893" s="171"/>
      <c r="S1893" s="171"/>
      <c r="T1893" s="171"/>
      <c r="U1893" s="171"/>
      <c r="V1893" s="171"/>
      <c r="W1893" s="171"/>
      <c r="X1893" s="171"/>
      <c r="Y1893" s="171"/>
      <c r="Z1893" s="171"/>
      <c r="AA1893" s="171"/>
    </row>
    <row r="1894" spans="1:27" s="530" customFormat="1" hidden="1" x14ac:dyDescent="0.2">
      <c r="A1894" s="526"/>
      <c r="B1894" s="527"/>
      <c r="C1894" s="465"/>
      <c r="D1894" s="464"/>
      <c r="E1894" s="464"/>
      <c r="F1894" s="494">
        <v>433</v>
      </c>
      <c r="G1894" s="495" t="s">
        <v>4183</v>
      </c>
      <c r="H1894" s="397"/>
      <c r="I1894" s="397"/>
      <c r="J1894" s="750" t="e">
        <f t="shared" si="14"/>
        <v>#DIV/0!</v>
      </c>
      <c r="K1894" s="398"/>
      <c r="L1894" s="398"/>
      <c r="M1894" s="682"/>
      <c r="N1894" s="171"/>
      <c r="O1894" s="171"/>
      <c r="P1894" s="169"/>
      <c r="Q1894" s="171"/>
      <c r="R1894" s="171"/>
      <c r="S1894" s="171"/>
      <c r="T1894" s="171"/>
      <c r="U1894" s="171"/>
      <c r="V1894" s="171"/>
      <c r="W1894" s="171"/>
      <c r="X1894" s="171"/>
      <c r="Y1894" s="171"/>
      <c r="Z1894" s="171"/>
      <c r="AA1894" s="171"/>
    </row>
    <row r="1895" spans="1:27" s="530" customFormat="1" hidden="1" x14ac:dyDescent="0.2">
      <c r="A1895" s="526"/>
      <c r="B1895" s="527"/>
      <c r="C1895" s="465"/>
      <c r="D1895" s="464"/>
      <c r="E1895" s="464"/>
      <c r="F1895" s="494">
        <v>434</v>
      </c>
      <c r="G1895" s="495" t="s">
        <v>4184</v>
      </c>
      <c r="H1895" s="397"/>
      <c r="I1895" s="397"/>
      <c r="J1895" s="750" t="e">
        <f t="shared" si="14"/>
        <v>#DIV/0!</v>
      </c>
      <c r="K1895" s="398"/>
      <c r="L1895" s="398"/>
      <c r="M1895" s="682"/>
      <c r="N1895" s="171"/>
      <c r="O1895" s="171"/>
      <c r="P1895" s="169"/>
      <c r="Q1895" s="171"/>
      <c r="R1895" s="171"/>
      <c r="S1895" s="171"/>
      <c r="T1895" s="171"/>
      <c r="U1895" s="171"/>
      <c r="V1895" s="171"/>
      <c r="W1895" s="171"/>
      <c r="X1895" s="171"/>
      <c r="Y1895" s="171"/>
      <c r="Z1895" s="171"/>
      <c r="AA1895" s="171"/>
    </row>
    <row r="1896" spans="1:27" s="530" customFormat="1" hidden="1" x14ac:dyDescent="0.2">
      <c r="A1896" s="526"/>
      <c r="B1896" s="527"/>
      <c r="C1896" s="465"/>
      <c r="D1896" s="464"/>
      <c r="E1896" s="464"/>
      <c r="F1896" s="494">
        <v>435</v>
      </c>
      <c r="G1896" s="495" t="s">
        <v>3792</v>
      </c>
      <c r="H1896" s="397"/>
      <c r="I1896" s="397"/>
      <c r="J1896" s="750" t="e">
        <f t="shared" si="14"/>
        <v>#DIV/0!</v>
      </c>
      <c r="K1896" s="398"/>
      <c r="L1896" s="398"/>
      <c r="M1896" s="682"/>
      <c r="N1896" s="171"/>
      <c r="O1896" s="171"/>
      <c r="P1896" s="169"/>
      <c r="Q1896" s="171"/>
      <c r="R1896" s="171"/>
      <c r="S1896" s="171"/>
      <c r="T1896" s="171"/>
      <c r="U1896" s="171"/>
      <c r="V1896" s="171"/>
      <c r="W1896" s="171"/>
      <c r="X1896" s="171"/>
      <c r="Y1896" s="171"/>
      <c r="Z1896" s="171"/>
      <c r="AA1896" s="171"/>
    </row>
    <row r="1897" spans="1:27" s="530" customFormat="1" hidden="1" x14ac:dyDescent="0.2">
      <c r="A1897" s="526"/>
      <c r="B1897" s="527"/>
      <c r="C1897" s="465"/>
      <c r="D1897" s="464"/>
      <c r="E1897" s="464"/>
      <c r="F1897" s="494">
        <v>441</v>
      </c>
      <c r="G1897" s="495" t="s">
        <v>4185</v>
      </c>
      <c r="H1897" s="397"/>
      <c r="I1897" s="397"/>
      <c r="J1897" s="750" t="e">
        <f t="shared" si="14"/>
        <v>#DIV/0!</v>
      </c>
      <c r="K1897" s="398"/>
      <c r="L1897" s="398"/>
      <c r="M1897" s="682"/>
      <c r="N1897" s="171"/>
      <c r="O1897" s="171"/>
      <c r="P1897" s="169"/>
      <c r="Q1897" s="171"/>
      <c r="R1897" s="171"/>
      <c r="S1897" s="171"/>
      <c r="T1897" s="171"/>
      <c r="U1897" s="171"/>
      <c r="V1897" s="171"/>
      <c r="W1897" s="171"/>
      <c r="X1897" s="171"/>
      <c r="Y1897" s="171"/>
      <c r="Z1897" s="171"/>
      <c r="AA1897" s="171"/>
    </row>
    <row r="1898" spans="1:27" s="530" customFormat="1" hidden="1" x14ac:dyDescent="0.2">
      <c r="A1898" s="526"/>
      <c r="B1898" s="527"/>
      <c r="C1898" s="465"/>
      <c r="D1898" s="464"/>
      <c r="E1898" s="464"/>
      <c r="F1898" s="494">
        <v>442</v>
      </c>
      <c r="G1898" s="495" t="s">
        <v>4186</v>
      </c>
      <c r="H1898" s="397"/>
      <c r="I1898" s="397"/>
      <c r="J1898" s="750" t="e">
        <f t="shared" si="14"/>
        <v>#DIV/0!</v>
      </c>
      <c r="K1898" s="398"/>
      <c r="L1898" s="398"/>
      <c r="M1898" s="682"/>
      <c r="N1898" s="171"/>
      <c r="O1898" s="171"/>
      <c r="P1898" s="169"/>
      <c r="Q1898" s="171"/>
      <c r="R1898" s="171"/>
      <c r="S1898" s="171"/>
      <c r="T1898" s="171"/>
      <c r="U1898" s="171"/>
      <c r="V1898" s="171"/>
      <c r="W1898" s="171"/>
      <c r="X1898" s="171"/>
      <c r="Y1898" s="171"/>
      <c r="Z1898" s="171"/>
      <c r="AA1898" s="171"/>
    </row>
    <row r="1899" spans="1:27" s="530" customFormat="1" hidden="1" x14ac:dyDescent="0.2">
      <c r="A1899" s="526"/>
      <c r="B1899" s="527"/>
      <c r="C1899" s="465"/>
      <c r="D1899" s="464"/>
      <c r="E1899" s="464"/>
      <c r="F1899" s="494">
        <v>443</v>
      </c>
      <c r="G1899" s="495" t="s">
        <v>3797</v>
      </c>
      <c r="H1899" s="397"/>
      <c r="I1899" s="397"/>
      <c r="J1899" s="750" t="e">
        <f t="shared" si="14"/>
        <v>#DIV/0!</v>
      </c>
      <c r="K1899" s="398"/>
      <c r="L1899" s="398"/>
      <c r="M1899" s="682"/>
      <c r="N1899" s="171"/>
      <c r="O1899" s="171"/>
      <c r="P1899" s="169"/>
      <c r="Q1899" s="171"/>
      <c r="R1899" s="171"/>
      <c r="S1899" s="171"/>
      <c r="T1899" s="171"/>
      <c r="U1899" s="171"/>
      <c r="V1899" s="171"/>
      <c r="W1899" s="171"/>
      <c r="X1899" s="171"/>
      <c r="Y1899" s="171"/>
      <c r="Z1899" s="171"/>
      <c r="AA1899" s="171"/>
    </row>
    <row r="1900" spans="1:27" s="530" customFormat="1" hidden="1" x14ac:dyDescent="0.2">
      <c r="A1900" s="526"/>
      <c r="B1900" s="527"/>
      <c r="C1900" s="465"/>
      <c r="D1900" s="464"/>
      <c r="E1900" s="464"/>
      <c r="F1900" s="494">
        <v>444</v>
      </c>
      <c r="G1900" s="495" t="s">
        <v>3798</v>
      </c>
      <c r="H1900" s="397"/>
      <c r="I1900" s="397"/>
      <c r="J1900" s="750" t="e">
        <f t="shared" si="14"/>
        <v>#DIV/0!</v>
      </c>
      <c r="K1900" s="398"/>
      <c r="L1900" s="398"/>
      <c r="M1900" s="682"/>
      <c r="N1900" s="171"/>
      <c r="O1900" s="171"/>
      <c r="P1900" s="169"/>
      <c r="Q1900" s="171"/>
      <c r="R1900" s="171"/>
      <c r="S1900" s="171"/>
      <c r="T1900" s="171"/>
      <c r="U1900" s="171"/>
      <c r="V1900" s="171"/>
      <c r="W1900" s="171"/>
      <c r="X1900" s="171"/>
      <c r="Y1900" s="171"/>
      <c r="Z1900" s="171"/>
      <c r="AA1900" s="171"/>
    </row>
    <row r="1901" spans="1:27" s="530" customFormat="1" ht="25.5" hidden="1" x14ac:dyDescent="0.2">
      <c r="A1901" s="526"/>
      <c r="B1901" s="527"/>
      <c r="C1901" s="465"/>
      <c r="D1901" s="464"/>
      <c r="E1901" s="464"/>
      <c r="F1901" s="494">
        <v>4511</v>
      </c>
      <c r="G1901" s="466" t="s">
        <v>1692</v>
      </c>
      <c r="H1901" s="397"/>
      <c r="I1901" s="397"/>
      <c r="J1901" s="750" t="e">
        <f t="shared" si="14"/>
        <v>#DIV/0!</v>
      </c>
      <c r="K1901" s="398"/>
      <c r="L1901" s="398"/>
      <c r="M1901" s="682"/>
      <c r="N1901" s="171"/>
      <c r="O1901" s="171"/>
      <c r="P1901" s="169"/>
      <c r="Q1901" s="171"/>
      <c r="R1901" s="171"/>
      <c r="S1901" s="171"/>
      <c r="T1901" s="171"/>
      <c r="U1901" s="171"/>
      <c r="V1901" s="171"/>
      <c r="W1901" s="171"/>
      <c r="X1901" s="171"/>
      <c r="Y1901" s="171"/>
      <c r="Z1901" s="171"/>
      <c r="AA1901" s="171"/>
    </row>
    <row r="1902" spans="1:27" s="530" customFormat="1" ht="25.5" hidden="1" x14ac:dyDescent="0.2">
      <c r="A1902" s="526"/>
      <c r="B1902" s="527"/>
      <c r="C1902" s="465"/>
      <c r="D1902" s="464"/>
      <c r="E1902" s="464"/>
      <c r="F1902" s="494">
        <v>4512</v>
      </c>
      <c r="G1902" s="466" t="s">
        <v>1701</v>
      </c>
      <c r="H1902" s="397"/>
      <c r="I1902" s="397"/>
      <c r="J1902" s="750" t="e">
        <f t="shared" si="14"/>
        <v>#DIV/0!</v>
      </c>
      <c r="K1902" s="398"/>
      <c r="L1902" s="398"/>
      <c r="M1902" s="682"/>
      <c r="N1902" s="171"/>
      <c r="O1902" s="171"/>
      <c r="P1902" s="169"/>
      <c r="Q1902" s="171"/>
      <c r="R1902" s="171"/>
      <c r="S1902" s="171"/>
      <c r="T1902" s="171"/>
      <c r="U1902" s="171"/>
      <c r="V1902" s="171"/>
      <c r="W1902" s="171"/>
      <c r="X1902" s="171"/>
      <c r="Y1902" s="171"/>
      <c r="Z1902" s="171"/>
      <c r="AA1902" s="171"/>
    </row>
    <row r="1903" spans="1:27" s="530" customFormat="1" ht="25.5" hidden="1" x14ac:dyDescent="0.2">
      <c r="A1903" s="526"/>
      <c r="B1903" s="527"/>
      <c r="C1903" s="465"/>
      <c r="D1903" s="464"/>
      <c r="E1903" s="464"/>
      <c r="F1903" s="494">
        <v>452</v>
      </c>
      <c r="G1903" s="495" t="s">
        <v>4187</v>
      </c>
      <c r="H1903" s="397"/>
      <c r="I1903" s="397"/>
      <c r="J1903" s="750" t="e">
        <f t="shared" si="14"/>
        <v>#DIV/0!</v>
      </c>
      <c r="K1903" s="398"/>
      <c r="L1903" s="398"/>
      <c r="M1903" s="682"/>
      <c r="N1903" s="171"/>
      <c r="O1903" s="171"/>
      <c r="P1903" s="169"/>
      <c r="Q1903" s="171"/>
      <c r="R1903" s="171"/>
      <c r="S1903" s="171"/>
      <c r="T1903" s="171"/>
      <c r="U1903" s="171"/>
      <c r="V1903" s="171"/>
      <c r="W1903" s="171"/>
      <c r="X1903" s="171"/>
      <c r="Y1903" s="171"/>
      <c r="Z1903" s="171"/>
      <c r="AA1903" s="171"/>
    </row>
    <row r="1904" spans="1:27" s="530" customFormat="1" ht="25.5" hidden="1" x14ac:dyDescent="0.2">
      <c r="A1904" s="526"/>
      <c r="B1904" s="527"/>
      <c r="C1904" s="465"/>
      <c r="D1904" s="464"/>
      <c r="E1904" s="464"/>
      <c r="F1904" s="494">
        <v>453</v>
      </c>
      <c r="G1904" s="495" t="s">
        <v>4188</v>
      </c>
      <c r="H1904" s="397"/>
      <c r="I1904" s="397"/>
      <c r="J1904" s="750" t="e">
        <f t="shared" si="14"/>
        <v>#DIV/0!</v>
      </c>
      <c r="K1904" s="398"/>
      <c r="L1904" s="398"/>
      <c r="M1904" s="682"/>
      <c r="N1904" s="171"/>
      <c r="O1904" s="171"/>
      <c r="P1904" s="169"/>
      <c r="Q1904" s="171"/>
      <c r="R1904" s="171"/>
      <c r="S1904" s="171"/>
      <c r="T1904" s="171"/>
      <c r="U1904" s="171"/>
      <c r="V1904" s="171"/>
      <c r="W1904" s="171"/>
      <c r="X1904" s="171"/>
      <c r="Y1904" s="171"/>
      <c r="Z1904" s="171"/>
      <c r="AA1904" s="171"/>
    </row>
    <row r="1905" spans="1:27" s="530" customFormat="1" hidden="1" x14ac:dyDescent="0.2">
      <c r="A1905" s="526"/>
      <c r="B1905" s="527"/>
      <c r="C1905" s="465"/>
      <c r="D1905" s="464"/>
      <c r="E1905" s="464"/>
      <c r="F1905" s="494">
        <v>454</v>
      </c>
      <c r="G1905" s="495" t="s">
        <v>3803</v>
      </c>
      <c r="H1905" s="397"/>
      <c r="I1905" s="397"/>
      <c r="J1905" s="750" t="e">
        <f t="shared" si="14"/>
        <v>#DIV/0!</v>
      </c>
      <c r="K1905" s="398"/>
      <c r="L1905" s="398"/>
      <c r="M1905" s="682"/>
      <c r="N1905" s="171"/>
      <c r="O1905" s="171"/>
      <c r="P1905" s="169"/>
      <c r="Q1905" s="171"/>
      <c r="R1905" s="171"/>
      <c r="S1905" s="171"/>
      <c r="T1905" s="171"/>
      <c r="U1905" s="171"/>
      <c r="V1905" s="171"/>
      <c r="W1905" s="171"/>
      <c r="X1905" s="171"/>
      <c r="Y1905" s="171"/>
      <c r="Z1905" s="171"/>
      <c r="AA1905" s="171"/>
    </row>
    <row r="1906" spans="1:27" s="530" customFormat="1" hidden="1" x14ac:dyDescent="0.2">
      <c r="A1906" s="526"/>
      <c r="B1906" s="527"/>
      <c r="C1906" s="465"/>
      <c r="D1906" s="464"/>
      <c r="E1906" s="464"/>
      <c r="F1906" s="494">
        <v>461</v>
      </c>
      <c r="G1906" s="495" t="s">
        <v>4169</v>
      </c>
      <c r="H1906" s="397"/>
      <c r="I1906" s="397"/>
      <c r="J1906" s="750" t="e">
        <f t="shared" si="14"/>
        <v>#DIV/0!</v>
      </c>
      <c r="K1906" s="398"/>
      <c r="L1906" s="398"/>
      <c r="M1906" s="682"/>
      <c r="N1906" s="171"/>
      <c r="O1906" s="171"/>
      <c r="P1906" s="169"/>
      <c r="Q1906" s="171"/>
      <c r="R1906" s="171"/>
      <c r="S1906" s="171"/>
      <c r="T1906" s="171"/>
      <c r="U1906" s="171"/>
      <c r="V1906" s="171"/>
      <c r="W1906" s="171"/>
      <c r="X1906" s="171"/>
      <c r="Y1906" s="171"/>
      <c r="Z1906" s="171"/>
      <c r="AA1906" s="171"/>
    </row>
    <row r="1907" spans="1:27" s="530" customFormat="1" ht="25.5" hidden="1" x14ac:dyDescent="0.2">
      <c r="A1907" s="526"/>
      <c r="B1907" s="527"/>
      <c r="C1907" s="465"/>
      <c r="D1907" s="464"/>
      <c r="E1907" s="464"/>
      <c r="F1907" s="494">
        <v>462</v>
      </c>
      <c r="G1907" s="495" t="s">
        <v>3806</v>
      </c>
      <c r="H1907" s="397"/>
      <c r="I1907" s="397"/>
      <c r="J1907" s="750" t="e">
        <f t="shared" si="14"/>
        <v>#DIV/0!</v>
      </c>
      <c r="K1907" s="398"/>
      <c r="L1907" s="398"/>
      <c r="M1907" s="682"/>
      <c r="N1907" s="171"/>
      <c r="O1907" s="171"/>
      <c r="P1907" s="169"/>
      <c r="Q1907" s="171"/>
      <c r="R1907" s="171"/>
      <c r="S1907" s="171"/>
      <c r="T1907" s="171"/>
      <c r="U1907" s="171"/>
      <c r="V1907" s="171"/>
      <c r="W1907" s="171"/>
      <c r="X1907" s="171"/>
      <c r="Y1907" s="171"/>
      <c r="Z1907" s="171"/>
      <c r="AA1907" s="171"/>
    </row>
    <row r="1908" spans="1:27" s="530" customFormat="1" hidden="1" x14ac:dyDescent="0.2">
      <c r="A1908" s="526"/>
      <c r="B1908" s="527"/>
      <c r="C1908" s="465"/>
      <c r="D1908" s="464"/>
      <c r="E1908" s="464"/>
      <c r="F1908" s="494">
        <v>4631</v>
      </c>
      <c r="G1908" s="495" t="s">
        <v>3807</v>
      </c>
      <c r="H1908" s="397"/>
      <c r="I1908" s="397"/>
      <c r="J1908" s="750" t="e">
        <f t="shared" si="14"/>
        <v>#DIV/0!</v>
      </c>
      <c r="K1908" s="398"/>
      <c r="L1908" s="398"/>
      <c r="M1908" s="682"/>
      <c r="N1908" s="171"/>
      <c r="O1908" s="171"/>
      <c r="P1908" s="169"/>
      <c r="Q1908" s="171"/>
      <c r="R1908" s="171"/>
      <c r="S1908" s="171"/>
      <c r="T1908" s="171"/>
      <c r="U1908" s="171"/>
      <c r="V1908" s="171"/>
      <c r="W1908" s="171"/>
      <c r="X1908" s="171"/>
      <c r="Y1908" s="171"/>
      <c r="Z1908" s="171"/>
      <c r="AA1908" s="171"/>
    </row>
    <row r="1909" spans="1:27" s="530" customFormat="1" hidden="1" x14ac:dyDescent="0.2">
      <c r="A1909" s="526"/>
      <c r="B1909" s="527"/>
      <c r="C1909" s="465"/>
      <c r="D1909" s="464"/>
      <c r="E1909" s="464"/>
      <c r="F1909" s="494">
        <v>4632</v>
      </c>
      <c r="G1909" s="495" t="s">
        <v>3808</v>
      </c>
      <c r="H1909" s="397"/>
      <c r="I1909" s="397"/>
      <c r="J1909" s="750" t="e">
        <f t="shared" si="14"/>
        <v>#DIV/0!</v>
      </c>
      <c r="K1909" s="398"/>
      <c r="L1909" s="398"/>
      <c r="M1909" s="682"/>
      <c r="N1909" s="171"/>
      <c r="O1909" s="171"/>
      <c r="P1909" s="169"/>
      <c r="Q1909" s="171"/>
      <c r="R1909" s="171"/>
      <c r="S1909" s="171"/>
      <c r="T1909" s="171"/>
      <c r="U1909" s="171"/>
      <c r="V1909" s="171"/>
      <c r="W1909" s="171"/>
      <c r="X1909" s="171"/>
      <c r="Y1909" s="171"/>
      <c r="Z1909" s="171"/>
      <c r="AA1909" s="171"/>
    </row>
    <row r="1910" spans="1:27" s="530" customFormat="1" ht="25.5" hidden="1" x14ac:dyDescent="0.2">
      <c r="A1910" s="526"/>
      <c r="B1910" s="527"/>
      <c r="C1910" s="465"/>
      <c r="D1910" s="464"/>
      <c r="E1910" s="464"/>
      <c r="F1910" s="494">
        <v>464</v>
      </c>
      <c r="G1910" s="495" t="s">
        <v>3809</v>
      </c>
      <c r="H1910" s="397"/>
      <c r="I1910" s="397"/>
      <c r="J1910" s="750" t="e">
        <f t="shared" si="14"/>
        <v>#DIV/0!</v>
      </c>
      <c r="K1910" s="398"/>
      <c r="L1910" s="398"/>
      <c r="M1910" s="682"/>
      <c r="N1910" s="171"/>
      <c r="O1910" s="171"/>
      <c r="P1910" s="169"/>
      <c r="Q1910" s="171"/>
      <c r="R1910" s="171"/>
      <c r="S1910" s="171"/>
      <c r="T1910" s="171"/>
      <c r="U1910" s="171"/>
      <c r="V1910" s="171"/>
      <c r="W1910" s="171"/>
      <c r="X1910" s="171"/>
      <c r="Y1910" s="171"/>
      <c r="Z1910" s="171"/>
      <c r="AA1910" s="171"/>
    </row>
    <row r="1911" spans="1:27" s="530" customFormat="1" hidden="1" x14ac:dyDescent="0.2">
      <c r="A1911" s="526"/>
      <c r="B1911" s="527"/>
      <c r="C1911" s="465"/>
      <c r="D1911" s="464"/>
      <c r="E1911" s="464"/>
      <c r="F1911" s="494">
        <v>465</v>
      </c>
      <c r="G1911" s="495" t="s">
        <v>4170</v>
      </c>
      <c r="H1911" s="397"/>
      <c r="I1911" s="397"/>
      <c r="J1911" s="750" t="e">
        <f t="shared" si="14"/>
        <v>#DIV/0!</v>
      </c>
      <c r="K1911" s="398"/>
      <c r="L1911" s="398"/>
      <c r="M1911" s="682"/>
      <c r="N1911" s="171"/>
      <c r="O1911" s="171"/>
      <c r="P1911" s="169"/>
      <c r="Q1911" s="171"/>
      <c r="R1911" s="171"/>
      <c r="S1911" s="171"/>
      <c r="T1911" s="171"/>
      <c r="U1911" s="171"/>
      <c r="V1911" s="171"/>
      <c r="W1911" s="171"/>
      <c r="X1911" s="171"/>
      <c r="Y1911" s="171"/>
      <c r="Z1911" s="171"/>
      <c r="AA1911" s="171"/>
    </row>
    <row r="1912" spans="1:27" s="530" customFormat="1" hidden="1" x14ac:dyDescent="0.2">
      <c r="A1912" s="526"/>
      <c r="B1912" s="527"/>
      <c r="C1912" s="465"/>
      <c r="D1912" s="464"/>
      <c r="E1912" s="464"/>
      <c r="F1912" s="494">
        <v>472</v>
      </c>
      <c r="G1912" s="495" t="s">
        <v>3813</v>
      </c>
      <c r="H1912" s="397"/>
      <c r="I1912" s="397"/>
      <c r="J1912" s="750" t="e">
        <f t="shared" si="14"/>
        <v>#DIV/0!</v>
      </c>
      <c r="K1912" s="398"/>
      <c r="L1912" s="398"/>
      <c r="M1912" s="682"/>
      <c r="N1912" s="171"/>
      <c r="O1912" s="171"/>
      <c r="P1912" s="169"/>
      <c r="Q1912" s="171"/>
      <c r="R1912" s="171"/>
      <c r="S1912" s="171"/>
      <c r="T1912" s="171"/>
      <c r="U1912" s="171"/>
      <c r="V1912" s="171"/>
      <c r="W1912" s="171"/>
      <c r="X1912" s="171"/>
      <c r="Y1912" s="171"/>
      <c r="Z1912" s="171"/>
      <c r="AA1912" s="171"/>
    </row>
    <row r="1913" spans="1:27" s="530" customFormat="1" hidden="1" x14ac:dyDescent="0.2">
      <c r="A1913" s="526"/>
      <c r="B1913" s="527"/>
      <c r="C1913" s="465"/>
      <c r="D1913" s="464"/>
      <c r="E1913" s="464"/>
      <c r="F1913" s="494">
        <v>481</v>
      </c>
      <c r="G1913" s="495" t="s">
        <v>4189</v>
      </c>
      <c r="H1913" s="397"/>
      <c r="I1913" s="397"/>
      <c r="J1913" s="750" t="e">
        <f t="shared" si="14"/>
        <v>#DIV/0!</v>
      </c>
      <c r="K1913" s="398"/>
      <c r="L1913" s="398"/>
      <c r="M1913" s="682"/>
      <c r="N1913" s="171"/>
      <c r="O1913" s="171"/>
      <c r="P1913" s="169"/>
      <c r="Q1913" s="171"/>
      <c r="R1913" s="171"/>
      <c r="S1913" s="171"/>
      <c r="T1913" s="171"/>
      <c r="U1913" s="171"/>
      <c r="V1913" s="171"/>
      <c r="W1913" s="171"/>
      <c r="X1913" s="171"/>
      <c r="Y1913" s="171"/>
      <c r="Z1913" s="171"/>
      <c r="AA1913" s="171"/>
    </row>
    <row r="1914" spans="1:27" s="530" customFormat="1" hidden="1" x14ac:dyDescent="0.2">
      <c r="A1914" s="526"/>
      <c r="B1914" s="527"/>
      <c r="C1914" s="465"/>
      <c r="D1914" s="464"/>
      <c r="E1914" s="464"/>
      <c r="F1914" s="494">
        <v>482</v>
      </c>
      <c r="G1914" s="495" t="s">
        <v>4190</v>
      </c>
      <c r="H1914" s="397"/>
      <c r="I1914" s="397"/>
      <c r="J1914" s="750" t="e">
        <f t="shared" si="14"/>
        <v>#DIV/0!</v>
      </c>
      <c r="K1914" s="398"/>
      <c r="L1914" s="398"/>
      <c r="M1914" s="682"/>
      <c r="N1914" s="171"/>
      <c r="O1914" s="171"/>
      <c r="P1914" s="169"/>
      <c r="Q1914" s="171"/>
      <c r="R1914" s="171"/>
      <c r="S1914" s="171"/>
      <c r="T1914" s="171"/>
      <c r="U1914" s="171"/>
      <c r="V1914" s="171"/>
      <c r="W1914" s="171"/>
      <c r="X1914" s="171"/>
      <c r="Y1914" s="171"/>
      <c r="Z1914" s="171"/>
      <c r="AA1914" s="171"/>
    </row>
    <row r="1915" spans="1:27" s="530" customFormat="1" hidden="1" x14ac:dyDescent="0.2">
      <c r="A1915" s="526"/>
      <c r="B1915" s="527"/>
      <c r="C1915" s="465"/>
      <c r="D1915" s="464"/>
      <c r="E1915" s="464"/>
      <c r="F1915" s="494">
        <v>483</v>
      </c>
      <c r="G1915" s="497" t="s">
        <v>4191</v>
      </c>
      <c r="H1915" s="397"/>
      <c r="I1915" s="397"/>
      <c r="J1915" s="750" t="e">
        <f t="shared" si="14"/>
        <v>#DIV/0!</v>
      </c>
      <c r="K1915" s="398"/>
      <c r="L1915" s="398"/>
      <c r="M1915" s="682"/>
      <c r="N1915" s="171"/>
      <c r="O1915" s="171"/>
      <c r="P1915" s="169"/>
      <c r="Q1915" s="171"/>
      <c r="R1915" s="171"/>
      <c r="S1915" s="171"/>
      <c r="T1915" s="171"/>
      <c r="U1915" s="171"/>
      <c r="V1915" s="171"/>
      <c r="W1915" s="171"/>
      <c r="X1915" s="171"/>
      <c r="Y1915" s="171"/>
      <c r="Z1915" s="171"/>
      <c r="AA1915" s="171"/>
    </row>
    <row r="1916" spans="1:27" s="530" customFormat="1" ht="38.25" hidden="1" x14ac:dyDescent="0.2">
      <c r="A1916" s="526"/>
      <c r="B1916" s="527"/>
      <c r="C1916" s="465"/>
      <c r="D1916" s="464"/>
      <c r="E1916" s="464"/>
      <c r="F1916" s="494">
        <v>484</v>
      </c>
      <c r="G1916" s="495" t="s">
        <v>4192</v>
      </c>
      <c r="H1916" s="397"/>
      <c r="I1916" s="397"/>
      <c r="J1916" s="750" t="e">
        <f t="shared" si="14"/>
        <v>#DIV/0!</v>
      </c>
      <c r="K1916" s="398"/>
      <c r="L1916" s="398"/>
      <c r="M1916" s="682"/>
      <c r="N1916" s="171"/>
      <c r="O1916" s="171"/>
      <c r="P1916" s="169"/>
      <c r="Q1916" s="171"/>
      <c r="R1916" s="171"/>
      <c r="S1916" s="171"/>
      <c r="T1916" s="171"/>
      <c r="U1916" s="171"/>
      <c r="V1916" s="171"/>
      <c r="W1916" s="171"/>
      <c r="X1916" s="171"/>
      <c r="Y1916" s="171"/>
      <c r="Z1916" s="171"/>
      <c r="AA1916" s="171"/>
    </row>
    <row r="1917" spans="1:27" s="530" customFormat="1" ht="25.5" hidden="1" x14ac:dyDescent="0.2">
      <c r="A1917" s="526"/>
      <c r="B1917" s="527"/>
      <c r="C1917" s="465"/>
      <c r="D1917" s="464"/>
      <c r="E1917" s="464"/>
      <c r="F1917" s="494">
        <v>485</v>
      </c>
      <c r="G1917" s="495" t="s">
        <v>4193</v>
      </c>
      <c r="H1917" s="397"/>
      <c r="I1917" s="397"/>
      <c r="J1917" s="750" t="e">
        <f t="shared" si="14"/>
        <v>#DIV/0!</v>
      </c>
      <c r="K1917" s="398"/>
      <c r="L1917" s="398"/>
      <c r="M1917" s="682"/>
      <c r="N1917" s="171"/>
      <c r="O1917" s="171"/>
      <c r="P1917" s="169"/>
      <c r="Q1917" s="171"/>
      <c r="R1917" s="171"/>
      <c r="S1917" s="171"/>
      <c r="T1917" s="171"/>
      <c r="U1917" s="171"/>
      <c r="V1917" s="171"/>
      <c r="W1917" s="171"/>
      <c r="X1917" s="171"/>
      <c r="Y1917" s="171"/>
      <c r="Z1917" s="171"/>
      <c r="AA1917" s="171"/>
    </row>
    <row r="1918" spans="1:27" s="530" customFormat="1" ht="25.5" hidden="1" x14ac:dyDescent="0.2">
      <c r="A1918" s="526"/>
      <c r="B1918" s="527"/>
      <c r="C1918" s="465"/>
      <c r="D1918" s="464"/>
      <c r="E1918" s="464"/>
      <c r="F1918" s="494">
        <v>489</v>
      </c>
      <c r="G1918" s="495" t="s">
        <v>3821</v>
      </c>
      <c r="H1918" s="397"/>
      <c r="I1918" s="397"/>
      <c r="J1918" s="750" t="e">
        <f t="shared" si="14"/>
        <v>#DIV/0!</v>
      </c>
      <c r="K1918" s="398"/>
      <c r="L1918" s="398"/>
      <c r="M1918" s="682"/>
      <c r="N1918" s="171"/>
      <c r="O1918" s="171"/>
      <c r="P1918" s="169"/>
      <c r="Q1918" s="171"/>
      <c r="R1918" s="171"/>
      <c r="S1918" s="171"/>
      <c r="T1918" s="171"/>
      <c r="U1918" s="171"/>
      <c r="V1918" s="171"/>
      <c r="W1918" s="171"/>
      <c r="X1918" s="171"/>
      <c r="Y1918" s="171"/>
      <c r="Z1918" s="171"/>
      <c r="AA1918" s="171"/>
    </row>
    <row r="1919" spans="1:27" s="530" customFormat="1" ht="25.5" hidden="1" x14ac:dyDescent="0.2">
      <c r="A1919" s="526"/>
      <c r="B1919" s="527"/>
      <c r="C1919" s="465"/>
      <c r="D1919" s="464"/>
      <c r="E1919" s="464"/>
      <c r="F1919" s="494">
        <v>494</v>
      </c>
      <c r="G1919" s="495" t="s">
        <v>4171</v>
      </c>
      <c r="H1919" s="397"/>
      <c r="I1919" s="397"/>
      <c r="J1919" s="750" t="e">
        <f t="shared" si="14"/>
        <v>#DIV/0!</v>
      </c>
      <c r="K1919" s="398"/>
      <c r="L1919" s="398"/>
      <c r="M1919" s="682"/>
      <c r="N1919" s="171"/>
      <c r="O1919" s="171"/>
      <c r="P1919" s="169"/>
      <c r="Q1919" s="171"/>
      <c r="R1919" s="171"/>
      <c r="S1919" s="171"/>
      <c r="T1919" s="171"/>
      <c r="U1919" s="171"/>
      <c r="V1919" s="171"/>
      <c r="W1919" s="171"/>
      <c r="X1919" s="171"/>
      <c r="Y1919" s="171"/>
      <c r="Z1919" s="171"/>
      <c r="AA1919" s="171"/>
    </row>
    <row r="1920" spans="1:27" s="530" customFormat="1" ht="25.5" hidden="1" x14ac:dyDescent="0.2">
      <c r="A1920" s="526"/>
      <c r="B1920" s="527"/>
      <c r="C1920" s="465"/>
      <c r="D1920" s="464"/>
      <c r="E1920" s="464"/>
      <c r="F1920" s="494">
        <v>495</v>
      </c>
      <c r="G1920" s="495" t="s">
        <v>4172</v>
      </c>
      <c r="H1920" s="397"/>
      <c r="I1920" s="397"/>
      <c r="J1920" s="750" t="e">
        <f t="shared" si="14"/>
        <v>#DIV/0!</v>
      </c>
      <c r="K1920" s="398"/>
      <c r="L1920" s="398"/>
      <c r="M1920" s="682"/>
      <c r="N1920" s="171"/>
      <c r="O1920" s="171"/>
      <c r="P1920" s="169"/>
      <c r="Q1920" s="171"/>
      <c r="R1920" s="171"/>
      <c r="S1920" s="171"/>
      <c r="T1920" s="171"/>
      <c r="U1920" s="171"/>
      <c r="V1920" s="171"/>
      <c r="W1920" s="171"/>
      <c r="X1920" s="171"/>
      <c r="Y1920" s="171"/>
      <c r="Z1920" s="171"/>
      <c r="AA1920" s="171"/>
    </row>
    <row r="1921" spans="1:27" s="530" customFormat="1" ht="38.25" hidden="1" x14ac:dyDescent="0.2">
      <c r="A1921" s="526"/>
      <c r="B1921" s="527"/>
      <c r="C1921" s="465"/>
      <c r="D1921" s="464"/>
      <c r="E1921" s="464"/>
      <c r="F1921" s="494">
        <v>496</v>
      </c>
      <c r="G1921" s="495" t="s">
        <v>4173</v>
      </c>
      <c r="H1921" s="397"/>
      <c r="I1921" s="397"/>
      <c r="J1921" s="750" t="e">
        <f t="shared" si="14"/>
        <v>#DIV/0!</v>
      </c>
      <c r="K1921" s="398"/>
      <c r="L1921" s="398"/>
      <c r="M1921" s="682"/>
      <c r="N1921" s="171"/>
      <c r="O1921" s="171"/>
      <c r="P1921" s="169"/>
      <c r="Q1921" s="171"/>
      <c r="R1921" s="171"/>
      <c r="S1921" s="171"/>
      <c r="T1921" s="171"/>
      <c r="U1921" s="171"/>
      <c r="V1921" s="171"/>
      <c r="W1921" s="171"/>
      <c r="X1921" s="171"/>
      <c r="Y1921" s="171"/>
      <c r="Z1921" s="171"/>
      <c r="AA1921" s="171"/>
    </row>
    <row r="1922" spans="1:27" s="530" customFormat="1" ht="25.5" hidden="1" x14ac:dyDescent="0.2">
      <c r="A1922" s="526"/>
      <c r="B1922" s="527"/>
      <c r="C1922" s="465"/>
      <c r="D1922" s="464"/>
      <c r="E1922" s="464"/>
      <c r="F1922" s="494">
        <v>499</v>
      </c>
      <c r="G1922" s="495" t="s">
        <v>4174</v>
      </c>
      <c r="H1922" s="397"/>
      <c r="I1922" s="397"/>
      <c r="J1922" s="750" t="e">
        <f t="shared" si="14"/>
        <v>#DIV/0!</v>
      </c>
      <c r="K1922" s="398"/>
      <c r="L1922" s="398"/>
      <c r="M1922" s="682"/>
      <c r="N1922" s="171"/>
      <c r="O1922" s="171"/>
      <c r="P1922" s="169"/>
      <c r="Q1922" s="171"/>
      <c r="R1922" s="171"/>
      <c r="S1922" s="171"/>
      <c r="T1922" s="171"/>
      <c r="U1922" s="171"/>
      <c r="V1922" s="171"/>
      <c r="W1922" s="171"/>
      <c r="X1922" s="171"/>
      <c r="Y1922" s="171"/>
      <c r="Z1922" s="171"/>
      <c r="AA1922" s="171"/>
    </row>
    <row r="1923" spans="1:27" s="530" customFormat="1" hidden="1" x14ac:dyDescent="0.2">
      <c r="A1923" s="526"/>
      <c r="B1923" s="527"/>
      <c r="C1923" s="465"/>
      <c r="D1923" s="464"/>
      <c r="E1923" s="464"/>
      <c r="F1923" s="494">
        <v>511</v>
      </c>
      <c r="G1923" s="497" t="s">
        <v>4194</v>
      </c>
      <c r="H1923" s="397"/>
      <c r="I1923" s="397"/>
      <c r="J1923" s="750" t="e">
        <f t="shared" si="14"/>
        <v>#DIV/0!</v>
      </c>
      <c r="K1923" s="398"/>
      <c r="L1923" s="398"/>
      <c r="M1923" s="682"/>
      <c r="N1923" s="171"/>
      <c r="O1923" s="171"/>
      <c r="P1923" s="169"/>
      <c r="Q1923" s="171"/>
      <c r="R1923" s="171"/>
      <c r="S1923" s="171"/>
      <c r="T1923" s="171"/>
      <c r="U1923" s="171"/>
      <c r="V1923" s="171"/>
      <c r="W1923" s="171"/>
      <c r="X1923" s="171"/>
      <c r="Y1923" s="171"/>
      <c r="Z1923" s="171"/>
      <c r="AA1923" s="171"/>
    </row>
    <row r="1924" spans="1:27" s="530" customFormat="1" ht="17.25" customHeight="1" thickBot="1" x14ac:dyDescent="0.25">
      <c r="A1924" s="526"/>
      <c r="B1924" s="527"/>
      <c r="C1924" s="465"/>
      <c r="D1924" s="464"/>
      <c r="E1924" s="464">
        <v>35</v>
      </c>
      <c r="F1924" s="494">
        <v>512</v>
      </c>
      <c r="G1924" s="497" t="s">
        <v>4195</v>
      </c>
      <c r="H1924" s="397">
        <v>40000</v>
      </c>
      <c r="I1924" s="397">
        <v>15400</v>
      </c>
      <c r="J1924" s="750">
        <f t="shared" si="14"/>
        <v>38.5</v>
      </c>
      <c r="K1924" s="398">
        <v>637500</v>
      </c>
      <c r="L1924" s="398">
        <v>608015</v>
      </c>
      <c r="M1924" s="682"/>
      <c r="N1924" s="171"/>
      <c r="O1924" s="171"/>
      <c r="P1924" s="169"/>
      <c r="Q1924" s="171"/>
      <c r="R1924" s="171"/>
      <c r="S1924" s="171"/>
      <c r="T1924" s="171"/>
      <c r="U1924" s="171"/>
      <c r="V1924" s="171"/>
      <c r="W1924" s="171"/>
      <c r="X1924" s="171"/>
      <c r="Y1924" s="171"/>
      <c r="Z1924" s="171"/>
      <c r="AA1924" s="171"/>
    </row>
    <row r="1925" spans="1:27" s="530" customFormat="1" ht="13.5" hidden="1" thickBot="1" x14ac:dyDescent="0.25">
      <c r="A1925" s="526"/>
      <c r="B1925" s="527"/>
      <c r="C1925" s="465"/>
      <c r="D1925" s="464"/>
      <c r="E1925" s="464"/>
      <c r="F1925" s="494">
        <v>513</v>
      </c>
      <c r="G1925" s="497" t="s">
        <v>4196</v>
      </c>
      <c r="H1925" s="397"/>
      <c r="I1925" s="397"/>
      <c r="J1925" s="750" t="e">
        <f t="shared" si="14"/>
        <v>#DIV/0!</v>
      </c>
      <c r="K1925" s="398"/>
      <c r="L1925" s="398"/>
      <c r="M1925" s="682"/>
      <c r="N1925" s="171"/>
      <c r="O1925" s="171"/>
      <c r="P1925" s="169"/>
      <c r="Q1925" s="171"/>
      <c r="R1925" s="171"/>
      <c r="S1925" s="171"/>
      <c r="T1925" s="171"/>
      <c r="U1925" s="171"/>
      <c r="V1925" s="171"/>
      <c r="W1925" s="171"/>
      <c r="X1925" s="171"/>
      <c r="Y1925" s="171"/>
      <c r="Z1925" s="171"/>
      <c r="AA1925" s="171"/>
    </row>
    <row r="1926" spans="1:27" s="530" customFormat="1" ht="13.5" hidden="1" thickBot="1" x14ac:dyDescent="0.25">
      <c r="A1926" s="526"/>
      <c r="B1926" s="527"/>
      <c r="C1926" s="465"/>
      <c r="D1926" s="464"/>
      <c r="E1926" s="464"/>
      <c r="F1926" s="494">
        <v>514</v>
      </c>
      <c r="G1926" s="495" t="s">
        <v>4197</v>
      </c>
      <c r="H1926" s="397"/>
      <c r="I1926" s="397"/>
      <c r="J1926" s="750" t="e">
        <f t="shared" si="14"/>
        <v>#DIV/0!</v>
      </c>
      <c r="K1926" s="398"/>
      <c r="L1926" s="398"/>
      <c r="M1926" s="682"/>
      <c r="N1926" s="171"/>
      <c r="O1926" s="171"/>
      <c r="P1926" s="169"/>
      <c r="Q1926" s="171"/>
      <c r="R1926" s="171"/>
      <c r="S1926" s="171"/>
      <c r="T1926" s="171"/>
      <c r="U1926" s="171"/>
      <c r="V1926" s="171"/>
      <c r="W1926" s="171"/>
      <c r="X1926" s="171"/>
      <c r="Y1926" s="171"/>
      <c r="Z1926" s="171"/>
      <c r="AA1926" s="171"/>
    </row>
    <row r="1927" spans="1:27" s="530" customFormat="1" ht="13.5" hidden="1" thickBot="1" x14ac:dyDescent="0.25">
      <c r="A1927" s="526"/>
      <c r="B1927" s="527"/>
      <c r="C1927" s="465"/>
      <c r="D1927" s="464"/>
      <c r="E1927" s="464"/>
      <c r="F1927" s="494">
        <v>515</v>
      </c>
      <c r="G1927" s="495" t="s">
        <v>3832</v>
      </c>
      <c r="H1927" s="397"/>
      <c r="I1927" s="397"/>
      <c r="J1927" s="750" t="e">
        <f t="shared" si="14"/>
        <v>#DIV/0!</v>
      </c>
      <c r="K1927" s="398"/>
      <c r="L1927" s="398"/>
      <c r="M1927" s="682"/>
      <c r="N1927" s="171"/>
      <c r="O1927" s="171"/>
      <c r="P1927" s="169"/>
      <c r="Q1927" s="171"/>
      <c r="R1927" s="171"/>
      <c r="S1927" s="171"/>
      <c r="T1927" s="171"/>
      <c r="U1927" s="171"/>
      <c r="V1927" s="171"/>
      <c r="W1927" s="171"/>
      <c r="X1927" s="171"/>
      <c r="Y1927" s="171"/>
      <c r="Z1927" s="171"/>
      <c r="AA1927" s="171"/>
    </row>
    <row r="1928" spans="1:27" s="530" customFormat="1" ht="13.5" hidden="1" thickBot="1" x14ac:dyDescent="0.25">
      <c r="A1928" s="526"/>
      <c r="B1928" s="527"/>
      <c r="C1928" s="465"/>
      <c r="D1928" s="464"/>
      <c r="E1928" s="464"/>
      <c r="F1928" s="494">
        <v>521</v>
      </c>
      <c r="G1928" s="495" t="s">
        <v>4198</v>
      </c>
      <c r="H1928" s="397"/>
      <c r="I1928" s="397"/>
      <c r="J1928" s="750" t="e">
        <f t="shared" si="14"/>
        <v>#DIV/0!</v>
      </c>
      <c r="K1928" s="398"/>
      <c r="L1928" s="398"/>
      <c r="M1928" s="682"/>
      <c r="N1928" s="171"/>
      <c r="O1928" s="171"/>
      <c r="P1928" s="169"/>
      <c r="Q1928" s="171"/>
      <c r="R1928" s="171"/>
      <c r="S1928" s="171"/>
      <c r="T1928" s="171"/>
      <c r="U1928" s="171"/>
      <c r="V1928" s="171"/>
      <c r="W1928" s="171"/>
      <c r="X1928" s="171"/>
      <c r="Y1928" s="171"/>
      <c r="Z1928" s="171"/>
      <c r="AA1928" s="171"/>
    </row>
    <row r="1929" spans="1:27" s="530" customFormat="1" ht="13.5" hidden="1" thickBot="1" x14ac:dyDescent="0.25">
      <c r="A1929" s="526"/>
      <c r="B1929" s="527"/>
      <c r="C1929" s="465"/>
      <c r="D1929" s="464"/>
      <c r="E1929" s="464"/>
      <c r="F1929" s="494">
        <v>522</v>
      </c>
      <c r="G1929" s="495" t="s">
        <v>4199</v>
      </c>
      <c r="H1929" s="397"/>
      <c r="I1929" s="397"/>
      <c r="J1929" s="750" t="e">
        <f t="shared" si="14"/>
        <v>#DIV/0!</v>
      </c>
      <c r="K1929" s="398"/>
      <c r="L1929" s="398"/>
      <c r="M1929" s="682"/>
      <c r="N1929" s="171"/>
      <c r="O1929" s="171"/>
      <c r="P1929" s="169"/>
      <c r="Q1929" s="171"/>
      <c r="R1929" s="171"/>
      <c r="S1929" s="171"/>
      <c r="T1929" s="171"/>
      <c r="U1929" s="171"/>
      <c r="V1929" s="171"/>
      <c r="W1929" s="171"/>
      <c r="X1929" s="171"/>
      <c r="Y1929" s="171"/>
      <c r="Z1929" s="171"/>
      <c r="AA1929" s="171"/>
    </row>
    <row r="1930" spans="1:27" s="530" customFormat="1" ht="13.5" hidden="1" thickBot="1" x14ac:dyDescent="0.25">
      <c r="A1930" s="526"/>
      <c r="B1930" s="527"/>
      <c r="C1930" s="465"/>
      <c r="D1930" s="464"/>
      <c r="E1930" s="464"/>
      <c r="F1930" s="494">
        <v>523</v>
      </c>
      <c r="G1930" s="495" t="s">
        <v>3837</v>
      </c>
      <c r="H1930" s="397"/>
      <c r="I1930" s="397"/>
      <c r="J1930" s="750" t="e">
        <f t="shared" si="14"/>
        <v>#DIV/0!</v>
      </c>
      <c r="K1930" s="398"/>
      <c r="L1930" s="398"/>
      <c r="M1930" s="682"/>
      <c r="N1930" s="171"/>
      <c r="O1930" s="171"/>
      <c r="P1930" s="169"/>
      <c r="Q1930" s="171"/>
      <c r="R1930" s="171"/>
      <c r="S1930" s="171"/>
      <c r="T1930" s="171"/>
      <c r="U1930" s="171"/>
      <c r="V1930" s="171"/>
      <c r="W1930" s="171"/>
      <c r="X1930" s="171"/>
      <c r="Y1930" s="171"/>
      <c r="Z1930" s="171"/>
      <c r="AA1930" s="171"/>
    </row>
    <row r="1931" spans="1:27" s="530" customFormat="1" ht="13.5" hidden="1" thickBot="1" x14ac:dyDescent="0.25">
      <c r="A1931" s="526"/>
      <c r="B1931" s="527"/>
      <c r="C1931" s="465"/>
      <c r="D1931" s="464"/>
      <c r="E1931" s="464"/>
      <c r="F1931" s="494">
        <v>531</v>
      </c>
      <c r="G1931" s="496" t="s">
        <v>4175</v>
      </c>
      <c r="H1931" s="397"/>
      <c r="I1931" s="397"/>
      <c r="J1931" s="750" t="e">
        <f t="shared" si="14"/>
        <v>#DIV/0!</v>
      </c>
      <c r="K1931" s="398"/>
      <c r="L1931" s="398"/>
      <c r="M1931" s="682"/>
      <c r="N1931" s="171"/>
      <c r="O1931" s="171"/>
      <c r="P1931" s="169"/>
      <c r="Q1931" s="171"/>
      <c r="R1931" s="171"/>
      <c r="S1931" s="171"/>
      <c r="T1931" s="171"/>
      <c r="U1931" s="171"/>
      <c r="V1931" s="171"/>
      <c r="W1931" s="171"/>
      <c r="X1931" s="171"/>
      <c r="Y1931" s="171"/>
      <c r="Z1931" s="171"/>
      <c r="AA1931" s="171"/>
    </row>
    <row r="1932" spans="1:27" s="530" customFormat="1" ht="13.5" hidden="1" thickBot="1" x14ac:dyDescent="0.25">
      <c r="A1932" s="526"/>
      <c r="B1932" s="527"/>
      <c r="C1932" s="465"/>
      <c r="D1932" s="464"/>
      <c r="E1932" s="464"/>
      <c r="F1932" s="494">
        <v>541</v>
      </c>
      <c r="G1932" s="495" t="s">
        <v>4200</v>
      </c>
      <c r="H1932" s="397"/>
      <c r="I1932" s="397"/>
      <c r="J1932" s="750" t="e">
        <f t="shared" si="14"/>
        <v>#DIV/0!</v>
      </c>
      <c r="K1932" s="398"/>
      <c r="L1932" s="398"/>
      <c r="M1932" s="682"/>
      <c r="N1932" s="171"/>
      <c r="O1932" s="171"/>
      <c r="P1932" s="169"/>
      <c r="Q1932" s="171"/>
      <c r="R1932" s="171"/>
      <c r="S1932" s="171"/>
      <c r="T1932" s="171"/>
      <c r="U1932" s="171"/>
      <c r="V1932" s="171"/>
      <c r="W1932" s="171"/>
      <c r="X1932" s="171"/>
      <c r="Y1932" s="171"/>
      <c r="Z1932" s="171"/>
      <c r="AA1932" s="171"/>
    </row>
    <row r="1933" spans="1:27" s="530" customFormat="1" ht="13.5" hidden="1" thickBot="1" x14ac:dyDescent="0.25">
      <c r="A1933" s="526"/>
      <c r="B1933" s="527"/>
      <c r="C1933" s="465"/>
      <c r="D1933" s="464"/>
      <c r="E1933" s="464"/>
      <c r="F1933" s="494">
        <v>542</v>
      </c>
      <c r="G1933" s="495" t="s">
        <v>4201</v>
      </c>
      <c r="H1933" s="397"/>
      <c r="I1933" s="397"/>
      <c r="J1933" s="750" t="e">
        <f t="shared" ref="J1933:J1996" si="15">SUM(I1933/H1933)*100</f>
        <v>#DIV/0!</v>
      </c>
      <c r="K1933" s="398"/>
      <c r="L1933" s="398"/>
      <c r="M1933" s="682"/>
      <c r="N1933" s="171"/>
      <c r="O1933" s="171"/>
      <c r="P1933" s="169"/>
      <c r="Q1933" s="171"/>
      <c r="R1933" s="171"/>
      <c r="S1933" s="171"/>
      <c r="T1933" s="171"/>
      <c r="U1933" s="171"/>
      <c r="V1933" s="171"/>
      <c r="W1933" s="171"/>
      <c r="X1933" s="171"/>
      <c r="Y1933" s="171"/>
      <c r="Z1933" s="171"/>
      <c r="AA1933" s="171"/>
    </row>
    <row r="1934" spans="1:27" s="530" customFormat="1" ht="13.5" hidden="1" thickBot="1" x14ac:dyDescent="0.25">
      <c r="A1934" s="526"/>
      <c r="B1934" s="527"/>
      <c r="C1934" s="465"/>
      <c r="D1934" s="464"/>
      <c r="E1934" s="464"/>
      <c r="F1934" s="494">
        <v>543</v>
      </c>
      <c r="G1934" s="495" t="s">
        <v>3842</v>
      </c>
      <c r="H1934" s="397"/>
      <c r="I1934" s="397"/>
      <c r="J1934" s="750" t="e">
        <f t="shared" si="15"/>
        <v>#DIV/0!</v>
      </c>
      <c r="K1934" s="398"/>
      <c r="L1934" s="398"/>
      <c r="M1934" s="682"/>
      <c r="N1934" s="171"/>
      <c r="O1934" s="171"/>
      <c r="P1934" s="169"/>
      <c r="Q1934" s="171"/>
      <c r="R1934" s="171"/>
      <c r="S1934" s="171"/>
      <c r="T1934" s="171"/>
      <c r="U1934" s="171"/>
      <c r="V1934" s="171"/>
      <c r="W1934" s="171"/>
      <c r="X1934" s="171"/>
      <c r="Y1934" s="171"/>
      <c r="Z1934" s="171"/>
      <c r="AA1934" s="171"/>
    </row>
    <row r="1935" spans="1:27" s="530" customFormat="1" ht="39" hidden="1" thickBot="1" x14ac:dyDescent="0.25">
      <c r="A1935" s="526"/>
      <c r="B1935" s="527"/>
      <c r="C1935" s="465"/>
      <c r="D1935" s="464"/>
      <c r="E1935" s="464"/>
      <c r="F1935" s="494">
        <v>551</v>
      </c>
      <c r="G1935" s="495" t="s">
        <v>4176</v>
      </c>
      <c r="H1935" s="397"/>
      <c r="I1935" s="397"/>
      <c r="J1935" s="750" t="e">
        <f t="shared" si="15"/>
        <v>#DIV/0!</v>
      </c>
      <c r="K1935" s="398"/>
      <c r="L1935" s="398"/>
      <c r="M1935" s="682"/>
      <c r="N1935" s="171"/>
      <c r="O1935" s="171"/>
      <c r="P1935" s="169"/>
      <c r="Q1935" s="171"/>
      <c r="R1935" s="171"/>
      <c r="S1935" s="171"/>
      <c r="T1935" s="171"/>
      <c r="U1935" s="171"/>
      <c r="V1935" s="171"/>
      <c r="W1935" s="171"/>
      <c r="X1935" s="171"/>
      <c r="Y1935" s="171"/>
      <c r="Z1935" s="171"/>
      <c r="AA1935" s="171"/>
    </row>
    <row r="1936" spans="1:27" s="530" customFormat="1" ht="13.5" hidden="1" thickBot="1" x14ac:dyDescent="0.25">
      <c r="A1936" s="526"/>
      <c r="B1936" s="527"/>
      <c r="C1936" s="465"/>
      <c r="D1936" s="464"/>
      <c r="E1936" s="464"/>
      <c r="F1936" s="498">
        <v>611</v>
      </c>
      <c r="G1936" s="499" t="s">
        <v>3848</v>
      </c>
      <c r="H1936" s="397"/>
      <c r="I1936" s="397"/>
      <c r="J1936" s="750" t="e">
        <f t="shared" si="15"/>
        <v>#DIV/0!</v>
      </c>
      <c r="K1936" s="398"/>
      <c r="L1936" s="398"/>
      <c r="M1936" s="682"/>
      <c r="N1936" s="171"/>
      <c r="O1936" s="171"/>
      <c r="P1936" s="169"/>
      <c r="Q1936" s="171"/>
      <c r="R1936" s="171"/>
      <c r="S1936" s="171"/>
      <c r="T1936" s="171"/>
      <c r="U1936" s="171"/>
      <c r="V1936" s="171"/>
      <c r="W1936" s="171"/>
      <c r="X1936" s="171"/>
      <c r="Y1936" s="171"/>
      <c r="Z1936" s="171"/>
      <c r="AA1936" s="171"/>
    </row>
    <row r="1937" spans="1:27" s="530" customFormat="1" ht="13.5" hidden="1" thickBot="1" x14ac:dyDescent="0.25">
      <c r="A1937" s="526"/>
      <c r="B1937" s="527"/>
      <c r="C1937" s="465"/>
      <c r="D1937" s="464"/>
      <c r="E1937" s="464"/>
      <c r="F1937" s="498">
        <v>620</v>
      </c>
      <c r="G1937" s="499" t="s">
        <v>88</v>
      </c>
      <c r="H1937" s="397"/>
      <c r="I1937" s="397"/>
      <c r="J1937" s="750" t="e">
        <f t="shared" si="15"/>
        <v>#DIV/0!</v>
      </c>
      <c r="K1937" s="398"/>
      <c r="L1937" s="398"/>
      <c r="M1937" s="682"/>
      <c r="N1937" s="171"/>
      <c r="O1937" s="171"/>
      <c r="P1937" s="169"/>
      <c r="Q1937" s="171"/>
      <c r="R1937" s="171"/>
      <c r="S1937" s="171"/>
      <c r="T1937" s="171"/>
      <c r="U1937" s="171"/>
      <c r="V1937" s="171"/>
      <c r="W1937" s="171"/>
      <c r="X1937" s="171"/>
      <c r="Y1937" s="171"/>
      <c r="Z1937" s="171"/>
      <c r="AA1937" s="171"/>
    </row>
    <row r="1938" spans="1:27" s="530" customFormat="1" x14ac:dyDescent="0.2">
      <c r="A1938" s="526"/>
      <c r="B1938" s="527"/>
      <c r="C1938" s="465"/>
      <c r="D1938" s="464"/>
      <c r="E1938" s="500"/>
      <c r="F1938" s="498"/>
      <c r="G1938" s="501" t="s">
        <v>4390</v>
      </c>
      <c r="H1938" s="400"/>
      <c r="I1938" s="400"/>
      <c r="J1938" s="750"/>
      <c r="K1938" s="401"/>
      <c r="L1938" s="402"/>
      <c r="M1938" s="682"/>
      <c r="N1938" s="171"/>
      <c r="O1938" s="171"/>
      <c r="P1938" s="169"/>
      <c r="Q1938" s="171"/>
      <c r="R1938" s="171"/>
      <c r="S1938" s="171"/>
      <c r="T1938" s="171"/>
      <c r="U1938" s="171"/>
      <c r="V1938" s="171"/>
      <c r="W1938" s="171"/>
      <c r="X1938" s="171"/>
      <c r="Y1938" s="171"/>
      <c r="Z1938" s="171"/>
      <c r="AA1938" s="171"/>
    </row>
    <row r="1939" spans="1:27" s="530" customFormat="1" x14ac:dyDescent="0.2">
      <c r="A1939" s="526"/>
      <c r="B1939" s="527"/>
      <c r="C1939" s="465"/>
      <c r="D1939" s="464"/>
      <c r="E1939" s="502"/>
      <c r="F1939" s="503" t="s">
        <v>234</v>
      </c>
      <c r="G1939" s="504" t="s">
        <v>235</v>
      </c>
      <c r="H1939" s="403">
        <f>SUM(H1878:H1937)</f>
        <v>1185000</v>
      </c>
      <c r="I1939" s="403">
        <f>SUM(I1886:I1924)</f>
        <v>1123165.8900000001</v>
      </c>
      <c r="J1939" s="750">
        <f t="shared" si="15"/>
        <v>94.781931645569628</v>
      </c>
      <c r="K1939" s="404"/>
      <c r="L1939" s="404"/>
      <c r="M1939" s="682"/>
      <c r="N1939" s="171"/>
      <c r="O1939" s="171"/>
      <c r="P1939" s="169"/>
      <c r="Q1939" s="171"/>
      <c r="R1939" s="171"/>
      <c r="S1939" s="171"/>
      <c r="T1939" s="171"/>
      <c r="U1939" s="171"/>
      <c r="V1939" s="171"/>
      <c r="W1939" s="171"/>
      <c r="X1939" s="171"/>
      <c r="Y1939" s="171"/>
      <c r="Z1939" s="171"/>
      <c r="AA1939" s="171"/>
    </row>
    <row r="1940" spans="1:27" s="530" customFormat="1" hidden="1" x14ac:dyDescent="0.2">
      <c r="A1940" s="526"/>
      <c r="B1940" s="527"/>
      <c r="C1940" s="465"/>
      <c r="D1940" s="464"/>
      <c r="E1940" s="464"/>
      <c r="F1940" s="503" t="s">
        <v>236</v>
      </c>
      <c r="G1940" s="504" t="s">
        <v>237</v>
      </c>
      <c r="H1940" s="397"/>
      <c r="I1940" s="397"/>
      <c r="J1940" s="750" t="e">
        <f t="shared" si="15"/>
        <v>#DIV/0!</v>
      </c>
      <c r="K1940" s="398"/>
      <c r="L1940" s="404"/>
      <c r="M1940" s="682"/>
      <c r="N1940" s="171"/>
      <c r="O1940" s="171"/>
      <c r="P1940" s="169"/>
      <c r="Q1940" s="171"/>
      <c r="R1940" s="171"/>
      <c r="S1940" s="171"/>
      <c r="T1940" s="171"/>
      <c r="U1940" s="171"/>
      <c r="V1940" s="171"/>
      <c r="W1940" s="171"/>
      <c r="X1940" s="171"/>
      <c r="Y1940" s="171"/>
      <c r="Z1940" s="171"/>
      <c r="AA1940" s="171"/>
    </row>
    <row r="1941" spans="1:27" s="530" customFormat="1" hidden="1" x14ac:dyDescent="0.2">
      <c r="A1941" s="526"/>
      <c r="B1941" s="527"/>
      <c r="C1941" s="465"/>
      <c r="D1941" s="464"/>
      <c r="E1941" s="464"/>
      <c r="F1941" s="503" t="s">
        <v>238</v>
      </c>
      <c r="G1941" s="504" t="s">
        <v>239</v>
      </c>
      <c r="H1941" s="397"/>
      <c r="I1941" s="397"/>
      <c r="J1941" s="750" t="e">
        <f t="shared" si="15"/>
        <v>#DIV/0!</v>
      </c>
      <c r="K1941" s="398"/>
      <c r="L1941" s="404"/>
      <c r="M1941" s="682"/>
      <c r="N1941" s="171"/>
      <c r="O1941" s="171"/>
      <c r="P1941" s="169"/>
      <c r="Q1941" s="171"/>
      <c r="R1941" s="171"/>
      <c r="S1941" s="171"/>
      <c r="T1941" s="171"/>
      <c r="U1941" s="171"/>
      <c r="V1941" s="171"/>
      <c r="W1941" s="171"/>
      <c r="X1941" s="171"/>
      <c r="Y1941" s="171"/>
      <c r="Z1941" s="171"/>
      <c r="AA1941" s="171"/>
    </row>
    <row r="1942" spans="1:27" s="530" customFormat="1" hidden="1" x14ac:dyDescent="0.2">
      <c r="A1942" s="526"/>
      <c r="B1942" s="527"/>
      <c r="C1942" s="465"/>
      <c r="D1942" s="464"/>
      <c r="E1942" s="464"/>
      <c r="F1942" s="503" t="s">
        <v>240</v>
      </c>
      <c r="G1942" s="504" t="s">
        <v>241</v>
      </c>
      <c r="H1942" s="397"/>
      <c r="I1942" s="397"/>
      <c r="J1942" s="750" t="e">
        <f t="shared" si="15"/>
        <v>#DIV/0!</v>
      </c>
      <c r="K1942" s="398"/>
      <c r="L1942" s="404"/>
      <c r="M1942" s="682"/>
      <c r="N1942" s="171"/>
      <c r="O1942" s="171"/>
      <c r="P1942" s="169"/>
      <c r="Q1942" s="171"/>
      <c r="R1942" s="171"/>
      <c r="S1942" s="171"/>
      <c r="T1942" s="171"/>
      <c r="U1942" s="171"/>
      <c r="V1942" s="171"/>
      <c r="W1942" s="171"/>
      <c r="X1942" s="171"/>
      <c r="Y1942" s="171"/>
      <c r="Z1942" s="171"/>
      <c r="AA1942" s="171"/>
    </row>
    <row r="1943" spans="1:27" s="530" customFormat="1" hidden="1" x14ac:dyDescent="0.2">
      <c r="A1943" s="526"/>
      <c r="B1943" s="527"/>
      <c r="C1943" s="465"/>
      <c r="D1943" s="464"/>
      <c r="E1943" s="464"/>
      <c r="F1943" s="503" t="s">
        <v>242</v>
      </c>
      <c r="G1943" s="504" t="s">
        <v>243</v>
      </c>
      <c r="H1943" s="397"/>
      <c r="I1943" s="397"/>
      <c r="J1943" s="750" t="e">
        <f t="shared" si="15"/>
        <v>#DIV/0!</v>
      </c>
      <c r="K1943" s="398"/>
      <c r="L1943" s="404"/>
      <c r="M1943" s="682"/>
      <c r="N1943" s="171"/>
      <c r="O1943" s="171"/>
      <c r="P1943" s="169"/>
      <c r="Q1943" s="171"/>
      <c r="R1943" s="171"/>
      <c r="S1943" s="171"/>
      <c r="T1943" s="171"/>
      <c r="U1943" s="171"/>
      <c r="V1943" s="171"/>
      <c r="W1943" s="171"/>
      <c r="X1943" s="171"/>
      <c r="Y1943" s="171"/>
      <c r="Z1943" s="171"/>
      <c r="AA1943" s="171"/>
    </row>
    <row r="1944" spans="1:27" s="530" customFormat="1" hidden="1" x14ac:dyDescent="0.2">
      <c r="A1944" s="526"/>
      <c r="B1944" s="527"/>
      <c r="C1944" s="465"/>
      <c r="D1944" s="464"/>
      <c r="E1944" s="464"/>
      <c r="F1944" s="503" t="s">
        <v>244</v>
      </c>
      <c r="G1944" s="504" t="s">
        <v>245</v>
      </c>
      <c r="H1944" s="397"/>
      <c r="I1944" s="397"/>
      <c r="J1944" s="750" t="e">
        <f t="shared" si="15"/>
        <v>#DIV/0!</v>
      </c>
      <c r="K1944" s="398"/>
      <c r="L1944" s="404"/>
      <c r="M1944" s="682"/>
      <c r="N1944" s="171"/>
      <c r="O1944" s="171"/>
      <c r="P1944" s="169"/>
      <c r="Q1944" s="171"/>
      <c r="R1944" s="171"/>
      <c r="S1944" s="171"/>
      <c r="T1944" s="171"/>
      <c r="U1944" s="171"/>
      <c r="V1944" s="171"/>
      <c r="W1944" s="171"/>
      <c r="X1944" s="171"/>
      <c r="Y1944" s="171"/>
      <c r="Z1944" s="171"/>
      <c r="AA1944" s="171"/>
    </row>
    <row r="1945" spans="1:27" s="530" customFormat="1" hidden="1" x14ac:dyDescent="0.2">
      <c r="A1945" s="526"/>
      <c r="B1945" s="527"/>
      <c r="C1945" s="465"/>
      <c r="D1945" s="464"/>
      <c r="E1945" s="464"/>
      <c r="F1945" s="503" t="s">
        <v>246</v>
      </c>
      <c r="G1945" s="504" t="s">
        <v>247</v>
      </c>
      <c r="H1945" s="397"/>
      <c r="I1945" s="397"/>
      <c r="J1945" s="750" t="e">
        <f t="shared" si="15"/>
        <v>#DIV/0!</v>
      </c>
      <c r="K1945" s="398"/>
      <c r="L1945" s="404"/>
      <c r="M1945" s="682"/>
      <c r="N1945" s="171"/>
      <c r="O1945" s="171"/>
      <c r="P1945" s="169"/>
      <c r="Q1945" s="171"/>
      <c r="R1945" s="171"/>
      <c r="S1945" s="171"/>
      <c r="T1945" s="171"/>
      <c r="U1945" s="171"/>
      <c r="V1945" s="171"/>
      <c r="W1945" s="171"/>
      <c r="X1945" s="171"/>
      <c r="Y1945" s="171"/>
      <c r="Z1945" s="171"/>
      <c r="AA1945" s="171"/>
    </row>
    <row r="1946" spans="1:27" s="530" customFormat="1" ht="25.5" hidden="1" x14ac:dyDescent="0.2">
      <c r="A1946" s="526"/>
      <c r="B1946" s="527"/>
      <c r="C1946" s="465"/>
      <c r="D1946" s="464"/>
      <c r="E1946" s="464"/>
      <c r="F1946" s="503" t="s">
        <v>248</v>
      </c>
      <c r="G1946" s="504" t="s">
        <v>249</v>
      </c>
      <c r="H1946" s="397"/>
      <c r="I1946" s="397"/>
      <c r="J1946" s="750" t="e">
        <f t="shared" si="15"/>
        <v>#DIV/0!</v>
      </c>
      <c r="K1946" s="398"/>
      <c r="L1946" s="404"/>
      <c r="M1946" s="682"/>
      <c r="N1946" s="171"/>
      <c r="O1946" s="171"/>
      <c r="P1946" s="169"/>
      <c r="Q1946" s="171"/>
      <c r="R1946" s="171"/>
      <c r="S1946" s="171"/>
      <c r="T1946" s="171"/>
      <c r="U1946" s="171"/>
      <c r="V1946" s="171"/>
      <c r="W1946" s="171"/>
      <c r="X1946" s="171"/>
      <c r="Y1946" s="171"/>
      <c r="Z1946" s="171"/>
      <c r="AA1946" s="171"/>
    </row>
    <row r="1947" spans="1:27" s="530" customFormat="1" hidden="1" x14ac:dyDescent="0.2">
      <c r="A1947" s="526"/>
      <c r="B1947" s="527"/>
      <c r="C1947" s="465"/>
      <c r="D1947" s="464"/>
      <c r="E1947" s="464"/>
      <c r="F1947" s="503" t="s">
        <v>250</v>
      </c>
      <c r="G1947" s="504" t="s">
        <v>57</v>
      </c>
      <c r="H1947" s="397"/>
      <c r="I1947" s="397"/>
      <c r="J1947" s="750" t="e">
        <f t="shared" si="15"/>
        <v>#DIV/0!</v>
      </c>
      <c r="K1947" s="398"/>
      <c r="L1947" s="404"/>
      <c r="M1947" s="682"/>
      <c r="N1947" s="171"/>
      <c r="O1947" s="171"/>
      <c r="P1947" s="169"/>
      <c r="Q1947" s="171"/>
      <c r="R1947" s="171"/>
      <c r="S1947" s="171"/>
      <c r="T1947" s="171"/>
      <c r="U1947" s="171"/>
      <c r="V1947" s="171"/>
      <c r="W1947" s="171"/>
      <c r="X1947" s="171"/>
      <c r="Y1947" s="171"/>
      <c r="Z1947" s="171"/>
      <c r="AA1947" s="171"/>
    </row>
    <row r="1948" spans="1:27" s="530" customFormat="1" hidden="1" x14ac:dyDescent="0.2">
      <c r="A1948" s="526"/>
      <c r="B1948" s="527"/>
      <c r="C1948" s="465"/>
      <c r="D1948" s="464"/>
      <c r="E1948" s="464"/>
      <c r="F1948" s="503" t="s">
        <v>251</v>
      </c>
      <c r="G1948" s="504" t="s">
        <v>252</v>
      </c>
      <c r="H1948" s="397"/>
      <c r="I1948" s="397"/>
      <c r="J1948" s="750" t="e">
        <f t="shared" si="15"/>
        <v>#DIV/0!</v>
      </c>
      <c r="K1948" s="398"/>
      <c r="L1948" s="404"/>
      <c r="M1948" s="682"/>
      <c r="N1948" s="171"/>
      <c r="O1948" s="171"/>
      <c r="P1948" s="169"/>
      <c r="Q1948" s="171"/>
      <c r="R1948" s="171"/>
      <c r="S1948" s="171"/>
      <c r="T1948" s="171"/>
      <c r="U1948" s="171"/>
      <c r="V1948" s="171"/>
      <c r="W1948" s="171"/>
      <c r="X1948" s="171"/>
      <c r="Y1948" s="171"/>
      <c r="Z1948" s="171"/>
      <c r="AA1948" s="171"/>
    </row>
    <row r="1949" spans="1:27" s="530" customFormat="1" hidden="1" x14ac:dyDescent="0.2">
      <c r="A1949" s="526"/>
      <c r="B1949" s="527"/>
      <c r="C1949" s="465"/>
      <c r="D1949" s="464"/>
      <c r="E1949" s="464"/>
      <c r="F1949" s="503" t="s">
        <v>253</v>
      </c>
      <c r="G1949" s="504" t="s">
        <v>254</v>
      </c>
      <c r="H1949" s="397"/>
      <c r="I1949" s="397"/>
      <c r="J1949" s="750" t="e">
        <f t="shared" si="15"/>
        <v>#DIV/0!</v>
      </c>
      <c r="K1949" s="398"/>
      <c r="L1949" s="404"/>
      <c r="M1949" s="682"/>
      <c r="N1949" s="171"/>
      <c r="O1949" s="171"/>
      <c r="P1949" s="169"/>
      <c r="Q1949" s="171"/>
      <c r="R1949" s="171"/>
      <c r="S1949" s="171"/>
      <c r="T1949" s="171"/>
      <c r="U1949" s="171"/>
      <c r="V1949" s="171"/>
      <c r="W1949" s="171"/>
      <c r="X1949" s="171"/>
      <c r="Y1949" s="171"/>
      <c r="Z1949" s="171"/>
      <c r="AA1949" s="171"/>
    </row>
    <row r="1950" spans="1:27" s="530" customFormat="1" ht="25.5" hidden="1" x14ac:dyDescent="0.2">
      <c r="A1950" s="526"/>
      <c r="B1950" s="527"/>
      <c r="C1950" s="465"/>
      <c r="D1950" s="464"/>
      <c r="E1950" s="464"/>
      <c r="F1950" s="503" t="s">
        <v>255</v>
      </c>
      <c r="G1950" s="504" t="s">
        <v>256</v>
      </c>
      <c r="H1950" s="397"/>
      <c r="I1950" s="397"/>
      <c r="J1950" s="750" t="e">
        <f t="shared" si="15"/>
        <v>#DIV/0!</v>
      </c>
      <c r="K1950" s="398"/>
      <c r="L1950" s="404"/>
      <c r="M1950" s="682"/>
      <c r="N1950" s="171"/>
      <c r="O1950" s="171"/>
      <c r="P1950" s="169"/>
      <c r="Q1950" s="171"/>
      <c r="R1950" s="171"/>
      <c r="S1950" s="171"/>
      <c r="T1950" s="171"/>
      <c r="U1950" s="171"/>
      <c r="V1950" s="171"/>
      <c r="W1950" s="171"/>
      <c r="X1950" s="171"/>
      <c r="Y1950" s="171"/>
      <c r="Z1950" s="171"/>
      <c r="AA1950" s="171"/>
    </row>
    <row r="1951" spans="1:27" s="530" customFormat="1" ht="25.5" hidden="1" x14ac:dyDescent="0.2">
      <c r="A1951" s="526"/>
      <c r="B1951" s="527"/>
      <c r="C1951" s="465"/>
      <c r="D1951" s="464"/>
      <c r="E1951" s="464"/>
      <c r="F1951" s="503" t="s">
        <v>257</v>
      </c>
      <c r="G1951" s="504" t="s">
        <v>258</v>
      </c>
      <c r="H1951" s="397"/>
      <c r="I1951" s="397"/>
      <c r="J1951" s="750" t="e">
        <f t="shared" si="15"/>
        <v>#DIV/0!</v>
      </c>
      <c r="K1951" s="398"/>
      <c r="L1951" s="404"/>
      <c r="M1951" s="682"/>
      <c r="N1951" s="171"/>
      <c r="O1951" s="171"/>
      <c r="P1951" s="169"/>
      <c r="Q1951" s="171"/>
      <c r="R1951" s="171"/>
      <c r="S1951" s="171"/>
      <c r="T1951" s="171"/>
      <c r="U1951" s="171"/>
      <c r="V1951" s="171"/>
      <c r="W1951" s="171"/>
      <c r="X1951" s="171"/>
      <c r="Y1951" s="171"/>
      <c r="Z1951" s="171"/>
      <c r="AA1951" s="171"/>
    </row>
    <row r="1952" spans="1:27" s="530" customFormat="1" ht="25.5" hidden="1" x14ac:dyDescent="0.2">
      <c r="A1952" s="526"/>
      <c r="B1952" s="527"/>
      <c r="C1952" s="465"/>
      <c r="D1952" s="464"/>
      <c r="E1952" s="464"/>
      <c r="F1952" s="503" t="s">
        <v>259</v>
      </c>
      <c r="G1952" s="504" t="s">
        <v>260</v>
      </c>
      <c r="H1952" s="397"/>
      <c r="I1952" s="397"/>
      <c r="J1952" s="750" t="e">
        <f t="shared" si="15"/>
        <v>#DIV/0!</v>
      </c>
      <c r="K1952" s="398"/>
      <c r="L1952" s="404"/>
      <c r="M1952" s="682"/>
      <c r="N1952" s="171"/>
      <c r="O1952" s="171"/>
      <c r="P1952" s="169"/>
      <c r="Q1952" s="171"/>
      <c r="R1952" s="171"/>
      <c r="S1952" s="171"/>
      <c r="T1952" s="171"/>
      <c r="U1952" s="171"/>
      <c r="V1952" s="171"/>
      <c r="W1952" s="171"/>
      <c r="X1952" s="171"/>
      <c r="Y1952" s="171"/>
      <c r="Z1952" s="171"/>
      <c r="AA1952" s="171"/>
    </row>
    <row r="1953" spans="1:27" s="530" customFormat="1" ht="25.5" hidden="1" x14ac:dyDescent="0.2">
      <c r="A1953" s="526"/>
      <c r="B1953" s="527"/>
      <c r="C1953" s="465"/>
      <c r="D1953" s="464"/>
      <c r="E1953" s="464"/>
      <c r="F1953" s="503" t="s">
        <v>261</v>
      </c>
      <c r="G1953" s="504" t="s">
        <v>262</v>
      </c>
      <c r="H1953" s="397"/>
      <c r="I1953" s="397"/>
      <c r="J1953" s="750" t="e">
        <f t="shared" si="15"/>
        <v>#DIV/0!</v>
      </c>
      <c r="K1953" s="398"/>
      <c r="L1953" s="404"/>
      <c r="M1953" s="682"/>
      <c r="N1953" s="171"/>
      <c r="O1953" s="171"/>
      <c r="P1953" s="169"/>
      <c r="Q1953" s="171"/>
      <c r="R1953" s="171"/>
      <c r="S1953" s="171"/>
      <c r="T1953" s="171"/>
      <c r="U1953" s="171"/>
      <c r="V1953" s="171"/>
      <c r="W1953" s="171"/>
      <c r="X1953" s="171"/>
      <c r="Y1953" s="171"/>
      <c r="Z1953" s="171"/>
      <c r="AA1953" s="171"/>
    </row>
    <row r="1954" spans="1:27" s="530" customFormat="1" ht="15.75" customHeight="1" thickBot="1" x14ac:dyDescent="0.25">
      <c r="A1954" s="526"/>
      <c r="B1954" s="527"/>
      <c r="C1954" s="465"/>
      <c r="D1954" s="464"/>
      <c r="E1954" s="464"/>
      <c r="F1954" s="549" t="s">
        <v>246</v>
      </c>
      <c r="G1954" s="504" t="s">
        <v>247</v>
      </c>
      <c r="H1954" s="403"/>
      <c r="I1954" s="403"/>
      <c r="J1954" s="750"/>
      <c r="K1954" s="404">
        <f>SUM(K1888:K1924)</f>
        <v>991650</v>
      </c>
      <c r="L1954" s="404">
        <f>SUM(L1888:L1924)</f>
        <v>870594</v>
      </c>
      <c r="M1954" s="682"/>
      <c r="N1954" s="171"/>
      <c r="O1954" s="171"/>
      <c r="P1954" s="169"/>
      <c r="Q1954" s="171"/>
      <c r="R1954" s="171"/>
      <c r="S1954" s="171"/>
      <c r="T1954" s="171"/>
      <c r="U1954" s="171"/>
      <c r="V1954" s="171"/>
      <c r="W1954" s="171"/>
      <c r="X1954" s="171"/>
      <c r="Y1954" s="171"/>
      <c r="Z1954" s="171"/>
      <c r="AA1954" s="171"/>
    </row>
    <row r="1955" spans="1:27" s="530" customFormat="1" ht="13.5" customHeight="1" thickBot="1" x14ac:dyDescent="0.25">
      <c r="A1955" s="526"/>
      <c r="B1955" s="527"/>
      <c r="C1955" s="465"/>
      <c r="D1955" s="464"/>
      <c r="E1955" s="464"/>
      <c r="F1955" s="464"/>
      <c r="G1955" s="505" t="s">
        <v>4391</v>
      </c>
      <c r="H1955" s="405">
        <f>SUM(H1939)</f>
        <v>1185000</v>
      </c>
      <c r="I1955" s="405">
        <f>SUM(I1939)</f>
        <v>1123165.8900000001</v>
      </c>
      <c r="J1955" s="750">
        <f t="shared" si="15"/>
        <v>94.781931645569628</v>
      </c>
      <c r="K1955" s="406">
        <f>SUM(K1940:K1954)</f>
        <v>991650</v>
      </c>
      <c r="L1955" s="406">
        <f>SUM(L1954)</f>
        <v>870594</v>
      </c>
      <c r="M1955" s="682"/>
      <c r="N1955" s="171"/>
      <c r="O1955" s="171"/>
      <c r="P1955" s="169"/>
      <c r="Q1955" s="171"/>
      <c r="R1955" s="171"/>
      <c r="S1955" s="171"/>
      <c r="T1955" s="171"/>
      <c r="U1955" s="171"/>
      <c r="V1955" s="171"/>
      <c r="W1955" s="171"/>
      <c r="X1955" s="171"/>
      <c r="Y1955" s="171"/>
      <c r="Z1955" s="171"/>
      <c r="AA1955" s="171"/>
    </row>
    <row r="1956" spans="1:27" s="530" customFormat="1" ht="12.75" customHeight="1" x14ac:dyDescent="0.2">
      <c r="A1956" s="526"/>
      <c r="B1956" s="527"/>
      <c r="C1956" s="465"/>
      <c r="D1956" s="464"/>
      <c r="E1956" s="500"/>
      <c r="F1956" s="498"/>
      <c r="G1956" s="506" t="s">
        <v>4274</v>
      </c>
      <c r="H1956" s="407"/>
      <c r="I1956" s="408"/>
      <c r="J1956" s="750"/>
      <c r="K1956" s="409"/>
      <c r="L1956" s="410"/>
      <c r="M1956" s="682"/>
      <c r="N1956" s="171"/>
      <c r="O1956" s="171"/>
      <c r="P1956" s="169"/>
      <c r="Q1956" s="171"/>
      <c r="R1956" s="171"/>
      <c r="S1956" s="171"/>
      <c r="T1956" s="171"/>
      <c r="U1956" s="171"/>
      <c r="V1956" s="171"/>
      <c r="W1956" s="171"/>
      <c r="X1956" s="171"/>
      <c r="Y1956" s="171"/>
      <c r="Z1956" s="171"/>
      <c r="AA1956" s="171"/>
    </row>
    <row r="1957" spans="1:27" s="530" customFormat="1" x14ac:dyDescent="0.2">
      <c r="A1957" s="526"/>
      <c r="B1957" s="527"/>
      <c r="C1957" s="465"/>
      <c r="D1957" s="464"/>
      <c r="E1957" s="502"/>
      <c r="F1957" s="503" t="s">
        <v>234</v>
      </c>
      <c r="G1957" s="504" t="s">
        <v>235</v>
      </c>
      <c r="H1957" s="403">
        <f>SUM(H1878:H1937)</f>
        <v>1185000</v>
      </c>
      <c r="I1957" s="403">
        <f>SUM(I1955)</f>
        <v>1123165.8900000001</v>
      </c>
      <c r="J1957" s="750">
        <f t="shared" si="15"/>
        <v>94.781931645569628</v>
      </c>
      <c r="K1957" s="404"/>
      <c r="L1957" s="404"/>
      <c r="M1957" s="682"/>
      <c r="N1957" s="171"/>
      <c r="O1957" s="171"/>
      <c r="P1957" s="169"/>
      <c r="Q1957" s="171"/>
      <c r="R1957" s="171"/>
      <c r="S1957" s="171"/>
      <c r="T1957" s="171"/>
      <c r="U1957" s="171"/>
      <c r="V1957" s="171"/>
      <c r="W1957" s="171"/>
      <c r="X1957" s="171"/>
      <c r="Y1957" s="171"/>
      <c r="Z1957" s="171"/>
      <c r="AA1957" s="171"/>
    </row>
    <row r="1958" spans="1:27" s="530" customFormat="1" hidden="1" x14ac:dyDescent="0.2">
      <c r="A1958" s="526"/>
      <c r="B1958" s="527"/>
      <c r="C1958" s="465"/>
      <c r="D1958" s="464"/>
      <c r="E1958" s="464"/>
      <c r="F1958" s="503" t="s">
        <v>236</v>
      </c>
      <c r="G1958" s="504" t="s">
        <v>237</v>
      </c>
      <c r="H1958" s="397"/>
      <c r="I1958" s="397"/>
      <c r="J1958" s="750" t="e">
        <f t="shared" si="15"/>
        <v>#DIV/0!</v>
      </c>
      <c r="K1958" s="398"/>
      <c r="L1958" s="404"/>
      <c r="M1958" s="682"/>
      <c r="N1958" s="171"/>
      <c r="O1958" s="171"/>
      <c r="P1958" s="169"/>
      <c r="Q1958" s="171"/>
      <c r="R1958" s="171"/>
      <c r="S1958" s="171"/>
      <c r="T1958" s="171"/>
      <c r="U1958" s="171"/>
      <c r="V1958" s="171"/>
      <c r="W1958" s="171"/>
      <c r="X1958" s="171"/>
      <c r="Y1958" s="171"/>
      <c r="Z1958" s="171"/>
      <c r="AA1958" s="171"/>
    </row>
    <row r="1959" spans="1:27" s="530" customFormat="1" hidden="1" x14ac:dyDescent="0.2">
      <c r="A1959" s="526"/>
      <c r="B1959" s="527"/>
      <c r="C1959" s="465"/>
      <c r="D1959" s="464"/>
      <c r="E1959" s="464"/>
      <c r="F1959" s="503" t="s">
        <v>238</v>
      </c>
      <c r="G1959" s="504" t="s">
        <v>239</v>
      </c>
      <c r="H1959" s="397"/>
      <c r="I1959" s="397"/>
      <c r="J1959" s="750" t="e">
        <f t="shared" si="15"/>
        <v>#DIV/0!</v>
      </c>
      <c r="K1959" s="398"/>
      <c r="L1959" s="404"/>
      <c r="M1959" s="682"/>
      <c r="N1959" s="171"/>
      <c r="O1959" s="171"/>
      <c r="P1959" s="169"/>
      <c r="Q1959" s="171"/>
      <c r="R1959" s="171"/>
      <c r="S1959" s="171"/>
      <c r="T1959" s="171"/>
      <c r="U1959" s="171"/>
      <c r="V1959" s="171"/>
      <c r="W1959" s="171"/>
      <c r="X1959" s="171"/>
      <c r="Y1959" s="171"/>
      <c r="Z1959" s="171"/>
      <c r="AA1959" s="171"/>
    </row>
    <row r="1960" spans="1:27" s="530" customFormat="1" hidden="1" x14ac:dyDescent="0.2">
      <c r="A1960" s="526"/>
      <c r="B1960" s="527"/>
      <c r="C1960" s="465"/>
      <c r="D1960" s="464"/>
      <c r="E1960" s="464"/>
      <c r="F1960" s="503" t="s">
        <v>240</v>
      </c>
      <c r="G1960" s="504" t="s">
        <v>241</v>
      </c>
      <c r="H1960" s="397"/>
      <c r="I1960" s="397"/>
      <c r="J1960" s="750" t="e">
        <f t="shared" si="15"/>
        <v>#DIV/0!</v>
      </c>
      <c r="K1960" s="398"/>
      <c r="L1960" s="404"/>
      <c r="M1960" s="682"/>
      <c r="N1960" s="171"/>
      <c r="O1960" s="171"/>
      <c r="P1960" s="169"/>
      <c r="Q1960" s="171"/>
      <c r="R1960" s="171"/>
      <c r="S1960" s="171"/>
      <c r="T1960" s="171"/>
      <c r="U1960" s="171"/>
      <c r="V1960" s="171"/>
      <c r="W1960" s="171"/>
      <c r="X1960" s="171"/>
      <c r="Y1960" s="171"/>
      <c r="Z1960" s="171"/>
      <c r="AA1960" s="171"/>
    </row>
    <row r="1961" spans="1:27" s="530" customFormat="1" hidden="1" x14ac:dyDescent="0.2">
      <c r="A1961" s="526"/>
      <c r="B1961" s="527"/>
      <c r="C1961" s="465"/>
      <c r="D1961" s="464"/>
      <c r="E1961" s="464"/>
      <c r="F1961" s="503" t="s">
        <v>242</v>
      </c>
      <c r="G1961" s="504" t="s">
        <v>243</v>
      </c>
      <c r="H1961" s="397"/>
      <c r="I1961" s="397"/>
      <c r="J1961" s="750" t="e">
        <f t="shared" si="15"/>
        <v>#DIV/0!</v>
      </c>
      <c r="K1961" s="398"/>
      <c r="L1961" s="404"/>
      <c r="M1961" s="682"/>
      <c r="N1961" s="171"/>
      <c r="O1961" s="171"/>
      <c r="P1961" s="169"/>
      <c r="Q1961" s="171"/>
      <c r="R1961" s="171"/>
      <c r="S1961" s="171"/>
      <c r="T1961" s="171"/>
      <c r="U1961" s="171"/>
      <c r="V1961" s="171"/>
      <c r="W1961" s="171"/>
      <c r="X1961" s="171"/>
      <c r="Y1961" s="171"/>
      <c r="Z1961" s="171"/>
      <c r="AA1961" s="171"/>
    </row>
    <row r="1962" spans="1:27" s="530" customFormat="1" hidden="1" x14ac:dyDescent="0.2">
      <c r="A1962" s="526"/>
      <c r="B1962" s="527"/>
      <c r="C1962" s="465"/>
      <c r="D1962" s="464"/>
      <c r="E1962" s="464"/>
      <c r="F1962" s="503" t="s">
        <v>244</v>
      </c>
      <c r="G1962" s="504" t="s">
        <v>245</v>
      </c>
      <c r="H1962" s="397"/>
      <c r="I1962" s="397"/>
      <c r="J1962" s="750" t="e">
        <f t="shared" si="15"/>
        <v>#DIV/0!</v>
      </c>
      <c r="K1962" s="398"/>
      <c r="L1962" s="404"/>
      <c r="M1962" s="682"/>
      <c r="N1962" s="171"/>
      <c r="O1962" s="171"/>
      <c r="P1962" s="169"/>
      <c r="Q1962" s="171"/>
      <c r="R1962" s="171"/>
      <c r="S1962" s="171"/>
      <c r="T1962" s="171"/>
      <c r="U1962" s="171"/>
      <c r="V1962" s="171"/>
      <c r="W1962" s="171"/>
      <c r="X1962" s="171"/>
      <c r="Y1962" s="171"/>
      <c r="Z1962" s="171"/>
      <c r="AA1962" s="171"/>
    </row>
    <row r="1963" spans="1:27" s="530" customFormat="1" hidden="1" x14ac:dyDescent="0.2">
      <c r="A1963" s="526"/>
      <c r="B1963" s="527"/>
      <c r="C1963" s="465"/>
      <c r="D1963" s="464"/>
      <c r="E1963" s="464"/>
      <c r="F1963" s="503" t="s">
        <v>246</v>
      </c>
      <c r="G1963" s="504" t="s">
        <v>247</v>
      </c>
      <c r="H1963" s="397"/>
      <c r="I1963" s="397"/>
      <c r="J1963" s="750" t="e">
        <f t="shared" si="15"/>
        <v>#DIV/0!</v>
      </c>
      <c r="K1963" s="398"/>
      <c r="L1963" s="404"/>
      <c r="M1963" s="682"/>
      <c r="N1963" s="171"/>
      <c r="O1963" s="171"/>
      <c r="P1963" s="169"/>
      <c r="Q1963" s="171"/>
      <c r="R1963" s="171"/>
      <c r="S1963" s="171"/>
      <c r="T1963" s="171"/>
      <c r="U1963" s="171"/>
      <c r="V1963" s="171"/>
      <c r="W1963" s="171"/>
      <c r="X1963" s="171"/>
      <c r="Y1963" s="171"/>
      <c r="Z1963" s="171"/>
      <c r="AA1963" s="171"/>
    </row>
    <row r="1964" spans="1:27" s="530" customFormat="1" ht="25.5" hidden="1" x14ac:dyDescent="0.2">
      <c r="A1964" s="526"/>
      <c r="B1964" s="527"/>
      <c r="C1964" s="465"/>
      <c r="D1964" s="464"/>
      <c r="E1964" s="464"/>
      <c r="F1964" s="503" t="s">
        <v>248</v>
      </c>
      <c r="G1964" s="504" t="s">
        <v>249</v>
      </c>
      <c r="H1964" s="397"/>
      <c r="I1964" s="397"/>
      <c r="J1964" s="750" t="e">
        <f t="shared" si="15"/>
        <v>#DIV/0!</v>
      </c>
      <c r="K1964" s="398"/>
      <c r="L1964" s="404"/>
      <c r="M1964" s="682"/>
      <c r="N1964" s="171"/>
      <c r="O1964" s="171"/>
      <c r="P1964" s="169"/>
      <c r="Q1964" s="171"/>
      <c r="R1964" s="171"/>
      <c r="S1964" s="171"/>
      <c r="T1964" s="171"/>
      <c r="U1964" s="171"/>
      <c r="V1964" s="171"/>
      <c r="W1964" s="171"/>
      <c r="X1964" s="171"/>
      <c r="Y1964" s="171"/>
      <c r="Z1964" s="171"/>
      <c r="AA1964" s="171"/>
    </row>
    <row r="1965" spans="1:27" s="530" customFormat="1" hidden="1" x14ac:dyDescent="0.2">
      <c r="A1965" s="526"/>
      <c r="B1965" s="527"/>
      <c r="C1965" s="465"/>
      <c r="D1965" s="464"/>
      <c r="E1965" s="464"/>
      <c r="F1965" s="503" t="s">
        <v>250</v>
      </c>
      <c r="G1965" s="504" t="s">
        <v>57</v>
      </c>
      <c r="H1965" s="397"/>
      <c r="I1965" s="397"/>
      <c r="J1965" s="750" t="e">
        <f t="shared" si="15"/>
        <v>#DIV/0!</v>
      </c>
      <c r="K1965" s="398"/>
      <c r="L1965" s="404"/>
      <c r="M1965" s="682"/>
      <c r="N1965" s="171"/>
      <c r="O1965" s="171"/>
      <c r="P1965" s="169"/>
      <c r="Q1965" s="171"/>
      <c r="R1965" s="171"/>
      <c r="S1965" s="171"/>
      <c r="T1965" s="171"/>
      <c r="U1965" s="171"/>
      <c r="V1965" s="171"/>
      <c r="W1965" s="171"/>
      <c r="X1965" s="171"/>
      <c r="Y1965" s="171"/>
      <c r="Z1965" s="171"/>
      <c r="AA1965" s="171"/>
    </row>
    <row r="1966" spans="1:27" s="530" customFormat="1" hidden="1" x14ac:dyDescent="0.2">
      <c r="A1966" s="526"/>
      <c r="B1966" s="527"/>
      <c r="C1966" s="465"/>
      <c r="D1966" s="464"/>
      <c r="E1966" s="464"/>
      <c r="F1966" s="503" t="s">
        <v>251</v>
      </c>
      <c r="G1966" s="504" t="s">
        <v>252</v>
      </c>
      <c r="H1966" s="397"/>
      <c r="I1966" s="397"/>
      <c r="J1966" s="750" t="e">
        <f t="shared" si="15"/>
        <v>#DIV/0!</v>
      </c>
      <c r="K1966" s="398"/>
      <c r="L1966" s="404"/>
      <c r="M1966" s="682"/>
      <c r="N1966" s="171"/>
      <c r="O1966" s="171"/>
      <c r="P1966" s="169"/>
      <c r="Q1966" s="171"/>
      <c r="R1966" s="171"/>
      <c r="S1966" s="171"/>
      <c r="T1966" s="171"/>
      <c r="U1966" s="171"/>
      <c r="V1966" s="171"/>
      <c r="W1966" s="171"/>
      <c r="X1966" s="171"/>
      <c r="Y1966" s="171"/>
      <c r="Z1966" s="171"/>
      <c r="AA1966" s="171"/>
    </row>
    <row r="1967" spans="1:27" s="530" customFormat="1" hidden="1" x14ac:dyDescent="0.2">
      <c r="A1967" s="526"/>
      <c r="B1967" s="527"/>
      <c r="C1967" s="465"/>
      <c r="D1967" s="464"/>
      <c r="E1967" s="464"/>
      <c r="F1967" s="503" t="s">
        <v>253</v>
      </c>
      <c r="G1967" s="504" t="s">
        <v>254</v>
      </c>
      <c r="H1967" s="397"/>
      <c r="I1967" s="397"/>
      <c r="J1967" s="750" t="e">
        <f t="shared" si="15"/>
        <v>#DIV/0!</v>
      </c>
      <c r="K1967" s="398"/>
      <c r="L1967" s="404"/>
      <c r="M1967" s="682"/>
      <c r="N1967" s="171"/>
      <c r="O1967" s="171"/>
      <c r="P1967" s="169"/>
      <c r="Q1967" s="171"/>
      <c r="R1967" s="171"/>
      <c r="S1967" s="171"/>
      <c r="T1967" s="171"/>
      <c r="U1967" s="171"/>
      <c r="V1967" s="171"/>
      <c r="W1967" s="171"/>
      <c r="X1967" s="171"/>
      <c r="Y1967" s="171"/>
      <c r="Z1967" s="171"/>
      <c r="AA1967" s="171"/>
    </row>
    <row r="1968" spans="1:27" s="530" customFormat="1" ht="25.5" hidden="1" x14ac:dyDescent="0.2">
      <c r="A1968" s="526"/>
      <c r="B1968" s="527"/>
      <c r="C1968" s="465"/>
      <c r="D1968" s="464"/>
      <c r="E1968" s="464"/>
      <c r="F1968" s="503" t="s">
        <v>255</v>
      </c>
      <c r="G1968" s="504" t="s">
        <v>256</v>
      </c>
      <c r="H1968" s="397"/>
      <c r="I1968" s="397"/>
      <c r="J1968" s="750" t="e">
        <f t="shared" si="15"/>
        <v>#DIV/0!</v>
      </c>
      <c r="K1968" s="398"/>
      <c r="L1968" s="404"/>
      <c r="M1968" s="682"/>
      <c r="N1968" s="171"/>
      <c r="O1968" s="171"/>
      <c r="P1968" s="169"/>
      <c r="Q1968" s="171"/>
      <c r="R1968" s="171"/>
      <c r="S1968" s="171"/>
      <c r="T1968" s="171"/>
      <c r="U1968" s="171"/>
      <c r="V1968" s="171"/>
      <c r="W1968" s="171"/>
      <c r="X1968" s="171"/>
      <c r="Y1968" s="171"/>
      <c r="Z1968" s="171"/>
      <c r="AA1968" s="171"/>
    </row>
    <row r="1969" spans="1:27" s="530" customFormat="1" ht="25.5" hidden="1" x14ac:dyDescent="0.2">
      <c r="A1969" s="526"/>
      <c r="B1969" s="527"/>
      <c r="C1969" s="465"/>
      <c r="D1969" s="464"/>
      <c r="E1969" s="464"/>
      <c r="F1969" s="503" t="s">
        <v>257</v>
      </c>
      <c r="G1969" s="504" t="s">
        <v>258</v>
      </c>
      <c r="H1969" s="397"/>
      <c r="I1969" s="397"/>
      <c r="J1969" s="750" t="e">
        <f t="shared" si="15"/>
        <v>#DIV/0!</v>
      </c>
      <c r="K1969" s="398"/>
      <c r="L1969" s="404"/>
      <c r="M1969" s="682"/>
      <c r="N1969" s="171"/>
      <c r="O1969" s="171"/>
      <c r="P1969" s="169"/>
      <c r="Q1969" s="171"/>
      <c r="R1969" s="171"/>
      <c r="S1969" s="171"/>
      <c r="T1969" s="171"/>
      <c r="U1969" s="171"/>
      <c r="V1969" s="171"/>
      <c r="W1969" s="171"/>
      <c r="X1969" s="171"/>
      <c r="Y1969" s="171"/>
      <c r="Z1969" s="171"/>
      <c r="AA1969" s="171"/>
    </row>
    <row r="1970" spans="1:27" s="530" customFormat="1" ht="25.5" hidden="1" x14ac:dyDescent="0.2">
      <c r="A1970" s="526"/>
      <c r="B1970" s="527"/>
      <c r="C1970" s="465"/>
      <c r="D1970" s="464"/>
      <c r="E1970" s="464"/>
      <c r="F1970" s="503" t="s">
        <v>259</v>
      </c>
      <c r="G1970" s="504" t="s">
        <v>260</v>
      </c>
      <c r="H1970" s="397"/>
      <c r="I1970" s="397"/>
      <c r="J1970" s="750" t="e">
        <f t="shared" si="15"/>
        <v>#DIV/0!</v>
      </c>
      <c r="K1970" s="398"/>
      <c r="L1970" s="404"/>
      <c r="M1970" s="682"/>
      <c r="N1970" s="171"/>
      <c r="O1970" s="171"/>
      <c r="P1970" s="169"/>
      <c r="Q1970" s="171"/>
      <c r="R1970" s="171"/>
      <c r="S1970" s="171"/>
      <c r="T1970" s="171"/>
      <c r="U1970" s="171"/>
      <c r="V1970" s="171"/>
      <c r="W1970" s="171"/>
      <c r="X1970" s="171"/>
      <c r="Y1970" s="171"/>
      <c r="Z1970" s="171"/>
      <c r="AA1970" s="171"/>
    </row>
    <row r="1971" spans="1:27" s="530" customFormat="1" ht="25.5" hidden="1" x14ac:dyDescent="0.2">
      <c r="A1971" s="526"/>
      <c r="B1971" s="527"/>
      <c r="C1971" s="465"/>
      <c r="D1971" s="464"/>
      <c r="E1971" s="464"/>
      <c r="F1971" s="503" t="s">
        <v>261</v>
      </c>
      <c r="G1971" s="504" t="s">
        <v>262</v>
      </c>
      <c r="H1971" s="397"/>
      <c r="I1971" s="397"/>
      <c r="J1971" s="750" t="e">
        <f t="shared" si="15"/>
        <v>#DIV/0!</v>
      </c>
      <c r="K1971" s="398"/>
      <c r="L1971" s="404"/>
      <c r="M1971" s="682"/>
      <c r="N1971" s="171"/>
      <c r="O1971" s="171"/>
      <c r="P1971" s="169"/>
      <c r="Q1971" s="171"/>
      <c r="R1971" s="171"/>
      <c r="S1971" s="171"/>
      <c r="T1971" s="171"/>
      <c r="U1971" s="171"/>
      <c r="V1971" s="171"/>
      <c r="W1971" s="171"/>
      <c r="X1971" s="171"/>
      <c r="Y1971" s="171"/>
      <c r="Z1971" s="171"/>
      <c r="AA1971" s="171"/>
    </row>
    <row r="1972" spans="1:27" s="530" customFormat="1" ht="15.75" customHeight="1" thickBot="1" x14ac:dyDescent="0.25">
      <c r="A1972" s="526"/>
      <c r="B1972" s="527"/>
      <c r="C1972" s="465"/>
      <c r="D1972" s="464"/>
      <c r="E1972" s="464"/>
      <c r="F1972" s="549" t="s">
        <v>246</v>
      </c>
      <c r="G1972" s="504" t="s">
        <v>247</v>
      </c>
      <c r="H1972" s="403"/>
      <c r="I1972" s="403"/>
      <c r="J1972" s="750"/>
      <c r="K1972" s="404">
        <v>991650</v>
      </c>
      <c r="L1972" s="404">
        <f>SUM(L1955)</f>
        <v>870594</v>
      </c>
      <c r="M1972" s="682"/>
      <c r="N1972" s="171"/>
      <c r="O1972" s="171"/>
      <c r="P1972" s="169"/>
      <c r="Q1972" s="171"/>
      <c r="R1972" s="171"/>
      <c r="S1972" s="171"/>
      <c r="T1972" s="171"/>
      <c r="U1972" s="171"/>
      <c r="V1972" s="171"/>
      <c r="W1972" s="171"/>
      <c r="X1972" s="171"/>
      <c r="Y1972" s="171"/>
      <c r="Z1972" s="171"/>
      <c r="AA1972" s="171"/>
    </row>
    <row r="1973" spans="1:27" s="530" customFormat="1" ht="13.5" customHeight="1" thickBot="1" x14ac:dyDescent="0.25">
      <c r="A1973" s="526"/>
      <c r="B1973" s="527"/>
      <c r="C1973" s="465"/>
      <c r="D1973" s="464"/>
      <c r="E1973" s="464"/>
      <c r="F1973" s="464"/>
      <c r="G1973" s="505" t="s">
        <v>4275</v>
      </c>
      <c r="H1973" s="405">
        <f>SUM(H1957:H1972)</f>
        <v>1185000</v>
      </c>
      <c r="I1973" s="405">
        <f>SUM(I1957)</f>
        <v>1123165.8900000001</v>
      </c>
      <c r="J1973" s="750">
        <f t="shared" si="15"/>
        <v>94.781931645569628</v>
      </c>
      <c r="K1973" s="406">
        <f>SUM(K1972)</f>
        <v>991650</v>
      </c>
      <c r="L1973" s="406">
        <f>SUM(L1972)</f>
        <v>870594</v>
      </c>
      <c r="M1973" s="682"/>
      <c r="N1973" s="171"/>
      <c r="O1973" s="171"/>
      <c r="P1973" s="169"/>
      <c r="Q1973" s="171"/>
      <c r="R1973" s="171"/>
      <c r="S1973" s="171"/>
      <c r="T1973" s="171"/>
      <c r="U1973" s="171"/>
      <c r="V1973" s="171"/>
      <c r="W1973" s="171"/>
      <c r="X1973" s="171"/>
      <c r="Y1973" s="171"/>
      <c r="Z1973" s="171"/>
      <c r="AA1973" s="171"/>
    </row>
    <row r="1974" spans="1:27" s="530" customFormat="1" hidden="1" x14ac:dyDescent="0.2">
      <c r="A1974" s="526"/>
      <c r="B1974" s="527"/>
      <c r="C1974" s="465"/>
      <c r="D1974" s="464"/>
      <c r="E1974" s="464"/>
      <c r="F1974" s="464"/>
      <c r="G1974" s="510"/>
      <c r="H1974" s="411"/>
      <c r="I1974" s="411"/>
      <c r="J1974" s="750" t="e">
        <f t="shared" si="15"/>
        <v>#DIV/0!</v>
      </c>
      <c r="K1974" s="412"/>
      <c r="L1974" s="412"/>
      <c r="M1974" s="682"/>
      <c r="N1974" s="171"/>
      <c r="O1974" s="171"/>
      <c r="P1974" s="169"/>
      <c r="Q1974" s="171"/>
      <c r="R1974" s="171"/>
      <c r="S1974" s="171"/>
      <c r="T1974" s="171"/>
      <c r="U1974" s="171"/>
      <c r="V1974" s="171"/>
      <c r="W1974" s="171"/>
      <c r="X1974" s="171"/>
      <c r="Y1974" s="171"/>
      <c r="Z1974" s="171"/>
      <c r="AA1974" s="171"/>
    </row>
    <row r="1975" spans="1:27" s="530" customFormat="1" hidden="1" x14ac:dyDescent="0.2">
      <c r="A1975" s="526"/>
      <c r="B1975" s="527"/>
      <c r="C1975" s="465"/>
      <c r="D1975" s="464"/>
      <c r="E1975" s="500"/>
      <c r="F1975" s="498"/>
      <c r="G1975" s="511" t="s">
        <v>5140</v>
      </c>
      <c r="H1975" s="413"/>
      <c r="I1975" s="413"/>
      <c r="J1975" s="750" t="e">
        <f t="shared" si="15"/>
        <v>#DIV/0!</v>
      </c>
      <c r="K1975" s="414"/>
      <c r="L1975" s="415"/>
      <c r="M1975" s="682"/>
      <c r="N1975" s="171"/>
      <c r="O1975" s="171"/>
      <c r="P1975" s="171"/>
      <c r="Q1975" s="171"/>
      <c r="R1975" s="171"/>
      <c r="S1975" s="171"/>
      <c r="T1975" s="171"/>
      <c r="U1975" s="171"/>
      <c r="V1975" s="171"/>
      <c r="W1975" s="171"/>
      <c r="X1975" s="171"/>
      <c r="Y1975" s="171"/>
      <c r="Z1975" s="171"/>
      <c r="AA1975" s="171"/>
    </row>
    <row r="1976" spans="1:27" s="530" customFormat="1" hidden="1" x14ac:dyDescent="0.2">
      <c r="A1976" s="526"/>
      <c r="B1976" s="527"/>
      <c r="C1976" s="465"/>
      <c r="D1976" s="464"/>
      <c r="E1976" s="502"/>
      <c r="F1976" s="503" t="s">
        <v>234</v>
      </c>
      <c r="G1976" s="504" t="s">
        <v>235</v>
      </c>
      <c r="H1976" s="403">
        <f>SUM(H1957,H6821)</f>
        <v>1185000</v>
      </c>
      <c r="I1976" s="403"/>
      <c r="J1976" s="750">
        <f t="shared" si="15"/>
        <v>0</v>
      </c>
      <c r="K1976" s="404"/>
      <c r="L1976" s="404"/>
      <c r="M1976" s="682"/>
      <c r="N1976" s="171"/>
      <c r="O1976" s="171"/>
      <c r="P1976" s="171"/>
      <c r="Q1976" s="171"/>
      <c r="R1976" s="171"/>
      <c r="S1976" s="171"/>
      <c r="T1976" s="171"/>
      <c r="U1976" s="171"/>
      <c r="V1976" s="171"/>
      <c r="W1976" s="171"/>
      <c r="X1976" s="171"/>
      <c r="Y1976" s="171"/>
      <c r="Z1976" s="171"/>
      <c r="AA1976" s="171"/>
    </row>
    <row r="1977" spans="1:27" s="530" customFormat="1" hidden="1" x14ac:dyDescent="0.2">
      <c r="A1977" s="526"/>
      <c r="B1977" s="527"/>
      <c r="C1977" s="465"/>
      <c r="D1977" s="464"/>
      <c r="E1977" s="464"/>
      <c r="F1977" s="503" t="s">
        <v>236</v>
      </c>
      <c r="G1977" s="504" t="s">
        <v>237</v>
      </c>
      <c r="H1977" s="397"/>
      <c r="I1977" s="397"/>
      <c r="J1977" s="750" t="e">
        <f t="shared" si="15"/>
        <v>#DIV/0!</v>
      </c>
      <c r="K1977" s="398"/>
      <c r="L1977" s="404"/>
      <c r="M1977" s="682"/>
      <c r="N1977" s="171"/>
      <c r="O1977" s="171"/>
      <c r="P1977" s="171"/>
      <c r="Q1977" s="171"/>
      <c r="R1977" s="171"/>
      <c r="S1977" s="171"/>
      <c r="T1977" s="171"/>
      <c r="U1977" s="171"/>
      <c r="V1977" s="171"/>
      <c r="W1977" s="171"/>
      <c r="X1977" s="171"/>
      <c r="Y1977" s="171"/>
      <c r="Z1977" s="171"/>
      <c r="AA1977" s="171"/>
    </row>
    <row r="1978" spans="1:27" s="530" customFormat="1" hidden="1" x14ac:dyDescent="0.2">
      <c r="A1978" s="526"/>
      <c r="B1978" s="527"/>
      <c r="C1978" s="465"/>
      <c r="D1978" s="464"/>
      <c r="E1978" s="464"/>
      <c r="F1978" s="503" t="s">
        <v>238</v>
      </c>
      <c r="G1978" s="504" t="s">
        <v>239</v>
      </c>
      <c r="H1978" s="397"/>
      <c r="I1978" s="397"/>
      <c r="J1978" s="750" t="e">
        <f t="shared" si="15"/>
        <v>#DIV/0!</v>
      </c>
      <c r="K1978" s="398"/>
      <c r="L1978" s="404"/>
      <c r="M1978" s="682"/>
      <c r="N1978" s="171"/>
      <c r="O1978" s="171"/>
      <c r="P1978" s="171"/>
      <c r="Q1978" s="171"/>
      <c r="R1978" s="171"/>
      <c r="S1978" s="171"/>
      <c r="T1978" s="171"/>
      <c r="U1978" s="171"/>
      <c r="V1978" s="171"/>
      <c r="W1978" s="171"/>
      <c r="X1978" s="171"/>
      <c r="Y1978" s="171"/>
      <c r="Z1978" s="171"/>
      <c r="AA1978" s="171"/>
    </row>
    <row r="1979" spans="1:27" s="530" customFormat="1" hidden="1" x14ac:dyDescent="0.2">
      <c r="A1979" s="526"/>
      <c r="B1979" s="527"/>
      <c r="C1979" s="465"/>
      <c r="D1979" s="464"/>
      <c r="E1979" s="464"/>
      <c r="F1979" s="503" t="s">
        <v>240</v>
      </c>
      <c r="G1979" s="504" t="s">
        <v>241</v>
      </c>
      <c r="H1979" s="397"/>
      <c r="I1979" s="397"/>
      <c r="J1979" s="750" t="e">
        <f t="shared" si="15"/>
        <v>#DIV/0!</v>
      </c>
      <c r="K1979" s="398"/>
      <c r="L1979" s="404"/>
      <c r="M1979" s="682"/>
      <c r="N1979" s="171"/>
      <c r="O1979" s="171"/>
      <c r="P1979" s="171"/>
      <c r="Q1979" s="171"/>
      <c r="R1979" s="171"/>
      <c r="S1979" s="171"/>
      <c r="T1979" s="171"/>
      <c r="U1979" s="171"/>
      <c r="V1979" s="171"/>
      <c r="W1979" s="171"/>
      <c r="X1979" s="171"/>
      <c r="Y1979" s="171"/>
      <c r="Z1979" s="171"/>
      <c r="AA1979" s="171"/>
    </row>
    <row r="1980" spans="1:27" s="530" customFormat="1" hidden="1" x14ac:dyDescent="0.2">
      <c r="A1980" s="526"/>
      <c r="B1980" s="527"/>
      <c r="C1980" s="465"/>
      <c r="D1980" s="464"/>
      <c r="E1980" s="464"/>
      <c r="F1980" s="503" t="s">
        <v>242</v>
      </c>
      <c r="G1980" s="504" t="s">
        <v>243</v>
      </c>
      <c r="H1980" s="397"/>
      <c r="I1980" s="397"/>
      <c r="J1980" s="750" t="e">
        <f t="shared" si="15"/>
        <v>#DIV/0!</v>
      </c>
      <c r="K1980" s="398"/>
      <c r="L1980" s="404"/>
      <c r="M1980" s="682"/>
      <c r="N1980" s="171"/>
      <c r="O1980" s="171"/>
      <c r="P1980" s="171"/>
      <c r="Q1980" s="171"/>
      <c r="R1980" s="171"/>
      <c r="S1980" s="171"/>
      <c r="T1980" s="171"/>
      <c r="U1980" s="171"/>
      <c r="V1980" s="171"/>
      <c r="W1980" s="171"/>
      <c r="X1980" s="171"/>
      <c r="Y1980" s="171"/>
      <c r="Z1980" s="171"/>
      <c r="AA1980" s="171"/>
    </row>
    <row r="1981" spans="1:27" s="530" customFormat="1" hidden="1" x14ac:dyDescent="0.2">
      <c r="A1981" s="526"/>
      <c r="B1981" s="527"/>
      <c r="C1981" s="465"/>
      <c r="D1981" s="464"/>
      <c r="E1981" s="464"/>
      <c r="F1981" s="503" t="s">
        <v>244</v>
      </c>
      <c r="G1981" s="504" t="s">
        <v>245</v>
      </c>
      <c r="H1981" s="397"/>
      <c r="I1981" s="397"/>
      <c r="J1981" s="750" t="e">
        <f t="shared" si="15"/>
        <v>#DIV/0!</v>
      </c>
      <c r="K1981" s="398"/>
      <c r="L1981" s="404"/>
      <c r="M1981" s="682"/>
      <c r="N1981" s="171"/>
      <c r="O1981" s="171"/>
      <c r="P1981" s="171"/>
      <c r="Q1981" s="171"/>
      <c r="R1981" s="171"/>
      <c r="S1981" s="171"/>
      <c r="T1981" s="171"/>
      <c r="U1981" s="171"/>
      <c r="V1981" s="171"/>
      <c r="W1981" s="171"/>
      <c r="X1981" s="171"/>
      <c r="Y1981" s="171"/>
      <c r="Z1981" s="171"/>
      <c r="AA1981" s="171"/>
    </row>
    <row r="1982" spans="1:27" s="530" customFormat="1" hidden="1" x14ac:dyDescent="0.2">
      <c r="A1982" s="526"/>
      <c r="B1982" s="527"/>
      <c r="C1982" s="465"/>
      <c r="D1982" s="464"/>
      <c r="E1982" s="464"/>
      <c r="F1982" s="503" t="s">
        <v>246</v>
      </c>
      <c r="G1982" s="504" t="s">
        <v>247</v>
      </c>
      <c r="H1982" s="397"/>
      <c r="I1982" s="397"/>
      <c r="J1982" s="750" t="e">
        <f t="shared" si="15"/>
        <v>#DIV/0!</v>
      </c>
      <c r="K1982" s="398"/>
      <c r="L1982" s="404"/>
      <c r="M1982" s="682"/>
      <c r="N1982" s="171"/>
      <c r="O1982" s="171"/>
      <c r="P1982" s="171"/>
      <c r="Q1982" s="171"/>
      <c r="R1982" s="171"/>
      <c r="S1982" s="171"/>
      <c r="T1982" s="171"/>
      <c r="U1982" s="171"/>
      <c r="V1982" s="171"/>
      <c r="W1982" s="171"/>
      <c r="X1982" s="171"/>
      <c r="Y1982" s="171"/>
      <c r="Z1982" s="171"/>
      <c r="AA1982" s="171"/>
    </row>
    <row r="1983" spans="1:27" s="530" customFormat="1" ht="25.5" hidden="1" x14ac:dyDescent="0.2">
      <c r="A1983" s="526"/>
      <c r="B1983" s="527"/>
      <c r="C1983" s="465"/>
      <c r="D1983" s="464"/>
      <c r="E1983" s="464"/>
      <c r="F1983" s="503" t="s">
        <v>248</v>
      </c>
      <c r="G1983" s="504" t="s">
        <v>249</v>
      </c>
      <c r="H1983" s="397"/>
      <c r="I1983" s="397"/>
      <c r="J1983" s="750" t="e">
        <f t="shared" si="15"/>
        <v>#DIV/0!</v>
      </c>
      <c r="K1983" s="398"/>
      <c r="L1983" s="404"/>
      <c r="M1983" s="682"/>
      <c r="N1983" s="171"/>
      <c r="O1983" s="171"/>
      <c r="P1983" s="171"/>
      <c r="Q1983" s="171"/>
      <c r="R1983" s="171"/>
      <c r="S1983" s="171"/>
      <c r="T1983" s="171"/>
      <c r="U1983" s="171"/>
      <c r="V1983" s="171"/>
      <c r="W1983" s="171"/>
      <c r="X1983" s="171"/>
      <c r="Y1983" s="171"/>
      <c r="Z1983" s="171"/>
      <c r="AA1983" s="171"/>
    </row>
    <row r="1984" spans="1:27" s="530" customFormat="1" hidden="1" x14ac:dyDescent="0.2">
      <c r="A1984" s="526"/>
      <c r="B1984" s="527"/>
      <c r="C1984" s="465"/>
      <c r="D1984" s="464"/>
      <c r="E1984" s="464"/>
      <c r="F1984" s="503" t="s">
        <v>250</v>
      </c>
      <c r="G1984" s="504" t="s">
        <v>57</v>
      </c>
      <c r="H1984" s="397"/>
      <c r="I1984" s="397"/>
      <c r="J1984" s="750" t="e">
        <f t="shared" si="15"/>
        <v>#DIV/0!</v>
      </c>
      <c r="K1984" s="398"/>
      <c r="L1984" s="404"/>
      <c r="M1984" s="682"/>
      <c r="N1984" s="171"/>
      <c r="O1984" s="171"/>
      <c r="P1984" s="171"/>
      <c r="Q1984" s="171"/>
      <c r="R1984" s="171"/>
      <c r="S1984" s="171"/>
      <c r="T1984" s="171"/>
      <c r="U1984" s="171"/>
      <c r="V1984" s="171"/>
      <c r="W1984" s="171"/>
      <c r="X1984" s="171"/>
      <c r="Y1984" s="171"/>
      <c r="Z1984" s="171"/>
      <c r="AA1984" s="171"/>
    </row>
    <row r="1985" spans="1:27" s="530" customFormat="1" hidden="1" x14ac:dyDescent="0.2">
      <c r="A1985" s="526"/>
      <c r="B1985" s="527"/>
      <c r="C1985" s="465"/>
      <c r="D1985" s="464"/>
      <c r="E1985" s="464"/>
      <c r="F1985" s="503" t="s">
        <v>251</v>
      </c>
      <c r="G1985" s="504" t="s">
        <v>252</v>
      </c>
      <c r="H1985" s="397"/>
      <c r="I1985" s="397"/>
      <c r="J1985" s="750" t="e">
        <f t="shared" si="15"/>
        <v>#DIV/0!</v>
      </c>
      <c r="K1985" s="398"/>
      <c r="L1985" s="404"/>
      <c r="M1985" s="682"/>
      <c r="N1985" s="171"/>
      <c r="O1985" s="171"/>
      <c r="P1985" s="171"/>
      <c r="Q1985" s="171"/>
      <c r="R1985" s="171"/>
      <c r="S1985" s="171"/>
      <c r="T1985" s="171"/>
      <c r="U1985" s="171"/>
      <c r="V1985" s="171"/>
      <c r="W1985" s="171"/>
      <c r="X1985" s="171"/>
      <c r="Y1985" s="171"/>
      <c r="Z1985" s="171"/>
      <c r="AA1985" s="171"/>
    </row>
    <row r="1986" spans="1:27" s="530" customFormat="1" hidden="1" x14ac:dyDescent="0.2">
      <c r="A1986" s="526"/>
      <c r="B1986" s="527"/>
      <c r="C1986" s="465"/>
      <c r="D1986" s="464"/>
      <c r="E1986" s="464"/>
      <c r="F1986" s="503" t="s">
        <v>253</v>
      </c>
      <c r="G1986" s="504" t="s">
        <v>254</v>
      </c>
      <c r="H1986" s="397"/>
      <c r="I1986" s="397"/>
      <c r="J1986" s="750" t="e">
        <f t="shared" si="15"/>
        <v>#DIV/0!</v>
      </c>
      <c r="K1986" s="398"/>
      <c r="L1986" s="404"/>
      <c r="M1986" s="682"/>
      <c r="N1986" s="171"/>
      <c r="O1986" s="171"/>
      <c r="P1986" s="171"/>
      <c r="Q1986" s="171"/>
      <c r="R1986" s="171"/>
      <c r="S1986" s="171"/>
      <c r="T1986" s="171"/>
      <c r="U1986" s="171"/>
      <c r="V1986" s="171"/>
      <c r="W1986" s="171"/>
      <c r="X1986" s="171"/>
      <c r="Y1986" s="171"/>
      <c r="Z1986" s="171"/>
      <c r="AA1986" s="171"/>
    </row>
    <row r="1987" spans="1:27" s="530" customFormat="1" ht="25.5" hidden="1" x14ac:dyDescent="0.2">
      <c r="A1987" s="526"/>
      <c r="B1987" s="527"/>
      <c r="C1987" s="465"/>
      <c r="D1987" s="464"/>
      <c r="E1987" s="464"/>
      <c r="F1987" s="503" t="s">
        <v>255</v>
      </c>
      <c r="G1987" s="504" t="s">
        <v>256</v>
      </c>
      <c r="H1987" s="397"/>
      <c r="I1987" s="397"/>
      <c r="J1987" s="750" t="e">
        <f t="shared" si="15"/>
        <v>#DIV/0!</v>
      </c>
      <c r="K1987" s="398"/>
      <c r="L1987" s="404"/>
      <c r="M1987" s="682"/>
      <c r="N1987" s="171"/>
      <c r="O1987" s="171"/>
      <c r="P1987" s="171"/>
      <c r="Q1987" s="171"/>
      <c r="R1987" s="171"/>
      <c r="S1987" s="171"/>
      <c r="T1987" s="171"/>
      <c r="U1987" s="171"/>
      <c r="V1987" s="171"/>
      <c r="W1987" s="171"/>
      <c r="X1987" s="171"/>
      <c r="Y1987" s="171"/>
      <c r="Z1987" s="171"/>
      <c r="AA1987" s="171"/>
    </row>
    <row r="1988" spans="1:27" s="530" customFormat="1" ht="25.5" hidden="1" x14ac:dyDescent="0.2">
      <c r="A1988" s="526"/>
      <c r="B1988" s="527"/>
      <c r="C1988" s="465"/>
      <c r="D1988" s="464"/>
      <c r="E1988" s="464"/>
      <c r="F1988" s="503" t="s">
        <v>257</v>
      </c>
      <c r="G1988" s="504" t="s">
        <v>258</v>
      </c>
      <c r="H1988" s="397"/>
      <c r="I1988" s="397"/>
      <c r="J1988" s="750" t="e">
        <f t="shared" si="15"/>
        <v>#DIV/0!</v>
      </c>
      <c r="K1988" s="398"/>
      <c r="L1988" s="404"/>
      <c r="M1988" s="682"/>
      <c r="N1988" s="171"/>
      <c r="O1988" s="171"/>
      <c r="P1988" s="171"/>
      <c r="Q1988" s="171"/>
      <c r="R1988" s="171"/>
      <c r="S1988" s="171"/>
      <c r="T1988" s="171"/>
      <c r="U1988" s="171"/>
      <c r="V1988" s="171"/>
      <c r="W1988" s="171"/>
      <c r="X1988" s="171"/>
      <c r="Y1988" s="171"/>
      <c r="Z1988" s="171"/>
      <c r="AA1988" s="171"/>
    </row>
    <row r="1989" spans="1:27" s="530" customFormat="1" ht="25.5" hidden="1" x14ac:dyDescent="0.2">
      <c r="A1989" s="526"/>
      <c r="B1989" s="527"/>
      <c r="C1989" s="465"/>
      <c r="D1989" s="464"/>
      <c r="E1989" s="464"/>
      <c r="F1989" s="503" t="s">
        <v>259</v>
      </c>
      <c r="G1989" s="504" t="s">
        <v>260</v>
      </c>
      <c r="H1989" s="397"/>
      <c r="I1989" s="397"/>
      <c r="J1989" s="750" t="e">
        <f t="shared" si="15"/>
        <v>#DIV/0!</v>
      </c>
      <c r="K1989" s="398"/>
      <c r="L1989" s="404"/>
      <c r="M1989" s="682"/>
      <c r="N1989" s="171"/>
      <c r="O1989" s="171"/>
      <c r="P1989" s="171"/>
      <c r="Q1989" s="171"/>
      <c r="R1989" s="171"/>
      <c r="S1989" s="171"/>
      <c r="T1989" s="171"/>
      <c r="U1989" s="171"/>
      <c r="V1989" s="171"/>
      <c r="W1989" s="171"/>
      <c r="X1989" s="171"/>
      <c r="Y1989" s="171"/>
      <c r="Z1989" s="171"/>
      <c r="AA1989" s="171"/>
    </row>
    <row r="1990" spans="1:27" s="530" customFormat="1" ht="25.5" hidden="1" x14ac:dyDescent="0.2">
      <c r="A1990" s="526"/>
      <c r="B1990" s="527"/>
      <c r="C1990" s="465"/>
      <c r="D1990" s="464"/>
      <c r="E1990" s="464"/>
      <c r="F1990" s="503" t="s">
        <v>261</v>
      </c>
      <c r="G1990" s="504" t="s">
        <v>262</v>
      </c>
      <c r="H1990" s="397"/>
      <c r="I1990" s="397"/>
      <c r="J1990" s="750" t="e">
        <f t="shared" si="15"/>
        <v>#DIV/0!</v>
      </c>
      <c r="K1990" s="398"/>
      <c r="L1990" s="404"/>
      <c r="M1990" s="682"/>
      <c r="N1990" s="171"/>
      <c r="O1990" s="171"/>
      <c r="P1990" s="171"/>
      <c r="Q1990" s="171"/>
      <c r="R1990" s="171"/>
      <c r="S1990" s="171"/>
      <c r="T1990" s="171"/>
      <c r="U1990" s="171"/>
      <c r="V1990" s="171"/>
      <c r="W1990" s="171"/>
      <c r="X1990" s="171"/>
      <c r="Y1990" s="171"/>
      <c r="Z1990" s="171"/>
      <c r="AA1990" s="171"/>
    </row>
    <row r="1991" spans="1:27" s="530" customFormat="1" hidden="1" x14ac:dyDescent="0.2">
      <c r="A1991" s="526"/>
      <c r="B1991" s="527"/>
      <c r="C1991" s="465"/>
      <c r="D1991" s="464"/>
      <c r="E1991" s="464"/>
      <c r="F1991" s="503" t="s">
        <v>263</v>
      </c>
      <c r="G1991" s="504" t="s">
        <v>264</v>
      </c>
      <c r="H1991" s="403"/>
      <c r="I1991" s="403"/>
      <c r="J1991" s="750" t="e">
        <f t="shared" si="15"/>
        <v>#DIV/0!</v>
      </c>
      <c r="K1991" s="404"/>
      <c r="L1991" s="404"/>
      <c r="M1991" s="682"/>
      <c r="N1991" s="171"/>
      <c r="O1991" s="171"/>
      <c r="P1991" s="171"/>
      <c r="Q1991" s="171"/>
      <c r="R1991" s="171"/>
      <c r="S1991" s="171"/>
      <c r="T1991" s="171"/>
      <c r="U1991" s="171"/>
      <c r="V1991" s="171"/>
      <c r="W1991" s="171"/>
      <c r="X1991" s="171"/>
      <c r="Y1991" s="171"/>
      <c r="Z1991" s="171"/>
      <c r="AA1991" s="171"/>
    </row>
    <row r="1992" spans="1:27" s="530" customFormat="1" ht="13.5" hidden="1" thickBot="1" x14ac:dyDescent="0.25">
      <c r="A1992" s="526"/>
      <c r="B1992" s="527"/>
      <c r="C1992" s="465"/>
      <c r="D1992" s="464"/>
      <c r="E1992" s="464"/>
      <c r="F1992" s="464"/>
      <c r="G1992" s="505" t="s">
        <v>5141</v>
      </c>
      <c r="H1992" s="405">
        <f>SUM(H1976:H1991)</f>
        <v>1185000</v>
      </c>
      <c r="I1992" s="405"/>
      <c r="J1992" s="750">
        <f t="shared" si="15"/>
        <v>0</v>
      </c>
      <c r="K1992" s="406">
        <f>SUM(K1977:K1991)</f>
        <v>0</v>
      </c>
      <c r="L1992" s="406"/>
      <c r="M1992" s="682"/>
      <c r="N1992" s="171"/>
      <c r="O1992" s="171"/>
      <c r="P1992" s="171"/>
      <c r="Q1992" s="171"/>
      <c r="R1992" s="171"/>
      <c r="S1992" s="171"/>
      <c r="T1992" s="171"/>
      <c r="U1992" s="171"/>
      <c r="V1992" s="171"/>
      <c r="W1992" s="171"/>
      <c r="X1992" s="171"/>
      <c r="Y1992" s="171"/>
      <c r="Z1992" s="171"/>
      <c r="AA1992" s="171"/>
    </row>
    <row r="1993" spans="1:27" s="530" customFormat="1" hidden="1" x14ac:dyDescent="0.2">
      <c r="A1993" s="526"/>
      <c r="B1993" s="527"/>
      <c r="C1993" s="465"/>
      <c r="D1993" s="464"/>
      <c r="E1993" s="464"/>
      <c r="F1993" s="464"/>
      <c r="G1993" s="510"/>
      <c r="H1993" s="411"/>
      <c r="I1993" s="411"/>
      <c r="J1993" s="750" t="e">
        <f t="shared" si="15"/>
        <v>#DIV/0!</v>
      </c>
      <c r="K1993" s="412"/>
      <c r="L1993" s="412"/>
      <c r="M1993" s="682"/>
      <c r="N1993" s="171"/>
      <c r="O1993" s="171"/>
      <c r="P1993" s="169"/>
      <c r="Q1993" s="171"/>
      <c r="R1993" s="171"/>
      <c r="S1993" s="171"/>
      <c r="T1993" s="171"/>
      <c r="U1993" s="171"/>
      <c r="V1993" s="171"/>
      <c r="W1993" s="171"/>
      <c r="X1993" s="171"/>
      <c r="Y1993" s="171"/>
      <c r="Z1993" s="171"/>
      <c r="AA1993" s="171"/>
    </row>
    <row r="1994" spans="1:27" s="530" customFormat="1" hidden="1" x14ac:dyDescent="0.2">
      <c r="A1994" s="526"/>
      <c r="B1994" s="527"/>
      <c r="C1994" s="465"/>
      <c r="D1994" s="464"/>
      <c r="E1994" s="464"/>
      <c r="F1994" s="464"/>
      <c r="G1994" s="510"/>
      <c r="H1994" s="411"/>
      <c r="I1994" s="411"/>
      <c r="J1994" s="750" t="e">
        <f t="shared" si="15"/>
        <v>#DIV/0!</v>
      </c>
      <c r="K1994" s="412"/>
      <c r="L1994" s="412"/>
      <c r="M1994" s="682"/>
      <c r="N1994" s="171"/>
      <c r="O1994" s="171"/>
      <c r="P1994" s="169"/>
      <c r="Q1994" s="171"/>
      <c r="R1994" s="171"/>
      <c r="S1994" s="171"/>
      <c r="T1994" s="171"/>
      <c r="U1994" s="171"/>
      <c r="V1994" s="171"/>
      <c r="W1994" s="171"/>
      <c r="X1994" s="171"/>
      <c r="Y1994" s="171"/>
      <c r="Z1994" s="171"/>
      <c r="AA1994" s="171"/>
    </row>
    <row r="1995" spans="1:27" s="530" customFormat="1" hidden="1" x14ac:dyDescent="0.2">
      <c r="A1995" s="526"/>
      <c r="B1995" s="527"/>
      <c r="C1995" s="465"/>
      <c r="D1995" s="464"/>
      <c r="E1995" s="464"/>
      <c r="F1995" s="464"/>
      <c r="G1995" s="510"/>
      <c r="H1995" s="411"/>
      <c r="I1995" s="411"/>
      <c r="J1995" s="750" t="e">
        <f t="shared" si="15"/>
        <v>#DIV/0!</v>
      </c>
      <c r="K1995" s="412"/>
      <c r="L1995" s="412"/>
      <c r="M1995" s="682"/>
      <c r="N1995" s="171"/>
      <c r="O1995" s="171"/>
      <c r="P1995" s="169"/>
      <c r="Q1995" s="171"/>
      <c r="R1995" s="171"/>
      <c r="S1995" s="171"/>
      <c r="T1995" s="171"/>
      <c r="U1995" s="171"/>
      <c r="V1995" s="171"/>
      <c r="W1995" s="171"/>
      <c r="X1995" s="171"/>
      <c r="Y1995" s="171"/>
      <c r="Z1995" s="171"/>
      <c r="AA1995" s="171"/>
    </row>
    <row r="1996" spans="1:27" s="530" customFormat="1" hidden="1" x14ac:dyDescent="0.2">
      <c r="A1996" s="526"/>
      <c r="B1996" s="527"/>
      <c r="C1996" s="465"/>
      <c r="D1996" s="464"/>
      <c r="E1996" s="464"/>
      <c r="F1996" s="464"/>
      <c r="G1996" s="510"/>
      <c r="H1996" s="411"/>
      <c r="I1996" s="411"/>
      <c r="J1996" s="750" t="e">
        <f t="shared" si="15"/>
        <v>#DIV/0!</v>
      </c>
      <c r="K1996" s="412"/>
      <c r="L1996" s="412"/>
      <c r="M1996" s="682"/>
      <c r="N1996" s="171"/>
      <c r="O1996" s="171"/>
      <c r="P1996" s="169"/>
      <c r="Q1996" s="171"/>
      <c r="R1996" s="171"/>
      <c r="S1996" s="171"/>
      <c r="T1996" s="171"/>
      <c r="U1996" s="171"/>
      <c r="V1996" s="171"/>
      <c r="W1996" s="171"/>
      <c r="X1996" s="171"/>
      <c r="Y1996" s="171"/>
      <c r="Z1996" s="171"/>
      <c r="AA1996" s="171"/>
    </row>
    <row r="1997" spans="1:27" s="530" customFormat="1" hidden="1" x14ac:dyDescent="0.2">
      <c r="A1997" s="526"/>
      <c r="B1997" s="527"/>
      <c r="C1997" s="465"/>
      <c r="D1997" s="464"/>
      <c r="E1997" s="464"/>
      <c r="F1997" s="464"/>
      <c r="G1997" s="510"/>
      <c r="H1997" s="411"/>
      <c r="I1997" s="411"/>
      <c r="J1997" s="750" t="e">
        <f t="shared" ref="J1997:J2060" si="16">SUM(I1997/H1997)*100</f>
        <v>#DIV/0!</v>
      </c>
      <c r="K1997" s="412"/>
      <c r="L1997" s="412"/>
      <c r="M1997" s="682"/>
      <c r="N1997" s="171"/>
      <c r="O1997" s="171"/>
      <c r="P1997" s="169"/>
      <c r="Q1997" s="171"/>
      <c r="R1997" s="171"/>
      <c r="S1997" s="171"/>
      <c r="T1997" s="171"/>
      <c r="U1997" s="171"/>
      <c r="V1997" s="171"/>
      <c r="W1997" s="171"/>
      <c r="X1997" s="171"/>
      <c r="Y1997" s="171"/>
      <c r="Z1997" s="171"/>
      <c r="AA1997" s="171"/>
    </row>
    <row r="1998" spans="1:27" s="530" customFormat="1" hidden="1" x14ac:dyDescent="0.2">
      <c r="A1998" s="526"/>
      <c r="B1998" s="527"/>
      <c r="C1998" s="465"/>
      <c r="D1998" s="464"/>
      <c r="E1998" s="464"/>
      <c r="F1998" s="464"/>
      <c r="G1998" s="510"/>
      <c r="H1998" s="411"/>
      <c r="I1998" s="411"/>
      <c r="J1998" s="750" t="e">
        <f t="shared" si="16"/>
        <v>#DIV/0!</v>
      </c>
      <c r="K1998" s="412"/>
      <c r="L1998" s="412"/>
      <c r="M1998" s="682"/>
      <c r="N1998" s="171"/>
      <c r="O1998" s="171"/>
      <c r="P1998" s="169"/>
      <c r="Q1998" s="171"/>
      <c r="R1998" s="171"/>
      <c r="S1998" s="171"/>
      <c r="T1998" s="171"/>
      <c r="U1998" s="171"/>
      <c r="V1998" s="171"/>
      <c r="W1998" s="171"/>
      <c r="X1998" s="171"/>
      <c r="Y1998" s="171"/>
      <c r="Z1998" s="171"/>
      <c r="AA1998" s="171"/>
    </row>
    <row r="1999" spans="1:27" s="530" customFormat="1" hidden="1" x14ac:dyDescent="0.2">
      <c r="A1999" s="526"/>
      <c r="B1999" s="527"/>
      <c r="C1999" s="465"/>
      <c r="D1999" s="464"/>
      <c r="E1999" s="464"/>
      <c r="F1999" s="464"/>
      <c r="G1999" s="510"/>
      <c r="H1999" s="411"/>
      <c r="I1999" s="411"/>
      <c r="J1999" s="750" t="e">
        <f t="shared" si="16"/>
        <v>#DIV/0!</v>
      </c>
      <c r="K1999" s="412"/>
      <c r="L1999" s="412"/>
      <c r="M1999" s="682"/>
      <c r="N1999" s="171"/>
      <c r="O1999" s="171"/>
      <c r="P1999" s="169"/>
      <c r="Q1999" s="171"/>
      <c r="R1999" s="171"/>
      <c r="S1999" s="171"/>
      <c r="T1999" s="171"/>
      <c r="U1999" s="171"/>
      <c r="V1999" s="171"/>
      <c r="W1999" s="171"/>
      <c r="X1999" s="171"/>
      <c r="Y1999" s="171"/>
      <c r="Z1999" s="171"/>
      <c r="AA1999" s="171"/>
    </row>
    <row r="2000" spans="1:27" s="530" customFormat="1" hidden="1" x14ac:dyDescent="0.2">
      <c r="A2000" s="526"/>
      <c r="B2000" s="527"/>
      <c r="C2000" s="465"/>
      <c r="D2000" s="464"/>
      <c r="E2000" s="464"/>
      <c r="F2000" s="464"/>
      <c r="G2000" s="510"/>
      <c r="H2000" s="411"/>
      <c r="I2000" s="411"/>
      <c r="J2000" s="750" t="e">
        <f t="shared" si="16"/>
        <v>#DIV/0!</v>
      </c>
      <c r="K2000" s="412"/>
      <c r="L2000" s="412"/>
      <c r="M2000" s="682"/>
      <c r="N2000" s="171"/>
      <c r="O2000" s="171"/>
      <c r="P2000" s="169"/>
      <c r="Q2000" s="171"/>
      <c r="R2000" s="171"/>
      <c r="S2000" s="171"/>
      <c r="T2000" s="171"/>
      <c r="U2000" s="171"/>
      <c r="V2000" s="171"/>
      <c r="W2000" s="171"/>
      <c r="X2000" s="171"/>
      <c r="Y2000" s="171"/>
      <c r="Z2000" s="171"/>
      <c r="AA2000" s="171"/>
    </row>
    <row r="2001" spans="1:27" s="530" customFormat="1" hidden="1" x14ac:dyDescent="0.2">
      <c r="A2001" s="526"/>
      <c r="B2001" s="527"/>
      <c r="C2001" s="465"/>
      <c r="D2001" s="464"/>
      <c r="E2001" s="464"/>
      <c r="F2001" s="464"/>
      <c r="G2001" s="510"/>
      <c r="H2001" s="411"/>
      <c r="I2001" s="411"/>
      <c r="J2001" s="750" t="e">
        <f t="shared" si="16"/>
        <v>#DIV/0!</v>
      </c>
      <c r="K2001" s="412"/>
      <c r="L2001" s="412"/>
      <c r="M2001" s="682"/>
      <c r="N2001" s="171"/>
      <c r="O2001" s="171"/>
      <c r="P2001" s="169"/>
      <c r="Q2001" s="171"/>
      <c r="R2001" s="171"/>
      <c r="S2001" s="171"/>
      <c r="T2001" s="171"/>
      <c r="U2001" s="171"/>
      <c r="V2001" s="171"/>
      <c r="W2001" s="171"/>
      <c r="X2001" s="171"/>
      <c r="Y2001" s="171"/>
      <c r="Z2001" s="171"/>
      <c r="AA2001" s="171"/>
    </row>
    <row r="2002" spans="1:27" s="530" customFormat="1" hidden="1" x14ac:dyDescent="0.2">
      <c r="A2002" s="526"/>
      <c r="B2002" s="527"/>
      <c r="C2002" s="465"/>
      <c r="D2002" s="464"/>
      <c r="E2002" s="464"/>
      <c r="F2002" s="464"/>
      <c r="G2002" s="510"/>
      <c r="H2002" s="411"/>
      <c r="I2002" s="411"/>
      <c r="J2002" s="750" t="e">
        <f t="shared" si="16"/>
        <v>#DIV/0!</v>
      </c>
      <c r="K2002" s="412"/>
      <c r="L2002" s="412"/>
      <c r="M2002" s="682"/>
      <c r="N2002" s="171"/>
      <c r="O2002" s="171"/>
      <c r="P2002" s="169"/>
      <c r="Q2002" s="171"/>
      <c r="R2002" s="171"/>
      <c r="S2002" s="171"/>
      <c r="T2002" s="171"/>
      <c r="U2002" s="171"/>
      <c r="V2002" s="171"/>
      <c r="W2002" s="171"/>
      <c r="X2002" s="171"/>
      <c r="Y2002" s="171"/>
      <c r="Z2002" s="171"/>
      <c r="AA2002" s="171"/>
    </row>
    <row r="2003" spans="1:27" s="530" customFormat="1" hidden="1" x14ac:dyDescent="0.2">
      <c r="A2003" s="526"/>
      <c r="B2003" s="527"/>
      <c r="C2003" s="465"/>
      <c r="D2003" s="464"/>
      <c r="E2003" s="464"/>
      <c r="F2003" s="464"/>
      <c r="G2003" s="510"/>
      <c r="H2003" s="411"/>
      <c r="I2003" s="411"/>
      <c r="J2003" s="750" t="e">
        <f t="shared" si="16"/>
        <v>#DIV/0!</v>
      </c>
      <c r="K2003" s="412"/>
      <c r="L2003" s="412"/>
      <c r="M2003" s="682"/>
      <c r="N2003" s="171"/>
      <c r="O2003" s="171"/>
      <c r="P2003" s="169"/>
      <c r="Q2003" s="171"/>
      <c r="R2003" s="171"/>
      <c r="S2003" s="171"/>
      <c r="T2003" s="171"/>
      <c r="U2003" s="171"/>
      <c r="V2003" s="171"/>
      <c r="W2003" s="171"/>
      <c r="X2003" s="171"/>
      <c r="Y2003" s="171"/>
      <c r="Z2003" s="171"/>
      <c r="AA2003" s="171"/>
    </row>
    <row r="2004" spans="1:27" s="530" customFormat="1" hidden="1" x14ac:dyDescent="0.2">
      <c r="A2004" s="526"/>
      <c r="B2004" s="527"/>
      <c r="C2004" s="465"/>
      <c r="D2004" s="464"/>
      <c r="E2004" s="464"/>
      <c r="F2004" s="464"/>
      <c r="G2004" s="510"/>
      <c r="H2004" s="411"/>
      <c r="I2004" s="411"/>
      <c r="J2004" s="750" t="e">
        <f t="shared" si="16"/>
        <v>#DIV/0!</v>
      </c>
      <c r="K2004" s="412"/>
      <c r="L2004" s="412"/>
      <c r="M2004" s="682"/>
      <c r="N2004" s="171"/>
      <c r="O2004" s="171"/>
      <c r="P2004" s="169"/>
      <c r="Q2004" s="171"/>
      <c r="R2004" s="171"/>
      <c r="S2004" s="171"/>
      <c r="T2004" s="171"/>
      <c r="U2004" s="171"/>
      <c r="V2004" s="171"/>
      <c r="W2004" s="171"/>
      <c r="X2004" s="171"/>
      <c r="Y2004" s="171"/>
      <c r="Z2004" s="171"/>
      <c r="AA2004" s="171"/>
    </row>
    <row r="2005" spans="1:27" s="530" customFormat="1" hidden="1" x14ac:dyDescent="0.2">
      <c r="A2005" s="526"/>
      <c r="B2005" s="527"/>
      <c r="C2005" s="465"/>
      <c r="D2005" s="464"/>
      <c r="E2005" s="464"/>
      <c r="F2005" s="464"/>
      <c r="G2005" s="510"/>
      <c r="H2005" s="411"/>
      <c r="I2005" s="411"/>
      <c r="J2005" s="750" t="e">
        <f t="shared" si="16"/>
        <v>#DIV/0!</v>
      </c>
      <c r="K2005" s="412"/>
      <c r="L2005" s="412"/>
      <c r="M2005" s="682"/>
      <c r="N2005" s="171"/>
      <c r="O2005" s="171"/>
      <c r="P2005" s="169"/>
      <c r="Q2005" s="171"/>
      <c r="R2005" s="171"/>
      <c r="S2005" s="171"/>
      <c r="T2005" s="171"/>
      <c r="U2005" s="171"/>
      <c r="V2005" s="171"/>
      <c r="W2005" s="171"/>
      <c r="X2005" s="171"/>
      <c r="Y2005" s="171"/>
      <c r="Z2005" s="171"/>
      <c r="AA2005" s="171"/>
    </row>
    <row r="2006" spans="1:27" s="530" customFormat="1" hidden="1" x14ac:dyDescent="0.2">
      <c r="A2006" s="526"/>
      <c r="B2006" s="527"/>
      <c r="C2006" s="465"/>
      <c r="D2006" s="464"/>
      <c r="E2006" s="464"/>
      <c r="F2006" s="464"/>
      <c r="G2006" s="510"/>
      <c r="H2006" s="411"/>
      <c r="I2006" s="411"/>
      <c r="J2006" s="750" t="e">
        <f t="shared" si="16"/>
        <v>#DIV/0!</v>
      </c>
      <c r="K2006" s="412"/>
      <c r="L2006" s="412"/>
      <c r="M2006" s="682"/>
      <c r="N2006" s="171"/>
      <c r="O2006" s="171"/>
      <c r="P2006" s="169"/>
      <c r="Q2006" s="171"/>
      <c r="R2006" s="171"/>
      <c r="S2006" s="171"/>
      <c r="T2006" s="171"/>
      <c r="U2006" s="171"/>
      <c r="V2006" s="171"/>
      <c r="W2006" s="171"/>
      <c r="X2006" s="171"/>
      <c r="Y2006" s="171"/>
      <c r="Z2006" s="171"/>
      <c r="AA2006" s="171"/>
    </row>
    <row r="2007" spans="1:27" s="530" customFormat="1" hidden="1" x14ac:dyDescent="0.2">
      <c r="A2007" s="526"/>
      <c r="B2007" s="527"/>
      <c r="C2007" s="465"/>
      <c r="D2007" s="464"/>
      <c r="E2007" s="464"/>
      <c r="F2007" s="464"/>
      <c r="G2007" s="510"/>
      <c r="H2007" s="411"/>
      <c r="I2007" s="411"/>
      <c r="J2007" s="750" t="e">
        <f t="shared" si="16"/>
        <v>#DIV/0!</v>
      </c>
      <c r="K2007" s="412"/>
      <c r="L2007" s="412"/>
      <c r="M2007" s="682"/>
      <c r="N2007" s="171"/>
      <c r="O2007" s="171"/>
      <c r="P2007" s="169"/>
      <c r="Q2007" s="171"/>
      <c r="R2007" s="171"/>
      <c r="S2007" s="171"/>
      <c r="T2007" s="171"/>
      <c r="U2007" s="171"/>
      <c r="V2007" s="171"/>
      <c r="W2007" s="171"/>
      <c r="X2007" s="171"/>
      <c r="Y2007" s="171"/>
      <c r="Z2007" s="171"/>
      <c r="AA2007" s="171"/>
    </row>
    <row r="2008" spans="1:27" s="530" customFormat="1" hidden="1" x14ac:dyDescent="0.2">
      <c r="A2008" s="526"/>
      <c r="B2008" s="527"/>
      <c r="C2008" s="465"/>
      <c r="D2008" s="464"/>
      <c r="E2008" s="464"/>
      <c r="F2008" s="464"/>
      <c r="G2008" s="510"/>
      <c r="H2008" s="411"/>
      <c r="I2008" s="411"/>
      <c r="J2008" s="750" t="e">
        <f t="shared" si="16"/>
        <v>#DIV/0!</v>
      </c>
      <c r="K2008" s="412"/>
      <c r="L2008" s="412"/>
      <c r="M2008" s="682"/>
      <c r="N2008" s="171"/>
      <c r="O2008" s="171"/>
      <c r="P2008" s="169"/>
      <c r="Q2008" s="171"/>
      <c r="R2008" s="171"/>
      <c r="S2008" s="171"/>
      <c r="T2008" s="171"/>
      <c r="U2008" s="171"/>
      <c r="V2008" s="171"/>
      <c r="W2008" s="171"/>
      <c r="X2008" s="171"/>
      <c r="Y2008" s="171"/>
      <c r="Z2008" s="171"/>
      <c r="AA2008" s="171"/>
    </row>
    <row r="2009" spans="1:27" s="530" customFormat="1" hidden="1" x14ac:dyDescent="0.2">
      <c r="A2009" s="526"/>
      <c r="B2009" s="527"/>
      <c r="C2009" s="465"/>
      <c r="D2009" s="464"/>
      <c r="E2009" s="464"/>
      <c r="F2009" s="464"/>
      <c r="G2009" s="510"/>
      <c r="H2009" s="411"/>
      <c r="I2009" s="411"/>
      <c r="J2009" s="750" t="e">
        <f t="shared" si="16"/>
        <v>#DIV/0!</v>
      </c>
      <c r="K2009" s="412"/>
      <c r="L2009" s="412"/>
      <c r="M2009" s="682"/>
      <c r="N2009" s="171"/>
      <c r="O2009" s="171"/>
      <c r="P2009" s="169"/>
      <c r="Q2009" s="171"/>
      <c r="R2009" s="171"/>
      <c r="S2009" s="171"/>
      <c r="T2009" s="171"/>
      <c r="U2009" s="171"/>
      <c r="V2009" s="171"/>
      <c r="W2009" s="171"/>
      <c r="X2009" s="171"/>
      <c r="Y2009" s="171"/>
      <c r="Z2009" s="171"/>
      <c r="AA2009" s="171"/>
    </row>
    <row r="2010" spans="1:27" s="530" customFormat="1" hidden="1" x14ac:dyDescent="0.2">
      <c r="A2010" s="526"/>
      <c r="B2010" s="527"/>
      <c r="C2010" s="465"/>
      <c r="D2010" s="464"/>
      <c r="E2010" s="464"/>
      <c r="F2010" s="464"/>
      <c r="G2010" s="510"/>
      <c r="H2010" s="411"/>
      <c r="I2010" s="411"/>
      <c r="J2010" s="750" t="e">
        <f t="shared" si="16"/>
        <v>#DIV/0!</v>
      </c>
      <c r="K2010" s="412"/>
      <c r="L2010" s="412"/>
      <c r="M2010" s="682"/>
      <c r="N2010" s="171"/>
      <c r="O2010" s="171"/>
      <c r="P2010" s="169"/>
      <c r="Q2010" s="171"/>
      <c r="R2010" s="171"/>
      <c r="S2010" s="171"/>
      <c r="T2010" s="171"/>
      <c r="U2010" s="171"/>
      <c r="V2010" s="171"/>
      <c r="W2010" s="171"/>
      <c r="X2010" s="171"/>
      <c r="Y2010" s="171"/>
      <c r="Z2010" s="171"/>
      <c r="AA2010" s="171"/>
    </row>
    <row r="2011" spans="1:27" s="530" customFormat="1" hidden="1" x14ac:dyDescent="0.2">
      <c r="A2011" s="526"/>
      <c r="B2011" s="527"/>
      <c r="C2011" s="465"/>
      <c r="D2011" s="464"/>
      <c r="E2011" s="464"/>
      <c r="F2011" s="464"/>
      <c r="G2011" s="510"/>
      <c r="H2011" s="411"/>
      <c r="I2011" s="411"/>
      <c r="J2011" s="750" t="e">
        <f t="shared" si="16"/>
        <v>#DIV/0!</v>
      </c>
      <c r="K2011" s="412"/>
      <c r="L2011" s="412"/>
      <c r="M2011" s="682"/>
      <c r="N2011" s="171"/>
      <c r="O2011" s="171"/>
      <c r="P2011" s="169"/>
      <c r="Q2011" s="171"/>
      <c r="R2011" s="171"/>
      <c r="S2011" s="171"/>
      <c r="T2011" s="171"/>
      <c r="U2011" s="171"/>
      <c r="V2011" s="171"/>
      <c r="W2011" s="171"/>
      <c r="X2011" s="171"/>
      <c r="Y2011" s="171"/>
      <c r="Z2011" s="171"/>
      <c r="AA2011" s="171"/>
    </row>
    <row r="2012" spans="1:27" s="530" customFormat="1" hidden="1" x14ac:dyDescent="0.2">
      <c r="A2012" s="526"/>
      <c r="B2012" s="527"/>
      <c r="C2012" s="465"/>
      <c r="D2012" s="464"/>
      <c r="E2012" s="464"/>
      <c r="F2012" s="464"/>
      <c r="G2012" s="510"/>
      <c r="H2012" s="411"/>
      <c r="I2012" s="411"/>
      <c r="J2012" s="750" t="e">
        <f t="shared" si="16"/>
        <v>#DIV/0!</v>
      </c>
      <c r="K2012" s="412"/>
      <c r="L2012" s="412"/>
      <c r="M2012" s="682"/>
      <c r="N2012" s="171"/>
      <c r="O2012" s="171"/>
      <c r="P2012" s="169"/>
      <c r="Q2012" s="171"/>
      <c r="R2012" s="171"/>
      <c r="S2012" s="171"/>
      <c r="T2012" s="171"/>
      <c r="U2012" s="171"/>
      <c r="V2012" s="171"/>
      <c r="W2012" s="171"/>
      <c r="X2012" s="171"/>
      <c r="Y2012" s="171"/>
      <c r="Z2012" s="171"/>
      <c r="AA2012" s="171"/>
    </row>
    <row r="2013" spans="1:27" s="530" customFormat="1" hidden="1" x14ac:dyDescent="0.2">
      <c r="A2013" s="526"/>
      <c r="B2013" s="527"/>
      <c r="C2013" s="465"/>
      <c r="D2013" s="464"/>
      <c r="E2013" s="464"/>
      <c r="F2013" s="464"/>
      <c r="G2013" s="510"/>
      <c r="H2013" s="411"/>
      <c r="I2013" s="411"/>
      <c r="J2013" s="750" t="e">
        <f t="shared" si="16"/>
        <v>#DIV/0!</v>
      </c>
      <c r="K2013" s="412"/>
      <c r="L2013" s="412"/>
      <c r="M2013" s="682"/>
      <c r="N2013" s="171"/>
      <c r="O2013" s="171"/>
      <c r="P2013" s="169"/>
      <c r="Q2013" s="171"/>
      <c r="R2013" s="171"/>
      <c r="S2013" s="171"/>
      <c r="T2013" s="171"/>
      <c r="U2013" s="171"/>
      <c r="V2013" s="171"/>
      <c r="W2013" s="171"/>
      <c r="X2013" s="171"/>
      <c r="Y2013" s="171"/>
      <c r="Z2013" s="171"/>
      <c r="AA2013" s="171"/>
    </row>
    <row r="2014" spans="1:27" s="530" customFormat="1" hidden="1" x14ac:dyDescent="0.2">
      <c r="A2014" s="526"/>
      <c r="B2014" s="527"/>
      <c r="C2014" s="465"/>
      <c r="D2014" s="464"/>
      <c r="E2014" s="464"/>
      <c r="F2014" s="464"/>
      <c r="G2014" s="510"/>
      <c r="H2014" s="411"/>
      <c r="I2014" s="411"/>
      <c r="J2014" s="750" t="e">
        <f t="shared" si="16"/>
        <v>#DIV/0!</v>
      </c>
      <c r="K2014" s="412"/>
      <c r="L2014" s="412"/>
      <c r="M2014" s="682"/>
      <c r="N2014" s="171"/>
      <c r="O2014" s="171"/>
      <c r="P2014" s="169"/>
      <c r="Q2014" s="171"/>
      <c r="R2014" s="171"/>
      <c r="S2014" s="171"/>
      <c r="T2014" s="171"/>
      <c r="U2014" s="171"/>
      <c r="V2014" s="171"/>
      <c r="W2014" s="171"/>
      <c r="X2014" s="171"/>
      <c r="Y2014" s="171"/>
      <c r="Z2014" s="171"/>
      <c r="AA2014" s="171"/>
    </row>
    <row r="2015" spans="1:27" s="530" customFormat="1" hidden="1" x14ac:dyDescent="0.2">
      <c r="A2015" s="526"/>
      <c r="B2015" s="527"/>
      <c r="C2015" s="465"/>
      <c r="D2015" s="464"/>
      <c r="E2015" s="464"/>
      <c r="F2015" s="464"/>
      <c r="G2015" s="510"/>
      <c r="H2015" s="411"/>
      <c r="I2015" s="411"/>
      <c r="J2015" s="750" t="e">
        <f t="shared" si="16"/>
        <v>#DIV/0!</v>
      </c>
      <c r="K2015" s="412"/>
      <c r="L2015" s="412"/>
      <c r="M2015" s="682"/>
      <c r="N2015" s="171"/>
      <c r="O2015" s="171"/>
      <c r="P2015" s="169"/>
      <c r="Q2015" s="171"/>
      <c r="R2015" s="171"/>
      <c r="S2015" s="171"/>
      <c r="T2015" s="171"/>
      <c r="U2015" s="171"/>
      <c r="V2015" s="171"/>
      <c r="W2015" s="171"/>
      <c r="X2015" s="171"/>
      <c r="Y2015" s="171"/>
      <c r="Z2015" s="171"/>
      <c r="AA2015" s="171"/>
    </row>
    <row r="2016" spans="1:27" s="530" customFormat="1" hidden="1" x14ac:dyDescent="0.2">
      <c r="A2016" s="526"/>
      <c r="B2016" s="527"/>
      <c r="C2016" s="465"/>
      <c r="D2016" s="464"/>
      <c r="E2016" s="464"/>
      <c r="F2016" s="464"/>
      <c r="G2016" s="510"/>
      <c r="H2016" s="411"/>
      <c r="I2016" s="411"/>
      <c r="J2016" s="750" t="e">
        <f t="shared" si="16"/>
        <v>#DIV/0!</v>
      </c>
      <c r="K2016" s="412"/>
      <c r="L2016" s="412"/>
      <c r="M2016" s="682"/>
      <c r="N2016" s="171"/>
      <c r="O2016" s="171"/>
      <c r="P2016" s="169"/>
      <c r="Q2016" s="171"/>
      <c r="R2016" s="171"/>
      <c r="S2016" s="171"/>
      <c r="T2016" s="171"/>
      <c r="U2016" s="171"/>
      <c r="V2016" s="171"/>
      <c r="W2016" s="171"/>
      <c r="X2016" s="171"/>
      <c r="Y2016" s="171"/>
      <c r="Z2016" s="171"/>
      <c r="AA2016" s="171"/>
    </row>
    <row r="2017" spans="1:27" s="530" customFormat="1" hidden="1" x14ac:dyDescent="0.2">
      <c r="A2017" s="526"/>
      <c r="B2017" s="527"/>
      <c r="C2017" s="465"/>
      <c r="D2017" s="464"/>
      <c r="E2017" s="464"/>
      <c r="F2017" s="464"/>
      <c r="G2017" s="510"/>
      <c r="H2017" s="411"/>
      <c r="I2017" s="411"/>
      <c r="J2017" s="750" t="e">
        <f t="shared" si="16"/>
        <v>#DIV/0!</v>
      </c>
      <c r="K2017" s="412"/>
      <c r="L2017" s="412"/>
      <c r="M2017" s="682"/>
      <c r="N2017" s="171"/>
      <c r="O2017" s="171"/>
      <c r="P2017" s="169"/>
      <c r="Q2017" s="171"/>
      <c r="R2017" s="171"/>
      <c r="S2017" s="171"/>
      <c r="T2017" s="171"/>
      <c r="U2017" s="171"/>
      <c r="V2017" s="171"/>
      <c r="W2017" s="171"/>
      <c r="X2017" s="171"/>
      <c r="Y2017" s="171"/>
      <c r="Z2017" s="171"/>
      <c r="AA2017" s="171"/>
    </row>
    <row r="2018" spans="1:27" s="530" customFormat="1" hidden="1" x14ac:dyDescent="0.2">
      <c r="A2018" s="526"/>
      <c r="B2018" s="527"/>
      <c r="C2018" s="465"/>
      <c r="D2018" s="464"/>
      <c r="E2018" s="464"/>
      <c r="F2018" s="464"/>
      <c r="G2018" s="510"/>
      <c r="H2018" s="411"/>
      <c r="I2018" s="411"/>
      <c r="J2018" s="750" t="e">
        <f t="shared" si="16"/>
        <v>#DIV/0!</v>
      </c>
      <c r="K2018" s="412"/>
      <c r="L2018" s="412"/>
      <c r="M2018" s="682"/>
      <c r="N2018" s="171"/>
      <c r="O2018" s="171"/>
      <c r="P2018" s="169"/>
      <c r="Q2018" s="171"/>
      <c r="R2018" s="171"/>
      <c r="S2018" s="171"/>
      <c r="T2018" s="171"/>
      <c r="U2018" s="171"/>
      <c r="V2018" s="171"/>
      <c r="W2018" s="171"/>
      <c r="X2018" s="171"/>
      <c r="Y2018" s="171"/>
      <c r="Z2018" s="171"/>
      <c r="AA2018" s="171"/>
    </row>
    <row r="2019" spans="1:27" s="530" customFormat="1" hidden="1" x14ac:dyDescent="0.2">
      <c r="A2019" s="526"/>
      <c r="B2019" s="527"/>
      <c r="C2019" s="465"/>
      <c r="D2019" s="464"/>
      <c r="E2019" s="464"/>
      <c r="F2019" s="464"/>
      <c r="G2019" s="510"/>
      <c r="H2019" s="411"/>
      <c r="I2019" s="411"/>
      <c r="J2019" s="750" t="e">
        <f t="shared" si="16"/>
        <v>#DIV/0!</v>
      </c>
      <c r="K2019" s="412"/>
      <c r="L2019" s="412"/>
      <c r="M2019" s="682"/>
      <c r="N2019" s="171"/>
      <c r="O2019" s="171"/>
      <c r="P2019" s="169"/>
      <c r="Q2019" s="171"/>
      <c r="R2019" s="171"/>
      <c r="S2019" s="171"/>
      <c r="T2019" s="171"/>
      <c r="U2019" s="171"/>
      <c r="V2019" s="171"/>
      <c r="W2019" s="171"/>
      <c r="X2019" s="171"/>
      <c r="Y2019" s="171"/>
      <c r="Z2019" s="171"/>
      <c r="AA2019" s="171"/>
    </row>
    <row r="2020" spans="1:27" s="530" customFormat="1" hidden="1" x14ac:dyDescent="0.2">
      <c r="A2020" s="526"/>
      <c r="B2020" s="527"/>
      <c r="C2020" s="465"/>
      <c r="D2020" s="464"/>
      <c r="E2020" s="464"/>
      <c r="F2020" s="464"/>
      <c r="G2020" s="510"/>
      <c r="H2020" s="411"/>
      <c r="I2020" s="411"/>
      <c r="J2020" s="750" t="e">
        <f t="shared" si="16"/>
        <v>#DIV/0!</v>
      </c>
      <c r="K2020" s="412"/>
      <c r="L2020" s="412"/>
      <c r="M2020" s="682"/>
      <c r="N2020" s="171"/>
      <c r="O2020" s="171"/>
      <c r="P2020" s="169"/>
      <c r="Q2020" s="171"/>
      <c r="R2020" s="171"/>
      <c r="S2020" s="171"/>
      <c r="T2020" s="171"/>
      <c r="U2020" s="171"/>
      <c r="V2020" s="171"/>
      <c r="W2020" s="171"/>
      <c r="X2020" s="171"/>
      <c r="Y2020" s="171"/>
      <c r="Z2020" s="171"/>
      <c r="AA2020" s="171"/>
    </row>
    <row r="2021" spans="1:27" s="530" customFormat="1" hidden="1" x14ac:dyDescent="0.2">
      <c r="A2021" s="526"/>
      <c r="B2021" s="527"/>
      <c r="C2021" s="465"/>
      <c r="D2021" s="464"/>
      <c r="E2021" s="464"/>
      <c r="F2021" s="464"/>
      <c r="G2021" s="510"/>
      <c r="H2021" s="411"/>
      <c r="I2021" s="411"/>
      <c r="J2021" s="750" t="e">
        <f t="shared" si="16"/>
        <v>#DIV/0!</v>
      </c>
      <c r="K2021" s="412"/>
      <c r="L2021" s="412"/>
      <c r="M2021" s="682"/>
      <c r="N2021" s="171"/>
      <c r="O2021" s="171"/>
      <c r="P2021" s="169"/>
      <c r="Q2021" s="171"/>
      <c r="R2021" s="171"/>
      <c r="S2021" s="171"/>
      <c r="T2021" s="171"/>
      <c r="U2021" s="171"/>
      <c r="V2021" s="171"/>
      <c r="W2021" s="171"/>
      <c r="X2021" s="171"/>
      <c r="Y2021" s="171"/>
      <c r="Z2021" s="171"/>
      <c r="AA2021" s="171"/>
    </row>
    <row r="2022" spans="1:27" s="530" customFormat="1" hidden="1" x14ac:dyDescent="0.2">
      <c r="A2022" s="526"/>
      <c r="B2022" s="527"/>
      <c r="C2022" s="465"/>
      <c r="D2022" s="464"/>
      <c r="E2022" s="464"/>
      <c r="F2022" s="464"/>
      <c r="G2022" s="510"/>
      <c r="H2022" s="411"/>
      <c r="I2022" s="411"/>
      <c r="J2022" s="750" t="e">
        <f t="shared" si="16"/>
        <v>#DIV/0!</v>
      </c>
      <c r="K2022" s="412"/>
      <c r="L2022" s="412"/>
      <c r="M2022" s="682"/>
      <c r="N2022" s="171"/>
      <c r="O2022" s="171"/>
      <c r="P2022" s="169"/>
      <c r="Q2022" s="171"/>
      <c r="R2022" s="171"/>
      <c r="S2022" s="171"/>
      <c r="T2022" s="171"/>
      <c r="U2022" s="171"/>
      <c r="V2022" s="171"/>
      <c r="W2022" s="171"/>
      <c r="X2022" s="171"/>
      <c r="Y2022" s="171"/>
      <c r="Z2022" s="171"/>
      <c r="AA2022" s="171"/>
    </row>
    <row r="2023" spans="1:27" s="530" customFormat="1" hidden="1" x14ac:dyDescent="0.2">
      <c r="A2023" s="526"/>
      <c r="B2023" s="527"/>
      <c r="C2023" s="465"/>
      <c r="D2023" s="464"/>
      <c r="E2023" s="464"/>
      <c r="F2023" s="464"/>
      <c r="G2023" s="510"/>
      <c r="H2023" s="411"/>
      <c r="I2023" s="411"/>
      <c r="J2023" s="750" t="e">
        <f t="shared" si="16"/>
        <v>#DIV/0!</v>
      </c>
      <c r="K2023" s="412"/>
      <c r="L2023" s="412"/>
      <c r="M2023" s="682"/>
      <c r="N2023" s="171"/>
      <c r="O2023" s="171"/>
      <c r="P2023" s="169"/>
      <c r="Q2023" s="171"/>
      <c r="R2023" s="171"/>
      <c r="S2023" s="171"/>
      <c r="T2023" s="171"/>
      <c r="U2023" s="171"/>
      <c r="V2023" s="171"/>
      <c r="W2023" s="171"/>
      <c r="X2023" s="171"/>
      <c r="Y2023" s="171"/>
      <c r="Z2023" s="171"/>
      <c r="AA2023" s="171"/>
    </row>
    <row r="2024" spans="1:27" s="530" customFormat="1" hidden="1" x14ac:dyDescent="0.2">
      <c r="A2024" s="526"/>
      <c r="B2024" s="527"/>
      <c r="C2024" s="465"/>
      <c r="D2024" s="464"/>
      <c r="E2024" s="464"/>
      <c r="F2024" s="464"/>
      <c r="G2024" s="510"/>
      <c r="H2024" s="411"/>
      <c r="I2024" s="411"/>
      <c r="J2024" s="750" t="e">
        <f t="shared" si="16"/>
        <v>#DIV/0!</v>
      </c>
      <c r="K2024" s="412"/>
      <c r="L2024" s="412"/>
      <c r="M2024" s="682"/>
      <c r="N2024" s="171"/>
      <c r="O2024" s="171"/>
      <c r="P2024" s="169"/>
      <c r="Q2024" s="171"/>
      <c r="R2024" s="171"/>
      <c r="S2024" s="171"/>
      <c r="T2024" s="171"/>
      <c r="U2024" s="171"/>
      <c r="V2024" s="171"/>
      <c r="W2024" s="171"/>
      <c r="X2024" s="171"/>
      <c r="Y2024" s="171"/>
      <c r="Z2024" s="171"/>
      <c r="AA2024" s="171"/>
    </row>
    <row r="2025" spans="1:27" s="530" customFormat="1" hidden="1" x14ac:dyDescent="0.2">
      <c r="A2025" s="526"/>
      <c r="B2025" s="527"/>
      <c r="C2025" s="465"/>
      <c r="D2025" s="464"/>
      <c r="E2025" s="464"/>
      <c r="F2025" s="464"/>
      <c r="G2025" s="510"/>
      <c r="H2025" s="411"/>
      <c r="I2025" s="411"/>
      <c r="J2025" s="750" t="e">
        <f t="shared" si="16"/>
        <v>#DIV/0!</v>
      </c>
      <c r="K2025" s="412"/>
      <c r="L2025" s="412"/>
      <c r="M2025" s="682"/>
      <c r="N2025" s="171"/>
      <c r="O2025" s="171"/>
      <c r="P2025" s="169"/>
      <c r="Q2025" s="171"/>
      <c r="R2025" s="171"/>
      <c r="S2025" s="171"/>
      <c r="T2025" s="171"/>
      <c r="U2025" s="171"/>
      <c r="V2025" s="171"/>
      <c r="W2025" s="171"/>
      <c r="X2025" s="171"/>
      <c r="Y2025" s="171"/>
      <c r="Z2025" s="171"/>
      <c r="AA2025" s="171"/>
    </row>
    <row r="2026" spans="1:27" s="530" customFormat="1" hidden="1" x14ac:dyDescent="0.2">
      <c r="A2026" s="526"/>
      <c r="B2026" s="527"/>
      <c r="C2026" s="465"/>
      <c r="D2026" s="464"/>
      <c r="E2026" s="464"/>
      <c r="F2026" s="464"/>
      <c r="G2026" s="510"/>
      <c r="H2026" s="411"/>
      <c r="I2026" s="411"/>
      <c r="J2026" s="750" t="e">
        <f t="shared" si="16"/>
        <v>#DIV/0!</v>
      </c>
      <c r="K2026" s="412"/>
      <c r="L2026" s="412"/>
      <c r="M2026" s="682"/>
      <c r="N2026" s="171"/>
      <c r="O2026" s="171"/>
      <c r="P2026" s="169"/>
      <c r="Q2026" s="171"/>
      <c r="R2026" s="171"/>
      <c r="S2026" s="171"/>
      <c r="T2026" s="171"/>
      <c r="U2026" s="171"/>
      <c r="V2026" s="171"/>
      <c r="W2026" s="171"/>
      <c r="X2026" s="171"/>
      <c r="Y2026" s="171"/>
      <c r="Z2026" s="171"/>
      <c r="AA2026" s="171"/>
    </row>
    <row r="2027" spans="1:27" s="530" customFormat="1" hidden="1" x14ac:dyDescent="0.2">
      <c r="A2027" s="526"/>
      <c r="B2027" s="527"/>
      <c r="C2027" s="465"/>
      <c r="D2027" s="464"/>
      <c r="E2027" s="464"/>
      <c r="F2027" s="464"/>
      <c r="G2027" s="510"/>
      <c r="H2027" s="411"/>
      <c r="I2027" s="411"/>
      <c r="J2027" s="750" t="e">
        <f t="shared" si="16"/>
        <v>#DIV/0!</v>
      </c>
      <c r="K2027" s="412"/>
      <c r="L2027" s="412"/>
      <c r="M2027" s="682"/>
      <c r="N2027" s="171"/>
      <c r="O2027" s="171"/>
      <c r="P2027" s="169"/>
      <c r="Q2027" s="171"/>
      <c r="R2027" s="171"/>
      <c r="S2027" s="171"/>
      <c r="T2027" s="171"/>
      <c r="U2027" s="171"/>
      <c r="V2027" s="171"/>
      <c r="W2027" s="171"/>
      <c r="X2027" s="171"/>
      <c r="Y2027" s="171"/>
      <c r="Z2027" s="171"/>
      <c r="AA2027" s="171"/>
    </row>
    <row r="2028" spans="1:27" s="530" customFormat="1" hidden="1" x14ac:dyDescent="0.2">
      <c r="A2028" s="526"/>
      <c r="B2028" s="527"/>
      <c r="C2028" s="465"/>
      <c r="D2028" s="464"/>
      <c r="E2028" s="464"/>
      <c r="F2028" s="464"/>
      <c r="G2028" s="510"/>
      <c r="H2028" s="411"/>
      <c r="I2028" s="411"/>
      <c r="J2028" s="750" t="e">
        <f t="shared" si="16"/>
        <v>#DIV/0!</v>
      </c>
      <c r="K2028" s="412"/>
      <c r="L2028" s="412"/>
      <c r="M2028" s="682"/>
      <c r="N2028" s="171"/>
      <c r="O2028" s="171"/>
      <c r="P2028" s="169"/>
      <c r="Q2028" s="171"/>
      <c r="R2028" s="171"/>
      <c r="S2028" s="171"/>
      <c r="T2028" s="171"/>
      <c r="U2028" s="171"/>
      <c r="V2028" s="171"/>
      <c r="W2028" s="171"/>
      <c r="X2028" s="171"/>
      <c r="Y2028" s="171"/>
      <c r="Z2028" s="171"/>
      <c r="AA2028" s="171"/>
    </row>
    <row r="2029" spans="1:27" s="530" customFormat="1" hidden="1" x14ac:dyDescent="0.2">
      <c r="A2029" s="526"/>
      <c r="B2029" s="527"/>
      <c r="C2029" s="465"/>
      <c r="D2029" s="464"/>
      <c r="E2029" s="464"/>
      <c r="F2029" s="464"/>
      <c r="G2029" s="510"/>
      <c r="H2029" s="411"/>
      <c r="I2029" s="411"/>
      <c r="J2029" s="750" t="e">
        <f t="shared" si="16"/>
        <v>#DIV/0!</v>
      </c>
      <c r="K2029" s="412"/>
      <c r="L2029" s="412"/>
      <c r="M2029" s="682"/>
      <c r="N2029" s="171"/>
      <c r="O2029" s="171"/>
      <c r="P2029" s="169"/>
      <c r="Q2029" s="171"/>
      <c r="R2029" s="171"/>
      <c r="S2029" s="171"/>
      <c r="T2029" s="171"/>
      <c r="U2029" s="171"/>
      <c r="V2029" s="171"/>
      <c r="W2029" s="171"/>
      <c r="X2029" s="171"/>
      <c r="Y2029" s="171"/>
      <c r="Z2029" s="171"/>
      <c r="AA2029" s="171"/>
    </row>
    <row r="2030" spans="1:27" s="530" customFormat="1" hidden="1" x14ac:dyDescent="0.2">
      <c r="A2030" s="526"/>
      <c r="B2030" s="527"/>
      <c r="C2030" s="465"/>
      <c r="D2030" s="464"/>
      <c r="E2030" s="464"/>
      <c r="F2030" s="464"/>
      <c r="G2030" s="510"/>
      <c r="H2030" s="411"/>
      <c r="I2030" s="411"/>
      <c r="J2030" s="750" t="e">
        <f t="shared" si="16"/>
        <v>#DIV/0!</v>
      </c>
      <c r="K2030" s="412"/>
      <c r="L2030" s="412"/>
      <c r="M2030" s="682"/>
      <c r="N2030" s="171"/>
      <c r="O2030" s="171"/>
      <c r="P2030" s="169"/>
      <c r="Q2030" s="171"/>
      <c r="R2030" s="171"/>
      <c r="S2030" s="171"/>
      <c r="T2030" s="171"/>
      <c r="U2030" s="171"/>
      <c r="V2030" s="171"/>
      <c r="W2030" s="171"/>
      <c r="X2030" s="171"/>
      <c r="Y2030" s="171"/>
      <c r="Z2030" s="171"/>
      <c r="AA2030" s="171"/>
    </row>
    <row r="2031" spans="1:27" s="530" customFormat="1" hidden="1" x14ac:dyDescent="0.2">
      <c r="A2031" s="526"/>
      <c r="B2031" s="527"/>
      <c r="C2031" s="465"/>
      <c r="D2031" s="464"/>
      <c r="E2031" s="464"/>
      <c r="F2031" s="464"/>
      <c r="G2031" s="510"/>
      <c r="H2031" s="411"/>
      <c r="I2031" s="411"/>
      <c r="J2031" s="750" t="e">
        <f t="shared" si="16"/>
        <v>#DIV/0!</v>
      </c>
      <c r="K2031" s="412"/>
      <c r="L2031" s="412"/>
      <c r="M2031" s="682"/>
      <c r="N2031" s="171"/>
      <c r="O2031" s="171"/>
      <c r="P2031" s="169"/>
      <c r="Q2031" s="171"/>
      <c r="R2031" s="171"/>
      <c r="S2031" s="171"/>
      <c r="T2031" s="171"/>
      <c r="U2031" s="171"/>
      <c r="V2031" s="171"/>
      <c r="W2031" s="171"/>
      <c r="X2031" s="171"/>
      <c r="Y2031" s="171"/>
      <c r="Z2031" s="171"/>
      <c r="AA2031" s="171"/>
    </row>
    <row r="2032" spans="1:27" s="530" customFormat="1" hidden="1" x14ac:dyDescent="0.2">
      <c r="A2032" s="526"/>
      <c r="B2032" s="527"/>
      <c r="C2032" s="465"/>
      <c r="D2032" s="464"/>
      <c r="E2032" s="464"/>
      <c r="F2032" s="464"/>
      <c r="G2032" s="510"/>
      <c r="H2032" s="411"/>
      <c r="I2032" s="411"/>
      <c r="J2032" s="750" t="e">
        <f t="shared" si="16"/>
        <v>#DIV/0!</v>
      </c>
      <c r="K2032" s="412"/>
      <c r="L2032" s="412"/>
      <c r="M2032" s="682"/>
      <c r="N2032" s="171"/>
      <c r="O2032" s="171"/>
      <c r="P2032" s="169"/>
      <c r="Q2032" s="171"/>
      <c r="R2032" s="171"/>
      <c r="S2032" s="171"/>
      <c r="T2032" s="171"/>
      <c r="U2032" s="171"/>
      <c r="V2032" s="171"/>
      <c r="W2032" s="171"/>
      <c r="X2032" s="171"/>
      <c r="Y2032" s="171"/>
      <c r="Z2032" s="171"/>
      <c r="AA2032" s="171"/>
    </row>
    <row r="2033" spans="1:27" s="530" customFormat="1" hidden="1" x14ac:dyDescent="0.2">
      <c r="A2033" s="526"/>
      <c r="B2033" s="527"/>
      <c r="C2033" s="465"/>
      <c r="D2033" s="464"/>
      <c r="E2033" s="464"/>
      <c r="F2033" s="464"/>
      <c r="G2033" s="510"/>
      <c r="H2033" s="411"/>
      <c r="I2033" s="411"/>
      <c r="J2033" s="750" t="e">
        <f t="shared" si="16"/>
        <v>#DIV/0!</v>
      </c>
      <c r="K2033" s="412"/>
      <c r="L2033" s="412"/>
      <c r="M2033" s="682"/>
      <c r="N2033" s="171"/>
      <c r="O2033" s="171"/>
      <c r="P2033" s="169"/>
      <c r="Q2033" s="171"/>
      <c r="R2033" s="171"/>
      <c r="S2033" s="171"/>
      <c r="T2033" s="171"/>
      <c r="U2033" s="171"/>
      <c r="V2033" s="171"/>
      <c r="W2033" s="171"/>
      <c r="X2033" s="171"/>
      <c r="Y2033" s="171"/>
      <c r="Z2033" s="171"/>
      <c r="AA2033" s="171"/>
    </row>
    <row r="2034" spans="1:27" s="530" customFormat="1" hidden="1" x14ac:dyDescent="0.2">
      <c r="A2034" s="526"/>
      <c r="B2034" s="527"/>
      <c r="C2034" s="465"/>
      <c r="D2034" s="464"/>
      <c r="E2034" s="464"/>
      <c r="F2034" s="464"/>
      <c r="G2034" s="510"/>
      <c r="H2034" s="411"/>
      <c r="I2034" s="411"/>
      <c r="J2034" s="750" t="e">
        <f t="shared" si="16"/>
        <v>#DIV/0!</v>
      </c>
      <c r="K2034" s="412"/>
      <c r="L2034" s="412"/>
      <c r="M2034" s="682"/>
      <c r="N2034" s="171"/>
      <c r="O2034" s="171"/>
      <c r="P2034" s="169"/>
      <c r="Q2034" s="171"/>
      <c r="R2034" s="171"/>
      <c r="S2034" s="171"/>
      <c r="T2034" s="171"/>
      <c r="U2034" s="171"/>
      <c r="V2034" s="171"/>
      <c r="W2034" s="171"/>
      <c r="X2034" s="171"/>
      <c r="Y2034" s="171"/>
      <c r="Z2034" s="171"/>
      <c r="AA2034" s="171"/>
    </row>
    <row r="2035" spans="1:27" s="530" customFormat="1" hidden="1" x14ac:dyDescent="0.2">
      <c r="A2035" s="526"/>
      <c r="B2035" s="527"/>
      <c r="C2035" s="465"/>
      <c r="D2035" s="464"/>
      <c r="E2035" s="464"/>
      <c r="F2035" s="464"/>
      <c r="G2035" s="510"/>
      <c r="H2035" s="411"/>
      <c r="I2035" s="411"/>
      <c r="J2035" s="750" t="e">
        <f t="shared" si="16"/>
        <v>#DIV/0!</v>
      </c>
      <c r="K2035" s="412"/>
      <c r="L2035" s="412"/>
      <c r="M2035" s="682"/>
      <c r="N2035" s="171"/>
      <c r="O2035" s="171"/>
      <c r="P2035" s="169"/>
      <c r="Q2035" s="171"/>
      <c r="R2035" s="171"/>
      <c r="S2035" s="171"/>
      <c r="T2035" s="171"/>
      <c r="U2035" s="171"/>
      <c r="V2035" s="171"/>
      <c r="W2035" s="171"/>
      <c r="X2035" s="171"/>
      <c r="Y2035" s="171"/>
      <c r="Z2035" s="171"/>
      <c r="AA2035" s="171"/>
    </row>
    <row r="2036" spans="1:27" s="530" customFormat="1" hidden="1" x14ac:dyDescent="0.2">
      <c r="A2036" s="526"/>
      <c r="B2036" s="527"/>
      <c r="C2036" s="465"/>
      <c r="D2036" s="464"/>
      <c r="E2036" s="464"/>
      <c r="F2036" s="464"/>
      <c r="G2036" s="510"/>
      <c r="H2036" s="411"/>
      <c r="I2036" s="411"/>
      <c r="J2036" s="750" t="e">
        <f t="shared" si="16"/>
        <v>#DIV/0!</v>
      </c>
      <c r="K2036" s="412"/>
      <c r="L2036" s="412"/>
      <c r="M2036" s="682"/>
      <c r="N2036" s="171"/>
      <c r="O2036" s="171"/>
      <c r="P2036" s="169"/>
      <c r="Q2036" s="171"/>
      <c r="R2036" s="171"/>
      <c r="S2036" s="171"/>
      <c r="T2036" s="171"/>
      <c r="U2036" s="171"/>
      <c r="V2036" s="171"/>
      <c r="W2036" s="171"/>
      <c r="X2036" s="171"/>
      <c r="Y2036" s="171"/>
      <c r="Z2036" s="171"/>
      <c r="AA2036" s="171"/>
    </row>
    <row r="2037" spans="1:27" s="530" customFormat="1" hidden="1" x14ac:dyDescent="0.2">
      <c r="A2037" s="526"/>
      <c r="B2037" s="527"/>
      <c r="C2037" s="465"/>
      <c r="D2037" s="464"/>
      <c r="E2037" s="464"/>
      <c r="F2037" s="464"/>
      <c r="G2037" s="510"/>
      <c r="H2037" s="411"/>
      <c r="I2037" s="411"/>
      <c r="J2037" s="750" t="e">
        <f t="shared" si="16"/>
        <v>#DIV/0!</v>
      </c>
      <c r="K2037" s="412"/>
      <c r="L2037" s="412"/>
      <c r="M2037" s="682"/>
      <c r="N2037" s="171"/>
      <c r="O2037" s="171"/>
      <c r="P2037" s="169"/>
      <c r="Q2037" s="171"/>
      <c r="R2037" s="171"/>
      <c r="S2037" s="171"/>
      <c r="T2037" s="171"/>
      <c r="U2037" s="171"/>
      <c r="V2037" s="171"/>
      <c r="W2037" s="171"/>
      <c r="X2037" s="171"/>
      <c r="Y2037" s="171"/>
      <c r="Z2037" s="171"/>
      <c r="AA2037" s="171"/>
    </row>
    <row r="2038" spans="1:27" s="530" customFormat="1" hidden="1" x14ac:dyDescent="0.2">
      <c r="A2038" s="526"/>
      <c r="B2038" s="527"/>
      <c r="C2038" s="465"/>
      <c r="D2038" s="464"/>
      <c r="E2038" s="464"/>
      <c r="F2038" s="464"/>
      <c r="G2038" s="510"/>
      <c r="H2038" s="411"/>
      <c r="I2038" s="411"/>
      <c r="J2038" s="750" t="e">
        <f t="shared" si="16"/>
        <v>#DIV/0!</v>
      </c>
      <c r="K2038" s="412"/>
      <c r="L2038" s="412"/>
      <c r="M2038" s="682"/>
      <c r="N2038" s="171"/>
      <c r="O2038" s="171"/>
      <c r="P2038" s="169"/>
      <c r="Q2038" s="171"/>
      <c r="R2038" s="171"/>
      <c r="S2038" s="171"/>
      <c r="T2038" s="171"/>
      <c r="U2038" s="171"/>
      <c r="V2038" s="171"/>
      <c r="W2038" s="171"/>
      <c r="X2038" s="171"/>
      <c r="Y2038" s="171"/>
      <c r="Z2038" s="171"/>
      <c r="AA2038" s="171"/>
    </row>
    <row r="2039" spans="1:27" s="530" customFormat="1" hidden="1" x14ac:dyDescent="0.2">
      <c r="A2039" s="526"/>
      <c r="B2039" s="527"/>
      <c r="C2039" s="465"/>
      <c r="D2039" s="464"/>
      <c r="E2039" s="464"/>
      <c r="F2039" s="464"/>
      <c r="G2039" s="510"/>
      <c r="H2039" s="411"/>
      <c r="I2039" s="411"/>
      <c r="J2039" s="750" t="e">
        <f t="shared" si="16"/>
        <v>#DIV/0!</v>
      </c>
      <c r="K2039" s="412"/>
      <c r="L2039" s="412"/>
      <c r="M2039" s="682"/>
      <c r="N2039" s="171"/>
      <c r="O2039" s="171"/>
      <c r="P2039" s="169"/>
      <c r="Q2039" s="171"/>
      <c r="R2039" s="171"/>
      <c r="S2039" s="171"/>
      <c r="T2039" s="171"/>
      <c r="U2039" s="171"/>
      <c r="V2039" s="171"/>
      <c r="W2039" s="171"/>
      <c r="X2039" s="171"/>
      <c r="Y2039" s="171"/>
      <c r="Z2039" s="171"/>
      <c r="AA2039" s="171"/>
    </row>
    <row r="2040" spans="1:27" s="530" customFormat="1" hidden="1" x14ac:dyDescent="0.2">
      <c r="A2040" s="526"/>
      <c r="B2040" s="527"/>
      <c r="C2040" s="465"/>
      <c r="D2040" s="464"/>
      <c r="E2040" s="464"/>
      <c r="F2040" s="464"/>
      <c r="G2040" s="510"/>
      <c r="H2040" s="411"/>
      <c r="I2040" s="411"/>
      <c r="J2040" s="750" t="e">
        <f t="shared" si="16"/>
        <v>#DIV/0!</v>
      </c>
      <c r="K2040" s="412"/>
      <c r="L2040" s="412"/>
      <c r="M2040" s="682"/>
      <c r="N2040" s="171"/>
      <c r="O2040" s="171"/>
      <c r="P2040" s="169"/>
      <c r="Q2040" s="171"/>
      <c r="R2040" s="171"/>
      <c r="S2040" s="171"/>
      <c r="T2040" s="171"/>
      <c r="U2040" s="171"/>
      <c r="V2040" s="171"/>
      <c r="W2040" s="171"/>
      <c r="X2040" s="171"/>
      <c r="Y2040" s="171"/>
      <c r="Z2040" s="171"/>
      <c r="AA2040" s="171"/>
    </row>
    <row r="2041" spans="1:27" s="530" customFormat="1" hidden="1" x14ac:dyDescent="0.2">
      <c r="A2041" s="526"/>
      <c r="B2041" s="527"/>
      <c r="C2041" s="465"/>
      <c r="D2041" s="464"/>
      <c r="E2041" s="464"/>
      <c r="F2041" s="464"/>
      <c r="G2041" s="510"/>
      <c r="H2041" s="411"/>
      <c r="I2041" s="411"/>
      <c r="J2041" s="750" t="e">
        <f t="shared" si="16"/>
        <v>#DIV/0!</v>
      </c>
      <c r="K2041" s="412"/>
      <c r="L2041" s="412"/>
      <c r="M2041" s="682"/>
      <c r="N2041" s="171"/>
      <c r="O2041" s="171"/>
      <c r="P2041" s="169"/>
      <c r="Q2041" s="171"/>
      <c r="R2041" s="171"/>
      <c r="S2041" s="171"/>
      <c r="T2041" s="171"/>
      <c r="U2041" s="171"/>
      <c r="V2041" s="171"/>
      <c r="W2041" s="171"/>
      <c r="X2041" s="171"/>
      <c r="Y2041" s="171"/>
      <c r="Z2041" s="171"/>
      <c r="AA2041" s="171"/>
    </row>
    <row r="2042" spans="1:27" s="530" customFormat="1" hidden="1" x14ac:dyDescent="0.2">
      <c r="A2042" s="526"/>
      <c r="B2042" s="527"/>
      <c r="C2042" s="465"/>
      <c r="D2042" s="464"/>
      <c r="E2042" s="464"/>
      <c r="F2042" s="464"/>
      <c r="G2042" s="510"/>
      <c r="H2042" s="411"/>
      <c r="I2042" s="411"/>
      <c r="J2042" s="750" t="e">
        <f t="shared" si="16"/>
        <v>#DIV/0!</v>
      </c>
      <c r="K2042" s="412"/>
      <c r="L2042" s="412"/>
      <c r="M2042" s="682"/>
      <c r="N2042" s="171"/>
      <c r="O2042" s="171"/>
      <c r="P2042" s="169"/>
      <c r="Q2042" s="171"/>
      <c r="R2042" s="171"/>
      <c r="S2042" s="171"/>
      <c r="T2042" s="171"/>
      <c r="U2042" s="171"/>
      <c r="V2042" s="171"/>
      <c r="W2042" s="171"/>
      <c r="X2042" s="171"/>
      <c r="Y2042" s="171"/>
      <c r="Z2042" s="171"/>
      <c r="AA2042" s="171"/>
    </row>
    <row r="2043" spans="1:27" s="530" customFormat="1" hidden="1" x14ac:dyDescent="0.2">
      <c r="A2043" s="526"/>
      <c r="B2043" s="527"/>
      <c r="C2043" s="465"/>
      <c r="D2043" s="464"/>
      <c r="E2043" s="464"/>
      <c r="F2043" s="464"/>
      <c r="G2043" s="510"/>
      <c r="H2043" s="411"/>
      <c r="I2043" s="411"/>
      <c r="J2043" s="750" t="e">
        <f t="shared" si="16"/>
        <v>#DIV/0!</v>
      </c>
      <c r="K2043" s="412"/>
      <c r="L2043" s="412"/>
      <c r="M2043" s="682"/>
      <c r="N2043" s="171"/>
      <c r="O2043" s="171"/>
      <c r="P2043" s="169"/>
      <c r="Q2043" s="171"/>
      <c r="R2043" s="171"/>
      <c r="S2043" s="171"/>
      <c r="T2043" s="171"/>
      <c r="U2043" s="171"/>
      <c r="V2043" s="171"/>
      <c r="W2043" s="171"/>
      <c r="X2043" s="171"/>
      <c r="Y2043" s="171"/>
      <c r="Z2043" s="171"/>
      <c r="AA2043" s="171"/>
    </row>
    <row r="2044" spans="1:27" s="530" customFormat="1" hidden="1" x14ac:dyDescent="0.2">
      <c r="A2044" s="526"/>
      <c r="B2044" s="527"/>
      <c r="C2044" s="465"/>
      <c r="D2044" s="464"/>
      <c r="E2044" s="464"/>
      <c r="F2044" s="464"/>
      <c r="G2044" s="510"/>
      <c r="H2044" s="411"/>
      <c r="I2044" s="411"/>
      <c r="J2044" s="750" t="e">
        <f t="shared" si="16"/>
        <v>#DIV/0!</v>
      </c>
      <c r="K2044" s="412"/>
      <c r="L2044" s="412"/>
      <c r="M2044" s="682"/>
      <c r="N2044" s="171"/>
      <c r="O2044" s="171"/>
      <c r="P2044" s="169"/>
      <c r="Q2044" s="171"/>
      <c r="R2044" s="171"/>
      <c r="S2044" s="171"/>
      <c r="T2044" s="171"/>
      <c r="U2044" s="171"/>
      <c r="V2044" s="171"/>
      <c r="W2044" s="171"/>
      <c r="X2044" s="171"/>
      <c r="Y2044" s="171"/>
      <c r="Z2044" s="171"/>
      <c r="AA2044" s="171"/>
    </row>
    <row r="2045" spans="1:27" s="530" customFormat="1" hidden="1" x14ac:dyDescent="0.2">
      <c r="A2045" s="526"/>
      <c r="B2045" s="527"/>
      <c r="C2045" s="465"/>
      <c r="D2045" s="464"/>
      <c r="E2045" s="464"/>
      <c r="F2045" s="464"/>
      <c r="G2045" s="510"/>
      <c r="H2045" s="411"/>
      <c r="I2045" s="411"/>
      <c r="J2045" s="750" t="e">
        <f t="shared" si="16"/>
        <v>#DIV/0!</v>
      </c>
      <c r="K2045" s="412"/>
      <c r="L2045" s="412"/>
      <c r="M2045" s="682"/>
      <c r="N2045" s="171"/>
      <c r="O2045" s="171"/>
      <c r="P2045" s="169"/>
      <c r="Q2045" s="171"/>
      <c r="R2045" s="171"/>
      <c r="S2045" s="171"/>
      <c r="T2045" s="171"/>
      <c r="U2045" s="171"/>
      <c r="V2045" s="171"/>
      <c r="W2045" s="171"/>
      <c r="X2045" s="171"/>
      <c r="Y2045" s="171"/>
      <c r="Z2045" s="171"/>
      <c r="AA2045" s="171"/>
    </row>
    <row r="2046" spans="1:27" s="530" customFormat="1" hidden="1" x14ac:dyDescent="0.2">
      <c r="A2046" s="526"/>
      <c r="B2046" s="527"/>
      <c r="C2046" s="465"/>
      <c r="D2046" s="464"/>
      <c r="E2046" s="464"/>
      <c r="F2046" s="464"/>
      <c r="G2046" s="510"/>
      <c r="H2046" s="411"/>
      <c r="I2046" s="411"/>
      <c r="J2046" s="750" t="e">
        <f t="shared" si="16"/>
        <v>#DIV/0!</v>
      </c>
      <c r="K2046" s="412"/>
      <c r="L2046" s="412"/>
      <c r="M2046" s="682"/>
      <c r="N2046" s="171"/>
      <c r="O2046" s="171"/>
      <c r="P2046" s="169"/>
      <c r="Q2046" s="171"/>
      <c r="R2046" s="171"/>
      <c r="S2046" s="171"/>
      <c r="T2046" s="171"/>
      <c r="U2046" s="171"/>
      <c r="V2046" s="171"/>
      <c r="W2046" s="171"/>
      <c r="X2046" s="171"/>
      <c r="Y2046" s="171"/>
      <c r="Z2046" s="171"/>
      <c r="AA2046" s="171"/>
    </row>
    <row r="2047" spans="1:27" s="530" customFormat="1" hidden="1" x14ac:dyDescent="0.2">
      <c r="A2047" s="526"/>
      <c r="B2047" s="527"/>
      <c r="C2047" s="465"/>
      <c r="D2047" s="464"/>
      <c r="E2047" s="464"/>
      <c r="F2047" s="464"/>
      <c r="G2047" s="510"/>
      <c r="H2047" s="411"/>
      <c r="I2047" s="411"/>
      <c r="J2047" s="750" t="e">
        <f t="shared" si="16"/>
        <v>#DIV/0!</v>
      </c>
      <c r="K2047" s="412"/>
      <c r="L2047" s="412"/>
      <c r="M2047" s="682"/>
      <c r="N2047" s="171"/>
      <c r="O2047" s="171"/>
      <c r="P2047" s="169"/>
      <c r="Q2047" s="171"/>
      <c r="R2047" s="171"/>
      <c r="S2047" s="171"/>
      <c r="T2047" s="171"/>
      <c r="U2047" s="171"/>
      <c r="V2047" s="171"/>
      <c r="W2047" s="171"/>
      <c r="X2047" s="171"/>
      <c r="Y2047" s="171"/>
      <c r="Z2047" s="171"/>
      <c r="AA2047" s="171"/>
    </row>
    <row r="2048" spans="1:27" s="530" customFormat="1" hidden="1" x14ac:dyDescent="0.2">
      <c r="A2048" s="526"/>
      <c r="B2048" s="527"/>
      <c r="C2048" s="465"/>
      <c r="D2048" s="464"/>
      <c r="E2048" s="464"/>
      <c r="F2048" s="464"/>
      <c r="G2048" s="510"/>
      <c r="H2048" s="411"/>
      <c r="I2048" s="411"/>
      <c r="J2048" s="750" t="e">
        <f t="shared" si="16"/>
        <v>#DIV/0!</v>
      </c>
      <c r="K2048" s="412"/>
      <c r="L2048" s="412"/>
      <c r="M2048" s="682"/>
      <c r="N2048" s="171"/>
      <c r="O2048" s="171"/>
      <c r="P2048" s="169"/>
      <c r="Q2048" s="171"/>
      <c r="R2048" s="171"/>
      <c r="S2048" s="171"/>
      <c r="T2048" s="171"/>
      <c r="U2048" s="171"/>
      <c r="V2048" s="171"/>
      <c r="W2048" s="171"/>
      <c r="X2048" s="171"/>
      <c r="Y2048" s="171"/>
      <c r="Z2048" s="171"/>
      <c r="AA2048" s="171"/>
    </row>
    <row r="2049" spans="1:27" s="530" customFormat="1" hidden="1" x14ac:dyDescent="0.2">
      <c r="A2049" s="526"/>
      <c r="B2049" s="527"/>
      <c r="C2049" s="465"/>
      <c r="D2049" s="464"/>
      <c r="E2049" s="464"/>
      <c r="F2049" s="464"/>
      <c r="G2049" s="510"/>
      <c r="H2049" s="411"/>
      <c r="I2049" s="411"/>
      <c r="J2049" s="750" t="e">
        <f t="shared" si="16"/>
        <v>#DIV/0!</v>
      </c>
      <c r="K2049" s="412"/>
      <c r="L2049" s="412"/>
      <c r="M2049" s="682"/>
      <c r="N2049" s="171"/>
      <c r="O2049" s="171"/>
      <c r="P2049" s="169"/>
      <c r="Q2049" s="171"/>
      <c r="R2049" s="171"/>
      <c r="S2049" s="171"/>
      <c r="T2049" s="171"/>
      <c r="U2049" s="171"/>
      <c r="V2049" s="171"/>
      <c r="W2049" s="171"/>
      <c r="X2049" s="171"/>
      <c r="Y2049" s="171"/>
      <c r="Z2049" s="171"/>
      <c r="AA2049" s="171"/>
    </row>
    <row r="2050" spans="1:27" s="530" customFormat="1" hidden="1" x14ac:dyDescent="0.2">
      <c r="A2050" s="526"/>
      <c r="B2050" s="527"/>
      <c r="C2050" s="465"/>
      <c r="D2050" s="464"/>
      <c r="E2050" s="464"/>
      <c r="F2050" s="464"/>
      <c r="G2050" s="510"/>
      <c r="H2050" s="411"/>
      <c r="I2050" s="411"/>
      <c r="J2050" s="750" t="e">
        <f t="shared" si="16"/>
        <v>#DIV/0!</v>
      </c>
      <c r="K2050" s="412"/>
      <c r="L2050" s="412"/>
      <c r="M2050" s="682"/>
      <c r="N2050" s="171"/>
      <c r="O2050" s="171"/>
      <c r="P2050" s="169"/>
      <c r="Q2050" s="171"/>
      <c r="R2050" s="171"/>
      <c r="S2050" s="171"/>
      <c r="T2050" s="171"/>
      <c r="U2050" s="171"/>
      <c r="V2050" s="171"/>
      <c r="W2050" s="171"/>
      <c r="X2050" s="171"/>
      <c r="Y2050" s="171"/>
      <c r="Z2050" s="171"/>
      <c r="AA2050" s="171"/>
    </row>
    <row r="2051" spans="1:27" s="530" customFormat="1" hidden="1" x14ac:dyDescent="0.2">
      <c r="A2051" s="526"/>
      <c r="B2051" s="527"/>
      <c r="C2051" s="465"/>
      <c r="D2051" s="464"/>
      <c r="E2051" s="464"/>
      <c r="F2051" s="464"/>
      <c r="G2051" s="507"/>
      <c r="H2051" s="397"/>
      <c r="I2051" s="397"/>
      <c r="J2051" s="750" t="e">
        <f t="shared" si="16"/>
        <v>#DIV/0!</v>
      </c>
      <c r="K2051" s="398"/>
      <c r="L2051" s="398"/>
      <c r="M2051" s="682"/>
      <c r="N2051" s="171"/>
      <c r="O2051" s="171"/>
      <c r="P2051" s="169"/>
      <c r="Q2051" s="171"/>
      <c r="R2051" s="171"/>
      <c r="S2051" s="171"/>
      <c r="T2051" s="171"/>
      <c r="U2051" s="171"/>
      <c r="V2051" s="171"/>
      <c r="W2051" s="171"/>
      <c r="X2051" s="171"/>
      <c r="Y2051" s="171"/>
      <c r="Z2051" s="171"/>
      <c r="AA2051" s="171"/>
    </row>
    <row r="2052" spans="1:27" s="530" customFormat="1" hidden="1" x14ac:dyDescent="0.2">
      <c r="A2052" s="526"/>
      <c r="B2052" s="527"/>
      <c r="C2052" s="542" t="s">
        <v>4137</v>
      </c>
      <c r="D2052" s="224"/>
      <c r="E2052" s="502"/>
      <c r="F2052" s="502"/>
      <c r="G2052" s="550" t="s">
        <v>4138</v>
      </c>
      <c r="H2052" s="397"/>
      <c r="I2052" s="397"/>
      <c r="J2052" s="750" t="e">
        <f t="shared" si="16"/>
        <v>#DIV/0!</v>
      </c>
      <c r="K2052" s="398"/>
      <c r="L2052" s="398"/>
      <c r="M2052" s="682"/>
      <c r="N2052" s="171"/>
      <c r="O2052" s="171"/>
      <c r="P2052" s="169"/>
      <c r="Q2052" s="171"/>
      <c r="R2052" s="171"/>
      <c r="S2052" s="171"/>
      <c r="T2052" s="171"/>
      <c r="U2052" s="171"/>
      <c r="V2052" s="171"/>
      <c r="W2052" s="171"/>
      <c r="X2052" s="171"/>
      <c r="Y2052" s="171"/>
      <c r="Z2052" s="171"/>
      <c r="AA2052" s="171"/>
    </row>
    <row r="2053" spans="1:27" s="530" customFormat="1" hidden="1" x14ac:dyDescent="0.2">
      <c r="A2053" s="526"/>
      <c r="B2053" s="527"/>
      <c r="C2053" s="465"/>
      <c r="D2053" s="492">
        <v>170</v>
      </c>
      <c r="E2053" s="492"/>
      <c r="F2053" s="492"/>
      <c r="G2053" s="551" t="s">
        <v>4138</v>
      </c>
      <c r="H2053" s="397"/>
      <c r="I2053" s="397"/>
      <c r="J2053" s="750" t="e">
        <f t="shared" si="16"/>
        <v>#DIV/0!</v>
      </c>
      <c r="K2053" s="398"/>
      <c r="L2053" s="398"/>
      <c r="M2053" s="682"/>
      <c r="N2053" s="171"/>
      <c r="O2053" s="171"/>
      <c r="P2053" s="169"/>
      <c r="Q2053" s="171"/>
      <c r="R2053" s="171"/>
      <c r="S2053" s="171"/>
      <c r="T2053" s="171"/>
      <c r="U2053" s="171"/>
      <c r="V2053" s="171"/>
      <c r="W2053" s="171"/>
      <c r="X2053" s="171"/>
      <c r="Y2053" s="171"/>
      <c r="Z2053" s="171"/>
      <c r="AA2053" s="171"/>
    </row>
    <row r="2054" spans="1:27" s="530" customFormat="1" hidden="1" x14ac:dyDescent="0.2">
      <c r="A2054" s="526"/>
      <c r="B2054" s="527"/>
      <c r="C2054" s="465"/>
      <c r="D2054" s="464"/>
      <c r="E2054" s="464"/>
      <c r="F2054" s="494">
        <v>411</v>
      </c>
      <c r="G2054" s="495" t="s">
        <v>4167</v>
      </c>
      <c r="H2054" s="397"/>
      <c r="I2054" s="397"/>
      <c r="J2054" s="750" t="e">
        <f t="shared" si="16"/>
        <v>#DIV/0!</v>
      </c>
      <c r="K2054" s="398"/>
      <c r="L2054" s="398"/>
      <c r="M2054" s="682"/>
      <c r="N2054" s="171"/>
      <c r="O2054" s="171"/>
      <c r="P2054" s="169"/>
      <c r="Q2054" s="171"/>
      <c r="R2054" s="171"/>
      <c r="S2054" s="171"/>
      <c r="T2054" s="171"/>
      <c r="U2054" s="171"/>
      <c r="V2054" s="171"/>
      <c r="W2054" s="171"/>
      <c r="X2054" s="171"/>
      <c r="Y2054" s="171"/>
      <c r="Z2054" s="171"/>
      <c r="AA2054" s="171"/>
    </row>
    <row r="2055" spans="1:27" s="530" customFormat="1" hidden="1" x14ac:dyDescent="0.2">
      <c r="A2055" s="526"/>
      <c r="B2055" s="527"/>
      <c r="C2055" s="465"/>
      <c r="D2055" s="464"/>
      <c r="E2055" s="464"/>
      <c r="F2055" s="494">
        <v>412</v>
      </c>
      <c r="G2055" s="496" t="s">
        <v>3764</v>
      </c>
      <c r="H2055" s="397"/>
      <c r="I2055" s="397"/>
      <c r="J2055" s="750" t="e">
        <f t="shared" si="16"/>
        <v>#DIV/0!</v>
      </c>
      <c r="K2055" s="398"/>
      <c r="L2055" s="398"/>
      <c r="M2055" s="682"/>
      <c r="N2055" s="171"/>
      <c r="O2055" s="171"/>
      <c r="P2055" s="169"/>
      <c r="Q2055" s="171"/>
      <c r="R2055" s="171"/>
      <c r="S2055" s="171"/>
      <c r="T2055" s="171"/>
      <c r="U2055" s="171"/>
      <c r="V2055" s="171"/>
      <c r="W2055" s="171"/>
      <c r="X2055" s="171"/>
      <c r="Y2055" s="171"/>
      <c r="Z2055" s="171"/>
      <c r="AA2055" s="171"/>
    </row>
    <row r="2056" spans="1:27" s="530" customFormat="1" hidden="1" x14ac:dyDescent="0.2">
      <c r="A2056" s="526"/>
      <c r="B2056" s="527"/>
      <c r="C2056" s="465"/>
      <c r="D2056" s="464"/>
      <c r="E2056" s="464"/>
      <c r="F2056" s="494">
        <v>413</v>
      </c>
      <c r="G2056" s="495" t="s">
        <v>4168</v>
      </c>
      <c r="H2056" s="397"/>
      <c r="I2056" s="397"/>
      <c r="J2056" s="750" t="e">
        <f t="shared" si="16"/>
        <v>#DIV/0!</v>
      </c>
      <c r="K2056" s="398"/>
      <c r="L2056" s="398"/>
      <c r="M2056" s="682"/>
      <c r="N2056" s="171"/>
      <c r="O2056" s="171"/>
      <c r="P2056" s="169"/>
      <c r="Q2056" s="171"/>
      <c r="R2056" s="171"/>
      <c r="S2056" s="171"/>
      <c r="T2056" s="171"/>
      <c r="U2056" s="171"/>
      <c r="V2056" s="171"/>
      <c r="W2056" s="171"/>
      <c r="X2056" s="171"/>
      <c r="Y2056" s="171"/>
      <c r="Z2056" s="171"/>
      <c r="AA2056" s="171"/>
    </row>
    <row r="2057" spans="1:27" s="530" customFormat="1" hidden="1" x14ac:dyDescent="0.2">
      <c r="A2057" s="526"/>
      <c r="B2057" s="527"/>
      <c r="C2057" s="465"/>
      <c r="D2057" s="464"/>
      <c r="E2057" s="464"/>
      <c r="F2057" s="494">
        <v>414</v>
      </c>
      <c r="G2057" s="495" t="s">
        <v>3767</v>
      </c>
      <c r="H2057" s="397"/>
      <c r="I2057" s="397"/>
      <c r="J2057" s="750" t="e">
        <f t="shared" si="16"/>
        <v>#DIV/0!</v>
      </c>
      <c r="K2057" s="398"/>
      <c r="L2057" s="398"/>
      <c r="M2057" s="682"/>
      <c r="N2057" s="171"/>
      <c r="O2057" s="171"/>
      <c r="P2057" s="169"/>
      <c r="Q2057" s="171"/>
      <c r="R2057" s="171"/>
      <c r="S2057" s="171"/>
      <c r="T2057" s="171"/>
      <c r="U2057" s="171"/>
      <c r="V2057" s="171"/>
      <c r="W2057" s="171"/>
      <c r="X2057" s="171"/>
      <c r="Y2057" s="171"/>
      <c r="Z2057" s="171"/>
      <c r="AA2057" s="171"/>
    </row>
    <row r="2058" spans="1:27" s="530" customFormat="1" hidden="1" x14ac:dyDescent="0.2">
      <c r="A2058" s="526"/>
      <c r="B2058" s="527"/>
      <c r="C2058" s="465"/>
      <c r="D2058" s="464"/>
      <c r="E2058" s="464"/>
      <c r="F2058" s="494">
        <v>415</v>
      </c>
      <c r="G2058" s="495" t="s">
        <v>4177</v>
      </c>
      <c r="H2058" s="397"/>
      <c r="I2058" s="397"/>
      <c r="J2058" s="750" t="e">
        <f t="shared" si="16"/>
        <v>#DIV/0!</v>
      </c>
      <c r="K2058" s="398"/>
      <c r="L2058" s="398"/>
      <c r="M2058" s="682"/>
      <c r="N2058" s="171"/>
      <c r="O2058" s="171"/>
      <c r="P2058" s="169"/>
      <c r="Q2058" s="171"/>
      <c r="R2058" s="171"/>
      <c r="S2058" s="171"/>
      <c r="T2058" s="171"/>
      <c r="U2058" s="171"/>
      <c r="V2058" s="171"/>
      <c r="W2058" s="171"/>
      <c r="X2058" s="171"/>
      <c r="Y2058" s="171"/>
      <c r="Z2058" s="171"/>
      <c r="AA2058" s="171"/>
    </row>
    <row r="2059" spans="1:27" s="530" customFormat="1" ht="25.5" hidden="1" x14ac:dyDescent="0.2">
      <c r="A2059" s="526"/>
      <c r="B2059" s="527"/>
      <c r="C2059" s="465"/>
      <c r="D2059" s="464"/>
      <c r="E2059" s="464"/>
      <c r="F2059" s="494">
        <v>416</v>
      </c>
      <c r="G2059" s="495" t="s">
        <v>4178</v>
      </c>
      <c r="H2059" s="397"/>
      <c r="I2059" s="397"/>
      <c r="J2059" s="750" t="e">
        <f t="shared" si="16"/>
        <v>#DIV/0!</v>
      </c>
      <c r="K2059" s="398"/>
      <c r="L2059" s="398"/>
      <c r="M2059" s="682"/>
      <c r="N2059" s="171"/>
      <c r="O2059" s="171"/>
      <c r="P2059" s="169"/>
      <c r="Q2059" s="171"/>
      <c r="R2059" s="171"/>
      <c r="S2059" s="171"/>
      <c r="T2059" s="171"/>
      <c r="U2059" s="171"/>
      <c r="V2059" s="171"/>
      <c r="W2059" s="171"/>
      <c r="X2059" s="171"/>
      <c r="Y2059" s="171"/>
      <c r="Z2059" s="171"/>
      <c r="AA2059" s="171"/>
    </row>
    <row r="2060" spans="1:27" s="530" customFormat="1" hidden="1" x14ac:dyDescent="0.2">
      <c r="A2060" s="526"/>
      <c r="B2060" s="527"/>
      <c r="C2060" s="465"/>
      <c r="D2060" s="464"/>
      <c r="E2060" s="464"/>
      <c r="F2060" s="494">
        <v>417</v>
      </c>
      <c r="G2060" s="495" t="s">
        <v>4179</v>
      </c>
      <c r="H2060" s="397"/>
      <c r="I2060" s="397"/>
      <c r="J2060" s="750" t="e">
        <f t="shared" si="16"/>
        <v>#DIV/0!</v>
      </c>
      <c r="K2060" s="398"/>
      <c r="L2060" s="398"/>
      <c r="M2060" s="682"/>
      <c r="N2060" s="171"/>
      <c r="O2060" s="171"/>
      <c r="P2060" s="169"/>
      <c r="Q2060" s="171"/>
      <c r="R2060" s="171"/>
      <c r="S2060" s="171"/>
      <c r="T2060" s="171"/>
      <c r="U2060" s="171"/>
      <c r="V2060" s="171"/>
      <c r="W2060" s="171"/>
      <c r="X2060" s="171"/>
      <c r="Y2060" s="171"/>
      <c r="Z2060" s="171"/>
      <c r="AA2060" s="171"/>
    </row>
    <row r="2061" spans="1:27" s="530" customFormat="1" hidden="1" x14ac:dyDescent="0.2">
      <c r="A2061" s="526"/>
      <c r="B2061" s="527"/>
      <c r="C2061" s="465"/>
      <c r="D2061" s="464"/>
      <c r="E2061" s="464"/>
      <c r="F2061" s="494">
        <v>418</v>
      </c>
      <c r="G2061" s="495" t="s">
        <v>3773</v>
      </c>
      <c r="H2061" s="397"/>
      <c r="I2061" s="397"/>
      <c r="J2061" s="750" t="e">
        <f t="shared" ref="J2061:J2124" si="17">SUM(I2061/H2061)*100</f>
        <v>#DIV/0!</v>
      </c>
      <c r="K2061" s="398"/>
      <c r="L2061" s="398"/>
      <c r="M2061" s="682"/>
      <c r="N2061" s="171"/>
      <c r="O2061" s="171"/>
      <c r="P2061" s="169"/>
      <c r="Q2061" s="171"/>
      <c r="R2061" s="171"/>
      <c r="S2061" s="171"/>
      <c r="T2061" s="171"/>
      <c r="U2061" s="171"/>
      <c r="V2061" s="171"/>
      <c r="W2061" s="171"/>
      <c r="X2061" s="171"/>
      <c r="Y2061" s="171"/>
      <c r="Z2061" s="171"/>
      <c r="AA2061" s="171"/>
    </row>
    <row r="2062" spans="1:27" s="530" customFormat="1" hidden="1" x14ac:dyDescent="0.2">
      <c r="A2062" s="526"/>
      <c r="B2062" s="527"/>
      <c r="C2062" s="465"/>
      <c r="D2062" s="464"/>
      <c r="E2062" s="464"/>
      <c r="F2062" s="494">
        <v>421</v>
      </c>
      <c r="G2062" s="495" t="s">
        <v>3777</v>
      </c>
      <c r="H2062" s="397"/>
      <c r="I2062" s="397"/>
      <c r="J2062" s="750" t="e">
        <f t="shared" si="17"/>
        <v>#DIV/0!</v>
      </c>
      <c r="K2062" s="398"/>
      <c r="L2062" s="398"/>
      <c r="M2062" s="682"/>
      <c r="N2062" s="171"/>
      <c r="O2062" s="171"/>
      <c r="P2062" s="169"/>
      <c r="Q2062" s="171"/>
      <c r="R2062" s="171"/>
      <c r="S2062" s="171"/>
      <c r="T2062" s="171"/>
      <c r="U2062" s="171"/>
      <c r="V2062" s="171"/>
      <c r="W2062" s="171"/>
      <c r="X2062" s="171"/>
      <c r="Y2062" s="171"/>
      <c r="Z2062" s="171"/>
      <c r="AA2062" s="171"/>
    </row>
    <row r="2063" spans="1:27" s="530" customFormat="1" hidden="1" x14ac:dyDescent="0.2">
      <c r="A2063" s="526"/>
      <c r="B2063" s="527"/>
      <c r="C2063" s="465"/>
      <c r="D2063" s="464"/>
      <c r="E2063" s="464"/>
      <c r="F2063" s="494">
        <v>422</v>
      </c>
      <c r="G2063" s="495" t="s">
        <v>3778</v>
      </c>
      <c r="H2063" s="397"/>
      <c r="I2063" s="397"/>
      <c r="J2063" s="750" t="e">
        <f t="shared" si="17"/>
        <v>#DIV/0!</v>
      </c>
      <c r="K2063" s="398"/>
      <c r="L2063" s="398"/>
      <c r="M2063" s="682"/>
      <c r="N2063" s="171"/>
      <c r="O2063" s="171"/>
      <c r="P2063" s="169"/>
      <c r="Q2063" s="171"/>
      <c r="R2063" s="171"/>
      <c r="S2063" s="171"/>
      <c r="T2063" s="171"/>
      <c r="U2063" s="171"/>
      <c r="V2063" s="171"/>
      <c r="W2063" s="171"/>
      <c r="X2063" s="171"/>
      <c r="Y2063" s="171"/>
      <c r="Z2063" s="171"/>
      <c r="AA2063" s="171"/>
    </row>
    <row r="2064" spans="1:27" s="530" customFormat="1" hidden="1" x14ac:dyDescent="0.2">
      <c r="A2064" s="526"/>
      <c r="B2064" s="527"/>
      <c r="C2064" s="465"/>
      <c r="D2064" s="464"/>
      <c r="E2064" s="464"/>
      <c r="F2064" s="494">
        <v>423</v>
      </c>
      <c r="G2064" s="495" t="s">
        <v>3779</v>
      </c>
      <c r="H2064" s="397"/>
      <c r="I2064" s="397"/>
      <c r="J2064" s="750" t="e">
        <f t="shared" si="17"/>
        <v>#DIV/0!</v>
      </c>
      <c r="K2064" s="398"/>
      <c r="L2064" s="398"/>
      <c r="M2064" s="682"/>
      <c r="N2064" s="171"/>
      <c r="O2064" s="171"/>
      <c r="P2064" s="169"/>
      <c r="Q2064" s="171"/>
      <c r="R2064" s="171"/>
      <c r="S2064" s="171"/>
      <c r="T2064" s="171"/>
      <c r="U2064" s="171"/>
      <c r="V2064" s="171"/>
      <c r="W2064" s="171"/>
      <c r="X2064" s="171"/>
      <c r="Y2064" s="171"/>
      <c r="Z2064" s="171"/>
      <c r="AA2064" s="171"/>
    </row>
    <row r="2065" spans="1:27" s="530" customFormat="1" hidden="1" x14ac:dyDescent="0.2">
      <c r="A2065" s="526"/>
      <c r="B2065" s="527"/>
      <c r="C2065" s="465"/>
      <c r="D2065" s="464"/>
      <c r="E2065" s="464"/>
      <c r="F2065" s="494">
        <v>424</v>
      </c>
      <c r="G2065" s="495" t="s">
        <v>3781</v>
      </c>
      <c r="H2065" s="397"/>
      <c r="I2065" s="397"/>
      <c r="J2065" s="750" t="e">
        <f t="shared" si="17"/>
        <v>#DIV/0!</v>
      </c>
      <c r="K2065" s="398"/>
      <c r="L2065" s="398"/>
      <c r="M2065" s="682"/>
      <c r="N2065" s="171"/>
      <c r="O2065" s="171"/>
      <c r="P2065" s="169"/>
      <c r="Q2065" s="171"/>
      <c r="R2065" s="171"/>
      <c r="S2065" s="171"/>
      <c r="T2065" s="171"/>
      <c r="U2065" s="171"/>
      <c r="V2065" s="171"/>
      <c r="W2065" s="171"/>
      <c r="X2065" s="171"/>
      <c r="Y2065" s="171"/>
      <c r="Z2065" s="171"/>
      <c r="AA2065" s="171"/>
    </row>
    <row r="2066" spans="1:27" s="530" customFormat="1" hidden="1" x14ac:dyDescent="0.2">
      <c r="A2066" s="526"/>
      <c r="B2066" s="527"/>
      <c r="C2066" s="465"/>
      <c r="D2066" s="464"/>
      <c r="E2066" s="464"/>
      <c r="F2066" s="494">
        <v>425</v>
      </c>
      <c r="G2066" s="495" t="s">
        <v>4180</v>
      </c>
      <c r="H2066" s="397"/>
      <c r="I2066" s="397"/>
      <c r="J2066" s="750" t="e">
        <f t="shared" si="17"/>
        <v>#DIV/0!</v>
      </c>
      <c r="K2066" s="398"/>
      <c r="L2066" s="398"/>
      <c r="M2066" s="682"/>
      <c r="N2066" s="171"/>
      <c r="O2066" s="171"/>
      <c r="P2066" s="169"/>
      <c r="Q2066" s="171"/>
      <c r="R2066" s="171"/>
      <c r="S2066" s="171"/>
      <c r="T2066" s="171"/>
      <c r="U2066" s="171"/>
      <c r="V2066" s="171"/>
      <c r="W2066" s="171"/>
      <c r="X2066" s="171"/>
      <c r="Y2066" s="171"/>
      <c r="Z2066" s="171"/>
      <c r="AA2066" s="171"/>
    </row>
    <row r="2067" spans="1:27" s="530" customFormat="1" hidden="1" x14ac:dyDescent="0.2">
      <c r="A2067" s="526"/>
      <c r="B2067" s="527"/>
      <c r="C2067" s="465"/>
      <c r="D2067" s="464"/>
      <c r="E2067" s="464"/>
      <c r="F2067" s="494">
        <v>426</v>
      </c>
      <c r="G2067" s="495" t="s">
        <v>3785</v>
      </c>
      <c r="H2067" s="397"/>
      <c r="I2067" s="397"/>
      <c r="J2067" s="750" t="e">
        <f t="shared" si="17"/>
        <v>#DIV/0!</v>
      </c>
      <c r="K2067" s="398"/>
      <c r="L2067" s="398"/>
      <c r="M2067" s="682"/>
      <c r="N2067" s="171"/>
      <c r="O2067" s="171"/>
      <c r="P2067" s="169"/>
      <c r="Q2067" s="171"/>
      <c r="R2067" s="171"/>
      <c r="S2067" s="171"/>
      <c r="T2067" s="171"/>
      <c r="U2067" s="171"/>
      <c r="V2067" s="171"/>
      <c r="W2067" s="171"/>
      <c r="X2067" s="171"/>
      <c r="Y2067" s="171"/>
      <c r="Z2067" s="171"/>
      <c r="AA2067" s="171"/>
    </row>
    <row r="2068" spans="1:27" s="530" customFormat="1" hidden="1" x14ac:dyDescent="0.2">
      <c r="A2068" s="526"/>
      <c r="B2068" s="527"/>
      <c r="C2068" s="465"/>
      <c r="D2068" s="464"/>
      <c r="E2068" s="464"/>
      <c r="F2068" s="494">
        <v>431</v>
      </c>
      <c r="G2068" s="495" t="s">
        <v>4181</v>
      </c>
      <c r="H2068" s="397"/>
      <c r="I2068" s="397"/>
      <c r="J2068" s="750" t="e">
        <f t="shared" si="17"/>
        <v>#DIV/0!</v>
      </c>
      <c r="K2068" s="398"/>
      <c r="L2068" s="398"/>
      <c r="M2068" s="682"/>
      <c r="N2068" s="171"/>
      <c r="O2068" s="171"/>
      <c r="P2068" s="169"/>
      <c r="Q2068" s="171"/>
      <c r="R2068" s="171"/>
      <c r="S2068" s="171"/>
      <c r="T2068" s="171"/>
      <c r="U2068" s="171"/>
      <c r="V2068" s="171"/>
      <c r="W2068" s="171"/>
      <c r="X2068" s="171"/>
      <c r="Y2068" s="171"/>
      <c r="Z2068" s="171"/>
      <c r="AA2068" s="171"/>
    </row>
    <row r="2069" spans="1:27" s="530" customFormat="1" hidden="1" x14ac:dyDescent="0.2">
      <c r="A2069" s="526"/>
      <c r="B2069" s="527"/>
      <c r="C2069" s="465"/>
      <c r="D2069" s="464"/>
      <c r="E2069" s="464"/>
      <c r="F2069" s="494">
        <v>432</v>
      </c>
      <c r="G2069" s="495" t="s">
        <v>4182</v>
      </c>
      <c r="H2069" s="397"/>
      <c r="I2069" s="397"/>
      <c r="J2069" s="750" t="e">
        <f t="shared" si="17"/>
        <v>#DIV/0!</v>
      </c>
      <c r="K2069" s="398"/>
      <c r="L2069" s="398"/>
      <c r="M2069" s="682"/>
      <c r="N2069" s="171"/>
      <c r="O2069" s="171"/>
      <c r="P2069" s="169"/>
      <c r="Q2069" s="171"/>
      <c r="R2069" s="171"/>
      <c r="S2069" s="171"/>
      <c r="T2069" s="171"/>
      <c r="U2069" s="171"/>
      <c r="V2069" s="171"/>
      <c r="W2069" s="171"/>
      <c r="X2069" s="171"/>
      <c r="Y2069" s="171"/>
      <c r="Z2069" s="171"/>
      <c r="AA2069" s="171"/>
    </row>
    <row r="2070" spans="1:27" s="530" customFormat="1" hidden="1" x14ac:dyDescent="0.2">
      <c r="A2070" s="526"/>
      <c r="B2070" s="527"/>
      <c r="C2070" s="465"/>
      <c r="D2070" s="464"/>
      <c r="E2070" s="464"/>
      <c r="F2070" s="494">
        <v>433</v>
      </c>
      <c r="G2070" s="495" t="s">
        <v>4183</v>
      </c>
      <c r="H2070" s="397"/>
      <c r="I2070" s="397"/>
      <c r="J2070" s="750" t="e">
        <f t="shared" si="17"/>
        <v>#DIV/0!</v>
      </c>
      <c r="K2070" s="398"/>
      <c r="L2070" s="398"/>
      <c r="M2070" s="682"/>
      <c r="N2070" s="171"/>
      <c r="O2070" s="171"/>
      <c r="P2070" s="169"/>
      <c r="Q2070" s="171"/>
      <c r="R2070" s="171"/>
      <c r="S2070" s="171"/>
      <c r="T2070" s="171"/>
      <c r="U2070" s="171"/>
      <c r="V2070" s="171"/>
      <c r="W2070" s="171"/>
      <c r="X2070" s="171"/>
      <c r="Y2070" s="171"/>
      <c r="Z2070" s="171"/>
      <c r="AA2070" s="171"/>
    </row>
    <row r="2071" spans="1:27" s="530" customFormat="1" hidden="1" x14ac:dyDescent="0.2">
      <c r="A2071" s="526"/>
      <c r="B2071" s="527"/>
      <c r="C2071" s="465"/>
      <c r="D2071" s="464"/>
      <c r="E2071" s="464"/>
      <c r="F2071" s="494">
        <v>434</v>
      </c>
      <c r="G2071" s="495" t="s">
        <v>4184</v>
      </c>
      <c r="H2071" s="397"/>
      <c r="I2071" s="397"/>
      <c r="J2071" s="750" t="e">
        <f t="shared" si="17"/>
        <v>#DIV/0!</v>
      </c>
      <c r="K2071" s="398"/>
      <c r="L2071" s="398"/>
      <c r="M2071" s="682"/>
      <c r="N2071" s="171"/>
      <c r="O2071" s="171"/>
      <c r="P2071" s="169"/>
      <c r="Q2071" s="171"/>
      <c r="R2071" s="171"/>
      <c r="S2071" s="171"/>
      <c r="T2071" s="171"/>
      <c r="U2071" s="171"/>
      <c r="V2071" s="171"/>
      <c r="W2071" s="171"/>
      <c r="X2071" s="171"/>
      <c r="Y2071" s="171"/>
      <c r="Z2071" s="171"/>
      <c r="AA2071" s="171"/>
    </row>
    <row r="2072" spans="1:27" s="530" customFormat="1" hidden="1" x14ac:dyDescent="0.2">
      <c r="A2072" s="526"/>
      <c r="B2072" s="527"/>
      <c r="C2072" s="465"/>
      <c r="D2072" s="464"/>
      <c r="E2072" s="464"/>
      <c r="F2072" s="494">
        <v>435</v>
      </c>
      <c r="G2072" s="495" t="s">
        <v>3792</v>
      </c>
      <c r="H2072" s="397"/>
      <c r="I2072" s="397"/>
      <c r="J2072" s="750" t="e">
        <f t="shared" si="17"/>
        <v>#DIV/0!</v>
      </c>
      <c r="K2072" s="398"/>
      <c r="L2072" s="398"/>
      <c r="M2072" s="682"/>
      <c r="N2072" s="171"/>
      <c r="O2072" s="171"/>
      <c r="P2072" s="169"/>
      <c r="Q2072" s="171"/>
      <c r="R2072" s="171"/>
      <c r="S2072" s="171"/>
      <c r="T2072" s="171"/>
      <c r="U2072" s="171"/>
      <c r="V2072" s="171"/>
      <c r="W2072" s="171"/>
      <c r="X2072" s="171"/>
      <c r="Y2072" s="171"/>
      <c r="Z2072" s="171"/>
      <c r="AA2072" s="171"/>
    </row>
    <row r="2073" spans="1:27" s="530" customFormat="1" hidden="1" x14ac:dyDescent="0.2">
      <c r="A2073" s="526"/>
      <c r="B2073" s="527"/>
      <c r="C2073" s="465"/>
      <c r="D2073" s="464"/>
      <c r="E2073" s="464"/>
      <c r="F2073" s="494">
        <v>441</v>
      </c>
      <c r="G2073" s="495" t="s">
        <v>4185</v>
      </c>
      <c r="H2073" s="397"/>
      <c r="I2073" s="397"/>
      <c r="J2073" s="750" t="e">
        <f t="shared" si="17"/>
        <v>#DIV/0!</v>
      </c>
      <c r="K2073" s="398"/>
      <c r="L2073" s="398"/>
      <c r="M2073" s="682"/>
      <c r="N2073" s="171"/>
      <c r="O2073" s="171"/>
      <c r="P2073" s="169"/>
      <c r="Q2073" s="171"/>
      <c r="R2073" s="171"/>
      <c r="S2073" s="171"/>
      <c r="T2073" s="171"/>
      <c r="U2073" s="171"/>
      <c r="V2073" s="171"/>
      <c r="W2073" s="171"/>
      <c r="X2073" s="171"/>
      <c r="Y2073" s="171"/>
      <c r="Z2073" s="171"/>
      <c r="AA2073" s="171"/>
    </row>
    <row r="2074" spans="1:27" s="530" customFormat="1" hidden="1" x14ac:dyDescent="0.2">
      <c r="A2074" s="526"/>
      <c r="B2074" s="527"/>
      <c r="C2074" s="465"/>
      <c r="D2074" s="464"/>
      <c r="E2074" s="464"/>
      <c r="F2074" s="494">
        <v>442</v>
      </c>
      <c r="G2074" s="495" t="s">
        <v>4186</v>
      </c>
      <c r="H2074" s="397"/>
      <c r="I2074" s="397"/>
      <c r="J2074" s="750" t="e">
        <f t="shared" si="17"/>
        <v>#DIV/0!</v>
      </c>
      <c r="K2074" s="398"/>
      <c r="L2074" s="398"/>
      <c r="M2074" s="682"/>
      <c r="N2074" s="171"/>
      <c r="O2074" s="171"/>
      <c r="P2074" s="169"/>
      <c r="Q2074" s="171"/>
      <c r="R2074" s="171"/>
      <c r="S2074" s="171"/>
      <c r="T2074" s="171"/>
      <c r="U2074" s="171"/>
      <c r="V2074" s="171"/>
      <c r="W2074" s="171"/>
      <c r="X2074" s="171"/>
      <c r="Y2074" s="171"/>
      <c r="Z2074" s="171"/>
      <c r="AA2074" s="171"/>
    </row>
    <row r="2075" spans="1:27" s="530" customFormat="1" hidden="1" x14ac:dyDescent="0.2">
      <c r="A2075" s="526"/>
      <c r="B2075" s="527"/>
      <c r="C2075" s="465"/>
      <c r="D2075" s="464"/>
      <c r="E2075" s="464"/>
      <c r="F2075" s="494">
        <v>443</v>
      </c>
      <c r="G2075" s="495" t="s">
        <v>3797</v>
      </c>
      <c r="H2075" s="397"/>
      <c r="I2075" s="397"/>
      <c r="J2075" s="750" t="e">
        <f t="shared" si="17"/>
        <v>#DIV/0!</v>
      </c>
      <c r="K2075" s="398"/>
      <c r="L2075" s="398"/>
      <c r="M2075" s="682"/>
      <c r="N2075" s="171"/>
      <c r="O2075" s="171"/>
      <c r="P2075" s="169"/>
      <c r="Q2075" s="171"/>
      <c r="R2075" s="171"/>
      <c r="S2075" s="171"/>
      <c r="T2075" s="171"/>
      <c r="U2075" s="171"/>
      <c r="V2075" s="171"/>
      <c r="W2075" s="171"/>
      <c r="X2075" s="171"/>
      <c r="Y2075" s="171"/>
      <c r="Z2075" s="171"/>
      <c r="AA2075" s="171"/>
    </row>
    <row r="2076" spans="1:27" s="530" customFormat="1" hidden="1" x14ac:dyDescent="0.2">
      <c r="A2076" s="526"/>
      <c r="B2076" s="527"/>
      <c r="C2076" s="465"/>
      <c r="D2076" s="464"/>
      <c r="E2076" s="464"/>
      <c r="F2076" s="494">
        <v>444</v>
      </c>
      <c r="G2076" s="495" t="s">
        <v>3798</v>
      </c>
      <c r="H2076" s="397"/>
      <c r="I2076" s="397"/>
      <c r="J2076" s="750" t="e">
        <f t="shared" si="17"/>
        <v>#DIV/0!</v>
      </c>
      <c r="K2076" s="398"/>
      <c r="L2076" s="398"/>
      <c r="M2076" s="682"/>
      <c r="N2076" s="171"/>
      <c r="O2076" s="171"/>
      <c r="P2076" s="169"/>
      <c r="Q2076" s="171"/>
      <c r="R2076" s="171"/>
      <c r="S2076" s="171"/>
      <c r="T2076" s="171"/>
      <c r="U2076" s="171"/>
      <c r="V2076" s="171"/>
      <c r="W2076" s="171"/>
      <c r="X2076" s="171"/>
      <c r="Y2076" s="171"/>
      <c r="Z2076" s="171"/>
      <c r="AA2076" s="171"/>
    </row>
    <row r="2077" spans="1:27" s="530" customFormat="1" ht="25.5" hidden="1" x14ac:dyDescent="0.2">
      <c r="A2077" s="526"/>
      <c r="B2077" s="527"/>
      <c r="C2077" s="465"/>
      <c r="D2077" s="464"/>
      <c r="E2077" s="464"/>
      <c r="F2077" s="494">
        <v>4511</v>
      </c>
      <c r="G2077" s="466" t="s">
        <v>1692</v>
      </c>
      <c r="H2077" s="397"/>
      <c r="I2077" s="397"/>
      <c r="J2077" s="750" t="e">
        <f t="shared" si="17"/>
        <v>#DIV/0!</v>
      </c>
      <c r="K2077" s="398"/>
      <c r="L2077" s="398"/>
      <c r="M2077" s="682"/>
      <c r="N2077" s="171"/>
      <c r="O2077" s="171"/>
      <c r="P2077" s="169"/>
      <c r="Q2077" s="171"/>
      <c r="R2077" s="171"/>
      <c r="S2077" s="171"/>
      <c r="T2077" s="171"/>
      <c r="U2077" s="171"/>
      <c r="V2077" s="171"/>
      <c r="W2077" s="171"/>
      <c r="X2077" s="171"/>
      <c r="Y2077" s="171"/>
      <c r="Z2077" s="171"/>
      <c r="AA2077" s="171"/>
    </row>
    <row r="2078" spans="1:27" s="530" customFormat="1" ht="25.5" hidden="1" x14ac:dyDescent="0.2">
      <c r="A2078" s="526"/>
      <c r="B2078" s="527"/>
      <c r="C2078" s="465"/>
      <c r="D2078" s="464"/>
      <c r="E2078" s="464"/>
      <c r="F2078" s="494">
        <v>4512</v>
      </c>
      <c r="G2078" s="466" t="s">
        <v>1701</v>
      </c>
      <c r="H2078" s="397"/>
      <c r="I2078" s="397"/>
      <c r="J2078" s="750" t="e">
        <f t="shared" si="17"/>
        <v>#DIV/0!</v>
      </c>
      <c r="K2078" s="398"/>
      <c r="L2078" s="398"/>
      <c r="M2078" s="682"/>
      <c r="N2078" s="171"/>
      <c r="O2078" s="171"/>
      <c r="P2078" s="169"/>
      <c r="Q2078" s="171"/>
      <c r="R2078" s="171"/>
      <c r="S2078" s="171"/>
      <c r="T2078" s="171"/>
      <c r="U2078" s="171"/>
      <c r="V2078" s="171"/>
      <c r="W2078" s="171"/>
      <c r="X2078" s="171"/>
      <c r="Y2078" s="171"/>
      <c r="Z2078" s="171"/>
      <c r="AA2078" s="171"/>
    </row>
    <row r="2079" spans="1:27" s="530" customFormat="1" ht="25.5" hidden="1" x14ac:dyDescent="0.2">
      <c r="A2079" s="526"/>
      <c r="B2079" s="527"/>
      <c r="C2079" s="465"/>
      <c r="D2079" s="464"/>
      <c r="E2079" s="464"/>
      <c r="F2079" s="494">
        <v>452</v>
      </c>
      <c r="G2079" s="495" t="s">
        <v>4187</v>
      </c>
      <c r="H2079" s="397"/>
      <c r="I2079" s="397"/>
      <c r="J2079" s="750" t="e">
        <f t="shared" si="17"/>
        <v>#DIV/0!</v>
      </c>
      <c r="K2079" s="398"/>
      <c r="L2079" s="398"/>
      <c r="M2079" s="682"/>
      <c r="N2079" s="171"/>
      <c r="O2079" s="171"/>
      <c r="P2079" s="169"/>
      <c r="Q2079" s="171"/>
      <c r="R2079" s="171"/>
      <c r="S2079" s="171"/>
      <c r="T2079" s="171"/>
      <c r="U2079" s="171"/>
      <c r="V2079" s="171"/>
      <c r="W2079" s="171"/>
      <c r="X2079" s="171"/>
      <c r="Y2079" s="171"/>
      <c r="Z2079" s="171"/>
      <c r="AA2079" s="171"/>
    </row>
    <row r="2080" spans="1:27" s="530" customFormat="1" ht="25.5" hidden="1" x14ac:dyDescent="0.2">
      <c r="A2080" s="526"/>
      <c r="B2080" s="527"/>
      <c r="C2080" s="465"/>
      <c r="D2080" s="464"/>
      <c r="E2080" s="464"/>
      <c r="F2080" s="494">
        <v>453</v>
      </c>
      <c r="G2080" s="495" t="s">
        <v>4188</v>
      </c>
      <c r="H2080" s="397"/>
      <c r="I2080" s="397"/>
      <c r="J2080" s="750" t="e">
        <f t="shared" si="17"/>
        <v>#DIV/0!</v>
      </c>
      <c r="K2080" s="398"/>
      <c r="L2080" s="398"/>
      <c r="M2080" s="682"/>
      <c r="N2080" s="171"/>
      <c r="O2080" s="171"/>
      <c r="P2080" s="169"/>
      <c r="Q2080" s="171"/>
      <c r="R2080" s="171"/>
      <c r="S2080" s="171"/>
      <c r="T2080" s="171"/>
      <c r="U2080" s="171"/>
      <c r="V2080" s="171"/>
      <c r="W2080" s="171"/>
      <c r="X2080" s="171"/>
      <c r="Y2080" s="171"/>
      <c r="Z2080" s="171"/>
      <c r="AA2080" s="171"/>
    </row>
    <row r="2081" spans="1:27" s="530" customFormat="1" hidden="1" x14ac:dyDescent="0.2">
      <c r="A2081" s="526"/>
      <c r="B2081" s="527"/>
      <c r="C2081" s="465"/>
      <c r="D2081" s="464"/>
      <c r="E2081" s="464"/>
      <c r="F2081" s="494">
        <v>454</v>
      </c>
      <c r="G2081" s="495" t="s">
        <v>3803</v>
      </c>
      <c r="H2081" s="397"/>
      <c r="I2081" s="397"/>
      <c r="J2081" s="750" t="e">
        <f t="shared" si="17"/>
        <v>#DIV/0!</v>
      </c>
      <c r="K2081" s="398"/>
      <c r="L2081" s="398"/>
      <c r="M2081" s="682"/>
      <c r="N2081" s="171"/>
      <c r="O2081" s="171"/>
      <c r="P2081" s="169"/>
      <c r="Q2081" s="171"/>
      <c r="R2081" s="171"/>
      <c r="S2081" s="171"/>
      <c r="T2081" s="171"/>
      <c r="U2081" s="171"/>
      <c r="V2081" s="171"/>
      <c r="W2081" s="171"/>
      <c r="X2081" s="171"/>
      <c r="Y2081" s="171"/>
      <c r="Z2081" s="171"/>
      <c r="AA2081" s="171"/>
    </row>
    <row r="2082" spans="1:27" s="530" customFormat="1" hidden="1" x14ac:dyDescent="0.2">
      <c r="A2082" s="526"/>
      <c r="B2082" s="527"/>
      <c r="C2082" s="465"/>
      <c r="D2082" s="464"/>
      <c r="E2082" s="464"/>
      <c r="F2082" s="494">
        <v>461</v>
      </c>
      <c r="G2082" s="495" t="s">
        <v>4169</v>
      </c>
      <c r="H2082" s="397"/>
      <c r="I2082" s="397"/>
      <c r="J2082" s="750" t="e">
        <f t="shared" si="17"/>
        <v>#DIV/0!</v>
      </c>
      <c r="K2082" s="398"/>
      <c r="L2082" s="398"/>
      <c r="M2082" s="682"/>
      <c r="N2082" s="171"/>
      <c r="O2082" s="171"/>
      <c r="P2082" s="169"/>
      <c r="Q2082" s="171"/>
      <c r="R2082" s="171"/>
      <c r="S2082" s="171"/>
      <c r="T2082" s="171"/>
      <c r="U2082" s="171"/>
      <c r="V2082" s="171"/>
      <c r="W2082" s="171"/>
      <c r="X2082" s="171"/>
      <c r="Y2082" s="171"/>
      <c r="Z2082" s="171"/>
      <c r="AA2082" s="171"/>
    </row>
    <row r="2083" spans="1:27" s="530" customFormat="1" ht="25.5" hidden="1" x14ac:dyDescent="0.2">
      <c r="A2083" s="526"/>
      <c r="B2083" s="527"/>
      <c r="C2083" s="465"/>
      <c r="D2083" s="464"/>
      <c r="E2083" s="464"/>
      <c r="F2083" s="494">
        <v>462</v>
      </c>
      <c r="G2083" s="495" t="s">
        <v>3806</v>
      </c>
      <c r="H2083" s="397"/>
      <c r="I2083" s="397"/>
      <c r="J2083" s="750" t="e">
        <f t="shared" si="17"/>
        <v>#DIV/0!</v>
      </c>
      <c r="K2083" s="398"/>
      <c r="L2083" s="398"/>
      <c r="M2083" s="682"/>
      <c r="N2083" s="171"/>
      <c r="O2083" s="171"/>
      <c r="P2083" s="169"/>
      <c r="Q2083" s="171"/>
      <c r="R2083" s="171"/>
      <c r="S2083" s="171"/>
      <c r="T2083" s="171"/>
      <c r="U2083" s="171"/>
      <c r="V2083" s="171"/>
      <c r="W2083" s="171"/>
      <c r="X2083" s="171"/>
      <c r="Y2083" s="171"/>
      <c r="Z2083" s="171"/>
      <c r="AA2083" s="171"/>
    </row>
    <row r="2084" spans="1:27" s="530" customFormat="1" hidden="1" x14ac:dyDescent="0.2">
      <c r="A2084" s="526"/>
      <c r="B2084" s="527"/>
      <c r="C2084" s="465"/>
      <c r="D2084" s="464"/>
      <c r="E2084" s="464"/>
      <c r="F2084" s="494">
        <v>4631</v>
      </c>
      <c r="G2084" s="495" t="s">
        <v>3807</v>
      </c>
      <c r="H2084" s="397"/>
      <c r="I2084" s="397"/>
      <c r="J2084" s="750" t="e">
        <f t="shared" si="17"/>
        <v>#DIV/0!</v>
      </c>
      <c r="K2084" s="398"/>
      <c r="L2084" s="398"/>
      <c r="M2084" s="682"/>
      <c r="N2084" s="171"/>
      <c r="O2084" s="171"/>
      <c r="P2084" s="169"/>
      <c r="Q2084" s="171"/>
      <c r="R2084" s="171"/>
      <c r="S2084" s="171"/>
      <c r="T2084" s="171"/>
      <c r="U2084" s="171"/>
      <c r="V2084" s="171"/>
      <c r="W2084" s="171"/>
      <c r="X2084" s="171"/>
      <c r="Y2084" s="171"/>
      <c r="Z2084" s="171"/>
      <c r="AA2084" s="171"/>
    </row>
    <row r="2085" spans="1:27" s="530" customFormat="1" hidden="1" x14ac:dyDescent="0.2">
      <c r="A2085" s="526"/>
      <c r="B2085" s="527"/>
      <c r="C2085" s="465"/>
      <c r="D2085" s="464"/>
      <c r="E2085" s="464"/>
      <c r="F2085" s="494">
        <v>4632</v>
      </c>
      <c r="G2085" s="495" t="s">
        <v>3808</v>
      </c>
      <c r="H2085" s="397"/>
      <c r="I2085" s="397"/>
      <c r="J2085" s="750" t="e">
        <f t="shared" si="17"/>
        <v>#DIV/0!</v>
      </c>
      <c r="K2085" s="398"/>
      <c r="L2085" s="398"/>
      <c r="M2085" s="682"/>
      <c r="N2085" s="171"/>
      <c r="O2085" s="171"/>
      <c r="P2085" s="169"/>
      <c r="Q2085" s="171"/>
      <c r="R2085" s="171"/>
      <c r="S2085" s="171"/>
      <c r="T2085" s="171"/>
      <c r="U2085" s="171"/>
      <c r="V2085" s="171"/>
      <c r="W2085" s="171"/>
      <c r="X2085" s="171"/>
      <c r="Y2085" s="171"/>
      <c r="Z2085" s="171"/>
      <c r="AA2085" s="171"/>
    </row>
    <row r="2086" spans="1:27" s="530" customFormat="1" ht="25.5" hidden="1" x14ac:dyDescent="0.2">
      <c r="A2086" s="526"/>
      <c r="B2086" s="527"/>
      <c r="C2086" s="465"/>
      <c r="D2086" s="464"/>
      <c r="E2086" s="464"/>
      <c r="F2086" s="494">
        <v>464</v>
      </c>
      <c r="G2086" s="495" t="s">
        <v>3809</v>
      </c>
      <c r="H2086" s="397"/>
      <c r="I2086" s="397"/>
      <c r="J2086" s="750" t="e">
        <f t="shared" si="17"/>
        <v>#DIV/0!</v>
      </c>
      <c r="K2086" s="398"/>
      <c r="L2086" s="398"/>
      <c r="M2086" s="682"/>
      <c r="N2086" s="171"/>
      <c r="O2086" s="171"/>
      <c r="P2086" s="169"/>
      <c r="Q2086" s="171"/>
      <c r="R2086" s="171"/>
      <c r="S2086" s="171"/>
      <c r="T2086" s="171"/>
      <c r="U2086" s="171"/>
      <c r="V2086" s="171"/>
      <c r="W2086" s="171"/>
      <c r="X2086" s="171"/>
      <c r="Y2086" s="171"/>
      <c r="Z2086" s="171"/>
      <c r="AA2086" s="171"/>
    </row>
    <row r="2087" spans="1:27" s="530" customFormat="1" hidden="1" x14ac:dyDescent="0.2">
      <c r="A2087" s="526"/>
      <c r="B2087" s="527"/>
      <c r="C2087" s="465"/>
      <c r="D2087" s="464"/>
      <c r="E2087" s="464"/>
      <c r="F2087" s="494">
        <v>465</v>
      </c>
      <c r="G2087" s="495" t="s">
        <v>4170</v>
      </c>
      <c r="H2087" s="397"/>
      <c r="I2087" s="397"/>
      <c r="J2087" s="750" t="e">
        <f t="shared" si="17"/>
        <v>#DIV/0!</v>
      </c>
      <c r="K2087" s="398"/>
      <c r="L2087" s="398"/>
      <c r="M2087" s="682"/>
      <c r="N2087" s="171"/>
      <c r="O2087" s="171"/>
      <c r="P2087" s="169"/>
      <c r="Q2087" s="171"/>
      <c r="R2087" s="171"/>
      <c r="S2087" s="171"/>
      <c r="T2087" s="171"/>
      <c r="U2087" s="171"/>
      <c r="V2087" s="171"/>
      <c r="W2087" s="171"/>
      <c r="X2087" s="171"/>
      <c r="Y2087" s="171"/>
      <c r="Z2087" s="171"/>
      <c r="AA2087" s="171"/>
    </row>
    <row r="2088" spans="1:27" s="530" customFormat="1" hidden="1" x14ac:dyDescent="0.2">
      <c r="A2088" s="526"/>
      <c r="B2088" s="527"/>
      <c r="C2088" s="465"/>
      <c r="D2088" s="464"/>
      <c r="E2088" s="464"/>
      <c r="F2088" s="494">
        <v>472</v>
      </c>
      <c r="G2088" s="495" t="s">
        <v>3813</v>
      </c>
      <c r="H2088" s="397"/>
      <c r="I2088" s="397"/>
      <c r="J2088" s="750" t="e">
        <f t="shared" si="17"/>
        <v>#DIV/0!</v>
      </c>
      <c r="K2088" s="398"/>
      <c r="L2088" s="398"/>
      <c r="M2088" s="682"/>
      <c r="N2088" s="171"/>
      <c r="O2088" s="171"/>
      <c r="P2088" s="169"/>
      <c r="Q2088" s="171"/>
      <c r="R2088" s="171"/>
      <c r="S2088" s="171"/>
      <c r="T2088" s="171"/>
      <c r="U2088" s="171"/>
      <c r="V2088" s="171"/>
      <c r="W2088" s="171"/>
      <c r="X2088" s="171"/>
      <c r="Y2088" s="171"/>
      <c r="Z2088" s="171"/>
      <c r="AA2088" s="171"/>
    </row>
    <row r="2089" spans="1:27" s="530" customFormat="1" hidden="1" x14ac:dyDescent="0.2">
      <c r="A2089" s="526"/>
      <c r="B2089" s="527"/>
      <c r="C2089" s="465"/>
      <c r="D2089" s="464"/>
      <c r="E2089" s="464"/>
      <c r="F2089" s="494">
        <v>481</v>
      </c>
      <c r="G2089" s="495" t="s">
        <v>4189</v>
      </c>
      <c r="H2089" s="397"/>
      <c r="I2089" s="397"/>
      <c r="J2089" s="750" t="e">
        <f t="shared" si="17"/>
        <v>#DIV/0!</v>
      </c>
      <c r="K2089" s="398"/>
      <c r="L2089" s="398"/>
      <c r="M2089" s="682"/>
      <c r="N2089" s="171"/>
      <c r="O2089" s="171"/>
      <c r="P2089" s="169"/>
      <c r="Q2089" s="171"/>
      <c r="R2089" s="171"/>
      <c r="S2089" s="171"/>
      <c r="T2089" s="171"/>
      <c r="U2089" s="171"/>
      <c r="V2089" s="171"/>
      <c r="W2089" s="171"/>
      <c r="X2089" s="171"/>
      <c r="Y2089" s="171"/>
      <c r="Z2089" s="171"/>
      <c r="AA2089" s="171"/>
    </row>
    <row r="2090" spans="1:27" s="530" customFormat="1" hidden="1" x14ac:dyDescent="0.2">
      <c r="A2090" s="526"/>
      <c r="B2090" s="527"/>
      <c r="C2090" s="465"/>
      <c r="D2090" s="464"/>
      <c r="E2090" s="464"/>
      <c r="F2090" s="494">
        <v>482</v>
      </c>
      <c r="G2090" s="495" t="s">
        <v>4190</v>
      </c>
      <c r="H2090" s="397"/>
      <c r="I2090" s="397"/>
      <c r="J2090" s="750" t="e">
        <f t="shared" si="17"/>
        <v>#DIV/0!</v>
      </c>
      <c r="K2090" s="398"/>
      <c r="L2090" s="398"/>
      <c r="M2090" s="682"/>
      <c r="N2090" s="171"/>
      <c r="O2090" s="171"/>
      <c r="P2090" s="169"/>
      <c r="Q2090" s="171"/>
      <c r="R2090" s="171"/>
      <c r="S2090" s="171"/>
      <c r="T2090" s="171"/>
      <c r="U2090" s="171"/>
      <c r="V2090" s="171"/>
      <c r="W2090" s="171"/>
      <c r="X2090" s="171"/>
      <c r="Y2090" s="171"/>
      <c r="Z2090" s="171"/>
      <c r="AA2090" s="171"/>
    </row>
    <row r="2091" spans="1:27" s="530" customFormat="1" hidden="1" x14ac:dyDescent="0.2">
      <c r="A2091" s="526"/>
      <c r="B2091" s="527"/>
      <c r="C2091" s="465"/>
      <c r="D2091" s="464"/>
      <c r="E2091" s="464"/>
      <c r="F2091" s="494">
        <v>483</v>
      </c>
      <c r="G2091" s="497" t="s">
        <v>4191</v>
      </c>
      <c r="H2091" s="397"/>
      <c r="I2091" s="397"/>
      <c r="J2091" s="750" t="e">
        <f t="shared" si="17"/>
        <v>#DIV/0!</v>
      </c>
      <c r="K2091" s="398"/>
      <c r="L2091" s="398"/>
      <c r="M2091" s="682"/>
      <c r="N2091" s="171"/>
      <c r="O2091" s="171"/>
      <c r="P2091" s="169"/>
      <c r="Q2091" s="171"/>
      <c r="R2091" s="171"/>
      <c r="S2091" s="171"/>
      <c r="T2091" s="171"/>
      <c r="U2091" s="171"/>
      <c r="V2091" s="171"/>
      <c r="W2091" s="171"/>
      <c r="X2091" s="171"/>
      <c r="Y2091" s="171"/>
      <c r="Z2091" s="171"/>
      <c r="AA2091" s="171"/>
    </row>
    <row r="2092" spans="1:27" s="530" customFormat="1" ht="38.25" hidden="1" x14ac:dyDescent="0.2">
      <c r="A2092" s="526"/>
      <c r="B2092" s="527"/>
      <c r="C2092" s="465"/>
      <c r="D2092" s="464"/>
      <c r="E2092" s="464"/>
      <c r="F2092" s="494">
        <v>484</v>
      </c>
      <c r="G2092" s="495" t="s">
        <v>4192</v>
      </c>
      <c r="H2092" s="397"/>
      <c r="I2092" s="397"/>
      <c r="J2092" s="750" t="e">
        <f t="shared" si="17"/>
        <v>#DIV/0!</v>
      </c>
      <c r="K2092" s="398"/>
      <c r="L2092" s="398"/>
      <c r="M2092" s="682"/>
      <c r="N2092" s="171"/>
      <c r="O2092" s="171"/>
      <c r="P2092" s="169"/>
      <c r="Q2092" s="171"/>
      <c r="R2092" s="171"/>
      <c r="S2092" s="171"/>
      <c r="T2092" s="171"/>
      <c r="U2092" s="171"/>
      <c r="V2092" s="171"/>
      <c r="W2092" s="171"/>
      <c r="X2092" s="171"/>
      <c r="Y2092" s="171"/>
      <c r="Z2092" s="171"/>
      <c r="AA2092" s="171"/>
    </row>
    <row r="2093" spans="1:27" s="530" customFormat="1" ht="25.5" hidden="1" x14ac:dyDescent="0.2">
      <c r="A2093" s="526"/>
      <c r="B2093" s="527"/>
      <c r="C2093" s="465"/>
      <c r="D2093" s="464"/>
      <c r="E2093" s="464"/>
      <c r="F2093" s="494">
        <v>485</v>
      </c>
      <c r="G2093" s="495" t="s">
        <v>4193</v>
      </c>
      <c r="H2093" s="397"/>
      <c r="I2093" s="397"/>
      <c r="J2093" s="750" t="e">
        <f t="shared" si="17"/>
        <v>#DIV/0!</v>
      </c>
      <c r="K2093" s="398"/>
      <c r="L2093" s="398"/>
      <c r="M2093" s="682"/>
      <c r="N2093" s="171"/>
      <c r="O2093" s="171"/>
      <c r="P2093" s="169"/>
      <c r="Q2093" s="171"/>
      <c r="R2093" s="171"/>
      <c r="S2093" s="171"/>
      <c r="T2093" s="171"/>
      <c r="U2093" s="171"/>
      <c r="V2093" s="171"/>
      <c r="W2093" s="171"/>
      <c r="X2093" s="171"/>
      <c r="Y2093" s="171"/>
      <c r="Z2093" s="171"/>
      <c r="AA2093" s="171"/>
    </row>
    <row r="2094" spans="1:27" s="530" customFormat="1" ht="25.5" hidden="1" x14ac:dyDescent="0.2">
      <c r="A2094" s="526"/>
      <c r="B2094" s="527"/>
      <c r="C2094" s="465"/>
      <c r="D2094" s="464"/>
      <c r="E2094" s="464"/>
      <c r="F2094" s="494">
        <v>489</v>
      </c>
      <c r="G2094" s="495" t="s">
        <v>3821</v>
      </c>
      <c r="H2094" s="397"/>
      <c r="I2094" s="397"/>
      <c r="J2094" s="750" t="e">
        <f t="shared" si="17"/>
        <v>#DIV/0!</v>
      </c>
      <c r="K2094" s="398"/>
      <c r="L2094" s="398"/>
      <c r="M2094" s="682"/>
      <c r="N2094" s="171"/>
      <c r="O2094" s="171"/>
      <c r="P2094" s="169"/>
      <c r="Q2094" s="171"/>
      <c r="R2094" s="171"/>
      <c r="S2094" s="171"/>
      <c r="T2094" s="171"/>
      <c r="U2094" s="171"/>
      <c r="V2094" s="171"/>
      <c r="W2094" s="171"/>
      <c r="X2094" s="171"/>
      <c r="Y2094" s="171"/>
      <c r="Z2094" s="171"/>
      <c r="AA2094" s="171"/>
    </row>
    <row r="2095" spans="1:27" s="530" customFormat="1" ht="25.5" hidden="1" x14ac:dyDescent="0.2">
      <c r="A2095" s="526"/>
      <c r="B2095" s="527"/>
      <c r="C2095" s="465"/>
      <c r="D2095" s="464"/>
      <c r="E2095" s="464"/>
      <c r="F2095" s="494">
        <v>494</v>
      </c>
      <c r="G2095" s="495" t="s">
        <v>4171</v>
      </c>
      <c r="H2095" s="397"/>
      <c r="I2095" s="397"/>
      <c r="J2095" s="750" t="e">
        <f t="shared" si="17"/>
        <v>#DIV/0!</v>
      </c>
      <c r="K2095" s="398"/>
      <c r="L2095" s="398"/>
      <c r="M2095" s="682"/>
      <c r="N2095" s="171"/>
      <c r="O2095" s="171"/>
      <c r="P2095" s="169"/>
      <c r="Q2095" s="171"/>
      <c r="R2095" s="171"/>
      <c r="S2095" s="171"/>
      <c r="T2095" s="171"/>
      <c r="U2095" s="171"/>
      <c r="V2095" s="171"/>
      <c r="W2095" s="171"/>
      <c r="X2095" s="171"/>
      <c r="Y2095" s="171"/>
      <c r="Z2095" s="171"/>
      <c r="AA2095" s="171"/>
    </row>
    <row r="2096" spans="1:27" s="530" customFormat="1" ht="25.5" hidden="1" x14ac:dyDescent="0.2">
      <c r="A2096" s="526"/>
      <c r="B2096" s="527"/>
      <c r="C2096" s="465"/>
      <c r="D2096" s="464"/>
      <c r="E2096" s="464"/>
      <c r="F2096" s="494">
        <v>495</v>
      </c>
      <c r="G2096" s="495" t="s">
        <v>4172</v>
      </c>
      <c r="H2096" s="397"/>
      <c r="I2096" s="397"/>
      <c r="J2096" s="750" t="e">
        <f t="shared" si="17"/>
        <v>#DIV/0!</v>
      </c>
      <c r="K2096" s="398"/>
      <c r="L2096" s="398"/>
      <c r="M2096" s="682"/>
      <c r="N2096" s="171"/>
      <c r="O2096" s="171"/>
      <c r="P2096" s="169"/>
      <c r="Q2096" s="171"/>
      <c r="R2096" s="171"/>
      <c r="S2096" s="171"/>
      <c r="T2096" s="171"/>
      <c r="U2096" s="171"/>
      <c r="V2096" s="171"/>
      <c r="W2096" s="171"/>
      <c r="X2096" s="171"/>
      <c r="Y2096" s="171"/>
      <c r="Z2096" s="171"/>
      <c r="AA2096" s="171"/>
    </row>
    <row r="2097" spans="1:27" s="530" customFormat="1" ht="38.25" hidden="1" x14ac:dyDescent="0.2">
      <c r="A2097" s="526"/>
      <c r="B2097" s="527"/>
      <c r="C2097" s="465"/>
      <c r="D2097" s="464"/>
      <c r="E2097" s="464"/>
      <c r="F2097" s="494">
        <v>496</v>
      </c>
      <c r="G2097" s="495" t="s">
        <v>4173</v>
      </c>
      <c r="H2097" s="397"/>
      <c r="I2097" s="397"/>
      <c r="J2097" s="750" t="e">
        <f t="shared" si="17"/>
        <v>#DIV/0!</v>
      </c>
      <c r="K2097" s="398"/>
      <c r="L2097" s="398"/>
      <c r="M2097" s="682"/>
      <c r="N2097" s="171"/>
      <c r="O2097" s="171"/>
      <c r="P2097" s="169"/>
      <c r="Q2097" s="171"/>
      <c r="R2097" s="171"/>
      <c r="S2097" s="171"/>
      <c r="T2097" s="171"/>
      <c r="U2097" s="171"/>
      <c r="V2097" s="171"/>
      <c r="W2097" s="171"/>
      <c r="X2097" s="171"/>
      <c r="Y2097" s="171"/>
      <c r="Z2097" s="171"/>
      <c r="AA2097" s="171"/>
    </row>
    <row r="2098" spans="1:27" s="530" customFormat="1" ht="25.5" hidden="1" x14ac:dyDescent="0.2">
      <c r="A2098" s="526"/>
      <c r="B2098" s="527"/>
      <c r="C2098" s="465"/>
      <c r="D2098" s="464"/>
      <c r="E2098" s="464"/>
      <c r="F2098" s="494">
        <v>499</v>
      </c>
      <c r="G2098" s="495" t="s">
        <v>4174</v>
      </c>
      <c r="H2098" s="397"/>
      <c r="I2098" s="397"/>
      <c r="J2098" s="750" t="e">
        <f t="shared" si="17"/>
        <v>#DIV/0!</v>
      </c>
      <c r="K2098" s="398"/>
      <c r="L2098" s="398"/>
      <c r="M2098" s="682"/>
      <c r="N2098" s="171"/>
      <c r="O2098" s="171"/>
      <c r="P2098" s="169"/>
      <c r="Q2098" s="171"/>
      <c r="R2098" s="171"/>
      <c r="S2098" s="171"/>
      <c r="T2098" s="171"/>
      <c r="U2098" s="171"/>
      <c r="V2098" s="171"/>
      <c r="W2098" s="171"/>
      <c r="X2098" s="171"/>
      <c r="Y2098" s="171"/>
      <c r="Z2098" s="171"/>
      <c r="AA2098" s="171"/>
    </row>
    <row r="2099" spans="1:27" s="530" customFormat="1" hidden="1" x14ac:dyDescent="0.2">
      <c r="A2099" s="526"/>
      <c r="B2099" s="527"/>
      <c r="C2099" s="465"/>
      <c r="D2099" s="464"/>
      <c r="E2099" s="464"/>
      <c r="F2099" s="494">
        <v>511</v>
      </c>
      <c r="G2099" s="497" t="s">
        <v>4194</v>
      </c>
      <c r="H2099" s="397"/>
      <c r="I2099" s="397"/>
      <c r="J2099" s="750" t="e">
        <f t="shared" si="17"/>
        <v>#DIV/0!</v>
      </c>
      <c r="K2099" s="398"/>
      <c r="L2099" s="398"/>
      <c r="M2099" s="682"/>
      <c r="N2099" s="171"/>
      <c r="O2099" s="171"/>
      <c r="P2099" s="169"/>
      <c r="Q2099" s="171"/>
      <c r="R2099" s="171"/>
      <c r="S2099" s="171"/>
      <c r="T2099" s="171"/>
      <c r="U2099" s="171"/>
      <c r="V2099" s="171"/>
      <c r="W2099" s="171"/>
      <c r="X2099" s="171"/>
      <c r="Y2099" s="171"/>
      <c r="Z2099" s="171"/>
      <c r="AA2099" s="171"/>
    </row>
    <row r="2100" spans="1:27" s="530" customFormat="1" hidden="1" x14ac:dyDescent="0.2">
      <c r="A2100" s="526"/>
      <c r="B2100" s="527"/>
      <c r="C2100" s="465"/>
      <c r="D2100" s="464"/>
      <c r="E2100" s="464"/>
      <c r="F2100" s="494">
        <v>512</v>
      </c>
      <c r="G2100" s="497" t="s">
        <v>4195</v>
      </c>
      <c r="H2100" s="397"/>
      <c r="I2100" s="397"/>
      <c r="J2100" s="750" t="e">
        <f t="shared" si="17"/>
        <v>#DIV/0!</v>
      </c>
      <c r="K2100" s="398"/>
      <c r="L2100" s="398"/>
      <c r="M2100" s="682"/>
      <c r="N2100" s="171"/>
      <c r="O2100" s="171"/>
      <c r="P2100" s="169"/>
      <c r="Q2100" s="171"/>
      <c r="R2100" s="171"/>
      <c r="S2100" s="171"/>
      <c r="T2100" s="171"/>
      <c r="U2100" s="171"/>
      <c r="V2100" s="171"/>
      <c r="W2100" s="171"/>
      <c r="X2100" s="171"/>
      <c r="Y2100" s="171"/>
      <c r="Z2100" s="171"/>
      <c r="AA2100" s="171"/>
    </row>
    <row r="2101" spans="1:27" s="530" customFormat="1" hidden="1" x14ac:dyDescent="0.2">
      <c r="A2101" s="526"/>
      <c r="B2101" s="527"/>
      <c r="C2101" s="465"/>
      <c r="D2101" s="464"/>
      <c r="E2101" s="464"/>
      <c r="F2101" s="494">
        <v>513</v>
      </c>
      <c r="G2101" s="497" t="s">
        <v>4196</v>
      </c>
      <c r="H2101" s="397"/>
      <c r="I2101" s="397"/>
      <c r="J2101" s="750" t="e">
        <f t="shared" si="17"/>
        <v>#DIV/0!</v>
      </c>
      <c r="K2101" s="398"/>
      <c r="L2101" s="398"/>
      <c r="M2101" s="682"/>
      <c r="N2101" s="171"/>
      <c r="O2101" s="171"/>
      <c r="P2101" s="169"/>
      <c r="Q2101" s="171"/>
      <c r="R2101" s="171"/>
      <c r="S2101" s="171"/>
      <c r="T2101" s="171"/>
      <c r="U2101" s="171"/>
      <c r="V2101" s="171"/>
      <c r="W2101" s="171"/>
      <c r="X2101" s="171"/>
      <c r="Y2101" s="171"/>
      <c r="Z2101" s="171"/>
      <c r="AA2101" s="171"/>
    </row>
    <row r="2102" spans="1:27" s="530" customFormat="1" hidden="1" x14ac:dyDescent="0.2">
      <c r="A2102" s="526"/>
      <c r="B2102" s="527"/>
      <c r="C2102" s="465"/>
      <c r="D2102" s="464"/>
      <c r="E2102" s="464"/>
      <c r="F2102" s="494">
        <v>514</v>
      </c>
      <c r="G2102" s="495" t="s">
        <v>4197</v>
      </c>
      <c r="H2102" s="397"/>
      <c r="I2102" s="397"/>
      <c r="J2102" s="750" t="e">
        <f t="shared" si="17"/>
        <v>#DIV/0!</v>
      </c>
      <c r="K2102" s="398"/>
      <c r="L2102" s="398"/>
      <c r="M2102" s="682"/>
      <c r="N2102" s="171"/>
      <c r="O2102" s="171"/>
      <c r="P2102" s="169"/>
      <c r="Q2102" s="171"/>
      <c r="R2102" s="171"/>
      <c r="S2102" s="171"/>
      <c r="T2102" s="171"/>
      <c r="U2102" s="171"/>
      <c r="V2102" s="171"/>
      <c r="W2102" s="171"/>
      <c r="X2102" s="171"/>
      <c r="Y2102" s="171"/>
      <c r="Z2102" s="171"/>
      <c r="AA2102" s="171"/>
    </row>
    <row r="2103" spans="1:27" s="530" customFormat="1" hidden="1" x14ac:dyDescent="0.2">
      <c r="A2103" s="526"/>
      <c r="B2103" s="527"/>
      <c r="C2103" s="465"/>
      <c r="D2103" s="464"/>
      <c r="E2103" s="464"/>
      <c r="F2103" s="494">
        <v>515</v>
      </c>
      <c r="G2103" s="495" t="s">
        <v>3832</v>
      </c>
      <c r="H2103" s="397"/>
      <c r="I2103" s="397"/>
      <c r="J2103" s="750" t="e">
        <f t="shared" si="17"/>
        <v>#DIV/0!</v>
      </c>
      <c r="K2103" s="398"/>
      <c r="L2103" s="398"/>
      <c r="M2103" s="682"/>
      <c r="N2103" s="171"/>
      <c r="O2103" s="171"/>
      <c r="P2103" s="169"/>
      <c r="Q2103" s="171"/>
      <c r="R2103" s="171"/>
      <c r="S2103" s="171"/>
      <c r="T2103" s="171"/>
      <c r="U2103" s="171"/>
      <c r="V2103" s="171"/>
      <c r="W2103" s="171"/>
      <c r="X2103" s="171"/>
      <c r="Y2103" s="171"/>
      <c r="Z2103" s="171"/>
      <c r="AA2103" s="171"/>
    </row>
    <row r="2104" spans="1:27" s="530" customFormat="1" hidden="1" x14ac:dyDescent="0.2">
      <c r="A2104" s="526"/>
      <c r="B2104" s="527"/>
      <c r="C2104" s="465"/>
      <c r="D2104" s="464"/>
      <c r="E2104" s="464"/>
      <c r="F2104" s="494">
        <v>521</v>
      </c>
      <c r="G2104" s="495" t="s">
        <v>4198</v>
      </c>
      <c r="H2104" s="397"/>
      <c r="I2104" s="397"/>
      <c r="J2104" s="750" t="e">
        <f t="shared" si="17"/>
        <v>#DIV/0!</v>
      </c>
      <c r="K2104" s="398"/>
      <c r="L2104" s="398"/>
      <c r="M2104" s="682"/>
      <c r="N2104" s="171"/>
      <c r="O2104" s="171"/>
      <c r="P2104" s="169"/>
      <c r="Q2104" s="171"/>
      <c r="R2104" s="171"/>
      <c r="S2104" s="171"/>
      <c r="T2104" s="171"/>
      <c r="U2104" s="171"/>
      <c r="V2104" s="171"/>
      <c r="W2104" s="171"/>
      <c r="X2104" s="171"/>
      <c r="Y2104" s="171"/>
      <c r="Z2104" s="171"/>
      <c r="AA2104" s="171"/>
    </row>
    <row r="2105" spans="1:27" s="530" customFormat="1" hidden="1" x14ac:dyDescent="0.2">
      <c r="A2105" s="526"/>
      <c r="B2105" s="527"/>
      <c r="C2105" s="465"/>
      <c r="D2105" s="464"/>
      <c r="E2105" s="464"/>
      <c r="F2105" s="494">
        <v>522</v>
      </c>
      <c r="G2105" s="495" t="s">
        <v>4199</v>
      </c>
      <c r="H2105" s="397"/>
      <c r="I2105" s="397"/>
      <c r="J2105" s="750" t="e">
        <f t="shared" si="17"/>
        <v>#DIV/0!</v>
      </c>
      <c r="K2105" s="398"/>
      <c r="L2105" s="398"/>
      <c r="M2105" s="682"/>
      <c r="N2105" s="171"/>
      <c r="O2105" s="171"/>
      <c r="P2105" s="169"/>
      <c r="Q2105" s="171"/>
      <c r="R2105" s="171"/>
      <c r="S2105" s="171"/>
      <c r="T2105" s="171"/>
      <c r="U2105" s="171"/>
      <c r="V2105" s="171"/>
      <c r="W2105" s="171"/>
      <c r="X2105" s="171"/>
      <c r="Y2105" s="171"/>
      <c r="Z2105" s="171"/>
      <c r="AA2105" s="171"/>
    </row>
    <row r="2106" spans="1:27" s="530" customFormat="1" hidden="1" x14ac:dyDescent="0.2">
      <c r="A2106" s="526"/>
      <c r="B2106" s="527"/>
      <c r="C2106" s="465"/>
      <c r="D2106" s="464"/>
      <c r="E2106" s="464"/>
      <c r="F2106" s="494">
        <v>523</v>
      </c>
      <c r="G2106" s="495" t="s">
        <v>3837</v>
      </c>
      <c r="H2106" s="397"/>
      <c r="I2106" s="397"/>
      <c r="J2106" s="750" t="e">
        <f t="shared" si="17"/>
        <v>#DIV/0!</v>
      </c>
      <c r="K2106" s="398"/>
      <c r="L2106" s="398"/>
      <c r="M2106" s="682"/>
      <c r="N2106" s="171"/>
      <c r="O2106" s="171"/>
      <c r="P2106" s="169"/>
      <c r="Q2106" s="171"/>
      <c r="R2106" s="171"/>
      <c r="S2106" s="171"/>
      <c r="T2106" s="171"/>
      <c r="U2106" s="171"/>
      <c r="V2106" s="171"/>
      <c r="W2106" s="171"/>
      <c r="X2106" s="171"/>
      <c r="Y2106" s="171"/>
      <c r="Z2106" s="171"/>
      <c r="AA2106" s="171"/>
    </row>
    <row r="2107" spans="1:27" s="530" customFormat="1" hidden="1" x14ac:dyDescent="0.2">
      <c r="A2107" s="526"/>
      <c r="B2107" s="527"/>
      <c r="C2107" s="465"/>
      <c r="D2107" s="464"/>
      <c r="E2107" s="464"/>
      <c r="F2107" s="494">
        <v>531</v>
      </c>
      <c r="G2107" s="496" t="s">
        <v>4175</v>
      </c>
      <c r="H2107" s="397"/>
      <c r="I2107" s="397"/>
      <c r="J2107" s="750" t="e">
        <f t="shared" si="17"/>
        <v>#DIV/0!</v>
      </c>
      <c r="K2107" s="398"/>
      <c r="L2107" s="398"/>
      <c r="M2107" s="682"/>
      <c r="N2107" s="171"/>
      <c r="O2107" s="171"/>
      <c r="P2107" s="169"/>
      <c r="Q2107" s="171"/>
      <c r="R2107" s="171"/>
      <c r="S2107" s="171"/>
      <c r="T2107" s="171"/>
      <c r="U2107" s="171"/>
      <c r="V2107" s="171"/>
      <c r="W2107" s="171"/>
      <c r="X2107" s="171"/>
      <c r="Y2107" s="171"/>
      <c r="Z2107" s="171"/>
      <c r="AA2107" s="171"/>
    </row>
    <row r="2108" spans="1:27" s="530" customFormat="1" hidden="1" x14ac:dyDescent="0.2">
      <c r="A2108" s="526"/>
      <c r="B2108" s="527"/>
      <c r="C2108" s="465"/>
      <c r="D2108" s="464"/>
      <c r="E2108" s="464"/>
      <c r="F2108" s="494">
        <v>541</v>
      </c>
      <c r="G2108" s="495" t="s">
        <v>4200</v>
      </c>
      <c r="H2108" s="397"/>
      <c r="I2108" s="397"/>
      <c r="J2108" s="750" t="e">
        <f t="shared" si="17"/>
        <v>#DIV/0!</v>
      </c>
      <c r="K2108" s="398"/>
      <c r="L2108" s="398"/>
      <c r="M2108" s="682"/>
      <c r="N2108" s="171"/>
      <c r="O2108" s="171"/>
      <c r="P2108" s="169"/>
      <c r="Q2108" s="171"/>
      <c r="R2108" s="171"/>
      <c r="S2108" s="171"/>
      <c r="T2108" s="171"/>
      <c r="U2108" s="171"/>
      <c r="V2108" s="171"/>
      <c r="W2108" s="171"/>
      <c r="X2108" s="171"/>
      <c r="Y2108" s="171"/>
      <c r="Z2108" s="171"/>
      <c r="AA2108" s="171"/>
    </row>
    <row r="2109" spans="1:27" s="530" customFormat="1" hidden="1" x14ac:dyDescent="0.2">
      <c r="A2109" s="526"/>
      <c r="B2109" s="527"/>
      <c r="C2109" s="465"/>
      <c r="D2109" s="464"/>
      <c r="E2109" s="464"/>
      <c r="F2109" s="494">
        <v>542</v>
      </c>
      <c r="G2109" s="495" t="s">
        <v>4201</v>
      </c>
      <c r="H2109" s="397"/>
      <c r="I2109" s="397"/>
      <c r="J2109" s="750" t="e">
        <f t="shared" si="17"/>
        <v>#DIV/0!</v>
      </c>
      <c r="K2109" s="398"/>
      <c r="L2109" s="398"/>
      <c r="M2109" s="682"/>
      <c r="N2109" s="171"/>
      <c r="O2109" s="171"/>
      <c r="P2109" s="169"/>
      <c r="Q2109" s="171"/>
      <c r="R2109" s="171"/>
      <c r="S2109" s="171"/>
      <c r="T2109" s="171"/>
      <c r="U2109" s="171"/>
      <c r="V2109" s="171"/>
      <c r="W2109" s="171"/>
      <c r="X2109" s="171"/>
      <c r="Y2109" s="171"/>
      <c r="Z2109" s="171"/>
      <c r="AA2109" s="171"/>
    </row>
    <row r="2110" spans="1:27" s="530" customFormat="1" hidden="1" x14ac:dyDescent="0.2">
      <c r="A2110" s="526"/>
      <c r="B2110" s="527"/>
      <c r="C2110" s="465"/>
      <c r="D2110" s="464"/>
      <c r="E2110" s="464"/>
      <c r="F2110" s="494">
        <v>543</v>
      </c>
      <c r="G2110" s="495" t="s">
        <v>3842</v>
      </c>
      <c r="H2110" s="397"/>
      <c r="I2110" s="397"/>
      <c r="J2110" s="750" t="e">
        <f t="shared" si="17"/>
        <v>#DIV/0!</v>
      </c>
      <c r="K2110" s="398"/>
      <c r="L2110" s="398"/>
      <c r="M2110" s="682"/>
      <c r="N2110" s="171"/>
      <c r="O2110" s="171"/>
      <c r="P2110" s="169"/>
      <c r="Q2110" s="171"/>
      <c r="R2110" s="171"/>
      <c r="S2110" s="171"/>
      <c r="T2110" s="171"/>
      <c r="U2110" s="171"/>
      <c r="V2110" s="171"/>
      <c r="W2110" s="171"/>
      <c r="X2110" s="171"/>
      <c r="Y2110" s="171"/>
      <c r="Z2110" s="171"/>
      <c r="AA2110" s="171"/>
    </row>
    <row r="2111" spans="1:27" s="530" customFormat="1" ht="38.25" hidden="1" x14ac:dyDescent="0.2">
      <c r="A2111" s="526"/>
      <c r="B2111" s="527"/>
      <c r="C2111" s="465"/>
      <c r="D2111" s="464"/>
      <c r="E2111" s="464"/>
      <c r="F2111" s="494">
        <v>551</v>
      </c>
      <c r="G2111" s="495" t="s">
        <v>4176</v>
      </c>
      <c r="H2111" s="397"/>
      <c r="I2111" s="397"/>
      <c r="J2111" s="750" t="e">
        <f t="shared" si="17"/>
        <v>#DIV/0!</v>
      </c>
      <c r="K2111" s="398"/>
      <c r="L2111" s="398"/>
      <c r="M2111" s="682"/>
      <c r="N2111" s="171"/>
      <c r="O2111" s="171"/>
      <c r="P2111" s="169"/>
      <c r="Q2111" s="171"/>
      <c r="R2111" s="171"/>
      <c r="S2111" s="171"/>
      <c r="T2111" s="171"/>
      <c r="U2111" s="171"/>
      <c r="V2111" s="171"/>
      <c r="W2111" s="171"/>
      <c r="X2111" s="171"/>
      <c r="Y2111" s="171"/>
      <c r="Z2111" s="171"/>
      <c r="AA2111" s="171"/>
    </row>
    <row r="2112" spans="1:27" s="530" customFormat="1" hidden="1" x14ac:dyDescent="0.2">
      <c r="A2112" s="526"/>
      <c r="B2112" s="527"/>
      <c r="C2112" s="465"/>
      <c r="D2112" s="464"/>
      <c r="E2112" s="464"/>
      <c r="F2112" s="498">
        <v>611</v>
      </c>
      <c r="G2112" s="499" t="s">
        <v>3848</v>
      </c>
      <c r="H2112" s="397"/>
      <c r="I2112" s="397"/>
      <c r="J2112" s="750" t="e">
        <f t="shared" si="17"/>
        <v>#DIV/0!</v>
      </c>
      <c r="K2112" s="398"/>
      <c r="L2112" s="398"/>
      <c r="M2112" s="682"/>
      <c r="N2112" s="171"/>
      <c r="O2112" s="171"/>
      <c r="P2112" s="169"/>
      <c r="Q2112" s="171"/>
      <c r="R2112" s="171"/>
      <c r="S2112" s="171"/>
      <c r="T2112" s="171"/>
      <c r="U2112" s="171"/>
      <c r="V2112" s="171"/>
      <c r="W2112" s="171"/>
      <c r="X2112" s="171"/>
      <c r="Y2112" s="171"/>
      <c r="Z2112" s="171"/>
      <c r="AA2112" s="171"/>
    </row>
    <row r="2113" spans="1:27" s="530" customFormat="1" hidden="1" x14ac:dyDescent="0.2">
      <c r="A2113" s="526"/>
      <c r="B2113" s="527"/>
      <c r="C2113" s="465"/>
      <c r="D2113" s="464"/>
      <c r="E2113" s="464"/>
      <c r="F2113" s="498">
        <v>620</v>
      </c>
      <c r="G2113" s="499" t="s">
        <v>88</v>
      </c>
      <c r="H2113" s="397"/>
      <c r="I2113" s="397"/>
      <c r="J2113" s="750" t="e">
        <f t="shared" si="17"/>
        <v>#DIV/0!</v>
      </c>
      <c r="K2113" s="398"/>
      <c r="L2113" s="398"/>
      <c r="M2113" s="682"/>
      <c r="N2113" s="171"/>
      <c r="O2113" s="171"/>
      <c r="P2113" s="169"/>
      <c r="Q2113" s="171"/>
      <c r="R2113" s="171"/>
      <c r="S2113" s="171"/>
      <c r="T2113" s="171"/>
      <c r="U2113" s="171"/>
      <c r="V2113" s="171"/>
      <c r="W2113" s="171"/>
      <c r="X2113" s="171"/>
      <c r="Y2113" s="171"/>
      <c r="Z2113" s="171"/>
      <c r="AA2113" s="171"/>
    </row>
    <row r="2114" spans="1:27" s="530" customFormat="1" hidden="1" x14ac:dyDescent="0.2">
      <c r="A2114" s="526"/>
      <c r="B2114" s="527"/>
      <c r="C2114" s="465"/>
      <c r="D2114" s="464"/>
      <c r="E2114" s="500"/>
      <c r="F2114" s="498"/>
      <c r="G2114" s="509" t="s">
        <v>4379</v>
      </c>
      <c r="H2114" s="400"/>
      <c r="I2114" s="400"/>
      <c r="J2114" s="750" t="e">
        <f t="shared" si="17"/>
        <v>#DIV/0!</v>
      </c>
      <c r="K2114" s="401"/>
      <c r="L2114" s="402"/>
      <c r="M2114" s="682"/>
      <c r="N2114" s="171"/>
      <c r="O2114" s="171"/>
      <c r="P2114" s="169"/>
      <c r="Q2114" s="171"/>
      <c r="R2114" s="171"/>
      <c r="S2114" s="171"/>
      <c r="T2114" s="171"/>
      <c r="U2114" s="171"/>
      <c r="V2114" s="171"/>
      <c r="W2114" s="171"/>
      <c r="X2114" s="171"/>
      <c r="Y2114" s="171"/>
      <c r="Z2114" s="171"/>
      <c r="AA2114" s="171"/>
    </row>
    <row r="2115" spans="1:27" s="530" customFormat="1" hidden="1" x14ac:dyDescent="0.2">
      <c r="A2115" s="526"/>
      <c r="B2115" s="527"/>
      <c r="C2115" s="465"/>
      <c r="D2115" s="464"/>
      <c r="E2115" s="502"/>
      <c r="F2115" s="503" t="s">
        <v>234</v>
      </c>
      <c r="G2115" s="504" t="s">
        <v>235</v>
      </c>
      <c r="H2115" s="403">
        <f>SUM(H2054:H2113)</f>
        <v>0</v>
      </c>
      <c r="I2115" s="403"/>
      <c r="J2115" s="750" t="e">
        <f t="shared" si="17"/>
        <v>#DIV/0!</v>
      </c>
      <c r="K2115" s="404"/>
      <c r="L2115" s="404"/>
      <c r="M2115" s="682"/>
      <c r="N2115" s="171"/>
      <c r="O2115" s="171"/>
      <c r="P2115" s="169"/>
      <c r="Q2115" s="171"/>
      <c r="R2115" s="171"/>
      <c r="S2115" s="171"/>
      <c r="T2115" s="171"/>
      <c r="U2115" s="171"/>
      <c r="V2115" s="171"/>
      <c r="W2115" s="171"/>
      <c r="X2115" s="171"/>
      <c r="Y2115" s="171"/>
      <c r="Z2115" s="171"/>
      <c r="AA2115" s="171"/>
    </row>
    <row r="2116" spans="1:27" s="530" customFormat="1" hidden="1" x14ac:dyDescent="0.2">
      <c r="A2116" s="526"/>
      <c r="B2116" s="527"/>
      <c r="C2116" s="465"/>
      <c r="D2116" s="464"/>
      <c r="E2116" s="464"/>
      <c r="F2116" s="503" t="s">
        <v>236</v>
      </c>
      <c r="G2116" s="504" t="s">
        <v>237</v>
      </c>
      <c r="H2116" s="397"/>
      <c r="I2116" s="397"/>
      <c r="J2116" s="750" t="e">
        <f t="shared" si="17"/>
        <v>#DIV/0!</v>
      </c>
      <c r="K2116" s="398"/>
      <c r="L2116" s="404"/>
      <c r="M2116" s="682"/>
      <c r="N2116" s="171"/>
      <c r="O2116" s="171"/>
      <c r="P2116" s="169"/>
      <c r="Q2116" s="171"/>
      <c r="R2116" s="171"/>
      <c r="S2116" s="171"/>
      <c r="T2116" s="171"/>
      <c r="U2116" s="171"/>
      <c r="V2116" s="171"/>
      <c r="W2116" s="171"/>
      <c r="X2116" s="171"/>
      <c r="Y2116" s="171"/>
      <c r="Z2116" s="171"/>
      <c r="AA2116" s="171"/>
    </row>
    <row r="2117" spans="1:27" s="530" customFormat="1" hidden="1" x14ac:dyDescent="0.2">
      <c r="A2117" s="526"/>
      <c r="B2117" s="527"/>
      <c r="C2117" s="465"/>
      <c r="D2117" s="464"/>
      <c r="E2117" s="464"/>
      <c r="F2117" s="503" t="s">
        <v>238</v>
      </c>
      <c r="G2117" s="504" t="s">
        <v>239</v>
      </c>
      <c r="H2117" s="397"/>
      <c r="I2117" s="397"/>
      <c r="J2117" s="750" t="e">
        <f t="shared" si="17"/>
        <v>#DIV/0!</v>
      </c>
      <c r="K2117" s="398"/>
      <c r="L2117" s="404"/>
      <c r="M2117" s="682"/>
      <c r="N2117" s="171"/>
      <c r="O2117" s="171"/>
      <c r="P2117" s="169"/>
      <c r="Q2117" s="171"/>
      <c r="R2117" s="171"/>
      <c r="S2117" s="171"/>
      <c r="T2117" s="171"/>
      <c r="U2117" s="171"/>
      <c r="V2117" s="171"/>
      <c r="W2117" s="171"/>
      <c r="X2117" s="171"/>
      <c r="Y2117" s="171"/>
      <c r="Z2117" s="171"/>
      <c r="AA2117" s="171"/>
    </row>
    <row r="2118" spans="1:27" s="530" customFormat="1" hidden="1" x14ac:dyDescent="0.2">
      <c r="A2118" s="526"/>
      <c r="B2118" s="527"/>
      <c r="C2118" s="465"/>
      <c r="D2118" s="464"/>
      <c r="E2118" s="464"/>
      <c r="F2118" s="503" t="s">
        <v>240</v>
      </c>
      <c r="G2118" s="504" t="s">
        <v>241</v>
      </c>
      <c r="H2118" s="397"/>
      <c r="I2118" s="397"/>
      <c r="J2118" s="750" t="e">
        <f t="shared" si="17"/>
        <v>#DIV/0!</v>
      </c>
      <c r="K2118" s="398"/>
      <c r="L2118" s="404"/>
      <c r="M2118" s="682"/>
      <c r="N2118" s="171"/>
      <c r="O2118" s="171"/>
      <c r="P2118" s="169"/>
      <c r="Q2118" s="171"/>
      <c r="R2118" s="171"/>
      <c r="S2118" s="171"/>
      <c r="T2118" s="171"/>
      <c r="U2118" s="171"/>
      <c r="V2118" s="171"/>
      <c r="W2118" s="171"/>
      <c r="X2118" s="171"/>
      <c r="Y2118" s="171"/>
      <c r="Z2118" s="171"/>
      <c r="AA2118" s="171"/>
    </row>
    <row r="2119" spans="1:27" s="530" customFormat="1" hidden="1" x14ac:dyDescent="0.2">
      <c r="A2119" s="526"/>
      <c r="B2119" s="527"/>
      <c r="C2119" s="465"/>
      <c r="D2119" s="464"/>
      <c r="E2119" s="464"/>
      <c r="F2119" s="503" t="s">
        <v>242</v>
      </c>
      <c r="G2119" s="504" t="s">
        <v>243</v>
      </c>
      <c r="H2119" s="397"/>
      <c r="I2119" s="397"/>
      <c r="J2119" s="750" t="e">
        <f t="shared" si="17"/>
        <v>#DIV/0!</v>
      </c>
      <c r="K2119" s="398"/>
      <c r="L2119" s="404"/>
      <c r="M2119" s="682"/>
      <c r="N2119" s="171"/>
      <c r="O2119" s="171"/>
      <c r="P2119" s="169"/>
      <c r="Q2119" s="171"/>
      <c r="R2119" s="171"/>
      <c r="S2119" s="171"/>
      <c r="T2119" s="171"/>
      <c r="U2119" s="171"/>
      <c r="V2119" s="171"/>
      <c r="W2119" s="171"/>
      <c r="X2119" s="171"/>
      <c r="Y2119" s="171"/>
      <c r="Z2119" s="171"/>
      <c r="AA2119" s="171"/>
    </row>
    <row r="2120" spans="1:27" s="530" customFormat="1" hidden="1" x14ac:dyDescent="0.2">
      <c r="A2120" s="526"/>
      <c r="B2120" s="527"/>
      <c r="C2120" s="465"/>
      <c r="D2120" s="464"/>
      <c r="E2120" s="464"/>
      <c r="F2120" s="503" t="s">
        <v>244</v>
      </c>
      <c r="G2120" s="504" t="s">
        <v>245</v>
      </c>
      <c r="H2120" s="397"/>
      <c r="I2120" s="397"/>
      <c r="J2120" s="750" t="e">
        <f t="shared" si="17"/>
        <v>#DIV/0!</v>
      </c>
      <c r="K2120" s="398"/>
      <c r="L2120" s="404"/>
      <c r="M2120" s="682"/>
      <c r="N2120" s="171"/>
      <c r="O2120" s="171"/>
      <c r="P2120" s="169"/>
      <c r="Q2120" s="171"/>
      <c r="R2120" s="171"/>
      <c r="S2120" s="171"/>
      <c r="T2120" s="171"/>
      <c r="U2120" s="171"/>
      <c r="V2120" s="171"/>
      <c r="W2120" s="171"/>
      <c r="X2120" s="171"/>
      <c r="Y2120" s="171"/>
      <c r="Z2120" s="171"/>
      <c r="AA2120" s="171"/>
    </row>
    <row r="2121" spans="1:27" s="530" customFormat="1" hidden="1" x14ac:dyDescent="0.2">
      <c r="A2121" s="526"/>
      <c r="B2121" s="527"/>
      <c r="C2121" s="465"/>
      <c r="D2121" s="464"/>
      <c r="E2121" s="464"/>
      <c r="F2121" s="503" t="s">
        <v>246</v>
      </c>
      <c r="G2121" s="504" t="s">
        <v>247</v>
      </c>
      <c r="H2121" s="397"/>
      <c r="I2121" s="397"/>
      <c r="J2121" s="750" t="e">
        <f t="shared" si="17"/>
        <v>#DIV/0!</v>
      </c>
      <c r="K2121" s="398"/>
      <c r="L2121" s="404"/>
      <c r="M2121" s="682"/>
      <c r="N2121" s="171"/>
      <c r="O2121" s="171"/>
      <c r="P2121" s="169"/>
      <c r="Q2121" s="171"/>
      <c r="R2121" s="171"/>
      <c r="S2121" s="171"/>
      <c r="T2121" s="171"/>
      <c r="U2121" s="171"/>
      <c r="V2121" s="171"/>
      <c r="W2121" s="171"/>
      <c r="X2121" s="171"/>
      <c r="Y2121" s="171"/>
      <c r="Z2121" s="171"/>
      <c r="AA2121" s="171"/>
    </row>
    <row r="2122" spans="1:27" s="530" customFormat="1" ht="25.5" hidden="1" x14ac:dyDescent="0.2">
      <c r="A2122" s="526"/>
      <c r="B2122" s="527"/>
      <c r="C2122" s="465"/>
      <c r="D2122" s="464"/>
      <c r="E2122" s="464"/>
      <c r="F2122" s="503" t="s">
        <v>248</v>
      </c>
      <c r="G2122" s="504" t="s">
        <v>249</v>
      </c>
      <c r="H2122" s="397"/>
      <c r="I2122" s="397"/>
      <c r="J2122" s="750" t="e">
        <f t="shared" si="17"/>
        <v>#DIV/0!</v>
      </c>
      <c r="K2122" s="398"/>
      <c r="L2122" s="404"/>
      <c r="M2122" s="682"/>
      <c r="N2122" s="171"/>
      <c r="O2122" s="171"/>
      <c r="P2122" s="169"/>
      <c r="Q2122" s="171"/>
      <c r="R2122" s="171"/>
      <c r="S2122" s="171"/>
      <c r="T2122" s="171"/>
      <c r="U2122" s="171"/>
      <c r="V2122" s="171"/>
      <c r="W2122" s="171"/>
      <c r="X2122" s="171"/>
      <c r="Y2122" s="171"/>
      <c r="Z2122" s="171"/>
      <c r="AA2122" s="171"/>
    </row>
    <row r="2123" spans="1:27" s="530" customFormat="1" hidden="1" x14ac:dyDescent="0.2">
      <c r="A2123" s="526"/>
      <c r="B2123" s="527"/>
      <c r="C2123" s="465"/>
      <c r="D2123" s="464"/>
      <c r="E2123" s="464"/>
      <c r="F2123" s="503" t="s">
        <v>250</v>
      </c>
      <c r="G2123" s="504" t="s">
        <v>57</v>
      </c>
      <c r="H2123" s="397"/>
      <c r="I2123" s="397"/>
      <c r="J2123" s="750" t="e">
        <f t="shared" si="17"/>
        <v>#DIV/0!</v>
      </c>
      <c r="K2123" s="398"/>
      <c r="L2123" s="404"/>
      <c r="M2123" s="682"/>
      <c r="N2123" s="171"/>
      <c r="O2123" s="171"/>
      <c r="P2123" s="169"/>
      <c r="Q2123" s="171"/>
      <c r="R2123" s="171"/>
      <c r="S2123" s="171"/>
      <c r="T2123" s="171"/>
      <c r="U2123" s="171"/>
      <c r="V2123" s="171"/>
      <c r="W2123" s="171"/>
      <c r="X2123" s="171"/>
      <c r="Y2123" s="171"/>
      <c r="Z2123" s="171"/>
      <c r="AA2123" s="171"/>
    </row>
    <row r="2124" spans="1:27" s="530" customFormat="1" hidden="1" x14ac:dyDescent="0.2">
      <c r="A2124" s="526"/>
      <c r="B2124" s="527"/>
      <c r="C2124" s="465"/>
      <c r="D2124" s="464"/>
      <c r="E2124" s="464"/>
      <c r="F2124" s="503" t="s">
        <v>251</v>
      </c>
      <c r="G2124" s="504" t="s">
        <v>252</v>
      </c>
      <c r="H2124" s="397"/>
      <c r="I2124" s="397"/>
      <c r="J2124" s="750" t="e">
        <f t="shared" si="17"/>
        <v>#DIV/0!</v>
      </c>
      <c r="K2124" s="398"/>
      <c r="L2124" s="404"/>
      <c r="M2124" s="682"/>
      <c r="N2124" s="171"/>
      <c r="O2124" s="171"/>
      <c r="P2124" s="169"/>
      <c r="Q2124" s="171"/>
      <c r="R2124" s="171"/>
      <c r="S2124" s="171"/>
      <c r="T2124" s="171"/>
      <c r="U2124" s="171"/>
      <c r="V2124" s="171"/>
      <c r="W2124" s="171"/>
      <c r="X2124" s="171"/>
      <c r="Y2124" s="171"/>
      <c r="Z2124" s="171"/>
      <c r="AA2124" s="171"/>
    </row>
    <row r="2125" spans="1:27" s="530" customFormat="1" hidden="1" x14ac:dyDescent="0.2">
      <c r="A2125" s="526"/>
      <c r="B2125" s="527"/>
      <c r="C2125" s="465"/>
      <c r="D2125" s="464"/>
      <c r="E2125" s="464"/>
      <c r="F2125" s="503" t="s">
        <v>253</v>
      </c>
      <c r="G2125" s="504" t="s">
        <v>254</v>
      </c>
      <c r="H2125" s="397"/>
      <c r="I2125" s="397"/>
      <c r="J2125" s="750" t="e">
        <f t="shared" ref="J2125:J2188" si="18">SUM(I2125/H2125)*100</f>
        <v>#DIV/0!</v>
      </c>
      <c r="K2125" s="398"/>
      <c r="L2125" s="404"/>
      <c r="M2125" s="682"/>
      <c r="N2125" s="171"/>
      <c r="O2125" s="171"/>
      <c r="P2125" s="169"/>
      <c r="Q2125" s="171"/>
      <c r="R2125" s="171"/>
      <c r="S2125" s="171"/>
      <c r="T2125" s="171"/>
      <c r="U2125" s="171"/>
      <c r="V2125" s="171"/>
      <c r="W2125" s="171"/>
      <c r="X2125" s="171"/>
      <c r="Y2125" s="171"/>
      <c r="Z2125" s="171"/>
      <c r="AA2125" s="171"/>
    </row>
    <row r="2126" spans="1:27" s="530" customFormat="1" ht="25.5" hidden="1" x14ac:dyDescent="0.2">
      <c r="A2126" s="526"/>
      <c r="B2126" s="527"/>
      <c r="C2126" s="465"/>
      <c r="D2126" s="464"/>
      <c r="E2126" s="464"/>
      <c r="F2126" s="503" t="s">
        <v>255</v>
      </c>
      <c r="G2126" s="504" t="s">
        <v>256</v>
      </c>
      <c r="H2126" s="397"/>
      <c r="I2126" s="397"/>
      <c r="J2126" s="750" t="e">
        <f t="shared" si="18"/>
        <v>#DIV/0!</v>
      </c>
      <c r="K2126" s="398"/>
      <c r="L2126" s="404"/>
      <c r="M2126" s="682"/>
      <c r="N2126" s="171"/>
      <c r="O2126" s="171"/>
      <c r="P2126" s="169"/>
      <c r="Q2126" s="171"/>
      <c r="R2126" s="171"/>
      <c r="S2126" s="171"/>
      <c r="T2126" s="171"/>
      <c r="U2126" s="171"/>
      <c r="V2126" s="171"/>
      <c r="W2126" s="171"/>
      <c r="X2126" s="171"/>
      <c r="Y2126" s="171"/>
      <c r="Z2126" s="171"/>
      <c r="AA2126" s="171"/>
    </row>
    <row r="2127" spans="1:27" s="530" customFormat="1" ht="25.5" hidden="1" x14ac:dyDescent="0.2">
      <c r="A2127" s="526"/>
      <c r="B2127" s="527"/>
      <c r="C2127" s="465"/>
      <c r="D2127" s="464"/>
      <c r="E2127" s="464"/>
      <c r="F2127" s="503" t="s">
        <v>257</v>
      </c>
      <c r="G2127" s="504" t="s">
        <v>258</v>
      </c>
      <c r="H2127" s="397"/>
      <c r="I2127" s="397"/>
      <c r="J2127" s="750" t="e">
        <f t="shared" si="18"/>
        <v>#DIV/0!</v>
      </c>
      <c r="K2127" s="398"/>
      <c r="L2127" s="404"/>
      <c r="M2127" s="682"/>
      <c r="N2127" s="171"/>
      <c r="O2127" s="171"/>
      <c r="P2127" s="169"/>
      <c r="Q2127" s="171"/>
      <c r="R2127" s="171"/>
      <c r="S2127" s="171"/>
      <c r="T2127" s="171"/>
      <c r="U2127" s="171"/>
      <c r="V2127" s="171"/>
      <c r="W2127" s="171"/>
      <c r="X2127" s="171"/>
      <c r="Y2127" s="171"/>
      <c r="Z2127" s="171"/>
      <c r="AA2127" s="171"/>
    </row>
    <row r="2128" spans="1:27" s="530" customFormat="1" ht="25.5" hidden="1" x14ac:dyDescent="0.2">
      <c r="A2128" s="526"/>
      <c r="B2128" s="527"/>
      <c r="C2128" s="465"/>
      <c r="D2128" s="464"/>
      <c r="E2128" s="464"/>
      <c r="F2128" s="503" t="s">
        <v>259</v>
      </c>
      <c r="G2128" s="504" t="s">
        <v>260</v>
      </c>
      <c r="H2128" s="397"/>
      <c r="I2128" s="397"/>
      <c r="J2128" s="750" t="e">
        <f t="shared" si="18"/>
        <v>#DIV/0!</v>
      </c>
      <c r="K2128" s="398"/>
      <c r="L2128" s="404"/>
      <c r="M2128" s="682"/>
      <c r="N2128" s="171"/>
      <c r="O2128" s="171"/>
      <c r="P2128" s="169"/>
      <c r="Q2128" s="171"/>
      <c r="R2128" s="171"/>
      <c r="S2128" s="171"/>
      <c r="T2128" s="171"/>
      <c r="U2128" s="171"/>
      <c r="V2128" s="171"/>
      <c r="W2128" s="171"/>
      <c r="X2128" s="171"/>
      <c r="Y2128" s="171"/>
      <c r="Z2128" s="171"/>
      <c r="AA2128" s="171"/>
    </row>
    <row r="2129" spans="1:27" s="530" customFormat="1" ht="25.5" hidden="1" x14ac:dyDescent="0.2">
      <c r="A2129" s="526"/>
      <c r="B2129" s="527"/>
      <c r="C2129" s="465"/>
      <c r="D2129" s="464"/>
      <c r="E2129" s="464"/>
      <c r="F2129" s="503" t="s">
        <v>261</v>
      </c>
      <c r="G2129" s="504" t="s">
        <v>262</v>
      </c>
      <c r="H2129" s="397"/>
      <c r="I2129" s="397"/>
      <c r="J2129" s="750" t="e">
        <f t="shared" si="18"/>
        <v>#DIV/0!</v>
      </c>
      <c r="K2129" s="398"/>
      <c r="L2129" s="404"/>
      <c r="M2129" s="682"/>
      <c r="N2129" s="171"/>
      <c r="O2129" s="171"/>
      <c r="P2129" s="169"/>
      <c r="Q2129" s="171"/>
      <c r="R2129" s="171"/>
      <c r="S2129" s="171"/>
      <c r="T2129" s="171"/>
      <c r="U2129" s="171"/>
      <c r="V2129" s="171"/>
      <c r="W2129" s="171"/>
      <c r="X2129" s="171"/>
      <c r="Y2129" s="171"/>
      <c r="Z2129" s="171"/>
      <c r="AA2129" s="171"/>
    </row>
    <row r="2130" spans="1:27" s="530" customFormat="1" hidden="1" x14ac:dyDescent="0.2">
      <c r="A2130" s="526"/>
      <c r="B2130" s="527"/>
      <c r="C2130" s="465"/>
      <c r="D2130" s="464"/>
      <c r="E2130" s="464"/>
      <c r="F2130" s="503" t="s">
        <v>263</v>
      </c>
      <c r="G2130" s="504" t="s">
        <v>264</v>
      </c>
      <c r="H2130" s="403"/>
      <c r="I2130" s="403"/>
      <c r="J2130" s="750" t="e">
        <f t="shared" si="18"/>
        <v>#DIV/0!</v>
      </c>
      <c r="K2130" s="404"/>
      <c r="L2130" s="404"/>
      <c r="M2130" s="682"/>
      <c r="N2130" s="171"/>
      <c r="O2130" s="171"/>
      <c r="P2130" s="169"/>
      <c r="Q2130" s="171"/>
      <c r="R2130" s="171"/>
      <c r="S2130" s="171"/>
      <c r="T2130" s="171"/>
      <c r="U2130" s="171"/>
      <c r="V2130" s="171"/>
      <c r="W2130" s="171"/>
      <c r="X2130" s="171"/>
      <c r="Y2130" s="171"/>
      <c r="Z2130" s="171"/>
      <c r="AA2130" s="171"/>
    </row>
    <row r="2131" spans="1:27" s="530" customFormat="1" ht="13.5" hidden="1" thickBot="1" x14ac:dyDescent="0.25">
      <c r="A2131" s="526"/>
      <c r="B2131" s="527"/>
      <c r="C2131" s="465"/>
      <c r="D2131" s="464"/>
      <c r="E2131" s="464"/>
      <c r="F2131" s="464"/>
      <c r="G2131" s="505" t="s">
        <v>4380</v>
      </c>
      <c r="H2131" s="405">
        <f>SUM(H2115:H2130)</f>
        <v>0</v>
      </c>
      <c r="I2131" s="405"/>
      <c r="J2131" s="750" t="e">
        <f t="shared" si="18"/>
        <v>#DIV/0!</v>
      </c>
      <c r="K2131" s="406">
        <f>SUM(K2116:K2130)</f>
        <v>0</v>
      </c>
      <c r="L2131" s="406"/>
      <c r="M2131" s="682"/>
      <c r="N2131" s="171"/>
      <c r="O2131" s="171"/>
      <c r="P2131" s="169"/>
      <c r="Q2131" s="171"/>
      <c r="R2131" s="171"/>
      <c r="S2131" s="171"/>
      <c r="T2131" s="171"/>
      <c r="U2131" s="171"/>
      <c r="V2131" s="171"/>
      <c r="W2131" s="171"/>
      <c r="X2131" s="171"/>
      <c r="Y2131" s="171"/>
      <c r="Z2131" s="171"/>
      <c r="AA2131" s="171"/>
    </row>
    <row r="2132" spans="1:27" s="530" customFormat="1" ht="25.5" hidden="1" x14ac:dyDescent="0.2">
      <c r="A2132" s="526"/>
      <c r="B2132" s="527"/>
      <c r="C2132" s="465"/>
      <c r="D2132" s="464"/>
      <c r="E2132" s="500"/>
      <c r="F2132" s="498"/>
      <c r="G2132" s="506" t="s">
        <v>4381</v>
      </c>
      <c r="H2132" s="407"/>
      <c r="I2132" s="408"/>
      <c r="J2132" s="750" t="e">
        <f t="shared" si="18"/>
        <v>#DIV/0!</v>
      </c>
      <c r="K2132" s="409"/>
      <c r="L2132" s="410"/>
      <c r="M2132" s="682"/>
      <c r="N2132" s="171"/>
      <c r="O2132" s="171"/>
      <c r="P2132" s="169"/>
      <c r="Q2132" s="171"/>
      <c r="R2132" s="171"/>
      <c r="S2132" s="171"/>
      <c r="T2132" s="171"/>
      <c r="U2132" s="171"/>
      <c r="V2132" s="171"/>
      <c r="W2132" s="171"/>
      <c r="X2132" s="171"/>
      <c r="Y2132" s="171"/>
      <c r="Z2132" s="171"/>
      <c r="AA2132" s="171"/>
    </row>
    <row r="2133" spans="1:27" s="530" customFormat="1" hidden="1" x14ac:dyDescent="0.2">
      <c r="A2133" s="526"/>
      <c r="B2133" s="527"/>
      <c r="C2133" s="465"/>
      <c r="D2133" s="464"/>
      <c r="E2133" s="502"/>
      <c r="F2133" s="503" t="s">
        <v>234</v>
      </c>
      <c r="G2133" s="504" t="s">
        <v>235</v>
      </c>
      <c r="H2133" s="403">
        <f>SUM(H2054:H2113)</f>
        <v>0</v>
      </c>
      <c r="I2133" s="403"/>
      <c r="J2133" s="750" t="e">
        <f t="shared" si="18"/>
        <v>#DIV/0!</v>
      </c>
      <c r="K2133" s="404"/>
      <c r="L2133" s="404"/>
      <c r="M2133" s="682"/>
      <c r="N2133" s="171"/>
      <c r="O2133" s="171"/>
      <c r="P2133" s="169"/>
      <c r="Q2133" s="171"/>
      <c r="R2133" s="171"/>
      <c r="S2133" s="171"/>
      <c r="T2133" s="171"/>
      <c r="U2133" s="171"/>
      <c r="V2133" s="171"/>
      <c r="W2133" s="171"/>
      <c r="X2133" s="171"/>
      <c r="Y2133" s="171"/>
      <c r="Z2133" s="171"/>
      <c r="AA2133" s="171"/>
    </row>
    <row r="2134" spans="1:27" s="530" customFormat="1" hidden="1" x14ac:dyDescent="0.2">
      <c r="A2134" s="526"/>
      <c r="B2134" s="527"/>
      <c r="C2134" s="465"/>
      <c r="D2134" s="464"/>
      <c r="E2134" s="464"/>
      <c r="F2134" s="503" t="s">
        <v>236</v>
      </c>
      <c r="G2134" s="504" t="s">
        <v>237</v>
      </c>
      <c r="H2134" s="397"/>
      <c r="I2134" s="397"/>
      <c r="J2134" s="750" t="e">
        <f t="shared" si="18"/>
        <v>#DIV/0!</v>
      </c>
      <c r="K2134" s="398"/>
      <c r="L2134" s="404"/>
      <c r="M2134" s="682"/>
      <c r="N2134" s="171"/>
      <c r="O2134" s="171"/>
      <c r="P2134" s="169"/>
      <c r="Q2134" s="171"/>
      <c r="R2134" s="171"/>
      <c r="S2134" s="171"/>
      <c r="T2134" s="171"/>
      <c r="U2134" s="171"/>
      <c r="V2134" s="171"/>
      <c r="W2134" s="171"/>
      <c r="X2134" s="171"/>
      <c r="Y2134" s="171"/>
      <c r="Z2134" s="171"/>
      <c r="AA2134" s="171"/>
    </row>
    <row r="2135" spans="1:27" s="530" customFormat="1" hidden="1" x14ac:dyDescent="0.2">
      <c r="A2135" s="526"/>
      <c r="B2135" s="527"/>
      <c r="C2135" s="465"/>
      <c r="D2135" s="464"/>
      <c r="E2135" s="464"/>
      <c r="F2135" s="503" t="s">
        <v>238</v>
      </c>
      <c r="G2135" s="504" t="s">
        <v>239</v>
      </c>
      <c r="H2135" s="397"/>
      <c r="I2135" s="397"/>
      <c r="J2135" s="750" t="e">
        <f t="shared" si="18"/>
        <v>#DIV/0!</v>
      </c>
      <c r="K2135" s="398"/>
      <c r="L2135" s="404"/>
      <c r="M2135" s="682"/>
      <c r="N2135" s="171"/>
      <c r="O2135" s="171"/>
      <c r="P2135" s="169"/>
      <c r="Q2135" s="171"/>
      <c r="R2135" s="171"/>
      <c r="S2135" s="171"/>
      <c r="T2135" s="171"/>
      <c r="U2135" s="171"/>
      <c r="V2135" s="171"/>
      <c r="W2135" s="171"/>
      <c r="X2135" s="171"/>
      <c r="Y2135" s="171"/>
      <c r="Z2135" s="171"/>
      <c r="AA2135" s="171"/>
    </row>
    <row r="2136" spans="1:27" s="530" customFormat="1" hidden="1" x14ac:dyDescent="0.2">
      <c r="A2136" s="526"/>
      <c r="B2136" s="527"/>
      <c r="C2136" s="465"/>
      <c r="D2136" s="464"/>
      <c r="E2136" s="464"/>
      <c r="F2136" s="503" t="s">
        <v>240</v>
      </c>
      <c r="G2136" s="504" t="s">
        <v>241</v>
      </c>
      <c r="H2136" s="397"/>
      <c r="I2136" s="397"/>
      <c r="J2136" s="750" t="e">
        <f t="shared" si="18"/>
        <v>#DIV/0!</v>
      </c>
      <c r="K2136" s="398"/>
      <c r="L2136" s="404"/>
      <c r="M2136" s="682"/>
      <c r="N2136" s="171"/>
      <c r="O2136" s="171"/>
      <c r="P2136" s="169"/>
      <c r="Q2136" s="171"/>
      <c r="R2136" s="171"/>
      <c r="S2136" s="171"/>
      <c r="T2136" s="171"/>
      <c r="U2136" s="171"/>
      <c r="V2136" s="171"/>
      <c r="W2136" s="171"/>
      <c r="X2136" s="171"/>
      <c r="Y2136" s="171"/>
      <c r="Z2136" s="171"/>
      <c r="AA2136" s="171"/>
    </row>
    <row r="2137" spans="1:27" s="530" customFormat="1" hidden="1" x14ac:dyDescent="0.2">
      <c r="A2137" s="526"/>
      <c r="B2137" s="527"/>
      <c r="C2137" s="465"/>
      <c r="D2137" s="464"/>
      <c r="E2137" s="464"/>
      <c r="F2137" s="503" t="s">
        <v>242</v>
      </c>
      <c r="G2137" s="504" t="s">
        <v>243</v>
      </c>
      <c r="H2137" s="397"/>
      <c r="I2137" s="397"/>
      <c r="J2137" s="750" t="e">
        <f t="shared" si="18"/>
        <v>#DIV/0!</v>
      </c>
      <c r="K2137" s="398"/>
      <c r="L2137" s="404"/>
      <c r="M2137" s="682"/>
      <c r="N2137" s="171"/>
      <c r="O2137" s="171"/>
      <c r="P2137" s="169"/>
      <c r="Q2137" s="171"/>
      <c r="R2137" s="171"/>
      <c r="S2137" s="171"/>
      <c r="T2137" s="171"/>
      <c r="U2137" s="171"/>
      <c r="V2137" s="171"/>
      <c r="W2137" s="171"/>
      <c r="X2137" s="171"/>
      <c r="Y2137" s="171"/>
      <c r="Z2137" s="171"/>
      <c r="AA2137" s="171"/>
    </row>
    <row r="2138" spans="1:27" s="530" customFormat="1" hidden="1" x14ac:dyDescent="0.2">
      <c r="A2138" s="526"/>
      <c r="B2138" s="527"/>
      <c r="C2138" s="465"/>
      <c r="D2138" s="464"/>
      <c r="E2138" s="464"/>
      <c r="F2138" s="503" t="s">
        <v>244</v>
      </c>
      <c r="G2138" s="504" t="s">
        <v>245</v>
      </c>
      <c r="H2138" s="397"/>
      <c r="I2138" s="397"/>
      <c r="J2138" s="750" t="e">
        <f t="shared" si="18"/>
        <v>#DIV/0!</v>
      </c>
      <c r="K2138" s="398"/>
      <c r="L2138" s="404"/>
      <c r="M2138" s="682"/>
      <c r="N2138" s="171"/>
      <c r="O2138" s="171"/>
      <c r="P2138" s="169"/>
      <c r="Q2138" s="171"/>
      <c r="R2138" s="171"/>
      <c r="S2138" s="171"/>
      <c r="T2138" s="171"/>
      <c r="U2138" s="171"/>
      <c r="V2138" s="171"/>
      <c r="W2138" s="171"/>
      <c r="X2138" s="171"/>
      <c r="Y2138" s="171"/>
      <c r="Z2138" s="171"/>
      <c r="AA2138" s="171"/>
    </row>
    <row r="2139" spans="1:27" s="530" customFormat="1" hidden="1" x14ac:dyDescent="0.2">
      <c r="A2139" s="526"/>
      <c r="B2139" s="527"/>
      <c r="C2139" s="465"/>
      <c r="D2139" s="464"/>
      <c r="E2139" s="464"/>
      <c r="F2139" s="503" t="s">
        <v>246</v>
      </c>
      <c r="G2139" s="504" t="s">
        <v>247</v>
      </c>
      <c r="H2139" s="397"/>
      <c r="I2139" s="397"/>
      <c r="J2139" s="750" t="e">
        <f t="shared" si="18"/>
        <v>#DIV/0!</v>
      </c>
      <c r="K2139" s="398"/>
      <c r="L2139" s="404"/>
      <c r="M2139" s="682"/>
      <c r="N2139" s="171"/>
      <c r="O2139" s="171"/>
      <c r="P2139" s="169"/>
      <c r="Q2139" s="171"/>
      <c r="R2139" s="171"/>
      <c r="S2139" s="171"/>
      <c r="T2139" s="171"/>
      <c r="U2139" s="171"/>
      <c r="V2139" s="171"/>
      <c r="W2139" s="171"/>
      <c r="X2139" s="171"/>
      <c r="Y2139" s="171"/>
      <c r="Z2139" s="171"/>
      <c r="AA2139" s="171"/>
    </row>
    <row r="2140" spans="1:27" s="530" customFormat="1" ht="25.5" hidden="1" x14ac:dyDescent="0.2">
      <c r="A2140" s="526"/>
      <c r="B2140" s="527"/>
      <c r="C2140" s="465"/>
      <c r="D2140" s="464"/>
      <c r="E2140" s="464"/>
      <c r="F2140" s="503" t="s">
        <v>248</v>
      </c>
      <c r="G2140" s="504" t="s">
        <v>249</v>
      </c>
      <c r="H2140" s="397"/>
      <c r="I2140" s="397"/>
      <c r="J2140" s="750" t="e">
        <f t="shared" si="18"/>
        <v>#DIV/0!</v>
      </c>
      <c r="K2140" s="398"/>
      <c r="L2140" s="404"/>
      <c r="M2140" s="682"/>
      <c r="N2140" s="171"/>
      <c r="O2140" s="171"/>
      <c r="P2140" s="169"/>
      <c r="Q2140" s="171"/>
      <c r="R2140" s="171"/>
      <c r="S2140" s="171"/>
      <c r="T2140" s="171"/>
      <c r="U2140" s="171"/>
      <c r="V2140" s="171"/>
      <c r="W2140" s="171"/>
      <c r="X2140" s="171"/>
      <c r="Y2140" s="171"/>
      <c r="Z2140" s="171"/>
      <c r="AA2140" s="171"/>
    </row>
    <row r="2141" spans="1:27" s="530" customFormat="1" hidden="1" x14ac:dyDescent="0.2">
      <c r="A2141" s="526"/>
      <c r="B2141" s="527"/>
      <c r="C2141" s="465"/>
      <c r="D2141" s="464"/>
      <c r="E2141" s="464"/>
      <c r="F2141" s="503" t="s">
        <v>250</v>
      </c>
      <c r="G2141" s="504" t="s">
        <v>57</v>
      </c>
      <c r="H2141" s="397"/>
      <c r="I2141" s="397"/>
      <c r="J2141" s="750" t="e">
        <f t="shared" si="18"/>
        <v>#DIV/0!</v>
      </c>
      <c r="K2141" s="398"/>
      <c r="L2141" s="404"/>
      <c r="M2141" s="682"/>
      <c r="N2141" s="171"/>
      <c r="O2141" s="171"/>
      <c r="P2141" s="169"/>
      <c r="Q2141" s="171"/>
      <c r="R2141" s="171"/>
      <c r="S2141" s="171"/>
      <c r="T2141" s="171"/>
      <c r="U2141" s="171"/>
      <c r="V2141" s="171"/>
      <c r="W2141" s="171"/>
      <c r="X2141" s="171"/>
      <c r="Y2141" s="171"/>
      <c r="Z2141" s="171"/>
      <c r="AA2141" s="171"/>
    </row>
    <row r="2142" spans="1:27" s="530" customFormat="1" hidden="1" x14ac:dyDescent="0.2">
      <c r="A2142" s="526"/>
      <c r="B2142" s="527"/>
      <c r="C2142" s="465"/>
      <c r="D2142" s="464"/>
      <c r="E2142" s="464"/>
      <c r="F2142" s="503" t="s">
        <v>251</v>
      </c>
      <c r="G2142" s="504" t="s">
        <v>252</v>
      </c>
      <c r="H2142" s="397"/>
      <c r="I2142" s="397"/>
      <c r="J2142" s="750" t="e">
        <f t="shared" si="18"/>
        <v>#DIV/0!</v>
      </c>
      <c r="K2142" s="398"/>
      <c r="L2142" s="404"/>
      <c r="M2142" s="682"/>
      <c r="N2142" s="171"/>
      <c r="O2142" s="171"/>
      <c r="P2142" s="169"/>
      <c r="Q2142" s="171"/>
      <c r="R2142" s="171"/>
      <c r="S2142" s="171"/>
      <c r="T2142" s="171"/>
      <c r="U2142" s="171"/>
      <c r="V2142" s="171"/>
      <c r="W2142" s="171"/>
      <c r="X2142" s="171"/>
      <c r="Y2142" s="171"/>
      <c r="Z2142" s="171"/>
      <c r="AA2142" s="171"/>
    </row>
    <row r="2143" spans="1:27" s="530" customFormat="1" hidden="1" x14ac:dyDescent="0.2">
      <c r="A2143" s="526"/>
      <c r="B2143" s="527"/>
      <c r="C2143" s="465"/>
      <c r="D2143" s="464"/>
      <c r="E2143" s="464"/>
      <c r="F2143" s="503" t="s">
        <v>253</v>
      </c>
      <c r="G2143" s="504" t="s">
        <v>254</v>
      </c>
      <c r="H2143" s="397"/>
      <c r="I2143" s="397"/>
      <c r="J2143" s="750" t="e">
        <f t="shared" si="18"/>
        <v>#DIV/0!</v>
      </c>
      <c r="K2143" s="398"/>
      <c r="L2143" s="404"/>
      <c r="M2143" s="682"/>
      <c r="N2143" s="171"/>
      <c r="O2143" s="171"/>
      <c r="P2143" s="169"/>
      <c r="Q2143" s="171"/>
      <c r="R2143" s="171"/>
      <c r="S2143" s="171"/>
      <c r="T2143" s="171"/>
      <c r="U2143" s="171"/>
      <c r="V2143" s="171"/>
      <c r="W2143" s="171"/>
      <c r="X2143" s="171"/>
      <c r="Y2143" s="171"/>
      <c r="Z2143" s="171"/>
      <c r="AA2143" s="171"/>
    </row>
    <row r="2144" spans="1:27" s="530" customFormat="1" ht="25.5" hidden="1" x14ac:dyDescent="0.2">
      <c r="A2144" s="526"/>
      <c r="B2144" s="527"/>
      <c r="C2144" s="465"/>
      <c r="D2144" s="464"/>
      <c r="E2144" s="464"/>
      <c r="F2144" s="503" t="s">
        <v>255</v>
      </c>
      <c r="G2144" s="504" t="s">
        <v>256</v>
      </c>
      <c r="H2144" s="397"/>
      <c r="I2144" s="397"/>
      <c r="J2144" s="750" t="e">
        <f t="shared" si="18"/>
        <v>#DIV/0!</v>
      </c>
      <c r="K2144" s="398"/>
      <c r="L2144" s="404"/>
      <c r="M2144" s="682"/>
      <c r="N2144" s="171"/>
      <c r="O2144" s="171"/>
      <c r="P2144" s="169"/>
      <c r="Q2144" s="171"/>
      <c r="R2144" s="171"/>
      <c r="S2144" s="171"/>
      <c r="T2144" s="171"/>
      <c r="U2144" s="171"/>
      <c r="V2144" s="171"/>
      <c r="W2144" s="171"/>
      <c r="X2144" s="171"/>
      <c r="Y2144" s="171"/>
      <c r="Z2144" s="171"/>
      <c r="AA2144" s="171"/>
    </row>
    <row r="2145" spans="1:27" s="530" customFormat="1" ht="25.5" hidden="1" x14ac:dyDescent="0.2">
      <c r="A2145" s="526"/>
      <c r="B2145" s="527"/>
      <c r="C2145" s="465"/>
      <c r="D2145" s="464"/>
      <c r="E2145" s="464"/>
      <c r="F2145" s="503" t="s">
        <v>257</v>
      </c>
      <c r="G2145" s="504" t="s">
        <v>258</v>
      </c>
      <c r="H2145" s="397"/>
      <c r="I2145" s="397"/>
      <c r="J2145" s="750" t="e">
        <f t="shared" si="18"/>
        <v>#DIV/0!</v>
      </c>
      <c r="K2145" s="398"/>
      <c r="L2145" s="404"/>
      <c r="M2145" s="682"/>
      <c r="N2145" s="171"/>
      <c r="O2145" s="171"/>
      <c r="P2145" s="169"/>
      <c r="Q2145" s="171"/>
      <c r="R2145" s="171"/>
      <c r="S2145" s="171"/>
      <c r="T2145" s="171"/>
      <c r="U2145" s="171"/>
      <c r="V2145" s="171"/>
      <c r="W2145" s="171"/>
      <c r="X2145" s="171"/>
      <c r="Y2145" s="171"/>
      <c r="Z2145" s="171"/>
      <c r="AA2145" s="171"/>
    </row>
    <row r="2146" spans="1:27" s="530" customFormat="1" ht="25.5" hidden="1" x14ac:dyDescent="0.2">
      <c r="A2146" s="526"/>
      <c r="B2146" s="527"/>
      <c r="C2146" s="465"/>
      <c r="D2146" s="464"/>
      <c r="E2146" s="464"/>
      <c r="F2146" s="503" t="s">
        <v>259</v>
      </c>
      <c r="G2146" s="504" t="s">
        <v>260</v>
      </c>
      <c r="H2146" s="397"/>
      <c r="I2146" s="397"/>
      <c r="J2146" s="750" t="e">
        <f t="shared" si="18"/>
        <v>#DIV/0!</v>
      </c>
      <c r="K2146" s="398"/>
      <c r="L2146" s="404"/>
      <c r="M2146" s="682"/>
      <c r="N2146" s="171"/>
      <c r="O2146" s="171"/>
      <c r="P2146" s="169"/>
      <c r="Q2146" s="171"/>
      <c r="R2146" s="171"/>
      <c r="S2146" s="171"/>
      <c r="T2146" s="171"/>
      <c r="U2146" s="171"/>
      <c r="V2146" s="171"/>
      <c r="W2146" s="171"/>
      <c r="X2146" s="171"/>
      <c r="Y2146" s="171"/>
      <c r="Z2146" s="171"/>
      <c r="AA2146" s="171"/>
    </row>
    <row r="2147" spans="1:27" s="530" customFormat="1" ht="25.5" hidden="1" x14ac:dyDescent="0.2">
      <c r="A2147" s="526"/>
      <c r="B2147" s="527"/>
      <c r="C2147" s="465"/>
      <c r="D2147" s="464"/>
      <c r="E2147" s="464"/>
      <c r="F2147" s="503" t="s">
        <v>261</v>
      </c>
      <c r="G2147" s="504" t="s">
        <v>262</v>
      </c>
      <c r="H2147" s="397"/>
      <c r="I2147" s="397"/>
      <c r="J2147" s="750" t="e">
        <f t="shared" si="18"/>
        <v>#DIV/0!</v>
      </c>
      <c r="K2147" s="398"/>
      <c r="L2147" s="404"/>
      <c r="M2147" s="682"/>
      <c r="N2147" s="171"/>
      <c r="O2147" s="171"/>
      <c r="P2147" s="169"/>
      <c r="Q2147" s="171"/>
      <c r="R2147" s="171"/>
      <c r="S2147" s="171"/>
      <c r="T2147" s="171"/>
      <c r="U2147" s="171"/>
      <c r="V2147" s="171"/>
      <c r="W2147" s="171"/>
      <c r="X2147" s="171"/>
      <c r="Y2147" s="171"/>
      <c r="Z2147" s="171"/>
      <c r="AA2147" s="171"/>
    </row>
    <row r="2148" spans="1:27" s="530" customFormat="1" hidden="1" x14ac:dyDescent="0.2">
      <c r="A2148" s="526"/>
      <c r="B2148" s="527"/>
      <c r="C2148" s="465"/>
      <c r="D2148" s="464"/>
      <c r="E2148" s="464"/>
      <c r="F2148" s="503" t="s">
        <v>263</v>
      </c>
      <c r="G2148" s="504" t="s">
        <v>264</v>
      </c>
      <c r="H2148" s="403"/>
      <c r="I2148" s="403"/>
      <c r="J2148" s="750" t="e">
        <f t="shared" si="18"/>
        <v>#DIV/0!</v>
      </c>
      <c r="K2148" s="404"/>
      <c r="L2148" s="404"/>
      <c r="M2148" s="682"/>
      <c r="N2148" s="171"/>
      <c r="O2148" s="171"/>
      <c r="P2148" s="169"/>
      <c r="Q2148" s="171"/>
      <c r="R2148" s="171"/>
      <c r="S2148" s="171"/>
      <c r="T2148" s="171"/>
      <c r="U2148" s="171"/>
      <c r="V2148" s="171"/>
      <c r="W2148" s="171"/>
      <c r="X2148" s="171"/>
      <c r="Y2148" s="171"/>
      <c r="Z2148" s="171"/>
      <c r="AA2148" s="171"/>
    </row>
    <row r="2149" spans="1:27" s="530" customFormat="1" ht="13.5" hidden="1" thickBot="1" x14ac:dyDescent="0.25">
      <c r="A2149" s="526"/>
      <c r="B2149" s="527"/>
      <c r="C2149" s="465"/>
      <c r="D2149" s="464"/>
      <c r="E2149" s="464"/>
      <c r="F2149" s="464"/>
      <c r="G2149" s="505" t="s">
        <v>4216</v>
      </c>
      <c r="H2149" s="405">
        <f>SUM(H2133:H2148)</f>
        <v>0</v>
      </c>
      <c r="I2149" s="405"/>
      <c r="J2149" s="750" t="e">
        <f t="shared" si="18"/>
        <v>#DIV/0!</v>
      </c>
      <c r="K2149" s="406">
        <f>SUM(K2134:K2148)</f>
        <v>0</v>
      </c>
      <c r="L2149" s="406"/>
      <c r="M2149" s="682"/>
      <c r="N2149" s="171"/>
      <c r="O2149" s="171"/>
      <c r="P2149" s="169"/>
      <c r="Q2149" s="171"/>
      <c r="R2149" s="171"/>
      <c r="S2149" s="171"/>
      <c r="T2149" s="171"/>
      <c r="U2149" s="171"/>
      <c r="V2149" s="171"/>
      <c r="W2149" s="171"/>
      <c r="X2149" s="171"/>
      <c r="Y2149" s="171"/>
      <c r="Z2149" s="171"/>
      <c r="AA2149" s="171"/>
    </row>
    <row r="2150" spans="1:27" s="530" customFormat="1" ht="7.5" hidden="1" customHeight="1" x14ac:dyDescent="0.2">
      <c r="A2150" s="526"/>
      <c r="B2150" s="527"/>
      <c r="C2150" s="241"/>
      <c r="D2150" s="224"/>
      <c r="E2150" s="224"/>
      <c r="F2150" s="224"/>
      <c r="G2150" s="552"/>
      <c r="H2150" s="397"/>
      <c r="I2150" s="397"/>
      <c r="J2150" s="750" t="e">
        <f t="shared" si="18"/>
        <v>#DIV/0!</v>
      </c>
      <c r="K2150" s="398"/>
      <c r="L2150" s="398"/>
      <c r="M2150" s="682"/>
      <c r="N2150" s="171"/>
      <c r="O2150" s="171"/>
      <c r="P2150" s="169"/>
      <c r="Q2150" s="171"/>
      <c r="R2150" s="171"/>
      <c r="S2150" s="171"/>
      <c r="T2150" s="171"/>
      <c r="U2150" s="171"/>
      <c r="V2150" s="171"/>
      <c r="W2150" s="171"/>
      <c r="X2150" s="171"/>
      <c r="Y2150" s="171"/>
      <c r="Z2150" s="171"/>
      <c r="AA2150" s="171"/>
    </row>
    <row r="2151" spans="1:27" s="530" customFormat="1" hidden="1" x14ac:dyDescent="0.2">
      <c r="A2151" s="526"/>
      <c r="B2151" s="527"/>
      <c r="C2151" s="542" t="s">
        <v>4142</v>
      </c>
      <c r="D2151" s="234"/>
      <c r="E2151" s="553"/>
      <c r="F2151" s="490"/>
      <c r="G2151" s="550" t="s">
        <v>4143</v>
      </c>
      <c r="H2151" s="425"/>
      <c r="I2151" s="425"/>
      <c r="J2151" s="750" t="e">
        <f t="shared" si="18"/>
        <v>#DIV/0!</v>
      </c>
      <c r="K2151" s="243"/>
      <c r="L2151" s="243"/>
      <c r="M2151" s="682"/>
      <c r="N2151" s="171"/>
      <c r="O2151" s="171"/>
      <c r="P2151" s="169"/>
      <c r="Q2151" s="171"/>
      <c r="R2151" s="171"/>
      <c r="S2151" s="171"/>
      <c r="T2151" s="171"/>
      <c r="U2151" s="171"/>
      <c r="V2151" s="171"/>
      <c r="W2151" s="171"/>
      <c r="X2151" s="171"/>
      <c r="Y2151" s="171"/>
      <c r="Z2151" s="171"/>
      <c r="AA2151" s="171"/>
    </row>
    <row r="2152" spans="1:27" s="530" customFormat="1" ht="13.5" hidden="1" x14ac:dyDescent="0.25">
      <c r="A2152" s="526"/>
      <c r="B2152" s="527"/>
      <c r="C2152" s="554"/>
      <c r="D2152" s="555">
        <v>830</v>
      </c>
      <c r="E2152" s="556"/>
      <c r="F2152" s="556"/>
      <c r="G2152" s="557" t="s">
        <v>4382</v>
      </c>
      <c r="H2152" s="426"/>
      <c r="I2152" s="426"/>
      <c r="J2152" s="750" t="e">
        <f t="shared" si="18"/>
        <v>#DIV/0!</v>
      </c>
      <c r="K2152" s="427"/>
      <c r="L2152" s="427"/>
      <c r="M2152" s="682"/>
      <c r="N2152" s="171"/>
      <c r="O2152" s="171"/>
      <c r="P2152" s="169"/>
      <c r="Q2152" s="171"/>
      <c r="R2152" s="171"/>
      <c r="S2152" s="171"/>
      <c r="T2152" s="171"/>
      <c r="U2152" s="171"/>
      <c r="V2152" s="171"/>
      <c r="W2152" s="171"/>
      <c r="X2152" s="171"/>
      <c r="Y2152" s="171"/>
      <c r="Z2152" s="171"/>
      <c r="AA2152" s="171"/>
    </row>
    <row r="2153" spans="1:27" s="530" customFormat="1" hidden="1" x14ac:dyDescent="0.2">
      <c r="A2153" s="526"/>
      <c r="B2153" s="527"/>
      <c r="C2153" s="241"/>
      <c r="D2153" s="224"/>
      <c r="E2153" s="224"/>
      <c r="F2153" s="494">
        <v>423</v>
      </c>
      <c r="G2153" s="495" t="s">
        <v>3779</v>
      </c>
      <c r="H2153" s="397"/>
      <c r="I2153" s="397"/>
      <c r="J2153" s="750" t="e">
        <f t="shared" si="18"/>
        <v>#DIV/0!</v>
      </c>
      <c r="K2153" s="398"/>
      <c r="L2153" s="398"/>
      <c r="M2153" s="682"/>
      <c r="N2153" s="171"/>
      <c r="O2153" s="171"/>
      <c r="P2153" s="169"/>
      <c r="Q2153" s="171"/>
      <c r="R2153" s="171"/>
      <c r="S2153" s="171"/>
      <c r="T2153" s="171"/>
      <c r="U2153" s="171"/>
      <c r="V2153" s="171"/>
      <c r="W2153" s="171"/>
      <c r="X2153" s="171"/>
      <c r="Y2153" s="171"/>
      <c r="Z2153" s="171"/>
      <c r="AA2153" s="171"/>
    </row>
    <row r="2154" spans="1:27" s="530" customFormat="1" hidden="1" x14ac:dyDescent="0.2">
      <c r="A2154" s="526"/>
      <c r="B2154" s="527"/>
      <c r="C2154" s="241"/>
      <c r="D2154" s="224"/>
      <c r="E2154" s="224"/>
      <c r="F2154" s="494">
        <v>424</v>
      </c>
      <c r="G2154" s="495" t="s">
        <v>3781</v>
      </c>
      <c r="H2154" s="397"/>
      <c r="I2154" s="397"/>
      <c r="J2154" s="750" t="e">
        <f t="shared" si="18"/>
        <v>#DIV/0!</v>
      </c>
      <c r="K2154" s="398"/>
      <c r="L2154" s="398"/>
      <c r="M2154" s="682"/>
      <c r="N2154" s="171"/>
      <c r="O2154" s="171"/>
      <c r="P2154" s="169"/>
      <c r="Q2154" s="171"/>
      <c r="R2154" s="171"/>
      <c r="S2154" s="171"/>
      <c r="T2154" s="171"/>
      <c r="U2154" s="171"/>
      <c r="V2154" s="171"/>
      <c r="W2154" s="171"/>
      <c r="X2154" s="171"/>
      <c r="Y2154" s="171"/>
      <c r="Z2154" s="171"/>
      <c r="AA2154" s="171"/>
    </row>
    <row r="2155" spans="1:27" s="530" customFormat="1" ht="25.5" hidden="1" x14ac:dyDescent="0.2">
      <c r="A2155" s="526"/>
      <c r="B2155" s="527"/>
      <c r="C2155" s="241"/>
      <c r="D2155" s="224"/>
      <c r="E2155" s="224"/>
      <c r="F2155" s="494">
        <v>4511</v>
      </c>
      <c r="G2155" s="466" t="s">
        <v>1692</v>
      </c>
      <c r="H2155" s="397"/>
      <c r="I2155" s="397"/>
      <c r="J2155" s="750" t="e">
        <f t="shared" si="18"/>
        <v>#DIV/0!</v>
      </c>
      <c r="K2155" s="398"/>
      <c r="L2155" s="398"/>
      <c r="M2155" s="682"/>
      <c r="N2155" s="171"/>
      <c r="O2155" s="171"/>
      <c r="P2155" s="169"/>
      <c r="Q2155" s="171"/>
      <c r="R2155" s="171"/>
      <c r="S2155" s="171"/>
      <c r="T2155" s="171"/>
      <c r="U2155" s="171"/>
      <c r="V2155" s="171"/>
      <c r="W2155" s="171"/>
      <c r="X2155" s="171"/>
      <c r="Y2155" s="171"/>
      <c r="Z2155" s="171"/>
      <c r="AA2155" s="171"/>
    </row>
    <row r="2156" spans="1:27" s="530" customFormat="1" ht="25.5" hidden="1" x14ac:dyDescent="0.2">
      <c r="A2156" s="526"/>
      <c r="B2156" s="527"/>
      <c r="C2156" s="241"/>
      <c r="D2156" s="224"/>
      <c r="E2156" s="224"/>
      <c r="F2156" s="494">
        <v>4512</v>
      </c>
      <c r="G2156" s="466" t="s">
        <v>1701</v>
      </c>
      <c r="H2156" s="397"/>
      <c r="I2156" s="397"/>
      <c r="J2156" s="750" t="e">
        <f t="shared" si="18"/>
        <v>#DIV/0!</v>
      </c>
      <c r="K2156" s="398"/>
      <c r="L2156" s="398"/>
      <c r="M2156" s="682"/>
      <c r="N2156" s="171"/>
      <c r="O2156" s="171"/>
      <c r="P2156" s="169"/>
      <c r="Q2156" s="171"/>
      <c r="R2156" s="171"/>
      <c r="S2156" s="171"/>
      <c r="T2156" s="171"/>
      <c r="U2156" s="171"/>
      <c r="V2156" s="171"/>
      <c r="W2156" s="171"/>
      <c r="X2156" s="171"/>
      <c r="Y2156" s="171"/>
      <c r="Z2156" s="171"/>
      <c r="AA2156" s="171"/>
    </row>
    <row r="2157" spans="1:27" s="530" customFormat="1" ht="25.5" hidden="1" x14ac:dyDescent="0.2">
      <c r="A2157" s="526"/>
      <c r="B2157" s="527"/>
      <c r="C2157" s="241"/>
      <c r="D2157" s="224"/>
      <c r="E2157" s="224"/>
      <c r="F2157" s="494">
        <v>452</v>
      </c>
      <c r="G2157" s="495" t="s">
        <v>4187</v>
      </c>
      <c r="H2157" s="397"/>
      <c r="I2157" s="397"/>
      <c r="J2157" s="750" t="e">
        <f t="shared" si="18"/>
        <v>#DIV/0!</v>
      </c>
      <c r="K2157" s="398"/>
      <c r="L2157" s="398"/>
      <c r="M2157" s="682"/>
      <c r="N2157" s="171"/>
      <c r="O2157" s="171"/>
      <c r="P2157" s="169"/>
      <c r="Q2157" s="171"/>
      <c r="R2157" s="171"/>
      <c r="S2157" s="171"/>
      <c r="T2157" s="171"/>
      <c r="U2157" s="171"/>
      <c r="V2157" s="171"/>
      <c r="W2157" s="171"/>
      <c r="X2157" s="171"/>
      <c r="Y2157" s="171"/>
      <c r="Z2157" s="171"/>
      <c r="AA2157" s="171"/>
    </row>
    <row r="2158" spans="1:27" s="530" customFormat="1" ht="25.5" hidden="1" x14ac:dyDescent="0.2">
      <c r="A2158" s="526"/>
      <c r="B2158" s="527"/>
      <c r="C2158" s="241"/>
      <c r="D2158" s="224"/>
      <c r="E2158" s="224"/>
      <c r="F2158" s="494">
        <v>453</v>
      </c>
      <c r="G2158" s="495" t="s">
        <v>4188</v>
      </c>
      <c r="H2158" s="397"/>
      <c r="I2158" s="397"/>
      <c r="J2158" s="750" t="e">
        <f t="shared" si="18"/>
        <v>#DIV/0!</v>
      </c>
      <c r="K2158" s="398"/>
      <c r="L2158" s="398"/>
      <c r="M2158" s="682"/>
      <c r="N2158" s="171"/>
      <c r="O2158" s="171"/>
      <c r="P2158" s="169"/>
      <c r="Q2158" s="171"/>
      <c r="R2158" s="171"/>
      <c r="S2158" s="171"/>
      <c r="T2158" s="171"/>
      <c r="U2158" s="171"/>
      <c r="V2158" s="171"/>
      <c r="W2158" s="171"/>
      <c r="X2158" s="171"/>
      <c r="Y2158" s="171"/>
      <c r="Z2158" s="171"/>
      <c r="AA2158" s="171"/>
    </row>
    <row r="2159" spans="1:27" s="530" customFormat="1" hidden="1" x14ac:dyDescent="0.2">
      <c r="A2159" s="526"/>
      <c r="B2159" s="527"/>
      <c r="C2159" s="241"/>
      <c r="D2159" s="224"/>
      <c r="E2159" s="224"/>
      <c r="F2159" s="494">
        <v>454</v>
      </c>
      <c r="G2159" s="495" t="s">
        <v>3803</v>
      </c>
      <c r="H2159" s="397"/>
      <c r="I2159" s="397"/>
      <c r="J2159" s="750" t="e">
        <f t="shared" si="18"/>
        <v>#DIV/0!</v>
      </c>
      <c r="K2159" s="398"/>
      <c r="L2159" s="398"/>
      <c r="M2159" s="682"/>
      <c r="N2159" s="171"/>
      <c r="O2159" s="171"/>
      <c r="P2159" s="169"/>
      <c r="Q2159" s="171"/>
      <c r="R2159" s="171"/>
      <c r="S2159" s="171"/>
      <c r="T2159" s="171"/>
      <c r="U2159" s="171"/>
      <c r="V2159" s="171"/>
      <c r="W2159" s="171"/>
      <c r="X2159" s="171"/>
      <c r="Y2159" s="171"/>
      <c r="Z2159" s="171"/>
      <c r="AA2159" s="171"/>
    </row>
    <row r="2160" spans="1:27" s="530" customFormat="1" hidden="1" x14ac:dyDescent="0.2">
      <c r="A2160" s="526"/>
      <c r="B2160" s="527"/>
      <c r="C2160" s="465"/>
      <c r="D2160" s="464"/>
      <c r="E2160" s="464"/>
      <c r="F2160" s="494">
        <v>481</v>
      </c>
      <c r="G2160" s="495" t="s">
        <v>4189</v>
      </c>
      <c r="H2160" s="397"/>
      <c r="I2160" s="397"/>
      <c r="J2160" s="750" t="e">
        <f t="shared" si="18"/>
        <v>#DIV/0!</v>
      </c>
      <c r="K2160" s="398"/>
      <c r="L2160" s="398"/>
      <c r="M2160" s="682"/>
      <c r="N2160" s="171"/>
      <c r="O2160" s="171"/>
      <c r="P2160" s="169"/>
      <c r="Q2160" s="171"/>
      <c r="R2160" s="171"/>
      <c r="S2160" s="171"/>
      <c r="T2160" s="171"/>
      <c r="U2160" s="171"/>
      <c r="V2160" s="171"/>
      <c r="W2160" s="171"/>
      <c r="X2160" s="171"/>
      <c r="Y2160" s="171"/>
      <c r="Z2160" s="171"/>
      <c r="AA2160" s="171"/>
    </row>
    <row r="2161" spans="1:27" s="530" customFormat="1" hidden="1" x14ac:dyDescent="0.2">
      <c r="A2161" s="526"/>
      <c r="B2161" s="527"/>
      <c r="C2161" s="465"/>
      <c r="D2161" s="464"/>
      <c r="E2161" s="500"/>
      <c r="F2161" s="498"/>
      <c r="G2161" s="501" t="s">
        <v>4383</v>
      </c>
      <c r="H2161" s="400"/>
      <c r="I2161" s="400"/>
      <c r="J2161" s="750" t="e">
        <f t="shared" si="18"/>
        <v>#DIV/0!</v>
      </c>
      <c r="K2161" s="401"/>
      <c r="L2161" s="402"/>
      <c r="M2161" s="682"/>
      <c r="N2161" s="171"/>
      <c r="O2161" s="171"/>
      <c r="P2161" s="169"/>
      <c r="Q2161" s="171"/>
      <c r="R2161" s="171"/>
      <c r="S2161" s="171"/>
      <c r="T2161" s="171"/>
      <c r="U2161" s="171"/>
      <c r="V2161" s="171"/>
      <c r="W2161" s="171"/>
      <c r="X2161" s="171"/>
      <c r="Y2161" s="171"/>
      <c r="Z2161" s="171"/>
      <c r="AA2161" s="171"/>
    </row>
    <row r="2162" spans="1:27" s="530" customFormat="1" hidden="1" x14ac:dyDescent="0.2">
      <c r="A2162" s="526"/>
      <c r="B2162" s="527"/>
      <c r="C2162" s="465"/>
      <c r="D2162" s="464"/>
      <c r="E2162" s="502"/>
      <c r="F2162" s="503" t="s">
        <v>234</v>
      </c>
      <c r="G2162" s="504" t="s">
        <v>235</v>
      </c>
      <c r="H2162" s="403">
        <f>SUM(H2153:H2160)</f>
        <v>0</v>
      </c>
      <c r="I2162" s="403"/>
      <c r="J2162" s="750" t="e">
        <f t="shared" si="18"/>
        <v>#DIV/0!</v>
      </c>
      <c r="K2162" s="404"/>
      <c r="L2162" s="404"/>
      <c r="M2162" s="682"/>
      <c r="N2162" s="171"/>
      <c r="O2162" s="171"/>
      <c r="P2162" s="169"/>
      <c r="Q2162" s="171"/>
      <c r="R2162" s="171"/>
      <c r="S2162" s="171"/>
      <c r="T2162" s="171"/>
      <c r="U2162" s="171"/>
      <c r="V2162" s="171"/>
      <c r="W2162" s="171"/>
      <c r="X2162" s="171"/>
      <c r="Y2162" s="171"/>
      <c r="Z2162" s="171"/>
      <c r="AA2162" s="171"/>
    </row>
    <row r="2163" spans="1:27" s="530" customFormat="1" hidden="1" x14ac:dyDescent="0.2">
      <c r="A2163" s="526"/>
      <c r="B2163" s="527"/>
      <c r="C2163" s="465"/>
      <c r="D2163" s="464"/>
      <c r="E2163" s="464"/>
      <c r="F2163" s="503" t="s">
        <v>236</v>
      </c>
      <c r="G2163" s="504" t="s">
        <v>237</v>
      </c>
      <c r="H2163" s="397"/>
      <c r="I2163" s="397"/>
      <c r="J2163" s="750" t="e">
        <f t="shared" si="18"/>
        <v>#DIV/0!</v>
      </c>
      <c r="K2163" s="398"/>
      <c r="L2163" s="404"/>
      <c r="M2163" s="682"/>
      <c r="N2163" s="171"/>
      <c r="O2163" s="171"/>
      <c r="P2163" s="169"/>
      <c r="Q2163" s="171"/>
      <c r="R2163" s="171"/>
      <c r="S2163" s="171"/>
      <c r="T2163" s="171"/>
      <c r="U2163" s="171"/>
      <c r="V2163" s="171"/>
      <c r="W2163" s="171"/>
      <c r="X2163" s="171"/>
      <c r="Y2163" s="171"/>
      <c r="Z2163" s="171"/>
      <c r="AA2163" s="171"/>
    </row>
    <row r="2164" spans="1:27" s="530" customFormat="1" hidden="1" x14ac:dyDescent="0.2">
      <c r="A2164" s="526"/>
      <c r="B2164" s="527"/>
      <c r="C2164" s="465"/>
      <c r="D2164" s="464"/>
      <c r="E2164" s="464"/>
      <c r="F2164" s="503" t="s">
        <v>238</v>
      </c>
      <c r="G2164" s="504" t="s">
        <v>239</v>
      </c>
      <c r="H2164" s="397"/>
      <c r="I2164" s="397"/>
      <c r="J2164" s="750" t="e">
        <f t="shared" si="18"/>
        <v>#DIV/0!</v>
      </c>
      <c r="K2164" s="398"/>
      <c r="L2164" s="404"/>
      <c r="M2164" s="682"/>
      <c r="N2164" s="171"/>
      <c r="O2164" s="171"/>
      <c r="P2164" s="169"/>
      <c r="Q2164" s="171"/>
      <c r="R2164" s="171"/>
      <c r="S2164" s="171"/>
      <c r="T2164" s="171"/>
      <c r="U2164" s="171"/>
      <c r="V2164" s="171"/>
      <c r="W2164" s="171"/>
      <c r="X2164" s="171"/>
      <c r="Y2164" s="171"/>
      <c r="Z2164" s="171"/>
      <c r="AA2164" s="171"/>
    </row>
    <row r="2165" spans="1:27" s="530" customFormat="1" hidden="1" x14ac:dyDescent="0.2">
      <c r="A2165" s="526"/>
      <c r="B2165" s="527"/>
      <c r="C2165" s="465"/>
      <c r="D2165" s="464"/>
      <c r="E2165" s="464"/>
      <c r="F2165" s="503" t="s">
        <v>240</v>
      </c>
      <c r="G2165" s="504" t="s">
        <v>241</v>
      </c>
      <c r="H2165" s="397"/>
      <c r="I2165" s="397"/>
      <c r="J2165" s="750" t="e">
        <f t="shared" si="18"/>
        <v>#DIV/0!</v>
      </c>
      <c r="K2165" s="398"/>
      <c r="L2165" s="404"/>
      <c r="M2165" s="682"/>
      <c r="N2165" s="171"/>
      <c r="O2165" s="171"/>
      <c r="P2165" s="169"/>
      <c r="Q2165" s="171"/>
      <c r="R2165" s="171"/>
      <c r="S2165" s="171"/>
      <c r="T2165" s="171"/>
      <c r="U2165" s="171"/>
      <c r="V2165" s="171"/>
      <c r="W2165" s="171"/>
      <c r="X2165" s="171"/>
      <c r="Y2165" s="171"/>
      <c r="Z2165" s="171"/>
      <c r="AA2165" s="171"/>
    </row>
    <row r="2166" spans="1:27" s="530" customFormat="1" hidden="1" x14ac:dyDescent="0.2">
      <c r="A2166" s="526"/>
      <c r="B2166" s="527"/>
      <c r="C2166" s="465"/>
      <c r="D2166" s="464"/>
      <c r="E2166" s="464"/>
      <c r="F2166" s="503" t="s">
        <v>242</v>
      </c>
      <c r="G2166" s="504" t="s">
        <v>243</v>
      </c>
      <c r="H2166" s="397"/>
      <c r="I2166" s="397"/>
      <c r="J2166" s="750" t="e">
        <f t="shared" si="18"/>
        <v>#DIV/0!</v>
      </c>
      <c r="K2166" s="398"/>
      <c r="L2166" s="404"/>
      <c r="M2166" s="682"/>
      <c r="N2166" s="171"/>
      <c r="O2166" s="171"/>
      <c r="P2166" s="169"/>
      <c r="Q2166" s="171"/>
      <c r="R2166" s="171"/>
      <c r="S2166" s="171"/>
      <c r="T2166" s="171"/>
      <c r="U2166" s="171"/>
      <c r="V2166" s="171"/>
      <c r="W2166" s="171"/>
      <c r="X2166" s="171"/>
      <c r="Y2166" s="171"/>
      <c r="Z2166" s="171"/>
      <c r="AA2166" s="171"/>
    </row>
    <row r="2167" spans="1:27" s="530" customFormat="1" hidden="1" x14ac:dyDescent="0.2">
      <c r="A2167" s="526"/>
      <c r="B2167" s="527"/>
      <c r="C2167" s="465"/>
      <c r="D2167" s="464"/>
      <c r="E2167" s="464"/>
      <c r="F2167" s="503" t="s">
        <v>244</v>
      </c>
      <c r="G2167" s="504" t="s">
        <v>245</v>
      </c>
      <c r="H2167" s="397"/>
      <c r="I2167" s="397"/>
      <c r="J2167" s="750" t="e">
        <f t="shared" si="18"/>
        <v>#DIV/0!</v>
      </c>
      <c r="K2167" s="398"/>
      <c r="L2167" s="404"/>
      <c r="M2167" s="682"/>
      <c r="N2167" s="171"/>
      <c r="O2167" s="171"/>
      <c r="P2167" s="169"/>
      <c r="Q2167" s="171"/>
      <c r="R2167" s="171"/>
      <c r="S2167" s="171"/>
      <c r="T2167" s="171"/>
      <c r="U2167" s="171"/>
      <c r="V2167" s="171"/>
      <c r="W2167" s="171"/>
      <c r="X2167" s="171"/>
      <c r="Y2167" s="171"/>
      <c r="Z2167" s="171"/>
      <c r="AA2167" s="171"/>
    </row>
    <row r="2168" spans="1:27" s="530" customFormat="1" hidden="1" x14ac:dyDescent="0.2">
      <c r="A2168" s="526"/>
      <c r="B2168" s="527"/>
      <c r="C2168" s="465"/>
      <c r="D2168" s="464"/>
      <c r="E2168" s="464"/>
      <c r="F2168" s="503" t="s">
        <v>246</v>
      </c>
      <c r="G2168" s="504" t="s">
        <v>247</v>
      </c>
      <c r="H2168" s="397"/>
      <c r="I2168" s="397"/>
      <c r="J2168" s="750" t="e">
        <f t="shared" si="18"/>
        <v>#DIV/0!</v>
      </c>
      <c r="K2168" s="398"/>
      <c r="L2168" s="404"/>
      <c r="M2168" s="682"/>
      <c r="N2168" s="171"/>
      <c r="O2168" s="171"/>
      <c r="P2168" s="169"/>
      <c r="Q2168" s="171"/>
      <c r="R2168" s="171"/>
      <c r="S2168" s="171"/>
      <c r="T2168" s="171"/>
      <c r="U2168" s="171"/>
      <c r="V2168" s="171"/>
      <c r="W2168" s="171"/>
      <c r="X2168" s="171"/>
      <c r="Y2168" s="171"/>
      <c r="Z2168" s="171"/>
      <c r="AA2168" s="171"/>
    </row>
    <row r="2169" spans="1:27" s="530" customFormat="1" ht="25.5" hidden="1" x14ac:dyDescent="0.2">
      <c r="A2169" s="526"/>
      <c r="B2169" s="527"/>
      <c r="C2169" s="465"/>
      <c r="D2169" s="464"/>
      <c r="E2169" s="464"/>
      <c r="F2169" s="503" t="s">
        <v>248</v>
      </c>
      <c r="G2169" s="504" t="s">
        <v>249</v>
      </c>
      <c r="H2169" s="397"/>
      <c r="I2169" s="397"/>
      <c r="J2169" s="750" t="e">
        <f t="shared" si="18"/>
        <v>#DIV/0!</v>
      </c>
      <c r="K2169" s="398"/>
      <c r="L2169" s="404"/>
      <c r="M2169" s="682"/>
      <c r="N2169" s="171"/>
      <c r="O2169" s="171"/>
      <c r="P2169" s="169"/>
      <c r="Q2169" s="171"/>
      <c r="R2169" s="171"/>
      <c r="S2169" s="171"/>
      <c r="T2169" s="171"/>
      <c r="U2169" s="171"/>
      <c r="V2169" s="171"/>
      <c r="W2169" s="171"/>
      <c r="X2169" s="171"/>
      <c r="Y2169" s="171"/>
      <c r="Z2169" s="171"/>
      <c r="AA2169" s="171"/>
    </row>
    <row r="2170" spans="1:27" s="530" customFormat="1" hidden="1" x14ac:dyDescent="0.2">
      <c r="A2170" s="526"/>
      <c r="B2170" s="527"/>
      <c r="C2170" s="465"/>
      <c r="D2170" s="464"/>
      <c r="E2170" s="464"/>
      <c r="F2170" s="503" t="s">
        <v>250</v>
      </c>
      <c r="G2170" s="504" t="s">
        <v>57</v>
      </c>
      <c r="H2170" s="397"/>
      <c r="I2170" s="397"/>
      <c r="J2170" s="750" t="e">
        <f t="shared" si="18"/>
        <v>#DIV/0!</v>
      </c>
      <c r="K2170" s="398"/>
      <c r="L2170" s="404"/>
      <c r="M2170" s="682"/>
      <c r="N2170" s="171"/>
      <c r="O2170" s="171"/>
      <c r="P2170" s="169"/>
      <c r="Q2170" s="171"/>
      <c r="R2170" s="171"/>
      <c r="S2170" s="171"/>
      <c r="T2170" s="171"/>
      <c r="U2170" s="171"/>
      <c r="V2170" s="171"/>
      <c r="W2170" s="171"/>
      <c r="X2170" s="171"/>
      <c r="Y2170" s="171"/>
      <c r="Z2170" s="171"/>
      <c r="AA2170" s="171"/>
    </row>
    <row r="2171" spans="1:27" s="530" customFormat="1" hidden="1" x14ac:dyDescent="0.2">
      <c r="A2171" s="526"/>
      <c r="B2171" s="527"/>
      <c r="C2171" s="465"/>
      <c r="D2171" s="464"/>
      <c r="E2171" s="464"/>
      <c r="F2171" s="503" t="s">
        <v>251</v>
      </c>
      <c r="G2171" s="504" t="s">
        <v>252</v>
      </c>
      <c r="H2171" s="397"/>
      <c r="I2171" s="397"/>
      <c r="J2171" s="750" t="e">
        <f t="shared" si="18"/>
        <v>#DIV/0!</v>
      </c>
      <c r="K2171" s="398"/>
      <c r="L2171" s="404"/>
      <c r="M2171" s="682"/>
      <c r="N2171" s="171"/>
      <c r="O2171" s="171"/>
      <c r="P2171" s="169"/>
      <c r="Q2171" s="171"/>
      <c r="R2171" s="171"/>
      <c r="S2171" s="171"/>
      <c r="T2171" s="171"/>
      <c r="U2171" s="171"/>
      <c r="V2171" s="171"/>
      <c r="W2171" s="171"/>
      <c r="X2171" s="171"/>
      <c r="Y2171" s="171"/>
      <c r="Z2171" s="171"/>
      <c r="AA2171" s="171"/>
    </row>
    <row r="2172" spans="1:27" s="530" customFormat="1" hidden="1" x14ac:dyDescent="0.2">
      <c r="A2172" s="526"/>
      <c r="B2172" s="527"/>
      <c r="C2172" s="465"/>
      <c r="D2172" s="464"/>
      <c r="E2172" s="464"/>
      <c r="F2172" s="503" t="s">
        <v>253</v>
      </c>
      <c r="G2172" s="504" t="s">
        <v>254</v>
      </c>
      <c r="H2172" s="397"/>
      <c r="I2172" s="397"/>
      <c r="J2172" s="750" t="e">
        <f t="shared" si="18"/>
        <v>#DIV/0!</v>
      </c>
      <c r="K2172" s="398"/>
      <c r="L2172" s="404"/>
      <c r="M2172" s="682"/>
      <c r="N2172" s="171"/>
      <c r="O2172" s="171"/>
      <c r="P2172" s="169"/>
      <c r="Q2172" s="171"/>
      <c r="R2172" s="171"/>
      <c r="S2172" s="171"/>
      <c r="T2172" s="171"/>
      <c r="U2172" s="171"/>
      <c r="V2172" s="171"/>
      <c r="W2172" s="171"/>
      <c r="X2172" s="171"/>
      <c r="Y2172" s="171"/>
      <c r="Z2172" s="171"/>
      <c r="AA2172" s="171"/>
    </row>
    <row r="2173" spans="1:27" s="530" customFormat="1" ht="25.5" hidden="1" x14ac:dyDescent="0.2">
      <c r="A2173" s="526"/>
      <c r="B2173" s="527"/>
      <c r="C2173" s="465"/>
      <c r="D2173" s="464"/>
      <c r="E2173" s="464"/>
      <c r="F2173" s="503" t="s">
        <v>255</v>
      </c>
      <c r="G2173" s="504" t="s">
        <v>256</v>
      </c>
      <c r="H2173" s="397"/>
      <c r="I2173" s="397"/>
      <c r="J2173" s="750" t="e">
        <f t="shared" si="18"/>
        <v>#DIV/0!</v>
      </c>
      <c r="K2173" s="398"/>
      <c r="L2173" s="404"/>
      <c r="M2173" s="682"/>
      <c r="N2173" s="171"/>
      <c r="O2173" s="171"/>
      <c r="P2173" s="169"/>
      <c r="Q2173" s="171"/>
      <c r="R2173" s="171"/>
      <c r="S2173" s="171"/>
      <c r="T2173" s="171"/>
      <c r="U2173" s="171"/>
      <c r="V2173" s="171"/>
      <c r="W2173" s="171"/>
      <c r="X2173" s="171"/>
      <c r="Y2173" s="171"/>
      <c r="Z2173" s="171"/>
      <c r="AA2173" s="171"/>
    </row>
    <row r="2174" spans="1:27" s="530" customFormat="1" ht="25.5" hidden="1" x14ac:dyDescent="0.2">
      <c r="A2174" s="526"/>
      <c r="B2174" s="527"/>
      <c r="C2174" s="465"/>
      <c r="D2174" s="464"/>
      <c r="E2174" s="464"/>
      <c r="F2174" s="503" t="s">
        <v>257</v>
      </c>
      <c r="G2174" s="504" t="s">
        <v>258</v>
      </c>
      <c r="H2174" s="397"/>
      <c r="I2174" s="397"/>
      <c r="J2174" s="750" t="e">
        <f t="shared" si="18"/>
        <v>#DIV/0!</v>
      </c>
      <c r="K2174" s="398"/>
      <c r="L2174" s="404"/>
      <c r="M2174" s="682"/>
      <c r="N2174" s="171"/>
      <c r="O2174" s="171"/>
      <c r="P2174" s="169"/>
      <c r="Q2174" s="171"/>
      <c r="R2174" s="171"/>
      <c r="S2174" s="171"/>
      <c r="T2174" s="171"/>
      <c r="U2174" s="171"/>
      <c r="V2174" s="171"/>
      <c r="W2174" s="171"/>
      <c r="X2174" s="171"/>
      <c r="Y2174" s="171"/>
      <c r="Z2174" s="171"/>
      <c r="AA2174" s="171"/>
    </row>
    <row r="2175" spans="1:27" s="530" customFormat="1" ht="25.5" hidden="1" x14ac:dyDescent="0.2">
      <c r="A2175" s="526"/>
      <c r="B2175" s="527"/>
      <c r="C2175" s="465"/>
      <c r="D2175" s="464"/>
      <c r="E2175" s="464"/>
      <c r="F2175" s="503" t="s">
        <v>259</v>
      </c>
      <c r="G2175" s="504" t="s">
        <v>260</v>
      </c>
      <c r="H2175" s="397"/>
      <c r="I2175" s="397"/>
      <c r="J2175" s="750" t="e">
        <f t="shared" si="18"/>
        <v>#DIV/0!</v>
      </c>
      <c r="K2175" s="398"/>
      <c r="L2175" s="404"/>
      <c r="M2175" s="682"/>
      <c r="N2175" s="171"/>
      <c r="O2175" s="171"/>
      <c r="P2175" s="169"/>
      <c r="Q2175" s="171"/>
      <c r="R2175" s="171"/>
      <c r="S2175" s="171"/>
      <c r="T2175" s="171"/>
      <c r="U2175" s="171"/>
      <c r="V2175" s="171"/>
      <c r="W2175" s="171"/>
      <c r="X2175" s="171"/>
      <c r="Y2175" s="171"/>
      <c r="Z2175" s="171"/>
      <c r="AA2175" s="171"/>
    </row>
    <row r="2176" spans="1:27" s="530" customFormat="1" ht="25.5" hidden="1" x14ac:dyDescent="0.2">
      <c r="A2176" s="526"/>
      <c r="B2176" s="527"/>
      <c r="C2176" s="465"/>
      <c r="D2176" s="464"/>
      <c r="E2176" s="464"/>
      <c r="F2176" s="503" t="s">
        <v>261</v>
      </c>
      <c r="G2176" s="504" t="s">
        <v>262</v>
      </c>
      <c r="H2176" s="397"/>
      <c r="I2176" s="397"/>
      <c r="J2176" s="750" t="e">
        <f t="shared" si="18"/>
        <v>#DIV/0!</v>
      </c>
      <c r="K2176" s="398"/>
      <c r="L2176" s="404"/>
      <c r="M2176" s="682"/>
      <c r="N2176" s="171"/>
      <c r="O2176" s="171"/>
      <c r="P2176" s="169"/>
      <c r="Q2176" s="171"/>
      <c r="R2176" s="171"/>
      <c r="S2176" s="171"/>
      <c r="T2176" s="171"/>
      <c r="U2176" s="171"/>
      <c r="V2176" s="171"/>
      <c r="W2176" s="171"/>
      <c r="X2176" s="171"/>
      <c r="Y2176" s="171"/>
      <c r="Z2176" s="171"/>
      <c r="AA2176" s="171"/>
    </row>
    <row r="2177" spans="1:27" s="530" customFormat="1" hidden="1" x14ac:dyDescent="0.2">
      <c r="A2177" s="526"/>
      <c r="B2177" s="527"/>
      <c r="C2177" s="465"/>
      <c r="D2177" s="464"/>
      <c r="E2177" s="464"/>
      <c r="F2177" s="503" t="s">
        <v>263</v>
      </c>
      <c r="G2177" s="504" t="s">
        <v>264</v>
      </c>
      <c r="H2177" s="403"/>
      <c r="I2177" s="403"/>
      <c r="J2177" s="750" t="e">
        <f t="shared" si="18"/>
        <v>#DIV/0!</v>
      </c>
      <c r="K2177" s="404"/>
      <c r="L2177" s="404"/>
      <c r="M2177" s="682"/>
      <c r="N2177" s="171"/>
      <c r="O2177" s="171"/>
      <c r="P2177" s="169"/>
      <c r="Q2177" s="171"/>
      <c r="R2177" s="171"/>
      <c r="S2177" s="171"/>
      <c r="T2177" s="171"/>
      <c r="U2177" s="171"/>
      <c r="V2177" s="171"/>
      <c r="W2177" s="171"/>
      <c r="X2177" s="171"/>
      <c r="Y2177" s="171"/>
      <c r="Z2177" s="171"/>
      <c r="AA2177" s="171"/>
    </row>
    <row r="2178" spans="1:27" s="530" customFormat="1" ht="13.5" hidden="1" thickBot="1" x14ac:dyDescent="0.25">
      <c r="A2178" s="526"/>
      <c r="B2178" s="527"/>
      <c r="C2178" s="465"/>
      <c r="D2178" s="464"/>
      <c r="E2178" s="464"/>
      <c r="F2178" s="464"/>
      <c r="G2178" s="505" t="s">
        <v>4384</v>
      </c>
      <c r="H2178" s="405">
        <f>SUM(H2162:H2177)</f>
        <v>0</v>
      </c>
      <c r="I2178" s="405"/>
      <c r="J2178" s="750" t="e">
        <f t="shared" si="18"/>
        <v>#DIV/0!</v>
      </c>
      <c r="K2178" s="406">
        <f>SUM(K2163:K2177)</f>
        <v>0</v>
      </c>
      <c r="L2178" s="406"/>
      <c r="M2178" s="682"/>
      <c r="N2178" s="171"/>
      <c r="O2178" s="171"/>
      <c r="P2178" s="169"/>
      <c r="Q2178" s="171"/>
      <c r="R2178" s="171"/>
      <c r="S2178" s="171"/>
      <c r="T2178" s="171"/>
      <c r="U2178" s="171"/>
      <c r="V2178" s="171"/>
      <c r="W2178" s="171"/>
      <c r="X2178" s="171"/>
      <c r="Y2178" s="171"/>
      <c r="Z2178" s="171"/>
      <c r="AA2178" s="171"/>
    </row>
    <row r="2179" spans="1:27" s="530" customFormat="1" ht="19.5" hidden="1" customHeight="1" x14ac:dyDescent="0.2">
      <c r="A2179" s="526"/>
      <c r="B2179" s="527"/>
      <c r="C2179" s="465"/>
      <c r="D2179" s="464"/>
      <c r="E2179" s="464"/>
      <c r="F2179" s="498"/>
      <c r="G2179" s="506" t="s">
        <v>4269</v>
      </c>
      <c r="H2179" s="407"/>
      <c r="I2179" s="408"/>
      <c r="J2179" s="750" t="e">
        <f t="shared" si="18"/>
        <v>#DIV/0!</v>
      </c>
      <c r="K2179" s="409"/>
      <c r="L2179" s="410"/>
      <c r="M2179" s="682"/>
      <c r="N2179" s="171"/>
      <c r="O2179" s="171"/>
      <c r="P2179" s="169"/>
      <c r="Q2179" s="171"/>
      <c r="R2179" s="171"/>
      <c r="S2179" s="171"/>
      <c r="T2179" s="171"/>
      <c r="U2179" s="171"/>
      <c r="V2179" s="171"/>
      <c r="W2179" s="171"/>
      <c r="X2179" s="171"/>
      <c r="Y2179" s="171"/>
      <c r="Z2179" s="171"/>
      <c r="AA2179" s="171"/>
    </row>
    <row r="2180" spans="1:27" s="530" customFormat="1" ht="13.5" hidden="1" customHeight="1" thickBot="1" x14ac:dyDescent="0.25">
      <c r="A2180" s="526"/>
      <c r="B2180" s="527"/>
      <c r="C2180" s="241"/>
      <c r="D2180" s="173"/>
      <c r="E2180" s="502"/>
      <c r="F2180" s="503" t="s">
        <v>234</v>
      </c>
      <c r="G2180" s="504" t="s">
        <v>235</v>
      </c>
      <c r="H2180" s="403">
        <f>SUM(H2153:H2160)</f>
        <v>0</v>
      </c>
      <c r="I2180" s="403"/>
      <c r="J2180" s="750" t="e">
        <f t="shared" si="18"/>
        <v>#DIV/0!</v>
      </c>
      <c r="K2180" s="404"/>
      <c r="L2180" s="398"/>
      <c r="M2180" s="682"/>
      <c r="N2180" s="171"/>
      <c r="O2180" s="171"/>
      <c r="P2180" s="169"/>
      <c r="Q2180" s="171"/>
      <c r="R2180" s="171"/>
      <c r="S2180" s="171"/>
      <c r="T2180" s="171"/>
      <c r="U2180" s="171"/>
      <c r="V2180" s="171"/>
      <c r="W2180" s="171"/>
      <c r="X2180" s="171"/>
      <c r="Y2180" s="171"/>
      <c r="Z2180" s="171"/>
      <c r="AA2180" s="171"/>
    </row>
    <row r="2181" spans="1:27" s="530" customFormat="1" ht="13.5" hidden="1" customHeight="1" x14ac:dyDescent="0.2">
      <c r="A2181" s="526"/>
      <c r="B2181" s="527"/>
      <c r="C2181" s="181"/>
      <c r="D2181" s="173"/>
      <c r="E2181" s="502"/>
      <c r="F2181" s="503" t="s">
        <v>236</v>
      </c>
      <c r="G2181" s="504" t="s">
        <v>237</v>
      </c>
      <c r="H2181" s="397"/>
      <c r="I2181" s="397"/>
      <c r="J2181" s="750" t="e">
        <f t="shared" si="18"/>
        <v>#DIV/0!</v>
      </c>
      <c r="K2181" s="398"/>
      <c r="L2181" s="404"/>
      <c r="M2181" s="682"/>
      <c r="N2181" s="171"/>
      <c r="O2181" s="171"/>
      <c r="P2181" s="169"/>
      <c r="Q2181" s="171"/>
      <c r="R2181" s="171"/>
      <c r="S2181" s="171"/>
      <c r="T2181" s="171"/>
      <c r="U2181" s="171"/>
      <c r="V2181" s="171"/>
      <c r="W2181" s="171"/>
      <c r="X2181" s="171"/>
      <c r="Y2181" s="171"/>
      <c r="Z2181" s="171"/>
      <c r="AA2181" s="171"/>
    </row>
    <row r="2182" spans="1:27" s="530" customFormat="1" ht="6" hidden="1" customHeight="1" x14ac:dyDescent="0.2">
      <c r="A2182" s="526"/>
      <c r="B2182" s="527"/>
      <c r="C2182" s="241"/>
      <c r="D2182" s="224"/>
      <c r="E2182" s="224"/>
      <c r="F2182" s="503" t="s">
        <v>238</v>
      </c>
      <c r="G2182" s="504" t="s">
        <v>239</v>
      </c>
      <c r="H2182" s="397"/>
      <c r="I2182" s="397"/>
      <c r="J2182" s="750" t="e">
        <f t="shared" si="18"/>
        <v>#DIV/0!</v>
      </c>
      <c r="K2182" s="398"/>
      <c r="L2182" s="404"/>
      <c r="M2182" s="682"/>
      <c r="N2182" s="171"/>
      <c r="O2182" s="171"/>
      <c r="P2182" s="169"/>
      <c r="Q2182" s="171"/>
      <c r="R2182" s="171"/>
      <c r="S2182" s="171"/>
      <c r="T2182" s="171"/>
      <c r="U2182" s="171"/>
      <c r="V2182" s="171"/>
      <c r="W2182" s="171"/>
      <c r="X2182" s="171"/>
      <c r="Y2182" s="171"/>
      <c r="Z2182" s="171"/>
      <c r="AA2182" s="171"/>
    </row>
    <row r="2183" spans="1:27" s="530" customFormat="1" ht="6" hidden="1" customHeight="1" x14ac:dyDescent="0.2">
      <c r="A2183" s="526"/>
      <c r="B2183" s="527"/>
      <c r="C2183" s="181"/>
      <c r="D2183" s="173"/>
      <c r="E2183" s="502"/>
      <c r="F2183" s="503" t="s">
        <v>240</v>
      </c>
      <c r="G2183" s="504" t="s">
        <v>241</v>
      </c>
      <c r="H2183" s="397"/>
      <c r="I2183" s="397"/>
      <c r="J2183" s="750" t="e">
        <f t="shared" si="18"/>
        <v>#DIV/0!</v>
      </c>
      <c r="K2183" s="398"/>
      <c r="L2183" s="404"/>
      <c r="M2183" s="682"/>
      <c r="N2183" s="171"/>
      <c r="O2183" s="171"/>
      <c r="P2183" s="169"/>
      <c r="Q2183" s="171"/>
      <c r="R2183" s="171"/>
      <c r="S2183" s="171"/>
      <c r="T2183" s="171"/>
      <c r="U2183" s="171"/>
      <c r="V2183" s="171"/>
      <c r="W2183" s="171"/>
      <c r="X2183" s="171"/>
      <c r="Y2183" s="171"/>
      <c r="Z2183" s="171"/>
      <c r="AA2183" s="171"/>
    </row>
    <row r="2184" spans="1:27" s="530" customFormat="1" ht="6" hidden="1" customHeight="1" x14ac:dyDescent="0.2">
      <c r="A2184" s="526"/>
      <c r="B2184" s="527"/>
      <c r="C2184" s="181"/>
      <c r="D2184" s="173"/>
      <c r="E2184" s="502"/>
      <c r="F2184" s="503" t="s">
        <v>242</v>
      </c>
      <c r="G2184" s="504" t="s">
        <v>243</v>
      </c>
      <c r="H2184" s="397"/>
      <c r="I2184" s="397"/>
      <c r="J2184" s="750" t="e">
        <f t="shared" si="18"/>
        <v>#DIV/0!</v>
      </c>
      <c r="K2184" s="398"/>
      <c r="L2184" s="404"/>
      <c r="M2184" s="682"/>
      <c r="N2184" s="171"/>
      <c r="O2184" s="171"/>
      <c r="P2184" s="169"/>
      <c r="Q2184" s="171"/>
      <c r="R2184" s="171"/>
      <c r="S2184" s="171"/>
      <c r="T2184" s="171"/>
      <c r="U2184" s="171"/>
      <c r="V2184" s="171"/>
      <c r="W2184" s="171"/>
      <c r="X2184" s="171"/>
      <c r="Y2184" s="171"/>
      <c r="Z2184" s="171"/>
      <c r="AA2184" s="171"/>
    </row>
    <row r="2185" spans="1:27" s="530" customFormat="1" ht="6" hidden="1" customHeight="1" x14ac:dyDescent="0.2">
      <c r="A2185" s="526"/>
      <c r="B2185" s="527"/>
      <c r="C2185" s="241"/>
      <c r="D2185" s="224"/>
      <c r="E2185" s="224"/>
      <c r="F2185" s="503" t="s">
        <v>244</v>
      </c>
      <c r="G2185" s="504" t="s">
        <v>245</v>
      </c>
      <c r="H2185" s="397"/>
      <c r="I2185" s="397"/>
      <c r="J2185" s="750" t="e">
        <f t="shared" si="18"/>
        <v>#DIV/0!</v>
      </c>
      <c r="K2185" s="398"/>
      <c r="L2185" s="404"/>
      <c r="M2185" s="682"/>
      <c r="N2185" s="171"/>
      <c r="O2185" s="171"/>
      <c r="P2185" s="169"/>
      <c r="Q2185" s="171"/>
      <c r="R2185" s="171"/>
      <c r="S2185" s="171"/>
      <c r="T2185" s="171"/>
      <c r="U2185" s="171"/>
      <c r="V2185" s="171"/>
      <c r="W2185" s="171"/>
      <c r="X2185" s="171"/>
      <c r="Y2185" s="171"/>
      <c r="Z2185" s="171"/>
      <c r="AA2185" s="171"/>
    </row>
    <row r="2186" spans="1:27" s="530" customFormat="1" ht="6" hidden="1" customHeight="1" x14ac:dyDescent="0.2">
      <c r="A2186" s="526"/>
      <c r="B2186" s="527"/>
      <c r="C2186" s="241"/>
      <c r="D2186" s="224"/>
      <c r="E2186" s="224"/>
      <c r="F2186" s="503" t="s">
        <v>246</v>
      </c>
      <c r="G2186" s="504" t="s">
        <v>247</v>
      </c>
      <c r="H2186" s="397"/>
      <c r="I2186" s="397"/>
      <c r="J2186" s="750" t="e">
        <f t="shared" si="18"/>
        <v>#DIV/0!</v>
      </c>
      <c r="K2186" s="398"/>
      <c r="L2186" s="404"/>
      <c r="M2186" s="682"/>
      <c r="N2186" s="171"/>
      <c r="O2186" s="171"/>
      <c r="P2186" s="169"/>
      <c r="Q2186" s="171"/>
      <c r="R2186" s="171"/>
      <c r="S2186" s="171"/>
      <c r="T2186" s="171"/>
      <c r="U2186" s="171"/>
      <c r="V2186" s="171"/>
      <c r="W2186" s="171"/>
      <c r="X2186" s="171"/>
      <c r="Y2186" s="171"/>
      <c r="Z2186" s="171"/>
      <c r="AA2186" s="171"/>
    </row>
    <row r="2187" spans="1:27" s="530" customFormat="1" ht="6" hidden="1" customHeight="1" x14ac:dyDescent="0.2">
      <c r="A2187" s="526"/>
      <c r="B2187" s="527"/>
      <c r="C2187" s="241"/>
      <c r="D2187" s="224"/>
      <c r="E2187" s="224"/>
      <c r="F2187" s="503" t="s">
        <v>248</v>
      </c>
      <c r="G2187" s="504" t="s">
        <v>249</v>
      </c>
      <c r="H2187" s="397"/>
      <c r="I2187" s="397"/>
      <c r="J2187" s="750" t="e">
        <f t="shared" si="18"/>
        <v>#DIV/0!</v>
      </c>
      <c r="K2187" s="398"/>
      <c r="L2187" s="404"/>
      <c r="M2187" s="682"/>
      <c r="N2187" s="171"/>
      <c r="O2187" s="171"/>
      <c r="P2187" s="169"/>
      <c r="Q2187" s="171"/>
      <c r="R2187" s="171"/>
      <c r="S2187" s="171"/>
      <c r="T2187" s="171"/>
      <c r="U2187" s="171"/>
      <c r="V2187" s="171"/>
      <c r="W2187" s="171"/>
      <c r="X2187" s="171"/>
      <c r="Y2187" s="171"/>
      <c r="Z2187" s="171"/>
      <c r="AA2187" s="171"/>
    </row>
    <row r="2188" spans="1:27" s="530" customFormat="1" ht="6" hidden="1" customHeight="1" x14ac:dyDescent="0.2">
      <c r="A2188" s="526"/>
      <c r="B2188" s="527"/>
      <c r="C2188" s="241"/>
      <c r="D2188" s="224"/>
      <c r="E2188" s="224"/>
      <c r="F2188" s="503" t="s">
        <v>250</v>
      </c>
      <c r="G2188" s="504" t="s">
        <v>57</v>
      </c>
      <c r="H2188" s="397"/>
      <c r="I2188" s="397"/>
      <c r="J2188" s="750" t="e">
        <f t="shared" si="18"/>
        <v>#DIV/0!</v>
      </c>
      <c r="K2188" s="398"/>
      <c r="L2188" s="404"/>
      <c r="M2188" s="682"/>
      <c r="N2188" s="171"/>
      <c r="O2188" s="171"/>
      <c r="P2188" s="169"/>
      <c r="Q2188" s="171"/>
      <c r="R2188" s="171"/>
      <c r="S2188" s="171"/>
      <c r="T2188" s="171"/>
      <c r="U2188" s="171"/>
      <c r="V2188" s="171"/>
      <c r="W2188" s="171"/>
      <c r="X2188" s="171"/>
      <c r="Y2188" s="171"/>
      <c r="Z2188" s="171"/>
      <c r="AA2188" s="171"/>
    </row>
    <row r="2189" spans="1:27" s="530" customFormat="1" ht="6" hidden="1" customHeight="1" x14ac:dyDescent="0.2">
      <c r="A2189" s="526"/>
      <c r="B2189" s="527"/>
      <c r="C2189" s="241"/>
      <c r="D2189" s="224"/>
      <c r="E2189" s="224"/>
      <c r="F2189" s="503" t="s">
        <v>251</v>
      </c>
      <c r="G2189" s="504" t="s">
        <v>252</v>
      </c>
      <c r="H2189" s="397"/>
      <c r="I2189" s="397"/>
      <c r="J2189" s="750" t="e">
        <f t="shared" ref="J2189:J2252" si="19">SUM(I2189/H2189)*100</f>
        <v>#DIV/0!</v>
      </c>
      <c r="K2189" s="398"/>
      <c r="L2189" s="404"/>
      <c r="M2189" s="682"/>
      <c r="N2189" s="171"/>
      <c r="O2189" s="171"/>
      <c r="P2189" s="169"/>
      <c r="Q2189" s="171"/>
      <c r="R2189" s="171"/>
      <c r="S2189" s="171"/>
      <c r="T2189" s="171"/>
      <c r="U2189" s="171"/>
      <c r="V2189" s="171"/>
      <c r="W2189" s="171"/>
      <c r="X2189" s="171"/>
      <c r="Y2189" s="171"/>
      <c r="Z2189" s="171"/>
      <c r="AA2189" s="171"/>
    </row>
    <row r="2190" spans="1:27" s="530" customFormat="1" ht="6" hidden="1" customHeight="1" x14ac:dyDescent="0.2">
      <c r="A2190" s="526"/>
      <c r="B2190" s="527"/>
      <c r="C2190" s="465"/>
      <c r="D2190" s="464"/>
      <c r="E2190" s="464"/>
      <c r="F2190" s="503" t="s">
        <v>253</v>
      </c>
      <c r="G2190" s="504" t="s">
        <v>254</v>
      </c>
      <c r="H2190" s="397"/>
      <c r="I2190" s="397"/>
      <c r="J2190" s="750" t="e">
        <f t="shared" si="19"/>
        <v>#DIV/0!</v>
      </c>
      <c r="K2190" s="398"/>
      <c r="L2190" s="404"/>
      <c r="M2190" s="682"/>
      <c r="N2190" s="171"/>
      <c r="O2190" s="171"/>
      <c r="P2190" s="169"/>
      <c r="Q2190" s="171"/>
      <c r="R2190" s="171"/>
      <c r="S2190" s="171"/>
      <c r="T2190" s="171"/>
      <c r="U2190" s="171"/>
      <c r="V2190" s="171"/>
      <c r="W2190" s="171"/>
      <c r="X2190" s="171"/>
      <c r="Y2190" s="171"/>
      <c r="Z2190" s="171"/>
      <c r="AA2190" s="171"/>
    </row>
    <row r="2191" spans="1:27" s="530" customFormat="1" ht="6" hidden="1" customHeight="1" x14ac:dyDescent="0.2">
      <c r="A2191" s="526"/>
      <c r="B2191" s="527"/>
      <c r="C2191" s="465"/>
      <c r="D2191" s="464"/>
      <c r="E2191" s="464"/>
      <c r="F2191" s="503" t="s">
        <v>255</v>
      </c>
      <c r="G2191" s="504" t="s">
        <v>256</v>
      </c>
      <c r="H2191" s="397"/>
      <c r="I2191" s="397"/>
      <c r="J2191" s="750" t="e">
        <f t="shared" si="19"/>
        <v>#DIV/0!</v>
      </c>
      <c r="K2191" s="398"/>
      <c r="L2191" s="404"/>
      <c r="M2191" s="682"/>
      <c r="N2191" s="171"/>
      <c r="O2191" s="171"/>
      <c r="P2191" s="169"/>
      <c r="Q2191" s="171"/>
      <c r="R2191" s="171"/>
      <c r="S2191" s="171"/>
      <c r="T2191" s="171"/>
      <c r="U2191" s="171"/>
      <c r="V2191" s="171"/>
      <c r="W2191" s="171"/>
      <c r="X2191" s="171"/>
      <c r="Y2191" s="171"/>
      <c r="Z2191" s="171"/>
      <c r="AA2191" s="171"/>
    </row>
    <row r="2192" spans="1:27" s="530" customFormat="1" ht="6" hidden="1" customHeight="1" x14ac:dyDescent="0.2">
      <c r="A2192" s="526"/>
      <c r="B2192" s="527"/>
      <c r="C2192" s="465"/>
      <c r="D2192" s="464"/>
      <c r="E2192" s="464"/>
      <c r="F2192" s="503" t="s">
        <v>257</v>
      </c>
      <c r="G2192" s="504" t="s">
        <v>258</v>
      </c>
      <c r="H2192" s="397"/>
      <c r="I2192" s="397"/>
      <c r="J2192" s="750" t="e">
        <f t="shared" si="19"/>
        <v>#DIV/0!</v>
      </c>
      <c r="K2192" s="398"/>
      <c r="L2192" s="404"/>
      <c r="M2192" s="682"/>
      <c r="N2192" s="171"/>
      <c r="O2192" s="171"/>
      <c r="P2192" s="169"/>
      <c r="Q2192" s="171"/>
      <c r="R2192" s="171"/>
      <c r="S2192" s="171"/>
      <c r="T2192" s="171"/>
      <c r="U2192" s="171"/>
      <c r="V2192" s="171"/>
      <c r="W2192" s="171"/>
      <c r="X2192" s="171"/>
      <c r="Y2192" s="171"/>
      <c r="Z2192" s="171"/>
      <c r="AA2192" s="171"/>
    </row>
    <row r="2193" spans="1:27" s="530" customFormat="1" ht="6" hidden="1" customHeight="1" x14ac:dyDescent="0.2">
      <c r="A2193" s="526"/>
      <c r="B2193" s="527"/>
      <c r="C2193" s="465"/>
      <c r="D2193" s="464"/>
      <c r="E2193" s="464"/>
      <c r="F2193" s="503" t="s">
        <v>259</v>
      </c>
      <c r="G2193" s="504" t="s">
        <v>260</v>
      </c>
      <c r="H2193" s="397"/>
      <c r="I2193" s="397"/>
      <c r="J2193" s="750" t="e">
        <f t="shared" si="19"/>
        <v>#DIV/0!</v>
      </c>
      <c r="K2193" s="398"/>
      <c r="L2193" s="404"/>
      <c r="M2193" s="682"/>
      <c r="N2193" s="171"/>
      <c r="O2193" s="171"/>
      <c r="P2193" s="169"/>
      <c r="Q2193" s="171"/>
      <c r="R2193" s="171"/>
      <c r="S2193" s="171"/>
      <c r="T2193" s="171"/>
      <c r="U2193" s="171"/>
      <c r="V2193" s="171"/>
      <c r="W2193" s="171"/>
      <c r="X2193" s="171"/>
      <c r="Y2193" s="171"/>
      <c r="Z2193" s="171"/>
      <c r="AA2193" s="171"/>
    </row>
    <row r="2194" spans="1:27" s="530" customFormat="1" ht="6" hidden="1" customHeight="1" x14ac:dyDescent="0.2">
      <c r="A2194" s="526"/>
      <c r="B2194" s="527"/>
      <c r="C2194" s="465"/>
      <c r="D2194" s="464"/>
      <c r="E2194" s="464"/>
      <c r="F2194" s="503" t="s">
        <v>261</v>
      </c>
      <c r="G2194" s="504" t="s">
        <v>262</v>
      </c>
      <c r="H2194" s="397"/>
      <c r="I2194" s="397"/>
      <c r="J2194" s="750" t="e">
        <f t="shared" si="19"/>
        <v>#DIV/0!</v>
      </c>
      <c r="K2194" s="398"/>
      <c r="L2194" s="404"/>
      <c r="M2194" s="682"/>
      <c r="N2194" s="171"/>
      <c r="O2194" s="171"/>
      <c r="P2194" s="169"/>
      <c r="Q2194" s="171"/>
      <c r="R2194" s="171"/>
      <c r="S2194" s="171"/>
      <c r="T2194" s="171"/>
      <c r="U2194" s="171"/>
      <c r="V2194" s="171"/>
      <c r="W2194" s="171"/>
      <c r="X2194" s="171"/>
      <c r="Y2194" s="171"/>
      <c r="Z2194" s="171"/>
      <c r="AA2194" s="171"/>
    </row>
    <row r="2195" spans="1:27" s="530" customFormat="1" ht="6" hidden="1" customHeight="1" thickBot="1" x14ac:dyDescent="0.25">
      <c r="A2195" s="526"/>
      <c r="B2195" s="527"/>
      <c r="C2195" s="465"/>
      <c r="D2195" s="464"/>
      <c r="E2195" s="464"/>
      <c r="F2195" s="503" t="s">
        <v>263</v>
      </c>
      <c r="G2195" s="504" t="s">
        <v>264</v>
      </c>
      <c r="H2195" s="403"/>
      <c r="I2195" s="403"/>
      <c r="J2195" s="750" t="e">
        <f t="shared" si="19"/>
        <v>#DIV/0!</v>
      </c>
      <c r="K2195" s="404"/>
      <c r="L2195" s="404"/>
      <c r="M2195" s="682"/>
      <c r="N2195" s="171"/>
      <c r="O2195" s="171"/>
      <c r="P2195" s="169"/>
      <c r="Q2195" s="171"/>
      <c r="R2195" s="171"/>
      <c r="S2195" s="171"/>
      <c r="T2195" s="171"/>
      <c r="U2195" s="171"/>
      <c r="V2195" s="171"/>
      <c r="W2195" s="171"/>
      <c r="X2195" s="171"/>
      <c r="Y2195" s="171"/>
      <c r="Z2195" s="171"/>
      <c r="AA2195" s="171"/>
    </row>
    <row r="2196" spans="1:27" s="530" customFormat="1" ht="13.5" hidden="1" thickBot="1" x14ac:dyDescent="0.25">
      <c r="A2196" s="526"/>
      <c r="B2196" s="527"/>
      <c r="C2196" s="465"/>
      <c r="D2196" s="464"/>
      <c r="E2196" s="464"/>
      <c r="F2196" s="464"/>
      <c r="G2196" s="505" t="s">
        <v>4217</v>
      </c>
      <c r="H2196" s="405">
        <f>SUM(H2180:H2195)</f>
        <v>0</v>
      </c>
      <c r="I2196" s="405"/>
      <c r="J2196" s="750" t="e">
        <f t="shared" si="19"/>
        <v>#DIV/0!</v>
      </c>
      <c r="K2196" s="406">
        <f>SUM(K2181:K2195)</f>
        <v>0</v>
      </c>
      <c r="L2196" s="406"/>
      <c r="M2196" s="682"/>
      <c r="N2196" s="171"/>
      <c r="O2196" s="171"/>
      <c r="P2196" s="169"/>
      <c r="Q2196" s="171"/>
      <c r="R2196" s="171"/>
      <c r="S2196" s="171"/>
      <c r="T2196" s="171"/>
      <c r="U2196" s="171"/>
      <c r="V2196" s="171"/>
      <c r="W2196" s="171"/>
      <c r="X2196" s="171"/>
      <c r="Y2196" s="171"/>
      <c r="Z2196" s="171"/>
      <c r="AA2196" s="171"/>
    </row>
    <row r="2197" spans="1:27" s="530" customFormat="1" hidden="1" x14ac:dyDescent="0.2">
      <c r="A2197" s="526"/>
      <c r="B2197" s="527"/>
      <c r="C2197" s="465"/>
      <c r="D2197" s="464"/>
      <c r="E2197" s="464"/>
      <c r="F2197" s="464"/>
      <c r="G2197" s="507"/>
      <c r="H2197" s="397"/>
      <c r="I2197" s="397"/>
      <c r="J2197" s="750" t="e">
        <f t="shared" si="19"/>
        <v>#DIV/0!</v>
      </c>
      <c r="K2197" s="398"/>
      <c r="L2197" s="398"/>
      <c r="M2197" s="682"/>
      <c r="N2197" s="171"/>
      <c r="O2197" s="171"/>
      <c r="P2197" s="169"/>
      <c r="Q2197" s="171"/>
      <c r="R2197" s="171"/>
      <c r="S2197" s="171"/>
      <c r="T2197" s="171"/>
      <c r="U2197" s="171"/>
      <c r="V2197" s="171"/>
      <c r="W2197" s="171"/>
      <c r="X2197" s="171"/>
      <c r="Y2197" s="171"/>
      <c r="Z2197" s="171"/>
      <c r="AA2197" s="171"/>
    </row>
    <row r="2198" spans="1:27" s="530" customFormat="1" hidden="1" x14ac:dyDescent="0.2">
      <c r="A2198" s="526"/>
      <c r="B2198" s="527"/>
      <c r="C2198" s="542" t="s">
        <v>4145</v>
      </c>
      <c r="D2198" s="224"/>
      <c r="E2198" s="502"/>
      <c r="F2198" s="464"/>
      <c r="G2198" s="550" t="s">
        <v>4215</v>
      </c>
      <c r="H2198" s="397"/>
      <c r="I2198" s="397"/>
      <c r="J2198" s="750" t="e">
        <f t="shared" si="19"/>
        <v>#DIV/0!</v>
      </c>
      <c r="K2198" s="398"/>
      <c r="L2198" s="398"/>
      <c r="M2198" s="682"/>
      <c r="N2198" s="171"/>
      <c r="O2198" s="171"/>
      <c r="P2198" s="169"/>
      <c r="Q2198" s="171"/>
      <c r="R2198" s="171"/>
      <c r="S2198" s="171"/>
      <c r="T2198" s="171"/>
      <c r="U2198" s="171"/>
      <c r="V2198" s="171"/>
      <c r="W2198" s="171"/>
      <c r="X2198" s="171"/>
      <c r="Y2198" s="171"/>
      <c r="Z2198" s="171"/>
      <c r="AA2198" s="171"/>
    </row>
    <row r="2199" spans="1:27" s="530" customFormat="1" ht="25.5" hidden="1" x14ac:dyDescent="0.2">
      <c r="A2199" s="526"/>
      <c r="B2199" s="527"/>
      <c r="C2199" s="465"/>
      <c r="D2199" s="558" t="s">
        <v>3888</v>
      </c>
      <c r="E2199" s="492"/>
      <c r="F2199" s="492"/>
      <c r="G2199" s="551" t="s">
        <v>103</v>
      </c>
      <c r="H2199" s="397"/>
      <c r="I2199" s="397"/>
      <c r="J2199" s="750" t="e">
        <f t="shared" si="19"/>
        <v>#DIV/0!</v>
      </c>
      <c r="K2199" s="398"/>
      <c r="L2199" s="398"/>
      <c r="M2199" s="682"/>
      <c r="N2199" s="171"/>
      <c r="O2199" s="171"/>
      <c r="P2199" s="169"/>
      <c r="Q2199" s="171"/>
      <c r="R2199" s="171"/>
      <c r="S2199" s="171"/>
      <c r="T2199" s="171"/>
      <c r="U2199" s="171"/>
      <c r="V2199" s="171"/>
      <c r="W2199" s="171"/>
      <c r="X2199" s="171"/>
      <c r="Y2199" s="171"/>
      <c r="Z2199" s="171"/>
      <c r="AA2199" s="171"/>
    </row>
    <row r="2200" spans="1:27" s="530" customFormat="1" hidden="1" x14ac:dyDescent="0.2">
      <c r="A2200" s="526"/>
      <c r="B2200" s="527"/>
      <c r="C2200" s="465"/>
      <c r="D2200" s="464"/>
      <c r="E2200" s="464"/>
      <c r="F2200" s="494">
        <v>422</v>
      </c>
      <c r="G2200" s="495" t="s">
        <v>3778</v>
      </c>
      <c r="H2200" s="397"/>
      <c r="I2200" s="397"/>
      <c r="J2200" s="750" t="e">
        <f t="shared" si="19"/>
        <v>#DIV/0!</v>
      </c>
      <c r="K2200" s="398"/>
      <c r="L2200" s="398"/>
      <c r="M2200" s="682"/>
      <c r="N2200" s="171"/>
      <c r="O2200" s="171"/>
      <c r="P2200" s="169"/>
      <c r="Q2200" s="171"/>
      <c r="R2200" s="171"/>
      <c r="S2200" s="171"/>
      <c r="T2200" s="171"/>
      <c r="U2200" s="171"/>
      <c r="V2200" s="171"/>
      <c r="W2200" s="171"/>
      <c r="X2200" s="171"/>
      <c r="Y2200" s="171"/>
      <c r="Z2200" s="171"/>
      <c r="AA2200" s="171"/>
    </row>
    <row r="2201" spans="1:27" s="530" customFormat="1" hidden="1" x14ac:dyDescent="0.2">
      <c r="A2201" s="526"/>
      <c r="B2201" s="527"/>
      <c r="C2201" s="465"/>
      <c r="D2201" s="464"/>
      <c r="E2201" s="464"/>
      <c r="F2201" s="494">
        <v>423</v>
      </c>
      <c r="G2201" s="495" t="s">
        <v>3779</v>
      </c>
      <c r="H2201" s="397"/>
      <c r="I2201" s="397"/>
      <c r="J2201" s="750" t="e">
        <f t="shared" si="19"/>
        <v>#DIV/0!</v>
      </c>
      <c r="K2201" s="398"/>
      <c r="L2201" s="398"/>
      <c r="M2201" s="682"/>
      <c r="N2201" s="171"/>
      <c r="O2201" s="171"/>
      <c r="P2201" s="169"/>
      <c r="Q2201" s="171"/>
      <c r="R2201" s="171"/>
      <c r="S2201" s="171"/>
      <c r="T2201" s="171"/>
      <c r="U2201" s="171"/>
      <c r="V2201" s="171"/>
      <c r="W2201" s="171"/>
      <c r="X2201" s="171"/>
      <c r="Y2201" s="171"/>
      <c r="Z2201" s="171"/>
      <c r="AA2201" s="171"/>
    </row>
    <row r="2202" spans="1:27" s="530" customFormat="1" hidden="1" x14ac:dyDescent="0.2">
      <c r="A2202" s="526"/>
      <c r="B2202" s="527"/>
      <c r="C2202" s="465"/>
      <c r="D2202" s="464"/>
      <c r="E2202" s="464"/>
      <c r="F2202" s="494">
        <v>424</v>
      </c>
      <c r="G2202" s="495" t="s">
        <v>3781</v>
      </c>
      <c r="H2202" s="397"/>
      <c r="I2202" s="397"/>
      <c r="J2202" s="750" t="e">
        <f t="shared" si="19"/>
        <v>#DIV/0!</v>
      </c>
      <c r="K2202" s="398"/>
      <c r="L2202" s="398"/>
      <c r="M2202" s="682"/>
      <c r="N2202" s="171"/>
      <c r="O2202" s="171"/>
      <c r="P2202" s="169"/>
      <c r="Q2202" s="171"/>
      <c r="R2202" s="171"/>
      <c r="S2202" s="171"/>
      <c r="T2202" s="171"/>
      <c r="U2202" s="171"/>
      <c r="V2202" s="171"/>
      <c r="W2202" s="171"/>
      <c r="X2202" s="171"/>
      <c r="Y2202" s="171"/>
      <c r="Z2202" s="171"/>
      <c r="AA2202" s="171"/>
    </row>
    <row r="2203" spans="1:27" s="530" customFormat="1" hidden="1" x14ac:dyDescent="0.2">
      <c r="A2203" s="526"/>
      <c r="B2203" s="527"/>
      <c r="C2203" s="465"/>
      <c r="D2203" s="464"/>
      <c r="E2203" s="464"/>
      <c r="F2203" s="494">
        <v>426</v>
      </c>
      <c r="G2203" s="495" t="s">
        <v>3785</v>
      </c>
      <c r="H2203" s="397"/>
      <c r="I2203" s="397"/>
      <c r="J2203" s="750" t="e">
        <f t="shared" si="19"/>
        <v>#DIV/0!</v>
      </c>
      <c r="K2203" s="398"/>
      <c r="L2203" s="398"/>
      <c r="M2203" s="682"/>
      <c r="N2203" s="171"/>
      <c r="O2203" s="171"/>
      <c r="P2203" s="169"/>
      <c r="Q2203" s="171"/>
      <c r="R2203" s="171"/>
      <c r="S2203" s="171"/>
      <c r="T2203" s="171"/>
      <c r="U2203" s="171"/>
      <c r="V2203" s="171"/>
      <c r="W2203" s="171"/>
      <c r="X2203" s="171"/>
      <c r="Y2203" s="171"/>
      <c r="Z2203" s="171"/>
      <c r="AA2203" s="171"/>
    </row>
    <row r="2204" spans="1:27" s="530" customFormat="1" hidden="1" x14ac:dyDescent="0.2">
      <c r="A2204" s="526"/>
      <c r="B2204" s="527"/>
      <c r="C2204" s="465"/>
      <c r="D2204" s="464"/>
      <c r="E2204" s="464"/>
      <c r="F2204" s="494">
        <v>472</v>
      </c>
      <c r="G2204" s="495" t="s">
        <v>3813</v>
      </c>
      <c r="H2204" s="397"/>
      <c r="I2204" s="397"/>
      <c r="J2204" s="750" t="e">
        <f t="shared" si="19"/>
        <v>#DIV/0!</v>
      </c>
      <c r="K2204" s="398"/>
      <c r="L2204" s="398"/>
      <c r="M2204" s="682"/>
      <c r="N2204" s="171"/>
      <c r="O2204" s="171"/>
      <c r="P2204" s="169"/>
      <c r="Q2204" s="171"/>
      <c r="R2204" s="171"/>
      <c r="S2204" s="171"/>
      <c r="T2204" s="171"/>
      <c r="U2204" s="171"/>
      <c r="V2204" s="171"/>
      <c r="W2204" s="171"/>
      <c r="X2204" s="171"/>
      <c r="Y2204" s="171"/>
      <c r="Z2204" s="171"/>
      <c r="AA2204" s="171"/>
    </row>
    <row r="2205" spans="1:27" s="530" customFormat="1" hidden="1" x14ac:dyDescent="0.2">
      <c r="A2205" s="526"/>
      <c r="B2205" s="527"/>
      <c r="C2205" s="465"/>
      <c r="D2205" s="464"/>
      <c r="E2205" s="464"/>
      <c r="F2205" s="494">
        <v>481</v>
      </c>
      <c r="G2205" s="495" t="s">
        <v>4189</v>
      </c>
      <c r="H2205" s="397"/>
      <c r="I2205" s="397"/>
      <c r="J2205" s="750" t="e">
        <f t="shared" si="19"/>
        <v>#DIV/0!</v>
      </c>
      <c r="K2205" s="398"/>
      <c r="L2205" s="398"/>
      <c r="M2205" s="682"/>
      <c r="N2205" s="171"/>
      <c r="O2205" s="171"/>
      <c r="P2205" s="169"/>
      <c r="Q2205" s="171"/>
      <c r="R2205" s="171"/>
      <c r="S2205" s="171"/>
      <c r="T2205" s="171"/>
      <c r="U2205" s="171"/>
      <c r="V2205" s="171"/>
      <c r="W2205" s="171"/>
      <c r="X2205" s="171"/>
      <c r="Y2205" s="171"/>
      <c r="Z2205" s="171"/>
      <c r="AA2205" s="171"/>
    </row>
    <row r="2206" spans="1:27" s="530" customFormat="1" hidden="1" x14ac:dyDescent="0.2">
      <c r="A2206" s="526"/>
      <c r="B2206" s="527"/>
      <c r="C2206" s="465"/>
      <c r="D2206" s="464"/>
      <c r="E2206" s="500"/>
      <c r="F2206" s="498"/>
      <c r="G2206" s="501" t="s">
        <v>4366</v>
      </c>
      <c r="H2206" s="400"/>
      <c r="I2206" s="400"/>
      <c r="J2206" s="750" t="e">
        <f t="shared" si="19"/>
        <v>#DIV/0!</v>
      </c>
      <c r="K2206" s="401"/>
      <c r="L2206" s="402"/>
      <c r="M2206" s="682"/>
      <c r="N2206" s="171"/>
      <c r="O2206" s="171"/>
      <c r="P2206" s="169"/>
      <c r="Q2206" s="171"/>
      <c r="R2206" s="171"/>
      <c r="S2206" s="171"/>
      <c r="T2206" s="171"/>
      <c r="U2206" s="171"/>
      <c r="V2206" s="171"/>
      <c r="W2206" s="171"/>
      <c r="X2206" s="171"/>
      <c r="Y2206" s="171"/>
      <c r="Z2206" s="171"/>
      <c r="AA2206" s="171"/>
    </row>
    <row r="2207" spans="1:27" s="530" customFormat="1" hidden="1" x14ac:dyDescent="0.2">
      <c r="A2207" s="526"/>
      <c r="B2207" s="527"/>
      <c r="C2207" s="465"/>
      <c r="D2207" s="464"/>
      <c r="E2207" s="502"/>
      <c r="F2207" s="503" t="s">
        <v>234</v>
      </c>
      <c r="G2207" s="504" t="s">
        <v>235</v>
      </c>
      <c r="H2207" s="403">
        <f>SUM(H2200:H2205)</f>
        <v>0</v>
      </c>
      <c r="I2207" s="403"/>
      <c r="J2207" s="750" t="e">
        <f t="shared" si="19"/>
        <v>#DIV/0!</v>
      </c>
      <c r="K2207" s="404"/>
      <c r="L2207" s="404"/>
      <c r="M2207" s="682"/>
      <c r="N2207" s="171"/>
      <c r="O2207" s="171"/>
      <c r="P2207" s="169"/>
      <c r="Q2207" s="171"/>
      <c r="R2207" s="171"/>
      <c r="S2207" s="171"/>
      <c r="T2207" s="171"/>
      <c r="U2207" s="171"/>
      <c r="V2207" s="171"/>
      <c r="W2207" s="171"/>
      <c r="X2207" s="171"/>
      <c r="Y2207" s="171"/>
      <c r="Z2207" s="171"/>
      <c r="AA2207" s="171"/>
    </row>
    <row r="2208" spans="1:27" s="530" customFormat="1" hidden="1" x14ac:dyDescent="0.2">
      <c r="A2208" s="526"/>
      <c r="B2208" s="527"/>
      <c r="C2208" s="465"/>
      <c r="D2208" s="464"/>
      <c r="E2208" s="464"/>
      <c r="F2208" s="503" t="s">
        <v>236</v>
      </c>
      <c r="G2208" s="504" t="s">
        <v>237</v>
      </c>
      <c r="H2208" s="397"/>
      <c r="I2208" s="397"/>
      <c r="J2208" s="750" t="e">
        <f t="shared" si="19"/>
        <v>#DIV/0!</v>
      </c>
      <c r="K2208" s="398"/>
      <c r="L2208" s="404"/>
      <c r="M2208" s="682"/>
      <c r="N2208" s="171"/>
      <c r="O2208" s="171"/>
      <c r="P2208" s="169"/>
      <c r="Q2208" s="171"/>
      <c r="R2208" s="171"/>
      <c r="S2208" s="171"/>
      <c r="T2208" s="171"/>
      <c r="U2208" s="171"/>
      <c r="V2208" s="171"/>
      <c r="W2208" s="171"/>
      <c r="X2208" s="171"/>
      <c r="Y2208" s="171"/>
      <c r="Z2208" s="171"/>
      <c r="AA2208" s="171"/>
    </row>
    <row r="2209" spans="1:27" s="530" customFormat="1" hidden="1" x14ac:dyDescent="0.2">
      <c r="A2209" s="526"/>
      <c r="B2209" s="527"/>
      <c r="C2209" s="465"/>
      <c r="D2209" s="464"/>
      <c r="E2209" s="464"/>
      <c r="F2209" s="503" t="s">
        <v>238</v>
      </c>
      <c r="G2209" s="504" t="s">
        <v>239</v>
      </c>
      <c r="H2209" s="397"/>
      <c r="I2209" s="397"/>
      <c r="J2209" s="750" t="e">
        <f t="shared" si="19"/>
        <v>#DIV/0!</v>
      </c>
      <c r="K2209" s="398"/>
      <c r="L2209" s="404"/>
      <c r="M2209" s="682"/>
      <c r="N2209" s="171"/>
      <c r="O2209" s="171"/>
      <c r="P2209" s="169"/>
      <c r="Q2209" s="171"/>
      <c r="R2209" s="171"/>
      <c r="S2209" s="171"/>
      <c r="T2209" s="171"/>
      <c r="U2209" s="171"/>
      <c r="V2209" s="171"/>
      <c r="W2209" s="171"/>
      <c r="X2209" s="171"/>
      <c r="Y2209" s="171"/>
      <c r="Z2209" s="171"/>
      <c r="AA2209" s="171"/>
    </row>
    <row r="2210" spans="1:27" s="530" customFormat="1" hidden="1" x14ac:dyDescent="0.2">
      <c r="A2210" s="526"/>
      <c r="B2210" s="527"/>
      <c r="C2210" s="465"/>
      <c r="D2210" s="464"/>
      <c r="E2210" s="464"/>
      <c r="F2210" s="503" t="s">
        <v>240</v>
      </c>
      <c r="G2210" s="504" t="s">
        <v>241</v>
      </c>
      <c r="H2210" s="397"/>
      <c r="I2210" s="397"/>
      <c r="J2210" s="750" t="e">
        <f t="shared" si="19"/>
        <v>#DIV/0!</v>
      </c>
      <c r="K2210" s="398"/>
      <c r="L2210" s="404"/>
      <c r="M2210" s="682"/>
      <c r="N2210" s="171"/>
      <c r="O2210" s="171"/>
      <c r="P2210" s="169"/>
      <c r="Q2210" s="171"/>
      <c r="R2210" s="171"/>
      <c r="S2210" s="171"/>
      <c r="T2210" s="171"/>
      <c r="U2210" s="171"/>
      <c r="V2210" s="171"/>
      <c r="W2210" s="171"/>
      <c r="X2210" s="171"/>
      <c r="Y2210" s="171"/>
      <c r="Z2210" s="171"/>
      <c r="AA2210" s="171"/>
    </row>
    <row r="2211" spans="1:27" s="530" customFormat="1" hidden="1" x14ac:dyDescent="0.2">
      <c r="A2211" s="526"/>
      <c r="B2211" s="527"/>
      <c r="C2211" s="465"/>
      <c r="D2211" s="464"/>
      <c r="E2211" s="464"/>
      <c r="F2211" s="503" t="s">
        <v>242</v>
      </c>
      <c r="G2211" s="504" t="s">
        <v>243</v>
      </c>
      <c r="H2211" s="397"/>
      <c r="I2211" s="397"/>
      <c r="J2211" s="750" t="e">
        <f t="shared" si="19"/>
        <v>#DIV/0!</v>
      </c>
      <c r="K2211" s="398"/>
      <c r="L2211" s="404"/>
      <c r="M2211" s="682"/>
      <c r="N2211" s="171"/>
      <c r="O2211" s="171"/>
      <c r="P2211" s="169"/>
      <c r="Q2211" s="171"/>
      <c r="R2211" s="171"/>
      <c r="S2211" s="171"/>
      <c r="T2211" s="171"/>
      <c r="U2211" s="171"/>
      <c r="V2211" s="171"/>
      <c r="W2211" s="171"/>
      <c r="X2211" s="171"/>
      <c r="Y2211" s="171"/>
      <c r="Z2211" s="171"/>
      <c r="AA2211" s="171"/>
    </row>
    <row r="2212" spans="1:27" s="530" customFormat="1" hidden="1" x14ac:dyDescent="0.2">
      <c r="A2212" s="526"/>
      <c r="B2212" s="527"/>
      <c r="C2212" s="465"/>
      <c r="D2212" s="464"/>
      <c r="E2212" s="464"/>
      <c r="F2212" s="503" t="s">
        <v>244</v>
      </c>
      <c r="G2212" s="504" t="s">
        <v>245</v>
      </c>
      <c r="H2212" s="397"/>
      <c r="I2212" s="397"/>
      <c r="J2212" s="750" t="e">
        <f t="shared" si="19"/>
        <v>#DIV/0!</v>
      </c>
      <c r="K2212" s="398"/>
      <c r="L2212" s="404"/>
      <c r="M2212" s="682"/>
      <c r="N2212" s="171"/>
      <c r="O2212" s="171"/>
      <c r="P2212" s="169"/>
      <c r="Q2212" s="171"/>
      <c r="R2212" s="171"/>
      <c r="S2212" s="171"/>
      <c r="T2212" s="171"/>
      <c r="U2212" s="171"/>
      <c r="V2212" s="171"/>
      <c r="W2212" s="171"/>
      <c r="X2212" s="171"/>
      <c r="Y2212" s="171"/>
      <c r="Z2212" s="171"/>
      <c r="AA2212" s="171"/>
    </row>
    <row r="2213" spans="1:27" s="530" customFormat="1" hidden="1" x14ac:dyDescent="0.2">
      <c r="A2213" s="526"/>
      <c r="B2213" s="527"/>
      <c r="C2213" s="465"/>
      <c r="D2213" s="464"/>
      <c r="E2213" s="464"/>
      <c r="F2213" s="503" t="s">
        <v>246</v>
      </c>
      <c r="G2213" s="504" t="s">
        <v>247</v>
      </c>
      <c r="H2213" s="397"/>
      <c r="I2213" s="397"/>
      <c r="J2213" s="750" t="e">
        <f t="shared" si="19"/>
        <v>#DIV/0!</v>
      </c>
      <c r="K2213" s="398"/>
      <c r="L2213" s="404"/>
      <c r="M2213" s="682"/>
      <c r="N2213" s="171"/>
      <c r="O2213" s="171"/>
      <c r="P2213" s="169"/>
      <c r="Q2213" s="171"/>
      <c r="R2213" s="171"/>
      <c r="S2213" s="171"/>
      <c r="T2213" s="171"/>
      <c r="U2213" s="171"/>
      <c r="V2213" s="171"/>
      <c r="W2213" s="171"/>
      <c r="X2213" s="171"/>
      <c r="Y2213" s="171"/>
      <c r="Z2213" s="171"/>
      <c r="AA2213" s="171"/>
    </row>
    <row r="2214" spans="1:27" s="530" customFormat="1" ht="25.5" hidden="1" x14ac:dyDescent="0.2">
      <c r="A2214" s="526"/>
      <c r="B2214" s="527"/>
      <c r="C2214" s="465"/>
      <c r="D2214" s="464"/>
      <c r="E2214" s="464"/>
      <c r="F2214" s="503" t="s">
        <v>248</v>
      </c>
      <c r="G2214" s="504" t="s">
        <v>249</v>
      </c>
      <c r="H2214" s="397"/>
      <c r="I2214" s="397"/>
      <c r="J2214" s="750" t="e">
        <f t="shared" si="19"/>
        <v>#DIV/0!</v>
      </c>
      <c r="K2214" s="398"/>
      <c r="L2214" s="404"/>
      <c r="M2214" s="682"/>
      <c r="N2214" s="171"/>
      <c r="O2214" s="171"/>
      <c r="P2214" s="169"/>
      <c r="Q2214" s="171"/>
      <c r="R2214" s="171"/>
      <c r="S2214" s="171"/>
      <c r="T2214" s="171"/>
      <c r="U2214" s="171"/>
      <c r="V2214" s="171"/>
      <c r="W2214" s="171"/>
      <c r="X2214" s="171"/>
      <c r="Y2214" s="171"/>
      <c r="Z2214" s="171"/>
      <c r="AA2214" s="171"/>
    </row>
    <row r="2215" spans="1:27" s="530" customFormat="1" hidden="1" x14ac:dyDescent="0.2">
      <c r="A2215" s="526"/>
      <c r="B2215" s="527"/>
      <c r="C2215" s="465"/>
      <c r="D2215" s="464"/>
      <c r="E2215" s="464"/>
      <c r="F2215" s="503" t="s">
        <v>250</v>
      </c>
      <c r="G2215" s="504" t="s">
        <v>57</v>
      </c>
      <c r="H2215" s="397"/>
      <c r="I2215" s="397"/>
      <c r="J2215" s="750" t="e">
        <f t="shared" si="19"/>
        <v>#DIV/0!</v>
      </c>
      <c r="K2215" s="398"/>
      <c r="L2215" s="404"/>
      <c r="M2215" s="682"/>
      <c r="N2215" s="171"/>
      <c r="O2215" s="171"/>
      <c r="P2215" s="169"/>
      <c r="Q2215" s="171"/>
      <c r="R2215" s="171"/>
      <c r="S2215" s="171"/>
      <c r="T2215" s="171"/>
      <c r="U2215" s="171"/>
      <c r="V2215" s="171"/>
      <c r="W2215" s="171"/>
      <c r="X2215" s="171"/>
      <c r="Y2215" s="171"/>
      <c r="Z2215" s="171"/>
      <c r="AA2215" s="171"/>
    </row>
    <row r="2216" spans="1:27" s="530" customFormat="1" hidden="1" x14ac:dyDescent="0.2">
      <c r="A2216" s="526"/>
      <c r="B2216" s="527"/>
      <c r="C2216" s="465"/>
      <c r="D2216" s="464"/>
      <c r="E2216" s="464"/>
      <c r="F2216" s="503" t="s">
        <v>251</v>
      </c>
      <c r="G2216" s="504" t="s">
        <v>252</v>
      </c>
      <c r="H2216" s="397"/>
      <c r="I2216" s="397"/>
      <c r="J2216" s="750" t="e">
        <f t="shared" si="19"/>
        <v>#DIV/0!</v>
      </c>
      <c r="K2216" s="398"/>
      <c r="L2216" s="404"/>
      <c r="M2216" s="682"/>
      <c r="N2216" s="171"/>
      <c r="O2216" s="171"/>
      <c r="P2216" s="169"/>
      <c r="Q2216" s="171"/>
      <c r="R2216" s="171"/>
      <c r="S2216" s="171"/>
      <c r="T2216" s="171"/>
      <c r="U2216" s="171"/>
      <c r="V2216" s="171"/>
      <c r="W2216" s="171"/>
      <c r="X2216" s="171"/>
      <c r="Y2216" s="171"/>
      <c r="Z2216" s="171"/>
      <c r="AA2216" s="171"/>
    </row>
    <row r="2217" spans="1:27" s="530" customFormat="1" hidden="1" x14ac:dyDescent="0.2">
      <c r="A2217" s="526"/>
      <c r="B2217" s="527"/>
      <c r="C2217" s="465"/>
      <c r="D2217" s="464"/>
      <c r="E2217" s="464"/>
      <c r="F2217" s="503" t="s">
        <v>253</v>
      </c>
      <c r="G2217" s="504" t="s">
        <v>254</v>
      </c>
      <c r="H2217" s="397"/>
      <c r="I2217" s="397"/>
      <c r="J2217" s="750" t="e">
        <f t="shared" si="19"/>
        <v>#DIV/0!</v>
      </c>
      <c r="K2217" s="398"/>
      <c r="L2217" s="404"/>
      <c r="M2217" s="682"/>
      <c r="N2217" s="171"/>
      <c r="O2217" s="171"/>
      <c r="P2217" s="169"/>
      <c r="Q2217" s="171"/>
      <c r="R2217" s="171"/>
      <c r="S2217" s="171"/>
      <c r="T2217" s="171"/>
      <c r="U2217" s="171"/>
      <c r="V2217" s="171"/>
      <c r="W2217" s="171"/>
      <c r="X2217" s="171"/>
      <c r="Y2217" s="171"/>
      <c r="Z2217" s="171"/>
      <c r="AA2217" s="171"/>
    </row>
    <row r="2218" spans="1:27" s="530" customFormat="1" ht="25.5" hidden="1" x14ac:dyDescent="0.2">
      <c r="A2218" s="526"/>
      <c r="B2218" s="527"/>
      <c r="C2218" s="465"/>
      <c r="D2218" s="464"/>
      <c r="E2218" s="464"/>
      <c r="F2218" s="503" t="s">
        <v>255</v>
      </c>
      <c r="G2218" s="504" t="s">
        <v>256</v>
      </c>
      <c r="H2218" s="397"/>
      <c r="I2218" s="397"/>
      <c r="J2218" s="750" t="e">
        <f t="shared" si="19"/>
        <v>#DIV/0!</v>
      </c>
      <c r="K2218" s="398"/>
      <c r="L2218" s="404"/>
      <c r="M2218" s="682"/>
      <c r="N2218" s="171"/>
      <c r="O2218" s="171"/>
      <c r="P2218" s="169"/>
      <c r="Q2218" s="171"/>
      <c r="R2218" s="171"/>
      <c r="S2218" s="171"/>
      <c r="T2218" s="171"/>
      <c r="U2218" s="171"/>
      <c r="V2218" s="171"/>
      <c r="W2218" s="171"/>
      <c r="X2218" s="171"/>
      <c r="Y2218" s="171"/>
      <c r="Z2218" s="171"/>
      <c r="AA2218" s="171"/>
    </row>
    <row r="2219" spans="1:27" s="530" customFormat="1" ht="25.5" hidden="1" x14ac:dyDescent="0.2">
      <c r="A2219" s="526"/>
      <c r="B2219" s="527"/>
      <c r="C2219" s="465"/>
      <c r="D2219" s="464"/>
      <c r="E2219" s="464"/>
      <c r="F2219" s="503" t="s">
        <v>257</v>
      </c>
      <c r="G2219" s="504" t="s">
        <v>258</v>
      </c>
      <c r="H2219" s="397"/>
      <c r="I2219" s="397"/>
      <c r="J2219" s="750" t="e">
        <f t="shared" si="19"/>
        <v>#DIV/0!</v>
      </c>
      <c r="K2219" s="398"/>
      <c r="L2219" s="404"/>
      <c r="M2219" s="682"/>
      <c r="N2219" s="171"/>
      <c r="O2219" s="171"/>
      <c r="P2219" s="169"/>
      <c r="Q2219" s="171"/>
      <c r="R2219" s="171"/>
      <c r="S2219" s="171"/>
      <c r="T2219" s="171"/>
      <c r="U2219" s="171"/>
      <c r="V2219" s="171"/>
      <c r="W2219" s="171"/>
      <c r="X2219" s="171"/>
      <c r="Y2219" s="171"/>
      <c r="Z2219" s="171"/>
      <c r="AA2219" s="171"/>
    </row>
    <row r="2220" spans="1:27" s="530" customFormat="1" ht="25.5" hidden="1" x14ac:dyDescent="0.2">
      <c r="A2220" s="526"/>
      <c r="B2220" s="527"/>
      <c r="C2220" s="465"/>
      <c r="D2220" s="464"/>
      <c r="E2220" s="464"/>
      <c r="F2220" s="503" t="s">
        <v>259</v>
      </c>
      <c r="G2220" s="504" t="s">
        <v>260</v>
      </c>
      <c r="H2220" s="397"/>
      <c r="I2220" s="397"/>
      <c r="J2220" s="750" t="e">
        <f t="shared" si="19"/>
        <v>#DIV/0!</v>
      </c>
      <c r="K2220" s="398"/>
      <c r="L2220" s="404"/>
      <c r="M2220" s="682"/>
      <c r="N2220" s="171"/>
      <c r="O2220" s="171"/>
      <c r="P2220" s="169"/>
      <c r="Q2220" s="171"/>
      <c r="R2220" s="171"/>
      <c r="S2220" s="171"/>
      <c r="T2220" s="171"/>
      <c r="U2220" s="171"/>
      <c r="V2220" s="171"/>
      <c r="W2220" s="171"/>
      <c r="X2220" s="171"/>
      <c r="Y2220" s="171"/>
      <c r="Z2220" s="171"/>
      <c r="AA2220" s="171"/>
    </row>
    <row r="2221" spans="1:27" s="530" customFormat="1" ht="25.5" hidden="1" x14ac:dyDescent="0.2">
      <c r="A2221" s="526"/>
      <c r="B2221" s="527"/>
      <c r="C2221" s="465"/>
      <c r="D2221" s="464"/>
      <c r="E2221" s="464"/>
      <c r="F2221" s="503" t="s">
        <v>261</v>
      </c>
      <c r="G2221" s="504" t="s">
        <v>262</v>
      </c>
      <c r="H2221" s="397"/>
      <c r="I2221" s="397"/>
      <c r="J2221" s="750" t="e">
        <f t="shared" si="19"/>
        <v>#DIV/0!</v>
      </c>
      <c r="K2221" s="398"/>
      <c r="L2221" s="404"/>
      <c r="M2221" s="682"/>
      <c r="N2221" s="171"/>
      <c r="O2221" s="171"/>
      <c r="P2221" s="169"/>
      <c r="Q2221" s="171"/>
      <c r="R2221" s="171"/>
      <c r="S2221" s="171"/>
      <c r="T2221" s="171"/>
      <c r="U2221" s="171"/>
      <c r="V2221" s="171"/>
      <c r="W2221" s="171"/>
      <c r="X2221" s="171"/>
      <c r="Y2221" s="171"/>
      <c r="Z2221" s="171"/>
      <c r="AA2221" s="171"/>
    </row>
    <row r="2222" spans="1:27" s="530" customFormat="1" hidden="1" x14ac:dyDescent="0.2">
      <c r="A2222" s="526"/>
      <c r="B2222" s="527"/>
      <c r="C2222" s="465"/>
      <c r="D2222" s="464"/>
      <c r="E2222" s="464"/>
      <c r="F2222" s="503" t="s">
        <v>263</v>
      </c>
      <c r="G2222" s="504" t="s">
        <v>264</v>
      </c>
      <c r="H2222" s="403"/>
      <c r="I2222" s="403"/>
      <c r="J2222" s="750" t="e">
        <f t="shared" si="19"/>
        <v>#DIV/0!</v>
      </c>
      <c r="K2222" s="404"/>
      <c r="L2222" s="404"/>
      <c r="M2222" s="682"/>
      <c r="N2222" s="171"/>
      <c r="O2222" s="171"/>
      <c r="P2222" s="169"/>
      <c r="Q2222" s="171"/>
      <c r="R2222" s="171"/>
      <c r="S2222" s="171"/>
      <c r="T2222" s="171"/>
      <c r="U2222" s="171"/>
      <c r="V2222" s="171"/>
      <c r="W2222" s="171"/>
      <c r="X2222" s="171"/>
      <c r="Y2222" s="171"/>
      <c r="Z2222" s="171"/>
      <c r="AA2222" s="171"/>
    </row>
    <row r="2223" spans="1:27" s="530" customFormat="1" ht="13.5" hidden="1" thickBot="1" x14ac:dyDescent="0.25">
      <c r="A2223" s="526"/>
      <c r="B2223" s="527"/>
      <c r="C2223" s="465"/>
      <c r="D2223" s="464"/>
      <c r="E2223" s="464"/>
      <c r="F2223" s="464"/>
      <c r="G2223" s="505" t="s">
        <v>4367</v>
      </c>
      <c r="H2223" s="405">
        <f>SUM(H2207:H2222)</f>
        <v>0</v>
      </c>
      <c r="I2223" s="405"/>
      <c r="J2223" s="750" t="e">
        <f t="shared" si="19"/>
        <v>#DIV/0!</v>
      </c>
      <c r="K2223" s="406">
        <f>SUM(K2208:K2222)</f>
        <v>0</v>
      </c>
      <c r="L2223" s="406"/>
      <c r="M2223" s="682"/>
      <c r="N2223" s="171"/>
      <c r="O2223" s="171"/>
      <c r="P2223" s="169"/>
      <c r="Q2223" s="171"/>
      <c r="R2223" s="171"/>
      <c r="S2223" s="171"/>
      <c r="T2223" s="171"/>
      <c r="U2223" s="171"/>
      <c r="V2223" s="171"/>
      <c r="W2223" s="171"/>
      <c r="X2223" s="171"/>
      <c r="Y2223" s="171"/>
      <c r="Z2223" s="171"/>
      <c r="AA2223" s="171"/>
    </row>
    <row r="2224" spans="1:27" s="530" customFormat="1" ht="25.5" hidden="1" x14ac:dyDescent="0.2">
      <c r="A2224" s="526"/>
      <c r="B2224" s="527"/>
      <c r="C2224" s="465"/>
      <c r="D2224" s="464"/>
      <c r="E2224" s="464"/>
      <c r="F2224" s="498"/>
      <c r="G2224" s="506" t="s">
        <v>4220</v>
      </c>
      <c r="H2224" s="407"/>
      <c r="I2224" s="408"/>
      <c r="J2224" s="750" t="e">
        <f t="shared" si="19"/>
        <v>#DIV/0!</v>
      </c>
      <c r="K2224" s="409"/>
      <c r="L2224" s="410"/>
      <c r="M2224" s="682"/>
      <c r="N2224" s="171"/>
      <c r="O2224" s="171"/>
      <c r="P2224" s="169"/>
      <c r="Q2224" s="171"/>
      <c r="R2224" s="171"/>
      <c r="S2224" s="171"/>
      <c r="T2224" s="171"/>
      <c r="U2224" s="171"/>
      <c r="V2224" s="171"/>
      <c r="W2224" s="171"/>
      <c r="X2224" s="171"/>
      <c r="Y2224" s="171"/>
      <c r="Z2224" s="171"/>
      <c r="AA2224" s="171"/>
    </row>
    <row r="2225" spans="1:27" s="530" customFormat="1" hidden="1" x14ac:dyDescent="0.2">
      <c r="A2225" s="526"/>
      <c r="B2225" s="527"/>
      <c r="C2225" s="465"/>
      <c r="D2225" s="464"/>
      <c r="E2225" s="464"/>
      <c r="F2225" s="503" t="s">
        <v>234</v>
      </c>
      <c r="G2225" s="504" t="s">
        <v>235</v>
      </c>
      <c r="H2225" s="403">
        <f>SUM(H2200:H2205)</f>
        <v>0</v>
      </c>
      <c r="I2225" s="403"/>
      <c r="J2225" s="750" t="e">
        <f t="shared" si="19"/>
        <v>#DIV/0!</v>
      </c>
      <c r="K2225" s="404"/>
      <c r="L2225" s="398"/>
      <c r="M2225" s="682"/>
      <c r="N2225" s="171"/>
      <c r="O2225" s="171"/>
      <c r="P2225" s="169"/>
      <c r="Q2225" s="171"/>
      <c r="R2225" s="171"/>
      <c r="S2225" s="171"/>
      <c r="T2225" s="171"/>
      <c r="U2225" s="171"/>
      <c r="V2225" s="171"/>
      <c r="W2225" s="171"/>
      <c r="X2225" s="171"/>
      <c r="Y2225" s="171"/>
      <c r="Z2225" s="171"/>
      <c r="AA2225" s="171"/>
    </row>
    <row r="2226" spans="1:27" s="530" customFormat="1" hidden="1" x14ac:dyDescent="0.2">
      <c r="A2226" s="526"/>
      <c r="B2226" s="527"/>
      <c r="C2226" s="465"/>
      <c r="D2226" s="464"/>
      <c r="E2226" s="464"/>
      <c r="F2226" s="503" t="s">
        <v>236</v>
      </c>
      <c r="G2226" s="504" t="s">
        <v>237</v>
      </c>
      <c r="H2226" s="397"/>
      <c r="I2226" s="397"/>
      <c r="J2226" s="750" t="e">
        <f t="shared" si="19"/>
        <v>#DIV/0!</v>
      </c>
      <c r="K2226" s="398"/>
      <c r="L2226" s="404"/>
      <c r="M2226" s="682"/>
      <c r="N2226" s="171"/>
      <c r="O2226" s="171"/>
      <c r="P2226" s="169"/>
      <c r="Q2226" s="171"/>
      <c r="R2226" s="171"/>
      <c r="S2226" s="171"/>
      <c r="T2226" s="171"/>
      <c r="U2226" s="171"/>
      <c r="V2226" s="171"/>
      <c r="W2226" s="171"/>
      <c r="X2226" s="171"/>
      <c r="Y2226" s="171"/>
      <c r="Z2226" s="171"/>
      <c r="AA2226" s="171"/>
    </row>
    <row r="2227" spans="1:27" s="530" customFormat="1" hidden="1" x14ac:dyDescent="0.2">
      <c r="A2227" s="526"/>
      <c r="B2227" s="527"/>
      <c r="C2227" s="465"/>
      <c r="D2227" s="464"/>
      <c r="E2227" s="464"/>
      <c r="F2227" s="503" t="s">
        <v>238</v>
      </c>
      <c r="G2227" s="504" t="s">
        <v>239</v>
      </c>
      <c r="H2227" s="397"/>
      <c r="I2227" s="397"/>
      <c r="J2227" s="750" t="e">
        <f t="shared" si="19"/>
        <v>#DIV/0!</v>
      </c>
      <c r="K2227" s="398"/>
      <c r="L2227" s="404"/>
      <c r="M2227" s="682"/>
      <c r="N2227" s="171"/>
      <c r="O2227" s="171"/>
      <c r="P2227" s="169"/>
      <c r="Q2227" s="171"/>
      <c r="R2227" s="171"/>
      <c r="S2227" s="171"/>
      <c r="T2227" s="171"/>
      <c r="U2227" s="171"/>
      <c r="V2227" s="171"/>
      <c r="W2227" s="171"/>
      <c r="X2227" s="171"/>
      <c r="Y2227" s="171"/>
      <c r="Z2227" s="171"/>
      <c r="AA2227" s="171"/>
    </row>
    <row r="2228" spans="1:27" s="530" customFormat="1" hidden="1" x14ac:dyDescent="0.2">
      <c r="A2228" s="526"/>
      <c r="B2228" s="527"/>
      <c r="C2228" s="465"/>
      <c r="D2228" s="464"/>
      <c r="E2228" s="464"/>
      <c r="F2228" s="503" t="s">
        <v>240</v>
      </c>
      <c r="G2228" s="504" t="s">
        <v>241</v>
      </c>
      <c r="H2228" s="397"/>
      <c r="I2228" s="397"/>
      <c r="J2228" s="750" t="e">
        <f t="shared" si="19"/>
        <v>#DIV/0!</v>
      </c>
      <c r="K2228" s="398"/>
      <c r="L2228" s="404"/>
      <c r="M2228" s="682"/>
      <c r="N2228" s="171"/>
      <c r="O2228" s="171"/>
      <c r="P2228" s="169"/>
      <c r="Q2228" s="171"/>
      <c r="R2228" s="171"/>
      <c r="S2228" s="171"/>
      <c r="T2228" s="171"/>
      <c r="U2228" s="171"/>
      <c r="V2228" s="171"/>
      <c r="W2228" s="171"/>
      <c r="X2228" s="171"/>
      <c r="Y2228" s="171"/>
      <c r="Z2228" s="171"/>
      <c r="AA2228" s="171"/>
    </row>
    <row r="2229" spans="1:27" s="530" customFormat="1" hidden="1" x14ac:dyDescent="0.2">
      <c r="A2229" s="526"/>
      <c r="B2229" s="527"/>
      <c r="C2229" s="465"/>
      <c r="D2229" s="464"/>
      <c r="E2229" s="464"/>
      <c r="F2229" s="503" t="s">
        <v>242</v>
      </c>
      <c r="G2229" s="504" t="s">
        <v>243</v>
      </c>
      <c r="H2229" s="397"/>
      <c r="I2229" s="397"/>
      <c r="J2229" s="750" t="e">
        <f t="shared" si="19"/>
        <v>#DIV/0!</v>
      </c>
      <c r="K2229" s="398"/>
      <c r="L2229" s="404"/>
      <c r="M2229" s="682"/>
      <c r="N2229" s="171"/>
      <c r="O2229" s="171"/>
      <c r="P2229" s="169"/>
      <c r="Q2229" s="171"/>
      <c r="R2229" s="171"/>
      <c r="S2229" s="171"/>
      <c r="T2229" s="171"/>
      <c r="U2229" s="171"/>
      <c r="V2229" s="171"/>
      <c r="W2229" s="171"/>
      <c r="X2229" s="171"/>
      <c r="Y2229" s="171"/>
      <c r="Z2229" s="171"/>
      <c r="AA2229" s="171"/>
    </row>
    <row r="2230" spans="1:27" s="530" customFormat="1" hidden="1" x14ac:dyDescent="0.2">
      <c r="A2230" s="526"/>
      <c r="B2230" s="527"/>
      <c r="C2230" s="465"/>
      <c r="D2230" s="464"/>
      <c r="E2230" s="464"/>
      <c r="F2230" s="503" t="s">
        <v>244</v>
      </c>
      <c r="G2230" s="504" t="s">
        <v>245</v>
      </c>
      <c r="H2230" s="397"/>
      <c r="I2230" s="397"/>
      <c r="J2230" s="750" t="e">
        <f t="shared" si="19"/>
        <v>#DIV/0!</v>
      </c>
      <c r="K2230" s="398"/>
      <c r="L2230" s="404"/>
      <c r="M2230" s="682"/>
      <c r="N2230" s="171"/>
      <c r="O2230" s="171"/>
      <c r="P2230" s="169"/>
      <c r="Q2230" s="171"/>
      <c r="R2230" s="171"/>
      <c r="S2230" s="171"/>
      <c r="T2230" s="171"/>
      <c r="U2230" s="171"/>
      <c r="V2230" s="171"/>
      <c r="W2230" s="171"/>
      <c r="X2230" s="171"/>
      <c r="Y2230" s="171"/>
      <c r="Z2230" s="171"/>
      <c r="AA2230" s="171"/>
    </row>
    <row r="2231" spans="1:27" s="530" customFormat="1" hidden="1" x14ac:dyDescent="0.2">
      <c r="A2231" s="526"/>
      <c r="B2231" s="527"/>
      <c r="C2231" s="465"/>
      <c r="D2231" s="464"/>
      <c r="E2231" s="464"/>
      <c r="F2231" s="503" t="s">
        <v>246</v>
      </c>
      <c r="G2231" s="504" t="s">
        <v>247</v>
      </c>
      <c r="H2231" s="397"/>
      <c r="I2231" s="397"/>
      <c r="J2231" s="750" t="e">
        <f t="shared" si="19"/>
        <v>#DIV/0!</v>
      </c>
      <c r="K2231" s="398"/>
      <c r="L2231" s="404"/>
      <c r="M2231" s="682"/>
      <c r="N2231" s="171"/>
      <c r="O2231" s="171"/>
      <c r="P2231" s="169"/>
      <c r="Q2231" s="171"/>
      <c r="R2231" s="171"/>
      <c r="S2231" s="171"/>
      <c r="T2231" s="171"/>
      <c r="U2231" s="171"/>
      <c r="V2231" s="171"/>
      <c r="W2231" s="171"/>
      <c r="X2231" s="171"/>
      <c r="Y2231" s="171"/>
      <c r="Z2231" s="171"/>
      <c r="AA2231" s="171"/>
    </row>
    <row r="2232" spans="1:27" s="530" customFormat="1" ht="25.5" hidden="1" x14ac:dyDescent="0.2">
      <c r="A2232" s="526"/>
      <c r="B2232" s="527"/>
      <c r="C2232" s="465"/>
      <c r="D2232" s="464"/>
      <c r="E2232" s="464"/>
      <c r="F2232" s="503" t="s">
        <v>248</v>
      </c>
      <c r="G2232" s="504" t="s">
        <v>249</v>
      </c>
      <c r="H2232" s="397"/>
      <c r="I2232" s="397"/>
      <c r="J2232" s="750" t="e">
        <f t="shared" si="19"/>
        <v>#DIV/0!</v>
      </c>
      <c r="K2232" s="398"/>
      <c r="L2232" s="404"/>
      <c r="M2232" s="682"/>
      <c r="N2232" s="171"/>
      <c r="O2232" s="171"/>
      <c r="P2232" s="169"/>
      <c r="Q2232" s="171"/>
      <c r="R2232" s="171"/>
      <c r="S2232" s="171"/>
      <c r="T2232" s="171"/>
      <c r="U2232" s="171"/>
      <c r="V2232" s="171"/>
      <c r="W2232" s="171"/>
      <c r="X2232" s="171"/>
      <c r="Y2232" s="171"/>
      <c r="Z2232" s="171"/>
      <c r="AA2232" s="171"/>
    </row>
    <row r="2233" spans="1:27" s="530" customFormat="1" hidden="1" x14ac:dyDescent="0.2">
      <c r="A2233" s="526"/>
      <c r="B2233" s="527"/>
      <c r="C2233" s="465"/>
      <c r="D2233" s="464"/>
      <c r="E2233" s="464"/>
      <c r="F2233" s="503" t="s">
        <v>250</v>
      </c>
      <c r="G2233" s="504" t="s">
        <v>57</v>
      </c>
      <c r="H2233" s="397"/>
      <c r="I2233" s="397"/>
      <c r="J2233" s="750" t="e">
        <f t="shared" si="19"/>
        <v>#DIV/0!</v>
      </c>
      <c r="K2233" s="398"/>
      <c r="L2233" s="404"/>
      <c r="M2233" s="682"/>
      <c r="N2233" s="171"/>
      <c r="O2233" s="171"/>
      <c r="P2233" s="169"/>
      <c r="Q2233" s="171"/>
      <c r="R2233" s="171"/>
      <c r="S2233" s="171"/>
      <c r="T2233" s="171"/>
      <c r="U2233" s="171"/>
      <c r="V2233" s="171"/>
      <c r="W2233" s="171"/>
      <c r="X2233" s="171"/>
      <c r="Y2233" s="171"/>
      <c r="Z2233" s="171"/>
      <c r="AA2233" s="171"/>
    </row>
    <row r="2234" spans="1:27" s="530" customFormat="1" hidden="1" x14ac:dyDescent="0.2">
      <c r="A2234" s="526"/>
      <c r="B2234" s="527"/>
      <c r="C2234" s="465"/>
      <c r="D2234" s="464"/>
      <c r="E2234" s="464"/>
      <c r="F2234" s="503" t="s">
        <v>251</v>
      </c>
      <c r="G2234" s="504" t="s">
        <v>252</v>
      </c>
      <c r="H2234" s="397"/>
      <c r="I2234" s="397"/>
      <c r="J2234" s="750" t="e">
        <f t="shared" si="19"/>
        <v>#DIV/0!</v>
      </c>
      <c r="K2234" s="398"/>
      <c r="L2234" s="404"/>
      <c r="M2234" s="682"/>
      <c r="N2234" s="171"/>
      <c r="O2234" s="171"/>
      <c r="P2234" s="169"/>
      <c r="Q2234" s="171"/>
      <c r="R2234" s="171"/>
      <c r="S2234" s="171"/>
      <c r="T2234" s="171"/>
      <c r="U2234" s="171"/>
      <c r="V2234" s="171"/>
      <c r="W2234" s="171"/>
      <c r="X2234" s="171"/>
      <c r="Y2234" s="171"/>
      <c r="Z2234" s="171"/>
      <c r="AA2234" s="171"/>
    </row>
    <row r="2235" spans="1:27" s="530" customFormat="1" hidden="1" x14ac:dyDescent="0.2">
      <c r="A2235" s="526"/>
      <c r="B2235" s="527"/>
      <c r="C2235" s="465"/>
      <c r="D2235" s="464"/>
      <c r="E2235" s="464"/>
      <c r="F2235" s="503" t="s">
        <v>253</v>
      </c>
      <c r="G2235" s="504" t="s">
        <v>254</v>
      </c>
      <c r="H2235" s="397"/>
      <c r="I2235" s="397"/>
      <c r="J2235" s="750" t="e">
        <f t="shared" si="19"/>
        <v>#DIV/0!</v>
      </c>
      <c r="K2235" s="398"/>
      <c r="L2235" s="404"/>
      <c r="M2235" s="682"/>
      <c r="N2235" s="171"/>
      <c r="O2235" s="171"/>
      <c r="P2235" s="169"/>
      <c r="Q2235" s="171"/>
      <c r="R2235" s="171"/>
      <c r="S2235" s="171"/>
      <c r="T2235" s="171"/>
      <c r="U2235" s="171"/>
      <c r="V2235" s="171"/>
      <c r="W2235" s="171"/>
      <c r="X2235" s="171"/>
      <c r="Y2235" s="171"/>
      <c r="Z2235" s="171"/>
      <c r="AA2235" s="171"/>
    </row>
    <row r="2236" spans="1:27" s="530" customFormat="1" ht="25.5" hidden="1" x14ac:dyDescent="0.2">
      <c r="A2236" s="526"/>
      <c r="B2236" s="527"/>
      <c r="C2236" s="465"/>
      <c r="D2236" s="464"/>
      <c r="E2236" s="464"/>
      <c r="F2236" s="503" t="s">
        <v>255</v>
      </c>
      <c r="G2236" s="504" t="s">
        <v>256</v>
      </c>
      <c r="H2236" s="397"/>
      <c r="I2236" s="397"/>
      <c r="J2236" s="750" t="e">
        <f t="shared" si="19"/>
        <v>#DIV/0!</v>
      </c>
      <c r="K2236" s="398"/>
      <c r="L2236" s="404"/>
      <c r="M2236" s="682"/>
      <c r="N2236" s="171"/>
      <c r="O2236" s="171"/>
      <c r="P2236" s="169"/>
      <c r="Q2236" s="171"/>
      <c r="R2236" s="171"/>
      <c r="S2236" s="171"/>
      <c r="T2236" s="171"/>
      <c r="U2236" s="171"/>
      <c r="V2236" s="171"/>
      <c r="W2236" s="171"/>
      <c r="X2236" s="171"/>
      <c r="Y2236" s="171"/>
      <c r="Z2236" s="171"/>
      <c r="AA2236" s="171"/>
    </row>
    <row r="2237" spans="1:27" s="530" customFormat="1" ht="25.5" hidden="1" x14ac:dyDescent="0.2">
      <c r="A2237" s="526"/>
      <c r="B2237" s="527"/>
      <c r="C2237" s="465"/>
      <c r="D2237" s="464"/>
      <c r="E2237" s="464"/>
      <c r="F2237" s="503" t="s">
        <v>257</v>
      </c>
      <c r="G2237" s="504" t="s">
        <v>258</v>
      </c>
      <c r="H2237" s="397"/>
      <c r="I2237" s="397"/>
      <c r="J2237" s="750" t="e">
        <f t="shared" si="19"/>
        <v>#DIV/0!</v>
      </c>
      <c r="K2237" s="398"/>
      <c r="L2237" s="404"/>
      <c r="M2237" s="682"/>
      <c r="N2237" s="171"/>
      <c r="O2237" s="171"/>
      <c r="P2237" s="169"/>
      <c r="Q2237" s="171"/>
      <c r="R2237" s="171"/>
      <c r="S2237" s="171"/>
      <c r="T2237" s="171"/>
      <c r="U2237" s="171"/>
      <c r="V2237" s="171"/>
      <c r="W2237" s="171"/>
      <c r="X2237" s="171"/>
      <c r="Y2237" s="171"/>
      <c r="Z2237" s="171"/>
      <c r="AA2237" s="171"/>
    </row>
    <row r="2238" spans="1:27" s="530" customFormat="1" ht="25.5" hidden="1" x14ac:dyDescent="0.2">
      <c r="A2238" s="526"/>
      <c r="B2238" s="527"/>
      <c r="C2238" s="465"/>
      <c r="D2238" s="464"/>
      <c r="E2238" s="464"/>
      <c r="F2238" s="503" t="s">
        <v>259</v>
      </c>
      <c r="G2238" s="504" t="s">
        <v>260</v>
      </c>
      <c r="H2238" s="397"/>
      <c r="I2238" s="397"/>
      <c r="J2238" s="750" t="e">
        <f t="shared" si="19"/>
        <v>#DIV/0!</v>
      </c>
      <c r="K2238" s="398"/>
      <c r="L2238" s="404"/>
      <c r="M2238" s="682"/>
      <c r="N2238" s="171"/>
      <c r="O2238" s="171"/>
      <c r="P2238" s="169"/>
      <c r="Q2238" s="171"/>
      <c r="R2238" s="171"/>
      <c r="S2238" s="171"/>
      <c r="T2238" s="171"/>
      <c r="U2238" s="171"/>
      <c r="V2238" s="171"/>
      <c r="W2238" s="171"/>
      <c r="X2238" s="171"/>
      <c r="Y2238" s="171"/>
      <c r="Z2238" s="171"/>
      <c r="AA2238" s="171"/>
    </row>
    <row r="2239" spans="1:27" s="530" customFormat="1" ht="25.5" hidden="1" x14ac:dyDescent="0.2">
      <c r="A2239" s="526"/>
      <c r="B2239" s="527"/>
      <c r="C2239" s="465"/>
      <c r="D2239" s="464"/>
      <c r="E2239" s="464"/>
      <c r="F2239" s="503" t="s">
        <v>261</v>
      </c>
      <c r="G2239" s="504" t="s">
        <v>262</v>
      </c>
      <c r="H2239" s="397"/>
      <c r="I2239" s="397"/>
      <c r="J2239" s="750" t="e">
        <f t="shared" si="19"/>
        <v>#DIV/0!</v>
      </c>
      <c r="K2239" s="398"/>
      <c r="L2239" s="404"/>
      <c r="M2239" s="682"/>
      <c r="N2239" s="171"/>
      <c r="O2239" s="171"/>
      <c r="P2239" s="169"/>
      <c r="Q2239" s="171"/>
      <c r="R2239" s="171"/>
      <c r="S2239" s="171"/>
      <c r="T2239" s="171"/>
      <c r="U2239" s="171"/>
      <c r="V2239" s="171"/>
      <c r="W2239" s="171"/>
      <c r="X2239" s="171"/>
      <c r="Y2239" s="171"/>
      <c r="Z2239" s="171"/>
      <c r="AA2239" s="171"/>
    </row>
    <row r="2240" spans="1:27" s="530" customFormat="1" hidden="1" x14ac:dyDescent="0.2">
      <c r="A2240" s="526"/>
      <c r="B2240" s="527"/>
      <c r="C2240" s="465"/>
      <c r="D2240" s="464"/>
      <c r="E2240" s="464"/>
      <c r="F2240" s="503" t="s">
        <v>263</v>
      </c>
      <c r="G2240" s="504" t="s">
        <v>264</v>
      </c>
      <c r="H2240" s="403"/>
      <c r="I2240" s="403"/>
      <c r="J2240" s="750" t="e">
        <f t="shared" si="19"/>
        <v>#DIV/0!</v>
      </c>
      <c r="K2240" s="404"/>
      <c r="L2240" s="404"/>
      <c r="M2240" s="682"/>
      <c r="N2240" s="171"/>
      <c r="O2240" s="171"/>
      <c r="P2240" s="169"/>
      <c r="Q2240" s="171"/>
      <c r="R2240" s="171"/>
      <c r="S2240" s="171"/>
      <c r="T2240" s="171"/>
      <c r="U2240" s="171"/>
      <c r="V2240" s="171"/>
      <c r="W2240" s="171"/>
      <c r="X2240" s="171"/>
      <c r="Y2240" s="171"/>
      <c r="Z2240" s="171"/>
      <c r="AA2240" s="171"/>
    </row>
    <row r="2241" spans="1:27" s="530" customFormat="1" ht="13.5" hidden="1" thickBot="1" x14ac:dyDescent="0.25">
      <c r="A2241" s="526"/>
      <c r="B2241" s="527"/>
      <c r="C2241" s="465"/>
      <c r="D2241" s="464"/>
      <c r="E2241" s="464"/>
      <c r="F2241" s="464"/>
      <c r="G2241" s="505" t="s">
        <v>4219</v>
      </c>
      <c r="H2241" s="405">
        <f>SUM(H2225:H2240)</f>
        <v>0</v>
      </c>
      <c r="I2241" s="405"/>
      <c r="J2241" s="750" t="e">
        <f t="shared" si="19"/>
        <v>#DIV/0!</v>
      </c>
      <c r="K2241" s="406">
        <f>SUM(K2226:K2240)</f>
        <v>0</v>
      </c>
      <c r="L2241" s="406"/>
      <c r="M2241" s="682"/>
      <c r="N2241" s="171"/>
      <c r="O2241" s="171"/>
      <c r="P2241" s="169"/>
      <c r="Q2241" s="171"/>
      <c r="R2241" s="171"/>
      <c r="S2241" s="171"/>
      <c r="T2241" s="171"/>
      <c r="U2241" s="171"/>
      <c r="V2241" s="171"/>
      <c r="W2241" s="171"/>
      <c r="X2241" s="171"/>
      <c r="Y2241" s="171"/>
      <c r="Z2241" s="171"/>
      <c r="AA2241" s="171"/>
    </row>
    <row r="2242" spans="1:27" s="530" customFormat="1" hidden="1" x14ac:dyDescent="0.2">
      <c r="A2242" s="526"/>
      <c r="B2242" s="527"/>
      <c r="C2242" s="465"/>
      <c r="D2242" s="464"/>
      <c r="E2242" s="464"/>
      <c r="F2242" s="494"/>
      <c r="G2242" s="495"/>
      <c r="H2242" s="397"/>
      <c r="I2242" s="397"/>
      <c r="J2242" s="750" t="e">
        <f t="shared" si="19"/>
        <v>#DIV/0!</v>
      </c>
      <c r="K2242" s="398"/>
      <c r="L2242" s="398"/>
      <c r="M2242" s="682"/>
      <c r="N2242" s="171"/>
      <c r="O2242" s="171"/>
      <c r="P2242" s="169"/>
      <c r="Q2242" s="171"/>
      <c r="R2242" s="171"/>
      <c r="S2242" s="171"/>
      <c r="T2242" s="171"/>
      <c r="U2242" s="171"/>
      <c r="V2242" s="171"/>
      <c r="W2242" s="171"/>
      <c r="X2242" s="171"/>
      <c r="Y2242" s="171"/>
      <c r="Z2242" s="171"/>
      <c r="AA2242" s="171"/>
    </row>
    <row r="2243" spans="1:27" s="530" customFormat="1" hidden="1" x14ac:dyDescent="0.2">
      <c r="A2243" s="526"/>
      <c r="B2243" s="527"/>
      <c r="C2243" s="542" t="s">
        <v>4147</v>
      </c>
      <c r="D2243" s="464"/>
      <c r="E2243" s="464"/>
      <c r="F2243" s="494"/>
      <c r="G2243" s="550" t="s">
        <v>4221</v>
      </c>
      <c r="H2243" s="397"/>
      <c r="I2243" s="397"/>
      <c r="J2243" s="750" t="e">
        <f t="shared" si="19"/>
        <v>#DIV/0!</v>
      </c>
      <c r="K2243" s="398"/>
      <c r="L2243" s="398"/>
      <c r="M2243" s="682"/>
      <c r="N2243" s="171"/>
      <c r="O2243" s="171"/>
      <c r="P2243" s="169"/>
      <c r="Q2243" s="171"/>
      <c r="R2243" s="171"/>
      <c r="S2243" s="171"/>
      <c r="T2243" s="171"/>
      <c r="U2243" s="171"/>
      <c r="V2243" s="171"/>
      <c r="W2243" s="171"/>
      <c r="X2243" s="171"/>
      <c r="Y2243" s="171"/>
      <c r="Z2243" s="171"/>
      <c r="AA2243" s="171"/>
    </row>
    <row r="2244" spans="1:27" s="530" customFormat="1" hidden="1" x14ac:dyDescent="0.2">
      <c r="A2244" s="526"/>
      <c r="B2244" s="527"/>
      <c r="C2244" s="465"/>
      <c r="D2244" s="492">
        <v>330</v>
      </c>
      <c r="E2244" s="492"/>
      <c r="F2244" s="492"/>
      <c r="G2244" s="551" t="s">
        <v>130</v>
      </c>
      <c r="H2244" s="397"/>
      <c r="I2244" s="397"/>
      <c r="J2244" s="750" t="e">
        <f t="shared" si="19"/>
        <v>#DIV/0!</v>
      </c>
      <c r="K2244" s="398"/>
      <c r="L2244" s="398"/>
      <c r="M2244" s="682"/>
      <c r="N2244" s="171"/>
      <c r="O2244" s="171"/>
      <c r="P2244" s="169"/>
      <c r="Q2244" s="171"/>
      <c r="R2244" s="171"/>
      <c r="S2244" s="171"/>
      <c r="T2244" s="171"/>
      <c r="U2244" s="171"/>
      <c r="V2244" s="171"/>
      <c r="W2244" s="171"/>
      <c r="X2244" s="171"/>
      <c r="Y2244" s="171"/>
      <c r="Z2244" s="171"/>
      <c r="AA2244" s="171"/>
    </row>
    <row r="2245" spans="1:27" s="530" customFormat="1" hidden="1" x14ac:dyDescent="0.2">
      <c r="A2245" s="526"/>
      <c r="B2245" s="527"/>
      <c r="C2245" s="465"/>
      <c r="D2245" s="492"/>
      <c r="E2245" s="492"/>
      <c r="F2245" s="464">
        <v>411</v>
      </c>
      <c r="G2245" s="495" t="s">
        <v>4167</v>
      </c>
      <c r="H2245" s="397"/>
      <c r="I2245" s="397"/>
      <c r="J2245" s="750" t="e">
        <f t="shared" si="19"/>
        <v>#DIV/0!</v>
      </c>
      <c r="K2245" s="398"/>
      <c r="L2245" s="398"/>
      <c r="M2245" s="682"/>
      <c r="N2245" s="171"/>
      <c r="O2245" s="171"/>
      <c r="P2245" s="169"/>
      <c r="Q2245" s="171"/>
      <c r="R2245" s="171"/>
      <c r="S2245" s="171"/>
      <c r="T2245" s="171"/>
      <c r="U2245" s="171"/>
      <c r="V2245" s="171"/>
      <c r="W2245" s="171"/>
      <c r="X2245" s="171"/>
      <c r="Y2245" s="171"/>
      <c r="Z2245" s="171"/>
      <c r="AA2245" s="171"/>
    </row>
    <row r="2246" spans="1:27" s="530" customFormat="1" hidden="1" x14ac:dyDescent="0.2">
      <c r="A2246" s="526"/>
      <c r="B2246" s="527"/>
      <c r="C2246" s="465"/>
      <c r="D2246" s="492"/>
      <c r="E2246" s="492"/>
      <c r="F2246" s="464">
        <v>412</v>
      </c>
      <c r="G2246" s="496" t="s">
        <v>3764</v>
      </c>
      <c r="H2246" s="397"/>
      <c r="I2246" s="397"/>
      <c r="J2246" s="750" t="e">
        <f t="shared" si="19"/>
        <v>#DIV/0!</v>
      </c>
      <c r="K2246" s="398"/>
      <c r="L2246" s="398"/>
      <c r="M2246" s="682"/>
      <c r="N2246" s="171"/>
      <c r="O2246" s="171"/>
      <c r="P2246" s="169"/>
      <c r="Q2246" s="171"/>
      <c r="R2246" s="171"/>
      <c r="S2246" s="171"/>
      <c r="T2246" s="171"/>
      <c r="U2246" s="171"/>
      <c r="V2246" s="171"/>
      <c r="W2246" s="171"/>
      <c r="X2246" s="171"/>
      <c r="Y2246" s="171"/>
      <c r="Z2246" s="171"/>
      <c r="AA2246" s="171"/>
    </row>
    <row r="2247" spans="1:27" s="530" customFormat="1" hidden="1" x14ac:dyDescent="0.2">
      <c r="A2247" s="526"/>
      <c r="B2247" s="527"/>
      <c r="C2247" s="465"/>
      <c r="D2247" s="464"/>
      <c r="E2247" s="464"/>
      <c r="F2247" s="494">
        <v>422</v>
      </c>
      <c r="G2247" s="495" t="s">
        <v>3778</v>
      </c>
      <c r="H2247" s="397"/>
      <c r="I2247" s="397"/>
      <c r="J2247" s="750" t="e">
        <f t="shared" si="19"/>
        <v>#DIV/0!</v>
      </c>
      <c r="K2247" s="398"/>
      <c r="L2247" s="398"/>
      <c r="M2247" s="682"/>
      <c r="N2247" s="171"/>
      <c r="O2247" s="171"/>
      <c r="P2247" s="169"/>
      <c r="Q2247" s="171"/>
      <c r="R2247" s="171"/>
      <c r="S2247" s="171"/>
      <c r="T2247" s="171"/>
      <c r="U2247" s="171"/>
      <c r="V2247" s="171"/>
      <c r="W2247" s="171"/>
      <c r="X2247" s="171"/>
      <c r="Y2247" s="171"/>
      <c r="Z2247" s="171"/>
      <c r="AA2247" s="171"/>
    </row>
    <row r="2248" spans="1:27" s="530" customFormat="1" hidden="1" x14ac:dyDescent="0.2">
      <c r="A2248" s="526"/>
      <c r="B2248" s="527"/>
      <c r="C2248" s="465"/>
      <c r="D2248" s="464"/>
      <c r="E2248" s="464"/>
      <c r="F2248" s="494">
        <v>423</v>
      </c>
      <c r="G2248" s="495" t="s">
        <v>3779</v>
      </c>
      <c r="H2248" s="397"/>
      <c r="I2248" s="397"/>
      <c r="J2248" s="750" t="e">
        <f t="shared" si="19"/>
        <v>#DIV/0!</v>
      </c>
      <c r="K2248" s="398"/>
      <c r="L2248" s="398"/>
      <c r="M2248" s="682"/>
      <c r="N2248" s="171"/>
      <c r="O2248" s="171"/>
      <c r="P2248" s="169"/>
      <c r="Q2248" s="171"/>
      <c r="R2248" s="171"/>
      <c r="S2248" s="171"/>
      <c r="T2248" s="171"/>
      <c r="U2248" s="171"/>
      <c r="V2248" s="171"/>
      <c r="W2248" s="171"/>
      <c r="X2248" s="171"/>
      <c r="Y2248" s="171"/>
      <c r="Z2248" s="171"/>
      <c r="AA2248" s="171"/>
    </row>
    <row r="2249" spans="1:27" s="530" customFormat="1" hidden="1" x14ac:dyDescent="0.2">
      <c r="A2249" s="526"/>
      <c r="B2249" s="527"/>
      <c r="C2249" s="465"/>
      <c r="D2249" s="464"/>
      <c r="E2249" s="464"/>
      <c r="F2249" s="494">
        <v>424</v>
      </c>
      <c r="G2249" s="495" t="s">
        <v>3781</v>
      </c>
      <c r="H2249" s="397"/>
      <c r="I2249" s="397"/>
      <c r="J2249" s="750" t="e">
        <f t="shared" si="19"/>
        <v>#DIV/0!</v>
      </c>
      <c r="K2249" s="398"/>
      <c r="L2249" s="398"/>
      <c r="M2249" s="682"/>
      <c r="N2249" s="171"/>
      <c r="O2249" s="171"/>
      <c r="P2249" s="169"/>
      <c r="Q2249" s="171"/>
      <c r="R2249" s="171"/>
      <c r="S2249" s="171"/>
      <c r="T2249" s="171"/>
      <c r="U2249" s="171"/>
      <c r="V2249" s="171"/>
      <c r="W2249" s="171"/>
      <c r="X2249" s="171"/>
      <c r="Y2249" s="171"/>
      <c r="Z2249" s="171"/>
      <c r="AA2249" s="171"/>
    </row>
    <row r="2250" spans="1:27" s="530" customFormat="1" hidden="1" x14ac:dyDescent="0.2">
      <c r="A2250" s="526"/>
      <c r="B2250" s="527"/>
      <c r="C2250" s="465"/>
      <c r="D2250" s="464"/>
      <c r="E2250" s="464"/>
      <c r="F2250" s="494">
        <v>426</v>
      </c>
      <c r="G2250" s="495" t="s">
        <v>3785</v>
      </c>
      <c r="H2250" s="397"/>
      <c r="I2250" s="397"/>
      <c r="J2250" s="750" t="e">
        <f t="shared" si="19"/>
        <v>#DIV/0!</v>
      </c>
      <c r="K2250" s="398"/>
      <c r="L2250" s="398"/>
      <c r="M2250" s="682"/>
      <c r="N2250" s="171"/>
      <c r="O2250" s="171"/>
      <c r="P2250" s="169"/>
      <c r="Q2250" s="171"/>
      <c r="R2250" s="171"/>
      <c r="S2250" s="171"/>
      <c r="T2250" s="171"/>
      <c r="U2250" s="171"/>
      <c r="V2250" s="171"/>
      <c r="W2250" s="171"/>
      <c r="X2250" s="171"/>
      <c r="Y2250" s="171"/>
      <c r="Z2250" s="171"/>
      <c r="AA2250" s="171"/>
    </row>
    <row r="2251" spans="1:27" s="530" customFormat="1" hidden="1" x14ac:dyDescent="0.2">
      <c r="A2251" s="526"/>
      <c r="B2251" s="527"/>
      <c r="C2251" s="465"/>
      <c r="D2251" s="464"/>
      <c r="E2251" s="500"/>
      <c r="F2251" s="498"/>
      <c r="G2251" s="501" t="s">
        <v>4343</v>
      </c>
      <c r="H2251" s="400"/>
      <c r="I2251" s="400"/>
      <c r="J2251" s="750" t="e">
        <f t="shared" si="19"/>
        <v>#DIV/0!</v>
      </c>
      <c r="K2251" s="401"/>
      <c r="L2251" s="402"/>
      <c r="M2251" s="682"/>
      <c r="N2251" s="171"/>
      <c r="O2251" s="171"/>
      <c r="P2251" s="169"/>
      <c r="Q2251" s="171"/>
      <c r="R2251" s="171"/>
      <c r="S2251" s="171"/>
      <c r="T2251" s="171"/>
      <c r="U2251" s="171"/>
      <c r="V2251" s="171"/>
      <c r="W2251" s="171"/>
      <c r="X2251" s="171"/>
      <c r="Y2251" s="171"/>
      <c r="Z2251" s="171"/>
      <c r="AA2251" s="171"/>
    </row>
    <row r="2252" spans="1:27" s="530" customFormat="1" hidden="1" x14ac:dyDescent="0.2">
      <c r="A2252" s="526"/>
      <c r="B2252" s="527"/>
      <c r="C2252" s="465"/>
      <c r="D2252" s="464"/>
      <c r="E2252" s="502"/>
      <c r="F2252" s="503" t="s">
        <v>234</v>
      </c>
      <c r="G2252" s="504" t="s">
        <v>235</v>
      </c>
      <c r="H2252" s="403">
        <f>SUM(H2247:H2250)</f>
        <v>0</v>
      </c>
      <c r="I2252" s="403"/>
      <c r="J2252" s="750" t="e">
        <f t="shared" si="19"/>
        <v>#DIV/0!</v>
      </c>
      <c r="K2252" s="404"/>
      <c r="L2252" s="404"/>
      <c r="M2252" s="682"/>
      <c r="N2252" s="171"/>
      <c r="O2252" s="171"/>
      <c r="P2252" s="169"/>
      <c r="Q2252" s="171"/>
      <c r="R2252" s="171"/>
      <c r="S2252" s="171"/>
      <c r="T2252" s="171"/>
      <c r="U2252" s="171"/>
      <c r="V2252" s="171"/>
      <c r="W2252" s="171"/>
      <c r="X2252" s="171"/>
      <c r="Y2252" s="171"/>
      <c r="Z2252" s="171"/>
      <c r="AA2252" s="171"/>
    </row>
    <row r="2253" spans="1:27" s="530" customFormat="1" hidden="1" x14ac:dyDescent="0.2">
      <c r="A2253" s="526"/>
      <c r="B2253" s="527"/>
      <c r="C2253" s="465"/>
      <c r="D2253" s="464"/>
      <c r="E2253" s="464"/>
      <c r="F2253" s="503" t="s">
        <v>236</v>
      </c>
      <c r="G2253" s="504" t="s">
        <v>237</v>
      </c>
      <c r="H2253" s="397"/>
      <c r="I2253" s="397"/>
      <c r="J2253" s="750" t="e">
        <f t="shared" ref="J2253:J2316" si="20">SUM(I2253/H2253)*100</f>
        <v>#DIV/0!</v>
      </c>
      <c r="K2253" s="398"/>
      <c r="L2253" s="404"/>
      <c r="M2253" s="682"/>
      <c r="N2253" s="171"/>
      <c r="O2253" s="171"/>
      <c r="P2253" s="169"/>
      <c r="Q2253" s="171"/>
      <c r="R2253" s="171"/>
      <c r="S2253" s="171"/>
      <c r="T2253" s="171"/>
      <c r="U2253" s="171"/>
      <c r="V2253" s="171"/>
      <c r="W2253" s="171"/>
      <c r="X2253" s="171"/>
      <c r="Y2253" s="171"/>
      <c r="Z2253" s="171"/>
      <c r="AA2253" s="171"/>
    </row>
    <row r="2254" spans="1:27" s="530" customFormat="1" hidden="1" x14ac:dyDescent="0.2">
      <c r="A2254" s="526"/>
      <c r="B2254" s="527"/>
      <c r="C2254" s="465"/>
      <c r="D2254" s="464"/>
      <c r="E2254" s="464"/>
      <c r="F2254" s="503" t="s">
        <v>238</v>
      </c>
      <c r="G2254" s="504" t="s">
        <v>239</v>
      </c>
      <c r="H2254" s="397"/>
      <c r="I2254" s="397"/>
      <c r="J2254" s="750" t="e">
        <f t="shared" si="20"/>
        <v>#DIV/0!</v>
      </c>
      <c r="K2254" s="398"/>
      <c r="L2254" s="404"/>
      <c r="M2254" s="682"/>
      <c r="N2254" s="171"/>
      <c r="O2254" s="171"/>
      <c r="P2254" s="169"/>
      <c r="Q2254" s="171"/>
      <c r="R2254" s="171"/>
      <c r="S2254" s="171"/>
      <c r="T2254" s="171"/>
      <c r="U2254" s="171"/>
      <c r="V2254" s="171"/>
      <c r="W2254" s="171"/>
      <c r="X2254" s="171"/>
      <c r="Y2254" s="171"/>
      <c r="Z2254" s="171"/>
      <c r="AA2254" s="171"/>
    </row>
    <row r="2255" spans="1:27" s="530" customFormat="1" hidden="1" x14ac:dyDescent="0.2">
      <c r="A2255" s="526"/>
      <c r="B2255" s="527"/>
      <c r="C2255" s="465"/>
      <c r="D2255" s="464"/>
      <c r="E2255" s="464"/>
      <c r="F2255" s="503" t="s">
        <v>240</v>
      </c>
      <c r="G2255" s="504" t="s">
        <v>241</v>
      </c>
      <c r="H2255" s="397"/>
      <c r="I2255" s="397"/>
      <c r="J2255" s="750" t="e">
        <f t="shared" si="20"/>
        <v>#DIV/0!</v>
      </c>
      <c r="K2255" s="398"/>
      <c r="L2255" s="404"/>
      <c r="M2255" s="682"/>
      <c r="N2255" s="171"/>
      <c r="O2255" s="171"/>
      <c r="P2255" s="169"/>
      <c r="Q2255" s="171"/>
      <c r="R2255" s="171"/>
      <c r="S2255" s="171"/>
      <c r="T2255" s="171"/>
      <c r="U2255" s="171"/>
      <c r="V2255" s="171"/>
      <c r="W2255" s="171"/>
      <c r="X2255" s="171"/>
      <c r="Y2255" s="171"/>
      <c r="Z2255" s="171"/>
      <c r="AA2255" s="171"/>
    </row>
    <row r="2256" spans="1:27" s="530" customFormat="1" hidden="1" x14ac:dyDescent="0.2">
      <c r="A2256" s="526"/>
      <c r="B2256" s="527"/>
      <c r="C2256" s="465"/>
      <c r="D2256" s="464"/>
      <c r="E2256" s="464"/>
      <c r="F2256" s="503" t="s">
        <v>242</v>
      </c>
      <c r="G2256" s="504" t="s">
        <v>243</v>
      </c>
      <c r="H2256" s="397"/>
      <c r="I2256" s="397"/>
      <c r="J2256" s="750" t="e">
        <f t="shared" si="20"/>
        <v>#DIV/0!</v>
      </c>
      <c r="K2256" s="398"/>
      <c r="L2256" s="404"/>
      <c r="M2256" s="682"/>
      <c r="N2256" s="171"/>
      <c r="O2256" s="171"/>
      <c r="P2256" s="169"/>
      <c r="Q2256" s="171"/>
      <c r="R2256" s="171"/>
      <c r="S2256" s="171"/>
      <c r="T2256" s="171"/>
      <c r="U2256" s="171"/>
      <c r="V2256" s="171"/>
      <c r="W2256" s="171"/>
      <c r="X2256" s="171"/>
      <c r="Y2256" s="171"/>
      <c r="Z2256" s="171"/>
      <c r="AA2256" s="171"/>
    </row>
    <row r="2257" spans="1:27" s="530" customFormat="1" hidden="1" x14ac:dyDescent="0.2">
      <c r="A2257" s="526"/>
      <c r="B2257" s="527"/>
      <c r="C2257" s="465"/>
      <c r="D2257" s="464"/>
      <c r="E2257" s="464"/>
      <c r="F2257" s="503" t="s">
        <v>244</v>
      </c>
      <c r="G2257" s="504" t="s">
        <v>245</v>
      </c>
      <c r="H2257" s="397"/>
      <c r="I2257" s="397"/>
      <c r="J2257" s="750" t="e">
        <f t="shared" si="20"/>
        <v>#DIV/0!</v>
      </c>
      <c r="K2257" s="398"/>
      <c r="L2257" s="404"/>
      <c r="M2257" s="682"/>
      <c r="N2257" s="171"/>
      <c r="O2257" s="171"/>
      <c r="P2257" s="169"/>
      <c r="Q2257" s="171"/>
      <c r="R2257" s="171"/>
      <c r="S2257" s="171"/>
      <c r="T2257" s="171"/>
      <c r="U2257" s="171"/>
      <c r="V2257" s="171"/>
      <c r="W2257" s="171"/>
      <c r="X2257" s="171"/>
      <c r="Y2257" s="171"/>
      <c r="Z2257" s="171"/>
      <c r="AA2257" s="171"/>
    </row>
    <row r="2258" spans="1:27" s="530" customFormat="1" hidden="1" x14ac:dyDescent="0.2">
      <c r="A2258" s="526"/>
      <c r="B2258" s="527"/>
      <c r="C2258" s="465"/>
      <c r="D2258" s="464"/>
      <c r="E2258" s="464"/>
      <c r="F2258" s="503" t="s">
        <v>246</v>
      </c>
      <c r="G2258" s="504" t="s">
        <v>247</v>
      </c>
      <c r="H2258" s="397"/>
      <c r="I2258" s="397"/>
      <c r="J2258" s="750" t="e">
        <f t="shared" si="20"/>
        <v>#DIV/0!</v>
      </c>
      <c r="K2258" s="398"/>
      <c r="L2258" s="404"/>
      <c r="M2258" s="682"/>
      <c r="N2258" s="171"/>
      <c r="O2258" s="171"/>
      <c r="P2258" s="169"/>
      <c r="Q2258" s="171"/>
      <c r="R2258" s="171"/>
      <c r="S2258" s="171"/>
      <c r="T2258" s="171"/>
      <c r="U2258" s="171"/>
      <c r="V2258" s="171"/>
      <c r="W2258" s="171"/>
      <c r="X2258" s="171"/>
      <c r="Y2258" s="171"/>
      <c r="Z2258" s="171"/>
      <c r="AA2258" s="171"/>
    </row>
    <row r="2259" spans="1:27" s="530" customFormat="1" ht="25.5" hidden="1" x14ac:dyDescent="0.2">
      <c r="A2259" s="526"/>
      <c r="B2259" s="527"/>
      <c r="C2259" s="465"/>
      <c r="D2259" s="464"/>
      <c r="E2259" s="464"/>
      <c r="F2259" s="503" t="s">
        <v>248</v>
      </c>
      <c r="G2259" s="504" t="s">
        <v>249</v>
      </c>
      <c r="H2259" s="397"/>
      <c r="I2259" s="397"/>
      <c r="J2259" s="750" t="e">
        <f t="shared" si="20"/>
        <v>#DIV/0!</v>
      </c>
      <c r="K2259" s="398"/>
      <c r="L2259" s="404"/>
      <c r="M2259" s="682"/>
      <c r="N2259" s="171"/>
      <c r="O2259" s="171"/>
      <c r="P2259" s="169"/>
      <c r="Q2259" s="171"/>
      <c r="R2259" s="171"/>
      <c r="S2259" s="171"/>
      <c r="T2259" s="171"/>
      <c r="U2259" s="171"/>
      <c r="V2259" s="171"/>
      <c r="W2259" s="171"/>
      <c r="X2259" s="171"/>
      <c r="Y2259" s="171"/>
      <c r="Z2259" s="171"/>
      <c r="AA2259" s="171"/>
    </row>
    <row r="2260" spans="1:27" s="530" customFormat="1" hidden="1" x14ac:dyDescent="0.2">
      <c r="A2260" s="526"/>
      <c r="B2260" s="527"/>
      <c r="C2260" s="465"/>
      <c r="D2260" s="464"/>
      <c r="E2260" s="464"/>
      <c r="F2260" s="503" t="s">
        <v>250</v>
      </c>
      <c r="G2260" s="504" t="s">
        <v>57</v>
      </c>
      <c r="H2260" s="397"/>
      <c r="I2260" s="397"/>
      <c r="J2260" s="750" t="e">
        <f t="shared" si="20"/>
        <v>#DIV/0!</v>
      </c>
      <c r="K2260" s="398"/>
      <c r="L2260" s="404"/>
      <c r="M2260" s="682"/>
      <c r="N2260" s="171"/>
      <c r="O2260" s="171"/>
      <c r="P2260" s="169"/>
      <c r="Q2260" s="171"/>
      <c r="R2260" s="171"/>
      <c r="S2260" s="171"/>
      <c r="T2260" s="171"/>
      <c r="U2260" s="171"/>
      <c r="V2260" s="171"/>
      <c r="W2260" s="171"/>
      <c r="X2260" s="171"/>
      <c r="Y2260" s="171"/>
      <c r="Z2260" s="171"/>
      <c r="AA2260" s="171"/>
    </row>
    <row r="2261" spans="1:27" s="530" customFormat="1" hidden="1" x14ac:dyDescent="0.2">
      <c r="A2261" s="526"/>
      <c r="B2261" s="527"/>
      <c r="C2261" s="465"/>
      <c r="D2261" s="464"/>
      <c r="E2261" s="464"/>
      <c r="F2261" s="503" t="s">
        <v>251</v>
      </c>
      <c r="G2261" s="504" t="s">
        <v>252</v>
      </c>
      <c r="H2261" s="397"/>
      <c r="I2261" s="397"/>
      <c r="J2261" s="750" t="e">
        <f t="shared" si="20"/>
        <v>#DIV/0!</v>
      </c>
      <c r="K2261" s="398"/>
      <c r="L2261" s="404"/>
      <c r="M2261" s="682"/>
      <c r="N2261" s="171"/>
      <c r="O2261" s="171"/>
      <c r="P2261" s="169"/>
      <c r="Q2261" s="171"/>
      <c r="R2261" s="171"/>
      <c r="S2261" s="171"/>
      <c r="T2261" s="171"/>
      <c r="U2261" s="171"/>
      <c r="V2261" s="171"/>
      <c r="W2261" s="171"/>
      <c r="X2261" s="171"/>
      <c r="Y2261" s="171"/>
      <c r="Z2261" s="171"/>
      <c r="AA2261" s="171"/>
    </row>
    <row r="2262" spans="1:27" s="530" customFormat="1" hidden="1" x14ac:dyDescent="0.2">
      <c r="A2262" s="526"/>
      <c r="B2262" s="527"/>
      <c r="C2262" s="465"/>
      <c r="D2262" s="464"/>
      <c r="E2262" s="464"/>
      <c r="F2262" s="503" t="s">
        <v>253</v>
      </c>
      <c r="G2262" s="504" t="s">
        <v>254</v>
      </c>
      <c r="H2262" s="397"/>
      <c r="I2262" s="397"/>
      <c r="J2262" s="750" t="e">
        <f t="shared" si="20"/>
        <v>#DIV/0!</v>
      </c>
      <c r="K2262" s="398"/>
      <c r="L2262" s="404"/>
      <c r="M2262" s="682"/>
      <c r="N2262" s="171"/>
      <c r="O2262" s="171"/>
      <c r="P2262" s="169"/>
      <c r="Q2262" s="171"/>
      <c r="R2262" s="171"/>
      <c r="S2262" s="171"/>
      <c r="T2262" s="171"/>
      <c r="U2262" s="171"/>
      <c r="V2262" s="171"/>
      <c r="W2262" s="171"/>
      <c r="X2262" s="171"/>
      <c r="Y2262" s="171"/>
      <c r="Z2262" s="171"/>
      <c r="AA2262" s="171"/>
    </row>
    <row r="2263" spans="1:27" s="530" customFormat="1" ht="25.5" hidden="1" x14ac:dyDescent="0.2">
      <c r="A2263" s="526"/>
      <c r="B2263" s="527"/>
      <c r="C2263" s="465"/>
      <c r="D2263" s="464"/>
      <c r="E2263" s="464"/>
      <c r="F2263" s="503" t="s">
        <v>255</v>
      </c>
      <c r="G2263" s="504" t="s">
        <v>256</v>
      </c>
      <c r="H2263" s="397"/>
      <c r="I2263" s="397"/>
      <c r="J2263" s="750" t="e">
        <f t="shared" si="20"/>
        <v>#DIV/0!</v>
      </c>
      <c r="K2263" s="398"/>
      <c r="L2263" s="404"/>
      <c r="M2263" s="682"/>
      <c r="N2263" s="171"/>
      <c r="O2263" s="171"/>
      <c r="P2263" s="169"/>
      <c r="Q2263" s="171"/>
      <c r="R2263" s="171"/>
      <c r="S2263" s="171"/>
      <c r="T2263" s="171"/>
      <c r="U2263" s="171"/>
      <c r="V2263" s="171"/>
      <c r="W2263" s="171"/>
      <c r="X2263" s="171"/>
      <c r="Y2263" s="171"/>
      <c r="Z2263" s="171"/>
      <c r="AA2263" s="171"/>
    </row>
    <row r="2264" spans="1:27" s="530" customFormat="1" ht="25.5" hidden="1" x14ac:dyDescent="0.2">
      <c r="A2264" s="526"/>
      <c r="B2264" s="527"/>
      <c r="C2264" s="465"/>
      <c r="D2264" s="464"/>
      <c r="E2264" s="464"/>
      <c r="F2264" s="503" t="s">
        <v>257</v>
      </c>
      <c r="G2264" s="504" t="s">
        <v>258</v>
      </c>
      <c r="H2264" s="397"/>
      <c r="I2264" s="397"/>
      <c r="J2264" s="750" t="e">
        <f t="shared" si="20"/>
        <v>#DIV/0!</v>
      </c>
      <c r="K2264" s="398"/>
      <c r="L2264" s="404"/>
      <c r="M2264" s="682"/>
      <c r="N2264" s="171"/>
      <c r="O2264" s="171"/>
      <c r="P2264" s="169"/>
      <c r="Q2264" s="171"/>
      <c r="R2264" s="171"/>
      <c r="S2264" s="171"/>
      <c r="T2264" s="171"/>
      <c r="U2264" s="171"/>
      <c r="V2264" s="171"/>
      <c r="W2264" s="171"/>
      <c r="X2264" s="171"/>
      <c r="Y2264" s="171"/>
      <c r="Z2264" s="171"/>
      <c r="AA2264" s="171"/>
    </row>
    <row r="2265" spans="1:27" s="530" customFormat="1" ht="25.5" hidden="1" x14ac:dyDescent="0.2">
      <c r="A2265" s="526"/>
      <c r="B2265" s="527"/>
      <c r="C2265" s="465"/>
      <c r="D2265" s="464"/>
      <c r="E2265" s="464"/>
      <c r="F2265" s="503" t="s">
        <v>259</v>
      </c>
      <c r="G2265" s="504" t="s">
        <v>260</v>
      </c>
      <c r="H2265" s="397"/>
      <c r="I2265" s="397"/>
      <c r="J2265" s="750" t="e">
        <f t="shared" si="20"/>
        <v>#DIV/0!</v>
      </c>
      <c r="K2265" s="398"/>
      <c r="L2265" s="404"/>
      <c r="M2265" s="682"/>
      <c r="N2265" s="171"/>
      <c r="O2265" s="171"/>
      <c r="P2265" s="169"/>
      <c r="Q2265" s="171"/>
      <c r="R2265" s="171"/>
      <c r="S2265" s="171"/>
      <c r="T2265" s="171"/>
      <c r="U2265" s="171"/>
      <c r="V2265" s="171"/>
      <c r="W2265" s="171"/>
      <c r="X2265" s="171"/>
      <c r="Y2265" s="171"/>
      <c r="Z2265" s="171"/>
      <c r="AA2265" s="171"/>
    </row>
    <row r="2266" spans="1:27" s="530" customFormat="1" ht="25.5" hidden="1" x14ac:dyDescent="0.2">
      <c r="A2266" s="526"/>
      <c r="B2266" s="527"/>
      <c r="C2266" s="465"/>
      <c r="D2266" s="464"/>
      <c r="E2266" s="464"/>
      <c r="F2266" s="503" t="s">
        <v>261</v>
      </c>
      <c r="G2266" s="504" t="s">
        <v>262</v>
      </c>
      <c r="H2266" s="397"/>
      <c r="I2266" s="397"/>
      <c r="J2266" s="750" t="e">
        <f t="shared" si="20"/>
        <v>#DIV/0!</v>
      </c>
      <c r="K2266" s="398"/>
      <c r="L2266" s="404"/>
      <c r="M2266" s="682"/>
      <c r="N2266" s="171"/>
      <c r="O2266" s="171"/>
      <c r="P2266" s="169"/>
      <c r="Q2266" s="171"/>
      <c r="R2266" s="171"/>
      <c r="S2266" s="171"/>
      <c r="T2266" s="171"/>
      <c r="U2266" s="171"/>
      <c r="V2266" s="171"/>
      <c r="W2266" s="171"/>
      <c r="X2266" s="171"/>
      <c r="Y2266" s="171"/>
      <c r="Z2266" s="171"/>
      <c r="AA2266" s="171"/>
    </row>
    <row r="2267" spans="1:27" s="530" customFormat="1" hidden="1" x14ac:dyDescent="0.2">
      <c r="A2267" s="526"/>
      <c r="B2267" s="527"/>
      <c r="C2267" s="465"/>
      <c r="D2267" s="464"/>
      <c r="E2267" s="464"/>
      <c r="F2267" s="503" t="s">
        <v>263</v>
      </c>
      <c r="G2267" s="504" t="s">
        <v>264</v>
      </c>
      <c r="H2267" s="403"/>
      <c r="I2267" s="403"/>
      <c r="J2267" s="750" t="e">
        <f t="shared" si="20"/>
        <v>#DIV/0!</v>
      </c>
      <c r="K2267" s="404"/>
      <c r="L2267" s="404"/>
      <c r="M2267" s="682"/>
      <c r="N2267" s="171"/>
      <c r="O2267" s="171"/>
      <c r="P2267" s="169"/>
      <c r="Q2267" s="171"/>
      <c r="R2267" s="171"/>
      <c r="S2267" s="171"/>
      <c r="T2267" s="171"/>
      <c r="U2267" s="171"/>
      <c r="V2267" s="171"/>
      <c r="W2267" s="171"/>
      <c r="X2267" s="171"/>
      <c r="Y2267" s="171"/>
      <c r="Z2267" s="171"/>
      <c r="AA2267" s="171"/>
    </row>
    <row r="2268" spans="1:27" s="530" customFormat="1" ht="13.5" hidden="1" thickBot="1" x14ac:dyDescent="0.25">
      <c r="A2268" s="526"/>
      <c r="B2268" s="527"/>
      <c r="C2268" s="465"/>
      <c r="D2268" s="464"/>
      <c r="E2268" s="464"/>
      <c r="F2268" s="464"/>
      <c r="G2268" s="505" t="s">
        <v>4285</v>
      </c>
      <c r="H2268" s="405">
        <f>SUM(H2252:H2267)</f>
        <v>0</v>
      </c>
      <c r="I2268" s="405"/>
      <c r="J2268" s="750" t="e">
        <f t="shared" si="20"/>
        <v>#DIV/0!</v>
      </c>
      <c r="K2268" s="406">
        <f>SUM(K2253:K2267)</f>
        <v>0</v>
      </c>
      <c r="L2268" s="406"/>
      <c r="M2268" s="682"/>
      <c r="N2268" s="171"/>
      <c r="O2268" s="171"/>
      <c r="P2268" s="169"/>
      <c r="Q2268" s="171"/>
      <c r="R2268" s="171"/>
      <c r="S2268" s="171"/>
      <c r="T2268" s="171"/>
      <c r="U2268" s="171"/>
      <c r="V2268" s="171"/>
      <c r="W2268" s="171"/>
      <c r="X2268" s="171"/>
      <c r="Y2268" s="171"/>
      <c r="Z2268" s="171"/>
      <c r="AA2268" s="171"/>
    </row>
    <row r="2269" spans="1:27" s="530" customFormat="1" ht="25.5" hidden="1" x14ac:dyDescent="0.2">
      <c r="A2269" s="526"/>
      <c r="B2269" s="527"/>
      <c r="C2269" s="465"/>
      <c r="D2269" s="464"/>
      <c r="E2269" s="464"/>
      <c r="F2269" s="498"/>
      <c r="G2269" s="506" t="s">
        <v>4225</v>
      </c>
      <c r="H2269" s="407"/>
      <c r="I2269" s="408"/>
      <c r="J2269" s="750" t="e">
        <f t="shared" si="20"/>
        <v>#DIV/0!</v>
      </c>
      <c r="K2269" s="409"/>
      <c r="L2269" s="410"/>
      <c r="M2269" s="682"/>
      <c r="N2269" s="171"/>
      <c r="O2269" s="171"/>
      <c r="P2269" s="169"/>
      <c r="Q2269" s="171"/>
      <c r="R2269" s="171"/>
      <c r="S2269" s="171"/>
      <c r="T2269" s="171"/>
      <c r="U2269" s="171"/>
      <c r="V2269" s="171"/>
      <c r="W2269" s="171"/>
      <c r="X2269" s="171"/>
      <c r="Y2269" s="171"/>
      <c r="Z2269" s="171"/>
      <c r="AA2269" s="171"/>
    </row>
    <row r="2270" spans="1:27" s="530" customFormat="1" hidden="1" x14ac:dyDescent="0.2">
      <c r="A2270" s="526"/>
      <c r="B2270" s="527"/>
      <c r="C2270" s="465"/>
      <c r="D2270" s="464"/>
      <c r="E2270" s="464"/>
      <c r="F2270" s="503" t="s">
        <v>234</v>
      </c>
      <c r="G2270" s="504" t="s">
        <v>235</v>
      </c>
      <c r="H2270" s="403">
        <f>SUM(H2247:H2250)</f>
        <v>0</v>
      </c>
      <c r="I2270" s="403"/>
      <c r="J2270" s="750" t="e">
        <f t="shared" si="20"/>
        <v>#DIV/0!</v>
      </c>
      <c r="K2270" s="404"/>
      <c r="L2270" s="398"/>
      <c r="M2270" s="682"/>
      <c r="N2270" s="171"/>
      <c r="O2270" s="171"/>
      <c r="P2270" s="169"/>
      <c r="Q2270" s="171"/>
      <c r="R2270" s="171"/>
      <c r="S2270" s="171"/>
      <c r="T2270" s="171"/>
      <c r="U2270" s="171"/>
      <c r="V2270" s="171"/>
      <c r="W2270" s="171"/>
      <c r="X2270" s="171"/>
      <c r="Y2270" s="171"/>
      <c r="Z2270" s="171"/>
      <c r="AA2270" s="171"/>
    </row>
    <row r="2271" spans="1:27" s="530" customFormat="1" hidden="1" x14ac:dyDescent="0.2">
      <c r="A2271" s="526"/>
      <c r="B2271" s="527"/>
      <c r="C2271" s="465"/>
      <c r="D2271" s="464"/>
      <c r="E2271" s="464"/>
      <c r="F2271" s="503" t="s">
        <v>236</v>
      </c>
      <c r="G2271" s="504" t="s">
        <v>237</v>
      </c>
      <c r="H2271" s="397"/>
      <c r="I2271" s="397"/>
      <c r="J2271" s="750" t="e">
        <f t="shared" si="20"/>
        <v>#DIV/0!</v>
      </c>
      <c r="K2271" s="398"/>
      <c r="L2271" s="404"/>
      <c r="M2271" s="682"/>
      <c r="N2271" s="171"/>
      <c r="O2271" s="171"/>
      <c r="P2271" s="169"/>
      <c r="Q2271" s="171"/>
      <c r="R2271" s="171"/>
      <c r="S2271" s="171"/>
      <c r="T2271" s="171"/>
      <c r="U2271" s="171"/>
      <c r="V2271" s="171"/>
      <c r="W2271" s="171"/>
      <c r="X2271" s="171"/>
      <c r="Y2271" s="171"/>
      <c r="Z2271" s="171"/>
      <c r="AA2271" s="171"/>
    </row>
    <row r="2272" spans="1:27" s="530" customFormat="1" hidden="1" x14ac:dyDescent="0.2">
      <c r="A2272" s="526"/>
      <c r="B2272" s="527"/>
      <c r="C2272" s="465"/>
      <c r="D2272" s="464"/>
      <c r="E2272" s="464"/>
      <c r="F2272" s="503" t="s">
        <v>238</v>
      </c>
      <c r="G2272" s="504" t="s">
        <v>239</v>
      </c>
      <c r="H2272" s="397"/>
      <c r="I2272" s="397"/>
      <c r="J2272" s="750" t="e">
        <f t="shared" si="20"/>
        <v>#DIV/0!</v>
      </c>
      <c r="K2272" s="398"/>
      <c r="L2272" s="404"/>
      <c r="M2272" s="682"/>
      <c r="N2272" s="171"/>
      <c r="O2272" s="171"/>
      <c r="P2272" s="169"/>
      <c r="Q2272" s="171"/>
      <c r="R2272" s="171"/>
      <c r="S2272" s="171"/>
      <c r="T2272" s="171"/>
      <c r="U2272" s="171"/>
      <c r="V2272" s="171"/>
      <c r="W2272" s="171"/>
      <c r="X2272" s="171"/>
      <c r="Y2272" s="171"/>
      <c r="Z2272" s="171"/>
      <c r="AA2272" s="171"/>
    </row>
    <row r="2273" spans="1:27" s="530" customFormat="1" hidden="1" x14ac:dyDescent="0.2">
      <c r="A2273" s="526"/>
      <c r="B2273" s="527"/>
      <c r="C2273" s="465"/>
      <c r="D2273" s="464"/>
      <c r="E2273" s="464"/>
      <c r="F2273" s="503" t="s">
        <v>240</v>
      </c>
      <c r="G2273" s="504" t="s">
        <v>241</v>
      </c>
      <c r="H2273" s="397"/>
      <c r="I2273" s="397"/>
      <c r="J2273" s="750" t="e">
        <f t="shared" si="20"/>
        <v>#DIV/0!</v>
      </c>
      <c r="K2273" s="398"/>
      <c r="L2273" s="404"/>
      <c r="M2273" s="682"/>
      <c r="N2273" s="171"/>
      <c r="O2273" s="171"/>
      <c r="P2273" s="169"/>
      <c r="Q2273" s="171"/>
      <c r="R2273" s="171"/>
      <c r="S2273" s="171"/>
      <c r="T2273" s="171"/>
      <c r="U2273" s="171"/>
      <c r="V2273" s="171"/>
      <c r="W2273" s="171"/>
      <c r="X2273" s="171"/>
      <c r="Y2273" s="171"/>
      <c r="Z2273" s="171"/>
      <c r="AA2273" s="171"/>
    </row>
    <row r="2274" spans="1:27" s="530" customFormat="1" hidden="1" x14ac:dyDescent="0.2">
      <c r="A2274" s="526"/>
      <c r="B2274" s="527"/>
      <c r="C2274" s="465"/>
      <c r="D2274" s="464"/>
      <c r="E2274" s="464"/>
      <c r="F2274" s="503" t="s">
        <v>242</v>
      </c>
      <c r="G2274" s="504" t="s">
        <v>243</v>
      </c>
      <c r="H2274" s="397"/>
      <c r="I2274" s="397"/>
      <c r="J2274" s="750" t="e">
        <f t="shared" si="20"/>
        <v>#DIV/0!</v>
      </c>
      <c r="K2274" s="398"/>
      <c r="L2274" s="404"/>
      <c r="M2274" s="682"/>
      <c r="N2274" s="171"/>
      <c r="O2274" s="171"/>
      <c r="P2274" s="169"/>
      <c r="Q2274" s="171"/>
      <c r="R2274" s="171"/>
      <c r="S2274" s="171"/>
      <c r="T2274" s="171"/>
      <c r="U2274" s="171"/>
      <c r="V2274" s="171"/>
      <c r="W2274" s="171"/>
      <c r="X2274" s="171"/>
      <c r="Y2274" s="171"/>
      <c r="Z2274" s="171"/>
      <c r="AA2274" s="171"/>
    </row>
    <row r="2275" spans="1:27" s="530" customFormat="1" hidden="1" x14ac:dyDescent="0.2">
      <c r="A2275" s="526"/>
      <c r="B2275" s="527"/>
      <c r="C2275" s="465"/>
      <c r="D2275" s="464"/>
      <c r="E2275" s="464"/>
      <c r="F2275" s="503" t="s">
        <v>244</v>
      </c>
      <c r="G2275" s="504" t="s">
        <v>245</v>
      </c>
      <c r="H2275" s="397"/>
      <c r="I2275" s="397"/>
      <c r="J2275" s="750" t="e">
        <f t="shared" si="20"/>
        <v>#DIV/0!</v>
      </c>
      <c r="K2275" s="398"/>
      <c r="L2275" s="404"/>
      <c r="M2275" s="682"/>
      <c r="N2275" s="171"/>
      <c r="O2275" s="171"/>
      <c r="P2275" s="169"/>
      <c r="Q2275" s="171"/>
      <c r="R2275" s="171"/>
      <c r="S2275" s="171"/>
      <c r="T2275" s="171"/>
      <c r="U2275" s="171"/>
      <c r="V2275" s="171"/>
      <c r="W2275" s="171"/>
      <c r="X2275" s="171"/>
      <c r="Y2275" s="171"/>
      <c r="Z2275" s="171"/>
      <c r="AA2275" s="171"/>
    </row>
    <row r="2276" spans="1:27" s="530" customFormat="1" hidden="1" x14ac:dyDescent="0.2">
      <c r="A2276" s="526"/>
      <c r="B2276" s="527"/>
      <c r="C2276" s="465"/>
      <c r="D2276" s="464"/>
      <c r="E2276" s="464"/>
      <c r="F2276" s="503" t="s">
        <v>246</v>
      </c>
      <c r="G2276" s="504" t="s">
        <v>247</v>
      </c>
      <c r="H2276" s="397"/>
      <c r="I2276" s="397"/>
      <c r="J2276" s="750" t="e">
        <f t="shared" si="20"/>
        <v>#DIV/0!</v>
      </c>
      <c r="K2276" s="398"/>
      <c r="L2276" s="404"/>
      <c r="M2276" s="682"/>
      <c r="N2276" s="171"/>
      <c r="O2276" s="171"/>
      <c r="P2276" s="169"/>
      <c r="Q2276" s="171"/>
      <c r="R2276" s="171"/>
      <c r="S2276" s="171"/>
      <c r="T2276" s="171"/>
      <c r="U2276" s="171"/>
      <c r="V2276" s="171"/>
      <c r="W2276" s="171"/>
      <c r="X2276" s="171"/>
      <c r="Y2276" s="171"/>
      <c r="Z2276" s="171"/>
      <c r="AA2276" s="171"/>
    </row>
    <row r="2277" spans="1:27" s="530" customFormat="1" ht="25.5" hidden="1" x14ac:dyDescent="0.2">
      <c r="A2277" s="526"/>
      <c r="B2277" s="527"/>
      <c r="C2277" s="465"/>
      <c r="D2277" s="464"/>
      <c r="E2277" s="464"/>
      <c r="F2277" s="503" t="s">
        <v>248</v>
      </c>
      <c r="G2277" s="504" t="s">
        <v>249</v>
      </c>
      <c r="H2277" s="397"/>
      <c r="I2277" s="397"/>
      <c r="J2277" s="750" t="e">
        <f t="shared" si="20"/>
        <v>#DIV/0!</v>
      </c>
      <c r="K2277" s="398"/>
      <c r="L2277" s="404"/>
      <c r="M2277" s="682"/>
      <c r="N2277" s="171"/>
      <c r="O2277" s="171"/>
      <c r="P2277" s="169"/>
      <c r="Q2277" s="171"/>
      <c r="R2277" s="171"/>
      <c r="S2277" s="171"/>
      <c r="T2277" s="171"/>
      <c r="U2277" s="171"/>
      <c r="V2277" s="171"/>
      <c r="W2277" s="171"/>
      <c r="X2277" s="171"/>
      <c r="Y2277" s="171"/>
      <c r="Z2277" s="171"/>
      <c r="AA2277" s="171"/>
    </row>
    <row r="2278" spans="1:27" s="530" customFormat="1" hidden="1" x14ac:dyDescent="0.2">
      <c r="A2278" s="526"/>
      <c r="B2278" s="527"/>
      <c r="C2278" s="465"/>
      <c r="D2278" s="464"/>
      <c r="E2278" s="464"/>
      <c r="F2278" s="503" t="s">
        <v>250</v>
      </c>
      <c r="G2278" s="504" t="s">
        <v>57</v>
      </c>
      <c r="H2278" s="397"/>
      <c r="I2278" s="397"/>
      <c r="J2278" s="750" t="e">
        <f t="shared" si="20"/>
        <v>#DIV/0!</v>
      </c>
      <c r="K2278" s="398"/>
      <c r="L2278" s="404"/>
      <c r="M2278" s="682"/>
      <c r="N2278" s="171"/>
      <c r="O2278" s="171"/>
      <c r="P2278" s="169"/>
      <c r="Q2278" s="171"/>
      <c r="R2278" s="171"/>
      <c r="S2278" s="171"/>
      <c r="T2278" s="171"/>
      <c r="U2278" s="171"/>
      <c r="V2278" s="171"/>
      <c r="W2278" s="171"/>
      <c r="X2278" s="171"/>
      <c r="Y2278" s="171"/>
      <c r="Z2278" s="171"/>
      <c r="AA2278" s="171"/>
    </row>
    <row r="2279" spans="1:27" s="530" customFormat="1" hidden="1" x14ac:dyDescent="0.2">
      <c r="A2279" s="526"/>
      <c r="B2279" s="527"/>
      <c r="C2279" s="465"/>
      <c r="D2279" s="464"/>
      <c r="E2279" s="464"/>
      <c r="F2279" s="503" t="s">
        <v>251</v>
      </c>
      <c r="G2279" s="504" t="s">
        <v>252</v>
      </c>
      <c r="H2279" s="397"/>
      <c r="I2279" s="397"/>
      <c r="J2279" s="750" t="e">
        <f t="shared" si="20"/>
        <v>#DIV/0!</v>
      </c>
      <c r="K2279" s="398"/>
      <c r="L2279" s="404"/>
      <c r="M2279" s="682"/>
      <c r="N2279" s="171"/>
      <c r="O2279" s="171"/>
      <c r="P2279" s="169"/>
      <c r="Q2279" s="171"/>
      <c r="R2279" s="171"/>
      <c r="S2279" s="171"/>
      <c r="T2279" s="171"/>
      <c r="U2279" s="171"/>
      <c r="V2279" s="171"/>
      <c r="W2279" s="171"/>
      <c r="X2279" s="171"/>
      <c r="Y2279" s="171"/>
      <c r="Z2279" s="171"/>
      <c r="AA2279" s="171"/>
    </row>
    <row r="2280" spans="1:27" s="530" customFormat="1" hidden="1" x14ac:dyDescent="0.2">
      <c r="A2280" s="526"/>
      <c r="B2280" s="527"/>
      <c r="C2280" s="465"/>
      <c r="D2280" s="464"/>
      <c r="E2280" s="464"/>
      <c r="F2280" s="503" t="s">
        <v>253</v>
      </c>
      <c r="G2280" s="504" t="s">
        <v>254</v>
      </c>
      <c r="H2280" s="397"/>
      <c r="I2280" s="397"/>
      <c r="J2280" s="750" t="e">
        <f t="shared" si="20"/>
        <v>#DIV/0!</v>
      </c>
      <c r="K2280" s="398"/>
      <c r="L2280" s="404"/>
      <c r="M2280" s="682"/>
      <c r="N2280" s="171"/>
      <c r="O2280" s="171"/>
      <c r="P2280" s="169"/>
      <c r="Q2280" s="171"/>
      <c r="R2280" s="171"/>
      <c r="S2280" s="171"/>
      <c r="T2280" s="171"/>
      <c r="U2280" s="171"/>
      <c r="V2280" s="171"/>
      <c r="W2280" s="171"/>
      <c r="X2280" s="171"/>
      <c r="Y2280" s="171"/>
      <c r="Z2280" s="171"/>
      <c r="AA2280" s="171"/>
    </row>
    <row r="2281" spans="1:27" s="530" customFormat="1" ht="25.5" hidden="1" x14ac:dyDescent="0.2">
      <c r="A2281" s="526"/>
      <c r="B2281" s="527"/>
      <c r="C2281" s="465"/>
      <c r="D2281" s="464"/>
      <c r="E2281" s="464"/>
      <c r="F2281" s="503" t="s">
        <v>255</v>
      </c>
      <c r="G2281" s="504" t="s">
        <v>256</v>
      </c>
      <c r="H2281" s="397"/>
      <c r="I2281" s="397"/>
      <c r="J2281" s="750" t="e">
        <f t="shared" si="20"/>
        <v>#DIV/0!</v>
      </c>
      <c r="K2281" s="398"/>
      <c r="L2281" s="404"/>
      <c r="M2281" s="682"/>
      <c r="N2281" s="171"/>
      <c r="O2281" s="171"/>
      <c r="P2281" s="169"/>
      <c r="Q2281" s="171"/>
      <c r="R2281" s="171"/>
      <c r="S2281" s="171"/>
      <c r="T2281" s="171"/>
      <c r="U2281" s="171"/>
      <c r="V2281" s="171"/>
      <c r="W2281" s="171"/>
      <c r="X2281" s="171"/>
      <c r="Y2281" s="171"/>
      <c r="Z2281" s="171"/>
      <c r="AA2281" s="171"/>
    </row>
    <row r="2282" spans="1:27" s="530" customFormat="1" ht="25.5" hidden="1" x14ac:dyDescent="0.2">
      <c r="A2282" s="526"/>
      <c r="B2282" s="527"/>
      <c r="C2282" s="465"/>
      <c r="D2282" s="464"/>
      <c r="E2282" s="464"/>
      <c r="F2282" s="503" t="s">
        <v>257</v>
      </c>
      <c r="G2282" s="504" t="s">
        <v>258</v>
      </c>
      <c r="H2282" s="397"/>
      <c r="I2282" s="397"/>
      <c r="J2282" s="750" t="e">
        <f t="shared" si="20"/>
        <v>#DIV/0!</v>
      </c>
      <c r="K2282" s="398"/>
      <c r="L2282" s="404"/>
      <c r="M2282" s="682"/>
      <c r="N2282" s="171"/>
      <c r="O2282" s="171"/>
      <c r="P2282" s="169"/>
      <c r="Q2282" s="171"/>
      <c r="R2282" s="171"/>
      <c r="S2282" s="171"/>
      <c r="T2282" s="171"/>
      <c r="U2282" s="171"/>
      <c r="V2282" s="171"/>
      <c r="W2282" s="171"/>
      <c r="X2282" s="171"/>
      <c r="Y2282" s="171"/>
      <c r="Z2282" s="171"/>
      <c r="AA2282" s="171"/>
    </row>
    <row r="2283" spans="1:27" s="530" customFormat="1" ht="25.5" hidden="1" x14ac:dyDescent="0.2">
      <c r="A2283" s="526"/>
      <c r="B2283" s="527"/>
      <c r="C2283" s="465"/>
      <c r="D2283" s="464"/>
      <c r="E2283" s="464"/>
      <c r="F2283" s="503" t="s">
        <v>259</v>
      </c>
      <c r="G2283" s="504" t="s">
        <v>260</v>
      </c>
      <c r="H2283" s="397"/>
      <c r="I2283" s="397"/>
      <c r="J2283" s="750" t="e">
        <f t="shared" si="20"/>
        <v>#DIV/0!</v>
      </c>
      <c r="K2283" s="398"/>
      <c r="L2283" s="404"/>
      <c r="M2283" s="682"/>
      <c r="N2283" s="171"/>
      <c r="O2283" s="171"/>
      <c r="P2283" s="169"/>
      <c r="Q2283" s="171"/>
      <c r="R2283" s="171"/>
      <c r="S2283" s="171"/>
      <c r="T2283" s="171"/>
      <c r="U2283" s="171"/>
      <c r="V2283" s="171"/>
      <c r="W2283" s="171"/>
      <c r="X2283" s="171"/>
      <c r="Y2283" s="171"/>
      <c r="Z2283" s="171"/>
      <c r="AA2283" s="171"/>
    </row>
    <row r="2284" spans="1:27" s="530" customFormat="1" ht="25.5" hidden="1" x14ac:dyDescent="0.2">
      <c r="A2284" s="526"/>
      <c r="B2284" s="527"/>
      <c r="C2284" s="465"/>
      <c r="D2284" s="464"/>
      <c r="E2284" s="464"/>
      <c r="F2284" s="503" t="s">
        <v>261</v>
      </c>
      <c r="G2284" s="504" t="s">
        <v>262</v>
      </c>
      <c r="H2284" s="397"/>
      <c r="I2284" s="397"/>
      <c r="J2284" s="750" t="e">
        <f t="shared" si="20"/>
        <v>#DIV/0!</v>
      </c>
      <c r="K2284" s="398"/>
      <c r="L2284" s="404"/>
      <c r="M2284" s="682"/>
      <c r="N2284" s="171"/>
      <c r="O2284" s="171"/>
      <c r="P2284" s="169"/>
      <c r="Q2284" s="171"/>
      <c r="R2284" s="171"/>
      <c r="S2284" s="171"/>
      <c r="T2284" s="171"/>
      <c r="U2284" s="171"/>
      <c r="V2284" s="171"/>
      <c r="W2284" s="171"/>
      <c r="X2284" s="171"/>
      <c r="Y2284" s="171"/>
      <c r="Z2284" s="171"/>
      <c r="AA2284" s="171"/>
    </row>
    <row r="2285" spans="1:27" s="530" customFormat="1" hidden="1" x14ac:dyDescent="0.2">
      <c r="A2285" s="526"/>
      <c r="B2285" s="527"/>
      <c r="C2285" s="465"/>
      <c r="D2285" s="464"/>
      <c r="E2285" s="464"/>
      <c r="F2285" s="503" t="s">
        <v>263</v>
      </c>
      <c r="G2285" s="504" t="s">
        <v>264</v>
      </c>
      <c r="H2285" s="403"/>
      <c r="I2285" s="403"/>
      <c r="J2285" s="750" t="e">
        <f t="shared" si="20"/>
        <v>#DIV/0!</v>
      </c>
      <c r="K2285" s="404"/>
      <c r="L2285" s="404"/>
      <c r="M2285" s="682"/>
      <c r="N2285" s="171"/>
      <c r="O2285" s="171"/>
      <c r="P2285" s="169"/>
      <c r="Q2285" s="171"/>
      <c r="R2285" s="171"/>
      <c r="S2285" s="171"/>
      <c r="T2285" s="171"/>
      <c r="U2285" s="171"/>
      <c r="V2285" s="171"/>
      <c r="W2285" s="171"/>
      <c r="X2285" s="171"/>
      <c r="Y2285" s="171"/>
      <c r="Z2285" s="171"/>
      <c r="AA2285" s="171"/>
    </row>
    <row r="2286" spans="1:27" s="530" customFormat="1" ht="13.5" hidden="1" thickBot="1" x14ac:dyDescent="0.25">
      <c r="A2286" s="526"/>
      <c r="B2286" s="527"/>
      <c r="C2286" s="465"/>
      <c r="D2286" s="464"/>
      <c r="E2286" s="464"/>
      <c r="F2286" s="464"/>
      <c r="G2286" s="505" t="s">
        <v>4222</v>
      </c>
      <c r="H2286" s="405">
        <f>SUM(H2270:H2285)</f>
        <v>0</v>
      </c>
      <c r="I2286" s="405"/>
      <c r="J2286" s="750" t="e">
        <f t="shared" si="20"/>
        <v>#DIV/0!</v>
      </c>
      <c r="K2286" s="406">
        <f>SUM(K2271:K2285)</f>
        <v>0</v>
      </c>
      <c r="L2286" s="406"/>
      <c r="M2286" s="682"/>
      <c r="N2286" s="171"/>
      <c r="O2286" s="171"/>
      <c r="P2286" s="169"/>
      <c r="Q2286" s="171"/>
      <c r="R2286" s="171"/>
      <c r="S2286" s="171"/>
      <c r="T2286" s="171"/>
      <c r="U2286" s="171"/>
      <c r="V2286" s="171"/>
      <c r="W2286" s="171"/>
      <c r="X2286" s="171"/>
      <c r="Y2286" s="171"/>
      <c r="Z2286" s="171"/>
      <c r="AA2286" s="171"/>
    </row>
    <row r="2287" spans="1:27" s="530" customFormat="1" ht="12.75" hidden="1" customHeight="1" x14ac:dyDescent="0.2">
      <c r="A2287" s="526"/>
      <c r="B2287" s="527"/>
      <c r="C2287" s="465"/>
      <c r="D2287" s="464"/>
      <c r="E2287" s="464"/>
      <c r="F2287" s="464"/>
      <c r="G2287" s="507"/>
      <c r="H2287" s="397"/>
      <c r="I2287" s="397"/>
      <c r="J2287" s="750" t="e">
        <f t="shared" si="20"/>
        <v>#DIV/0!</v>
      </c>
      <c r="K2287" s="398"/>
      <c r="L2287" s="398"/>
      <c r="M2287" s="682"/>
      <c r="N2287" s="171"/>
      <c r="O2287" s="171"/>
      <c r="P2287" s="169"/>
      <c r="Q2287" s="171"/>
      <c r="R2287" s="171"/>
      <c r="S2287" s="171"/>
      <c r="T2287" s="171"/>
      <c r="U2287" s="171"/>
      <c r="V2287" s="171"/>
      <c r="W2287" s="171"/>
      <c r="X2287" s="171"/>
      <c r="Y2287" s="171"/>
      <c r="Z2287" s="171"/>
      <c r="AA2287" s="171"/>
    </row>
    <row r="2288" spans="1:27" s="530" customFormat="1" x14ac:dyDescent="0.2">
      <c r="A2288" s="526"/>
      <c r="B2288" s="527"/>
      <c r="C2288" s="542" t="s">
        <v>4149</v>
      </c>
      <c r="D2288" s="490"/>
      <c r="E2288" s="490"/>
      <c r="F2288" s="490"/>
      <c r="G2288" s="550" t="s">
        <v>4223</v>
      </c>
      <c r="H2288" s="397"/>
      <c r="I2288" s="397"/>
      <c r="J2288" s="750"/>
      <c r="K2288" s="398"/>
      <c r="L2288" s="398"/>
      <c r="M2288" s="682"/>
      <c r="N2288" s="171"/>
      <c r="O2288" s="171"/>
      <c r="P2288" s="169"/>
      <c r="Q2288" s="171"/>
      <c r="R2288" s="171"/>
      <c r="S2288" s="171"/>
      <c r="T2288" s="171"/>
      <c r="U2288" s="171"/>
      <c r="V2288" s="171"/>
      <c r="W2288" s="171"/>
      <c r="X2288" s="171"/>
      <c r="Y2288" s="171"/>
      <c r="Z2288" s="171"/>
      <c r="AA2288" s="171"/>
    </row>
    <row r="2289" spans="1:27" s="530" customFormat="1" ht="13.5" customHeight="1" x14ac:dyDescent="0.2">
      <c r="A2289" s="526"/>
      <c r="B2289" s="527"/>
      <c r="C2289" s="241"/>
      <c r="D2289" s="555">
        <v>112</v>
      </c>
      <c r="E2289" s="556"/>
      <c r="F2289" s="556"/>
      <c r="G2289" s="493" t="s">
        <v>107</v>
      </c>
      <c r="H2289" s="397"/>
      <c r="I2289" s="397"/>
      <c r="J2289" s="750"/>
      <c r="K2289" s="398"/>
      <c r="L2289" s="398"/>
      <c r="M2289" s="682"/>
      <c r="N2289" s="171"/>
      <c r="O2289" s="171"/>
      <c r="P2289" s="169"/>
      <c r="Q2289" s="171"/>
      <c r="R2289" s="171"/>
      <c r="S2289" s="171"/>
      <c r="T2289" s="171"/>
      <c r="U2289" s="171"/>
      <c r="V2289" s="171"/>
      <c r="W2289" s="171"/>
      <c r="X2289" s="171"/>
      <c r="Y2289" s="171"/>
      <c r="Z2289" s="171"/>
      <c r="AA2289" s="171"/>
    </row>
    <row r="2290" spans="1:27" s="530" customFormat="1" x14ac:dyDescent="0.2">
      <c r="A2290" s="526"/>
      <c r="B2290" s="527"/>
      <c r="C2290" s="465"/>
      <c r="D2290" s="464"/>
      <c r="E2290" s="464">
        <v>36</v>
      </c>
      <c r="F2290" s="494">
        <v>49911</v>
      </c>
      <c r="G2290" s="495" t="s">
        <v>3823</v>
      </c>
      <c r="H2290" s="397">
        <v>420047</v>
      </c>
      <c r="I2290" s="397"/>
      <c r="J2290" s="750">
        <f t="shared" si="20"/>
        <v>0</v>
      </c>
      <c r="K2290" s="398"/>
      <c r="L2290" s="398"/>
      <c r="M2290" s="682"/>
      <c r="N2290" s="171"/>
      <c r="O2290" s="171"/>
      <c r="P2290" s="169"/>
      <c r="Q2290" s="171"/>
      <c r="R2290" s="171"/>
      <c r="S2290" s="171"/>
      <c r="T2290" s="171"/>
      <c r="U2290" s="171"/>
      <c r="V2290" s="171"/>
      <c r="W2290" s="171"/>
      <c r="X2290" s="171"/>
      <c r="Y2290" s="171"/>
      <c r="Z2290" s="171"/>
      <c r="AA2290" s="171"/>
    </row>
    <row r="2291" spans="1:27" s="530" customFormat="1" ht="15" customHeight="1" thickBot="1" x14ac:dyDescent="0.25">
      <c r="A2291" s="526"/>
      <c r="B2291" s="527"/>
      <c r="C2291" s="465"/>
      <c r="D2291" s="464"/>
      <c r="E2291" s="464">
        <v>37</v>
      </c>
      <c r="F2291" s="464">
        <v>49912</v>
      </c>
      <c r="G2291" s="507" t="s">
        <v>3825</v>
      </c>
      <c r="H2291" s="397">
        <v>417200</v>
      </c>
      <c r="I2291" s="397"/>
      <c r="J2291" s="750">
        <f t="shared" si="20"/>
        <v>0</v>
      </c>
      <c r="K2291" s="398"/>
      <c r="L2291" s="398"/>
      <c r="M2291" s="682"/>
      <c r="N2291" s="171"/>
      <c r="O2291" s="171"/>
      <c r="P2291" s="169"/>
      <c r="Q2291" s="171"/>
      <c r="R2291" s="171"/>
      <c r="S2291" s="171"/>
      <c r="T2291" s="171"/>
      <c r="U2291" s="171"/>
      <c r="V2291" s="171"/>
      <c r="W2291" s="171"/>
      <c r="X2291" s="171"/>
      <c r="Y2291" s="171"/>
      <c r="Z2291" s="171"/>
      <c r="AA2291" s="171"/>
    </row>
    <row r="2292" spans="1:27" s="530" customFormat="1" x14ac:dyDescent="0.2">
      <c r="A2292" s="526"/>
      <c r="B2292" s="527"/>
      <c r="C2292" s="465"/>
      <c r="D2292" s="464"/>
      <c r="E2292" s="500"/>
      <c r="F2292" s="498"/>
      <c r="G2292" s="501" t="s">
        <v>4385</v>
      </c>
      <c r="H2292" s="400"/>
      <c r="I2292" s="400"/>
      <c r="J2292" s="750"/>
      <c r="K2292" s="401"/>
      <c r="L2292" s="402"/>
      <c r="M2292" s="682"/>
      <c r="N2292" s="171"/>
      <c r="O2292" s="171"/>
      <c r="P2292" s="169"/>
      <c r="Q2292" s="171"/>
      <c r="R2292" s="171"/>
      <c r="S2292" s="171"/>
      <c r="T2292" s="171"/>
      <c r="U2292" s="171"/>
      <c r="V2292" s="171"/>
      <c r="W2292" s="171"/>
      <c r="X2292" s="171"/>
      <c r="Y2292" s="171"/>
      <c r="Z2292" s="171"/>
      <c r="AA2292" s="171"/>
    </row>
    <row r="2293" spans="1:27" s="530" customFormat="1" ht="13.5" customHeight="1" thickBot="1" x14ac:dyDescent="0.25">
      <c r="A2293" s="526"/>
      <c r="B2293" s="527"/>
      <c r="C2293" s="465"/>
      <c r="D2293" s="464"/>
      <c r="E2293" s="502"/>
      <c r="F2293" s="503" t="s">
        <v>234</v>
      </c>
      <c r="G2293" s="504" t="s">
        <v>235</v>
      </c>
      <c r="H2293" s="403">
        <f>SUM(H2290:H2291)</f>
        <v>837247</v>
      </c>
      <c r="I2293" s="403"/>
      <c r="J2293" s="750">
        <f t="shared" si="20"/>
        <v>0</v>
      </c>
      <c r="K2293" s="404"/>
      <c r="L2293" s="404"/>
      <c r="M2293" s="682"/>
      <c r="N2293" s="171"/>
      <c r="O2293" s="171"/>
      <c r="P2293" s="169"/>
      <c r="Q2293" s="171"/>
      <c r="R2293" s="171"/>
      <c r="S2293" s="171"/>
      <c r="T2293" s="171"/>
      <c r="U2293" s="171"/>
      <c r="V2293" s="171"/>
      <c r="W2293" s="171"/>
      <c r="X2293" s="171"/>
      <c r="Y2293" s="171"/>
      <c r="Z2293" s="171"/>
      <c r="AA2293" s="171"/>
    </row>
    <row r="2294" spans="1:27" s="530" customFormat="1" ht="13.5" hidden="1" thickBot="1" x14ac:dyDescent="0.25">
      <c r="A2294" s="526"/>
      <c r="B2294" s="527"/>
      <c r="C2294" s="465"/>
      <c r="D2294" s="464"/>
      <c r="E2294" s="464"/>
      <c r="F2294" s="503" t="s">
        <v>236</v>
      </c>
      <c r="G2294" s="504" t="s">
        <v>237</v>
      </c>
      <c r="H2294" s="397"/>
      <c r="I2294" s="397"/>
      <c r="J2294" s="750" t="e">
        <f t="shared" si="20"/>
        <v>#DIV/0!</v>
      </c>
      <c r="K2294" s="398"/>
      <c r="L2294" s="404"/>
      <c r="M2294" s="682"/>
      <c r="N2294" s="171"/>
      <c r="O2294" s="171"/>
      <c r="P2294" s="169"/>
      <c r="Q2294" s="171"/>
      <c r="R2294" s="171"/>
      <c r="S2294" s="171"/>
      <c r="T2294" s="171"/>
      <c r="U2294" s="171"/>
      <c r="V2294" s="171"/>
      <c r="W2294" s="171"/>
      <c r="X2294" s="171"/>
      <c r="Y2294" s="171"/>
      <c r="Z2294" s="171"/>
      <c r="AA2294" s="171"/>
    </row>
    <row r="2295" spans="1:27" s="530" customFormat="1" ht="13.5" hidden="1" thickBot="1" x14ac:dyDescent="0.25">
      <c r="A2295" s="526"/>
      <c r="B2295" s="527"/>
      <c r="C2295" s="465"/>
      <c r="D2295" s="464"/>
      <c r="E2295" s="464"/>
      <c r="F2295" s="503" t="s">
        <v>238</v>
      </c>
      <c r="G2295" s="504" t="s">
        <v>239</v>
      </c>
      <c r="H2295" s="397"/>
      <c r="I2295" s="397"/>
      <c r="J2295" s="750" t="e">
        <f t="shared" si="20"/>
        <v>#DIV/0!</v>
      </c>
      <c r="K2295" s="398"/>
      <c r="L2295" s="404"/>
      <c r="M2295" s="682"/>
      <c r="N2295" s="171"/>
      <c r="O2295" s="171"/>
      <c r="P2295" s="169"/>
      <c r="Q2295" s="171"/>
      <c r="R2295" s="171"/>
      <c r="S2295" s="171"/>
      <c r="T2295" s="171"/>
      <c r="U2295" s="171"/>
      <c r="V2295" s="171"/>
      <c r="W2295" s="171"/>
      <c r="X2295" s="171"/>
      <c r="Y2295" s="171"/>
      <c r="Z2295" s="171"/>
      <c r="AA2295" s="171"/>
    </row>
    <row r="2296" spans="1:27" s="530" customFormat="1" ht="13.5" hidden="1" thickBot="1" x14ac:dyDescent="0.25">
      <c r="A2296" s="526"/>
      <c r="B2296" s="527"/>
      <c r="C2296" s="465"/>
      <c r="D2296" s="464"/>
      <c r="E2296" s="464"/>
      <c r="F2296" s="503" t="s">
        <v>240</v>
      </c>
      <c r="G2296" s="504" t="s">
        <v>241</v>
      </c>
      <c r="H2296" s="397"/>
      <c r="I2296" s="397"/>
      <c r="J2296" s="750" t="e">
        <f t="shared" si="20"/>
        <v>#DIV/0!</v>
      </c>
      <c r="K2296" s="398"/>
      <c r="L2296" s="404"/>
      <c r="M2296" s="682"/>
      <c r="N2296" s="171"/>
      <c r="O2296" s="171"/>
      <c r="P2296" s="169"/>
      <c r="Q2296" s="171"/>
      <c r="R2296" s="171"/>
      <c r="S2296" s="171"/>
      <c r="T2296" s="171"/>
      <c r="U2296" s="171"/>
      <c r="V2296" s="171"/>
      <c r="W2296" s="171"/>
      <c r="X2296" s="171"/>
      <c r="Y2296" s="171"/>
      <c r="Z2296" s="171"/>
      <c r="AA2296" s="171"/>
    </row>
    <row r="2297" spans="1:27" s="530" customFormat="1" ht="13.5" hidden="1" thickBot="1" x14ac:dyDescent="0.25">
      <c r="A2297" s="526"/>
      <c r="B2297" s="527"/>
      <c r="C2297" s="465"/>
      <c r="D2297" s="464"/>
      <c r="E2297" s="464"/>
      <c r="F2297" s="503" t="s">
        <v>242</v>
      </c>
      <c r="G2297" s="504" t="s">
        <v>243</v>
      </c>
      <c r="H2297" s="397"/>
      <c r="I2297" s="397"/>
      <c r="J2297" s="750" t="e">
        <f t="shared" si="20"/>
        <v>#DIV/0!</v>
      </c>
      <c r="K2297" s="398"/>
      <c r="L2297" s="404"/>
      <c r="M2297" s="682"/>
      <c r="N2297" s="171"/>
      <c r="O2297" s="171"/>
      <c r="P2297" s="169"/>
      <c r="Q2297" s="171"/>
      <c r="R2297" s="171"/>
      <c r="S2297" s="171"/>
      <c r="T2297" s="171"/>
      <c r="U2297" s="171"/>
      <c r="V2297" s="171"/>
      <c r="W2297" s="171"/>
      <c r="X2297" s="171"/>
      <c r="Y2297" s="171"/>
      <c r="Z2297" s="171"/>
      <c r="AA2297" s="171"/>
    </row>
    <row r="2298" spans="1:27" s="530" customFormat="1" ht="13.5" hidden="1" thickBot="1" x14ac:dyDescent="0.25">
      <c r="A2298" s="526"/>
      <c r="B2298" s="527"/>
      <c r="C2298" s="465"/>
      <c r="D2298" s="464"/>
      <c r="E2298" s="464"/>
      <c r="F2298" s="503" t="s">
        <v>244</v>
      </c>
      <c r="G2298" s="504" t="s">
        <v>245</v>
      </c>
      <c r="H2298" s="397"/>
      <c r="I2298" s="397"/>
      <c r="J2298" s="750" t="e">
        <f t="shared" si="20"/>
        <v>#DIV/0!</v>
      </c>
      <c r="K2298" s="398"/>
      <c r="L2298" s="404"/>
      <c r="M2298" s="682"/>
      <c r="N2298" s="171"/>
      <c r="O2298" s="171"/>
      <c r="P2298" s="169"/>
      <c r="Q2298" s="171"/>
      <c r="R2298" s="171"/>
      <c r="S2298" s="171"/>
      <c r="T2298" s="171"/>
      <c r="U2298" s="171"/>
      <c r="V2298" s="171"/>
      <c r="W2298" s="171"/>
      <c r="X2298" s="171"/>
      <c r="Y2298" s="171"/>
      <c r="Z2298" s="171"/>
      <c r="AA2298" s="171"/>
    </row>
    <row r="2299" spans="1:27" s="530" customFormat="1" ht="13.5" hidden="1" thickBot="1" x14ac:dyDescent="0.25">
      <c r="A2299" s="526"/>
      <c r="B2299" s="527"/>
      <c r="C2299" s="465"/>
      <c r="D2299" s="464"/>
      <c r="E2299" s="464"/>
      <c r="F2299" s="503" t="s">
        <v>246</v>
      </c>
      <c r="G2299" s="504" t="s">
        <v>247</v>
      </c>
      <c r="H2299" s="397"/>
      <c r="I2299" s="397"/>
      <c r="J2299" s="750" t="e">
        <f t="shared" si="20"/>
        <v>#DIV/0!</v>
      </c>
      <c r="K2299" s="398"/>
      <c r="L2299" s="404"/>
      <c r="M2299" s="682"/>
      <c r="N2299" s="171"/>
      <c r="O2299" s="171"/>
      <c r="P2299" s="169"/>
      <c r="Q2299" s="171"/>
      <c r="R2299" s="171"/>
      <c r="S2299" s="171"/>
      <c r="T2299" s="171"/>
      <c r="U2299" s="171"/>
      <c r="V2299" s="171"/>
      <c r="W2299" s="171"/>
      <c r="X2299" s="171"/>
      <c r="Y2299" s="171"/>
      <c r="Z2299" s="171"/>
      <c r="AA2299" s="171"/>
    </row>
    <row r="2300" spans="1:27" s="530" customFormat="1" ht="26.25" hidden="1" thickBot="1" x14ac:dyDescent="0.25">
      <c r="A2300" s="526"/>
      <c r="B2300" s="527"/>
      <c r="C2300" s="465"/>
      <c r="D2300" s="464"/>
      <c r="E2300" s="464"/>
      <c r="F2300" s="503" t="s">
        <v>248</v>
      </c>
      <c r="G2300" s="504" t="s">
        <v>249</v>
      </c>
      <c r="H2300" s="397"/>
      <c r="I2300" s="397"/>
      <c r="J2300" s="750" t="e">
        <f t="shared" si="20"/>
        <v>#DIV/0!</v>
      </c>
      <c r="K2300" s="398"/>
      <c r="L2300" s="404"/>
      <c r="M2300" s="682"/>
      <c r="N2300" s="171"/>
      <c r="O2300" s="171"/>
      <c r="P2300" s="169"/>
      <c r="Q2300" s="171"/>
      <c r="R2300" s="171"/>
      <c r="S2300" s="171"/>
      <c r="T2300" s="171"/>
      <c r="U2300" s="171"/>
      <c r="V2300" s="171"/>
      <c r="W2300" s="171"/>
      <c r="X2300" s="171"/>
      <c r="Y2300" s="171"/>
      <c r="Z2300" s="171"/>
      <c r="AA2300" s="171"/>
    </row>
    <row r="2301" spans="1:27" s="530" customFormat="1" ht="13.5" hidden="1" thickBot="1" x14ac:dyDescent="0.25">
      <c r="A2301" s="526"/>
      <c r="B2301" s="527"/>
      <c r="C2301" s="465"/>
      <c r="D2301" s="464"/>
      <c r="E2301" s="464"/>
      <c r="F2301" s="503" t="s">
        <v>250</v>
      </c>
      <c r="G2301" s="504" t="s">
        <v>57</v>
      </c>
      <c r="H2301" s="397"/>
      <c r="I2301" s="397"/>
      <c r="J2301" s="750" t="e">
        <f t="shared" si="20"/>
        <v>#DIV/0!</v>
      </c>
      <c r="K2301" s="398"/>
      <c r="L2301" s="404"/>
      <c r="M2301" s="682"/>
      <c r="N2301" s="171"/>
      <c r="O2301" s="171"/>
      <c r="P2301" s="169"/>
      <c r="Q2301" s="171"/>
      <c r="R2301" s="171"/>
      <c r="S2301" s="171"/>
      <c r="T2301" s="171"/>
      <c r="U2301" s="171"/>
      <c r="V2301" s="171"/>
      <c r="W2301" s="171"/>
      <c r="X2301" s="171"/>
      <c r="Y2301" s="171"/>
      <c r="Z2301" s="171"/>
      <c r="AA2301" s="171"/>
    </row>
    <row r="2302" spans="1:27" s="530" customFormat="1" ht="13.5" hidden="1" thickBot="1" x14ac:dyDescent="0.25">
      <c r="A2302" s="526"/>
      <c r="B2302" s="527"/>
      <c r="C2302" s="465"/>
      <c r="D2302" s="464"/>
      <c r="E2302" s="464"/>
      <c r="F2302" s="503" t="s">
        <v>251</v>
      </c>
      <c r="G2302" s="504" t="s">
        <v>252</v>
      </c>
      <c r="H2302" s="397"/>
      <c r="I2302" s="397"/>
      <c r="J2302" s="750" t="e">
        <f t="shared" si="20"/>
        <v>#DIV/0!</v>
      </c>
      <c r="K2302" s="398"/>
      <c r="L2302" s="404"/>
      <c r="M2302" s="682"/>
      <c r="N2302" s="171"/>
      <c r="O2302" s="171"/>
      <c r="P2302" s="169"/>
      <c r="Q2302" s="171"/>
      <c r="R2302" s="171"/>
      <c r="S2302" s="171"/>
      <c r="T2302" s="171"/>
      <c r="U2302" s="171"/>
      <c r="V2302" s="171"/>
      <c r="W2302" s="171"/>
      <c r="X2302" s="171"/>
      <c r="Y2302" s="171"/>
      <c r="Z2302" s="171"/>
      <c r="AA2302" s="171"/>
    </row>
    <row r="2303" spans="1:27" s="530" customFormat="1" ht="13.5" hidden="1" thickBot="1" x14ac:dyDescent="0.25">
      <c r="A2303" s="526"/>
      <c r="B2303" s="527"/>
      <c r="C2303" s="465"/>
      <c r="D2303" s="464"/>
      <c r="E2303" s="464"/>
      <c r="F2303" s="503" t="s">
        <v>253</v>
      </c>
      <c r="G2303" s="504" t="s">
        <v>254</v>
      </c>
      <c r="H2303" s="397"/>
      <c r="I2303" s="397"/>
      <c r="J2303" s="750" t="e">
        <f t="shared" si="20"/>
        <v>#DIV/0!</v>
      </c>
      <c r="K2303" s="398"/>
      <c r="L2303" s="404"/>
      <c r="M2303" s="682"/>
      <c r="N2303" s="171"/>
      <c r="O2303" s="171"/>
      <c r="P2303" s="169"/>
      <c r="Q2303" s="171"/>
      <c r="R2303" s="171"/>
      <c r="S2303" s="171"/>
      <c r="T2303" s="171"/>
      <c r="U2303" s="171"/>
      <c r="V2303" s="171"/>
      <c r="W2303" s="171"/>
      <c r="X2303" s="171"/>
      <c r="Y2303" s="171"/>
      <c r="Z2303" s="171"/>
      <c r="AA2303" s="171"/>
    </row>
    <row r="2304" spans="1:27" s="530" customFormat="1" ht="26.25" hidden="1" thickBot="1" x14ac:dyDescent="0.25">
      <c r="A2304" s="526"/>
      <c r="B2304" s="527"/>
      <c r="C2304" s="465"/>
      <c r="D2304" s="464"/>
      <c r="E2304" s="464"/>
      <c r="F2304" s="503" t="s">
        <v>255</v>
      </c>
      <c r="G2304" s="504" t="s">
        <v>256</v>
      </c>
      <c r="H2304" s="397"/>
      <c r="I2304" s="397"/>
      <c r="J2304" s="750" t="e">
        <f t="shared" si="20"/>
        <v>#DIV/0!</v>
      </c>
      <c r="K2304" s="398"/>
      <c r="L2304" s="404"/>
      <c r="M2304" s="682"/>
      <c r="N2304" s="171"/>
      <c r="O2304" s="171"/>
      <c r="P2304" s="169"/>
      <c r="Q2304" s="171"/>
      <c r="R2304" s="171"/>
      <c r="S2304" s="171"/>
      <c r="T2304" s="171"/>
      <c r="U2304" s="171"/>
      <c r="V2304" s="171"/>
      <c r="W2304" s="171"/>
      <c r="X2304" s="171"/>
      <c r="Y2304" s="171"/>
      <c r="Z2304" s="171"/>
      <c r="AA2304" s="171"/>
    </row>
    <row r="2305" spans="1:27" s="530" customFormat="1" ht="26.25" hidden="1" thickBot="1" x14ac:dyDescent="0.25">
      <c r="A2305" s="526"/>
      <c r="B2305" s="527"/>
      <c r="C2305" s="465"/>
      <c r="D2305" s="464"/>
      <c r="E2305" s="464"/>
      <c r="F2305" s="503" t="s">
        <v>257</v>
      </c>
      <c r="G2305" s="504" t="s">
        <v>258</v>
      </c>
      <c r="H2305" s="397"/>
      <c r="I2305" s="397"/>
      <c r="J2305" s="750" t="e">
        <f t="shared" si="20"/>
        <v>#DIV/0!</v>
      </c>
      <c r="K2305" s="398"/>
      <c r="L2305" s="404"/>
      <c r="M2305" s="682"/>
      <c r="N2305" s="171"/>
      <c r="O2305" s="171"/>
      <c r="P2305" s="169"/>
      <c r="Q2305" s="171"/>
      <c r="R2305" s="171"/>
      <c r="S2305" s="171"/>
      <c r="T2305" s="171"/>
      <c r="U2305" s="171"/>
      <c r="V2305" s="171"/>
      <c r="W2305" s="171"/>
      <c r="X2305" s="171"/>
      <c r="Y2305" s="171"/>
      <c r="Z2305" s="171"/>
      <c r="AA2305" s="171"/>
    </row>
    <row r="2306" spans="1:27" s="530" customFormat="1" ht="26.25" hidden="1" thickBot="1" x14ac:dyDescent="0.25">
      <c r="A2306" s="526"/>
      <c r="B2306" s="527"/>
      <c r="C2306" s="465"/>
      <c r="D2306" s="464"/>
      <c r="E2306" s="464"/>
      <c r="F2306" s="503" t="s">
        <v>259</v>
      </c>
      <c r="G2306" s="504" t="s">
        <v>260</v>
      </c>
      <c r="H2306" s="397"/>
      <c r="I2306" s="397"/>
      <c r="J2306" s="750" t="e">
        <f t="shared" si="20"/>
        <v>#DIV/0!</v>
      </c>
      <c r="K2306" s="398"/>
      <c r="L2306" s="404"/>
      <c r="M2306" s="682"/>
      <c r="N2306" s="171"/>
      <c r="O2306" s="171"/>
      <c r="P2306" s="169"/>
      <c r="Q2306" s="171"/>
      <c r="R2306" s="171"/>
      <c r="S2306" s="171"/>
      <c r="T2306" s="171"/>
      <c r="U2306" s="171"/>
      <c r="V2306" s="171"/>
      <c r="W2306" s="171"/>
      <c r="X2306" s="171"/>
      <c r="Y2306" s="171"/>
      <c r="Z2306" s="171"/>
      <c r="AA2306" s="171"/>
    </row>
    <row r="2307" spans="1:27" s="530" customFormat="1" ht="26.25" hidden="1" thickBot="1" x14ac:dyDescent="0.25">
      <c r="A2307" s="526"/>
      <c r="B2307" s="527"/>
      <c r="C2307" s="465"/>
      <c r="D2307" s="464"/>
      <c r="E2307" s="464"/>
      <c r="F2307" s="503" t="s">
        <v>261</v>
      </c>
      <c r="G2307" s="504" t="s">
        <v>262</v>
      </c>
      <c r="H2307" s="397"/>
      <c r="I2307" s="397"/>
      <c r="J2307" s="750" t="e">
        <f t="shared" si="20"/>
        <v>#DIV/0!</v>
      </c>
      <c r="K2307" s="398"/>
      <c r="L2307" s="404"/>
      <c r="M2307" s="682"/>
      <c r="N2307" s="171"/>
      <c r="O2307" s="171"/>
      <c r="P2307" s="169"/>
      <c r="Q2307" s="171"/>
      <c r="R2307" s="171"/>
      <c r="S2307" s="171"/>
      <c r="T2307" s="171"/>
      <c r="U2307" s="171"/>
      <c r="V2307" s="171"/>
      <c r="W2307" s="171"/>
      <c r="X2307" s="171"/>
      <c r="Y2307" s="171"/>
      <c r="Z2307" s="171"/>
      <c r="AA2307" s="171"/>
    </row>
    <row r="2308" spans="1:27" s="530" customFormat="1" ht="13.5" hidden="1" thickBot="1" x14ac:dyDescent="0.25">
      <c r="A2308" s="526"/>
      <c r="B2308" s="527"/>
      <c r="C2308" s="465"/>
      <c r="D2308" s="464"/>
      <c r="E2308" s="464"/>
      <c r="F2308" s="503" t="s">
        <v>263</v>
      </c>
      <c r="G2308" s="504" t="s">
        <v>264</v>
      </c>
      <c r="H2308" s="403"/>
      <c r="I2308" s="403"/>
      <c r="J2308" s="750" t="e">
        <f t="shared" si="20"/>
        <v>#DIV/0!</v>
      </c>
      <c r="K2308" s="404"/>
      <c r="L2308" s="404"/>
      <c r="M2308" s="682"/>
      <c r="N2308" s="171"/>
      <c r="O2308" s="171"/>
      <c r="P2308" s="169"/>
      <c r="Q2308" s="171"/>
      <c r="R2308" s="171"/>
      <c r="S2308" s="171"/>
      <c r="T2308" s="171"/>
      <c r="U2308" s="171"/>
      <c r="V2308" s="171"/>
      <c r="W2308" s="171"/>
      <c r="X2308" s="171"/>
      <c r="Y2308" s="171"/>
      <c r="Z2308" s="171"/>
      <c r="AA2308" s="171"/>
    </row>
    <row r="2309" spans="1:27" s="530" customFormat="1" ht="14.25" customHeight="1" thickBot="1" x14ac:dyDescent="0.25">
      <c r="A2309" s="526"/>
      <c r="B2309" s="527"/>
      <c r="C2309" s="465"/>
      <c r="D2309" s="464"/>
      <c r="E2309" s="464"/>
      <c r="F2309" s="464"/>
      <c r="G2309" s="505" t="s">
        <v>4386</v>
      </c>
      <c r="H2309" s="405">
        <f>SUM(H2293:H2308)</f>
        <v>837247</v>
      </c>
      <c r="I2309" s="405"/>
      <c r="J2309" s="750">
        <f t="shared" si="20"/>
        <v>0</v>
      </c>
      <c r="K2309" s="406">
        <f>SUM(K2294:K2308)</f>
        <v>0</v>
      </c>
      <c r="L2309" s="406"/>
      <c r="M2309" s="682"/>
      <c r="N2309" s="171"/>
      <c r="O2309" s="171"/>
      <c r="P2309" s="169"/>
      <c r="Q2309" s="171"/>
      <c r="R2309" s="171"/>
      <c r="S2309" s="171"/>
      <c r="T2309" s="171"/>
      <c r="U2309" s="171"/>
      <c r="V2309" s="171"/>
      <c r="W2309" s="171"/>
      <c r="X2309" s="171"/>
      <c r="Y2309" s="171"/>
      <c r="Z2309" s="171"/>
      <c r="AA2309" s="171"/>
    </row>
    <row r="2310" spans="1:27" s="530" customFormat="1" ht="16.5" customHeight="1" x14ac:dyDescent="0.2">
      <c r="A2310" s="526"/>
      <c r="B2310" s="527"/>
      <c r="C2310" s="465"/>
      <c r="D2310" s="464"/>
      <c r="E2310" s="464"/>
      <c r="F2310" s="498"/>
      <c r="G2310" s="506" t="s">
        <v>4224</v>
      </c>
      <c r="H2310" s="407"/>
      <c r="I2310" s="408"/>
      <c r="J2310" s="750"/>
      <c r="K2310" s="409"/>
      <c r="L2310" s="410"/>
      <c r="M2310" s="682"/>
      <c r="N2310" s="171"/>
      <c r="O2310" s="171"/>
      <c r="P2310" s="169"/>
      <c r="Q2310" s="171"/>
      <c r="R2310" s="171"/>
      <c r="S2310" s="171"/>
      <c r="T2310" s="171"/>
      <c r="U2310" s="171"/>
      <c r="V2310" s="171"/>
      <c r="W2310" s="171"/>
      <c r="X2310" s="171"/>
      <c r="Y2310" s="171"/>
      <c r="Z2310" s="171"/>
      <c r="AA2310" s="171"/>
    </row>
    <row r="2311" spans="1:27" s="530" customFormat="1" ht="13.5" thickBot="1" x14ac:dyDescent="0.25">
      <c r="A2311" s="526"/>
      <c r="B2311" s="527"/>
      <c r="C2311" s="465"/>
      <c r="D2311" s="464"/>
      <c r="E2311" s="464"/>
      <c r="F2311" s="503" t="s">
        <v>234</v>
      </c>
      <c r="G2311" s="504" t="s">
        <v>235</v>
      </c>
      <c r="H2311" s="403">
        <f>SUM(H2309)</f>
        <v>837247</v>
      </c>
      <c r="I2311" s="403"/>
      <c r="J2311" s="750">
        <f t="shared" si="20"/>
        <v>0</v>
      </c>
      <c r="K2311" s="404"/>
      <c r="L2311" s="404"/>
      <c r="M2311" s="682"/>
      <c r="N2311" s="171"/>
      <c r="O2311" s="171"/>
      <c r="P2311" s="169"/>
      <c r="Q2311" s="171"/>
      <c r="R2311" s="171"/>
      <c r="S2311" s="171"/>
      <c r="T2311" s="171"/>
      <c r="U2311" s="171"/>
      <c r="V2311" s="171"/>
      <c r="W2311" s="171"/>
      <c r="X2311" s="171"/>
      <c r="Y2311" s="171"/>
      <c r="Z2311" s="171"/>
      <c r="AA2311" s="171"/>
    </row>
    <row r="2312" spans="1:27" s="530" customFormat="1" ht="13.5" hidden="1" thickBot="1" x14ac:dyDescent="0.25">
      <c r="A2312" s="526"/>
      <c r="B2312" s="527"/>
      <c r="C2312" s="465"/>
      <c r="D2312" s="464"/>
      <c r="E2312" s="464"/>
      <c r="F2312" s="503" t="s">
        <v>236</v>
      </c>
      <c r="G2312" s="504" t="s">
        <v>237</v>
      </c>
      <c r="H2312" s="397"/>
      <c r="I2312" s="397"/>
      <c r="J2312" s="750" t="e">
        <f t="shared" si="20"/>
        <v>#DIV/0!</v>
      </c>
      <c r="K2312" s="398"/>
      <c r="L2312" s="404"/>
      <c r="M2312" s="682"/>
      <c r="N2312" s="171"/>
      <c r="O2312" s="171"/>
      <c r="P2312" s="169"/>
      <c r="Q2312" s="171"/>
      <c r="R2312" s="171"/>
      <c r="S2312" s="171"/>
      <c r="T2312" s="171"/>
      <c r="U2312" s="171"/>
      <c r="V2312" s="171"/>
      <c r="W2312" s="171"/>
      <c r="X2312" s="171"/>
      <c r="Y2312" s="171"/>
      <c r="Z2312" s="171"/>
      <c r="AA2312" s="171"/>
    </row>
    <row r="2313" spans="1:27" s="530" customFormat="1" ht="13.5" hidden="1" thickBot="1" x14ac:dyDescent="0.25">
      <c r="A2313" s="526"/>
      <c r="B2313" s="527"/>
      <c r="C2313" s="465"/>
      <c r="D2313" s="464"/>
      <c r="E2313" s="464"/>
      <c r="F2313" s="503" t="s">
        <v>238</v>
      </c>
      <c r="G2313" s="504" t="s">
        <v>239</v>
      </c>
      <c r="H2313" s="397"/>
      <c r="I2313" s="397"/>
      <c r="J2313" s="750" t="e">
        <f t="shared" si="20"/>
        <v>#DIV/0!</v>
      </c>
      <c r="K2313" s="398"/>
      <c r="L2313" s="404"/>
      <c r="M2313" s="682"/>
      <c r="N2313" s="171"/>
      <c r="O2313" s="171"/>
      <c r="P2313" s="169"/>
      <c r="Q2313" s="171"/>
      <c r="R2313" s="171"/>
      <c r="S2313" s="171"/>
      <c r="T2313" s="171"/>
      <c r="U2313" s="171"/>
      <c r="V2313" s="171"/>
      <c r="W2313" s="171"/>
      <c r="X2313" s="171"/>
      <c r="Y2313" s="171"/>
      <c r="Z2313" s="171"/>
      <c r="AA2313" s="171"/>
    </row>
    <row r="2314" spans="1:27" s="530" customFormat="1" ht="13.5" hidden="1" thickBot="1" x14ac:dyDescent="0.25">
      <c r="A2314" s="526"/>
      <c r="B2314" s="527"/>
      <c r="C2314" s="465"/>
      <c r="D2314" s="464"/>
      <c r="E2314" s="464"/>
      <c r="F2314" s="503" t="s">
        <v>240</v>
      </c>
      <c r="G2314" s="504" t="s">
        <v>241</v>
      </c>
      <c r="H2314" s="397"/>
      <c r="I2314" s="397"/>
      <c r="J2314" s="750" t="e">
        <f t="shared" si="20"/>
        <v>#DIV/0!</v>
      </c>
      <c r="K2314" s="398"/>
      <c r="L2314" s="404"/>
      <c r="M2314" s="682"/>
      <c r="N2314" s="171"/>
      <c r="O2314" s="171"/>
      <c r="P2314" s="169"/>
      <c r="Q2314" s="171"/>
      <c r="R2314" s="171"/>
      <c r="S2314" s="171"/>
      <c r="T2314" s="171"/>
      <c r="U2314" s="171"/>
      <c r="V2314" s="171"/>
      <c r="W2314" s="171"/>
      <c r="X2314" s="171"/>
      <c r="Y2314" s="171"/>
      <c r="Z2314" s="171"/>
      <c r="AA2314" s="171"/>
    </row>
    <row r="2315" spans="1:27" s="530" customFormat="1" ht="13.5" hidden="1" thickBot="1" x14ac:dyDescent="0.25">
      <c r="A2315" s="526"/>
      <c r="B2315" s="527"/>
      <c r="C2315" s="465"/>
      <c r="D2315" s="464"/>
      <c r="E2315" s="464"/>
      <c r="F2315" s="503" t="s">
        <v>242</v>
      </c>
      <c r="G2315" s="504" t="s">
        <v>243</v>
      </c>
      <c r="H2315" s="397"/>
      <c r="I2315" s="397"/>
      <c r="J2315" s="750" t="e">
        <f t="shared" si="20"/>
        <v>#DIV/0!</v>
      </c>
      <c r="K2315" s="398"/>
      <c r="L2315" s="404"/>
      <c r="M2315" s="682"/>
      <c r="N2315" s="171"/>
      <c r="O2315" s="171"/>
      <c r="P2315" s="169"/>
      <c r="Q2315" s="171"/>
      <c r="R2315" s="171"/>
      <c r="S2315" s="171"/>
      <c r="T2315" s="171"/>
      <c r="U2315" s="171"/>
      <c r="V2315" s="171"/>
      <c r="W2315" s="171"/>
      <c r="X2315" s="171"/>
      <c r="Y2315" s="171"/>
      <c r="Z2315" s="171"/>
      <c r="AA2315" s="171"/>
    </row>
    <row r="2316" spans="1:27" s="530" customFormat="1" ht="13.5" hidden="1" thickBot="1" x14ac:dyDescent="0.25">
      <c r="A2316" s="526"/>
      <c r="B2316" s="527"/>
      <c r="C2316" s="465"/>
      <c r="D2316" s="464"/>
      <c r="E2316" s="464"/>
      <c r="F2316" s="503" t="s">
        <v>244</v>
      </c>
      <c r="G2316" s="504" t="s">
        <v>245</v>
      </c>
      <c r="H2316" s="397"/>
      <c r="I2316" s="397"/>
      <c r="J2316" s="750" t="e">
        <f t="shared" si="20"/>
        <v>#DIV/0!</v>
      </c>
      <c r="K2316" s="398"/>
      <c r="L2316" s="404"/>
      <c r="M2316" s="682"/>
      <c r="N2316" s="171"/>
      <c r="O2316" s="171"/>
      <c r="P2316" s="169"/>
      <c r="Q2316" s="171"/>
      <c r="R2316" s="171"/>
      <c r="S2316" s="171"/>
      <c r="T2316" s="171"/>
      <c r="U2316" s="171"/>
      <c r="V2316" s="171"/>
      <c r="W2316" s="171"/>
      <c r="X2316" s="171"/>
      <c r="Y2316" s="171"/>
      <c r="Z2316" s="171"/>
      <c r="AA2316" s="171"/>
    </row>
    <row r="2317" spans="1:27" s="530" customFormat="1" ht="13.5" hidden="1" thickBot="1" x14ac:dyDescent="0.25">
      <c r="A2317" s="526"/>
      <c r="B2317" s="527"/>
      <c r="C2317" s="465"/>
      <c r="D2317" s="464"/>
      <c r="E2317" s="464"/>
      <c r="F2317" s="503" t="s">
        <v>246</v>
      </c>
      <c r="G2317" s="504" t="s">
        <v>247</v>
      </c>
      <c r="H2317" s="397"/>
      <c r="I2317" s="397"/>
      <c r="J2317" s="750" t="e">
        <f t="shared" ref="J2317:J2380" si="21">SUM(I2317/H2317)*100</f>
        <v>#DIV/0!</v>
      </c>
      <c r="K2317" s="398"/>
      <c r="L2317" s="404"/>
      <c r="M2317" s="682"/>
      <c r="N2317" s="171"/>
      <c r="O2317" s="171"/>
      <c r="P2317" s="169"/>
      <c r="Q2317" s="171"/>
      <c r="R2317" s="171"/>
      <c r="S2317" s="171"/>
      <c r="T2317" s="171"/>
      <c r="U2317" s="171"/>
      <c r="V2317" s="171"/>
      <c r="W2317" s="171"/>
      <c r="X2317" s="171"/>
      <c r="Y2317" s="171"/>
      <c r="Z2317" s="171"/>
      <c r="AA2317" s="171"/>
    </row>
    <row r="2318" spans="1:27" s="530" customFormat="1" ht="26.25" hidden="1" thickBot="1" x14ac:dyDescent="0.25">
      <c r="A2318" s="526"/>
      <c r="B2318" s="527"/>
      <c r="C2318" s="465"/>
      <c r="D2318" s="464"/>
      <c r="E2318" s="464"/>
      <c r="F2318" s="503" t="s">
        <v>248</v>
      </c>
      <c r="G2318" s="504" t="s">
        <v>249</v>
      </c>
      <c r="H2318" s="397"/>
      <c r="I2318" s="397"/>
      <c r="J2318" s="750" t="e">
        <f t="shared" si="21"/>
        <v>#DIV/0!</v>
      </c>
      <c r="K2318" s="398"/>
      <c r="L2318" s="404"/>
      <c r="M2318" s="682"/>
      <c r="N2318" s="171"/>
      <c r="O2318" s="171"/>
      <c r="P2318" s="169"/>
      <c r="Q2318" s="171"/>
      <c r="R2318" s="171"/>
      <c r="S2318" s="171"/>
      <c r="T2318" s="171"/>
      <c r="U2318" s="171"/>
      <c r="V2318" s="171"/>
      <c r="W2318" s="171"/>
      <c r="X2318" s="171"/>
      <c r="Y2318" s="171"/>
      <c r="Z2318" s="171"/>
      <c r="AA2318" s="171"/>
    </row>
    <row r="2319" spans="1:27" s="530" customFormat="1" ht="13.5" hidden="1" thickBot="1" x14ac:dyDescent="0.25">
      <c r="A2319" s="526"/>
      <c r="B2319" s="527"/>
      <c r="C2319" s="465"/>
      <c r="D2319" s="464"/>
      <c r="E2319" s="464"/>
      <c r="F2319" s="503" t="s">
        <v>250</v>
      </c>
      <c r="G2319" s="504" t="s">
        <v>57</v>
      </c>
      <c r="H2319" s="397"/>
      <c r="I2319" s="397"/>
      <c r="J2319" s="750" t="e">
        <f t="shared" si="21"/>
        <v>#DIV/0!</v>
      </c>
      <c r="K2319" s="398"/>
      <c r="L2319" s="404"/>
      <c r="M2319" s="682"/>
      <c r="N2319" s="171"/>
      <c r="O2319" s="171"/>
      <c r="P2319" s="169"/>
      <c r="Q2319" s="171"/>
      <c r="R2319" s="171"/>
      <c r="S2319" s="171"/>
      <c r="T2319" s="171"/>
      <c r="U2319" s="171"/>
      <c r="V2319" s="171"/>
      <c r="W2319" s="171"/>
      <c r="X2319" s="171"/>
      <c r="Y2319" s="171"/>
      <c r="Z2319" s="171"/>
      <c r="AA2319" s="171"/>
    </row>
    <row r="2320" spans="1:27" s="530" customFormat="1" ht="13.5" hidden="1" thickBot="1" x14ac:dyDescent="0.25">
      <c r="A2320" s="526"/>
      <c r="B2320" s="527"/>
      <c r="C2320" s="465"/>
      <c r="D2320" s="464"/>
      <c r="E2320" s="464"/>
      <c r="F2320" s="503" t="s">
        <v>251</v>
      </c>
      <c r="G2320" s="504" t="s">
        <v>252</v>
      </c>
      <c r="H2320" s="397"/>
      <c r="I2320" s="397"/>
      <c r="J2320" s="750" t="e">
        <f t="shared" si="21"/>
        <v>#DIV/0!</v>
      </c>
      <c r="K2320" s="398"/>
      <c r="L2320" s="404"/>
      <c r="M2320" s="682"/>
      <c r="N2320" s="171"/>
      <c r="O2320" s="171"/>
      <c r="P2320" s="169"/>
      <c r="Q2320" s="171"/>
      <c r="R2320" s="171"/>
      <c r="S2320" s="171"/>
      <c r="T2320" s="171"/>
      <c r="U2320" s="171"/>
      <c r="V2320" s="171"/>
      <c r="W2320" s="171"/>
      <c r="X2320" s="171"/>
      <c r="Y2320" s="171"/>
      <c r="Z2320" s="171"/>
      <c r="AA2320" s="171"/>
    </row>
    <row r="2321" spans="1:27" s="530" customFormat="1" ht="13.5" hidden="1" thickBot="1" x14ac:dyDescent="0.25">
      <c r="A2321" s="526"/>
      <c r="B2321" s="527"/>
      <c r="C2321" s="465"/>
      <c r="D2321" s="464"/>
      <c r="E2321" s="464"/>
      <c r="F2321" s="503" t="s">
        <v>253</v>
      </c>
      <c r="G2321" s="504" t="s">
        <v>254</v>
      </c>
      <c r="H2321" s="397"/>
      <c r="I2321" s="397"/>
      <c r="J2321" s="750" t="e">
        <f t="shared" si="21"/>
        <v>#DIV/0!</v>
      </c>
      <c r="K2321" s="398"/>
      <c r="L2321" s="404"/>
      <c r="M2321" s="682"/>
      <c r="N2321" s="171"/>
      <c r="O2321" s="171"/>
      <c r="P2321" s="169"/>
      <c r="Q2321" s="171"/>
      <c r="R2321" s="171"/>
      <c r="S2321" s="171"/>
      <c r="T2321" s="171"/>
      <c r="U2321" s="171"/>
      <c r="V2321" s="171"/>
      <c r="W2321" s="171"/>
      <c r="X2321" s="171"/>
      <c r="Y2321" s="171"/>
      <c r="Z2321" s="171"/>
      <c r="AA2321" s="171"/>
    </row>
    <row r="2322" spans="1:27" s="530" customFormat="1" ht="26.25" hidden="1" thickBot="1" x14ac:dyDescent="0.25">
      <c r="A2322" s="526"/>
      <c r="B2322" s="527"/>
      <c r="C2322" s="465"/>
      <c r="D2322" s="464"/>
      <c r="E2322" s="464"/>
      <c r="F2322" s="503" t="s">
        <v>255</v>
      </c>
      <c r="G2322" s="504" t="s">
        <v>256</v>
      </c>
      <c r="H2322" s="397"/>
      <c r="I2322" s="397"/>
      <c r="J2322" s="750" t="e">
        <f t="shared" si="21"/>
        <v>#DIV/0!</v>
      </c>
      <c r="K2322" s="398"/>
      <c r="L2322" s="404"/>
      <c r="M2322" s="682"/>
      <c r="N2322" s="171"/>
      <c r="O2322" s="171"/>
      <c r="P2322" s="169"/>
      <c r="Q2322" s="171"/>
      <c r="R2322" s="171"/>
      <c r="S2322" s="171"/>
      <c r="T2322" s="171"/>
      <c r="U2322" s="171"/>
      <c r="V2322" s="171"/>
      <c r="W2322" s="171"/>
      <c r="X2322" s="171"/>
      <c r="Y2322" s="171"/>
      <c r="Z2322" s="171"/>
      <c r="AA2322" s="171"/>
    </row>
    <row r="2323" spans="1:27" s="530" customFormat="1" ht="26.25" hidden="1" thickBot="1" x14ac:dyDescent="0.25">
      <c r="A2323" s="526"/>
      <c r="B2323" s="527"/>
      <c r="C2323" s="465"/>
      <c r="D2323" s="464"/>
      <c r="E2323" s="464"/>
      <c r="F2323" s="503" t="s">
        <v>257</v>
      </c>
      <c r="G2323" s="504" t="s">
        <v>258</v>
      </c>
      <c r="H2323" s="397"/>
      <c r="I2323" s="397"/>
      <c r="J2323" s="750" t="e">
        <f t="shared" si="21"/>
        <v>#DIV/0!</v>
      </c>
      <c r="K2323" s="398"/>
      <c r="L2323" s="404"/>
      <c r="M2323" s="682"/>
      <c r="N2323" s="171"/>
      <c r="O2323" s="171"/>
      <c r="P2323" s="169"/>
      <c r="Q2323" s="171"/>
      <c r="R2323" s="171"/>
      <c r="S2323" s="171"/>
      <c r="T2323" s="171"/>
      <c r="U2323" s="171"/>
      <c r="V2323" s="171"/>
      <c r="W2323" s="171"/>
      <c r="X2323" s="171"/>
      <c r="Y2323" s="171"/>
      <c r="Z2323" s="171"/>
      <c r="AA2323" s="171"/>
    </row>
    <row r="2324" spans="1:27" s="530" customFormat="1" ht="26.25" hidden="1" thickBot="1" x14ac:dyDescent="0.25">
      <c r="A2324" s="526"/>
      <c r="B2324" s="527"/>
      <c r="C2324" s="465"/>
      <c r="D2324" s="464"/>
      <c r="E2324" s="464"/>
      <c r="F2324" s="503" t="s">
        <v>259</v>
      </c>
      <c r="G2324" s="504" t="s">
        <v>260</v>
      </c>
      <c r="H2324" s="397"/>
      <c r="I2324" s="397"/>
      <c r="J2324" s="750" t="e">
        <f t="shared" si="21"/>
        <v>#DIV/0!</v>
      </c>
      <c r="K2324" s="398"/>
      <c r="L2324" s="404"/>
      <c r="M2324" s="682"/>
      <c r="N2324" s="171"/>
      <c r="O2324" s="171"/>
      <c r="P2324" s="169"/>
      <c r="Q2324" s="171"/>
      <c r="R2324" s="171"/>
      <c r="S2324" s="171"/>
      <c r="T2324" s="171"/>
      <c r="U2324" s="171"/>
      <c r="V2324" s="171"/>
      <c r="W2324" s="171"/>
      <c r="X2324" s="171"/>
      <c r="Y2324" s="171"/>
      <c r="Z2324" s="171"/>
      <c r="AA2324" s="171"/>
    </row>
    <row r="2325" spans="1:27" s="530" customFormat="1" ht="26.25" hidden="1" thickBot="1" x14ac:dyDescent="0.25">
      <c r="A2325" s="526"/>
      <c r="B2325" s="527"/>
      <c r="C2325" s="465"/>
      <c r="D2325" s="464"/>
      <c r="E2325" s="464"/>
      <c r="F2325" s="503" t="s">
        <v>261</v>
      </c>
      <c r="G2325" s="504" t="s">
        <v>262</v>
      </c>
      <c r="H2325" s="397"/>
      <c r="I2325" s="397"/>
      <c r="J2325" s="750" t="e">
        <f t="shared" si="21"/>
        <v>#DIV/0!</v>
      </c>
      <c r="K2325" s="398"/>
      <c r="L2325" s="404"/>
      <c r="M2325" s="682"/>
      <c r="N2325" s="171"/>
      <c r="O2325" s="171"/>
      <c r="P2325" s="169"/>
      <c r="Q2325" s="171"/>
      <c r="R2325" s="171"/>
      <c r="S2325" s="171"/>
      <c r="T2325" s="171"/>
      <c r="U2325" s="171"/>
      <c r="V2325" s="171"/>
      <c r="W2325" s="171"/>
      <c r="X2325" s="171"/>
      <c r="Y2325" s="171"/>
      <c r="Z2325" s="171"/>
      <c r="AA2325" s="171"/>
    </row>
    <row r="2326" spans="1:27" s="530" customFormat="1" ht="13.5" hidden="1" thickBot="1" x14ac:dyDescent="0.25">
      <c r="A2326" s="526"/>
      <c r="B2326" s="527"/>
      <c r="C2326" s="465"/>
      <c r="D2326" s="464"/>
      <c r="E2326" s="464"/>
      <c r="F2326" s="503" t="s">
        <v>263</v>
      </c>
      <c r="G2326" s="504" t="s">
        <v>264</v>
      </c>
      <c r="H2326" s="403"/>
      <c r="I2326" s="403"/>
      <c r="J2326" s="750" t="e">
        <f t="shared" si="21"/>
        <v>#DIV/0!</v>
      </c>
      <c r="K2326" s="404"/>
      <c r="L2326" s="404"/>
      <c r="M2326" s="682"/>
      <c r="N2326" s="171"/>
      <c r="O2326" s="171"/>
      <c r="P2326" s="169"/>
      <c r="Q2326" s="171"/>
      <c r="R2326" s="171"/>
      <c r="S2326" s="171"/>
      <c r="T2326" s="171"/>
      <c r="U2326" s="171"/>
      <c r="V2326" s="171"/>
      <c r="W2326" s="171"/>
      <c r="X2326" s="171"/>
      <c r="Y2326" s="171"/>
      <c r="Z2326" s="171"/>
      <c r="AA2326" s="171"/>
    </row>
    <row r="2327" spans="1:27" s="530" customFormat="1" ht="14.25" customHeight="1" thickBot="1" x14ac:dyDescent="0.25">
      <c r="A2327" s="526"/>
      <c r="B2327" s="527"/>
      <c r="C2327" s="465"/>
      <c r="D2327" s="464"/>
      <c r="E2327" s="464"/>
      <c r="F2327" s="464"/>
      <c r="G2327" s="505" t="s">
        <v>4270</v>
      </c>
      <c r="H2327" s="405">
        <f>SUM(H2311:H2326)</f>
        <v>837247</v>
      </c>
      <c r="I2327" s="405"/>
      <c r="J2327" s="750">
        <f t="shared" si="21"/>
        <v>0</v>
      </c>
      <c r="K2327" s="406">
        <f>SUM(K2312:K2326)</f>
        <v>0</v>
      </c>
      <c r="L2327" s="406"/>
      <c r="M2327" s="682"/>
      <c r="N2327" s="171"/>
      <c r="O2327" s="171"/>
      <c r="P2327" s="169"/>
      <c r="Q2327" s="171"/>
      <c r="R2327" s="171"/>
      <c r="S2327" s="171"/>
      <c r="T2327" s="171"/>
      <c r="U2327" s="171"/>
      <c r="V2327" s="171"/>
      <c r="W2327" s="171"/>
      <c r="X2327" s="171"/>
      <c r="Y2327" s="171"/>
      <c r="Z2327" s="171"/>
      <c r="AA2327" s="171"/>
    </row>
    <row r="2328" spans="1:27" s="530" customFormat="1" hidden="1" x14ac:dyDescent="0.2">
      <c r="A2328" s="526"/>
      <c r="B2328" s="527"/>
      <c r="C2328" s="465"/>
      <c r="D2328" s="464"/>
      <c r="E2328" s="464"/>
      <c r="F2328" s="464"/>
      <c r="G2328" s="507"/>
      <c r="H2328" s="397"/>
      <c r="I2328" s="397"/>
      <c r="J2328" s="750" t="e">
        <f t="shared" si="21"/>
        <v>#DIV/0!</v>
      </c>
      <c r="K2328" s="398"/>
      <c r="L2328" s="398"/>
      <c r="M2328" s="682"/>
      <c r="N2328" s="171"/>
      <c r="O2328" s="171"/>
      <c r="P2328" s="169"/>
      <c r="Q2328" s="171"/>
      <c r="R2328" s="171"/>
      <c r="S2328" s="171"/>
      <c r="T2328" s="171"/>
      <c r="U2328" s="171"/>
      <c r="V2328" s="171"/>
      <c r="W2328" s="171"/>
      <c r="X2328" s="171"/>
      <c r="Y2328" s="171"/>
      <c r="Z2328" s="171"/>
      <c r="AA2328" s="171"/>
    </row>
    <row r="2329" spans="1:27" s="530" customFormat="1" hidden="1" x14ac:dyDescent="0.2">
      <c r="H2329" s="428"/>
      <c r="I2329" s="428"/>
      <c r="J2329" s="750" t="e">
        <f t="shared" si="21"/>
        <v>#DIV/0!</v>
      </c>
      <c r="K2329" s="428"/>
      <c r="L2329" s="428"/>
      <c r="M2329" s="682"/>
      <c r="N2329" s="171"/>
      <c r="O2329" s="171"/>
      <c r="P2329" s="169"/>
      <c r="Q2329" s="171"/>
      <c r="R2329" s="171"/>
      <c r="S2329" s="171"/>
      <c r="T2329" s="171"/>
      <c r="U2329" s="171"/>
      <c r="V2329" s="171"/>
      <c r="W2329" s="171"/>
      <c r="X2329" s="171"/>
      <c r="Y2329" s="171"/>
      <c r="Z2329" s="171"/>
      <c r="AA2329" s="171"/>
    </row>
    <row r="2330" spans="1:27" s="530" customFormat="1" hidden="1" x14ac:dyDescent="0.2">
      <c r="H2330" s="428"/>
      <c r="I2330" s="428"/>
      <c r="J2330" s="750" t="e">
        <f t="shared" si="21"/>
        <v>#DIV/0!</v>
      </c>
      <c r="K2330" s="428"/>
      <c r="L2330" s="428"/>
      <c r="M2330" s="682"/>
      <c r="N2330" s="171"/>
      <c r="O2330" s="171"/>
      <c r="P2330" s="169"/>
      <c r="Q2330" s="171"/>
      <c r="R2330" s="171"/>
      <c r="S2330" s="171"/>
      <c r="T2330" s="171"/>
      <c r="U2330" s="171"/>
      <c r="V2330" s="171"/>
      <c r="W2330" s="171"/>
      <c r="X2330" s="171"/>
      <c r="Y2330" s="171"/>
      <c r="Z2330" s="171"/>
      <c r="AA2330" s="171"/>
    </row>
    <row r="2331" spans="1:27" s="530" customFormat="1" hidden="1" x14ac:dyDescent="0.2">
      <c r="H2331" s="428"/>
      <c r="I2331" s="428"/>
      <c r="J2331" s="750" t="e">
        <f t="shared" si="21"/>
        <v>#DIV/0!</v>
      </c>
      <c r="K2331" s="428"/>
      <c r="L2331" s="428"/>
      <c r="M2331" s="682"/>
      <c r="N2331" s="171"/>
      <c r="O2331" s="171"/>
      <c r="P2331" s="169"/>
      <c r="Q2331" s="171"/>
      <c r="R2331" s="171"/>
      <c r="S2331" s="171"/>
      <c r="T2331" s="171"/>
      <c r="U2331" s="171"/>
      <c r="V2331" s="171"/>
      <c r="W2331" s="171"/>
      <c r="X2331" s="171"/>
      <c r="Y2331" s="171"/>
      <c r="Z2331" s="171"/>
      <c r="AA2331" s="171"/>
    </row>
    <row r="2332" spans="1:27" s="530" customFormat="1" hidden="1" x14ac:dyDescent="0.2">
      <c r="H2332" s="428"/>
      <c r="I2332" s="428"/>
      <c r="J2332" s="750" t="e">
        <f t="shared" si="21"/>
        <v>#DIV/0!</v>
      </c>
      <c r="K2332" s="428"/>
      <c r="L2332" s="428"/>
      <c r="M2332" s="682"/>
      <c r="N2332" s="171"/>
      <c r="O2332" s="171"/>
      <c r="P2332" s="169"/>
      <c r="Q2332" s="171"/>
      <c r="R2332" s="171"/>
      <c r="S2332" s="171"/>
      <c r="T2332" s="171"/>
      <c r="U2332" s="171"/>
      <c r="V2332" s="171"/>
      <c r="W2332" s="171"/>
      <c r="X2332" s="171"/>
      <c r="Y2332" s="171"/>
      <c r="Z2332" s="171"/>
      <c r="AA2332" s="171"/>
    </row>
    <row r="2333" spans="1:27" s="530" customFormat="1" hidden="1" x14ac:dyDescent="0.2">
      <c r="H2333" s="428"/>
      <c r="I2333" s="428"/>
      <c r="J2333" s="750" t="e">
        <f t="shared" si="21"/>
        <v>#DIV/0!</v>
      </c>
      <c r="K2333" s="428"/>
      <c r="L2333" s="428"/>
      <c r="M2333" s="682"/>
      <c r="N2333" s="171"/>
      <c r="O2333" s="171"/>
      <c r="P2333" s="169"/>
      <c r="Q2333" s="171"/>
      <c r="R2333" s="171"/>
      <c r="S2333" s="171"/>
      <c r="T2333" s="171"/>
      <c r="U2333" s="171"/>
      <c r="V2333" s="171"/>
      <c r="W2333" s="171"/>
      <c r="X2333" s="171"/>
      <c r="Y2333" s="171"/>
      <c r="Z2333" s="171"/>
      <c r="AA2333" s="171"/>
    </row>
    <row r="2334" spans="1:27" s="530" customFormat="1" hidden="1" x14ac:dyDescent="0.2">
      <c r="H2334" s="428"/>
      <c r="I2334" s="428"/>
      <c r="J2334" s="750" t="e">
        <f t="shared" si="21"/>
        <v>#DIV/0!</v>
      </c>
      <c r="K2334" s="428"/>
      <c r="L2334" s="428"/>
      <c r="M2334" s="682"/>
      <c r="N2334" s="171"/>
      <c r="O2334" s="171"/>
      <c r="P2334" s="169"/>
      <c r="Q2334" s="171"/>
      <c r="R2334" s="171"/>
      <c r="S2334" s="171"/>
      <c r="T2334" s="171"/>
      <c r="U2334" s="171"/>
      <c r="V2334" s="171"/>
      <c r="W2334" s="171"/>
      <c r="X2334" s="171"/>
      <c r="Y2334" s="171"/>
      <c r="Z2334" s="171"/>
      <c r="AA2334" s="171"/>
    </row>
    <row r="2335" spans="1:27" s="530" customFormat="1" hidden="1" x14ac:dyDescent="0.2">
      <c r="H2335" s="428"/>
      <c r="I2335" s="428"/>
      <c r="J2335" s="750" t="e">
        <f t="shared" si="21"/>
        <v>#DIV/0!</v>
      </c>
      <c r="K2335" s="428"/>
      <c r="L2335" s="428"/>
      <c r="M2335" s="682"/>
      <c r="N2335" s="171"/>
      <c r="O2335" s="171"/>
      <c r="P2335" s="169"/>
      <c r="Q2335" s="171"/>
      <c r="R2335" s="171"/>
      <c r="S2335" s="171"/>
      <c r="T2335" s="171"/>
      <c r="U2335" s="171"/>
      <c r="V2335" s="171"/>
      <c r="W2335" s="171"/>
      <c r="X2335" s="171"/>
      <c r="Y2335" s="171"/>
      <c r="Z2335" s="171"/>
      <c r="AA2335" s="171"/>
    </row>
    <row r="2336" spans="1:27" s="530" customFormat="1" hidden="1" x14ac:dyDescent="0.2">
      <c r="H2336" s="428"/>
      <c r="I2336" s="428"/>
      <c r="J2336" s="750" t="e">
        <f t="shared" si="21"/>
        <v>#DIV/0!</v>
      </c>
      <c r="K2336" s="428"/>
      <c r="L2336" s="428"/>
      <c r="M2336" s="682"/>
      <c r="N2336" s="171"/>
      <c r="O2336" s="171"/>
      <c r="P2336" s="169"/>
      <c r="Q2336" s="171"/>
      <c r="R2336" s="171"/>
      <c r="S2336" s="171"/>
      <c r="T2336" s="171"/>
      <c r="U2336" s="171"/>
      <c r="V2336" s="171"/>
      <c r="W2336" s="171"/>
      <c r="X2336" s="171"/>
      <c r="Y2336" s="171"/>
      <c r="Z2336" s="171"/>
      <c r="AA2336" s="171"/>
    </row>
    <row r="2337" spans="1:27" s="530" customFormat="1" hidden="1" x14ac:dyDescent="0.2">
      <c r="H2337" s="428"/>
      <c r="I2337" s="428"/>
      <c r="J2337" s="750" t="e">
        <f t="shared" si="21"/>
        <v>#DIV/0!</v>
      </c>
      <c r="K2337" s="428"/>
      <c r="L2337" s="428"/>
      <c r="M2337" s="682"/>
      <c r="N2337" s="171"/>
      <c r="O2337" s="171"/>
      <c r="P2337" s="169"/>
      <c r="Q2337" s="171"/>
      <c r="R2337" s="171"/>
      <c r="S2337" s="171"/>
      <c r="T2337" s="171"/>
      <c r="U2337" s="171"/>
      <c r="V2337" s="171"/>
      <c r="W2337" s="171"/>
      <c r="X2337" s="171"/>
      <c r="Y2337" s="171"/>
      <c r="Z2337" s="171"/>
      <c r="AA2337" s="171"/>
    </row>
    <row r="2338" spans="1:27" s="530" customFormat="1" hidden="1" x14ac:dyDescent="0.2">
      <c r="H2338" s="428"/>
      <c r="I2338" s="428"/>
      <c r="J2338" s="750" t="e">
        <f t="shared" si="21"/>
        <v>#DIV/0!</v>
      </c>
      <c r="K2338" s="428"/>
      <c r="L2338" s="428"/>
      <c r="M2338" s="682"/>
      <c r="N2338" s="171"/>
      <c r="O2338" s="171"/>
      <c r="P2338" s="169"/>
      <c r="Q2338" s="171"/>
      <c r="R2338" s="171"/>
      <c r="S2338" s="171"/>
      <c r="T2338" s="171"/>
      <c r="U2338" s="171"/>
      <c r="V2338" s="171"/>
      <c r="W2338" s="171"/>
      <c r="X2338" s="171"/>
      <c r="Y2338" s="171"/>
      <c r="Z2338" s="171"/>
      <c r="AA2338" s="171"/>
    </row>
    <row r="2339" spans="1:27" s="530" customFormat="1" hidden="1" x14ac:dyDescent="0.2">
      <c r="H2339" s="428"/>
      <c r="I2339" s="428"/>
      <c r="J2339" s="750" t="e">
        <f t="shared" si="21"/>
        <v>#DIV/0!</v>
      </c>
      <c r="K2339" s="428"/>
      <c r="L2339" s="428"/>
      <c r="M2339" s="682"/>
      <c r="N2339" s="171"/>
      <c r="O2339" s="171"/>
      <c r="P2339" s="169"/>
      <c r="Q2339" s="171"/>
      <c r="R2339" s="171"/>
      <c r="S2339" s="171"/>
      <c r="T2339" s="171"/>
      <c r="U2339" s="171"/>
      <c r="V2339" s="171"/>
      <c r="W2339" s="171"/>
      <c r="X2339" s="171"/>
      <c r="Y2339" s="171"/>
      <c r="Z2339" s="171"/>
      <c r="AA2339" s="171"/>
    </row>
    <row r="2340" spans="1:27" s="530" customFormat="1" hidden="1" x14ac:dyDescent="0.2">
      <c r="H2340" s="428"/>
      <c r="I2340" s="428"/>
      <c r="J2340" s="750" t="e">
        <f t="shared" si="21"/>
        <v>#DIV/0!</v>
      </c>
      <c r="K2340" s="428"/>
      <c r="L2340" s="428"/>
      <c r="M2340" s="682"/>
      <c r="N2340" s="171"/>
      <c r="O2340" s="171"/>
      <c r="P2340" s="169"/>
      <c r="Q2340" s="171"/>
      <c r="R2340" s="171"/>
      <c r="S2340" s="171"/>
      <c r="T2340" s="171"/>
      <c r="U2340" s="171"/>
      <c r="V2340" s="171"/>
      <c r="W2340" s="171"/>
      <c r="X2340" s="171"/>
      <c r="Y2340" s="171"/>
      <c r="Z2340" s="171"/>
      <c r="AA2340" s="171"/>
    </row>
    <row r="2341" spans="1:27" s="530" customFormat="1" hidden="1" x14ac:dyDescent="0.2">
      <c r="H2341" s="428"/>
      <c r="I2341" s="428"/>
      <c r="J2341" s="750" t="e">
        <f t="shared" si="21"/>
        <v>#DIV/0!</v>
      </c>
      <c r="K2341" s="428"/>
      <c r="L2341" s="428"/>
      <c r="M2341" s="682"/>
      <c r="N2341" s="171"/>
      <c r="O2341" s="171"/>
      <c r="P2341" s="169"/>
      <c r="Q2341" s="171"/>
      <c r="R2341" s="171"/>
      <c r="S2341" s="171"/>
      <c r="T2341" s="171"/>
      <c r="U2341" s="171"/>
      <c r="V2341" s="171"/>
      <c r="W2341" s="171"/>
      <c r="X2341" s="171"/>
      <c r="Y2341" s="171"/>
      <c r="Z2341" s="171"/>
      <c r="AA2341" s="171"/>
    </row>
    <row r="2342" spans="1:27" s="530" customFormat="1" hidden="1" x14ac:dyDescent="0.2">
      <c r="H2342" s="428"/>
      <c r="I2342" s="428"/>
      <c r="J2342" s="750" t="e">
        <f t="shared" si="21"/>
        <v>#DIV/0!</v>
      </c>
      <c r="K2342" s="428"/>
      <c r="L2342" s="428"/>
      <c r="M2342" s="682"/>
      <c r="N2342" s="171"/>
      <c r="O2342" s="171"/>
      <c r="P2342" s="169"/>
      <c r="Q2342" s="171"/>
      <c r="R2342" s="171"/>
      <c r="S2342" s="171"/>
      <c r="T2342" s="171"/>
      <c r="U2342" s="171"/>
      <c r="V2342" s="171"/>
      <c r="W2342" s="171"/>
      <c r="X2342" s="171"/>
      <c r="Y2342" s="171"/>
      <c r="Z2342" s="171"/>
      <c r="AA2342" s="171"/>
    </row>
    <row r="2343" spans="1:27" s="530" customFormat="1" hidden="1" x14ac:dyDescent="0.2">
      <c r="H2343" s="428"/>
      <c r="I2343" s="428"/>
      <c r="J2343" s="750" t="e">
        <f t="shared" si="21"/>
        <v>#DIV/0!</v>
      </c>
      <c r="K2343" s="428"/>
      <c r="L2343" s="428"/>
      <c r="M2343" s="682"/>
      <c r="N2343" s="171"/>
      <c r="O2343" s="171"/>
      <c r="P2343" s="169"/>
      <c r="Q2343" s="171"/>
      <c r="R2343" s="171"/>
      <c r="S2343" s="171"/>
      <c r="T2343" s="171"/>
      <c r="U2343" s="171"/>
      <c r="V2343" s="171"/>
      <c r="W2343" s="171"/>
      <c r="X2343" s="171"/>
      <c r="Y2343" s="171"/>
      <c r="Z2343" s="171"/>
      <c r="AA2343" s="171"/>
    </row>
    <row r="2344" spans="1:27" s="530" customFormat="1" hidden="1" x14ac:dyDescent="0.2">
      <c r="H2344" s="428"/>
      <c r="I2344" s="428"/>
      <c r="J2344" s="750" t="e">
        <f t="shared" si="21"/>
        <v>#DIV/0!</v>
      </c>
      <c r="K2344" s="428"/>
      <c r="L2344" s="428"/>
      <c r="M2344" s="682"/>
      <c r="N2344" s="171"/>
      <c r="O2344" s="171"/>
      <c r="P2344" s="169"/>
      <c r="Q2344" s="171"/>
      <c r="R2344" s="171"/>
      <c r="S2344" s="171"/>
      <c r="T2344" s="171"/>
      <c r="U2344" s="171"/>
      <c r="V2344" s="171"/>
      <c r="W2344" s="171"/>
      <c r="X2344" s="171"/>
      <c r="Y2344" s="171"/>
      <c r="Z2344" s="171"/>
      <c r="AA2344" s="171"/>
    </row>
    <row r="2345" spans="1:27" s="530" customFormat="1" ht="18" hidden="1" customHeight="1" x14ac:dyDescent="0.2">
      <c r="H2345" s="428"/>
      <c r="I2345" s="428"/>
      <c r="J2345" s="750" t="e">
        <f t="shared" si="21"/>
        <v>#DIV/0!</v>
      </c>
      <c r="K2345" s="428"/>
      <c r="L2345" s="428"/>
      <c r="M2345" s="682"/>
      <c r="N2345" s="171"/>
      <c r="O2345" s="171"/>
      <c r="P2345" s="169"/>
      <c r="Q2345" s="171"/>
      <c r="R2345" s="171"/>
      <c r="S2345" s="171"/>
      <c r="T2345" s="171"/>
      <c r="U2345" s="171"/>
      <c r="V2345" s="171"/>
      <c r="W2345" s="171"/>
      <c r="X2345" s="171"/>
      <c r="Y2345" s="171"/>
      <c r="Z2345" s="171"/>
      <c r="AA2345" s="171"/>
    </row>
    <row r="2346" spans="1:27" s="530" customFormat="1" ht="1.5" customHeight="1" x14ac:dyDescent="0.2">
      <c r="H2346" s="428"/>
      <c r="I2346" s="428"/>
      <c r="J2346" s="750" t="e">
        <f t="shared" si="21"/>
        <v>#DIV/0!</v>
      </c>
      <c r="K2346" s="428"/>
      <c r="L2346" s="428"/>
      <c r="M2346" s="682"/>
      <c r="N2346" s="171"/>
      <c r="O2346" s="171"/>
      <c r="P2346" s="169"/>
      <c r="Q2346" s="171"/>
      <c r="R2346" s="171"/>
      <c r="S2346" s="171"/>
      <c r="T2346" s="171"/>
      <c r="U2346" s="171"/>
      <c r="V2346" s="171"/>
      <c r="W2346" s="171"/>
      <c r="X2346" s="171"/>
      <c r="Y2346" s="171"/>
      <c r="Z2346" s="171"/>
      <c r="AA2346" s="171"/>
    </row>
    <row r="2347" spans="1:27" s="530" customFormat="1" ht="25.5" x14ac:dyDescent="0.2">
      <c r="A2347" s="464"/>
      <c r="B2347" s="464"/>
      <c r="C2347" s="489" t="s">
        <v>4930</v>
      </c>
      <c r="D2347" s="490"/>
      <c r="E2347" s="464"/>
      <c r="F2347" s="464"/>
      <c r="G2347" s="508" t="s">
        <v>5135</v>
      </c>
      <c r="H2347" s="397"/>
      <c r="I2347" s="397"/>
      <c r="J2347" s="750"/>
      <c r="K2347" s="398"/>
      <c r="L2347" s="398"/>
      <c r="M2347" s="682"/>
      <c r="N2347" s="171"/>
      <c r="O2347" s="171"/>
      <c r="P2347" s="169"/>
      <c r="Q2347" s="171"/>
      <c r="R2347" s="171"/>
      <c r="S2347" s="171"/>
      <c r="T2347" s="171"/>
      <c r="U2347" s="171"/>
      <c r="V2347" s="171"/>
      <c r="W2347" s="171"/>
      <c r="X2347" s="171"/>
      <c r="Y2347" s="171"/>
      <c r="Z2347" s="171"/>
      <c r="AA2347" s="171"/>
    </row>
    <row r="2348" spans="1:27" s="530" customFormat="1" x14ac:dyDescent="0.2">
      <c r="A2348" s="464"/>
      <c r="B2348" s="464"/>
      <c r="C2348" s="489"/>
      <c r="D2348" s="492">
        <v>130</v>
      </c>
      <c r="E2348" s="492"/>
      <c r="F2348" s="492"/>
      <c r="G2348" s="493" t="s">
        <v>4333</v>
      </c>
      <c r="H2348" s="397"/>
      <c r="I2348" s="397"/>
      <c r="J2348" s="750"/>
      <c r="K2348" s="398"/>
      <c r="L2348" s="398"/>
      <c r="M2348" s="682"/>
      <c r="N2348" s="171"/>
      <c r="O2348" s="171"/>
      <c r="P2348" s="169"/>
      <c r="Q2348" s="171"/>
      <c r="R2348" s="171"/>
      <c r="S2348" s="171"/>
      <c r="T2348" s="171"/>
      <c r="U2348" s="171"/>
      <c r="V2348" s="171"/>
      <c r="W2348" s="171"/>
      <c r="X2348" s="171"/>
      <c r="Y2348" s="171"/>
      <c r="Z2348" s="171"/>
      <c r="AA2348" s="171"/>
    </row>
    <row r="2349" spans="1:27" s="530" customFormat="1" hidden="1" x14ac:dyDescent="0.2">
      <c r="A2349" s="464"/>
      <c r="B2349" s="464"/>
      <c r="C2349" s="465"/>
      <c r="D2349" s="464"/>
      <c r="E2349" s="464"/>
      <c r="F2349" s="494">
        <v>411</v>
      </c>
      <c r="G2349" s="495" t="s">
        <v>4167</v>
      </c>
      <c r="H2349" s="397"/>
      <c r="I2349" s="397"/>
      <c r="J2349" s="750" t="e">
        <f t="shared" si="21"/>
        <v>#DIV/0!</v>
      </c>
      <c r="K2349" s="398"/>
      <c r="L2349" s="398"/>
      <c r="M2349" s="682"/>
      <c r="N2349" s="171"/>
      <c r="O2349" s="171"/>
      <c r="P2349" s="169"/>
      <c r="Q2349" s="171"/>
      <c r="R2349" s="171"/>
      <c r="S2349" s="171"/>
      <c r="T2349" s="171"/>
      <c r="U2349" s="171"/>
      <c r="V2349" s="171"/>
      <c r="W2349" s="171"/>
      <c r="X2349" s="171"/>
      <c r="Y2349" s="171"/>
      <c r="Z2349" s="171"/>
      <c r="AA2349" s="171"/>
    </row>
    <row r="2350" spans="1:27" s="530" customFormat="1" hidden="1" x14ac:dyDescent="0.2">
      <c r="A2350" s="464"/>
      <c r="B2350" s="464"/>
      <c r="C2350" s="465"/>
      <c r="D2350" s="464"/>
      <c r="E2350" s="464"/>
      <c r="F2350" s="494">
        <v>412</v>
      </c>
      <c r="G2350" s="496" t="s">
        <v>3764</v>
      </c>
      <c r="H2350" s="397"/>
      <c r="I2350" s="397"/>
      <c r="J2350" s="750" t="e">
        <f t="shared" si="21"/>
        <v>#DIV/0!</v>
      </c>
      <c r="K2350" s="398"/>
      <c r="L2350" s="398"/>
      <c r="M2350" s="682"/>
      <c r="N2350" s="171"/>
      <c r="O2350" s="171"/>
      <c r="P2350" s="169"/>
      <c r="Q2350" s="171"/>
      <c r="R2350" s="171"/>
      <c r="S2350" s="171"/>
      <c r="T2350" s="171"/>
      <c r="U2350" s="171"/>
      <c r="V2350" s="171"/>
      <c r="W2350" s="171"/>
      <c r="X2350" s="171"/>
      <c r="Y2350" s="171"/>
      <c r="Z2350" s="171"/>
      <c r="AA2350" s="171"/>
    </row>
    <row r="2351" spans="1:27" s="530" customFormat="1" hidden="1" x14ac:dyDescent="0.2">
      <c r="A2351" s="464"/>
      <c r="B2351" s="464"/>
      <c r="C2351" s="465"/>
      <c r="D2351" s="464"/>
      <c r="E2351" s="464"/>
      <c r="F2351" s="494">
        <v>413</v>
      </c>
      <c r="G2351" s="495" t="s">
        <v>4168</v>
      </c>
      <c r="H2351" s="397"/>
      <c r="I2351" s="397"/>
      <c r="J2351" s="750" t="e">
        <f t="shared" si="21"/>
        <v>#DIV/0!</v>
      </c>
      <c r="K2351" s="398"/>
      <c r="L2351" s="398"/>
      <c r="M2351" s="682"/>
      <c r="N2351" s="171"/>
      <c r="O2351" s="171"/>
      <c r="P2351" s="169"/>
      <c r="Q2351" s="171"/>
      <c r="R2351" s="171"/>
      <c r="S2351" s="171"/>
      <c r="T2351" s="171"/>
      <c r="U2351" s="171"/>
      <c r="V2351" s="171"/>
      <c r="W2351" s="171"/>
      <c r="X2351" s="171"/>
      <c r="Y2351" s="171"/>
      <c r="Z2351" s="171"/>
      <c r="AA2351" s="171"/>
    </row>
    <row r="2352" spans="1:27" s="530" customFormat="1" hidden="1" x14ac:dyDescent="0.2">
      <c r="A2352" s="464"/>
      <c r="B2352" s="464"/>
      <c r="C2352" s="465"/>
      <c r="D2352" s="464"/>
      <c r="E2352" s="464"/>
      <c r="F2352" s="494">
        <v>414</v>
      </c>
      <c r="G2352" s="495" t="s">
        <v>3767</v>
      </c>
      <c r="H2352" s="397"/>
      <c r="I2352" s="397"/>
      <c r="J2352" s="750" t="e">
        <f t="shared" si="21"/>
        <v>#DIV/0!</v>
      </c>
      <c r="K2352" s="398"/>
      <c r="L2352" s="398"/>
      <c r="M2352" s="682"/>
      <c r="N2352" s="171"/>
      <c r="O2352" s="171"/>
      <c r="P2352" s="169"/>
      <c r="Q2352" s="171"/>
      <c r="R2352" s="171"/>
      <c r="S2352" s="171"/>
      <c r="T2352" s="171"/>
      <c r="U2352" s="171"/>
      <c r="V2352" s="171"/>
      <c r="W2352" s="171"/>
      <c r="X2352" s="171"/>
      <c r="Y2352" s="171"/>
      <c r="Z2352" s="171"/>
      <c r="AA2352" s="171"/>
    </row>
    <row r="2353" spans="1:27" s="530" customFormat="1" hidden="1" x14ac:dyDescent="0.2">
      <c r="A2353" s="464"/>
      <c r="B2353" s="464"/>
      <c r="C2353" s="465"/>
      <c r="D2353" s="464"/>
      <c r="E2353" s="464"/>
      <c r="F2353" s="494">
        <v>415</v>
      </c>
      <c r="G2353" s="495" t="s">
        <v>4177</v>
      </c>
      <c r="H2353" s="397"/>
      <c r="I2353" s="397"/>
      <c r="J2353" s="750" t="e">
        <f t="shared" si="21"/>
        <v>#DIV/0!</v>
      </c>
      <c r="K2353" s="398"/>
      <c r="L2353" s="398"/>
      <c r="M2353" s="682"/>
      <c r="N2353" s="171"/>
      <c r="O2353" s="171"/>
      <c r="P2353" s="169"/>
      <c r="Q2353" s="171"/>
      <c r="R2353" s="171"/>
      <c r="S2353" s="171"/>
      <c r="T2353" s="171"/>
      <c r="U2353" s="171"/>
      <c r="V2353" s="171"/>
      <c r="W2353" s="171"/>
      <c r="X2353" s="171"/>
      <c r="Y2353" s="171"/>
      <c r="Z2353" s="171"/>
      <c r="AA2353" s="171"/>
    </row>
    <row r="2354" spans="1:27" s="530" customFormat="1" ht="25.5" hidden="1" x14ac:dyDescent="0.2">
      <c r="A2354" s="464"/>
      <c r="B2354" s="464"/>
      <c r="C2354" s="465"/>
      <c r="D2354" s="464"/>
      <c r="E2354" s="464"/>
      <c r="F2354" s="494">
        <v>416</v>
      </c>
      <c r="G2354" s="495" t="s">
        <v>4178</v>
      </c>
      <c r="H2354" s="397"/>
      <c r="I2354" s="397"/>
      <c r="J2354" s="750" t="e">
        <f t="shared" si="21"/>
        <v>#DIV/0!</v>
      </c>
      <c r="K2354" s="398"/>
      <c r="L2354" s="398"/>
      <c r="M2354" s="682"/>
      <c r="N2354" s="171"/>
      <c r="O2354" s="171"/>
      <c r="P2354" s="169"/>
      <c r="Q2354" s="171"/>
      <c r="R2354" s="171"/>
      <c r="S2354" s="171"/>
      <c r="T2354" s="171"/>
      <c r="U2354" s="171"/>
      <c r="V2354" s="171"/>
      <c r="W2354" s="171"/>
      <c r="X2354" s="171"/>
      <c r="Y2354" s="171"/>
      <c r="Z2354" s="171"/>
      <c r="AA2354" s="171"/>
    </row>
    <row r="2355" spans="1:27" s="530" customFormat="1" hidden="1" x14ac:dyDescent="0.2">
      <c r="A2355" s="464"/>
      <c r="B2355" s="464"/>
      <c r="C2355" s="465"/>
      <c r="D2355" s="464"/>
      <c r="E2355" s="464"/>
      <c r="F2355" s="494">
        <v>417</v>
      </c>
      <c r="G2355" s="495" t="s">
        <v>4179</v>
      </c>
      <c r="H2355" s="397"/>
      <c r="I2355" s="397"/>
      <c r="J2355" s="750" t="e">
        <f t="shared" si="21"/>
        <v>#DIV/0!</v>
      </c>
      <c r="K2355" s="398"/>
      <c r="L2355" s="398"/>
      <c r="M2355" s="682"/>
      <c r="N2355" s="171"/>
      <c r="O2355" s="171"/>
      <c r="P2355" s="169"/>
      <c r="Q2355" s="171"/>
      <c r="R2355" s="171"/>
      <c r="S2355" s="171"/>
      <c r="T2355" s="171"/>
      <c r="U2355" s="171"/>
      <c r="V2355" s="171"/>
      <c r="W2355" s="171"/>
      <c r="X2355" s="171"/>
      <c r="Y2355" s="171"/>
      <c r="Z2355" s="171"/>
      <c r="AA2355" s="171"/>
    </row>
    <row r="2356" spans="1:27" s="530" customFormat="1" hidden="1" x14ac:dyDescent="0.2">
      <c r="A2356" s="464"/>
      <c r="B2356" s="464"/>
      <c r="C2356" s="465"/>
      <c r="D2356" s="464"/>
      <c r="E2356" s="464"/>
      <c r="F2356" s="494">
        <v>418</v>
      </c>
      <c r="G2356" s="495" t="s">
        <v>3773</v>
      </c>
      <c r="H2356" s="397"/>
      <c r="I2356" s="397"/>
      <c r="J2356" s="750" t="e">
        <f t="shared" si="21"/>
        <v>#DIV/0!</v>
      </c>
      <c r="K2356" s="398"/>
      <c r="L2356" s="398"/>
      <c r="M2356" s="682"/>
      <c r="N2356" s="171"/>
      <c r="O2356" s="171"/>
      <c r="P2356" s="169"/>
      <c r="Q2356" s="171"/>
      <c r="R2356" s="171"/>
      <c r="S2356" s="171"/>
      <c r="T2356" s="171"/>
      <c r="U2356" s="171"/>
      <c r="V2356" s="171"/>
      <c r="W2356" s="171"/>
      <c r="X2356" s="171"/>
      <c r="Y2356" s="171"/>
      <c r="Z2356" s="171"/>
      <c r="AA2356" s="171"/>
    </row>
    <row r="2357" spans="1:27" s="530" customFormat="1" hidden="1" x14ac:dyDescent="0.2">
      <c r="A2357" s="464"/>
      <c r="B2357" s="464"/>
      <c r="C2357" s="465"/>
      <c r="D2357" s="464"/>
      <c r="E2357" s="464"/>
      <c r="F2357" s="494">
        <v>421</v>
      </c>
      <c r="G2357" s="495" t="s">
        <v>3777</v>
      </c>
      <c r="H2357" s="397"/>
      <c r="I2357" s="397"/>
      <c r="J2357" s="750" t="e">
        <f t="shared" si="21"/>
        <v>#DIV/0!</v>
      </c>
      <c r="K2357" s="398"/>
      <c r="L2357" s="398"/>
      <c r="M2357" s="682"/>
      <c r="N2357" s="171"/>
      <c r="O2357" s="171"/>
      <c r="P2357" s="169"/>
      <c r="Q2357" s="171"/>
      <c r="R2357" s="171"/>
      <c r="S2357" s="171"/>
      <c r="T2357" s="171"/>
      <c r="U2357" s="171"/>
      <c r="V2357" s="171"/>
      <c r="W2357" s="171"/>
      <c r="X2357" s="171"/>
      <c r="Y2357" s="171"/>
      <c r="Z2357" s="171"/>
      <c r="AA2357" s="171"/>
    </row>
    <row r="2358" spans="1:27" s="530" customFormat="1" hidden="1" x14ac:dyDescent="0.2">
      <c r="A2358" s="464"/>
      <c r="B2358" s="464"/>
      <c r="C2358" s="465"/>
      <c r="D2358" s="464"/>
      <c r="E2358" s="464"/>
      <c r="F2358" s="494">
        <v>422</v>
      </c>
      <c r="G2358" s="495" t="s">
        <v>3778</v>
      </c>
      <c r="H2358" s="397"/>
      <c r="I2358" s="397"/>
      <c r="J2358" s="750" t="e">
        <f t="shared" si="21"/>
        <v>#DIV/0!</v>
      </c>
      <c r="K2358" s="398"/>
      <c r="L2358" s="398"/>
      <c r="M2358" s="682"/>
      <c r="N2358" s="171"/>
      <c r="O2358" s="171"/>
      <c r="P2358" s="169"/>
      <c r="Q2358" s="171"/>
      <c r="R2358" s="171"/>
      <c r="S2358" s="171"/>
      <c r="T2358" s="171"/>
      <c r="U2358" s="171"/>
      <c r="V2358" s="171"/>
      <c r="W2358" s="171"/>
      <c r="X2358" s="171"/>
      <c r="Y2358" s="171"/>
      <c r="Z2358" s="171"/>
      <c r="AA2358" s="171"/>
    </row>
    <row r="2359" spans="1:27" s="530" customFormat="1" hidden="1" x14ac:dyDescent="0.2">
      <c r="A2359" s="464"/>
      <c r="B2359" s="464"/>
      <c r="C2359" s="465"/>
      <c r="D2359" s="464"/>
      <c r="E2359" s="464"/>
      <c r="F2359" s="494">
        <v>423</v>
      </c>
      <c r="G2359" s="495" t="s">
        <v>3779</v>
      </c>
      <c r="H2359" s="397"/>
      <c r="I2359" s="397"/>
      <c r="J2359" s="750" t="e">
        <f t="shared" si="21"/>
        <v>#DIV/0!</v>
      </c>
      <c r="K2359" s="398"/>
      <c r="L2359" s="398"/>
      <c r="M2359" s="682"/>
      <c r="N2359" s="171"/>
      <c r="O2359" s="171"/>
      <c r="P2359" s="169"/>
      <c r="Q2359" s="171"/>
      <c r="R2359" s="171"/>
      <c r="S2359" s="171"/>
      <c r="T2359" s="171"/>
      <c r="U2359" s="171"/>
      <c r="V2359" s="171"/>
      <c r="W2359" s="171"/>
      <c r="X2359" s="171"/>
      <c r="Y2359" s="171"/>
      <c r="Z2359" s="171"/>
      <c r="AA2359" s="171"/>
    </row>
    <row r="2360" spans="1:27" s="530" customFormat="1" hidden="1" x14ac:dyDescent="0.2">
      <c r="A2360" s="464"/>
      <c r="B2360" s="464"/>
      <c r="C2360" s="465"/>
      <c r="D2360" s="464"/>
      <c r="E2360" s="464"/>
      <c r="F2360" s="494">
        <v>424</v>
      </c>
      <c r="G2360" s="495" t="s">
        <v>3781</v>
      </c>
      <c r="H2360" s="397"/>
      <c r="I2360" s="397"/>
      <c r="J2360" s="750" t="e">
        <f t="shared" si="21"/>
        <v>#DIV/0!</v>
      </c>
      <c r="K2360" s="398"/>
      <c r="L2360" s="398"/>
      <c r="M2360" s="682"/>
      <c r="N2360" s="171"/>
      <c r="O2360" s="171"/>
      <c r="P2360" s="169"/>
      <c r="Q2360" s="171"/>
      <c r="R2360" s="171"/>
      <c r="S2360" s="171"/>
      <c r="T2360" s="171"/>
      <c r="U2360" s="171"/>
      <c r="V2360" s="171"/>
      <c r="W2360" s="171"/>
      <c r="X2360" s="171"/>
      <c r="Y2360" s="171"/>
      <c r="Z2360" s="171"/>
      <c r="AA2360" s="171"/>
    </row>
    <row r="2361" spans="1:27" s="530" customFormat="1" hidden="1" x14ac:dyDescent="0.2">
      <c r="A2361" s="464"/>
      <c r="B2361" s="464"/>
      <c r="C2361" s="465"/>
      <c r="D2361" s="464"/>
      <c r="E2361" s="464"/>
      <c r="F2361" s="494">
        <v>425</v>
      </c>
      <c r="G2361" s="495" t="s">
        <v>4180</v>
      </c>
      <c r="H2361" s="397"/>
      <c r="I2361" s="397"/>
      <c r="J2361" s="750" t="e">
        <f t="shared" si="21"/>
        <v>#DIV/0!</v>
      </c>
      <c r="K2361" s="398"/>
      <c r="L2361" s="398"/>
      <c r="M2361" s="682"/>
      <c r="N2361" s="171"/>
      <c r="O2361" s="171"/>
      <c r="P2361" s="169"/>
      <c r="Q2361" s="171"/>
      <c r="R2361" s="171"/>
      <c r="S2361" s="171"/>
      <c r="T2361" s="171"/>
      <c r="U2361" s="171"/>
      <c r="V2361" s="171"/>
      <c r="W2361" s="171"/>
      <c r="X2361" s="171"/>
      <c r="Y2361" s="171"/>
      <c r="Z2361" s="171"/>
      <c r="AA2361" s="171"/>
    </row>
    <row r="2362" spans="1:27" s="530" customFormat="1" hidden="1" x14ac:dyDescent="0.2">
      <c r="A2362" s="464"/>
      <c r="B2362" s="464"/>
      <c r="C2362" s="465"/>
      <c r="D2362" s="464"/>
      <c r="E2362" s="464"/>
      <c r="F2362" s="494">
        <v>426</v>
      </c>
      <c r="G2362" s="495" t="s">
        <v>3785</v>
      </c>
      <c r="H2362" s="397"/>
      <c r="I2362" s="397"/>
      <c r="J2362" s="750" t="e">
        <f t="shared" si="21"/>
        <v>#DIV/0!</v>
      </c>
      <c r="K2362" s="398"/>
      <c r="L2362" s="398"/>
      <c r="M2362" s="682"/>
      <c r="N2362" s="171"/>
      <c r="O2362" s="171"/>
      <c r="P2362" s="169"/>
      <c r="Q2362" s="171"/>
      <c r="R2362" s="171"/>
      <c r="S2362" s="171"/>
      <c r="T2362" s="171"/>
      <c r="U2362" s="171"/>
      <c r="V2362" s="171"/>
      <c r="W2362" s="171"/>
      <c r="X2362" s="171"/>
      <c r="Y2362" s="171"/>
      <c r="Z2362" s="171"/>
      <c r="AA2362" s="171"/>
    </row>
    <row r="2363" spans="1:27" s="530" customFormat="1" hidden="1" x14ac:dyDescent="0.2">
      <c r="A2363" s="464"/>
      <c r="B2363" s="464"/>
      <c r="C2363" s="465"/>
      <c r="D2363" s="464"/>
      <c r="E2363" s="464"/>
      <c r="F2363" s="494">
        <v>431</v>
      </c>
      <c r="G2363" s="495" t="s">
        <v>4181</v>
      </c>
      <c r="H2363" s="397"/>
      <c r="I2363" s="397"/>
      <c r="J2363" s="750" t="e">
        <f t="shared" si="21"/>
        <v>#DIV/0!</v>
      </c>
      <c r="K2363" s="398"/>
      <c r="L2363" s="398"/>
      <c r="M2363" s="682"/>
      <c r="N2363" s="171"/>
      <c r="O2363" s="171"/>
      <c r="P2363" s="169"/>
      <c r="Q2363" s="171"/>
      <c r="R2363" s="171"/>
      <c r="S2363" s="171"/>
      <c r="T2363" s="171"/>
      <c r="U2363" s="171"/>
      <c r="V2363" s="171"/>
      <c r="W2363" s="171"/>
      <c r="X2363" s="171"/>
      <c r="Y2363" s="171"/>
      <c r="Z2363" s="171"/>
      <c r="AA2363" s="171"/>
    </row>
    <row r="2364" spans="1:27" s="530" customFormat="1" hidden="1" x14ac:dyDescent="0.2">
      <c r="A2364" s="464"/>
      <c r="B2364" s="464"/>
      <c r="C2364" s="465"/>
      <c r="D2364" s="464"/>
      <c r="E2364" s="464"/>
      <c r="F2364" s="494">
        <v>432</v>
      </c>
      <c r="G2364" s="495" t="s">
        <v>4182</v>
      </c>
      <c r="H2364" s="397"/>
      <c r="I2364" s="397"/>
      <c r="J2364" s="750" t="e">
        <f t="shared" si="21"/>
        <v>#DIV/0!</v>
      </c>
      <c r="K2364" s="398"/>
      <c r="L2364" s="398"/>
      <c r="M2364" s="682"/>
      <c r="N2364" s="171"/>
      <c r="O2364" s="171"/>
      <c r="P2364" s="169"/>
      <c r="Q2364" s="171"/>
      <c r="R2364" s="171"/>
      <c r="S2364" s="171"/>
      <c r="T2364" s="171"/>
      <c r="U2364" s="171"/>
      <c r="V2364" s="171"/>
      <c r="W2364" s="171"/>
      <c r="X2364" s="171"/>
      <c r="Y2364" s="171"/>
      <c r="Z2364" s="171"/>
      <c r="AA2364" s="171"/>
    </row>
    <row r="2365" spans="1:27" s="530" customFormat="1" hidden="1" x14ac:dyDescent="0.2">
      <c r="A2365" s="464"/>
      <c r="B2365" s="464"/>
      <c r="C2365" s="465"/>
      <c r="D2365" s="464"/>
      <c r="E2365" s="464"/>
      <c r="F2365" s="494">
        <v>433</v>
      </c>
      <c r="G2365" s="495" t="s">
        <v>4183</v>
      </c>
      <c r="H2365" s="397"/>
      <c r="I2365" s="397"/>
      <c r="J2365" s="750" t="e">
        <f t="shared" si="21"/>
        <v>#DIV/0!</v>
      </c>
      <c r="K2365" s="398"/>
      <c r="L2365" s="398"/>
      <c r="M2365" s="682"/>
      <c r="N2365" s="171"/>
      <c r="O2365" s="171"/>
      <c r="P2365" s="169"/>
      <c r="Q2365" s="171"/>
      <c r="R2365" s="171"/>
      <c r="S2365" s="171"/>
      <c r="T2365" s="171"/>
      <c r="U2365" s="171"/>
      <c r="V2365" s="171"/>
      <c r="W2365" s="171"/>
      <c r="X2365" s="171"/>
      <c r="Y2365" s="171"/>
      <c r="Z2365" s="171"/>
      <c r="AA2365" s="171"/>
    </row>
    <row r="2366" spans="1:27" s="530" customFormat="1" hidden="1" x14ac:dyDescent="0.2">
      <c r="A2366" s="464"/>
      <c r="B2366" s="464"/>
      <c r="C2366" s="465"/>
      <c r="D2366" s="464"/>
      <c r="E2366" s="464"/>
      <c r="F2366" s="494">
        <v>434</v>
      </c>
      <c r="G2366" s="495" t="s">
        <v>4184</v>
      </c>
      <c r="H2366" s="397"/>
      <c r="I2366" s="397"/>
      <c r="J2366" s="750" t="e">
        <f t="shared" si="21"/>
        <v>#DIV/0!</v>
      </c>
      <c r="K2366" s="398"/>
      <c r="L2366" s="398"/>
      <c r="M2366" s="682"/>
      <c r="N2366" s="171"/>
      <c r="O2366" s="171"/>
      <c r="P2366" s="169"/>
      <c r="Q2366" s="171"/>
      <c r="R2366" s="171"/>
      <c r="S2366" s="171"/>
      <c r="T2366" s="171"/>
      <c r="U2366" s="171"/>
      <c r="V2366" s="171"/>
      <c r="W2366" s="171"/>
      <c r="X2366" s="171"/>
      <c r="Y2366" s="171"/>
      <c r="Z2366" s="171"/>
      <c r="AA2366" s="171"/>
    </row>
    <row r="2367" spans="1:27" s="530" customFormat="1" hidden="1" x14ac:dyDescent="0.2">
      <c r="A2367" s="464"/>
      <c r="B2367" s="464"/>
      <c r="C2367" s="465"/>
      <c r="D2367" s="464"/>
      <c r="E2367" s="464"/>
      <c r="F2367" s="494">
        <v>435</v>
      </c>
      <c r="G2367" s="495" t="s">
        <v>3792</v>
      </c>
      <c r="H2367" s="397"/>
      <c r="I2367" s="397"/>
      <c r="J2367" s="750" t="e">
        <f t="shared" si="21"/>
        <v>#DIV/0!</v>
      </c>
      <c r="K2367" s="398"/>
      <c r="L2367" s="398"/>
      <c r="M2367" s="682"/>
      <c r="N2367" s="171"/>
      <c r="O2367" s="171"/>
      <c r="P2367" s="169"/>
      <c r="Q2367" s="171"/>
      <c r="R2367" s="171"/>
      <c r="S2367" s="171"/>
      <c r="T2367" s="171"/>
      <c r="U2367" s="171"/>
      <c r="V2367" s="171"/>
      <c r="W2367" s="171"/>
      <c r="X2367" s="171"/>
      <c r="Y2367" s="171"/>
      <c r="Z2367" s="171"/>
      <c r="AA2367" s="171"/>
    </row>
    <row r="2368" spans="1:27" s="530" customFormat="1" hidden="1" x14ac:dyDescent="0.2">
      <c r="A2368" s="464"/>
      <c r="B2368" s="464"/>
      <c r="C2368" s="465"/>
      <c r="D2368" s="464"/>
      <c r="E2368" s="464"/>
      <c r="F2368" s="494">
        <v>441</v>
      </c>
      <c r="G2368" s="495" t="s">
        <v>4185</v>
      </c>
      <c r="H2368" s="397"/>
      <c r="I2368" s="397"/>
      <c r="J2368" s="750" t="e">
        <f t="shared" si="21"/>
        <v>#DIV/0!</v>
      </c>
      <c r="K2368" s="398"/>
      <c r="L2368" s="398"/>
      <c r="M2368" s="682"/>
      <c r="N2368" s="171"/>
      <c r="O2368" s="171"/>
      <c r="P2368" s="169"/>
      <c r="Q2368" s="171"/>
      <c r="R2368" s="171"/>
      <c r="S2368" s="171"/>
      <c r="T2368" s="171"/>
      <c r="U2368" s="171"/>
      <c r="V2368" s="171"/>
      <c r="W2368" s="171"/>
      <c r="X2368" s="171"/>
      <c r="Y2368" s="171"/>
      <c r="Z2368" s="171"/>
      <c r="AA2368" s="171"/>
    </row>
    <row r="2369" spans="1:27" s="530" customFormat="1" hidden="1" x14ac:dyDescent="0.2">
      <c r="A2369" s="464"/>
      <c r="B2369" s="464"/>
      <c r="C2369" s="465"/>
      <c r="D2369" s="464"/>
      <c r="E2369" s="464"/>
      <c r="F2369" s="494">
        <v>442</v>
      </c>
      <c r="G2369" s="495" t="s">
        <v>4186</v>
      </c>
      <c r="H2369" s="397"/>
      <c r="I2369" s="397"/>
      <c r="J2369" s="750" t="e">
        <f t="shared" si="21"/>
        <v>#DIV/0!</v>
      </c>
      <c r="K2369" s="398"/>
      <c r="L2369" s="398"/>
      <c r="M2369" s="682"/>
      <c r="N2369" s="171"/>
      <c r="O2369" s="171"/>
      <c r="P2369" s="169"/>
      <c r="Q2369" s="171"/>
      <c r="R2369" s="171"/>
      <c r="S2369" s="171"/>
      <c r="T2369" s="171"/>
      <c r="U2369" s="171"/>
      <c r="V2369" s="171"/>
      <c r="W2369" s="171"/>
      <c r="X2369" s="171"/>
      <c r="Y2369" s="171"/>
      <c r="Z2369" s="171"/>
      <c r="AA2369" s="171"/>
    </row>
    <row r="2370" spans="1:27" s="530" customFormat="1" hidden="1" x14ac:dyDescent="0.2">
      <c r="A2370" s="464"/>
      <c r="B2370" s="464"/>
      <c r="C2370" s="465"/>
      <c r="D2370" s="464"/>
      <c r="E2370" s="464"/>
      <c r="F2370" s="494">
        <v>443</v>
      </c>
      <c r="G2370" s="495" t="s">
        <v>3797</v>
      </c>
      <c r="H2370" s="397"/>
      <c r="I2370" s="397"/>
      <c r="J2370" s="750" t="e">
        <f t="shared" si="21"/>
        <v>#DIV/0!</v>
      </c>
      <c r="K2370" s="398"/>
      <c r="L2370" s="398"/>
      <c r="M2370" s="682"/>
      <c r="N2370" s="171"/>
      <c r="O2370" s="171"/>
      <c r="P2370" s="169"/>
      <c r="Q2370" s="171"/>
      <c r="R2370" s="171"/>
      <c r="S2370" s="171"/>
      <c r="T2370" s="171"/>
      <c r="U2370" s="171"/>
      <c r="V2370" s="171"/>
      <c r="W2370" s="171"/>
      <c r="X2370" s="171"/>
      <c r="Y2370" s="171"/>
      <c r="Z2370" s="171"/>
      <c r="AA2370" s="171"/>
    </row>
    <row r="2371" spans="1:27" s="530" customFormat="1" hidden="1" x14ac:dyDescent="0.2">
      <c r="A2371" s="464"/>
      <c r="B2371" s="464"/>
      <c r="C2371" s="465"/>
      <c r="D2371" s="464"/>
      <c r="E2371" s="464"/>
      <c r="F2371" s="494">
        <v>444</v>
      </c>
      <c r="G2371" s="495" t="s">
        <v>3798</v>
      </c>
      <c r="H2371" s="397"/>
      <c r="I2371" s="397"/>
      <c r="J2371" s="750" t="e">
        <f t="shared" si="21"/>
        <v>#DIV/0!</v>
      </c>
      <c r="K2371" s="398"/>
      <c r="L2371" s="398"/>
      <c r="M2371" s="682"/>
      <c r="N2371" s="171"/>
      <c r="O2371" s="171"/>
      <c r="P2371" s="169"/>
      <c r="Q2371" s="171"/>
      <c r="R2371" s="171"/>
      <c r="S2371" s="171"/>
      <c r="T2371" s="171"/>
      <c r="U2371" s="171"/>
      <c r="V2371" s="171"/>
      <c r="W2371" s="171"/>
      <c r="X2371" s="171"/>
      <c r="Y2371" s="171"/>
      <c r="Z2371" s="171"/>
      <c r="AA2371" s="171"/>
    </row>
    <row r="2372" spans="1:27" s="530" customFormat="1" ht="25.5" hidden="1" x14ac:dyDescent="0.2">
      <c r="A2372" s="464"/>
      <c r="B2372" s="464"/>
      <c r="C2372" s="465"/>
      <c r="D2372" s="464"/>
      <c r="E2372" s="464"/>
      <c r="F2372" s="494">
        <v>4511</v>
      </c>
      <c r="G2372" s="466" t="s">
        <v>1692</v>
      </c>
      <c r="H2372" s="397"/>
      <c r="I2372" s="397"/>
      <c r="J2372" s="750" t="e">
        <f t="shared" si="21"/>
        <v>#DIV/0!</v>
      </c>
      <c r="K2372" s="398"/>
      <c r="L2372" s="398"/>
      <c r="M2372" s="682"/>
      <c r="N2372" s="171"/>
      <c r="O2372" s="171"/>
      <c r="P2372" s="169"/>
      <c r="Q2372" s="171"/>
      <c r="R2372" s="171"/>
      <c r="S2372" s="171"/>
      <c r="T2372" s="171"/>
      <c r="U2372" s="171"/>
      <c r="V2372" s="171"/>
      <c r="W2372" s="171"/>
      <c r="X2372" s="171"/>
      <c r="Y2372" s="171"/>
      <c r="Z2372" s="171"/>
      <c r="AA2372" s="171"/>
    </row>
    <row r="2373" spans="1:27" s="530" customFormat="1" ht="25.5" hidden="1" x14ac:dyDescent="0.2">
      <c r="A2373" s="464"/>
      <c r="B2373" s="464"/>
      <c r="C2373" s="465"/>
      <c r="D2373" s="464"/>
      <c r="E2373" s="464"/>
      <c r="F2373" s="494">
        <v>4512</v>
      </c>
      <c r="G2373" s="466" t="s">
        <v>1701</v>
      </c>
      <c r="H2373" s="397"/>
      <c r="I2373" s="397"/>
      <c r="J2373" s="750" t="e">
        <f t="shared" si="21"/>
        <v>#DIV/0!</v>
      </c>
      <c r="K2373" s="398"/>
      <c r="L2373" s="398"/>
      <c r="M2373" s="682"/>
      <c r="N2373" s="171"/>
      <c r="O2373" s="171"/>
      <c r="P2373" s="169"/>
      <c r="Q2373" s="171"/>
      <c r="R2373" s="171"/>
      <c r="S2373" s="171"/>
      <c r="T2373" s="171"/>
      <c r="U2373" s="171"/>
      <c r="V2373" s="171"/>
      <c r="W2373" s="171"/>
      <c r="X2373" s="171"/>
      <c r="Y2373" s="171"/>
      <c r="Z2373" s="171"/>
      <c r="AA2373" s="171"/>
    </row>
    <row r="2374" spans="1:27" s="530" customFormat="1" ht="25.5" hidden="1" x14ac:dyDescent="0.2">
      <c r="A2374" s="464"/>
      <c r="B2374" s="464"/>
      <c r="C2374" s="465"/>
      <c r="D2374" s="464"/>
      <c r="E2374" s="464"/>
      <c r="F2374" s="494">
        <v>452</v>
      </c>
      <c r="G2374" s="495" t="s">
        <v>4187</v>
      </c>
      <c r="H2374" s="397"/>
      <c r="I2374" s="397"/>
      <c r="J2374" s="750" t="e">
        <f t="shared" si="21"/>
        <v>#DIV/0!</v>
      </c>
      <c r="K2374" s="398"/>
      <c r="L2374" s="398"/>
      <c r="M2374" s="682"/>
      <c r="N2374" s="171"/>
      <c r="O2374" s="171"/>
      <c r="P2374" s="169"/>
      <c r="Q2374" s="171"/>
      <c r="R2374" s="171"/>
      <c r="S2374" s="171"/>
      <c r="T2374" s="171"/>
      <c r="U2374" s="171"/>
      <c r="V2374" s="171"/>
      <c r="W2374" s="171"/>
      <c r="X2374" s="171"/>
      <c r="Y2374" s="171"/>
      <c r="Z2374" s="171"/>
      <c r="AA2374" s="171"/>
    </row>
    <row r="2375" spans="1:27" s="530" customFormat="1" ht="25.5" hidden="1" x14ac:dyDescent="0.2">
      <c r="A2375" s="464"/>
      <c r="B2375" s="464"/>
      <c r="C2375" s="465"/>
      <c r="D2375" s="464"/>
      <c r="E2375" s="464"/>
      <c r="F2375" s="494">
        <v>453</v>
      </c>
      <c r="G2375" s="495" t="s">
        <v>4188</v>
      </c>
      <c r="H2375" s="397"/>
      <c r="I2375" s="397"/>
      <c r="J2375" s="750" t="e">
        <f t="shared" si="21"/>
        <v>#DIV/0!</v>
      </c>
      <c r="K2375" s="398"/>
      <c r="L2375" s="398"/>
      <c r="M2375" s="682"/>
      <c r="N2375" s="171"/>
      <c r="O2375" s="171"/>
      <c r="P2375" s="169"/>
      <c r="Q2375" s="171"/>
      <c r="R2375" s="171"/>
      <c r="S2375" s="171"/>
      <c r="T2375" s="171"/>
      <c r="U2375" s="171"/>
      <c r="V2375" s="171"/>
      <c r="W2375" s="171"/>
      <c r="X2375" s="171"/>
      <c r="Y2375" s="171"/>
      <c r="Z2375" s="171"/>
      <c r="AA2375" s="171"/>
    </row>
    <row r="2376" spans="1:27" s="530" customFormat="1" hidden="1" x14ac:dyDescent="0.2">
      <c r="A2376" s="464"/>
      <c r="B2376" s="464"/>
      <c r="C2376" s="465"/>
      <c r="D2376" s="464"/>
      <c r="E2376" s="464"/>
      <c r="F2376" s="494">
        <v>454</v>
      </c>
      <c r="G2376" s="495" t="s">
        <v>3803</v>
      </c>
      <c r="H2376" s="397"/>
      <c r="I2376" s="397"/>
      <c r="J2376" s="750" t="e">
        <f t="shared" si="21"/>
        <v>#DIV/0!</v>
      </c>
      <c r="K2376" s="398"/>
      <c r="L2376" s="398"/>
      <c r="M2376" s="682"/>
      <c r="N2376" s="171"/>
      <c r="O2376" s="171"/>
      <c r="P2376" s="169"/>
      <c r="Q2376" s="171"/>
      <c r="R2376" s="171"/>
      <c r="S2376" s="171"/>
      <c r="T2376" s="171"/>
      <c r="U2376" s="171"/>
      <c r="V2376" s="171"/>
      <c r="W2376" s="171"/>
      <c r="X2376" s="171"/>
      <c r="Y2376" s="171"/>
      <c r="Z2376" s="171"/>
      <c r="AA2376" s="171"/>
    </row>
    <row r="2377" spans="1:27" s="530" customFormat="1" hidden="1" x14ac:dyDescent="0.2">
      <c r="A2377" s="464"/>
      <c r="B2377" s="464"/>
      <c r="C2377" s="465"/>
      <c r="D2377" s="464"/>
      <c r="E2377" s="464"/>
      <c r="F2377" s="494">
        <v>461</v>
      </c>
      <c r="G2377" s="495" t="s">
        <v>4169</v>
      </c>
      <c r="H2377" s="397"/>
      <c r="I2377" s="397"/>
      <c r="J2377" s="750" t="e">
        <f t="shared" si="21"/>
        <v>#DIV/0!</v>
      </c>
      <c r="K2377" s="398"/>
      <c r="L2377" s="398"/>
      <c r="M2377" s="682"/>
      <c r="N2377" s="171"/>
      <c r="O2377" s="171"/>
      <c r="P2377" s="169"/>
      <c r="Q2377" s="171"/>
      <c r="R2377" s="171"/>
      <c r="S2377" s="171"/>
      <c r="T2377" s="171"/>
      <c r="U2377" s="171"/>
      <c r="V2377" s="171"/>
      <c r="W2377" s="171"/>
      <c r="X2377" s="171"/>
      <c r="Y2377" s="171"/>
      <c r="Z2377" s="171"/>
      <c r="AA2377" s="171"/>
    </row>
    <row r="2378" spans="1:27" s="530" customFormat="1" ht="25.5" hidden="1" x14ac:dyDescent="0.2">
      <c r="A2378" s="464"/>
      <c r="B2378" s="464"/>
      <c r="C2378" s="465"/>
      <c r="D2378" s="464"/>
      <c r="E2378" s="464"/>
      <c r="F2378" s="494">
        <v>462</v>
      </c>
      <c r="G2378" s="495" t="s">
        <v>3806</v>
      </c>
      <c r="H2378" s="397"/>
      <c r="I2378" s="397"/>
      <c r="J2378" s="750" t="e">
        <f t="shared" si="21"/>
        <v>#DIV/0!</v>
      </c>
      <c r="K2378" s="398"/>
      <c r="L2378" s="398"/>
      <c r="M2378" s="682"/>
      <c r="N2378" s="171"/>
      <c r="O2378" s="171"/>
      <c r="P2378" s="169"/>
      <c r="Q2378" s="171"/>
      <c r="R2378" s="171"/>
      <c r="S2378" s="171"/>
      <c r="T2378" s="171"/>
      <c r="U2378" s="171"/>
      <c r="V2378" s="171"/>
      <c r="W2378" s="171"/>
      <c r="X2378" s="171"/>
      <c r="Y2378" s="171"/>
      <c r="Z2378" s="171"/>
      <c r="AA2378" s="171"/>
    </row>
    <row r="2379" spans="1:27" s="530" customFormat="1" hidden="1" x14ac:dyDescent="0.2">
      <c r="A2379" s="464"/>
      <c r="B2379" s="464"/>
      <c r="C2379" s="465"/>
      <c r="D2379" s="464"/>
      <c r="E2379" s="464"/>
      <c r="F2379" s="494">
        <v>4631</v>
      </c>
      <c r="G2379" s="495" t="s">
        <v>3807</v>
      </c>
      <c r="H2379" s="397"/>
      <c r="I2379" s="397"/>
      <c r="J2379" s="750" t="e">
        <f t="shared" si="21"/>
        <v>#DIV/0!</v>
      </c>
      <c r="K2379" s="398"/>
      <c r="L2379" s="398"/>
      <c r="M2379" s="682"/>
      <c r="N2379" s="171"/>
      <c r="O2379" s="171"/>
      <c r="P2379" s="169"/>
      <c r="Q2379" s="171"/>
      <c r="R2379" s="171"/>
      <c r="S2379" s="171"/>
      <c r="T2379" s="171"/>
      <c r="U2379" s="171"/>
      <c r="V2379" s="171"/>
      <c r="W2379" s="171"/>
      <c r="X2379" s="171"/>
      <c r="Y2379" s="171"/>
      <c r="Z2379" s="171"/>
      <c r="AA2379" s="171"/>
    </row>
    <row r="2380" spans="1:27" s="530" customFormat="1" hidden="1" x14ac:dyDescent="0.2">
      <c r="A2380" s="464"/>
      <c r="B2380" s="464"/>
      <c r="C2380" s="465"/>
      <c r="D2380" s="464"/>
      <c r="E2380" s="464"/>
      <c r="F2380" s="494">
        <v>4632</v>
      </c>
      <c r="G2380" s="495" t="s">
        <v>3808</v>
      </c>
      <c r="H2380" s="397"/>
      <c r="I2380" s="397"/>
      <c r="J2380" s="750" t="e">
        <f t="shared" si="21"/>
        <v>#DIV/0!</v>
      </c>
      <c r="K2380" s="398"/>
      <c r="L2380" s="398"/>
      <c r="M2380" s="682"/>
      <c r="N2380" s="171"/>
      <c r="O2380" s="171"/>
      <c r="P2380" s="169"/>
      <c r="Q2380" s="171"/>
      <c r="R2380" s="171"/>
      <c r="S2380" s="171"/>
      <c r="T2380" s="171"/>
      <c r="U2380" s="171"/>
      <c r="V2380" s="171"/>
      <c r="W2380" s="171"/>
      <c r="X2380" s="171"/>
      <c r="Y2380" s="171"/>
      <c r="Z2380" s="171"/>
      <c r="AA2380" s="171"/>
    </row>
    <row r="2381" spans="1:27" s="530" customFormat="1" ht="25.5" hidden="1" x14ac:dyDescent="0.2">
      <c r="A2381" s="464"/>
      <c r="B2381" s="464"/>
      <c r="C2381" s="465"/>
      <c r="D2381" s="464"/>
      <c r="E2381" s="464"/>
      <c r="F2381" s="494">
        <v>464</v>
      </c>
      <c r="G2381" s="495" t="s">
        <v>3809</v>
      </c>
      <c r="H2381" s="397"/>
      <c r="I2381" s="397"/>
      <c r="J2381" s="750" t="e">
        <f t="shared" ref="J2381:J2444" si="22">SUM(I2381/H2381)*100</f>
        <v>#DIV/0!</v>
      </c>
      <c r="K2381" s="398"/>
      <c r="L2381" s="398"/>
      <c r="M2381" s="682"/>
      <c r="N2381" s="171"/>
      <c r="O2381" s="171"/>
      <c r="P2381" s="169"/>
      <c r="Q2381" s="171"/>
      <c r="R2381" s="171"/>
      <c r="S2381" s="171"/>
      <c r="T2381" s="171"/>
      <c r="U2381" s="171"/>
      <c r="V2381" s="171"/>
      <c r="W2381" s="171"/>
      <c r="X2381" s="171"/>
      <c r="Y2381" s="171"/>
      <c r="Z2381" s="171"/>
      <c r="AA2381" s="171"/>
    </row>
    <row r="2382" spans="1:27" s="530" customFormat="1" hidden="1" x14ac:dyDescent="0.2">
      <c r="A2382" s="464"/>
      <c r="B2382" s="464"/>
      <c r="C2382" s="465"/>
      <c r="D2382" s="464"/>
      <c r="E2382" s="464"/>
      <c r="F2382" s="494">
        <v>465</v>
      </c>
      <c r="G2382" s="495" t="s">
        <v>4170</v>
      </c>
      <c r="H2382" s="397"/>
      <c r="I2382" s="397"/>
      <c r="J2382" s="750" t="e">
        <f t="shared" si="22"/>
        <v>#DIV/0!</v>
      </c>
      <c r="K2382" s="398"/>
      <c r="L2382" s="398"/>
      <c r="M2382" s="682"/>
      <c r="N2382" s="171"/>
      <c r="O2382" s="171"/>
      <c r="P2382" s="169"/>
      <c r="Q2382" s="171"/>
      <c r="R2382" s="171"/>
      <c r="S2382" s="171"/>
      <c r="T2382" s="171"/>
      <c r="U2382" s="171"/>
      <c r="V2382" s="171"/>
      <c r="W2382" s="171"/>
      <c r="X2382" s="171"/>
      <c r="Y2382" s="171"/>
      <c r="Z2382" s="171"/>
      <c r="AA2382" s="171"/>
    </row>
    <row r="2383" spans="1:27" s="530" customFormat="1" hidden="1" x14ac:dyDescent="0.2">
      <c r="A2383" s="464"/>
      <c r="B2383" s="464"/>
      <c r="C2383" s="465"/>
      <c r="D2383" s="464"/>
      <c r="E2383" s="464"/>
      <c r="F2383" s="494">
        <v>472</v>
      </c>
      <c r="G2383" s="495" t="s">
        <v>3813</v>
      </c>
      <c r="H2383" s="397"/>
      <c r="I2383" s="397"/>
      <c r="J2383" s="750" t="e">
        <f t="shared" si="22"/>
        <v>#DIV/0!</v>
      </c>
      <c r="K2383" s="398"/>
      <c r="L2383" s="398"/>
      <c r="M2383" s="682"/>
      <c r="N2383" s="171"/>
      <c r="O2383" s="171"/>
      <c r="P2383" s="169"/>
      <c r="Q2383" s="171"/>
      <c r="R2383" s="171"/>
      <c r="S2383" s="171"/>
      <c r="T2383" s="171"/>
      <c r="U2383" s="171"/>
      <c r="V2383" s="171"/>
      <c r="W2383" s="171"/>
      <c r="X2383" s="171"/>
      <c r="Y2383" s="171"/>
      <c r="Z2383" s="171"/>
      <c r="AA2383" s="171"/>
    </row>
    <row r="2384" spans="1:27" s="530" customFormat="1" hidden="1" x14ac:dyDescent="0.2">
      <c r="A2384" s="464"/>
      <c r="B2384" s="464"/>
      <c r="C2384" s="465"/>
      <c r="D2384" s="464"/>
      <c r="E2384" s="464"/>
      <c r="F2384" s="494">
        <v>481</v>
      </c>
      <c r="G2384" s="495" t="s">
        <v>4189</v>
      </c>
      <c r="H2384" s="397"/>
      <c r="I2384" s="397"/>
      <c r="J2384" s="750" t="e">
        <f t="shared" si="22"/>
        <v>#DIV/0!</v>
      </c>
      <c r="K2384" s="398"/>
      <c r="L2384" s="398"/>
      <c r="M2384" s="682"/>
      <c r="N2384" s="171"/>
      <c r="O2384" s="171"/>
      <c r="P2384" s="169"/>
      <c r="Q2384" s="171"/>
      <c r="R2384" s="171"/>
      <c r="S2384" s="171"/>
      <c r="T2384" s="171"/>
      <c r="U2384" s="171"/>
      <c r="V2384" s="171"/>
      <c r="W2384" s="171"/>
      <c r="X2384" s="171"/>
      <c r="Y2384" s="171"/>
      <c r="Z2384" s="171"/>
      <c r="AA2384" s="171"/>
    </row>
    <row r="2385" spans="1:27" s="530" customFormat="1" hidden="1" x14ac:dyDescent="0.2">
      <c r="A2385" s="464"/>
      <c r="B2385" s="464"/>
      <c r="C2385" s="465"/>
      <c r="D2385" s="464"/>
      <c r="E2385" s="464"/>
      <c r="F2385" s="494">
        <v>482</v>
      </c>
      <c r="G2385" s="495" t="s">
        <v>4190</v>
      </c>
      <c r="H2385" s="397"/>
      <c r="I2385" s="397"/>
      <c r="J2385" s="750" t="e">
        <f t="shared" si="22"/>
        <v>#DIV/0!</v>
      </c>
      <c r="K2385" s="398"/>
      <c r="L2385" s="398"/>
      <c r="M2385" s="682"/>
      <c r="N2385" s="171"/>
      <c r="O2385" s="171"/>
      <c r="P2385" s="169"/>
      <c r="Q2385" s="171"/>
      <c r="R2385" s="171"/>
      <c r="S2385" s="171"/>
      <c r="T2385" s="171"/>
      <c r="U2385" s="171"/>
      <c r="V2385" s="171"/>
      <c r="W2385" s="171"/>
      <c r="X2385" s="171"/>
      <c r="Y2385" s="171"/>
      <c r="Z2385" s="171"/>
      <c r="AA2385" s="171"/>
    </row>
    <row r="2386" spans="1:27" s="530" customFormat="1" hidden="1" x14ac:dyDescent="0.2">
      <c r="A2386" s="464"/>
      <c r="B2386" s="464"/>
      <c r="C2386" s="465"/>
      <c r="D2386" s="464"/>
      <c r="E2386" s="464"/>
      <c r="F2386" s="494">
        <v>483</v>
      </c>
      <c r="G2386" s="497" t="s">
        <v>4191</v>
      </c>
      <c r="H2386" s="397"/>
      <c r="I2386" s="397"/>
      <c r="J2386" s="750" t="e">
        <f t="shared" si="22"/>
        <v>#DIV/0!</v>
      </c>
      <c r="K2386" s="398"/>
      <c r="L2386" s="398"/>
      <c r="M2386" s="682"/>
      <c r="N2386" s="171"/>
      <c r="O2386" s="171"/>
      <c r="P2386" s="169"/>
      <c r="Q2386" s="171"/>
      <c r="R2386" s="171"/>
      <c r="S2386" s="171"/>
      <c r="T2386" s="171"/>
      <c r="U2386" s="171"/>
      <c r="V2386" s="171"/>
      <c r="W2386" s="171"/>
      <c r="X2386" s="171"/>
      <c r="Y2386" s="171"/>
      <c r="Z2386" s="171"/>
      <c r="AA2386" s="171"/>
    </row>
    <row r="2387" spans="1:27" s="530" customFormat="1" ht="38.25" hidden="1" x14ac:dyDescent="0.2">
      <c r="A2387" s="464"/>
      <c r="B2387" s="464"/>
      <c r="C2387" s="465"/>
      <c r="D2387" s="464"/>
      <c r="E2387" s="464"/>
      <c r="F2387" s="494">
        <v>484</v>
      </c>
      <c r="G2387" s="495" t="s">
        <v>4192</v>
      </c>
      <c r="H2387" s="397"/>
      <c r="I2387" s="397"/>
      <c r="J2387" s="750" t="e">
        <f t="shared" si="22"/>
        <v>#DIV/0!</v>
      </c>
      <c r="K2387" s="398"/>
      <c r="L2387" s="398"/>
      <c r="M2387" s="682"/>
      <c r="N2387" s="171"/>
      <c r="O2387" s="171"/>
      <c r="P2387" s="169"/>
      <c r="Q2387" s="171"/>
      <c r="R2387" s="171"/>
      <c r="S2387" s="171"/>
      <c r="T2387" s="171"/>
      <c r="U2387" s="171"/>
      <c r="V2387" s="171"/>
      <c r="W2387" s="171"/>
      <c r="X2387" s="171"/>
      <c r="Y2387" s="171"/>
      <c r="Z2387" s="171"/>
      <c r="AA2387" s="171"/>
    </row>
    <row r="2388" spans="1:27" s="530" customFormat="1" ht="25.5" hidden="1" x14ac:dyDescent="0.2">
      <c r="A2388" s="464"/>
      <c r="B2388" s="464"/>
      <c r="C2388" s="465"/>
      <c r="D2388" s="464"/>
      <c r="E2388" s="464"/>
      <c r="F2388" s="494">
        <v>485</v>
      </c>
      <c r="G2388" s="495" t="s">
        <v>4193</v>
      </c>
      <c r="H2388" s="397"/>
      <c r="I2388" s="397"/>
      <c r="J2388" s="750" t="e">
        <f t="shared" si="22"/>
        <v>#DIV/0!</v>
      </c>
      <c r="K2388" s="398"/>
      <c r="L2388" s="398"/>
      <c r="M2388" s="682"/>
      <c r="N2388" s="171"/>
      <c r="O2388" s="171"/>
      <c r="P2388" s="169"/>
      <c r="Q2388" s="171"/>
      <c r="R2388" s="171"/>
      <c r="S2388" s="171"/>
      <c r="T2388" s="171"/>
      <c r="U2388" s="171"/>
      <c r="V2388" s="171"/>
      <c r="W2388" s="171"/>
      <c r="X2388" s="171"/>
      <c r="Y2388" s="171"/>
      <c r="Z2388" s="171"/>
      <c r="AA2388" s="171"/>
    </row>
    <row r="2389" spans="1:27" s="530" customFormat="1" ht="25.5" hidden="1" x14ac:dyDescent="0.2">
      <c r="A2389" s="464"/>
      <c r="B2389" s="464"/>
      <c r="C2389" s="465"/>
      <c r="D2389" s="464"/>
      <c r="E2389" s="464"/>
      <c r="F2389" s="494">
        <v>489</v>
      </c>
      <c r="G2389" s="495" t="s">
        <v>3821</v>
      </c>
      <c r="H2389" s="397"/>
      <c r="I2389" s="397"/>
      <c r="J2389" s="750" t="e">
        <f t="shared" si="22"/>
        <v>#DIV/0!</v>
      </c>
      <c r="K2389" s="398"/>
      <c r="L2389" s="398"/>
      <c r="M2389" s="682"/>
      <c r="N2389" s="171"/>
      <c r="O2389" s="171"/>
      <c r="P2389" s="169"/>
      <c r="Q2389" s="171"/>
      <c r="R2389" s="171"/>
      <c r="S2389" s="171"/>
      <c r="T2389" s="171"/>
      <c r="U2389" s="171"/>
      <c r="V2389" s="171"/>
      <c r="W2389" s="171"/>
      <c r="X2389" s="171"/>
      <c r="Y2389" s="171"/>
      <c r="Z2389" s="171"/>
      <c r="AA2389" s="171"/>
    </row>
    <row r="2390" spans="1:27" s="530" customFormat="1" ht="25.5" hidden="1" x14ac:dyDescent="0.2">
      <c r="A2390" s="464"/>
      <c r="B2390" s="464"/>
      <c r="C2390" s="465"/>
      <c r="D2390" s="464"/>
      <c r="E2390" s="464"/>
      <c r="F2390" s="494">
        <v>494</v>
      </c>
      <c r="G2390" s="495" t="s">
        <v>4171</v>
      </c>
      <c r="H2390" s="397"/>
      <c r="I2390" s="397"/>
      <c r="J2390" s="750" t="e">
        <f t="shared" si="22"/>
        <v>#DIV/0!</v>
      </c>
      <c r="K2390" s="398"/>
      <c r="L2390" s="398"/>
      <c r="M2390" s="682"/>
      <c r="N2390" s="171"/>
      <c r="O2390" s="171"/>
      <c r="P2390" s="169"/>
      <c r="Q2390" s="171"/>
      <c r="R2390" s="171"/>
      <c r="S2390" s="171"/>
      <c r="T2390" s="171"/>
      <c r="U2390" s="171"/>
      <c r="V2390" s="171"/>
      <c r="W2390" s="171"/>
      <c r="X2390" s="171"/>
      <c r="Y2390" s="171"/>
      <c r="Z2390" s="171"/>
      <c r="AA2390" s="171"/>
    </row>
    <row r="2391" spans="1:27" s="530" customFormat="1" ht="25.5" hidden="1" x14ac:dyDescent="0.2">
      <c r="A2391" s="464"/>
      <c r="B2391" s="464"/>
      <c r="C2391" s="465"/>
      <c r="D2391" s="464"/>
      <c r="E2391" s="464"/>
      <c r="F2391" s="494">
        <v>495</v>
      </c>
      <c r="G2391" s="495" t="s">
        <v>4172</v>
      </c>
      <c r="H2391" s="397"/>
      <c r="I2391" s="397"/>
      <c r="J2391" s="750" t="e">
        <f t="shared" si="22"/>
        <v>#DIV/0!</v>
      </c>
      <c r="K2391" s="398"/>
      <c r="L2391" s="398"/>
      <c r="M2391" s="682"/>
      <c r="N2391" s="171"/>
      <c r="O2391" s="171"/>
      <c r="P2391" s="169"/>
      <c r="Q2391" s="171"/>
      <c r="R2391" s="171"/>
      <c r="S2391" s="171"/>
      <c r="T2391" s="171"/>
      <c r="U2391" s="171"/>
      <c r="V2391" s="171"/>
      <c r="W2391" s="171"/>
      <c r="X2391" s="171"/>
      <c r="Y2391" s="171"/>
      <c r="Z2391" s="171"/>
      <c r="AA2391" s="171"/>
    </row>
    <row r="2392" spans="1:27" s="530" customFormat="1" ht="38.25" hidden="1" x14ac:dyDescent="0.2">
      <c r="A2392" s="464"/>
      <c r="B2392" s="464"/>
      <c r="C2392" s="465"/>
      <c r="D2392" s="464"/>
      <c r="E2392" s="464"/>
      <c r="F2392" s="494">
        <v>496</v>
      </c>
      <c r="G2392" s="495" t="s">
        <v>4173</v>
      </c>
      <c r="H2392" s="397"/>
      <c r="I2392" s="397"/>
      <c r="J2392" s="750" t="e">
        <f t="shared" si="22"/>
        <v>#DIV/0!</v>
      </c>
      <c r="K2392" s="398"/>
      <c r="L2392" s="398"/>
      <c r="M2392" s="682"/>
      <c r="N2392" s="171"/>
      <c r="O2392" s="171"/>
      <c r="P2392" s="169"/>
      <c r="Q2392" s="171"/>
      <c r="R2392" s="171"/>
      <c r="S2392" s="171"/>
      <c r="T2392" s="171"/>
      <c r="U2392" s="171"/>
      <c r="V2392" s="171"/>
      <c r="W2392" s="171"/>
      <c r="X2392" s="171"/>
      <c r="Y2392" s="171"/>
      <c r="Z2392" s="171"/>
      <c r="AA2392" s="171"/>
    </row>
    <row r="2393" spans="1:27" s="530" customFormat="1" ht="25.5" hidden="1" x14ac:dyDescent="0.2">
      <c r="A2393" s="464"/>
      <c r="B2393" s="464"/>
      <c r="C2393" s="465"/>
      <c r="D2393" s="464"/>
      <c r="E2393" s="464"/>
      <c r="F2393" s="494">
        <v>499</v>
      </c>
      <c r="G2393" s="495" t="s">
        <v>4174</v>
      </c>
      <c r="H2393" s="397"/>
      <c r="I2393" s="397"/>
      <c r="J2393" s="750" t="e">
        <f t="shared" si="22"/>
        <v>#DIV/0!</v>
      </c>
      <c r="K2393" s="398"/>
      <c r="L2393" s="398"/>
      <c r="M2393" s="682"/>
      <c r="N2393" s="171"/>
      <c r="O2393" s="171"/>
      <c r="P2393" s="169"/>
      <c r="Q2393" s="171"/>
      <c r="R2393" s="171"/>
      <c r="S2393" s="171"/>
      <c r="T2393" s="171"/>
      <c r="U2393" s="171"/>
      <c r="V2393" s="171"/>
      <c r="W2393" s="171"/>
      <c r="X2393" s="171"/>
      <c r="Y2393" s="171"/>
      <c r="Z2393" s="171"/>
      <c r="AA2393" s="171"/>
    </row>
    <row r="2394" spans="1:27" s="530" customFormat="1" ht="13.5" thickBot="1" x14ac:dyDescent="0.25">
      <c r="A2394" s="464"/>
      <c r="B2394" s="464"/>
      <c r="C2394" s="465"/>
      <c r="D2394" s="464"/>
      <c r="E2394" s="464">
        <v>132</v>
      </c>
      <c r="F2394" s="494">
        <v>511</v>
      </c>
      <c r="G2394" s="497" t="s">
        <v>4194</v>
      </c>
      <c r="H2394" s="397">
        <v>2135000</v>
      </c>
      <c r="I2394" s="397">
        <v>1664786.43</v>
      </c>
      <c r="J2394" s="750">
        <f t="shared" si="22"/>
        <v>77.975945199063219</v>
      </c>
      <c r="K2394" s="398">
        <v>3965000</v>
      </c>
      <c r="L2394" s="398">
        <v>3327832.87</v>
      </c>
      <c r="M2394" s="682"/>
      <c r="N2394" s="171"/>
      <c r="O2394" s="171"/>
      <c r="P2394" s="169"/>
      <c r="Q2394" s="171"/>
      <c r="R2394" s="171"/>
      <c r="S2394" s="171"/>
      <c r="T2394" s="171"/>
      <c r="U2394" s="171"/>
      <c r="V2394" s="171"/>
      <c r="W2394" s="171"/>
      <c r="X2394" s="171"/>
      <c r="Y2394" s="171"/>
      <c r="Z2394" s="171"/>
      <c r="AA2394" s="171"/>
    </row>
    <row r="2395" spans="1:27" s="530" customFormat="1" ht="13.5" hidden="1" thickBot="1" x14ac:dyDescent="0.25">
      <c r="A2395" s="464"/>
      <c r="B2395" s="464"/>
      <c r="C2395" s="465"/>
      <c r="D2395" s="464"/>
      <c r="E2395" s="464"/>
      <c r="F2395" s="494">
        <v>512</v>
      </c>
      <c r="G2395" s="497" t="s">
        <v>4195</v>
      </c>
      <c r="H2395" s="397"/>
      <c r="I2395" s="397"/>
      <c r="J2395" s="750" t="e">
        <f t="shared" si="22"/>
        <v>#DIV/0!</v>
      </c>
      <c r="K2395" s="398"/>
      <c r="L2395" s="398"/>
      <c r="M2395" s="682"/>
      <c r="N2395" s="171"/>
      <c r="O2395" s="171"/>
      <c r="P2395" s="169"/>
      <c r="Q2395" s="171"/>
      <c r="R2395" s="171"/>
      <c r="S2395" s="171"/>
      <c r="T2395" s="171"/>
      <c r="U2395" s="171"/>
      <c r="V2395" s="171"/>
      <c r="W2395" s="171"/>
      <c r="X2395" s="171"/>
      <c r="Y2395" s="171"/>
      <c r="Z2395" s="171"/>
      <c r="AA2395" s="171"/>
    </row>
    <row r="2396" spans="1:27" s="530" customFormat="1" ht="13.5" hidden="1" thickBot="1" x14ac:dyDescent="0.25">
      <c r="A2396" s="464"/>
      <c r="B2396" s="464"/>
      <c r="C2396" s="465"/>
      <c r="D2396" s="464"/>
      <c r="E2396" s="464"/>
      <c r="F2396" s="494">
        <v>513</v>
      </c>
      <c r="G2396" s="497" t="s">
        <v>4196</v>
      </c>
      <c r="H2396" s="397"/>
      <c r="I2396" s="397"/>
      <c r="J2396" s="750" t="e">
        <f t="shared" si="22"/>
        <v>#DIV/0!</v>
      </c>
      <c r="K2396" s="398"/>
      <c r="L2396" s="398"/>
      <c r="M2396" s="682"/>
      <c r="N2396" s="171"/>
      <c r="O2396" s="171"/>
      <c r="P2396" s="169"/>
      <c r="Q2396" s="171"/>
      <c r="R2396" s="171"/>
      <c r="S2396" s="171"/>
      <c r="T2396" s="171"/>
      <c r="U2396" s="171"/>
      <c r="V2396" s="171"/>
      <c r="W2396" s="171"/>
      <c r="X2396" s="171"/>
      <c r="Y2396" s="171"/>
      <c r="Z2396" s="171"/>
      <c r="AA2396" s="171"/>
    </row>
    <row r="2397" spans="1:27" s="530" customFormat="1" ht="13.5" hidden="1" thickBot="1" x14ac:dyDescent="0.25">
      <c r="A2397" s="464"/>
      <c r="B2397" s="464"/>
      <c r="C2397" s="465"/>
      <c r="D2397" s="464"/>
      <c r="E2397" s="464"/>
      <c r="F2397" s="494">
        <v>514</v>
      </c>
      <c r="G2397" s="495" t="s">
        <v>4197</v>
      </c>
      <c r="H2397" s="397"/>
      <c r="I2397" s="397"/>
      <c r="J2397" s="750" t="e">
        <f t="shared" si="22"/>
        <v>#DIV/0!</v>
      </c>
      <c r="K2397" s="398"/>
      <c r="L2397" s="398"/>
      <c r="M2397" s="682"/>
      <c r="N2397" s="171"/>
      <c r="O2397" s="171"/>
      <c r="P2397" s="169"/>
      <c r="Q2397" s="171"/>
      <c r="R2397" s="171"/>
      <c r="S2397" s="171"/>
      <c r="T2397" s="171"/>
      <c r="U2397" s="171"/>
      <c r="V2397" s="171"/>
      <c r="W2397" s="171"/>
      <c r="X2397" s="171"/>
      <c r="Y2397" s="171"/>
      <c r="Z2397" s="171"/>
      <c r="AA2397" s="171"/>
    </row>
    <row r="2398" spans="1:27" s="530" customFormat="1" ht="13.5" hidden="1" thickBot="1" x14ac:dyDescent="0.25">
      <c r="A2398" s="464"/>
      <c r="B2398" s="464"/>
      <c r="C2398" s="465"/>
      <c r="D2398" s="464"/>
      <c r="E2398" s="464"/>
      <c r="F2398" s="494">
        <v>515</v>
      </c>
      <c r="G2398" s="495" t="s">
        <v>3832</v>
      </c>
      <c r="H2398" s="397"/>
      <c r="I2398" s="397"/>
      <c r="J2398" s="750" t="e">
        <f t="shared" si="22"/>
        <v>#DIV/0!</v>
      </c>
      <c r="K2398" s="398"/>
      <c r="L2398" s="398"/>
      <c r="M2398" s="682"/>
      <c r="N2398" s="171"/>
      <c r="O2398" s="171"/>
      <c r="P2398" s="169"/>
      <c r="Q2398" s="171"/>
      <c r="R2398" s="171"/>
      <c r="S2398" s="171"/>
      <c r="T2398" s="171"/>
      <c r="U2398" s="171"/>
      <c r="V2398" s="171"/>
      <c r="W2398" s="171"/>
      <c r="X2398" s="171"/>
      <c r="Y2398" s="171"/>
      <c r="Z2398" s="171"/>
      <c r="AA2398" s="171"/>
    </row>
    <row r="2399" spans="1:27" s="530" customFormat="1" ht="13.5" hidden="1" thickBot="1" x14ac:dyDescent="0.25">
      <c r="A2399" s="464"/>
      <c r="B2399" s="464"/>
      <c r="C2399" s="465"/>
      <c r="D2399" s="464"/>
      <c r="E2399" s="464"/>
      <c r="F2399" s="494">
        <v>521</v>
      </c>
      <c r="G2399" s="495" t="s">
        <v>4198</v>
      </c>
      <c r="H2399" s="397"/>
      <c r="I2399" s="397"/>
      <c r="J2399" s="750" t="e">
        <f t="shared" si="22"/>
        <v>#DIV/0!</v>
      </c>
      <c r="K2399" s="398"/>
      <c r="L2399" s="398"/>
      <c r="M2399" s="682"/>
      <c r="N2399" s="171"/>
      <c r="O2399" s="171"/>
      <c r="P2399" s="169"/>
      <c r="Q2399" s="171"/>
      <c r="R2399" s="171"/>
      <c r="S2399" s="171"/>
      <c r="T2399" s="171"/>
      <c r="U2399" s="171"/>
      <c r="V2399" s="171"/>
      <c r="W2399" s="171"/>
      <c r="X2399" s="171"/>
      <c r="Y2399" s="171"/>
      <c r="Z2399" s="171"/>
      <c r="AA2399" s="171"/>
    </row>
    <row r="2400" spans="1:27" s="530" customFormat="1" ht="13.5" hidden="1" thickBot="1" x14ac:dyDescent="0.25">
      <c r="A2400" s="464"/>
      <c r="B2400" s="464"/>
      <c r="C2400" s="465"/>
      <c r="D2400" s="464"/>
      <c r="E2400" s="464"/>
      <c r="F2400" s="494">
        <v>522</v>
      </c>
      <c r="G2400" s="495" t="s">
        <v>4199</v>
      </c>
      <c r="H2400" s="397"/>
      <c r="I2400" s="397"/>
      <c r="J2400" s="750" t="e">
        <f t="shared" si="22"/>
        <v>#DIV/0!</v>
      </c>
      <c r="K2400" s="398"/>
      <c r="L2400" s="398"/>
      <c r="M2400" s="682"/>
      <c r="N2400" s="171"/>
      <c r="O2400" s="171"/>
      <c r="P2400" s="169"/>
      <c r="Q2400" s="171"/>
      <c r="R2400" s="171"/>
      <c r="S2400" s="171"/>
      <c r="T2400" s="171"/>
      <c r="U2400" s="171"/>
      <c r="V2400" s="171"/>
      <c r="W2400" s="171"/>
      <c r="X2400" s="171"/>
      <c r="Y2400" s="171"/>
      <c r="Z2400" s="171"/>
      <c r="AA2400" s="171"/>
    </row>
    <row r="2401" spans="1:27" s="530" customFormat="1" ht="13.5" hidden="1" thickBot="1" x14ac:dyDescent="0.25">
      <c r="A2401" s="464"/>
      <c r="B2401" s="464"/>
      <c r="C2401" s="465"/>
      <c r="D2401" s="464"/>
      <c r="E2401" s="464"/>
      <c r="F2401" s="494">
        <v>523</v>
      </c>
      <c r="G2401" s="495" t="s">
        <v>3837</v>
      </c>
      <c r="H2401" s="397"/>
      <c r="I2401" s="397"/>
      <c r="J2401" s="750" t="e">
        <f t="shared" si="22"/>
        <v>#DIV/0!</v>
      </c>
      <c r="K2401" s="398"/>
      <c r="L2401" s="398"/>
      <c r="M2401" s="682"/>
      <c r="N2401" s="171"/>
      <c r="O2401" s="171"/>
      <c r="P2401" s="169"/>
      <c r="Q2401" s="171"/>
      <c r="R2401" s="171"/>
      <c r="S2401" s="171"/>
      <c r="T2401" s="171"/>
      <c r="U2401" s="171"/>
      <c r="V2401" s="171"/>
      <c r="W2401" s="171"/>
      <c r="X2401" s="171"/>
      <c r="Y2401" s="171"/>
      <c r="Z2401" s="171"/>
      <c r="AA2401" s="171"/>
    </row>
    <row r="2402" spans="1:27" s="530" customFormat="1" ht="13.5" hidden="1" thickBot="1" x14ac:dyDescent="0.25">
      <c r="A2402" s="464"/>
      <c r="B2402" s="464"/>
      <c r="C2402" s="465"/>
      <c r="D2402" s="464"/>
      <c r="E2402" s="464"/>
      <c r="F2402" s="494">
        <v>531</v>
      </c>
      <c r="G2402" s="496" t="s">
        <v>4175</v>
      </c>
      <c r="H2402" s="397"/>
      <c r="I2402" s="397"/>
      <c r="J2402" s="750" t="e">
        <f t="shared" si="22"/>
        <v>#DIV/0!</v>
      </c>
      <c r="K2402" s="398"/>
      <c r="L2402" s="398"/>
      <c r="M2402" s="682"/>
      <c r="N2402" s="171"/>
      <c r="O2402" s="171"/>
      <c r="P2402" s="169"/>
      <c r="Q2402" s="171"/>
      <c r="R2402" s="171"/>
      <c r="S2402" s="171"/>
      <c r="T2402" s="171"/>
      <c r="U2402" s="171"/>
      <c r="V2402" s="171"/>
      <c r="W2402" s="171"/>
      <c r="X2402" s="171"/>
      <c r="Y2402" s="171"/>
      <c r="Z2402" s="171"/>
      <c r="AA2402" s="171"/>
    </row>
    <row r="2403" spans="1:27" s="530" customFormat="1" ht="13.5" hidden="1" thickBot="1" x14ac:dyDescent="0.25">
      <c r="A2403" s="464"/>
      <c r="B2403" s="464"/>
      <c r="C2403" s="465"/>
      <c r="D2403" s="464"/>
      <c r="E2403" s="464"/>
      <c r="F2403" s="494">
        <v>541</v>
      </c>
      <c r="G2403" s="495" t="s">
        <v>4200</v>
      </c>
      <c r="H2403" s="397"/>
      <c r="I2403" s="397"/>
      <c r="J2403" s="750" t="e">
        <f t="shared" si="22"/>
        <v>#DIV/0!</v>
      </c>
      <c r="K2403" s="398"/>
      <c r="L2403" s="398"/>
      <c r="M2403" s="682"/>
      <c r="N2403" s="171"/>
      <c r="O2403" s="171"/>
      <c r="P2403" s="169"/>
      <c r="Q2403" s="171"/>
      <c r="R2403" s="171"/>
      <c r="S2403" s="171"/>
      <c r="T2403" s="171"/>
      <c r="U2403" s="171"/>
      <c r="V2403" s="171"/>
      <c r="W2403" s="171"/>
      <c r="X2403" s="171"/>
      <c r="Y2403" s="171"/>
      <c r="Z2403" s="171"/>
      <c r="AA2403" s="171"/>
    </row>
    <row r="2404" spans="1:27" s="530" customFormat="1" ht="13.5" hidden="1" thickBot="1" x14ac:dyDescent="0.25">
      <c r="A2404" s="464"/>
      <c r="B2404" s="464"/>
      <c r="C2404" s="465"/>
      <c r="D2404" s="464"/>
      <c r="E2404" s="464"/>
      <c r="F2404" s="494">
        <v>542</v>
      </c>
      <c r="G2404" s="495" t="s">
        <v>4201</v>
      </c>
      <c r="H2404" s="397"/>
      <c r="I2404" s="397"/>
      <c r="J2404" s="750" t="e">
        <f t="shared" si="22"/>
        <v>#DIV/0!</v>
      </c>
      <c r="K2404" s="398"/>
      <c r="L2404" s="398"/>
      <c r="M2404" s="682"/>
      <c r="N2404" s="171"/>
      <c r="O2404" s="171"/>
      <c r="P2404" s="169"/>
      <c r="Q2404" s="171"/>
      <c r="R2404" s="171"/>
      <c r="S2404" s="171"/>
      <c r="T2404" s="171"/>
      <c r="U2404" s="171"/>
      <c r="V2404" s="171"/>
      <c r="W2404" s="171"/>
      <c r="X2404" s="171"/>
      <c r="Y2404" s="171"/>
      <c r="Z2404" s="171"/>
      <c r="AA2404" s="171"/>
    </row>
    <row r="2405" spans="1:27" s="530" customFormat="1" ht="13.5" hidden="1" thickBot="1" x14ac:dyDescent="0.25">
      <c r="A2405" s="464"/>
      <c r="B2405" s="464"/>
      <c r="C2405" s="465"/>
      <c r="D2405" s="464"/>
      <c r="E2405" s="464"/>
      <c r="F2405" s="494">
        <v>543</v>
      </c>
      <c r="G2405" s="495" t="s">
        <v>3842</v>
      </c>
      <c r="H2405" s="397"/>
      <c r="I2405" s="397"/>
      <c r="J2405" s="750" t="e">
        <f t="shared" si="22"/>
        <v>#DIV/0!</v>
      </c>
      <c r="K2405" s="398"/>
      <c r="L2405" s="398"/>
      <c r="M2405" s="682"/>
      <c r="N2405" s="171"/>
      <c r="O2405" s="171"/>
      <c r="P2405" s="169"/>
      <c r="Q2405" s="171"/>
      <c r="R2405" s="171"/>
      <c r="S2405" s="171"/>
      <c r="T2405" s="171"/>
      <c r="U2405" s="171"/>
      <c r="V2405" s="171"/>
      <c r="W2405" s="171"/>
      <c r="X2405" s="171"/>
      <c r="Y2405" s="171"/>
      <c r="Z2405" s="171"/>
      <c r="AA2405" s="171"/>
    </row>
    <row r="2406" spans="1:27" s="530" customFormat="1" ht="39" hidden="1" thickBot="1" x14ac:dyDescent="0.25">
      <c r="A2406" s="464"/>
      <c r="B2406" s="464"/>
      <c r="C2406" s="465"/>
      <c r="D2406" s="464"/>
      <c r="E2406" s="464"/>
      <c r="F2406" s="494">
        <v>551</v>
      </c>
      <c r="G2406" s="495" t="s">
        <v>4176</v>
      </c>
      <c r="H2406" s="397"/>
      <c r="I2406" s="397"/>
      <c r="J2406" s="750" t="e">
        <f t="shared" si="22"/>
        <v>#DIV/0!</v>
      </c>
      <c r="K2406" s="398"/>
      <c r="L2406" s="398"/>
      <c r="M2406" s="682"/>
      <c r="N2406" s="171"/>
      <c r="O2406" s="171"/>
      <c r="P2406" s="169"/>
      <c r="Q2406" s="171"/>
      <c r="R2406" s="171"/>
      <c r="S2406" s="171"/>
      <c r="T2406" s="171"/>
      <c r="U2406" s="171"/>
      <c r="V2406" s="171"/>
      <c r="W2406" s="171"/>
      <c r="X2406" s="171"/>
      <c r="Y2406" s="171"/>
      <c r="Z2406" s="171"/>
      <c r="AA2406" s="171"/>
    </row>
    <row r="2407" spans="1:27" s="530" customFormat="1" ht="13.5" hidden="1" thickBot="1" x14ac:dyDescent="0.25">
      <c r="A2407" s="464"/>
      <c r="B2407" s="464"/>
      <c r="C2407" s="465"/>
      <c r="D2407" s="464"/>
      <c r="E2407" s="464"/>
      <c r="F2407" s="498">
        <v>611</v>
      </c>
      <c r="G2407" s="499" t="s">
        <v>3848</v>
      </c>
      <c r="H2407" s="397"/>
      <c r="I2407" s="397"/>
      <c r="J2407" s="750" t="e">
        <f t="shared" si="22"/>
        <v>#DIV/0!</v>
      </c>
      <c r="K2407" s="398"/>
      <c r="L2407" s="398"/>
      <c r="M2407" s="682"/>
      <c r="N2407" s="171"/>
      <c r="O2407" s="171"/>
      <c r="P2407" s="169"/>
      <c r="Q2407" s="171"/>
      <c r="R2407" s="171"/>
      <c r="S2407" s="171"/>
      <c r="T2407" s="171"/>
      <c r="U2407" s="171"/>
      <c r="V2407" s="171"/>
      <c r="W2407" s="171"/>
      <c r="X2407" s="171"/>
      <c r="Y2407" s="171"/>
      <c r="Z2407" s="171"/>
      <c r="AA2407" s="171"/>
    </row>
    <row r="2408" spans="1:27" s="530" customFormat="1" ht="13.5" hidden="1" thickBot="1" x14ac:dyDescent="0.25">
      <c r="A2408" s="464"/>
      <c r="B2408" s="464"/>
      <c r="C2408" s="465"/>
      <c r="D2408" s="464"/>
      <c r="E2408" s="464"/>
      <c r="F2408" s="498">
        <v>620</v>
      </c>
      <c r="G2408" s="499" t="s">
        <v>88</v>
      </c>
      <c r="H2408" s="397"/>
      <c r="I2408" s="397"/>
      <c r="J2408" s="750" t="e">
        <f t="shared" si="22"/>
        <v>#DIV/0!</v>
      </c>
      <c r="K2408" s="398"/>
      <c r="L2408" s="398"/>
      <c r="M2408" s="682"/>
      <c r="N2408" s="171"/>
      <c r="O2408" s="171"/>
      <c r="P2408" s="169"/>
      <c r="Q2408" s="171"/>
      <c r="R2408" s="171"/>
      <c r="S2408" s="171"/>
      <c r="T2408" s="171"/>
      <c r="U2408" s="171"/>
      <c r="V2408" s="171"/>
      <c r="W2408" s="171"/>
      <c r="X2408" s="171"/>
      <c r="Y2408" s="171"/>
      <c r="Z2408" s="171"/>
      <c r="AA2408" s="171"/>
    </row>
    <row r="2409" spans="1:27" s="530" customFormat="1" x14ac:dyDescent="0.2">
      <c r="A2409" s="464"/>
      <c r="B2409" s="464"/>
      <c r="C2409" s="465"/>
      <c r="D2409" s="464"/>
      <c r="E2409" s="500"/>
      <c r="F2409" s="498"/>
      <c r="G2409" s="509" t="s">
        <v>4378</v>
      </c>
      <c r="H2409" s="400"/>
      <c r="I2409" s="400"/>
      <c r="J2409" s="750"/>
      <c r="K2409" s="401"/>
      <c r="L2409" s="402"/>
      <c r="M2409" s="682"/>
      <c r="N2409" s="171"/>
      <c r="O2409" s="171"/>
      <c r="P2409" s="169"/>
      <c r="Q2409" s="171"/>
      <c r="R2409" s="171"/>
      <c r="S2409" s="171"/>
      <c r="T2409" s="171"/>
      <c r="U2409" s="171"/>
      <c r="V2409" s="171"/>
      <c r="W2409" s="171"/>
      <c r="X2409" s="171"/>
      <c r="Y2409" s="171"/>
      <c r="Z2409" s="171"/>
      <c r="AA2409" s="171"/>
    </row>
    <row r="2410" spans="1:27" s="530" customFormat="1" hidden="1" x14ac:dyDescent="0.2">
      <c r="A2410" s="464"/>
      <c r="B2410" s="464"/>
      <c r="C2410" s="465"/>
      <c r="D2410" s="464"/>
      <c r="E2410" s="502"/>
      <c r="F2410" s="503" t="s">
        <v>234</v>
      </c>
      <c r="G2410" s="504" t="s">
        <v>235</v>
      </c>
      <c r="H2410" s="403"/>
      <c r="I2410" s="403"/>
      <c r="J2410" s="750"/>
      <c r="K2410" s="404"/>
      <c r="L2410" s="404"/>
      <c r="M2410" s="682"/>
      <c r="N2410" s="171"/>
      <c r="O2410" s="171"/>
      <c r="P2410" s="169"/>
      <c r="Q2410" s="171"/>
      <c r="R2410" s="171"/>
      <c r="S2410" s="171"/>
      <c r="T2410" s="171"/>
      <c r="U2410" s="171"/>
      <c r="V2410" s="171"/>
      <c r="W2410" s="171"/>
      <c r="X2410" s="171"/>
      <c r="Y2410" s="171"/>
      <c r="Z2410" s="171"/>
      <c r="AA2410" s="171"/>
    </row>
    <row r="2411" spans="1:27" s="530" customFormat="1" hidden="1" x14ac:dyDescent="0.2">
      <c r="A2411" s="464"/>
      <c r="B2411" s="464"/>
      <c r="C2411" s="465"/>
      <c r="D2411" s="464"/>
      <c r="E2411" s="464"/>
      <c r="F2411" s="503" t="s">
        <v>236</v>
      </c>
      <c r="G2411" s="504" t="s">
        <v>237</v>
      </c>
      <c r="H2411" s="397"/>
      <c r="I2411" s="397"/>
      <c r="J2411" s="750"/>
      <c r="K2411" s="398"/>
      <c r="L2411" s="404"/>
      <c r="M2411" s="682"/>
      <c r="N2411" s="171"/>
      <c r="O2411" s="171"/>
      <c r="P2411" s="169"/>
      <c r="Q2411" s="171"/>
      <c r="R2411" s="171"/>
      <c r="S2411" s="171"/>
      <c r="T2411" s="171"/>
      <c r="U2411" s="171"/>
      <c r="V2411" s="171"/>
      <c r="W2411" s="171"/>
      <c r="X2411" s="171"/>
      <c r="Y2411" s="171"/>
      <c r="Z2411" s="171"/>
      <c r="AA2411" s="171"/>
    </row>
    <row r="2412" spans="1:27" s="530" customFormat="1" hidden="1" x14ac:dyDescent="0.2">
      <c r="A2412" s="464"/>
      <c r="B2412" s="464"/>
      <c r="C2412" s="465"/>
      <c r="D2412" s="464"/>
      <c r="E2412" s="464"/>
      <c r="F2412" s="503" t="s">
        <v>238</v>
      </c>
      <c r="G2412" s="504" t="s">
        <v>239</v>
      </c>
      <c r="H2412" s="397"/>
      <c r="I2412" s="397"/>
      <c r="J2412" s="750"/>
      <c r="K2412" s="398"/>
      <c r="L2412" s="404"/>
      <c r="M2412" s="682"/>
      <c r="N2412" s="171"/>
      <c r="O2412" s="171"/>
      <c r="P2412" s="169"/>
      <c r="Q2412" s="171"/>
      <c r="R2412" s="171"/>
      <c r="S2412" s="171"/>
      <c r="T2412" s="171"/>
      <c r="U2412" s="171"/>
      <c r="V2412" s="171"/>
      <c r="W2412" s="171"/>
      <c r="X2412" s="171"/>
      <c r="Y2412" s="171"/>
      <c r="Z2412" s="171"/>
      <c r="AA2412" s="171"/>
    </row>
    <row r="2413" spans="1:27" s="530" customFormat="1" hidden="1" x14ac:dyDescent="0.2">
      <c r="A2413" s="464"/>
      <c r="B2413" s="464"/>
      <c r="C2413" s="465"/>
      <c r="D2413" s="464"/>
      <c r="E2413" s="464"/>
      <c r="F2413" s="503" t="s">
        <v>240</v>
      </c>
      <c r="G2413" s="504" t="s">
        <v>241</v>
      </c>
      <c r="H2413" s="397"/>
      <c r="I2413" s="397"/>
      <c r="J2413" s="750"/>
      <c r="K2413" s="398"/>
      <c r="L2413" s="404"/>
      <c r="M2413" s="682"/>
      <c r="N2413" s="171"/>
      <c r="O2413" s="171"/>
      <c r="P2413" s="169"/>
      <c r="Q2413" s="171"/>
      <c r="R2413" s="171"/>
      <c r="S2413" s="171"/>
      <c r="T2413" s="171"/>
      <c r="U2413" s="171"/>
      <c r="V2413" s="171"/>
      <c r="W2413" s="171"/>
      <c r="X2413" s="171"/>
      <c r="Y2413" s="171"/>
      <c r="Z2413" s="171"/>
      <c r="AA2413" s="171"/>
    </row>
    <row r="2414" spans="1:27" s="530" customFormat="1" hidden="1" x14ac:dyDescent="0.2">
      <c r="A2414" s="464"/>
      <c r="B2414" s="464"/>
      <c r="C2414" s="465"/>
      <c r="D2414" s="464"/>
      <c r="E2414" s="464"/>
      <c r="F2414" s="503" t="s">
        <v>242</v>
      </c>
      <c r="G2414" s="504" t="s">
        <v>243</v>
      </c>
      <c r="H2414" s="397"/>
      <c r="I2414" s="397"/>
      <c r="J2414" s="750"/>
      <c r="K2414" s="398"/>
      <c r="L2414" s="404"/>
      <c r="M2414" s="682"/>
      <c r="N2414" s="171"/>
      <c r="O2414" s="171"/>
      <c r="P2414" s="169"/>
      <c r="Q2414" s="171"/>
      <c r="R2414" s="171"/>
      <c r="S2414" s="171"/>
      <c r="T2414" s="171"/>
      <c r="U2414" s="171"/>
      <c r="V2414" s="171"/>
      <c r="W2414" s="171"/>
      <c r="X2414" s="171"/>
      <c r="Y2414" s="171"/>
      <c r="Z2414" s="171"/>
      <c r="AA2414" s="171"/>
    </row>
    <row r="2415" spans="1:27" s="530" customFormat="1" hidden="1" x14ac:dyDescent="0.2">
      <c r="A2415" s="464"/>
      <c r="B2415" s="464"/>
      <c r="C2415" s="465"/>
      <c r="D2415" s="464"/>
      <c r="E2415" s="464"/>
      <c r="F2415" s="503" t="s">
        <v>244</v>
      </c>
      <c r="G2415" s="504" t="s">
        <v>245</v>
      </c>
      <c r="H2415" s="397"/>
      <c r="I2415" s="397"/>
      <c r="J2415" s="750"/>
      <c r="K2415" s="398"/>
      <c r="L2415" s="404"/>
      <c r="M2415" s="682"/>
      <c r="N2415" s="171"/>
      <c r="O2415" s="171"/>
      <c r="P2415" s="169"/>
      <c r="Q2415" s="171"/>
      <c r="R2415" s="171"/>
      <c r="S2415" s="171"/>
      <c r="T2415" s="171"/>
      <c r="U2415" s="171"/>
      <c r="V2415" s="171"/>
      <c r="W2415" s="171"/>
      <c r="X2415" s="171"/>
      <c r="Y2415" s="171"/>
      <c r="Z2415" s="171"/>
      <c r="AA2415" s="171"/>
    </row>
    <row r="2416" spans="1:27" s="530" customFormat="1" x14ac:dyDescent="0.2">
      <c r="A2416" s="464"/>
      <c r="B2416" s="464"/>
      <c r="C2416" s="465"/>
      <c r="D2416" s="464"/>
      <c r="E2416" s="464"/>
      <c r="F2416" s="503" t="s">
        <v>246</v>
      </c>
      <c r="G2416" s="504" t="s">
        <v>247</v>
      </c>
      <c r="H2416" s="397"/>
      <c r="I2416" s="397"/>
      <c r="J2416" s="750"/>
      <c r="K2416" s="398">
        <f>SUM(K2394)</f>
        <v>3965000</v>
      </c>
      <c r="L2416" s="404">
        <f>SUM(L2394)</f>
        <v>3327832.87</v>
      </c>
      <c r="M2416" s="682"/>
      <c r="N2416" s="171"/>
      <c r="O2416" s="171"/>
      <c r="P2416" s="169"/>
      <c r="Q2416" s="171"/>
      <c r="R2416" s="171"/>
      <c r="S2416" s="171"/>
      <c r="T2416" s="171"/>
      <c r="U2416" s="171"/>
      <c r="V2416" s="171"/>
      <c r="W2416" s="171"/>
      <c r="X2416" s="171"/>
      <c r="Y2416" s="171"/>
      <c r="Z2416" s="171"/>
      <c r="AA2416" s="171"/>
    </row>
    <row r="2417" spans="1:27" s="530" customFormat="1" ht="25.5" hidden="1" x14ac:dyDescent="0.2">
      <c r="A2417" s="464"/>
      <c r="B2417" s="464"/>
      <c r="C2417" s="465"/>
      <c r="D2417" s="464"/>
      <c r="E2417" s="464"/>
      <c r="F2417" s="503" t="s">
        <v>248</v>
      </c>
      <c r="G2417" s="504" t="s">
        <v>249</v>
      </c>
      <c r="H2417" s="397"/>
      <c r="I2417" s="397"/>
      <c r="J2417" s="750" t="e">
        <f t="shared" si="22"/>
        <v>#DIV/0!</v>
      </c>
      <c r="K2417" s="398"/>
      <c r="L2417" s="404"/>
      <c r="M2417" s="682"/>
      <c r="N2417" s="171"/>
      <c r="O2417" s="171"/>
      <c r="P2417" s="169"/>
      <c r="Q2417" s="171"/>
      <c r="R2417" s="171"/>
      <c r="S2417" s="171"/>
      <c r="T2417" s="171"/>
      <c r="U2417" s="171"/>
      <c r="V2417" s="171"/>
      <c r="W2417" s="171"/>
      <c r="X2417" s="171"/>
      <c r="Y2417" s="171"/>
      <c r="Z2417" s="171"/>
      <c r="AA2417" s="171"/>
    </row>
    <row r="2418" spans="1:27" s="530" customFormat="1" hidden="1" x14ac:dyDescent="0.2">
      <c r="A2418" s="464"/>
      <c r="B2418" s="464"/>
      <c r="C2418" s="465"/>
      <c r="D2418" s="464"/>
      <c r="E2418" s="464"/>
      <c r="F2418" s="503" t="s">
        <v>250</v>
      </c>
      <c r="G2418" s="504" t="s">
        <v>57</v>
      </c>
      <c r="H2418" s="397"/>
      <c r="I2418" s="397"/>
      <c r="J2418" s="750" t="e">
        <f t="shared" si="22"/>
        <v>#DIV/0!</v>
      </c>
      <c r="K2418" s="398"/>
      <c r="L2418" s="404"/>
      <c r="M2418" s="682"/>
      <c r="N2418" s="171"/>
      <c r="O2418" s="171"/>
      <c r="P2418" s="169"/>
      <c r="Q2418" s="171"/>
      <c r="R2418" s="171"/>
      <c r="S2418" s="171"/>
      <c r="T2418" s="171"/>
      <c r="U2418" s="171"/>
      <c r="V2418" s="171"/>
      <c r="W2418" s="171"/>
      <c r="X2418" s="171"/>
      <c r="Y2418" s="171"/>
      <c r="Z2418" s="171"/>
      <c r="AA2418" s="171"/>
    </row>
    <row r="2419" spans="1:27" s="530" customFormat="1" hidden="1" x14ac:dyDescent="0.2">
      <c r="A2419" s="464"/>
      <c r="B2419" s="464"/>
      <c r="C2419" s="465"/>
      <c r="D2419" s="464"/>
      <c r="E2419" s="464"/>
      <c r="F2419" s="503" t="s">
        <v>251</v>
      </c>
      <c r="G2419" s="504" t="s">
        <v>252</v>
      </c>
      <c r="H2419" s="397"/>
      <c r="I2419" s="397"/>
      <c r="J2419" s="750" t="e">
        <f t="shared" si="22"/>
        <v>#DIV/0!</v>
      </c>
      <c r="K2419" s="398"/>
      <c r="L2419" s="404"/>
      <c r="M2419" s="682"/>
      <c r="N2419" s="171"/>
      <c r="O2419" s="171"/>
      <c r="P2419" s="169"/>
      <c r="Q2419" s="171"/>
      <c r="R2419" s="171"/>
      <c r="S2419" s="171"/>
      <c r="T2419" s="171"/>
      <c r="U2419" s="171"/>
      <c r="V2419" s="171"/>
      <c r="W2419" s="171"/>
      <c r="X2419" s="171"/>
      <c r="Y2419" s="171"/>
      <c r="Z2419" s="171"/>
      <c r="AA2419" s="171"/>
    </row>
    <row r="2420" spans="1:27" s="530" customFormat="1" hidden="1" x14ac:dyDescent="0.2">
      <c r="A2420" s="464"/>
      <c r="B2420" s="464"/>
      <c r="C2420" s="465"/>
      <c r="D2420" s="464"/>
      <c r="E2420" s="464"/>
      <c r="F2420" s="503" t="s">
        <v>253</v>
      </c>
      <c r="G2420" s="504" t="s">
        <v>254</v>
      </c>
      <c r="H2420" s="397"/>
      <c r="I2420" s="397"/>
      <c r="J2420" s="750" t="e">
        <f t="shared" si="22"/>
        <v>#DIV/0!</v>
      </c>
      <c r="K2420" s="398"/>
      <c r="L2420" s="404"/>
      <c r="M2420" s="682"/>
      <c r="N2420" s="171"/>
      <c r="O2420" s="171"/>
      <c r="P2420" s="169"/>
      <c r="Q2420" s="171"/>
      <c r="R2420" s="171"/>
      <c r="S2420" s="171"/>
      <c r="T2420" s="171"/>
      <c r="U2420" s="171"/>
      <c r="V2420" s="171"/>
      <c r="W2420" s="171"/>
      <c r="X2420" s="171"/>
      <c r="Y2420" s="171"/>
      <c r="Z2420" s="171"/>
      <c r="AA2420" s="171"/>
    </row>
    <row r="2421" spans="1:27" s="530" customFormat="1" ht="25.5" hidden="1" x14ac:dyDescent="0.2">
      <c r="A2421" s="464"/>
      <c r="B2421" s="464"/>
      <c r="C2421" s="465"/>
      <c r="D2421" s="464"/>
      <c r="E2421" s="464"/>
      <c r="F2421" s="503" t="s">
        <v>255</v>
      </c>
      <c r="G2421" s="504" t="s">
        <v>256</v>
      </c>
      <c r="H2421" s="397"/>
      <c r="I2421" s="397"/>
      <c r="J2421" s="750" t="e">
        <f t="shared" si="22"/>
        <v>#DIV/0!</v>
      </c>
      <c r="K2421" s="398"/>
      <c r="L2421" s="404"/>
      <c r="M2421" s="682"/>
      <c r="N2421" s="171"/>
      <c r="O2421" s="171"/>
      <c r="P2421" s="169"/>
      <c r="Q2421" s="171"/>
      <c r="R2421" s="171"/>
      <c r="S2421" s="171"/>
      <c r="T2421" s="171"/>
      <c r="U2421" s="171"/>
      <c r="V2421" s="171"/>
      <c r="W2421" s="171"/>
      <c r="X2421" s="171"/>
      <c r="Y2421" s="171"/>
      <c r="Z2421" s="171"/>
      <c r="AA2421" s="171"/>
    </row>
    <row r="2422" spans="1:27" s="530" customFormat="1" ht="20.25" customHeight="1" thickBot="1" x14ac:dyDescent="0.25">
      <c r="A2422" s="464"/>
      <c r="B2422" s="464"/>
      <c r="C2422" s="465"/>
      <c r="D2422" s="464"/>
      <c r="E2422" s="464"/>
      <c r="F2422" s="503" t="s">
        <v>257</v>
      </c>
      <c r="G2422" s="504" t="s">
        <v>258</v>
      </c>
      <c r="H2422" s="397">
        <f>SUM(H2394)</f>
        <v>2135000</v>
      </c>
      <c r="I2422" s="397">
        <v>1664786.43</v>
      </c>
      <c r="J2422" s="750">
        <f t="shared" si="22"/>
        <v>77.975945199063219</v>
      </c>
      <c r="K2422" s="398"/>
      <c r="L2422" s="404"/>
      <c r="M2422" s="682"/>
      <c r="N2422" s="171"/>
      <c r="O2422" s="171"/>
      <c r="P2422" s="169"/>
      <c r="Q2422" s="171"/>
      <c r="R2422" s="171"/>
      <c r="S2422" s="171"/>
      <c r="T2422" s="171"/>
      <c r="U2422" s="171"/>
      <c r="V2422" s="171"/>
      <c r="W2422" s="171"/>
      <c r="X2422" s="171"/>
      <c r="Y2422" s="171"/>
      <c r="Z2422" s="171"/>
      <c r="AA2422" s="171"/>
    </row>
    <row r="2423" spans="1:27" s="530" customFormat="1" ht="26.25" hidden="1" thickBot="1" x14ac:dyDescent="0.25">
      <c r="A2423" s="464"/>
      <c r="B2423" s="464"/>
      <c r="C2423" s="465"/>
      <c r="D2423" s="464"/>
      <c r="E2423" s="464"/>
      <c r="F2423" s="503" t="s">
        <v>259</v>
      </c>
      <c r="G2423" s="504" t="s">
        <v>260</v>
      </c>
      <c r="H2423" s="397"/>
      <c r="I2423" s="397"/>
      <c r="J2423" s="750" t="e">
        <f t="shared" si="22"/>
        <v>#DIV/0!</v>
      </c>
      <c r="K2423" s="398"/>
      <c r="L2423" s="404"/>
      <c r="M2423" s="682"/>
      <c r="N2423" s="171"/>
      <c r="O2423" s="171"/>
      <c r="P2423" s="169"/>
      <c r="Q2423" s="171"/>
      <c r="R2423" s="171"/>
      <c r="S2423" s="171"/>
      <c r="T2423" s="171"/>
      <c r="U2423" s="171"/>
      <c r="V2423" s="171"/>
      <c r="W2423" s="171"/>
      <c r="X2423" s="171"/>
      <c r="Y2423" s="171"/>
      <c r="Z2423" s="171"/>
      <c r="AA2423" s="171"/>
    </row>
    <row r="2424" spans="1:27" s="530" customFormat="1" ht="26.25" hidden="1" thickBot="1" x14ac:dyDescent="0.25">
      <c r="A2424" s="464"/>
      <c r="B2424" s="464"/>
      <c r="C2424" s="465"/>
      <c r="D2424" s="464"/>
      <c r="E2424" s="464"/>
      <c r="F2424" s="503" t="s">
        <v>261</v>
      </c>
      <c r="G2424" s="504" t="s">
        <v>262</v>
      </c>
      <c r="H2424" s="397"/>
      <c r="I2424" s="397"/>
      <c r="J2424" s="750" t="e">
        <f t="shared" si="22"/>
        <v>#DIV/0!</v>
      </c>
      <c r="K2424" s="398"/>
      <c r="L2424" s="404"/>
      <c r="M2424" s="682"/>
      <c r="N2424" s="171"/>
      <c r="O2424" s="171"/>
      <c r="P2424" s="169"/>
      <c r="Q2424" s="171"/>
      <c r="R2424" s="171"/>
      <c r="S2424" s="171"/>
      <c r="T2424" s="171"/>
      <c r="U2424" s="171"/>
      <c r="V2424" s="171"/>
      <c r="W2424" s="171"/>
      <c r="X2424" s="171"/>
      <c r="Y2424" s="171"/>
      <c r="Z2424" s="171"/>
      <c r="AA2424" s="171"/>
    </row>
    <row r="2425" spans="1:27" s="530" customFormat="1" ht="13.5" hidden="1" thickBot="1" x14ac:dyDescent="0.25">
      <c r="A2425" s="464"/>
      <c r="B2425" s="464"/>
      <c r="C2425" s="465"/>
      <c r="D2425" s="464"/>
      <c r="E2425" s="464"/>
      <c r="F2425" s="503" t="s">
        <v>263</v>
      </c>
      <c r="G2425" s="504" t="s">
        <v>264</v>
      </c>
      <c r="H2425" s="403"/>
      <c r="I2425" s="403"/>
      <c r="J2425" s="750" t="e">
        <f t="shared" si="22"/>
        <v>#DIV/0!</v>
      </c>
      <c r="K2425" s="404"/>
      <c r="L2425" s="404"/>
      <c r="M2425" s="682"/>
      <c r="N2425" s="171"/>
      <c r="O2425" s="171"/>
      <c r="P2425" s="169"/>
      <c r="Q2425" s="171"/>
      <c r="R2425" s="171"/>
      <c r="S2425" s="171"/>
      <c r="T2425" s="171"/>
      <c r="U2425" s="171"/>
      <c r="V2425" s="171"/>
      <c r="W2425" s="171"/>
      <c r="X2425" s="171"/>
      <c r="Y2425" s="171"/>
      <c r="Z2425" s="171"/>
      <c r="AA2425" s="171"/>
    </row>
    <row r="2426" spans="1:27" s="530" customFormat="1" ht="11.25" customHeight="1" thickBot="1" x14ac:dyDescent="0.25">
      <c r="A2426" s="464"/>
      <c r="B2426" s="464"/>
      <c r="C2426" s="465"/>
      <c r="D2426" s="464"/>
      <c r="E2426" s="464"/>
      <c r="F2426" s="464"/>
      <c r="G2426" s="505" t="s">
        <v>4291</v>
      </c>
      <c r="H2426" s="405">
        <f>SUM(H2410:H2425)</f>
        <v>2135000</v>
      </c>
      <c r="I2426" s="405">
        <f>SUM(I2394)</f>
        <v>1664786.43</v>
      </c>
      <c r="J2426" s="750">
        <f t="shared" si="22"/>
        <v>77.975945199063219</v>
      </c>
      <c r="K2426" s="406">
        <f>SUM(K2411:K2425)</f>
        <v>3965000</v>
      </c>
      <c r="L2426" s="406">
        <f>SUM(L2416)</f>
        <v>3327832.87</v>
      </c>
      <c r="M2426" s="682"/>
      <c r="N2426" s="171"/>
      <c r="O2426" s="171"/>
      <c r="P2426" s="169"/>
      <c r="Q2426" s="171"/>
      <c r="R2426" s="171"/>
      <c r="S2426" s="171"/>
      <c r="T2426" s="171"/>
      <c r="U2426" s="171"/>
      <c r="V2426" s="171"/>
      <c r="W2426" s="171"/>
      <c r="X2426" s="171"/>
      <c r="Y2426" s="171"/>
      <c r="Z2426" s="171"/>
      <c r="AA2426" s="171"/>
    </row>
    <row r="2427" spans="1:27" s="530" customFormat="1" x14ac:dyDescent="0.2">
      <c r="A2427" s="464"/>
      <c r="B2427" s="464"/>
      <c r="C2427" s="465"/>
      <c r="D2427" s="464"/>
      <c r="E2427" s="500"/>
      <c r="F2427" s="498"/>
      <c r="G2427" s="506" t="s">
        <v>5038</v>
      </c>
      <c r="H2427" s="407"/>
      <c r="I2427" s="408"/>
      <c r="J2427" s="750"/>
      <c r="K2427" s="409"/>
      <c r="L2427" s="410"/>
      <c r="M2427" s="682"/>
      <c r="N2427" s="171"/>
      <c r="O2427" s="171"/>
      <c r="P2427" s="169"/>
      <c r="Q2427" s="171"/>
      <c r="R2427" s="171"/>
      <c r="S2427" s="171"/>
      <c r="T2427" s="171"/>
      <c r="U2427" s="171"/>
      <c r="V2427" s="171"/>
      <c r="W2427" s="171"/>
      <c r="X2427" s="171"/>
      <c r="Y2427" s="171"/>
      <c r="Z2427" s="171"/>
      <c r="AA2427" s="171"/>
    </row>
    <row r="2428" spans="1:27" s="530" customFormat="1" hidden="1" x14ac:dyDescent="0.2">
      <c r="A2428" s="464"/>
      <c r="B2428" s="464"/>
      <c r="C2428" s="465"/>
      <c r="D2428" s="464"/>
      <c r="E2428" s="502"/>
      <c r="F2428" s="503" t="s">
        <v>234</v>
      </c>
      <c r="G2428" s="504" t="s">
        <v>235</v>
      </c>
      <c r="H2428" s="403"/>
      <c r="I2428" s="403"/>
      <c r="J2428" s="750"/>
      <c r="K2428" s="404"/>
      <c r="L2428" s="404"/>
      <c r="M2428" s="682"/>
      <c r="N2428" s="171"/>
      <c r="O2428" s="171"/>
      <c r="P2428" s="169"/>
      <c r="Q2428" s="171"/>
      <c r="R2428" s="171"/>
      <c r="S2428" s="171"/>
      <c r="T2428" s="171"/>
      <c r="U2428" s="171"/>
      <c r="V2428" s="171"/>
      <c r="W2428" s="171"/>
      <c r="X2428" s="171"/>
      <c r="Y2428" s="171"/>
      <c r="Z2428" s="171"/>
      <c r="AA2428" s="171"/>
    </row>
    <row r="2429" spans="1:27" s="530" customFormat="1" hidden="1" x14ac:dyDescent="0.2">
      <c r="A2429" s="464"/>
      <c r="B2429" s="464"/>
      <c r="C2429" s="465"/>
      <c r="D2429" s="464"/>
      <c r="E2429" s="464"/>
      <c r="F2429" s="503" t="s">
        <v>236</v>
      </c>
      <c r="G2429" s="504" t="s">
        <v>237</v>
      </c>
      <c r="H2429" s="397"/>
      <c r="I2429" s="397"/>
      <c r="J2429" s="750"/>
      <c r="K2429" s="398"/>
      <c r="L2429" s="404"/>
      <c r="M2429" s="682"/>
      <c r="N2429" s="171"/>
      <c r="O2429" s="171"/>
      <c r="P2429" s="169"/>
      <c r="Q2429" s="171"/>
      <c r="R2429" s="171"/>
      <c r="S2429" s="171"/>
      <c r="T2429" s="171"/>
      <c r="U2429" s="171"/>
      <c r="V2429" s="171"/>
      <c r="W2429" s="171"/>
      <c r="X2429" s="171"/>
      <c r="Y2429" s="171"/>
      <c r="Z2429" s="171"/>
      <c r="AA2429" s="171"/>
    </row>
    <row r="2430" spans="1:27" s="530" customFormat="1" hidden="1" x14ac:dyDescent="0.2">
      <c r="A2430" s="464"/>
      <c r="B2430" s="464"/>
      <c r="C2430" s="465"/>
      <c r="D2430" s="464"/>
      <c r="E2430" s="464"/>
      <c r="F2430" s="503" t="s">
        <v>238</v>
      </c>
      <c r="G2430" s="504" t="s">
        <v>239</v>
      </c>
      <c r="H2430" s="397"/>
      <c r="I2430" s="397"/>
      <c r="J2430" s="750"/>
      <c r="K2430" s="398"/>
      <c r="L2430" s="404"/>
      <c r="M2430" s="682"/>
      <c r="N2430" s="171"/>
      <c r="O2430" s="171"/>
      <c r="P2430" s="169"/>
      <c r="Q2430" s="171"/>
      <c r="R2430" s="171"/>
      <c r="S2430" s="171"/>
      <c r="T2430" s="171"/>
      <c r="U2430" s="171"/>
      <c r="V2430" s="171"/>
      <c r="W2430" s="171"/>
      <c r="X2430" s="171"/>
      <c r="Y2430" s="171"/>
      <c r="Z2430" s="171"/>
      <c r="AA2430" s="171"/>
    </row>
    <row r="2431" spans="1:27" s="530" customFormat="1" hidden="1" x14ac:dyDescent="0.2">
      <c r="A2431" s="464"/>
      <c r="B2431" s="464"/>
      <c r="C2431" s="465"/>
      <c r="D2431" s="464"/>
      <c r="E2431" s="464"/>
      <c r="F2431" s="503" t="s">
        <v>240</v>
      </c>
      <c r="G2431" s="504" t="s">
        <v>241</v>
      </c>
      <c r="H2431" s="397"/>
      <c r="I2431" s="397"/>
      <c r="J2431" s="750"/>
      <c r="K2431" s="398"/>
      <c r="L2431" s="404"/>
      <c r="M2431" s="682"/>
      <c r="N2431" s="171"/>
      <c r="O2431" s="171"/>
      <c r="P2431" s="169"/>
      <c r="Q2431" s="171"/>
      <c r="R2431" s="171"/>
      <c r="S2431" s="171"/>
      <c r="T2431" s="171"/>
      <c r="U2431" s="171"/>
      <c r="V2431" s="171"/>
      <c r="W2431" s="171"/>
      <c r="X2431" s="171"/>
      <c r="Y2431" s="171"/>
      <c r="Z2431" s="171"/>
      <c r="AA2431" s="171"/>
    </row>
    <row r="2432" spans="1:27" s="530" customFormat="1" hidden="1" x14ac:dyDescent="0.2">
      <c r="A2432" s="464"/>
      <c r="B2432" s="464"/>
      <c r="C2432" s="465"/>
      <c r="D2432" s="464"/>
      <c r="E2432" s="464"/>
      <c r="F2432" s="503" t="s">
        <v>242</v>
      </c>
      <c r="G2432" s="504" t="s">
        <v>243</v>
      </c>
      <c r="H2432" s="397"/>
      <c r="I2432" s="397"/>
      <c r="J2432" s="750"/>
      <c r="K2432" s="398"/>
      <c r="L2432" s="404"/>
      <c r="M2432" s="682"/>
      <c r="N2432" s="171"/>
      <c r="O2432" s="171"/>
      <c r="P2432" s="169"/>
      <c r="Q2432" s="171"/>
      <c r="R2432" s="171"/>
      <c r="S2432" s="171"/>
      <c r="T2432" s="171"/>
      <c r="U2432" s="171"/>
      <c r="V2432" s="171"/>
      <c r="W2432" s="171"/>
      <c r="X2432" s="171"/>
      <c r="Y2432" s="171"/>
      <c r="Z2432" s="171"/>
      <c r="AA2432" s="171"/>
    </row>
    <row r="2433" spans="1:27" s="530" customFormat="1" hidden="1" x14ac:dyDescent="0.2">
      <c r="A2433" s="464"/>
      <c r="B2433" s="464"/>
      <c r="C2433" s="465"/>
      <c r="D2433" s="464"/>
      <c r="E2433" s="464"/>
      <c r="F2433" s="503" t="s">
        <v>244</v>
      </c>
      <c r="G2433" s="504" t="s">
        <v>245</v>
      </c>
      <c r="H2433" s="397"/>
      <c r="I2433" s="397"/>
      <c r="J2433" s="750"/>
      <c r="K2433" s="398"/>
      <c r="L2433" s="404"/>
      <c r="M2433" s="682"/>
      <c r="N2433" s="171"/>
      <c r="O2433" s="171"/>
      <c r="P2433" s="169"/>
      <c r="Q2433" s="171"/>
      <c r="R2433" s="171"/>
      <c r="S2433" s="171"/>
      <c r="T2433" s="171"/>
      <c r="U2433" s="171"/>
      <c r="V2433" s="171"/>
      <c r="W2433" s="171"/>
      <c r="X2433" s="171"/>
      <c r="Y2433" s="171"/>
      <c r="Z2433" s="171"/>
      <c r="AA2433" s="171"/>
    </row>
    <row r="2434" spans="1:27" s="530" customFormat="1" x14ac:dyDescent="0.2">
      <c r="A2434" s="464"/>
      <c r="B2434" s="464"/>
      <c r="C2434" s="465"/>
      <c r="D2434" s="464"/>
      <c r="E2434" s="464"/>
      <c r="F2434" s="503" t="s">
        <v>246</v>
      </c>
      <c r="G2434" s="504" t="s">
        <v>247</v>
      </c>
      <c r="H2434" s="397"/>
      <c r="I2434" s="397"/>
      <c r="J2434" s="750"/>
      <c r="K2434" s="398">
        <f>SUM(K2416)</f>
        <v>3965000</v>
      </c>
      <c r="L2434" s="404">
        <f>SUM(L2426)</f>
        <v>3327832.87</v>
      </c>
      <c r="M2434" s="682"/>
      <c r="N2434" s="171"/>
      <c r="O2434" s="171"/>
      <c r="P2434" s="169"/>
      <c r="Q2434" s="171"/>
      <c r="R2434" s="171"/>
      <c r="S2434" s="171"/>
      <c r="T2434" s="171"/>
      <c r="U2434" s="171"/>
      <c r="V2434" s="171"/>
      <c r="W2434" s="171"/>
      <c r="X2434" s="171"/>
      <c r="Y2434" s="171"/>
      <c r="Z2434" s="171"/>
      <c r="AA2434" s="171"/>
    </row>
    <row r="2435" spans="1:27" s="530" customFormat="1" ht="25.5" hidden="1" x14ac:dyDescent="0.2">
      <c r="A2435" s="464"/>
      <c r="B2435" s="464"/>
      <c r="C2435" s="465"/>
      <c r="D2435" s="464"/>
      <c r="E2435" s="464"/>
      <c r="F2435" s="503" t="s">
        <v>248</v>
      </c>
      <c r="G2435" s="504" t="s">
        <v>249</v>
      </c>
      <c r="H2435" s="397"/>
      <c r="I2435" s="397"/>
      <c r="J2435" s="750" t="e">
        <f t="shared" si="22"/>
        <v>#DIV/0!</v>
      </c>
      <c r="K2435" s="398"/>
      <c r="L2435" s="404"/>
      <c r="M2435" s="682"/>
      <c r="N2435" s="171"/>
      <c r="O2435" s="171"/>
      <c r="P2435" s="169"/>
      <c r="Q2435" s="171"/>
      <c r="R2435" s="171"/>
      <c r="S2435" s="171"/>
      <c r="T2435" s="171"/>
      <c r="U2435" s="171"/>
      <c r="V2435" s="171"/>
      <c r="W2435" s="171"/>
      <c r="X2435" s="171"/>
      <c r="Y2435" s="171"/>
      <c r="Z2435" s="171"/>
      <c r="AA2435" s="171"/>
    </row>
    <row r="2436" spans="1:27" s="530" customFormat="1" hidden="1" x14ac:dyDescent="0.2">
      <c r="A2436" s="464"/>
      <c r="B2436" s="464"/>
      <c r="C2436" s="465"/>
      <c r="D2436" s="464"/>
      <c r="E2436" s="464"/>
      <c r="F2436" s="503" t="s">
        <v>250</v>
      </c>
      <c r="G2436" s="504" t="s">
        <v>57</v>
      </c>
      <c r="H2436" s="397"/>
      <c r="I2436" s="397"/>
      <c r="J2436" s="750" t="e">
        <f t="shared" si="22"/>
        <v>#DIV/0!</v>
      </c>
      <c r="K2436" s="398"/>
      <c r="L2436" s="404"/>
      <c r="M2436" s="682"/>
      <c r="N2436" s="171"/>
      <c r="O2436" s="171"/>
      <c r="P2436" s="169"/>
      <c r="Q2436" s="171"/>
      <c r="R2436" s="171"/>
      <c r="S2436" s="171"/>
      <c r="T2436" s="171"/>
      <c r="U2436" s="171"/>
      <c r="V2436" s="171"/>
      <c r="W2436" s="171"/>
      <c r="X2436" s="171"/>
      <c r="Y2436" s="171"/>
      <c r="Z2436" s="171"/>
      <c r="AA2436" s="171"/>
    </row>
    <row r="2437" spans="1:27" s="530" customFormat="1" hidden="1" x14ac:dyDescent="0.2">
      <c r="A2437" s="464"/>
      <c r="B2437" s="464"/>
      <c r="C2437" s="465"/>
      <c r="D2437" s="464"/>
      <c r="E2437" s="464"/>
      <c r="F2437" s="503" t="s">
        <v>251</v>
      </c>
      <c r="G2437" s="504" t="s">
        <v>252</v>
      </c>
      <c r="H2437" s="397"/>
      <c r="I2437" s="397"/>
      <c r="J2437" s="750" t="e">
        <f t="shared" si="22"/>
        <v>#DIV/0!</v>
      </c>
      <c r="K2437" s="398"/>
      <c r="L2437" s="404"/>
      <c r="M2437" s="682"/>
      <c r="N2437" s="171"/>
      <c r="O2437" s="171"/>
      <c r="P2437" s="169"/>
      <c r="Q2437" s="171"/>
      <c r="R2437" s="171"/>
      <c r="S2437" s="171"/>
      <c r="T2437" s="171"/>
      <c r="U2437" s="171"/>
      <c r="V2437" s="171"/>
      <c r="W2437" s="171"/>
      <c r="X2437" s="171"/>
      <c r="Y2437" s="171"/>
      <c r="Z2437" s="171"/>
      <c r="AA2437" s="171"/>
    </row>
    <row r="2438" spans="1:27" s="530" customFormat="1" hidden="1" x14ac:dyDescent="0.2">
      <c r="A2438" s="464"/>
      <c r="B2438" s="464"/>
      <c r="C2438" s="465"/>
      <c r="D2438" s="464"/>
      <c r="E2438" s="464"/>
      <c r="F2438" s="503" t="s">
        <v>253</v>
      </c>
      <c r="G2438" s="504" t="s">
        <v>254</v>
      </c>
      <c r="H2438" s="397"/>
      <c r="I2438" s="397"/>
      <c r="J2438" s="750" t="e">
        <f t="shared" si="22"/>
        <v>#DIV/0!</v>
      </c>
      <c r="K2438" s="398"/>
      <c r="L2438" s="404"/>
      <c r="M2438" s="682"/>
      <c r="N2438" s="171"/>
      <c r="O2438" s="171"/>
      <c r="P2438" s="169"/>
      <c r="Q2438" s="171"/>
      <c r="R2438" s="171"/>
      <c r="S2438" s="171"/>
      <c r="T2438" s="171"/>
      <c r="U2438" s="171"/>
      <c r="V2438" s="171"/>
      <c r="W2438" s="171"/>
      <c r="X2438" s="171"/>
      <c r="Y2438" s="171"/>
      <c r="Z2438" s="171"/>
      <c r="AA2438" s="171"/>
    </row>
    <row r="2439" spans="1:27" s="530" customFormat="1" ht="25.5" hidden="1" x14ac:dyDescent="0.2">
      <c r="A2439" s="464"/>
      <c r="B2439" s="464"/>
      <c r="C2439" s="465"/>
      <c r="D2439" s="464"/>
      <c r="E2439" s="464"/>
      <c r="F2439" s="503" t="s">
        <v>255</v>
      </c>
      <c r="G2439" s="504" t="s">
        <v>256</v>
      </c>
      <c r="H2439" s="397"/>
      <c r="I2439" s="397"/>
      <c r="J2439" s="750" t="e">
        <f t="shared" si="22"/>
        <v>#DIV/0!</v>
      </c>
      <c r="K2439" s="398"/>
      <c r="L2439" s="404"/>
      <c r="M2439" s="682"/>
      <c r="N2439" s="171"/>
      <c r="O2439" s="171"/>
      <c r="P2439" s="169"/>
      <c r="Q2439" s="171"/>
      <c r="R2439" s="171"/>
      <c r="S2439" s="171"/>
      <c r="T2439" s="171"/>
      <c r="U2439" s="171"/>
      <c r="V2439" s="171"/>
      <c r="W2439" s="171"/>
      <c r="X2439" s="171"/>
      <c r="Y2439" s="171"/>
      <c r="Z2439" s="171"/>
      <c r="AA2439" s="171"/>
    </row>
    <row r="2440" spans="1:27" s="530" customFormat="1" ht="26.25" thickBot="1" x14ac:dyDescent="0.25">
      <c r="A2440" s="464"/>
      <c r="B2440" s="464"/>
      <c r="C2440" s="465"/>
      <c r="D2440" s="464"/>
      <c r="E2440" s="464"/>
      <c r="F2440" s="503" t="s">
        <v>257</v>
      </c>
      <c r="G2440" s="504" t="s">
        <v>258</v>
      </c>
      <c r="H2440" s="397">
        <f>SUM(H2422)</f>
        <v>2135000</v>
      </c>
      <c r="I2440" s="397">
        <f>SUM(I2426)</f>
        <v>1664786.43</v>
      </c>
      <c r="J2440" s="750">
        <f t="shared" si="22"/>
        <v>77.975945199063219</v>
      </c>
      <c r="K2440" s="398"/>
      <c r="L2440" s="404"/>
      <c r="M2440" s="682"/>
      <c r="N2440" s="171"/>
      <c r="O2440" s="171"/>
      <c r="P2440" s="169"/>
      <c r="Q2440" s="171"/>
      <c r="R2440" s="171"/>
      <c r="S2440" s="171"/>
      <c r="T2440" s="171"/>
      <c r="U2440" s="171"/>
      <c r="V2440" s="171"/>
      <c r="W2440" s="171"/>
      <c r="X2440" s="171"/>
      <c r="Y2440" s="171"/>
      <c r="Z2440" s="171"/>
      <c r="AA2440" s="171"/>
    </row>
    <row r="2441" spans="1:27" s="530" customFormat="1" ht="26.25" hidden="1" thickBot="1" x14ac:dyDescent="0.25">
      <c r="A2441" s="464"/>
      <c r="B2441" s="464"/>
      <c r="C2441" s="465"/>
      <c r="D2441" s="464"/>
      <c r="E2441" s="464"/>
      <c r="F2441" s="503" t="s">
        <v>259</v>
      </c>
      <c r="G2441" s="504" t="s">
        <v>260</v>
      </c>
      <c r="H2441" s="397"/>
      <c r="I2441" s="397"/>
      <c r="J2441" s="750" t="e">
        <f t="shared" si="22"/>
        <v>#DIV/0!</v>
      </c>
      <c r="K2441" s="398"/>
      <c r="L2441" s="404"/>
      <c r="M2441" s="682"/>
      <c r="N2441" s="171"/>
      <c r="O2441" s="171"/>
      <c r="P2441" s="169"/>
      <c r="Q2441" s="171"/>
      <c r="R2441" s="171"/>
      <c r="S2441" s="171"/>
      <c r="T2441" s="171"/>
      <c r="U2441" s="171"/>
      <c r="V2441" s="171"/>
      <c r="W2441" s="171"/>
      <c r="X2441" s="171"/>
      <c r="Y2441" s="171"/>
      <c r="Z2441" s="171"/>
      <c r="AA2441" s="171"/>
    </row>
    <row r="2442" spans="1:27" s="530" customFormat="1" ht="26.25" hidden="1" thickBot="1" x14ac:dyDescent="0.25">
      <c r="A2442" s="464"/>
      <c r="B2442" s="464"/>
      <c r="C2442" s="465"/>
      <c r="D2442" s="464"/>
      <c r="E2442" s="464"/>
      <c r="F2442" s="503" t="s">
        <v>261</v>
      </c>
      <c r="G2442" s="504" t="s">
        <v>262</v>
      </c>
      <c r="H2442" s="397"/>
      <c r="I2442" s="397"/>
      <c r="J2442" s="750" t="e">
        <f t="shared" si="22"/>
        <v>#DIV/0!</v>
      </c>
      <c r="K2442" s="398"/>
      <c r="L2442" s="404"/>
      <c r="M2442" s="682"/>
      <c r="N2442" s="171"/>
      <c r="O2442" s="171"/>
      <c r="P2442" s="169"/>
      <c r="Q2442" s="171"/>
      <c r="R2442" s="171"/>
      <c r="S2442" s="171"/>
      <c r="T2442" s="171"/>
      <c r="U2442" s="171"/>
      <c r="V2442" s="171"/>
      <c r="W2442" s="171"/>
      <c r="X2442" s="171"/>
      <c r="Y2442" s="171"/>
      <c r="Z2442" s="171"/>
      <c r="AA2442" s="171"/>
    </row>
    <row r="2443" spans="1:27" s="530" customFormat="1" ht="13.5" hidden="1" thickBot="1" x14ac:dyDescent="0.25">
      <c r="A2443" s="464"/>
      <c r="B2443" s="464"/>
      <c r="C2443" s="465"/>
      <c r="D2443" s="464"/>
      <c r="E2443" s="464"/>
      <c r="F2443" s="503" t="s">
        <v>263</v>
      </c>
      <c r="G2443" s="504" t="s">
        <v>264</v>
      </c>
      <c r="H2443" s="403"/>
      <c r="I2443" s="403"/>
      <c r="J2443" s="750" t="e">
        <f t="shared" si="22"/>
        <v>#DIV/0!</v>
      </c>
      <c r="K2443" s="404"/>
      <c r="L2443" s="404"/>
      <c r="M2443" s="682"/>
      <c r="N2443" s="171"/>
      <c r="O2443" s="171"/>
      <c r="P2443" s="169"/>
      <c r="Q2443" s="171"/>
      <c r="R2443" s="171"/>
      <c r="S2443" s="171"/>
      <c r="T2443" s="171"/>
      <c r="U2443" s="171"/>
      <c r="V2443" s="171"/>
      <c r="W2443" s="171"/>
      <c r="X2443" s="171"/>
      <c r="Y2443" s="171"/>
      <c r="Z2443" s="171"/>
      <c r="AA2443" s="171"/>
    </row>
    <row r="2444" spans="1:27" s="530" customFormat="1" ht="15.75" customHeight="1" thickBot="1" x14ac:dyDescent="0.25">
      <c r="A2444" s="464"/>
      <c r="B2444" s="464"/>
      <c r="C2444" s="465"/>
      <c r="D2444" s="464"/>
      <c r="E2444" s="464"/>
      <c r="F2444" s="464"/>
      <c r="G2444" s="505" t="s">
        <v>5000</v>
      </c>
      <c r="H2444" s="405">
        <f>SUM(H2428:H2443)</f>
        <v>2135000</v>
      </c>
      <c r="I2444" s="405">
        <f>SUM(I2440)</f>
        <v>1664786.43</v>
      </c>
      <c r="J2444" s="750">
        <f t="shared" si="22"/>
        <v>77.975945199063219</v>
      </c>
      <c r="K2444" s="406">
        <f>SUM(K2416)</f>
        <v>3965000</v>
      </c>
      <c r="L2444" s="406">
        <f>SUM(L2434)</f>
        <v>3327832.87</v>
      </c>
      <c r="M2444" s="682"/>
      <c r="N2444" s="171"/>
      <c r="O2444" s="171"/>
      <c r="P2444" s="169"/>
      <c r="Q2444" s="171"/>
      <c r="R2444" s="171"/>
      <c r="S2444" s="171"/>
      <c r="T2444" s="171"/>
      <c r="U2444" s="171"/>
      <c r="V2444" s="171"/>
      <c r="W2444" s="171"/>
      <c r="X2444" s="171"/>
      <c r="Y2444" s="171"/>
      <c r="Z2444" s="171"/>
      <c r="AA2444" s="171"/>
    </row>
    <row r="2445" spans="1:27" s="530" customFormat="1" hidden="1" x14ac:dyDescent="0.2">
      <c r="A2445" s="526"/>
      <c r="B2445" s="527"/>
      <c r="C2445" s="465"/>
      <c r="D2445" s="464"/>
      <c r="E2445" s="464"/>
      <c r="F2445" s="464"/>
      <c r="G2445" s="510"/>
      <c r="H2445" s="411"/>
      <c r="I2445" s="411"/>
      <c r="J2445" s="750" t="e">
        <f t="shared" ref="J2445:J2508" si="23">SUM(I2445/H2445)*100</f>
        <v>#DIV/0!</v>
      </c>
      <c r="K2445" s="412"/>
      <c r="L2445" s="412"/>
      <c r="M2445" s="682"/>
      <c r="N2445" s="171"/>
      <c r="O2445" s="171"/>
      <c r="P2445" s="169"/>
      <c r="Q2445" s="171"/>
      <c r="R2445" s="171"/>
      <c r="S2445" s="171"/>
      <c r="T2445" s="171"/>
      <c r="U2445" s="171"/>
      <c r="V2445" s="171"/>
      <c r="W2445" s="171"/>
      <c r="X2445" s="171"/>
      <c r="Y2445" s="171"/>
      <c r="Z2445" s="171"/>
      <c r="AA2445" s="171"/>
    </row>
    <row r="2446" spans="1:27" s="530" customFormat="1" hidden="1" x14ac:dyDescent="0.2">
      <c r="A2446" s="526"/>
      <c r="B2446" s="527"/>
      <c r="C2446" s="465"/>
      <c r="D2446" s="464"/>
      <c r="E2446" s="464"/>
      <c r="F2446" s="464"/>
      <c r="G2446" s="510"/>
      <c r="H2446" s="411"/>
      <c r="I2446" s="411"/>
      <c r="J2446" s="750" t="e">
        <f t="shared" si="23"/>
        <v>#DIV/0!</v>
      </c>
      <c r="K2446" s="412"/>
      <c r="L2446" s="412"/>
      <c r="M2446" s="682"/>
      <c r="N2446" s="171"/>
      <c r="O2446" s="171"/>
      <c r="P2446" s="169"/>
      <c r="Q2446" s="171"/>
      <c r="R2446" s="171"/>
      <c r="S2446" s="171"/>
      <c r="T2446" s="171"/>
      <c r="U2446" s="171"/>
      <c r="V2446" s="171"/>
      <c r="W2446" s="171"/>
      <c r="X2446" s="171"/>
      <c r="Y2446" s="171"/>
      <c r="Z2446" s="171"/>
      <c r="AA2446" s="171"/>
    </row>
    <row r="2447" spans="1:27" s="530" customFormat="1" hidden="1" x14ac:dyDescent="0.2">
      <c r="A2447" s="526"/>
      <c r="B2447" s="527"/>
      <c r="C2447" s="465"/>
      <c r="D2447" s="464"/>
      <c r="E2447" s="464"/>
      <c r="F2447" s="464"/>
      <c r="G2447" s="510"/>
      <c r="H2447" s="411"/>
      <c r="I2447" s="411"/>
      <c r="J2447" s="750" t="e">
        <f t="shared" si="23"/>
        <v>#DIV/0!</v>
      </c>
      <c r="K2447" s="412"/>
      <c r="L2447" s="412"/>
      <c r="M2447" s="682"/>
      <c r="N2447" s="171"/>
      <c r="O2447" s="171"/>
      <c r="P2447" s="169"/>
      <c r="Q2447" s="171"/>
      <c r="R2447" s="171"/>
      <c r="S2447" s="171"/>
      <c r="T2447" s="171"/>
      <c r="U2447" s="171"/>
      <c r="V2447" s="171"/>
      <c r="W2447" s="171"/>
      <c r="X2447" s="171"/>
      <c r="Y2447" s="171"/>
      <c r="Z2447" s="171"/>
      <c r="AA2447" s="171"/>
    </row>
    <row r="2448" spans="1:27" s="530" customFormat="1" hidden="1" x14ac:dyDescent="0.2">
      <c r="A2448" s="526"/>
      <c r="B2448" s="527"/>
      <c r="C2448" s="465"/>
      <c r="D2448" s="464"/>
      <c r="E2448" s="464"/>
      <c r="F2448" s="464"/>
      <c r="G2448" s="510"/>
      <c r="H2448" s="411"/>
      <c r="I2448" s="411"/>
      <c r="J2448" s="750" t="e">
        <f t="shared" si="23"/>
        <v>#DIV/0!</v>
      </c>
      <c r="K2448" s="412"/>
      <c r="L2448" s="412"/>
      <c r="M2448" s="682"/>
      <c r="N2448" s="171"/>
      <c r="O2448" s="171"/>
      <c r="P2448" s="169"/>
      <c r="Q2448" s="171"/>
      <c r="R2448" s="171"/>
      <c r="S2448" s="171"/>
      <c r="T2448" s="171"/>
      <c r="U2448" s="171"/>
      <c r="V2448" s="171"/>
      <c r="W2448" s="171"/>
      <c r="X2448" s="171"/>
      <c r="Y2448" s="171"/>
      <c r="Z2448" s="171"/>
      <c r="AA2448" s="171"/>
    </row>
    <row r="2449" spans="1:27" s="530" customFormat="1" hidden="1" x14ac:dyDescent="0.2">
      <c r="A2449" s="526"/>
      <c r="B2449" s="527"/>
      <c r="C2449" s="465"/>
      <c r="D2449" s="464"/>
      <c r="E2449" s="464"/>
      <c r="F2449" s="464"/>
      <c r="G2449" s="510"/>
      <c r="H2449" s="411"/>
      <c r="I2449" s="411"/>
      <c r="J2449" s="750" t="e">
        <f t="shared" si="23"/>
        <v>#DIV/0!</v>
      </c>
      <c r="K2449" s="412"/>
      <c r="L2449" s="412"/>
      <c r="M2449" s="682"/>
      <c r="N2449" s="171"/>
      <c r="O2449" s="171"/>
      <c r="P2449" s="169"/>
      <c r="Q2449" s="171"/>
      <c r="R2449" s="171"/>
      <c r="S2449" s="171"/>
      <c r="T2449" s="171"/>
      <c r="U2449" s="171"/>
      <c r="V2449" s="171"/>
      <c r="W2449" s="171"/>
      <c r="X2449" s="171"/>
      <c r="Y2449" s="171"/>
      <c r="Z2449" s="171"/>
      <c r="AA2449" s="171"/>
    </row>
    <row r="2450" spans="1:27" s="530" customFormat="1" hidden="1" x14ac:dyDescent="0.2">
      <c r="A2450" s="526"/>
      <c r="B2450" s="527"/>
      <c r="C2450" s="465"/>
      <c r="D2450" s="464"/>
      <c r="E2450" s="464"/>
      <c r="F2450" s="464"/>
      <c r="G2450" s="510"/>
      <c r="H2450" s="411"/>
      <c r="I2450" s="411"/>
      <c r="J2450" s="750" t="e">
        <f t="shared" si="23"/>
        <v>#DIV/0!</v>
      </c>
      <c r="K2450" s="412"/>
      <c r="L2450" s="412"/>
      <c r="M2450" s="682"/>
      <c r="N2450" s="171"/>
      <c r="O2450" s="171"/>
      <c r="P2450" s="169"/>
      <c r="Q2450" s="171"/>
      <c r="R2450" s="171"/>
      <c r="S2450" s="171"/>
      <c r="T2450" s="171"/>
      <c r="U2450" s="171"/>
      <c r="V2450" s="171"/>
      <c r="W2450" s="171"/>
      <c r="X2450" s="171"/>
      <c r="Y2450" s="171"/>
      <c r="Z2450" s="171"/>
      <c r="AA2450" s="171"/>
    </row>
    <row r="2451" spans="1:27" s="530" customFormat="1" hidden="1" x14ac:dyDescent="0.2">
      <c r="A2451" s="526"/>
      <c r="B2451" s="527"/>
      <c r="C2451" s="465"/>
      <c r="D2451" s="464"/>
      <c r="E2451" s="464"/>
      <c r="F2451" s="464"/>
      <c r="G2451" s="510"/>
      <c r="H2451" s="411"/>
      <c r="I2451" s="411"/>
      <c r="J2451" s="750" t="e">
        <f t="shared" si="23"/>
        <v>#DIV/0!</v>
      </c>
      <c r="K2451" s="412"/>
      <c r="L2451" s="412"/>
      <c r="M2451" s="682"/>
      <c r="N2451" s="171"/>
      <c r="O2451" s="171"/>
      <c r="P2451" s="169"/>
      <c r="Q2451" s="171"/>
      <c r="R2451" s="171"/>
      <c r="S2451" s="171"/>
      <c r="T2451" s="171"/>
      <c r="U2451" s="171"/>
      <c r="V2451" s="171"/>
      <c r="W2451" s="171"/>
      <c r="X2451" s="171"/>
      <c r="Y2451" s="171"/>
      <c r="Z2451" s="171"/>
      <c r="AA2451" s="171"/>
    </row>
    <row r="2452" spans="1:27" s="530" customFormat="1" hidden="1" x14ac:dyDescent="0.2">
      <c r="A2452" s="526"/>
      <c r="B2452" s="527"/>
      <c r="C2452" s="465"/>
      <c r="D2452" s="464"/>
      <c r="E2452" s="464"/>
      <c r="F2452" s="464"/>
      <c r="G2452" s="510"/>
      <c r="H2452" s="411"/>
      <c r="I2452" s="411"/>
      <c r="J2452" s="750" t="e">
        <f t="shared" si="23"/>
        <v>#DIV/0!</v>
      </c>
      <c r="K2452" s="412"/>
      <c r="L2452" s="412"/>
      <c r="M2452" s="682"/>
      <c r="N2452" s="171"/>
      <c r="O2452" s="171"/>
      <c r="P2452" s="169"/>
      <c r="Q2452" s="171"/>
      <c r="R2452" s="171"/>
      <c r="S2452" s="171"/>
      <c r="T2452" s="171"/>
      <c r="U2452" s="171"/>
      <c r="V2452" s="171"/>
      <c r="W2452" s="171"/>
      <c r="X2452" s="171"/>
      <c r="Y2452" s="171"/>
      <c r="Z2452" s="171"/>
      <c r="AA2452" s="171"/>
    </row>
    <row r="2453" spans="1:27" s="530" customFormat="1" hidden="1" x14ac:dyDescent="0.2">
      <c r="A2453" s="526"/>
      <c r="B2453" s="527"/>
      <c r="C2453" s="465"/>
      <c r="D2453" s="464"/>
      <c r="E2453" s="464"/>
      <c r="F2453" s="464"/>
      <c r="G2453" s="510"/>
      <c r="H2453" s="411"/>
      <c r="I2453" s="411"/>
      <c r="J2453" s="750" t="e">
        <f t="shared" si="23"/>
        <v>#DIV/0!</v>
      </c>
      <c r="K2453" s="412"/>
      <c r="L2453" s="412"/>
      <c r="M2453" s="682"/>
      <c r="N2453" s="171"/>
      <c r="O2453" s="171"/>
      <c r="P2453" s="169"/>
      <c r="Q2453" s="171"/>
      <c r="R2453" s="171"/>
      <c r="S2453" s="171"/>
      <c r="T2453" s="171"/>
      <c r="U2453" s="171"/>
      <c r="V2453" s="171"/>
      <c r="W2453" s="171"/>
      <c r="X2453" s="171"/>
      <c r="Y2453" s="171"/>
      <c r="Z2453" s="171"/>
      <c r="AA2453" s="171"/>
    </row>
    <row r="2454" spans="1:27" s="530" customFormat="1" hidden="1" x14ac:dyDescent="0.2">
      <c r="A2454" s="526"/>
      <c r="B2454" s="527"/>
      <c r="C2454" s="465"/>
      <c r="D2454" s="464"/>
      <c r="E2454" s="464"/>
      <c r="F2454" s="464"/>
      <c r="G2454" s="510"/>
      <c r="H2454" s="411"/>
      <c r="I2454" s="411"/>
      <c r="J2454" s="750" t="e">
        <f t="shared" si="23"/>
        <v>#DIV/0!</v>
      </c>
      <c r="K2454" s="412"/>
      <c r="L2454" s="412"/>
      <c r="M2454" s="682"/>
      <c r="N2454" s="171"/>
      <c r="O2454" s="171"/>
      <c r="P2454" s="169"/>
      <c r="Q2454" s="171"/>
      <c r="R2454" s="171"/>
      <c r="S2454" s="171"/>
      <c r="T2454" s="171"/>
      <c r="U2454" s="171"/>
      <c r="V2454" s="171"/>
      <c r="W2454" s="171"/>
      <c r="X2454" s="171"/>
      <c r="Y2454" s="171"/>
      <c r="Z2454" s="171"/>
      <c r="AA2454" s="171"/>
    </row>
    <row r="2455" spans="1:27" s="530" customFormat="1" hidden="1" x14ac:dyDescent="0.2">
      <c r="A2455" s="526"/>
      <c r="B2455" s="527"/>
      <c r="C2455" s="465"/>
      <c r="D2455" s="464"/>
      <c r="E2455" s="464"/>
      <c r="F2455" s="464"/>
      <c r="G2455" s="510"/>
      <c r="H2455" s="411"/>
      <c r="I2455" s="411"/>
      <c r="J2455" s="750" t="e">
        <f t="shared" si="23"/>
        <v>#DIV/0!</v>
      </c>
      <c r="K2455" s="412"/>
      <c r="L2455" s="412"/>
      <c r="M2455" s="682"/>
      <c r="N2455" s="171"/>
      <c r="O2455" s="171"/>
      <c r="P2455" s="169"/>
      <c r="Q2455" s="171"/>
      <c r="R2455" s="171"/>
      <c r="S2455" s="171"/>
      <c r="T2455" s="171"/>
      <c r="U2455" s="171"/>
      <c r="V2455" s="171"/>
      <c r="W2455" s="171"/>
      <c r="X2455" s="171"/>
      <c r="Y2455" s="171"/>
      <c r="Z2455" s="171"/>
      <c r="AA2455" s="171"/>
    </row>
    <row r="2456" spans="1:27" s="530" customFormat="1" hidden="1" x14ac:dyDescent="0.2">
      <c r="A2456" s="526"/>
      <c r="B2456" s="527"/>
      <c r="C2456" s="465"/>
      <c r="D2456" s="464"/>
      <c r="E2456" s="464"/>
      <c r="F2456" s="464"/>
      <c r="G2456" s="510"/>
      <c r="H2456" s="411"/>
      <c r="I2456" s="411"/>
      <c r="J2456" s="750" t="e">
        <f t="shared" si="23"/>
        <v>#DIV/0!</v>
      </c>
      <c r="K2456" s="412"/>
      <c r="L2456" s="412"/>
      <c r="M2456" s="682"/>
      <c r="N2456" s="171"/>
      <c r="O2456" s="171"/>
      <c r="P2456" s="169"/>
      <c r="Q2456" s="171"/>
      <c r="R2456" s="171"/>
      <c r="S2456" s="171"/>
      <c r="T2456" s="171"/>
      <c r="U2456" s="171"/>
      <c r="V2456" s="171"/>
      <c r="W2456" s="171"/>
      <c r="X2456" s="171"/>
      <c r="Y2456" s="171"/>
      <c r="Z2456" s="171"/>
      <c r="AA2456" s="171"/>
    </row>
    <row r="2457" spans="1:27" s="530" customFormat="1" hidden="1" x14ac:dyDescent="0.2">
      <c r="A2457" s="526"/>
      <c r="B2457" s="527"/>
      <c r="C2457" s="465"/>
      <c r="D2457" s="464"/>
      <c r="E2457" s="464"/>
      <c r="F2457" s="464"/>
      <c r="G2457" s="510"/>
      <c r="H2457" s="411"/>
      <c r="I2457" s="411"/>
      <c r="J2457" s="750" t="e">
        <f t="shared" si="23"/>
        <v>#DIV/0!</v>
      </c>
      <c r="K2457" s="412"/>
      <c r="L2457" s="412"/>
      <c r="M2457" s="682"/>
      <c r="N2457" s="171"/>
      <c r="O2457" s="171"/>
      <c r="P2457" s="169"/>
      <c r="Q2457" s="171"/>
      <c r="R2457" s="171"/>
      <c r="S2457" s="171"/>
      <c r="T2457" s="171"/>
      <c r="U2457" s="171"/>
      <c r="V2457" s="171"/>
      <c r="W2457" s="171"/>
      <c r="X2457" s="171"/>
      <c r="Y2457" s="171"/>
      <c r="Z2457" s="171"/>
      <c r="AA2457" s="171"/>
    </row>
    <row r="2458" spans="1:27" s="530" customFormat="1" hidden="1" x14ac:dyDescent="0.2">
      <c r="A2458" s="526"/>
      <c r="B2458" s="527"/>
      <c r="C2458" s="465"/>
      <c r="D2458" s="464"/>
      <c r="E2458" s="464"/>
      <c r="F2458" s="464"/>
      <c r="G2458" s="510"/>
      <c r="H2458" s="411"/>
      <c r="I2458" s="411"/>
      <c r="J2458" s="750" t="e">
        <f t="shared" si="23"/>
        <v>#DIV/0!</v>
      </c>
      <c r="K2458" s="412"/>
      <c r="L2458" s="412"/>
      <c r="M2458" s="682"/>
      <c r="N2458" s="171"/>
      <c r="O2458" s="171"/>
      <c r="P2458" s="169"/>
      <c r="Q2458" s="171"/>
      <c r="R2458" s="171"/>
      <c r="S2458" s="171"/>
      <c r="T2458" s="171"/>
      <c r="U2458" s="171"/>
      <c r="V2458" s="171"/>
      <c r="W2458" s="171"/>
      <c r="X2458" s="171"/>
      <c r="Y2458" s="171"/>
      <c r="Z2458" s="171"/>
      <c r="AA2458" s="171"/>
    </row>
    <row r="2459" spans="1:27" s="530" customFormat="1" hidden="1" x14ac:dyDescent="0.2">
      <c r="A2459" s="526"/>
      <c r="B2459" s="527"/>
      <c r="C2459" s="465"/>
      <c r="D2459" s="464"/>
      <c r="E2459" s="464"/>
      <c r="F2459" s="464"/>
      <c r="G2459" s="510"/>
      <c r="H2459" s="411"/>
      <c r="I2459" s="411"/>
      <c r="J2459" s="750" t="e">
        <f t="shared" si="23"/>
        <v>#DIV/0!</v>
      </c>
      <c r="K2459" s="412"/>
      <c r="L2459" s="412"/>
      <c r="M2459" s="682"/>
      <c r="N2459" s="171"/>
      <c r="O2459" s="171"/>
      <c r="P2459" s="169"/>
      <c r="Q2459" s="171"/>
      <c r="R2459" s="171"/>
      <c r="S2459" s="171"/>
      <c r="T2459" s="171"/>
      <c r="U2459" s="171"/>
      <c r="V2459" s="171"/>
      <c r="W2459" s="171"/>
      <c r="X2459" s="171"/>
      <c r="Y2459" s="171"/>
      <c r="Z2459" s="171"/>
      <c r="AA2459" s="171"/>
    </row>
    <row r="2460" spans="1:27" s="530" customFormat="1" hidden="1" x14ac:dyDescent="0.2">
      <c r="A2460" s="526"/>
      <c r="B2460" s="527"/>
      <c r="C2460" s="465"/>
      <c r="D2460" s="464"/>
      <c r="E2460" s="464"/>
      <c r="F2460" s="464"/>
      <c r="G2460" s="510"/>
      <c r="H2460" s="411"/>
      <c r="I2460" s="411"/>
      <c r="J2460" s="750" t="e">
        <f t="shared" si="23"/>
        <v>#DIV/0!</v>
      </c>
      <c r="K2460" s="412"/>
      <c r="L2460" s="412"/>
      <c r="M2460" s="682"/>
      <c r="N2460" s="171"/>
      <c r="O2460" s="171"/>
      <c r="P2460" s="169"/>
      <c r="Q2460" s="171"/>
      <c r="R2460" s="171"/>
      <c r="S2460" s="171"/>
      <c r="T2460" s="171"/>
      <c r="U2460" s="171"/>
      <c r="V2460" s="171"/>
      <c r="W2460" s="171"/>
      <c r="X2460" s="171"/>
      <c r="Y2460" s="171"/>
      <c r="Z2460" s="171"/>
      <c r="AA2460" s="171"/>
    </row>
    <row r="2461" spans="1:27" s="530" customFormat="1" hidden="1" x14ac:dyDescent="0.2">
      <c r="A2461" s="526"/>
      <c r="B2461" s="527"/>
      <c r="C2461" s="465"/>
      <c r="D2461" s="464"/>
      <c r="E2461" s="464"/>
      <c r="F2461" s="464"/>
      <c r="G2461" s="510"/>
      <c r="H2461" s="411"/>
      <c r="I2461" s="411"/>
      <c r="J2461" s="750" t="e">
        <f t="shared" si="23"/>
        <v>#DIV/0!</v>
      </c>
      <c r="K2461" s="412"/>
      <c r="L2461" s="412"/>
      <c r="M2461" s="682"/>
      <c r="N2461" s="171"/>
      <c r="O2461" s="171"/>
      <c r="P2461" s="169"/>
      <c r="Q2461" s="171"/>
      <c r="R2461" s="171"/>
      <c r="S2461" s="171"/>
      <c r="T2461" s="171"/>
      <c r="U2461" s="171"/>
      <c r="V2461" s="171"/>
      <c r="W2461" s="171"/>
      <c r="X2461" s="171"/>
      <c r="Y2461" s="171"/>
      <c r="Z2461" s="171"/>
      <c r="AA2461" s="171"/>
    </row>
    <row r="2462" spans="1:27" s="530" customFormat="1" hidden="1" x14ac:dyDescent="0.2">
      <c r="A2462" s="526"/>
      <c r="B2462" s="527"/>
      <c r="C2462" s="465"/>
      <c r="D2462" s="464"/>
      <c r="E2462" s="464"/>
      <c r="F2462" s="464"/>
      <c r="G2462" s="510"/>
      <c r="H2462" s="411"/>
      <c r="I2462" s="411"/>
      <c r="J2462" s="750" t="e">
        <f t="shared" si="23"/>
        <v>#DIV/0!</v>
      </c>
      <c r="K2462" s="412"/>
      <c r="L2462" s="412"/>
      <c r="M2462" s="682"/>
      <c r="N2462" s="171"/>
      <c r="O2462" s="171"/>
      <c r="P2462" s="169"/>
      <c r="Q2462" s="171"/>
      <c r="R2462" s="171"/>
      <c r="S2462" s="171"/>
      <c r="T2462" s="171"/>
      <c r="U2462" s="171"/>
      <c r="V2462" s="171"/>
      <c r="W2462" s="171"/>
      <c r="X2462" s="171"/>
      <c r="Y2462" s="171"/>
      <c r="Z2462" s="171"/>
      <c r="AA2462" s="171"/>
    </row>
    <row r="2463" spans="1:27" s="530" customFormat="1" hidden="1" x14ac:dyDescent="0.2">
      <c r="A2463" s="526"/>
      <c r="B2463" s="527"/>
      <c r="C2463" s="465"/>
      <c r="D2463" s="464"/>
      <c r="E2463" s="464"/>
      <c r="F2463" s="464"/>
      <c r="G2463" s="510"/>
      <c r="H2463" s="411"/>
      <c r="I2463" s="411"/>
      <c r="J2463" s="750" t="e">
        <f t="shared" si="23"/>
        <v>#DIV/0!</v>
      </c>
      <c r="K2463" s="412"/>
      <c r="L2463" s="412"/>
      <c r="M2463" s="682"/>
      <c r="N2463" s="171"/>
      <c r="O2463" s="171"/>
      <c r="P2463" s="169"/>
      <c r="Q2463" s="171"/>
      <c r="R2463" s="171"/>
      <c r="S2463" s="171"/>
      <c r="T2463" s="171"/>
      <c r="U2463" s="171"/>
      <c r="V2463" s="171"/>
      <c r="W2463" s="171"/>
      <c r="X2463" s="171"/>
      <c r="Y2463" s="171"/>
      <c r="Z2463" s="171"/>
      <c r="AA2463" s="171"/>
    </row>
    <row r="2464" spans="1:27" s="530" customFormat="1" hidden="1" x14ac:dyDescent="0.2">
      <c r="A2464" s="526"/>
      <c r="B2464" s="527"/>
      <c r="C2464" s="465"/>
      <c r="D2464" s="464"/>
      <c r="E2464" s="464"/>
      <c r="F2464" s="464"/>
      <c r="G2464" s="510"/>
      <c r="H2464" s="411"/>
      <c r="I2464" s="411"/>
      <c r="J2464" s="750" t="e">
        <f t="shared" si="23"/>
        <v>#DIV/0!</v>
      </c>
      <c r="K2464" s="412"/>
      <c r="L2464" s="412"/>
      <c r="M2464" s="682"/>
      <c r="N2464" s="171"/>
      <c r="O2464" s="171"/>
      <c r="P2464" s="169"/>
      <c r="Q2464" s="171"/>
      <c r="R2464" s="171"/>
      <c r="S2464" s="171"/>
      <c r="T2464" s="171"/>
      <c r="U2464" s="171"/>
      <c r="V2464" s="171"/>
      <c r="W2464" s="171"/>
      <c r="X2464" s="171"/>
      <c r="Y2464" s="171"/>
      <c r="Z2464" s="171"/>
      <c r="AA2464" s="171"/>
    </row>
    <row r="2465" spans="1:27" s="530" customFormat="1" hidden="1" x14ac:dyDescent="0.2">
      <c r="A2465" s="526"/>
      <c r="B2465" s="527"/>
      <c r="C2465" s="465"/>
      <c r="D2465" s="464"/>
      <c r="E2465" s="464"/>
      <c r="F2465" s="464"/>
      <c r="G2465" s="510"/>
      <c r="H2465" s="411"/>
      <c r="I2465" s="411"/>
      <c r="J2465" s="750" t="e">
        <f t="shared" si="23"/>
        <v>#DIV/0!</v>
      </c>
      <c r="K2465" s="412"/>
      <c r="L2465" s="412"/>
      <c r="M2465" s="682"/>
      <c r="N2465" s="171"/>
      <c r="O2465" s="171"/>
      <c r="P2465" s="169"/>
      <c r="Q2465" s="171"/>
      <c r="R2465" s="171"/>
      <c r="S2465" s="171"/>
      <c r="T2465" s="171"/>
      <c r="U2465" s="171"/>
      <c r="V2465" s="171"/>
      <c r="W2465" s="171"/>
      <c r="X2465" s="171"/>
      <c r="Y2465" s="171"/>
      <c r="Z2465" s="171"/>
      <c r="AA2465" s="171"/>
    </row>
    <row r="2466" spans="1:27" s="530" customFormat="1" hidden="1" x14ac:dyDescent="0.2">
      <c r="A2466" s="526"/>
      <c r="B2466" s="527"/>
      <c r="C2466" s="465"/>
      <c r="D2466" s="464"/>
      <c r="E2466" s="464"/>
      <c r="F2466" s="464"/>
      <c r="G2466" s="510"/>
      <c r="H2466" s="411"/>
      <c r="I2466" s="411"/>
      <c r="J2466" s="750" t="e">
        <f t="shared" si="23"/>
        <v>#DIV/0!</v>
      </c>
      <c r="K2466" s="412"/>
      <c r="L2466" s="412"/>
      <c r="M2466" s="682"/>
      <c r="N2466" s="171"/>
      <c r="O2466" s="171"/>
      <c r="P2466" s="169"/>
      <c r="Q2466" s="171"/>
      <c r="R2466" s="171"/>
      <c r="S2466" s="171"/>
      <c r="T2466" s="171"/>
      <c r="U2466" s="171"/>
      <c r="V2466" s="171"/>
      <c r="W2466" s="171"/>
      <c r="X2466" s="171"/>
      <c r="Y2466" s="171"/>
      <c r="Z2466" s="171"/>
      <c r="AA2466" s="171"/>
    </row>
    <row r="2467" spans="1:27" s="530" customFormat="1" hidden="1" x14ac:dyDescent="0.2">
      <c r="A2467" s="526"/>
      <c r="B2467" s="527"/>
      <c r="C2467" s="465"/>
      <c r="D2467" s="464"/>
      <c r="E2467" s="464"/>
      <c r="F2467" s="464"/>
      <c r="G2467" s="510"/>
      <c r="H2467" s="411"/>
      <c r="I2467" s="411"/>
      <c r="J2467" s="750" t="e">
        <f t="shared" si="23"/>
        <v>#DIV/0!</v>
      </c>
      <c r="K2467" s="412"/>
      <c r="L2467" s="412"/>
      <c r="M2467" s="682"/>
      <c r="N2467" s="171"/>
      <c r="O2467" s="171"/>
      <c r="P2467" s="169"/>
      <c r="Q2467" s="171"/>
      <c r="R2467" s="171"/>
      <c r="S2467" s="171"/>
      <c r="T2467" s="171"/>
      <c r="U2467" s="171"/>
      <c r="V2467" s="171"/>
      <c r="W2467" s="171"/>
      <c r="X2467" s="171"/>
      <c r="Y2467" s="171"/>
      <c r="Z2467" s="171"/>
      <c r="AA2467" s="171"/>
    </row>
    <row r="2468" spans="1:27" s="530" customFormat="1" hidden="1" x14ac:dyDescent="0.2">
      <c r="A2468" s="526"/>
      <c r="B2468" s="527"/>
      <c r="C2468" s="465"/>
      <c r="D2468" s="464"/>
      <c r="E2468" s="464"/>
      <c r="F2468" s="464"/>
      <c r="G2468" s="510"/>
      <c r="H2468" s="411"/>
      <c r="I2468" s="411"/>
      <c r="J2468" s="750" t="e">
        <f t="shared" si="23"/>
        <v>#DIV/0!</v>
      </c>
      <c r="K2468" s="412"/>
      <c r="L2468" s="412"/>
      <c r="M2468" s="682"/>
      <c r="N2468" s="171"/>
      <c r="O2468" s="171"/>
      <c r="P2468" s="169"/>
      <c r="Q2468" s="171"/>
      <c r="R2468" s="171"/>
      <c r="S2468" s="171"/>
      <c r="T2468" s="171"/>
      <c r="U2468" s="171"/>
      <c r="V2468" s="171"/>
      <c r="W2468" s="171"/>
      <c r="X2468" s="171"/>
      <c r="Y2468" s="171"/>
      <c r="Z2468" s="171"/>
      <c r="AA2468" s="171"/>
    </row>
    <row r="2469" spans="1:27" s="530" customFormat="1" hidden="1" x14ac:dyDescent="0.2">
      <c r="A2469" s="526"/>
      <c r="B2469" s="527"/>
      <c r="C2469" s="465"/>
      <c r="D2469" s="464"/>
      <c r="E2469" s="464"/>
      <c r="F2469" s="464"/>
      <c r="G2469" s="510"/>
      <c r="H2469" s="411"/>
      <c r="I2469" s="411"/>
      <c r="J2469" s="750" t="e">
        <f t="shared" si="23"/>
        <v>#DIV/0!</v>
      </c>
      <c r="K2469" s="412"/>
      <c r="L2469" s="412"/>
      <c r="M2469" s="682"/>
      <c r="N2469" s="171"/>
      <c r="O2469" s="171"/>
      <c r="P2469" s="169"/>
      <c r="Q2469" s="171"/>
      <c r="R2469" s="171"/>
      <c r="S2469" s="171"/>
      <c r="T2469" s="171"/>
      <c r="U2469" s="171"/>
      <c r="V2469" s="171"/>
      <c r="W2469" s="171"/>
      <c r="X2469" s="171"/>
      <c r="Y2469" s="171"/>
      <c r="Z2469" s="171"/>
      <c r="AA2469" s="171"/>
    </row>
    <row r="2470" spans="1:27" s="530" customFormat="1" hidden="1" x14ac:dyDescent="0.2">
      <c r="A2470" s="526"/>
      <c r="B2470" s="527"/>
      <c r="C2470" s="465"/>
      <c r="D2470" s="464"/>
      <c r="E2470" s="464"/>
      <c r="F2470" s="464"/>
      <c r="G2470" s="510"/>
      <c r="H2470" s="411"/>
      <c r="I2470" s="411"/>
      <c r="J2470" s="750" t="e">
        <f t="shared" si="23"/>
        <v>#DIV/0!</v>
      </c>
      <c r="K2470" s="412"/>
      <c r="L2470" s="412"/>
      <c r="M2470" s="682"/>
      <c r="N2470" s="171"/>
      <c r="O2470" s="171"/>
      <c r="P2470" s="169"/>
      <c r="Q2470" s="171"/>
      <c r="R2470" s="171"/>
      <c r="S2470" s="171"/>
      <c r="T2470" s="171"/>
      <c r="U2470" s="171"/>
      <c r="V2470" s="171"/>
      <c r="W2470" s="171"/>
      <c r="X2470" s="171"/>
      <c r="Y2470" s="171"/>
      <c r="Z2470" s="171"/>
      <c r="AA2470" s="171"/>
    </row>
    <row r="2471" spans="1:27" s="530" customFormat="1" hidden="1" x14ac:dyDescent="0.2">
      <c r="A2471" s="526"/>
      <c r="B2471" s="527"/>
      <c r="C2471" s="465"/>
      <c r="D2471" s="464"/>
      <c r="E2471" s="464"/>
      <c r="F2471" s="464"/>
      <c r="G2471" s="510"/>
      <c r="H2471" s="411"/>
      <c r="I2471" s="411"/>
      <c r="J2471" s="750" t="e">
        <f t="shared" si="23"/>
        <v>#DIV/0!</v>
      </c>
      <c r="K2471" s="412"/>
      <c r="L2471" s="412"/>
      <c r="M2471" s="682"/>
      <c r="N2471" s="171"/>
      <c r="O2471" s="171"/>
      <c r="P2471" s="169"/>
      <c r="Q2471" s="171"/>
      <c r="R2471" s="171"/>
      <c r="S2471" s="171"/>
      <c r="T2471" s="171"/>
      <c r="U2471" s="171"/>
      <c r="V2471" s="171"/>
      <c r="W2471" s="171"/>
      <c r="X2471" s="171"/>
      <c r="Y2471" s="171"/>
      <c r="Z2471" s="171"/>
      <c r="AA2471" s="171"/>
    </row>
    <row r="2472" spans="1:27" s="530" customFormat="1" hidden="1" x14ac:dyDescent="0.2">
      <c r="A2472" s="526"/>
      <c r="B2472" s="527"/>
      <c r="C2472" s="465"/>
      <c r="D2472" s="464"/>
      <c r="E2472" s="464"/>
      <c r="F2472" s="464"/>
      <c r="G2472" s="510"/>
      <c r="H2472" s="411"/>
      <c r="I2472" s="411"/>
      <c r="J2472" s="750" t="e">
        <f t="shared" si="23"/>
        <v>#DIV/0!</v>
      </c>
      <c r="K2472" s="412"/>
      <c r="L2472" s="412"/>
      <c r="M2472" s="682"/>
      <c r="N2472" s="171"/>
      <c r="O2472" s="171"/>
      <c r="P2472" s="169"/>
      <c r="Q2472" s="171"/>
      <c r="R2472" s="171"/>
      <c r="S2472" s="171"/>
      <c r="T2472" s="171"/>
      <c r="U2472" s="171"/>
      <c r="V2472" s="171"/>
      <c r="W2472" s="171"/>
      <c r="X2472" s="171"/>
      <c r="Y2472" s="171"/>
      <c r="Z2472" s="171"/>
      <c r="AA2472" s="171"/>
    </row>
    <row r="2473" spans="1:27" s="530" customFormat="1" hidden="1" x14ac:dyDescent="0.2">
      <c r="A2473" s="526"/>
      <c r="B2473" s="527"/>
      <c r="C2473" s="465"/>
      <c r="D2473" s="464"/>
      <c r="E2473" s="464"/>
      <c r="F2473" s="464"/>
      <c r="G2473" s="510"/>
      <c r="H2473" s="411"/>
      <c r="I2473" s="411"/>
      <c r="J2473" s="750" t="e">
        <f t="shared" si="23"/>
        <v>#DIV/0!</v>
      </c>
      <c r="K2473" s="412"/>
      <c r="L2473" s="412"/>
      <c r="M2473" s="682"/>
      <c r="N2473" s="171"/>
      <c r="O2473" s="171"/>
      <c r="P2473" s="169"/>
      <c r="Q2473" s="171"/>
      <c r="R2473" s="171"/>
      <c r="S2473" s="171"/>
      <c r="T2473" s="171"/>
      <c r="U2473" s="171"/>
      <c r="V2473" s="171"/>
      <c r="W2473" s="171"/>
      <c r="X2473" s="171"/>
      <c r="Y2473" s="171"/>
      <c r="Z2473" s="171"/>
      <c r="AA2473" s="171"/>
    </row>
    <row r="2474" spans="1:27" s="530" customFormat="1" hidden="1" x14ac:dyDescent="0.2">
      <c r="A2474" s="526"/>
      <c r="B2474" s="527"/>
      <c r="C2474" s="465"/>
      <c r="D2474" s="464"/>
      <c r="E2474" s="464"/>
      <c r="F2474" s="464"/>
      <c r="G2474" s="510"/>
      <c r="H2474" s="411"/>
      <c r="I2474" s="411"/>
      <c r="J2474" s="750" t="e">
        <f t="shared" si="23"/>
        <v>#DIV/0!</v>
      </c>
      <c r="K2474" s="412"/>
      <c r="L2474" s="412"/>
      <c r="M2474" s="682"/>
      <c r="N2474" s="171"/>
      <c r="O2474" s="171"/>
      <c r="P2474" s="169"/>
      <c r="Q2474" s="171"/>
      <c r="R2474" s="171"/>
      <c r="S2474" s="171"/>
      <c r="T2474" s="171"/>
      <c r="U2474" s="171"/>
      <c r="V2474" s="171"/>
      <c r="W2474" s="171"/>
      <c r="X2474" s="171"/>
      <c r="Y2474" s="171"/>
      <c r="Z2474" s="171"/>
      <c r="AA2474" s="171"/>
    </row>
    <row r="2475" spans="1:27" s="530" customFormat="1" hidden="1" x14ac:dyDescent="0.2">
      <c r="A2475" s="526"/>
      <c r="B2475" s="527"/>
      <c r="C2475" s="465"/>
      <c r="D2475" s="464"/>
      <c r="E2475" s="464"/>
      <c r="F2475" s="464"/>
      <c r="G2475" s="510"/>
      <c r="H2475" s="411"/>
      <c r="I2475" s="411"/>
      <c r="J2475" s="750" t="e">
        <f t="shared" si="23"/>
        <v>#DIV/0!</v>
      </c>
      <c r="K2475" s="412"/>
      <c r="L2475" s="412"/>
      <c r="M2475" s="682"/>
      <c r="N2475" s="171"/>
      <c r="O2475" s="171"/>
      <c r="P2475" s="169"/>
      <c r="Q2475" s="171"/>
      <c r="R2475" s="171"/>
      <c r="S2475" s="171"/>
      <c r="T2475" s="171"/>
      <c r="U2475" s="171"/>
      <c r="V2475" s="171"/>
      <c r="W2475" s="171"/>
      <c r="X2475" s="171"/>
      <c r="Y2475" s="171"/>
      <c r="Z2475" s="171"/>
      <c r="AA2475" s="171"/>
    </row>
    <row r="2476" spans="1:27" s="530" customFormat="1" hidden="1" x14ac:dyDescent="0.2">
      <c r="A2476" s="526"/>
      <c r="B2476" s="527"/>
      <c r="C2476" s="465"/>
      <c r="D2476" s="464"/>
      <c r="E2476" s="464"/>
      <c r="F2476" s="464"/>
      <c r="G2476" s="510"/>
      <c r="H2476" s="411"/>
      <c r="I2476" s="411"/>
      <c r="J2476" s="750" t="e">
        <f t="shared" si="23"/>
        <v>#DIV/0!</v>
      </c>
      <c r="K2476" s="412"/>
      <c r="L2476" s="412"/>
      <c r="M2476" s="682"/>
      <c r="N2476" s="171"/>
      <c r="O2476" s="171"/>
      <c r="P2476" s="169"/>
      <c r="Q2476" s="171"/>
      <c r="R2476" s="171"/>
      <c r="S2476" s="171"/>
      <c r="T2476" s="171"/>
      <c r="U2476" s="171"/>
      <c r="V2476" s="171"/>
      <c r="W2476" s="171"/>
      <c r="X2476" s="171"/>
      <c r="Y2476" s="171"/>
      <c r="Z2476" s="171"/>
      <c r="AA2476" s="171"/>
    </row>
    <row r="2477" spans="1:27" s="530" customFormat="1" hidden="1" x14ac:dyDescent="0.2">
      <c r="A2477" s="526"/>
      <c r="B2477" s="527"/>
      <c r="C2477" s="465"/>
      <c r="D2477" s="464"/>
      <c r="E2477" s="464"/>
      <c r="F2477" s="464"/>
      <c r="G2477" s="510"/>
      <c r="H2477" s="411"/>
      <c r="I2477" s="411"/>
      <c r="J2477" s="750" t="e">
        <f t="shared" si="23"/>
        <v>#DIV/0!</v>
      </c>
      <c r="K2477" s="412"/>
      <c r="L2477" s="412"/>
      <c r="M2477" s="682"/>
      <c r="N2477" s="171"/>
      <c r="O2477" s="171"/>
      <c r="P2477" s="169"/>
      <c r="Q2477" s="171"/>
      <c r="R2477" s="171"/>
      <c r="S2477" s="171"/>
      <c r="T2477" s="171"/>
      <c r="U2477" s="171"/>
      <c r="V2477" s="171"/>
      <c r="W2477" s="171"/>
      <c r="X2477" s="171"/>
      <c r="Y2477" s="171"/>
      <c r="Z2477" s="171"/>
      <c r="AA2477" s="171"/>
    </row>
    <row r="2478" spans="1:27" s="530" customFormat="1" hidden="1" x14ac:dyDescent="0.2">
      <c r="A2478" s="526"/>
      <c r="B2478" s="527"/>
      <c r="C2478" s="465"/>
      <c r="D2478" s="464"/>
      <c r="E2478" s="464"/>
      <c r="F2478" s="464"/>
      <c r="G2478" s="510"/>
      <c r="H2478" s="411"/>
      <c r="I2478" s="411"/>
      <c r="J2478" s="750" t="e">
        <f t="shared" si="23"/>
        <v>#DIV/0!</v>
      </c>
      <c r="K2478" s="412"/>
      <c r="L2478" s="412"/>
      <c r="M2478" s="682"/>
      <c r="N2478" s="171"/>
      <c r="O2478" s="171"/>
      <c r="P2478" s="169"/>
      <c r="Q2478" s="171"/>
      <c r="R2478" s="171"/>
      <c r="S2478" s="171"/>
      <c r="T2478" s="171"/>
      <c r="U2478" s="171"/>
      <c r="V2478" s="171"/>
      <c r="W2478" s="171"/>
      <c r="X2478" s="171"/>
      <c r="Y2478" s="171"/>
      <c r="Z2478" s="171"/>
      <c r="AA2478" s="171"/>
    </row>
    <row r="2479" spans="1:27" s="530" customFormat="1" hidden="1" x14ac:dyDescent="0.2">
      <c r="A2479" s="526"/>
      <c r="B2479" s="527"/>
      <c r="C2479" s="465"/>
      <c r="D2479" s="464"/>
      <c r="E2479" s="464"/>
      <c r="F2479" s="464"/>
      <c r="G2479" s="510"/>
      <c r="H2479" s="411"/>
      <c r="I2479" s="411"/>
      <c r="J2479" s="750" t="e">
        <f t="shared" si="23"/>
        <v>#DIV/0!</v>
      </c>
      <c r="K2479" s="412"/>
      <c r="L2479" s="412"/>
      <c r="M2479" s="682"/>
      <c r="N2479" s="171"/>
      <c r="O2479" s="171"/>
      <c r="P2479" s="169"/>
      <c r="Q2479" s="171"/>
      <c r="R2479" s="171"/>
      <c r="S2479" s="171"/>
      <c r="T2479" s="171"/>
      <c r="U2479" s="171"/>
      <c r="V2479" s="171"/>
      <c r="W2479" s="171"/>
      <c r="X2479" s="171"/>
      <c r="Y2479" s="171"/>
      <c r="Z2479" s="171"/>
      <c r="AA2479" s="171"/>
    </row>
    <row r="2480" spans="1:27" s="530" customFormat="1" hidden="1" x14ac:dyDescent="0.2">
      <c r="A2480" s="526"/>
      <c r="B2480" s="527"/>
      <c r="C2480" s="465"/>
      <c r="D2480" s="464"/>
      <c r="E2480" s="464"/>
      <c r="F2480" s="464"/>
      <c r="G2480" s="510"/>
      <c r="H2480" s="411"/>
      <c r="I2480" s="411"/>
      <c r="J2480" s="750" t="e">
        <f t="shared" si="23"/>
        <v>#DIV/0!</v>
      </c>
      <c r="K2480" s="412"/>
      <c r="L2480" s="412"/>
      <c r="M2480" s="682"/>
      <c r="N2480" s="171"/>
      <c r="O2480" s="171"/>
      <c r="P2480" s="169"/>
      <c r="Q2480" s="171"/>
      <c r="R2480" s="171"/>
      <c r="S2480" s="171"/>
      <c r="T2480" s="171"/>
      <c r="U2480" s="171"/>
      <c r="V2480" s="171"/>
      <c r="W2480" s="171"/>
      <c r="X2480" s="171"/>
      <c r="Y2480" s="171"/>
      <c r="Z2480" s="171"/>
      <c r="AA2480" s="171"/>
    </row>
    <row r="2481" spans="1:27" s="530" customFormat="1" hidden="1" x14ac:dyDescent="0.2">
      <c r="A2481" s="526"/>
      <c r="B2481" s="527"/>
      <c r="C2481" s="465"/>
      <c r="D2481" s="464"/>
      <c r="E2481" s="464"/>
      <c r="F2481" s="464"/>
      <c r="G2481" s="510"/>
      <c r="H2481" s="411"/>
      <c r="I2481" s="411"/>
      <c r="J2481" s="750" t="e">
        <f t="shared" si="23"/>
        <v>#DIV/0!</v>
      </c>
      <c r="K2481" s="412"/>
      <c r="L2481" s="412"/>
      <c r="M2481" s="682"/>
      <c r="N2481" s="171"/>
      <c r="O2481" s="171"/>
      <c r="P2481" s="169"/>
      <c r="Q2481" s="171"/>
      <c r="R2481" s="171"/>
      <c r="S2481" s="171"/>
      <c r="T2481" s="171"/>
      <c r="U2481" s="171"/>
      <c r="V2481" s="171"/>
      <c r="W2481" s="171"/>
      <c r="X2481" s="171"/>
      <c r="Y2481" s="171"/>
      <c r="Z2481" s="171"/>
      <c r="AA2481" s="171"/>
    </row>
    <row r="2482" spans="1:27" s="530" customFormat="1" hidden="1" x14ac:dyDescent="0.2">
      <c r="A2482" s="526"/>
      <c r="B2482" s="527"/>
      <c r="C2482" s="465"/>
      <c r="D2482" s="464"/>
      <c r="E2482" s="464"/>
      <c r="F2482" s="464"/>
      <c r="G2482" s="510"/>
      <c r="H2482" s="411"/>
      <c r="I2482" s="411"/>
      <c r="J2482" s="750" t="e">
        <f t="shared" si="23"/>
        <v>#DIV/0!</v>
      </c>
      <c r="K2482" s="412"/>
      <c r="L2482" s="412"/>
      <c r="M2482" s="682"/>
      <c r="N2482" s="171"/>
      <c r="O2482" s="171"/>
      <c r="P2482" s="169"/>
      <c r="Q2482" s="171"/>
      <c r="R2482" s="171"/>
      <c r="S2482" s="171"/>
      <c r="T2482" s="171"/>
      <c r="U2482" s="171"/>
      <c r="V2482" s="171"/>
      <c r="W2482" s="171"/>
      <c r="X2482" s="171"/>
      <c r="Y2482" s="171"/>
      <c r="Z2482" s="171"/>
      <c r="AA2482" s="171"/>
    </row>
    <row r="2483" spans="1:27" s="530" customFormat="1" hidden="1" x14ac:dyDescent="0.2">
      <c r="A2483" s="526"/>
      <c r="B2483" s="527"/>
      <c r="C2483" s="465"/>
      <c r="D2483" s="464"/>
      <c r="E2483" s="464"/>
      <c r="F2483" s="464"/>
      <c r="G2483" s="510"/>
      <c r="H2483" s="411"/>
      <c r="I2483" s="411"/>
      <c r="J2483" s="750" t="e">
        <f t="shared" si="23"/>
        <v>#DIV/0!</v>
      </c>
      <c r="K2483" s="412"/>
      <c r="L2483" s="412"/>
      <c r="M2483" s="682"/>
      <c r="N2483" s="171"/>
      <c r="O2483" s="171"/>
      <c r="P2483" s="169"/>
      <c r="Q2483" s="171"/>
      <c r="R2483" s="171"/>
      <c r="S2483" s="171"/>
      <c r="T2483" s="171"/>
      <c r="U2483" s="171"/>
      <c r="V2483" s="171"/>
      <c r="W2483" s="171"/>
      <c r="X2483" s="171"/>
      <c r="Y2483" s="171"/>
      <c r="Z2483" s="171"/>
      <c r="AA2483" s="171"/>
    </row>
    <row r="2484" spans="1:27" s="530" customFormat="1" hidden="1" x14ac:dyDescent="0.2">
      <c r="A2484" s="526"/>
      <c r="B2484" s="527"/>
      <c r="C2484" s="465"/>
      <c r="D2484" s="464"/>
      <c r="E2484" s="464"/>
      <c r="F2484" s="464"/>
      <c r="G2484" s="510"/>
      <c r="H2484" s="411"/>
      <c r="I2484" s="411"/>
      <c r="J2484" s="750" t="e">
        <f t="shared" si="23"/>
        <v>#DIV/0!</v>
      </c>
      <c r="K2484" s="412"/>
      <c r="L2484" s="412"/>
      <c r="M2484" s="682"/>
      <c r="N2484" s="171"/>
      <c r="O2484" s="171"/>
      <c r="P2484" s="169"/>
      <c r="Q2484" s="171"/>
      <c r="R2484" s="171"/>
      <c r="S2484" s="171"/>
      <c r="T2484" s="171"/>
      <c r="U2484" s="171"/>
      <c r="V2484" s="171"/>
      <c r="W2484" s="171"/>
      <c r="X2484" s="171"/>
      <c r="Y2484" s="171"/>
      <c r="Z2484" s="171"/>
      <c r="AA2484" s="171"/>
    </row>
    <row r="2485" spans="1:27" s="530" customFormat="1" hidden="1" x14ac:dyDescent="0.2">
      <c r="A2485" s="526"/>
      <c r="B2485" s="527"/>
      <c r="C2485" s="465"/>
      <c r="D2485" s="464"/>
      <c r="E2485" s="464"/>
      <c r="F2485" s="464"/>
      <c r="G2485" s="510"/>
      <c r="H2485" s="411"/>
      <c r="I2485" s="411"/>
      <c r="J2485" s="750" t="e">
        <f t="shared" si="23"/>
        <v>#DIV/0!</v>
      </c>
      <c r="K2485" s="412"/>
      <c r="L2485" s="412"/>
      <c r="M2485" s="682"/>
      <c r="N2485" s="171"/>
      <c r="O2485" s="171"/>
      <c r="P2485" s="169"/>
      <c r="Q2485" s="171"/>
      <c r="R2485" s="171"/>
      <c r="S2485" s="171"/>
      <c r="T2485" s="171"/>
      <c r="U2485" s="171"/>
      <c r="V2485" s="171"/>
      <c r="W2485" s="171"/>
      <c r="X2485" s="171"/>
      <c r="Y2485" s="171"/>
      <c r="Z2485" s="171"/>
      <c r="AA2485" s="171"/>
    </row>
    <row r="2486" spans="1:27" s="530" customFormat="1" hidden="1" x14ac:dyDescent="0.2">
      <c r="A2486" s="526"/>
      <c r="B2486" s="527"/>
      <c r="C2486" s="465"/>
      <c r="D2486" s="464"/>
      <c r="E2486" s="464"/>
      <c r="F2486" s="464"/>
      <c r="G2486" s="510"/>
      <c r="H2486" s="411"/>
      <c r="I2486" s="411"/>
      <c r="J2486" s="750" t="e">
        <f t="shared" si="23"/>
        <v>#DIV/0!</v>
      </c>
      <c r="K2486" s="412"/>
      <c r="L2486" s="412"/>
      <c r="M2486" s="682"/>
      <c r="N2486" s="171"/>
      <c r="O2486" s="171"/>
      <c r="P2486" s="169"/>
      <c r="Q2486" s="171"/>
      <c r="R2486" s="171"/>
      <c r="S2486" s="171"/>
      <c r="T2486" s="171"/>
      <c r="U2486" s="171"/>
      <c r="V2486" s="171"/>
      <c r="W2486" s="171"/>
      <c r="X2486" s="171"/>
      <c r="Y2486" s="171"/>
      <c r="Z2486" s="171"/>
      <c r="AA2486" s="171"/>
    </row>
    <row r="2487" spans="1:27" s="530" customFormat="1" hidden="1" x14ac:dyDescent="0.2">
      <c r="A2487" s="526"/>
      <c r="B2487" s="527"/>
      <c r="C2487" s="465"/>
      <c r="D2487" s="464"/>
      <c r="E2487" s="464"/>
      <c r="F2487" s="464"/>
      <c r="G2487" s="510"/>
      <c r="H2487" s="411"/>
      <c r="I2487" s="411"/>
      <c r="J2487" s="750" t="e">
        <f t="shared" si="23"/>
        <v>#DIV/0!</v>
      </c>
      <c r="K2487" s="412"/>
      <c r="L2487" s="412"/>
      <c r="M2487" s="682"/>
      <c r="N2487" s="171"/>
      <c r="O2487" s="171"/>
      <c r="P2487" s="169"/>
      <c r="Q2487" s="171"/>
      <c r="R2487" s="171"/>
      <c r="S2487" s="171"/>
      <c r="T2487" s="171"/>
      <c r="U2487" s="171"/>
      <c r="V2487" s="171"/>
      <c r="W2487" s="171"/>
      <c r="X2487" s="171"/>
      <c r="Y2487" s="171"/>
      <c r="Z2487" s="171"/>
      <c r="AA2487" s="171"/>
    </row>
    <row r="2488" spans="1:27" s="530" customFormat="1" hidden="1" x14ac:dyDescent="0.2">
      <c r="A2488" s="526"/>
      <c r="B2488" s="527"/>
      <c r="C2488" s="465"/>
      <c r="D2488" s="464"/>
      <c r="E2488" s="464"/>
      <c r="F2488" s="464"/>
      <c r="G2488" s="510"/>
      <c r="H2488" s="411"/>
      <c r="I2488" s="411"/>
      <c r="J2488" s="750" t="e">
        <f t="shared" si="23"/>
        <v>#DIV/0!</v>
      </c>
      <c r="K2488" s="412"/>
      <c r="L2488" s="412"/>
      <c r="M2488" s="682"/>
      <c r="N2488" s="171"/>
      <c r="O2488" s="171"/>
      <c r="P2488" s="169"/>
      <c r="Q2488" s="171"/>
      <c r="R2488" s="171"/>
      <c r="S2488" s="171"/>
      <c r="T2488" s="171"/>
      <c r="U2488" s="171"/>
      <c r="V2488" s="171"/>
      <c r="W2488" s="171"/>
      <c r="X2488" s="171"/>
      <c r="Y2488" s="171"/>
      <c r="Z2488" s="171"/>
      <c r="AA2488" s="171"/>
    </row>
    <row r="2489" spans="1:27" s="530" customFormat="1" hidden="1" x14ac:dyDescent="0.2">
      <c r="A2489" s="526"/>
      <c r="B2489" s="527"/>
      <c r="C2489" s="465"/>
      <c r="D2489" s="464"/>
      <c r="E2489" s="464"/>
      <c r="F2489" s="464"/>
      <c r="G2489" s="510"/>
      <c r="H2489" s="411"/>
      <c r="I2489" s="411"/>
      <c r="J2489" s="750" t="e">
        <f t="shared" si="23"/>
        <v>#DIV/0!</v>
      </c>
      <c r="K2489" s="412"/>
      <c r="L2489" s="412"/>
      <c r="M2489" s="682"/>
      <c r="N2489" s="171"/>
      <c r="O2489" s="171"/>
      <c r="P2489" s="169"/>
      <c r="Q2489" s="171"/>
      <c r="R2489" s="171"/>
      <c r="S2489" s="171"/>
      <c r="T2489" s="171"/>
      <c r="U2489" s="171"/>
      <c r="V2489" s="171"/>
      <c r="W2489" s="171"/>
      <c r="X2489" s="171"/>
      <c r="Y2489" s="171"/>
      <c r="Z2489" s="171"/>
      <c r="AA2489" s="171"/>
    </row>
    <row r="2490" spans="1:27" s="530" customFormat="1" hidden="1" x14ac:dyDescent="0.2">
      <c r="A2490" s="526"/>
      <c r="B2490" s="527"/>
      <c r="C2490" s="465"/>
      <c r="D2490" s="464"/>
      <c r="E2490" s="464"/>
      <c r="F2490" s="464"/>
      <c r="G2490" s="510"/>
      <c r="H2490" s="411"/>
      <c r="I2490" s="411"/>
      <c r="J2490" s="750" t="e">
        <f t="shared" si="23"/>
        <v>#DIV/0!</v>
      </c>
      <c r="K2490" s="412"/>
      <c r="L2490" s="412"/>
      <c r="M2490" s="682"/>
      <c r="N2490" s="171"/>
      <c r="O2490" s="171"/>
      <c r="P2490" s="169"/>
      <c r="Q2490" s="171"/>
      <c r="R2490" s="171"/>
      <c r="S2490" s="171"/>
      <c r="T2490" s="171"/>
      <c r="U2490" s="171"/>
      <c r="V2490" s="171"/>
      <c r="W2490" s="171"/>
      <c r="X2490" s="171"/>
      <c r="Y2490" s="171"/>
      <c r="Z2490" s="171"/>
      <c r="AA2490" s="171"/>
    </row>
    <row r="2491" spans="1:27" s="530" customFormat="1" hidden="1" x14ac:dyDescent="0.2">
      <c r="A2491" s="526"/>
      <c r="B2491" s="527"/>
      <c r="C2491" s="465"/>
      <c r="D2491" s="464"/>
      <c r="E2491" s="464"/>
      <c r="F2491" s="464"/>
      <c r="G2491" s="510"/>
      <c r="H2491" s="411"/>
      <c r="I2491" s="411"/>
      <c r="J2491" s="750" t="e">
        <f t="shared" si="23"/>
        <v>#DIV/0!</v>
      </c>
      <c r="K2491" s="412"/>
      <c r="L2491" s="412"/>
      <c r="M2491" s="682"/>
      <c r="N2491" s="171"/>
      <c r="O2491" s="171"/>
      <c r="P2491" s="169"/>
      <c r="Q2491" s="171"/>
      <c r="R2491" s="171"/>
      <c r="S2491" s="171"/>
      <c r="T2491" s="171"/>
      <c r="U2491" s="171"/>
      <c r="V2491" s="171"/>
      <c r="W2491" s="171"/>
      <c r="X2491" s="171"/>
      <c r="Y2491" s="171"/>
      <c r="Z2491" s="171"/>
      <c r="AA2491" s="171"/>
    </row>
    <row r="2492" spans="1:27" s="530" customFormat="1" hidden="1" x14ac:dyDescent="0.2">
      <c r="A2492" s="526"/>
      <c r="B2492" s="527"/>
      <c r="C2492" s="465"/>
      <c r="D2492" s="464"/>
      <c r="E2492" s="464"/>
      <c r="F2492" s="464"/>
      <c r="G2492" s="510"/>
      <c r="H2492" s="411"/>
      <c r="I2492" s="411"/>
      <c r="J2492" s="750" t="e">
        <f t="shared" si="23"/>
        <v>#DIV/0!</v>
      </c>
      <c r="K2492" s="412"/>
      <c r="L2492" s="412"/>
      <c r="M2492" s="682"/>
      <c r="N2492" s="171"/>
      <c r="O2492" s="171"/>
      <c r="P2492" s="169"/>
      <c r="Q2492" s="171"/>
      <c r="R2492" s="171"/>
      <c r="S2492" s="171"/>
      <c r="T2492" s="171"/>
      <c r="U2492" s="171"/>
      <c r="V2492" s="171"/>
      <c r="W2492" s="171"/>
      <c r="X2492" s="171"/>
      <c r="Y2492" s="171"/>
      <c r="Z2492" s="171"/>
      <c r="AA2492" s="171"/>
    </row>
    <row r="2493" spans="1:27" s="530" customFormat="1" hidden="1" x14ac:dyDescent="0.2">
      <c r="A2493" s="526"/>
      <c r="B2493" s="527"/>
      <c r="C2493" s="465"/>
      <c r="D2493" s="464"/>
      <c r="E2493" s="464"/>
      <c r="F2493" s="464"/>
      <c r="G2493" s="510"/>
      <c r="H2493" s="411"/>
      <c r="I2493" s="411"/>
      <c r="J2493" s="750" t="e">
        <f t="shared" si="23"/>
        <v>#DIV/0!</v>
      </c>
      <c r="K2493" s="412"/>
      <c r="L2493" s="412"/>
      <c r="M2493" s="682"/>
      <c r="N2493" s="171"/>
      <c r="O2493" s="171"/>
      <c r="P2493" s="169"/>
      <c r="Q2493" s="171"/>
      <c r="R2493" s="171"/>
      <c r="S2493" s="171"/>
      <c r="T2493" s="171"/>
      <c r="U2493" s="171"/>
      <c r="V2493" s="171"/>
      <c r="W2493" s="171"/>
      <c r="X2493" s="171"/>
      <c r="Y2493" s="171"/>
      <c r="Z2493" s="171"/>
      <c r="AA2493" s="171"/>
    </row>
    <row r="2494" spans="1:27" s="530" customFormat="1" hidden="1" x14ac:dyDescent="0.2">
      <c r="A2494" s="526"/>
      <c r="B2494" s="527"/>
      <c r="C2494" s="465"/>
      <c r="D2494" s="464"/>
      <c r="E2494" s="464"/>
      <c r="F2494" s="464"/>
      <c r="G2494" s="510"/>
      <c r="H2494" s="411"/>
      <c r="I2494" s="411"/>
      <c r="J2494" s="750" t="e">
        <f t="shared" si="23"/>
        <v>#DIV/0!</v>
      </c>
      <c r="K2494" s="412"/>
      <c r="L2494" s="412"/>
      <c r="M2494" s="682"/>
      <c r="N2494" s="171"/>
      <c r="O2494" s="171"/>
      <c r="P2494" s="169"/>
      <c r="Q2494" s="171"/>
      <c r="R2494" s="171"/>
      <c r="S2494" s="171"/>
      <c r="T2494" s="171"/>
      <c r="U2494" s="171"/>
      <c r="V2494" s="171"/>
      <c r="W2494" s="171"/>
      <c r="X2494" s="171"/>
      <c r="Y2494" s="171"/>
      <c r="Z2494" s="171"/>
      <c r="AA2494" s="171"/>
    </row>
    <row r="2495" spans="1:27" s="530" customFormat="1" hidden="1" x14ac:dyDescent="0.2">
      <c r="A2495" s="526"/>
      <c r="B2495" s="527"/>
      <c r="C2495" s="465"/>
      <c r="D2495" s="464"/>
      <c r="E2495" s="464"/>
      <c r="F2495" s="464"/>
      <c r="G2495" s="510"/>
      <c r="H2495" s="411"/>
      <c r="I2495" s="411"/>
      <c r="J2495" s="750" t="e">
        <f t="shared" si="23"/>
        <v>#DIV/0!</v>
      </c>
      <c r="K2495" s="412"/>
      <c r="L2495" s="412"/>
      <c r="M2495" s="682"/>
      <c r="N2495" s="171"/>
      <c r="O2495" s="171"/>
      <c r="P2495" s="169"/>
      <c r="Q2495" s="171"/>
      <c r="R2495" s="171"/>
      <c r="S2495" s="171"/>
      <c r="T2495" s="171"/>
      <c r="U2495" s="171"/>
      <c r="V2495" s="171"/>
      <c r="W2495" s="171"/>
      <c r="X2495" s="171"/>
      <c r="Y2495" s="171"/>
      <c r="Z2495" s="171"/>
      <c r="AA2495" s="171"/>
    </row>
    <row r="2496" spans="1:27" s="530" customFormat="1" hidden="1" x14ac:dyDescent="0.2">
      <c r="A2496" s="526"/>
      <c r="B2496" s="527"/>
      <c r="C2496" s="465"/>
      <c r="D2496" s="464"/>
      <c r="E2496" s="464"/>
      <c r="F2496" s="464"/>
      <c r="G2496" s="510"/>
      <c r="H2496" s="411"/>
      <c r="I2496" s="411"/>
      <c r="J2496" s="750" t="e">
        <f t="shared" si="23"/>
        <v>#DIV/0!</v>
      </c>
      <c r="K2496" s="412"/>
      <c r="L2496" s="412"/>
      <c r="M2496" s="682"/>
      <c r="N2496" s="171"/>
      <c r="O2496" s="171"/>
      <c r="P2496" s="169"/>
      <c r="Q2496" s="171"/>
      <c r="R2496" s="171"/>
      <c r="S2496" s="171"/>
      <c r="T2496" s="171"/>
      <c r="U2496" s="171"/>
      <c r="V2496" s="171"/>
      <c r="W2496" s="171"/>
      <c r="X2496" s="171"/>
      <c r="Y2496" s="171"/>
      <c r="Z2496" s="171"/>
      <c r="AA2496" s="171"/>
    </row>
    <row r="2497" spans="1:27" s="530" customFormat="1" hidden="1" x14ac:dyDescent="0.2">
      <c r="A2497" s="526"/>
      <c r="B2497" s="527"/>
      <c r="C2497" s="465"/>
      <c r="D2497" s="464"/>
      <c r="E2497" s="464"/>
      <c r="F2497" s="464"/>
      <c r="G2497" s="510"/>
      <c r="H2497" s="411"/>
      <c r="I2497" s="411"/>
      <c r="J2497" s="750" t="e">
        <f t="shared" si="23"/>
        <v>#DIV/0!</v>
      </c>
      <c r="K2497" s="412"/>
      <c r="L2497" s="412"/>
      <c r="M2497" s="682"/>
      <c r="N2497" s="171"/>
      <c r="O2497" s="171"/>
      <c r="P2497" s="169"/>
      <c r="Q2497" s="171"/>
      <c r="R2497" s="171"/>
      <c r="S2497" s="171"/>
      <c r="T2497" s="171"/>
      <c r="U2497" s="171"/>
      <c r="V2497" s="171"/>
      <c r="W2497" s="171"/>
      <c r="X2497" s="171"/>
      <c r="Y2497" s="171"/>
      <c r="Z2497" s="171"/>
      <c r="AA2497" s="171"/>
    </row>
    <row r="2498" spans="1:27" s="530" customFormat="1" hidden="1" x14ac:dyDescent="0.2">
      <c r="A2498" s="526"/>
      <c r="B2498" s="527"/>
      <c r="C2498" s="465"/>
      <c r="D2498" s="464"/>
      <c r="E2498" s="464"/>
      <c r="F2498" s="464"/>
      <c r="G2498" s="510"/>
      <c r="H2498" s="411"/>
      <c r="I2498" s="411"/>
      <c r="J2498" s="750" t="e">
        <f t="shared" si="23"/>
        <v>#DIV/0!</v>
      </c>
      <c r="K2498" s="412"/>
      <c r="L2498" s="412"/>
      <c r="M2498" s="682"/>
      <c r="N2498" s="171"/>
      <c r="O2498" s="171"/>
      <c r="P2498" s="169"/>
      <c r="Q2498" s="171"/>
      <c r="R2498" s="171"/>
      <c r="S2498" s="171"/>
      <c r="T2498" s="171"/>
      <c r="U2498" s="171"/>
      <c r="V2498" s="171"/>
      <c r="W2498" s="171"/>
      <c r="X2498" s="171"/>
      <c r="Y2498" s="171"/>
      <c r="Z2498" s="171"/>
      <c r="AA2498" s="171"/>
    </row>
    <row r="2499" spans="1:27" s="530" customFormat="1" hidden="1" x14ac:dyDescent="0.2">
      <c r="A2499" s="526"/>
      <c r="B2499" s="527"/>
      <c r="C2499" s="465"/>
      <c r="D2499" s="464"/>
      <c r="E2499" s="464"/>
      <c r="F2499" s="464"/>
      <c r="G2499" s="510"/>
      <c r="H2499" s="411"/>
      <c r="I2499" s="411"/>
      <c r="J2499" s="750" t="e">
        <f t="shared" si="23"/>
        <v>#DIV/0!</v>
      </c>
      <c r="K2499" s="412"/>
      <c r="L2499" s="412"/>
      <c r="M2499" s="682"/>
      <c r="N2499" s="171"/>
      <c r="O2499" s="171"/>
      <c r="P2499" s="169"/>
      <c r="Q2499" s="171"/>
      <c r="R2499" s="171"/>
      <c r="S2499" s="171"/>
      <c r="T2499" s="171"/>
      <c r="U2499" s="171"/>
      <c r="V2499" s="171"/>
      <c r="W2499" s="171"/>
      <c r="X2499" s="171"/>
      <c r="Y2499" s="171"/>
      <c r="Z2499" s="171"/>
      <c r="AA2499" s="171"/>
    </row>
    <row r="2500" spans="1:27" s="530" customFormat="1" hidden="1" x14ac:dyDescent="0.2">
      <c r="A2500" s="526"/>
      <c r="B2500" s="527"/>
      <c r="C2500" s="465"/>
      <c r="D2500" s="464"/>
      <c r="E2500" s="464"/>
      <c r="F2500" s="464"/>
      <c r="G2500" s="510"/>
      <c r="H2500" s="411"/>
      <c r="I2500" s="411"/>
      <c r="J2500" s="750" t="e">
        <f t="shared" si="23"/>
        <v>#DIV/0!</v>
      </c>
      <c r="K2500" s="412"/>
      <c r="L2500" s="412"/>
      <c r="M2500" s="682"/>
      <c r="N2500" s="171"/>
      <c r="O2500" s="171"/>
      <c r="P2500" s="169"/>
      <c r="Q2500" s="171"/>
      <c r="R2500" s="171"/>
      <c r="S2500" s="171"/>
      <c r="T2500" s="171"/>
      <c r="U2500" s="171"/>
      <c r="V2500" s="171"/>
      <c r="W2500" s="171"/>
      <c r="X2500" s="171"/>
      <c r="Y2500" s="171"/>
      <c r="Z2500" s="171"/>
      <c r="AA2500" s="171"/>
    </row>
    <row r="2501" spans="1:27" s="530" customFormat="1" hidden="1" x14ac:dyDescent="0.2">
      <c r="A2501" s="526"/>
      <c r="B2501" s="527"/>
      <c r="C2501" s="465"/>
      <c r="D2501" s="464"/>
      <c r="E2501" s="464"/>
      <c r="F2501" s="464"/>
      <c r="G2501" s="510"/>
      <c r="H2501" s="411"/>
      <c r="I2501" s="411"/>
      <c r="J2501" s="750" t="e">
        <f t="shared" si="23"/>
        <v>#DIV/0!</v>
      </c>
      <c r="K2501" s="412"/>
      <c r="L2501" s="412"/>
      <c r="M2501" s="682"/>
      <c r="N2501" s="171"/>
      <c r="O2501" s="171"/>
      <c r="P2501" s="169"/>
      <c r="Q2501" s="171"/>
      <c r="R2501" s="171"/>
      <c r="S2501" s="171"/>
      <c r="T2501" s="171"/>
      <c r="U2501" s="171"/>
      <c r="V2501" s="171"/>
      <c r="W2501" s="171"/>
      <c r="X2501" s="171"/>
      <c r="Y2501" s="171"/>
      <c r="Z2501" s="171"/>
      <c r="AA2501" s="171"/>
    </row>
    <row r="2502" spans="1:27" s="530" customFormat="1" hidden="1" x14ac:dyDescent="0.2">
      <c r="A2502" s="526"/>
      <c r="B2502" s="527"/>
      <c r="C2502" s="465"/>
      <c r="D2502" s="464"/>
      <c r="E2502" s="464"/>
      <c r="F2502" s="464"/>
      <c r="G2502" s="510"/>
      <c r="H2502" s="411"/>
      <c r="I2502" s="411"/>
      <c r="J2502" s="750" t="e">
        <f t="shared" si="23"/>
        <v>#DIV/0!</v>
      </c>
      <c r="K2502" s="412"/>
      <c r="L2502" s="412"/>
      <c r="M2502" s="682"/>
      <c r="N2502" s="171"/>
      <c r="O2502" s="171"/>
      <c r="P2502" s="169"/>
      <c r="Q2502" s="171"/>
      <c r="R2502" s="171"/>
      <c r="S2502" s="171"/>
      <c r="T2502" s="171"/>
      <c r="U2502" s="171"/>
      <c r="V2502" s="171"/>
      <c r="W2502" s="171"/>
      <c r="X2502" s="171"/>
      <c r="Y2502" s="171"/>
      <c r="Z2502" s="171"/>
      <c r="AA2502" s="171"/>
    </row>
    <row r="2503" spans="1:27" s="530" customFormat="1" hidden="1" x14ac:dyDescent="0.2">
      <c r="A2503" s="526"/>
      <c r="B2503" s="527"/>
      <c r="C2503" s="465"/>
      <c r="D2503" s="464"/>
      <c r="E2503" s="464"/>
      <c r="F2503" s="464"/>
      <c r="G2503" s="510"/>
      <c r="H2503" s="411"/>
      <c r="I2503" s="411"/>
      <c r="J2503" s="750" t="e">
        <f t="shared" si="23"/>
        <v>#DIV/0!</v>
      </c>
      <c r="K2503" s="412"/>
      <c r="L2503" s="412"/>
      <c r="M2503" s="682"/>
      <c r="N2503" s="171"/>
      <c r="O2503" s="171"/>
      <c r="P2503" s="169"/>
      <c r="Q2503" s="171"/>
      <c r="R2503" s="171"/>
      <c r="S2503" s="171"/>
      <c r="T2503" s="171"/>
      <c r="U2503" s="171"/>
      <c r="V2503" s="171"/>
      <c r="W2503" s="171"/>
      <c r="X2503" s="171"/>
      <c r="Y2503" s="171"/>
      <c r="Z2503" s="171"/>
      <c r="AA2503" s="171"/>
    </row>
    <row r="2504" spans="1:27" s="530" customFormat="1" hidden="1" x14ac:dyDescent="0.2">
      <c r="A2504" s="526"/>
      <c r="B2504" s="527"/>
      <c r="C2504" s="465"/>
      <c r="D2504" s="464"/>
      <c r="E2504" s="464"/>
      <c r="F2504" s="464"/>
      <c r="G2504" s="510"/>
      <c r="H2504" s="411"/>
      <c r="I2504" s="411"/>
      <c r="J2504" s="750" t="e">
        <f t="shared" si="23"/>
        <v>#DIV/0!</v>
      </c>
      <c r="K2504" s="412"/>
      <c r="L2504" s="412"/>
      <c r="M2504" s="682"/>
      <c r="N2504" s="171"/>
      <c r="O2504" s="171"/>
      <c r="P2504" s="169"/>
      <c r="Q2504" s="171"/>
      <c r="R2504" s="171"/>
      <c r="S2504" s="171"/>
      <c r="T2504" s="171"/>
      <c r="U2504" s="171"/>
      <c r="V2504" s="171"/>
      <c r="W2504" s="171"/>
      <c r="X2504" s="171"/>
      <c r="Y2504" s="171"/>
      <c r="Z2504" s="171"/>
      <c r="AA2504" s="171"/>
    </row>
    <row r="2505" spans="1:27" s="530" customFormat="1" hidden="1" x14ac:dyDescent="0.2">
      <c r="A2505" s="526"/>
      <c r="B2505" s="527"/>
      <c r="C2505" s="465"/>
      <c r="D2505" s="464"/>
      <c r="E2505" s="464"/>
      <c r="F2505" s="464"/>
      <c r="G2505" s="510"/>
      <c r="H2505" s="411"/>
      <c r="I2505" s="411"/>
      <c r="J2505" s="750" t="e">
        <f t="shared" si="23"/>
        <v>#DIV/0!</v>
      </c>
      <c r="K2505" s="412"/>
      <c r="L2505" s="412"/>
      <c r="M2505" s="682"/>
      <c r="N2505" s="171"/>
      <c r="O2505" s="171"/>
      <c r="P2505" s="169"/>
      <c r="Q2505" s="171"/>
      <c r="R2505" s="171"/>
      <c r="S2505" s="171"/>
      <c r="T2505" s="171"/>
      <c r="U2505" s="171"/>
      <c r="V2505" s="171"/>
      <c r="W2505" s="171"/>
      <c r="X2505" s="171"/>
      <c r="Y2505" s="171"/>
      <c r="Z2505" s="171"/>
      <c r="AA2505" s="171"/>
    </row>
    <row r="2506" spans="1:27" s="530" customFormat="1" hidden="1" x14ac:dyDescent="0.2">
      <c r="A2506" s="526"/>
      <c r="B2506" s="527"/>
      <c r="C2506" s="465"/>
      <c r="D2506" s="464"/>
      <c r="E2506" s="464"/>
      <c r="F2506" s="464"/>
      <c r="G2506" s="510"/>
      <c r="H2506" s="411"/>
      <c r="I2506" s="411"/>
      <c r="J2506" s="750" t="e">
        <f t="shared" si="23"/>
        <v>#DIV/0!</v>
      </c>
      <c r="K2506" s="412"/>
      <c r="L2506" s="412"/>
      <c r="M2506" s="682"/>
      <c r="N2506" s="171"/>
      <c r="O2506" s="171"/>
      <c r="P2506" s="169"/>
      <c r="Q2506" s="171"/>
      <c r="R2506" s="171"/>
      <c r="S2506" s="171"/>
      <c r="T2506" s="171"/>
      <c r="U2506" s="171"/>
      <c r="V2506" s="171"/>
      <c r="W2506" s="171"/>
      <c r="X2506" s="171"/>
      <c r="Y2506" s="171"/>
      <c r="Z2506" s="171"/>
      <c r="AA2506" s="171"/>
    </row>
    <row r="2507" spans="1:27" s="530" customFormat="1" hidden="1" x14ac:dyDescent="0.2">
      <c r="A2507" s="526"/>
      <c r="B2507" s="527"/>
      <c r="C2507" s="465"/>
      <c r="D2507" s="464"/>
      <c r="E2507" s="464"/>
      <c r="F2507" s="464"/>
      <c r="G2507" s="510"/>
      <c r="H2507" s="411"/>
      <c r="I2507" s="411"/>
      <c r="J2507" s="750" t="e">
        <f t="shared" si="23"/>
        <v>#DIV/0!</v>
      </c>
      <c r="K2507" s="412"/>
      <c r="L2507" s="412"/>
      <c r="M2507" s="682"/>
      <c r="N2507" s="171"/>
      <c r="O2507" s="171"/>
      <c r="P2507" s="169"/>
      <c r="Q2507" s="171"/>
      <c r="R2507" s="171"/>
      <c r="S2507" s="171"/>
      <c r="T2507" s="171"/>
      <c r="U2507" s="171"/>
      <c r="V2507" s="171"/>
      <c r="W2507" s="171"/>
      <c r="X2507" s="171"/>
      <c r="Y2507" s="171"/>
      <c r="Z2507" s="171"/>
      <c r="AA2507" s="171"/>
    </row>
    <row r="2508" spans="1:27" s="530" customFormat="1" hidden="1" x14ac:dyDescent="0.2">
      <c r="A2508" s="526"/>
      <c r="B2508" s="527"/>
      <c r="C2508" s="465"/>
      <c r="D2508" s="464"/>
      <c r="E2508" s="464"/>
      <c r="F2508" s="464"/>
      <c r="G2508" s="510"/>
      <c r="H2508" s="411"/>
      <c r="I2508" s="411"/>
      <c r="J2508" s="750" t="e">
        <f t="shared" si="23"/>
        <v>#DIV/0!</v>
      </c>
      <c r="K2508" s="412"/>
      <c r="L2508" s="412"/>
      <c r="M2508" s="682"/>
      <c r="N2508" s="171"/>
      <c r="O2508" s="171"/>
      <c r="P2508" s="169"/>
      <c r="Q2508" s="171"/>
      <c r="R2508" s="171"/>
      <c r="S2508" s="171"/>
      <c r="T2508" s="171"/>
      <c r="U2508" s="171"/>
      <c r="V2508" s="171"/>
      <c r="W2508" s="171"/>
      <c r="X2508" s="171"/>
      <c r="Y2508" s="171"/>
      <c r="Z2508" s="171"/>
      <c r="AA2508" s="171"/>
    </row>
    <row r="2509" spans="1:27" s="530" customFormat="1" hidden="1" x14ac:dyDescent="0.2">
      <c r="A2509" s="526"/>
      <c r="B2509" s="527"/>
      <c r="C2509" s="465"/>
      <c r="D2509" s="464"/>
      <c r="E2509" s="464"/>
      <c r="F2509" s="464"/>
      <c r="G2509" s="510"/>
      <c r="H2509" s="411"/>
      <c r="I2509" s="411"/>
      <c r="J2509" s="750" t="e">
        <f t="shared" ref="J2509:J2572" si="24">SUM(I2509/H2509)*100</f>
        <v>#DIV/0!</v>
      </c>
      <c r="K2509" s="412"/>
      <c r="L2509" s="412"/>
      <c r="M2509" s="682"/>
      <c r="N2509" s="171"/>
      <c r="O2509" s="171"/>
      <c r="P2509" s="169"/>
      <c r="Q2509" s="171"/>
      <c r="R2509" s="171"/>
      <c r="S2509" s="171"/>
      <c r="T2509" s="171"/>
      <c r="U2509" s="171"/>
      <c r="V2509" s="171"/>
      <c r="W2509" s="171"/>
      <c r="X2509" s="171"/>
      <c r="Y2509" s="171"/>
      <c r="Z2509" s="171"/>
      <c r="AA2509" s="171"/>
    </row>
    <row r="2510" spans="1:27" s="530" customFormat="1" hidden="1" x14ac:dyDescent="0.2">
      <c r="A2510" s="526"/>
      <c r="B2510" s="527"/>
      <c r="C2510" s="465"/>
      <c r="D2510" s="464"/>
      <c r="E2510" s="464"/>
      <c r="F2510" s="464"/>
      <c r="G2510" s="510"/>
      <c r="H2510" s="411"/>
      <c r="I2510" s="411"/>
      <c r="J2510" s="750" t="e">
        <f t="shared" si="24"/>
        <v>#DIV/0!</v>
      </c>
      <c r="K2510" s="412"/>
      <c r="L2510" s="412"/>
      <c r="M2510" s="682"/>
      <c r="N2510" s="171"/>
      <c r="O2510" s="171"/>
      <c r="P2510" s="169"/>
      <c r="Q2510" s="171"/>
      <c r="R2510" s="171"/>
      <c r="S2510" s="171"/>
      <c r="T2510" s="171"/>
      <c r="U2510" s="171"/>
      <c r="V2510" s="171"/>
      <c r="W2510" s="171"/>
      <c r="X2510" s="171"/>
      <c r="Y2510" s="171"/>
      <c r="Z2510" s="171"/>
      <c r="AA2510" s="171"/>
    </row>
    <row r="2511" spans="1:27" s="530" customFormat="1" hidden="1" x14ac:dyDescent="0.2">
      <c r="A2511" s="526"/>
      <c r="B2511" s="527"/>
      <c r="C2511" s="465"/>
      <c r="D2511" s="464"/>
      <c r="E2511" s="464"/>
      <c r="F2511" s="464"/>
      <c r="G2511" s="510"/>
      <c r="H2511" s="411"/>
      <c r="I2511" s="411"/>
      <c r="J2511" s="750" t="e">
        <f t="shared" si="24"/>
        <v>#DIV/0!</v>
      </c>
      <c r="K2511" s="412"/>
      <c r="L2511" s="412"/>
      <c r="M2511" s="682"/>
      <c r="N2511" s="171"/>
      <c r="O2511" s="171"/>
      <c r="P2511" s="169"/>
      <c r="Q2511" s="171"/>
      <c r="R2511" s="171"/>
      <c r="S2511" s="171"/>
      <c r="T2511" s="171"/>
      <c r="U2511" s="171"/>
      <c r="V2511" s="171"/>
      <c r="W2511" s="171"/>
      <c r="X2511" s="171"/>
      <c r="Y2511" s="171"/>
      <c r="Z2511" s="171"/>
      <c r="AA2511" s="171"/>
    </row>
    <row r="2512" spans="1:27" s="530" customFormat="1" hidden="1" x14ac:dyDescent="0.2">
      <c r="A2512" s="526"/>
      <c r="B2512" s="527"/>
      <c r="C2512" s="465"/>
      <c r="D2512" s="464"/>
      <c r="E2512" s="464"/>
      <c r="F2512" s="464"/>
      <c r="G2512" s="510"/>
      <c r="H2512" s="411"/>
      <c r="I2512" s="411"/>
      <c r="J2512" s="750" t="e">
        <f t="shared" si="24"/>
        <v>#DIV/0!</v>
      </c>
      <c r="K2512" s="412"/>
      <c r="L2512" s="412"/>
      <c r="M2512" s="682"/>
      <c r="N2512" s="171"/>
      <c r="O2512" s="171"/>
      <c r="P2512" s="169"/>
      <c r="Q2512" s="171"/>
      <c r="R2512" s="171"/>
      <c r="S2512" s="171"/>
      <c r="T2512" s="171"/>
      <c r="U2512" s="171"/>
      <c r="V2512" s="171"/>
      <c r="W2512" s="171"/>
      <c r="X2512" s="171"/>
      <c r="Y2512" s="171"/>
      <c r="Z2512" s="171"/>
      <c r="AA2512" s="171"/>
    </row>
    <row r="2513" spans="1:27" s="530" customFormat="1" hidden="1" x14ac:dyDescent="0.2">
      <c r="A2513" s="526"/>
      <c r="B2513" s="527"/>
      <c r="C2513" s="465"/>
      <c r="D2513" s="464"/>
      <c r="E2513" s="464"/>
      <c r="F2513" s="464"/>
      <c r="G2513" s="510"/>
      <c r="H2513" s="411"/>
      <c r="I2513" s="411"/>
      <c r="J2513" s="750" t="e">
        <f t="shared" si="24"/>
        <v>#DIV/0!</v>
      </c>
      <c r="K2513" s="412"/>
      <c r="L2513" s="412"/>
      <c r="M2513" s="682"/>
      <c r="N2513" s="171"/>
      <c r="O2513" s="171"/>
      <c r="P2513" s="169"/>
      <c r="Q2513" s="171"/>
      <c r="R2513" s="171"/>
      <c r="S2513" s="171"/>
      <c r="T2513" s="171"/>
      <c r="U2513" s="171"/>
      <c r="V2513" s="171"/>
      <c r="W2513" s="171"/>
      <c r="X2513" s="171"/>
      <c r="Y2513" s="171"/>
      <c r="Z2513" s="171"/>
      <c r="AA2513" s="171"/>
    </row>
    <row r="2514" spans="1:27" s="530" customFormat="1" hidden="1" x14ac:dyDescent="0.2">
      <c r="A2514" s="526"/>
      <c r="B2514" s="527"/>
      <c r="C2514" s="465"/>
      <c r="D2514" s="464"/>
      <c r="E2514" s="464"/>
      <c r="F2514" s="464"/>
      <c r="G2514" s="510"/>
      <c r="H2514" s="411"/>
      <c r="I2514" s="411"/>
      <c r="J2514" s="750" t="e">
        <f t="shared" si="24"/>
        <v>#DIV/0!</v>
      </c>
      <c r="K2514" s="412"/>
      <c r="L2514" s="412"/>
      <c r="M2514" s="682"/>
      <c r="N2514" s="171"/>
      <c r="O2514" s="171"/>
      <c r="P2514" s="169"/>
      <c r="Q2514" s="171"/>
      <c r="R2514" s="171"/>
      <c r="S2514" s="171"/>
      <c r="T2514" s="171"/>
      <c r="U2514" s="171"/>
      <c r="V2514" s="171"/>
      <c r="W2514" s="171"/>
      <c r="X2514" s="171"/>
      <c r="Y2514" s="171"/>
      <c r="Z2514" s="171"/>
      <c r="AA2514" s="171"/>
    </row>
    <row r="2515" spans="1:27" s="530" customFormat="1" hidden="1" x14ac:dyDescent="0.2">
      <c r="A2515" s="526"/>
      <c r="B2515" s="527"/>
      <c r="C2515" s="465"/>
      <c r="D2515" s="464"/>
      <c r="E2515" s="464"/>
      <c r="F2515" s="464"/>
      <c r="G2515" s="510"/>
      <c r="H2515" s="411"/>
      <c r="I2515" s="411"/>
      <c r="J2515" s="750" t="e">
        <f t="shared" si="24"/>
        <v>#DIV/0!</v>
      </c>
      <c r="K2515" s="412"/>
      <c r="L2515" s="412"/>
      <c r="M2515" s="682"/>
      <c r="N2515" s="171"/>
      <c r="O2515" s="171"/>
      <c r="P2515" s="169"/>
      <c r="Q2515" s="171"/>
      <c r="R2515" s="171"/>
      <c r="S2515" s="171"/>
      <c r="T2515" s="171"/>
      <c r="U2515" s="171"/>
      <c r="V2515" s="171"/>
      <c r="W2515" s="171"/>
      <c r="X2515" s="171"/>
      <c r="Y2515" s="171"/>
      <c r="Z2515" s="171"/>
      <c r="AA2515" s="171"/>
    </row>
    <row r="2516" spans="1:27" s="530" customFormat="1" hidden="1" x14ac:dyDescent="0.2">
      <c r="A2516" s="526"/>
      <c r="B2516" s="527"/>
      <c r="C2516" s="465"/>
      <c r="D2516" s="464"/>
      <c r="E2516" s="464"/>
      <c r="F2516" s="464"/>
      <c r="G2516" s="510"/>
      <c r="H2516" s="411"/>
      <c r="I2516" s="411"/>
      <c r="J2516" s="750" t="e">
        <f t="shared" si="24"/>
        <v>#DIV/0!</v>
      </c>
      <c r="K2516" s="412"/>
      <c r="L2516" s="412"/>
      <c r="M2516" s="682"/>
      <c r="N2516" s="171"/>
      <c r="O2516" s="171"/>
      <c r="P2516" s="169"/>
      <c r="Q2516" s="171"/>
      <c r="R2516" s="171"/>
      <c r="S2516" s="171"/>
      <c r="T2516" s="171"/>
      <c r="U2516" s="171"/>
      <c r="V2516" s="171"/>
      <c r="W2516" s="171"/>
      <c r="X2516" s="171"/>
      <c r="Y2516" s="171"/>
      <c r="Z2516" s="171"/>
      <c r="AA2516" s="171"/>
    </row>
    <row r="2517" spans="1:27" s="530" customFormat="1" hidden="1" x14ac:dyDescent="0.2">
      <c r="A2517" s="526"/>
      <c r="B2517" s="527"/>
      <c r="C2517" s="465"/>
      <c r="D2517" s="464"/>
      <c r="E2517" s="464"/>
      <c r="F2517" s="464"/>
      <c r="G2517" s="510"/>
      <c r="H2517" s="411"/>
      <c r="I2517" s="411"/>
      <c r="J2517" s="750" t="e">
        <f t="shared" si="24"/>
        <v>#DIV/0!</v>
      </c>
      <c r="K2517" s="412"/>
      <c r="L2517" s="412"/>
      <c r="M2517" s="682"/>
      <c r="N2517" s="171"/>
      <c r="O2517" s="171"/>
      <c r="P2517" s="169"/>
      <c r="Q2517" s="171"/>
      <c r="R2517" s="171"/>
      <c r="S2517" s="171"/>
      <c r="T2517" s="171"/>
      <c r="U2517" s="171"/>
      <c r="V2517" s="171"/>
      <c r="W2517" s="171"/>
      <c r="X2517" s="171"/>
      <c r="Y2517" s="171"/>
      <c r="Z2517" s="171"/>
      <c r="AA2517" s="171"/>
    </row>
    <row r="2518" spans="1:27" s="530" customFormat="1" hidden="1" x14ac:dyDescent="0.2">
      <c r="A2518" s="526"/>
      <c r="B2518" s="527"/>
      <c r="C2518" s="465"/>
      <c r="D2518" s="464"/>
      <c r="E2518" s="464"/>
      <c r="F2518" s="464"/>
      <c r="G2518" s="510"/>
      <c r="H2518" s="411"/>
      <c r="I2518" s="411"/>
      <c r="J2518" s="750" t="e">
        <f t="shared" si="24"/>
        <v>#DIV/0!</v>
      </c>
      <c r="K2518" s="412"/>
      <c r="L2518" s="412"/>
      <c r="M2518" s="682"/>
      <c r="N2518" s="171"/>
      <c r="O2518" s="171"/>
      <c r="P2518" s="169"/>
      <c r="Q2518" s="171"/>
      <c r="R2518" s="171"/>
      <c r="S2518" s="171"/>
      <c r="T2518" s="171"/>
      <c r="U2518" s="171"/>
      <c r="V2518" s="171"/>
      <c r="W2518" s="171"/>
      <c r="X2518" s="171"/>
      <c r="Y2518" s="171"/>
      <c r="Z2518" s="171"/>
      <c r="AA2518" s="171"/>
    </row>
    <row r="2519" spans="1:27" s="530" customFormat="1" hidden="1" x14ac:dyDescent="0.2">
      <c r="A2519" s="526"/>
      <c r="B2519" s="527"/>
      <c r="C2519" s="465"/>
      <c r="D2519" s="464"/>
      <c r="E2519" s="464"/>
      <c r="F2519" s="464"/>
      <c r="G2519" s="510"/>
      <c r="H2519" s="411"/>
      <c r="I2519" s="411"/>
      <c r="J2519" s="750" t="e">
        <f t="shared" si="24"/>
        <v>#DIV/0!</v>
      </c>
      <c r="K2519" s="412"/>
      <c r="L2519" s="412"/>
      <c r="M2519" s="682"/>
      <c r="N2519" s="171"/>
      <c r="O2519" s="171"/>
      <c r="P2519" s="169"/>
      <c r="Q2519" s="171"/>
      <c r="R2519" s="171"/>
      <c r="S2519" s="171"/>
      <c r="T2519" s="171"/>
      <c r="U2519" s="171"/>
      <c r="V2519" s="171"/>
      <c r="W2519" s="171"/>
      <c r="X2519" s="171"/>
      <c r="Y2519" s="171"/>
      <c r="Z2519" s="171"/>
      <c r="AA2519" s="171"/>
    </row>
    <row r="2520" spans="1:27" s="530" customFormat="1" hidden="1" x14ac:dyDescent="0.2">
      <c r="A2520" s="526"/>
      <c r="B2520" s="527"/>
      <c r="C2520" s="465"/>
      <c r="D2520" s="464"/>
      <c r="E2520" s="464"/>
      <c r="F2520" s="464"/>
      <c r="G2520" s="510"/>
      <c r="H2520" s="411"/>
      <c r="I2520" s="411"/>
      <c r="J2520" s="750" t="e">
        <f t="shared" si="24"/>
        <v>#DIV/0!</v>
      </c>
      <c r="K2520" s="412"/>
      <c r="L2520" s="412"/>
      <c r="M2520" s="682"/>
      <c r="N2520" s="171"/>
      <c r="O2520" s="171"/>
      <c r="P2520" s="169"/>
      <c r="Q2520" s="171"/>
      <c r="R2520" s="171"/>
      <c r="S2520" s="171"/>
      <c r="T2520" s="171"/>
      <c r="U2520" s="171"/>
      <c r="V2520" s="171"/>
      <c r="W2520" s="171"/>
      <c r="X2520" s="171"/>
      <c r="Y2520" s="171"/>
      <c r="Z2520" s="171"/>
      <c r="AA2520" s="171"/>
    </row>
    <row r="2521" spans="1:27" s="530" customFormat="1" hidden="1" x14ac:dyDescent="0.2">
      <c r="A2521" s="526"/>
      <c r="B2521" s="527"/>
      <c r="C2521" s="465"/>
      <c r="D2521" s="464"/>
      <c r="E2521" s="464"/>
      <c r="F2521" s="464"/>
      <c r="G2521" s="510"/>
      <c r="H2521" s="411"/>
      <c r="I2521" s="411"/>
      <c r="J2521" s="750" t="e">
        <f t="shared" si="24"/>
        <v>#DIV/0!</v>
      </c>
      <c r="K2521" s="412"/>
      <c r="L2521" s="412"/>
      <c r="M2521" s="682"/>
      <c r="N2521" s="171"/>
      <c r="O2521" s="171"/>
      <c r="P2521" s="169"/>
      <c r="Q2521" s="171"/>
      <c r="R2521" s="171"/>
      <c r="S2521" s="171"/>
      <c r="T2521" s="171"/>
      <c r="U2521" s="171"/>
      <c r="V2521" s="171"/>
      <c r="W2521" s="171"/>
      <c r="X2521" s="171"/>
      <c r="Y2521" s="171"/>
      <c r="Z2521" s="171"/>
      <c r="AA2521" s="171"/>
    </row>
    <row r="2522" spans="1:27" s="530" customFormat="1" hidden="1" x14ac:dyDescent="0.2">
      <c r="A2522" s="526"/>
      <c r="B2522" s="527"/>
      <c r="C2522" s="465"/>
      <c r="D2522" s="464"/>
      <c r="E2522" s="464"/>
      <c r="F2522" s="464"/>
      <c r="G2522" s="510"/>
      <c r="H2522" s="411"/>
      <c r="I2522" s="411"/>
      <c r="J2522" s="750" t="e">
        <f t="shared" si="24"/>
        <v>#DIV/0!</v>
      </c>
      <c r="K2522" s="412"/>
      <c r="L2522" s="412"/>
      <c r="M2522" s="682"/>
      <c r="N2522" s="171"/>
      <c r="O2522" s="171"/>
      <c r="P2522" s="169"/>
      <c r="Q2522" s="171"/>
      <c r="R2522" s="171"/>
      <c r="S2522" s="171"/>
      <c r="T2522" s="171"/>
      <c r="U2522" s="171"/>
      <c r="V2522" s="171"/>
      <c r="W2522" s="171"/>
      <c r="X2522" s="171"/>
      <c r="Y2522" s="171"/>
      <c r="Z2522" s="171"/>
      <c r="AA2522" s="171"/>
    </row>
    <row r="2523" spans="1:27" s="530" customFormat="1" hidden="1" x14ac:dyDescent="0.2">
      <c r="A2523" s="526"/>
      <c r="B2523" s="527"/>
      <c r="C2523" s="465"/>
      <c r="D2523" s="464"/>
      <c r="E2523" s="464"/>
      <c r="F2523" s="464"/>
      <c r="G2523" s="510"/>
      <c r="H2523" s="411"/>
      <c r="I2523" s="411"/>
      <c r="J2523" s="750" t="e">
        <f t="shared" si="24"/>
        <v>#DIV/0!</v>
      </c>
      <c r="K2523" s="412"/>
      <c r="L2523" s="412"/>
      <c r="M2523" s="682"/>
      <c r="N2523" s="171"/>
      <c r="O2523" s="171"/>
      <c r="P2523" s="169"/>
      <c r="Q2523" s="171"/>
      <c r="R2523" s="171"/>
      <c r="S2523" s="171"/>
      <c r="T2523" s="171"/>
      <c r="U2523" s="171"/>
      <c r="V2523" s="171"/>
      <c r="W2523" s="171"/>
      <c r="X2523" s="171"/>
      <c r="Y2523" s="171"/>
      <c r="Z2523" s="171"/>
      <c r="AA2523" s="171"/>
    </row>
    <row r="2524" spans="1:27" s="530" customFormat="1" hidden="1" x14ac:dyDescent="0.2">
      <c r="A2524" s="526"/>
      <c r="B2524" s="527"/>
      <c r="C2524" s="465"/>
      <c r="D2524" s="464"/>
      <c r="E2524" s="464"/>
      <c r="F2524" s="464"/>
      <c r="G2524" s="510"/>
      <c r="H2524" s="411"/>
      <c r="I2524" s="411"/>
      <c r="J2524" s="750" t="e">
        <f t="shared" si="24"/>
        <v>#DIV/0!</v>
      </c>
      <c r="K2524" s="412"/>
      <c r="L2524" s="412"/>
      <c r="M2524" s="682"/>
      <c r="N2524" s="171"/>
      <c r="O2524" s="171"/>
      <c r="P2524" s="169"/>
      <c r="Q2524" s="171"/>
      <c r="R2524" s="171"/>
      <c r="S2524" s="171"/>
      <c r="T2524" s="171"/>
      <c r="U2524" s="171"/>
      <c r="V2524" s="171"/>
      <c r="W2524" s="171"/>
      <c r="X2524" s="171"/>
      <c r="Y2524" s="171"/>
      <c r="Z2524" s="171"/>
      <c r="AA2524" s="171"/>
    </row>
    <row r="2525" spans="1:27" s="530" customFormat="1" hidden="1" x14ac:dyDescent="0.2">
      <c r="A2525" s="526"/>
      <c r="B2525" s="527"/>
      <c r="C2525" s="465"/>
      <c r="D2525" s="464"/>
      <c r="E2525" s="464"/>
      <c r="F2525" s="464"/>
      <c r="G2525" s="510"/>
      <c r="H2525" s="411"/>
      <c r="I2525" s="411"/>
      <c r="J2525" s="750" t="e">
        <f t="shared" si="24"/>
        <v>#DIV/0!</v>
      </c>
      <c r="K2525" s="412"/>
      <c r="L2525" s="412"/>
      <c r="M2525" s="682"/>
      <c r="N2525" s="171"/>
      <c r="O2525" s="171"/>
      <c r="P2525" s="169"/>
      <c r="Q2525" s="171"/>
      <c r="R2525" s="171"/>
      <c r="S2525" s="171"/>
      <c r="T2525" s="171"/>
      <c r="U2525" s="171"/>
      <c r="V2525" s="171"/>
      <c r="W2525" s="171"/>
      <c r="X2525" s="171"/>
      <c r="Y2525" s="171"/>
      <c r="Z2525" s="171"/>
      <c r="AA2525" s="171"/>
    </row>
    <row r="2526" spans="1:27" s="530" customFormat="1" hidden="1" x14ac:dyDescent="0.2">
      <c r="A2526" s="526"/>
      <c r="B2526" s="527"/>
      <c r="C2526" s="465"/>
      <c r="D2526" s="464"/>
      <c r="E2526" s="464"/>
      <c r="F2526" s="464"/>
      <c r="G2526" s="510"/>
      <c r="H2526" s="411"/>
      <c r="I2526" s="411"/>
      <c r="J2526" s="750" t="e">
        <f t="shared" si="24"/>
        <v>#DIV/0!</v>
      </c>
      <c r="K2526" s="412"/>
      <c r="L2526" s="412"/>
      <c r="M2526" s="682"/>
      <c r="N2526" s="171"/>
      <c r="O2526" s="171"/>
      <c r="P2526" s="169"/>
      <c r="Q2526" s="171"/>
      <c r="R2526" s="171"/>
      <c r="S2526" s="171"/>
      <c r="T2526" s="171"/>
      <c r="U2526" s="171"/>
      <c r="V2526" s="171"/>
      <c r="W2526" s="171"/>
      <c r="X2526" s="171"/>
      <c r="Y2526" s="171"/>
      <c r="Z2526" s="171"/>
      <c r="AA2526" s="171"/>
    </row>
    <row r="2527" spans="1:27" s="530" customFormat="1" hidden="1" x14ac:dyDescent="0.2">
      <c r="A2527" s="526"/>
      <c r="B2527" s="527"/>
      <c r="C2527" s="465"/>
      <c r="D2527" s="464"/>
      <c r="E2527" s="464"/>
      <c r="F2527" s="464"/>
      <c r="G2527" s="510"/>
      <c r="H2527" s="411"/>
      <c r="I2527" s="411"/>
      <c r="J2527" s="750" t="e">
        <f t="shared" si="24"/>
        <v>#DIV/0!</v>
      </c>
      <c r="K2527" s="412"/>
      <c r="L2527" s="412"/>
      <c r="M2527" s="682"/>
      <c r="N2527" s="171"/>
      <c r="O2527" s="171"/>
      <c r="P2527" s="169"/>
      <c r="Q2527" s="171"/>
      <c r="R2527" s="171"/>
      <c r="S2527" s="171"/>
      <c r="T2527" s="171"/>
      <c r="U2527" s="171"/>
      <c r="V2527" s="171"/>
      <c r="W2527" s="171"/>
      <c r="X2527" s="171"/>
      <c r="Y2527" s="171"/>
      <c r="Z2527" s="171"/>
      <c r="AA2527" s="171"/>
    </row>
    <row r="2528" spans="1:27" s="530" customFormat="1" hidden="1" x14ac:dyDescent="0.2">
      <c r="A2528" s="526"/>
      <c r="B2528" s="527"/>
      <c r="C2528" s="465"/>
      <c r="D2528" s="464"/>
      <c r="E2528" s="464"/>
      <c r="F2528" s="464"/>
      <c r="G2528" s="510"/>
      <c r="H2528" s="411"/>
      <c r="I2528" s="411"/>
      <c r="J2528" s="750" t="e">
        <f t="shared" si="24"/>
        <v>#DIV/0!</v>
      </c>
      <c r="K2528" s="412"/>
      <c r="L2528" s="412"/>
      <c r="M2528" s="682"/>
      <c r="N2528" s="171"/>
      <c r="O2528" s="171"/>
      <c r="P2528" s="169"/>
      <c r="Q2528" s="171"/>
      <c r="R2528" s="171"/>
      <c r="S2528" s="171"/>
      <c r="T2528" s="171"/>
      <c r="U2528" s="171"/>
      <c r="V2528" s="171"/>
      <c r="W2528" s="171"/>
      <c r="X2528" s="171"/>
      <c r="Y2528" s="171"/>
      <c r="Z2528" s="171"/>
      <c r="AA2528" s="171"/>
    </row>
    <row r="2529" spans="1:27" s="530" customFormat="1" hidden="1" x14ac:dyDescent="0.2">
      <c r="A2529" s="526"/>
      <c r="B2529" s="527"/>
      <c r="C2529" s="465"/>
      <c r="D2529" s="464"/>
      <c r="E2529" s="464"/>
      <c r="F2529" s="464"/>
      <c r="G2529" s="510"/>
      <c r="H2529" s="411"/>
      <c r="I2529" s="411"/>
      <c r="J2529" s="750" t="e">
        <f t="shared" si="24"/>
        <v>#DIV/0!</v>
      </c>
      <c r="K2529" s="412"/>
      <c r="L2529" s="412"/>
      <c r="M2529" s="682"/>
      <c r="N2529" s="171"/>
      <c r="O2529" s="171"/>
      <c r="P2529" s="169"/>
      <c r="Q2529" s="171"/>
      <c r="R2529" s="171"/>
      <c r="S2529" s="171"/>
      <c r="T2529" s="171"/>
      <c r="U2529" s="171"/>
      <c r="V2529" s="171"/>
      <c r="W2529" s="171"/>
      <c r="X2529" s="171"/>
      <c r="Y2529" s="171"/>
      <c r="Z2529" s="171"/>
      <c r="AA2529" s="171"/>
    </row>
    <row r="2530" spans="1:27" s="530" customFormat="1" hidden="1" x14ac:dyDescent="0.2">
      <c r="A2530" s="526"/>
      <c r="B2530" s="527"/>
      <c r="C2530" s="465"/>
      <c r="D2530" s="464"/>
      <c r="E2530" s="464"/>
      <c r="F2530" s="464"/>
      <c r="G2530" s="510"/>
      <c r="H2530" s="411"/>
      <c r="I2530" s="411"/>
      <c r="J2530" s="750" t="e">
        <f t="shared" si="24"/>
        <v>#DIV/0!</v>
      </c>
      <c r="K2530" s="412"/>
      <c r="L2530" s="412"/>
      <c r="M2530" s="682"/>
      <c r="N2530" s="171"/>
      <c r="O2530" s="171"/>
      <c r="P2530" s="169"/>
      <c r="Q2530" s="171"/>
      <c r="R2530" s="171"/>
      <c r="S2530" s="171"/>
      <c r="T2530" s="171"/>
      <c r="U2530" s="171"/>
      <c r="V2530" s="171"/>
      <c r="W2530" s="171"/>
      <c r="X2530" s="171"/>
      <c r="Y2530" s="171"/>
      <c r="Z2530" s="171"/>
      <c r="AA2530" s="171"/>
    </row>
    <row r="2531" spans="1:27" s="530" customFormat="1" hidden="1" x14ac:dyDescent="0.2">
      <c r="A2531" s="526"/>
      <c r="B2531" s="527"/>
      <c r="C2531" s="465"/>
      <c r="D2531" s="464"/>
      <c r="E2531" s="464"/>
      <c r="F2531" s="464"/>
      <c r="G2531" s="510"/>
      <c r="H2531" s="411"/>
      <c r="I2531" s="411"/>
      <c r="J2531" s="750" t="e">
        <f t="shared" si="24"/>
        <v>#DIV/0!</v>
      </c>
      <c r="K2531" s="412"/>
      <c r="L2531" s="412"/>
      <c r="M2531" s="682"/>
      <c r="N2531" s="171"/>
      <c r="O2531" s="171"/>
      <c r="P2531" s="169"/>
      <c r="Q2531" s="171"/>
      <c r="R2531" s="171"/>
      <c r="S2531" s="171"/>
      <c r="T2531" s="171"/>
      <c r="U2531" s="171"/>
      <c r="V2531" s="171"/>
      <c r="W2531" s="171"/>
      <c r="X2531" s="171"/>
      <c r="Y2531" s="171"/>
      <c r="Z2531" s="171"/>
      <c r="AA2531" s="171"/>
    </row>
    <row r="2532" spans="1:27" s="530" customFormat="1" hidden="1" x14ac:dyDescent="0.2">
      <c r="A2532" s="526"/>
      <c r="B2532" s="527"/>
      <c r="C2532" s="465"/>
      <c r="D2532" s="464"/>
      <c r="E2532" s="464"/>
      <c r="F2532" s="464"/>
      <c r="G2532" s="510"/>
      <c r="H2532" s="411"/>
      <c r="I2532" s="411"/>
      <c r="J2532" s="750" t="e">
        <f t="shared" si="24"/>
        <v>#DIV/0!</v>
      </c>
      <c r="K2532" s="412"/>
      <c r="L2532" s="412"/>
      <c r="M2532" s="682"/>
      <c r="N2532" s="171"/>
      <c r="O2532" s="171"/>
      <c r="P2532" s="169"/>
      <c r="Q2532" s="171"/>
      <c r="R2532" s="171"/>
      <c r="S2532" s="171"/>
      <c r="T2532" s="171"/>
      <c r="U2532" s="171"/>
      <c r="V2532" s="171"/>
      <c r="W2532" s="171"/>
      <c r="X2532" s="171"/>
      <c r="Y2532" s="171"/>
      <c r="Z2532" s="171"/>
      <c r="AA2532" s="171"/>
    </row>
    <row r="2533" spans="1:27" s="530" customFormat="1" hidden="1" x14ac:dyDescent="0.2">
      <c r="A2533" s="526"/>
      <c r="B2533" s="527"/>
      <c r="C2533" s="465"/>
      <c r="D2533" s="464"/>
      <c r="E2533" s="464"/>
      <c r="F2533" s="464"/>
      <c r="G2533" s="510"/>
      <c r="H2533" s="411"/>
      <c r="I2533" s="411"/>
      <c r="J2533" s="750" t="e">
        <f t="shared" si="24"/>
        <v>#DIV/0!</v>
      </c>
      <c r="K2533" s="412"/>
      <c r="L2533" s="412"/>
      <c r="M2533" s="682"/>
      <c r="N2533" s="171"/>
      <c r="O2533" s="171"/>
      <c r="P2533" s="169"/>
      <c r="Q2533" s="171"/>
      <c r="R2533" s="171"/>
      <c r="S2533" s="171"/>
      <c r="T2533" s="171"/>
      <c r="U2533" s="171"/>
      <c r="V2533" s="171"/>
      <c r="W2533" s="171"/>
      <c r="X2533" s="171"/>
      <c r="Y2533" s="171"/>
      <c r="Z2533" s="171"/>
      <c r="AA2533" s="171"/>
    </row>
    <row r="2534" spans="1:27" s="530" customFormat="1" hidden="1" x14ac:dyDescent="0.2">
      <c r="A2534" s="526"/>
      <c r="B2534" s="527"/>
      <c r="C2534" s="465"/>
      <c r="D2534" s="464"/>
      <c r="E2534" s="464"/>
      <c r="F2534" s="464"/>
      <c r="G2534" s="510"/>
      <c r="H2534" s="411"/>
      <c r="I2534" s="411"/>
      <c r="J2534" s="750" t="e">
        <f t="shared" si="24"/>
        <v>#DIV/0!</v>
      </c>
      <c r="K2534" s="412"/>
      <c r="L2534" s="412"/>
      <c r="M2534" s="682"/>
      <c r="N2534" s="171"/>
      <c r="O2534" s="171"/>
      <c r="P2534" s="169"/>
      <c r="Q2534" s="171"/>
      <c r="R2534" s="171"/>
      <c r="S2534" s="171"/>
      <c r="T2534" s="171"/>
      <c r="U2534" s="171"/>
      <c r="V2534" s="171"/>
      <c r="W2534" s="171"/>
      <c r="X2534" s="171"/>
      <c r="Y2534" s="171"/>
      <c r="Z2534" s="171"/>
      <c r="AA2534" s="171"/>
    </row>
    <row r="2535" spans="1:27" s="530" customFormat="1" hidden="1" x14ac:dyDescent="0.2">
      <c r="A2535" s="526"/>
      <c r="B2535" s="527"/>
      <c r="C2535" s="465"/>
      <c r="D2535" s="464"/>
      <c r="E2535" s="464"/>
      <c r="F2535" s="464"/>
      <c r="G2535" s="510"/>
      <c r="H2535" s="411"/>
      <c r="I2535" s="411"/>
      <c r="J2535" s="750" t="e">
        <f t="shared" si="24"/>
        <v>#DIV/0!</v>
      </c>
      <c r="K2535" s="412"/>
      <c r="L2535" s="412"/>
      <c r="M2535" s="682"/>
      <c r="N2535" s="171"/>
      <c r="O2535" s="171"/>
      <c r="P2535" s="169"/>
      <c r="Q2535" s="171"/>
      <c r="R2535" s="171"/>
      <c r="S2535" s="171"/>
      <c r="T2535" s="171"/>
      <c r="U2535" s="171"/>
      <c r="V2535" s="171"/>
      <c r="W2535" s="171"/>
      <c r="X2535" s="171"/>
      <c r="Y2535" s="171"/>
      <c r="Z2535" s="171"/>
      <c r="AA2535" s="171"/>
    </row>
    <row r="2536" spans="1:27" s="530" customFormat="1" hidden="1" x14ac:dyDescent="0.2">
      <c r="A2536" s="526"/>
      <c r="B2536" s="527"/>
      <c r="C2536" s="465"/>
      <c r="D2536" s="464"/>
      <c r="E2536" s="464"/>
      <c r="F2536" s="464"/>
      <c r="G2536" s="510"/>
      <c r="H2536" s="411"/>
      <c r="I2536" s="411"/>
      <c r="J2536" s="750" t="e">
        <f t="shared" si="24"/>
        <v>#DIV/0!</v>
      </c>
      <c r="K2536" s="412"/>
      <c r="L2536" s="412"/>
      <c r="M2536" s="682"/>
      <c r="N2536" s="171"/>
      <c r="O2536" s="171"/>
      <c r="P2536" s="169"/>
      <c r="Q2536" s="171"/>
      <c r="R2536" s="171"/>
      <c r="S2536" s="171"/>
      <c r="T2536" s="171"/>
      <c r="U2536" s="171"/>
      <c r="V2536" s="171"/>
      <c r="W2536" s="171"/>
      <c r="X2536" s="171"/>
      <c r="Y2536" s="171"/>
      <c r="Z2536" s="171"/>
      <c r="AA2536" s="171"/>
    </row>
    <row r="2537" spans="1:27" s="530" customFormat="1" hidden="1" x14ac:dyDescent="0.2">
      <c r="A2537" s="526"/>
      <c r="B2537" s="527"/>
      <c r="C2537" s="465"/>
      <c r="D2537" s="464"/>
      <c r="E2537" s="464"/>
      <c r="F2537" s="464"/>
      <c r="G2537" s="510"/>
      <c r="H2537" s="411"/>
      <c r="I2537" s="411"/>
      <c r="J2537" s="750" t="e">
        <f t="shared" si="24"/>
        <v>#DIV/0!</v>
      </c>
      <c r="K2537" s="412"/>
      <c r="L2537" s="412"/>
      <c r="M2537" s="682"/>
      <c r="N2537" s="171"/>
      <c r="O2537" s="171"/>
      <c r="P2537" s="169"/>
      <c r="Q2537" s="171"/>
      <c r="R2537" s="171"/>
      <c r="S2537" s="171"/>
      <c r="T2537" s="171"/>
      <c r="U2537" s="171"/>
      <c r="V2537" s="171"/>
      <c r="W2537" s="171"/>
      <c r="X2537" s="171"/>
      <c r="Y2537" s="171"/>
      <c r="Z2537" s="171"/>
      <c r="AA2537" s="171"/>
    </row>
    <row r="2538" spans="1:27" s="530" customFormat="1" hidden="1" x14ac:dyDescent="0.2">
      <c r="A2538" s="526"/>
      <c r="B2538" s="527"/>
      <c r="C2538" s="465"/>
      <c r="D2538" s="464"/>
      <c r="E2538" s="464"/>
      <c r="F2538" s="464"/>
      <c r="G2538" s="510"/>
      <c r="H2538" s="411"/>
      <c r="I2538" s="411"/>
      <c r="J2538" s="750" t="e">
        <f t="shared" si="24"/>
        <v>#DIV/0!</v>
      </c>
      <c r="K2538" s="412"/>
      <c r="L2538" s="412"/>
      <c r="M2538" s="682"/>
      <c r="N2538" s="171"/>
      <c r="O2538" s="171"/>
      <c r="P2538" s="169"/>
      <c r="Q2538" s="171"/>
      <c r="R2538" s="171"/>
      <c r="S2538" s="171"/>
      <c r="T2538" s="171"/>
      <c r="U2538" s="171"/>
      <c r="V2538" s="171"/>
      <c r="W2538" s="171"/>
      <c r="X2538" s="171"/>
      <c r="Y2538" s="171"/>
      <c r="Z2538" s="171"/>
      <c r="AA2538" s="171"/>
    </row>
    <row r="2539" spans="1:27" s="530" customFormat="1" hidden="1" x14ac:dyDescent="0.2">
      <c r="A2539" s="526"/>
      <c r="B2539" s="527"/>
      <c r="C2539" s="465"/>
      <c r="D2539" s="464"/>
      <c r="E2539" s="464"/>
      <c r="F2539" s="464"/>
      <c r="G2539" s="510"/>
      <c r="H2539" s="411"/>
      <c r="I2539" s="411"/>
      <c r="J2539" s="750" t="e">
        <f t="shared" si="24"/>
        <v>#DIV/0!</v>
      </c>
      <c r="K2539" s="412"/>
      <c r="L2539" s="412"/>
      <c r="M2539" s="682"/>
      <c r="N2539" s="171"/>
      <c r="O2539" s="171"/>
      <c r="P2539" s="169"/>
      <c r="Q2539" s="171"/>
      <c r="R2539" s="171"/>
      <c r="S2539" s="171"/>
      <c r="T2539" s="171"/>
      <c r="U2539" s="171"/>
      <c r="V2539" s="171"/>
      <c r="W2539" s="171"/>
      <c r="X2539" s="171"/>
      <c r="Y2539" s="171"/>
      <c r="Z2539" s="171"/>
      <c r="AA2539" s="171"/>
    </row>
    <row r="2540" spans="1:27" s="530" customFormat="1" hidden="1" x14ac:dyDescent="0.2">
      <c r="A2540" s="526"/>
      <c r="B2540" s="527"/>
      <c r="C2540" s="465"/>
      <c r="D2540" s="464"/>
      <c r="E2540" s="464"/>
      <c r="F2540" s="464"/>
      <c r="G2540" s="510"/>
      <c r="H2540" s="411"/>
      <c r="I2540" s="411"/>
      <c r="J2540" s="750" t="e">
        <f t="shared" si="24"/>
        <v>#DIV/0!</v>
      </c>
      <c r="K2540" s="412"/>
      <c r="L2540" s="412"/>
      <c r="M2540" s="682"/>
      <c r="N2540" s="171"/>
      <c r="O2540" s="171"/>
      <c r="P2540" s="169"/>
      <c r="Q2540" s="171"/>
      <c r="R2540" s="171"/>
      <c r="S2540" s="171"/>
      <c r="T2540" s="171"/>
      <c r="U2540" s="171"/>
      <c r="V2540" s="171"/>
      <c r="W2540" s="171"/>
      <c r="X2540" s="171"/>
      <c r="Y2540" s="171"/>
      <c r="Z2540" s="171"/>
      <c r="AA2540" s="171"/>
    </row>
    <row r="2541" spans="1:27" s="530" customFormat="1" hidden="1" x14ac:dyDescent="0.2">
      <c r="A2541" s="526"/>
      <c r="B2541" s="527"/>
      <c r="C2541" s="465"/>
      <c r="D2541" s="464"/>
      <c r="E2541" s="464"/>
      <c r="F2541" s="464"/>
      <c r="G2541" s="510"/>
      <c r="H2541" s="411"/>
      <c r="I2541" s="411"/>
      <c r="J2541" s="750" t="e">
        <f t="shared" si="24"/>
        <v>#DIV/0!</v>
      </c>
      <c r="K2541" s="412"/>
      <c r="L2541" s="412"/>
      <c r="M2541" s="682"/>
      <c r="N2541" s="171"/>
      <c r="O2541" s="171"/>
      <c r="P2541" s="169"/>
      <c r="Q2541" s="171"/>
      <c r="R2541" s="171"/>
      <c r="S2541" s="171"/>
      <c r="T2541" s="171"/>
      <c r="U2541" s="171"/>
      <c r="V2541" s="171"/>
      <c r="W2541" s="171"/>
      <c r="X2541" s="171"/>
      <c r="Y2541" s="171"/>
      <c r="Z2541" s="171"/>
      <c r="AA2541" s="171"/>
    </row>
    <row r="2542" spans="1:27" s="530" customFormat="1" hidden="1" x14ac:dyDescent="0.2">
      <c r="A2542" s="526"/>
      <c r="B2542" s="527"/>
      <c r="C2542" s="465"/>
      <c r="D2542" s="464"/>
      <c r="E2542" s="464"/>
      <c r="F2542" s="464"/>
      <c r="G2542" s="510"/>
      <c r="H2542" s="411"/>
      <c r="I2542" s="411"/>
      <c r="J2542" s="750" t="e">
        <f t="shared" si="24"/>
        <v>#DIV/0!</v>
      </c>
      <c r="K2542" s="412"/>
      <c r="L2542" s="412"/>
      <c r="M2542" s="682"/>
      <c r="N2542" s="171"/>
      <c r="O2542" s="171"/>
      <c r="P2542" s="169"/>
      <c r="Q2542" s="171"/>
      <c r="R2542" s="171"/>
      <c r="S2542" s="171"/>
      <c r="T2542" s="171"/>
      <c r="U2542" s="171"/>
      <c r="V2542" s="171"/>
      <c r="W2542" s="171"/>
      <c r="X2542" s="171"/>
      <c r="Y2542" s="171"/>
      <c r="Z2542" s="171"/>
      <c r="AA2542" s="171"/>
    </row>
    <row r="2543" spans="1:27" s="530" customFormat="1" hidden="1" x14ac:dyDescent="0.2">
      <c r="A2543" s="526"/>
      <c r="B2543" s="527"/>
      <c r="C2543" s="465"/>
      <c r="D2543" s="464"/>
      <c r="E2543" s="464"/>
      <c r="F2543" s="464"/>
      <c r="G2543" s="510"/>
      <c r="H2543" s="411"/>
      <c r="I2543" s="411"/>
      <c r="J2543" s="750" t="e">
        <f t="shared" si="24"/>
        <v>#DIV/0!</v>
      </c>
      <c r="K2543" s="412"/>
      <c r="L2543" s="412"/>
      <c r="M2543" s="682"/>
      <c r="N2543" s="171"/>
      <c r="O2543" s="171"/>
      <c r="P2543" s="169"/>
      <c r="Q2543" s="171"/>
      <c r="R2543" s="171"/>
      <c r="S2543" s="171"/>
      <c r="T2543" s="171"/>
      <c r="U2543" s="171"/>
      <c r="V2543" s="171"/>
      <c r="W2543" s="171"/>
      <c r="X2543" s="171"/>
      <c r="Y2543" s="171"/>
      <c r="Z2543" s="171"/>
      <c r="AA2543" s="171"/>
    </row>
    <row r="2544" spans="1:27" s="530" customFormat="1" hidden="1" x14ac:dyDescent="0.2">
      <c r="A2544" s="526"/>
      <c r="B2544" s="527"/>
      <c r="C2544" s="465"/>
      <c r="D2544" s="464"/>
      <c r="E2544" s="464"/>
      <c r="F2544" s="464"/>
      <c r="G2544" s="510"/>
      <c r="H2544" s="411"/>
      <c r="I2544" s="411"/>
      <c r="J2544" s="750" t="e">
        <f t="shared" si="24"/>
        <v>#DIV/0!</v>
      </c>
      <c r="K2544" s="412"/>
      <c r="L2544" s="412"/>
      <c r="M2544" s="682"/>
      <c r="N2544" s="171"/>
      <c r="O2544" s="171"/>
      <c r="P2544" s="169"/>
      <c r="Q2544" s="171"/>
      <c r="R2544" s="171"/>
      <c r="S2544" s="171"/>
      <c r="T2544" s="171"/>
      <c r="U2544" s="171"/>
      <c r="V2544" s="171"/>
      <c r="W2544" s="171"/>
      <c r="X2544" s="171"/>
      <c r="Y2544" s="171"/>
      <c r="Z2544" s="171"/>
      <c r="AA2544" s="171"/>
    </row>
    <row r="2545" spans="1:27" s="530" customFormat="1" hidden="1" x14ac:dyDescent="0.2">
      <c r="A2545" s="526"/>
      <c r="B2545" s="527"/>
      <c r="C2545" s="465"/>
      <c r="D2545" s="464"/>
      <c r="E2545" s="464"/>
      <c r="F2545" s="464"/>
      <c r="G2545" s="510"/>
      <c r="H2545" s="411"/>
      <c r="I2545" s="411"/>
      <c r="J2545" s="750" t="e">
        <f t="shared" si="24"/>
        <v>#DIV/0!</v>
      </c>
      <c r="K2545" s="412"/>
      <c r="L2545" s="412"/>
      <c r="M2545" s="682"/>
      <c r="N2545" s="171"/>
      <c r="O2545" s="171"/>
      <c r="P2545" s="169"/>
      <c r="Q2545" s="171"/>
      <c r="R2545" s="171"/>
      <c r="S2545" s="171"/>
      <c r="T2545" s="171"/>
      <c r="U2545" s="171"/>
      <c r="V2545" s="171"/>
      <c r="W2545" s="171"/>
      <c r="X2545" s="171"/>
      <c r="Y2545" s="171"/>
      <c r="Z2545" s="171"/>
      <c r="AA2545" s="171"/>
    </row>
    <row r="2546" spans="1:27" s="530" customFormat="1" hidden="1" x14ac:dyDescent="0.2">
      <c r="A2546" s="526"/>
      <c r="B2546" s="527"/>
      <c r="C2546" s="465"/>
      <c r="D2546" s="464"/>
      <c r="E2546" s="464"/>
      <c r="F2546" s="464"/>
      <c r="G2546" s="510"/>
      <c r="H2546" s="411"/>
      <c r="I2546" s="411"/>
      <c r="J2546" s="750" t="e">
        <f t="shared" si="24"/>
        <v>#DIV/0!</v>
      </c>
      <c r="K2546" s="412"/>
      <c r="L2546" s="412"/>
      <c r="M2546" s="682"/>
      <c r="N2546" s="171"/>
      <c r="O2546" s="171"/>
      <c r="P2546" s="169"/>
      <c r="Q2546" s="171"/>
      <c r="R2546" s="171"/>
      <c r="S2546" s="171"/>
      <c r="T2546" s="171"/>
      <c r="U2546" s="171"/>
      <c r="V2546" s="171"/>
      <c r="W2546" s="171"/>
      <c r="X2546" s="171"/>
      <c r="Y2546" s="171"/>
      <c r="Z2546" s="171"/>
      <c r="AA2546" s="171"/>
    </row>
    <row r="2547" spans="1:27" s="530" customFormat="1" hidden="1" x14ac:dyDescent="0.2">
      <c r="A2547" s="526"/>
      <c r="B2547" s="527"/>
      <c r="C2547" s="465"/>
      <c r="D2547" s="464"/>
      <c r="E2547" s="464"/>
      <c r="F2547" s="464"/>
      <c r="G2547" s="510"/>
      <c r="H2547" s="411"/>
      <c r="I2547" s="411"/>
      <c r="J2547" s="750" t="e">
        <f t="shared" si="24"/>
        <v>#DIV/0!</v>
      </c>
      <c r="K2547" s="412"/>
      <c r="L2547" s="412"/>
      <c r="M2547" s="682"/>
      <c r="N2547" s="171"/>
      <c r="O2547" s="171"/>
      <c r="P2547" s="169"/>
      <c r="Q2547" s="171"/>
      <c r="R2547" s="171"/>
      <c r="S2547" s="171"/>
      <c r="T2547" s="171"/>
      <c r="U2547" s="171"/>
      <c r="V2547" s="171"/>
      <c r="W2547" s="171"/>
      <c r="X2547" s="171"/>
      <c r="Y2547" s="171"/>
      <c r="Z2547" s="171"/>
      <c r="AA2547" s="171"/>
    </row>
    <row r="2548" spans="1:27" s="530" customFormat="1" hidden="1" x14ac:dyDescent="0.2">
      <c r="A2548" s="526"/>
      <c r="B2548" s="527"/>
      <c r="C2548" s="465"/>
      <c r="D2548" s="464"/>
      <c r="E2548" s="464"/>
      <c r="F2548" s="464"/>
      <c r="G2548" s="510"/>
      <c r="H2548" s="411"/>
      <c r="I2548" s="411"/>
      <c r="J2548" s="750" t="e">
        <f t="shared" si="24"/>
        <v>#DIV/0!</v>
      </c>
      <c r="K2548" s="412"/>
      <c r="L2548" s="412"/>
      <c r="M2548" s="682"/>
      <c r="N2548" s="171"/>
      <c r="O2548" s="171"/>
      <c r="P2548" s="169"/>
      <c r="Q2548" s="171"/>
      <c r="R2548" s="171"/>
      <c r="S2548" s="171"/>
      <c r="T2548" s="171"/>
      <c r="U2548" s="171"/>
      <c r="V2548" s="171"/>
      <c r="W2548" s="171"/>
      <c r="X2548" s="171"/>
      <c r="Y2548" s="171"/>
      <c r="Z2548" s="171"/>
      <c r="AA2548" s="171"/>
    </row>
    <row r="2549" spans="1:27" s="530" customFormat="1" hidden="1" x14ac:dyDescent="0.2">
      <c r="A2549" s="526"/>
      <c r="B2549" s="527"/>
      <c r="C2549" s="465"/>
      <c r="D2549" s="464"/>
      <c r="E2549" s="464"/>
      <c r="F2549" s="464"/>
      <c r="G2549" s="510"/>
      <c r="H2549" s="411"/>
      <c r="I2549" s="411"/>
      <c r="J2549" s="750" t="e">
        <f t="shared" si="24"/>
        <v>#DIV/0!</v>
      </c>
      <c r="K2549" s="412"/>
      <c r="L2549" s="412"/>
      <c r="M2549" s="682"/>
      <c r="N2549" s="171"/>
      <c r="O2549" s="171"/>
      <c r="P2549" s="169"/>
      <c r="Q2549" s="171"/>
      <c r="R2549" s="171"/>
      <c r="S2549" s="171"/>
      <c r="T2549" s="171"/>
      <c r="U2549" s="171"/>
      <c r="V2549" s="171"/>
      <c r="W2549" s="171"/>
      <c r="X2549" s="171"/>
      <c r="Y2549" s="171"/>
      <c r="Z2549" s="171"/>
      <c r="AA2549" s="171"/>
    </row>
    <row r="2550" spans="1:27" s="530" customFormat="1" hidden="1" x14ac:dyDescent="0.2">
      <c r="A2550" s="526"/>
      <c r="B2550" s="527"/>
      <c r="C2550" s="465"/>
      <c r="D2550" s="464"/>
      <c r="E2550" s="464"/>
      <c r="F2550" s="464"/>
      <c r="G2550" s="510"/>
      <c r="H2550" s="411"/>
      <c r="I2550" s="411"/>
      <c r="J2550" s="750" t="e">
        <f t="shared" si="24"/>
        <v>#DIV/0!</v>
      </c>
      <c r="K2550" s="412"/>
      <c r="L2550" s="412"/>
      <c r="M2550" s="682"/>
      <c r="N2550" s="171"/>
      <c r="O2550" s="171"/>
      <c r="P2550" s="169"/>
      <c r="Q2550" s="171"/>
      <c r="R2550" s="171"/>
      <c r="S2550" s="171"/>
      <c r="T2550" s="171"/>
      <c r="U2550" s="171"/>
      <c r="V2550" s="171"/>
      <c r="W2550" s="171"/>
      <c r="X2550" s="171"/>
      <c r="Y2550" s="171"/>
      <c r="Z2550" s="171"/>
      <c r="AA2550" s="171"/>
    </row>
    <row r="2551" spans="1:27" s="530" customFormat="1" hidden="1" x14ac:dyDescent="0.2">
      <c r="A2551" s="526"/>
      <c r="B2551" s="527"/>
      <c r="C2551" s="465"/>
      <c r="D2551" s="464"/>
      <c r="E2551" s="464"/>
      <c r="F2551" s="464"/>
      <c r="G2551" s="510"/>
      <c r="H2551" s="411"/>
      <c r="I2551" s="411"/>
      <c r="J2551" s="750" t="e">
        <f t="shared" si="24"/>
        <v>#DIV/0!</v>
      </c>
      <c r="K2551" s="412"/>
      <c r="L2551" s="412"/>
      <c r="M2551" s="682"/>
      <c r="N2551" s="171"/>
      <c r="O2551" s="171"/>
      <c r="P2551" s="169"/>
      <c r="Q2551" s="171"/>
      <c r="R2551" s="171"/>
      <c r="S2551" s="171"/>
      <c r="T2551" s="171"/>
      <c r="U2551" s="171"/>
      <c r="V2551" s="171"/>
      <c r="W2551" s="171"/>
      <c r="X2551" s="171"/>
      <c r="Y2551" s="171"/>
      <c r="Z2551" s="171"/>
      <c r="AA2551" s="171"/>
    </row>
    <row r="2552" spans="1:27" s="530" customFormat="1" hidden="1" x14ac:dyDescent="0.2">
      <c r="A2552" s="526"/>
      <c r="B2552" s="527"/>
      <c r="C2552" s="465"/>
      <c r="D2552" s="464"/>
      <c r="E2552" s="464"/>
      <c r="F2552" s="464"/>
      <c r="G2552" s="510"/>
      <c r="H2552" s="411"/>
      <c r="I2552" s="411"/>
      <c r="J2552" s="750" t="e">
        <f t="shared" si="24"/>
        <v>#DIV/0!</v>
      </c>
      <c r="K2552" s="412"/>
      <c r="L2552" s="412"/>
      <c r="M2552" s="682"/>
      <c r="N2552" s="171"/>
      <c r="O2552" s="171"/>
      <c r="P2552" s="169"/>
      <c r="Q2552" s="171"/>
      <c r="R2552" s="171"/>
      <c r="S2552" s="171"/>
      <c r="T2552" s="171"/>
      <c r="U2552" s="171"/>
      <c r="V2552" s="171"/>
      <c r="W2552" s="171"/>
      <c r="X2552" s="171"/>
      <c r="Y2552" s="171"/>
      <c r="Z2552" s="171"/>
      <c r="AA2552" s="171"/>
    </row>
    <row r="2553" spans="1:27" s="530" customFormat="1" hidden="1" x14ac:dyDescent="0.2">
      <c r="A2553" s="526"/>
      <c r="B2553" s="527"/>
      <c r="C2553" s="465"/>
      <c r="D2553" s="464"/>
      <c r="E2553" s="464"/>
      <c r="F2553" s="464"/>
      <c r="G2553" s="510"/>
      <c r="H2553" s="411"/>
      <c r="I2553" s="411"/>
      <c r="J2553" s="750" t="e">
        <f t="shared" si="24"/>
        <v>#DIV/0!</v>
      </c>
      <c r="K2553" s="412"/>
      <c r="L2553" s="412"/>
      <c r="M2553" s="682"/>
      <c r="N2553" s="171"/>
      <c r="O2553" s="171"/>
      <c r="P2553" s="169"/>
      <c r="Q2553" s="171"/>
      <c r="R2553" s="171"/>
      <c r="S2553" s="171"/>
      <c r="T2553" s="171"/>
      <c r="U2553" s="171"/>
      <c r="V2553" s="171"/>
      <c r="W2553" s="171"/>
      <c r="X2553" s="171"/>
      <c r="Y2553" s="171"/>
      <c r="Z2553" s="171"/>
      <c r="AA2553" s="171"/>
    </row>
    <row r="2554" spans="1:27" s="530" customFormat="1" hidden="1" x14ac:dyDescent="0.2">
      <c r="A2554" s="526"/>
      <c r="B2554" s="527"/>
      <c r="C2554" s="465"/>
      <c r="D2554" s="464"/>
      <c r="E2554" s="464"/>
      <c r="F2554" s="464"/>
      <c r="G2554" s="510"/>
      <c r="H2554" s="411"/>
      <c r="I2554" s="411"/>
      <c r="J2554" s="750" t="e">
        <f t="shared" si="24"/>
        <v>#DIV/0!</v>
      </c>
      <c r="K2554" s="412"/>
      <c r="L2554" s="412"/>
      <c r="M2554" s="682"/>
      <c r="N2554" s="171"/>
      <c r="O2554" s="171"/>
      <c r="P2554" s="169"/>
      <c r="Q2554" s="171"/>
      <c r="R2554" s="171"/>
      <c r="S2554" s="171"/>
      <c r="T2554" s="171"/>
      <c r="U2554" s="171"/>
      <c r="V2554" s="171"/>
      <c r="W2554" s="171"/>
      <c r="X2554" s="171"/>
      <c r="Y2554" s="171"/>
      <c r="Z2554" s="171"/>
      <c r="AA2554" s="171"/>
    </row>
    <row r="2555" spans="1:27" s="530" customFormat="1" hidden="1" x14ac:dyDescent="0.2">
      <c r="A2555" s="526"/>
      <c r="B2555" s="527"/>
      <c r="C2555" s="465"/>
      <c r="D2555" s="464"/>
      <c r="E2555" s="464"/>
      <c r="F2555" s="464"/>
      <c r="G2555" s="510"/>
      <c r="H2555" s="411"/>
      <c r="I2555" s="411"/>
      <c r="J2555" s="750" t="e">
        <f t="shared" si="24"/>
        <v>#DIV/0!</v>
      </c>
      <c r="K2555" s="412"/>
      <c r="L2555" s="412"/>
      <c r="M2555" s="682"/>
      <c r="N2555" s="171"/>
      <c r="O2555" s="171"/>
      <c r="P2555" s="169"/>
      <c r="Q2555" s="171"/>
      <c r="R2555" s="171"/>
      <c r="S2555" s="171"/>
      <c r="T2555" s="171"/>
      <c r="U2555" s="171"/>
      <c r="V2555" s="171"/>
      <c r="W2555" s="171"/>
      <c r="X2555" s="171"/>
      <c r="Y2555" s="171"/>
      <c r="Z2555" s="171"/>
      <c r="AA2555" s="171"/>
    </row>
    <row r="2556" spans="1:27" s="530" customFormat="1" hidden="1" x14ac:dyDescent="0.2">
      <c r="A2556" s="526"/>
      <c r="B2556" s="527"/>
      <c r="C2556" s="465"/>
      <c r="D2556" s="464"/>
      <c r="E2556" s="464"/>
      <c r="F2556" s="464"/>
      <c r="G2556" s="510"/>
      <c r="H2556" s="411"/>
      <c r="I2556" s="411"/>
      <c r="J2556" s="750" t="e">
        <f t="shared" si="24"/>
        <v>#DIV/0!</v>
      </c>
      <c r="K2556" s="412"/>
      <c r="L2556" s="412"/>
      <c r="M2556" s="682"/>
      <c r="N2556" s="171"/>
      <c r="O2556" s="171"/>
      <c r="P2556" s="169"/>
      <c r="Q2556" s="171"/>
      <c r="R2556" s="171"/>
      <c r="S2556" s="171"/>
      <c r="T2556" s="171"/>
      <c r="U2556" s="171"/>
      <c r="V2556" s="171"/>
      <c r="W2556" s="171"/>
      <c r="X2556" s="171"/>
      <c r="Y2556" s="171"/>
      <c r="Z2556" s="171"/>
      <c r="AA2556" s="171"/>
    </row>
    <row r="2557" spans="1:27" s="530" customFormat="1" hidden="1" x14ac:dyDescent="0.2">
      <c r="A2557" s="526"/>
      <c r="B2557" s="527"/>
      <c r="C2557" s="465"/>
      <c r="D2557" s="464"/>
      <c r="E2557" s="464"/>
      <c r="F2557" s="464"/>
      <c r="G2557" s="510"/>
      <c r="H2557" s="411"/>
      <c r="I2557" s="411"/>
      <c r="J2557" s="750" t="e">
        <f t="shared" si="24"/>
        <v>#DIV/0!</v>
      </c>
      <c r="K2557" s="412"/>
      <c r="L2557" s="412"/>
      <c r="M2557" s="682"/>
      <c r="N2557" s="171"/>
      <c r="O2557" s="171"/>
      <c r="P2557" s="169"/>
      <c r="Q2557" s="171"/>
      <c r="R2557" s="171"/>
      <c r="S2557" s="171"/>
      <c r="T2557" s="171"/>
      <c r="U2557" s="171"/>
      <c r="V2557" s="171"/>
      <c r="W2557" s="171"/>
      <c r="X2557" s="171"/>
      <c r="Y2557" s="171"/>
      <c r="Z2557" s="171"/>
      <c r="AA2557" s="171"/>
    </row>
    <row r="2558" spans="1:27" s="530" customFormat="1" hidden="1" x14ac:dyDescent="0.2">
      <c r="A2558" s="526"/>
      <c r="B2558" s="527"/>
      <c r="C2558" s="465"/>
      <c r="D2558" s="464"/>
      <c r="E2558" s="464"/>
      <c r="F2558" s="464"/>
      <c r="G2558" s="510"/>
      <c r="H2558" s="411"/>
      <c r="I2558" s="411"/>
      <c r="J2558" s="750" t="e">
        <f t="shared" si="24"/>
        <v>#DIV/0!</v>
      </c>
      <c r="K2558" s="412"/>
      <c r="L2558" s="412"/>
      <c r="M2558" s="682"/>
      <c r="N2558" s="171"/>
      <c r="O2558" s="171"/>
      <c r="P2558" s="169"/>
      <c r="Q2558" s="171"/>
      <c r="R2558" s="171"/>
      <c r="S2558" s="171"/>
      <c r="T2558" s="171"/>
      <c r="U2558" s="171"/>
      <c r="V2558" s="171"/>
      <c r="W2558" s="171"/>
      <c r="X2558" s="171"/>
      <c r="Y2558" s="171"/>
      <c r="Z2558" s="171"/>
      <c r="AA2558" s="171"/>
    </row>
    <row r="2559" spans="1:27" s="530" customFormat="1" hidden="1" x14ac:dyDescent="0.2">
      <c r="A2559" s="526"/>
      <c r="B2559" s="527"/>
      <c r="C2559" s="465"/>
      <c r="D2559" s="464"/>
      <c r="E2559" s="464"/>
      <c r="F2559" s="464"/>
      <c r="G2559" s="510"/>
      <c r="H2559" s="411"/>
      <c r="I2559" s="411"/>
      <c r="J2559" s="750" t="e">
        <f t="shared" si="24"/>
        <v>#DIV/0!</v>
      </c>
      <c r="K2559" s="412"/>
      <c r="L2559" s="412"/>
      <c r="M2559" s="682"/>
      <c r="N2559" s="171"/>
      <c r="O2559" s="171"/>
      <c r="P2559" s="169"/>
      <c r="Q2559" s="171"/>
      <c r="R2559" s="171"/>
      <c r="S2559" s="171"/>
      <c r="T2559" s="171"/>
      <c r="U2559" s="171"/>
      <c r="V2559" s="171"/>
      <c r="W2559" s="171"/>
      <c r="X2559" s="171"/>
      <c r="Y2559" s="171"/>
      <c r="Z2559" s="171"/>
      <c r="AA2559" s="171"/>
    </row>
    <row r="2560" spans="1:27" s="530" customFormat="1" hidden="1" x14ac:dyDescent="0.2">
      <c r="A2560" s="526"/>
      <c r="B2560" s="527"/>
      <c r="C2560" s="465"/>
      <c r="D2560" s="464"/>
      <c r="E2560" s="464"/>
      <c r="F2560" s="464"/>
      <c r="G2560" s="510"/>
      <c r="H2560" s="411"/>
      <c r="I2560" s="411"/>
      <c r="J2560" s="750" t="e">
        <f t="shared" si="24"/>
        <v>#DIV/0!</v>
      </c>
      <c r="K2560" s="412"/>
      <c r="L2560" s="412"/>
      <c r="M2560" s="682"/>
      <c r="N2560" s="171"/>
      <c r="O2560" s="171"/>
      <c r="P2560" s="169"/>
      <c r="Q2560" s="171"/>
      <c r="R2560" s="171"/>
      <c r="S2560" s="171"/>
      <c r="T2560" s="171"/>
      <c r="U2560" s="171"/>
      <c r="V2560" s="171"/>
      <c r="W2560" s="171"/>
      <c r="X2560" s="171"/>
      <c r="Y2560" s="171"/>
      <c r="Z2560" s="171"/>
      <c r="AA2560" s="171"/>
    </row>
    <row r="2561" spans="1:27" s="530" customFormat="1" hidden="1" x14ac:dyDescent="0.2">
      <c r="A2561" s="526"/>
      <c r="B2561" s="527"/>
      <c r="C2561" s="465"/>
      <c r="D2561" s="464"/>
      <c r="E2561" s="464"/>
      <c r="F2561" s="464"/>
      <c r="G2561" s="510"/>
      <c r="H2561" s="411"/>
      <c r="I2561" s="411"/>
      <c r="J2561" s="750" t="e">
        <f t="shared" si="24"/>
        <v>#DIV/0!</v>
      </c>
      <c r="K2561" s="412"/>
      <c r="L2561" s="412"/>
      <c r="M2561" s="682"/>
      <c r="N2561" s="171"/>
      <c r="O2561" s="171"/>
      <c r="P2561" s="169"/>
      <c r="Q2561" s="171"/>
      <c r="R2561" s="171"/>
      <c r="S2561" s="171"/>
      <c r="T2561" s="171"/>
      <c r="U2561" s="171"/>
      <c r="V2561" s="171"/>
      <c r="W2561" s="171"/>
      <c r="X2561" s="171"/>
      <c r="Y2561" s="171"/>
      <c r="Z2561" s="171"/>
      <c r="AA2561" s="171"/>
    </row>
    <row r="2562" spans="1:27" s="530" customFormat="1" hidden="1" x14ac:dyDescent="0.2">
      <c r="A2562" s="526"/>
      <c r="B2562" s="527"/>
      <c r="C2562" s="465"/>
      <c r="D2562" s="464"/>
      <c r="E2562" s="464"/>
      <c r="F2562" s="464"/>
      <c r="G2562" s="510"/>
      <c r="H2562" s="411"/>
      <c r="I2562" s="411"/>
      <c r="J2562" s="750" t="e">
        <f t="shared" si="24"/>
        <v>#DIV/0!</v>
      </c>
      <c r="K2562" s="412"/>
      <c r="L2562" s="412"/>
      <c r="M2562" s="682"/>
      <c r="N2562" s="171"/>
      <c r="O2562" s="171"/>
      <c r="P2562" s="169"/>
      <c r="Q2562" s="171"/>
      <c r="R2562" s="171"/>
      <c r="S2562" s="171"/>
      <c r="T2562" s="171"/>
      <c r="U2562" s="171"/>
      <c r="V2562" s="171"/>
      <c r="W2562" s="171"/>
      <c r="X2562" s="171"/>
      <c r="Y2562" s="171"/>
      <c r="Z2562" s="171"/>
      <c r="AA2562" s="171"/>
    </row>
    <row r="2563" spans="1:27" s="530" customFormat="1" hidden="1" x14ac:dyDescent="0.2">
      <c r="A2563" s="526"/>
      <c r="B2563" s="527"/>
      <c r="C2563" s="465"/>
      <c r="D2563" s="464"/>
      <c r="E2563" s="464"/>
      <c r="F2563" s="464"/>
      <c r="G2563" s="510"/>
      <c r="H2563" s="411"/>
      <c r="I2563" s="411"/>
      <c r="J2563" s="750" t="e">
        <f t="shared" si="24"/>
        <v>#DIV/0!</v>
      </c>
      <c r="K2563" s="412"/>
      <c r="L2563" s="412"/>
      <c r="M2563" s="682"/>
      <c r="N2563" s="171"/>
      <c r="O2563" s="171"/>
      <c r="P2563" s="169"/>
      <c r="Q2563" s="171"/>
      <c r="R2563" s="171"/>
      <c r="S2563" s="171"/>
      <c r="T2563" s="171"/>
      <c r="U2563" s="171"/>
      <c r="V2563" s="171"/>
      <c r="W2563" s="171"/>
      <c r="X2563" s="171"/>
      <c r="Y2563" s="171"/>
      <c r="Z2563" s="171"/>
      <c r="AA2563" s="171"/>
    </row>
    <row r="2564" spans="1:27" s="530" customFormat="1" hidden="1" x14ac:dyDescent="0.2">
      <c r="A2564" s="526"/>
      <c r="B2564" s="527"/>
      <c r="C2564" s="465"/>
      <c r="D2564" s="464"/>
      <c r="E2564" s="464"/>
      <c r="F2564" s="464"/>
      <c r="G2564" s="510"/>
      <c r="H2564" s="411"/>
      <c r="I2564" s="411"/>
      <c r="J2564" s="750" t="e">
        <f t="shared" si="24"/>
        <v>#DIV/0!</v>
      </c>
      <c r="K2564" s="412"/>
      <c r="L2564" s="412"/>
      <c r="M2564" s="682"/>
      <c r="N2564" s="171"/>
      <c r="O2564" s="171"/>
      <c r="P2564" s="169"/>
      <c r="Q2564" s="171"/>
      <c r="R2564" s="171"/>
      <c r="S2564" s="171"/>
      <c r="T2564" s="171"/>
      <c r="U2564" s="171"/>
      <c r="V2564" s="171"/>
      <c r="W2564" s="171"/>
      <c r="X2564" s="171"/>
      <c r="Y2564" s="171"/>
      <c r="Z2564" s="171"/>
      <c r="AA2564" s="171"/>
    </row>
    <row r="2565" spans="1:27" s="530" customFormat="1" hidden="1" x14ac:dyDescent="0.2">
      <c r="A2565" s="526"/>
      <c r="B2565" s="527"/>
      <c r="C2565" s="465"/>
      <c r="D2565" s="464"/>
      <c r="E2565" s="464"/>
      <c r="F2565" s="464"/>
      <c r="G2565" s="510"/>
      <c r="H2565" s="411"/>
      <c r="I2565" s="411"/>
      <c r="J2565" s="750" t="e">
        <f t="shared" si="24"/>
        <v>#DIV/0!</v>
      </c>
      <c r="K2565" s="412"/>
      <c r="L2565" s="412"/>
      <c r="M2565" s="682"/>
      <c r="N2565" s="171"/>
      <c r="O2565" s="171"/>
      <c r="P2565" s="169"/>
      <c r="Q2565" s="171"/>
      <c r="R2565" s="171"/>
      <c r="S2565" s="171"/>
      <c r="T2565" s="171"/>
      <c r="U2565" s="171"/>
      <c r="V2565" s="171"/>
      <c r="W2565" s="171"/>
      <c r="X2565" s="171"/>
      <c r="Y2565" s="171"/>
      <c r="Z2565" s="171"/>
      <c r="AA2565" s="171"/>
    </row>
    <row r="2566" spans="1:27" s="530" customFormat="1" hidden="1" x14ac:dyDescent="0.2">
      <c r="A2566" s="526"/>
      <c r="B2566" s="527"/>
      <c r="C2566" s="465"/>
      <c r="D2566" s="464"/>
      <c r="E2566" s="464"/>
      <c r="F2566" s="464"/>
      <c r="G2566" s="510"/>
      <c r="H2566" s="411"/>
      <c r="I2566" s="411"/>
      <c r="J2566" s="750" t="e">
        <f t="shared" si="24"/>
        <v>#DIV/0!</v>
      </c>
      <c r="K2566" s="412"/>
      <c r="L2566" s="412"/>
      <c r="M2566" s="682"/>
      <c r="N2566" s="171"/>
      <c r="O2566" s="171"/>
      <c r="P2566" s="169"/>
      <c r="Q2566" s="171"/>
      <c r="R2566" s="171"/>
      <c r="S2566" s="171"/>
      <c r="T2566" s="171"/>
      <c r="U2566" s="171"/>
      <c r="V2566" s="171"/>
      <c r="W2566" s="171"/>
      <c r="X2566" s="171"/>
      <c r="Y2566" s="171"/>
      <c r="Z2566" s="171"/>
      <c r="AA2566" s="171"/>
    </row>
    <row r="2567" spans="1:27" s="530" customFormat="1" hidden="1" x14ac:dyDescent="0.2">
      <c r="A2567" s="526"/>
      <c r="B2567" s="527"/>
      <c r="C2567" s="465"/>
      <c r="D2567" s="464"/>
      <c r="E2567" s="464"/>
      <c r="F2567" s="464"/>
      <c r="G2567" s="510"/>
      <c r="H2567" s="411"/>
      <c r="I2567" s="411"/>
      <c r="J2567" s="750" t="e">
        <f t="shared" si="24"/>
        <v>#DIV/0!</v>
      </c>
      <c r="K2567" s="412"/>
      <c r="L2567" s="412"/>
      <c r="M2567" s="682"/>
      <c r="N2567" s="171"/>
      <c r="O2567" s="171"/>
      <c r="P2567" s="169"/>
      <c r="Q2567" s="171"/>
      <c r="R2567" s="171"/>
      <c r="S2567" s="171"/>
      <c r="T2567" s="171"/>
      <c r="U2567" s="171"/>
      <c r="V2567" s="171"/>
      <c r="W2567" s="171"/>
      <c r="X2567" s="171"/>
      <c r="Y2567" s="171"/>
      <c r="Z2567" s="171"/>
      <c r="AA2567" s="171"/>
    </row>
    <row r="2568" spans="1:27" s="530" customFormat="1" hidden="1" x14ac:dyDescent="0.2">
      <c r="A2568" s="526"/>
      <c r="B2568" s="527"/>
      <c r="C2568" s="465"/>
      <c r="D2568" s="464"/>
      <c r="E2568" s="464"/>
      <c r="F2568" s="464"/>
      <c r="G2568" s="510"/>
      <c r="H2568" s="411"/>
      <c r="I2568" s="411"/>
      <c r="J2568" s="750" t="e">
        <f t="shared" si="24"/>
        <v>#DIV/0!</v>
      </c>
      <c r="K2568" s="412"/>
      <c r="L2568" s="412"/>
      <c r="M2568" s="682"/>
      <c r="N2568" s="171"/>
      <c r="O2568" s="171"/>
      <c r="P2568" s="169"/>
      <c r="Q2568" s="171"/>
      <c r="R2568" s="171"/>
      <c r="S2568" s="171"/>
      <c r="T2568" s="171"/>
      <c r="U2568" s="171"/>
      <c r="V2568" s="171"/>
      <c r="W2568" s="171"/>
      <c r="X2568" s="171"/>
      <c r="Y2568" s="171"/>
      <c r="Z2568" s="171"/>
      <c r="AA2568" s="171"/>
    </row>
    <row r="2569" spans="1:27" s="530" customFormat="1" hidden="1" x14ac:dyDescent="0.2">
      <c r="A2569" s="526"/>
      <c r="B2569" s="527"/>
      <c r="C2569" s="465"/>
      <c r="D2569" s="464"/>
      <c r="E2569" s="464"/>
      <c r="F2569" s="464"/>
      <c r="G2569" s="510"/>
      <c r="H2569" s="411"/>
      <c r="I2569" s="411"/>
      <c r="J2569" s="750" t="e">
        <f t="shared" si="24"/>
        <v>#DIV/0!</v>
      </c>
      <c r="K2569" s="412"/>
      <c r="L2569" s="412"/>
      <c r="M2569" s="682"/>
      <c r="N2569" s="171"/>
      <c r="O2569" s="171"/>
      <c r="P2569" s="169"/>
      <c r="Q2569" s="171"/>
      <c r="R2569" s="171"/>
      <c r="S2569" s="171"/>
      <c r="T2569" s="171"/>
      <c r="U2569" s="171"/>
      <c r="V2569" s="171"/>
      <c r="W2569" s="171"/>
      <c r="X2569" s="171"/>
      <c r="Y2569" s="171"/>
      <c r="Z2569" s="171"/>
      <c r="AA2569" s="171"/>
    </row>
    <row r="2570" spans="1:27" s="530" customFormat="1" hidden="1" x14ac:dyDescent="0.2">
      <c r="A2570" s="526"/>
      <c r="B2570" s="527"/>
      <c r="C2570" s="465"/>
      <c r="D2570" s="464"/>
      <c r="E2570" s="464"/>
      <c r="F2570" s="464"/>
      <c r="G2570" s="510"/>
      <c r="H2570" s="411"/>
      <c r="I2570" s="411"/>
      <c r="J2570" s="750" t="e">
        <f t="shared" si="24"/>
        <v>#DIV/0!</v>
      </c>
      <c r="K2570" s="412"/>
      <c r="L2570" s="412"/>
      <c r="M2570" s="682"/>
      <c r="N2570" s="171"/>
      <c r="O2570" s="171"/>
      <c r="P2570" s="169"/>
      <c r="Q2570" s="171"/>
      <c r="R2570" s="171"/>
      <c r="S2570" s="171"/>
      <c r="T2570" s="171"/>
      <c r="U2570" s="171"/>
      <c r="V2570" s="171"/>
      <c r="W2570" s="171"/>
      <c r="X2570" s="171"/>
      <c r="Y2570" s="171"/>
      <c r="Z2570" s="171"/>
      <c r="AA2570" s="171"/>
    </row>
    <row r="2571" spans="1:27" s="530" customFormat="1" hidden="1" x14ac:dyDescent="0.2">
      <c r="A2571" s="526"/>
      <c r="B2571" s="527"/>
      <c r="C2571" s="465"/>
      <c r="D2571" s="464"/>
      <c r="E2571" s="464"/>
      <c r="F2571" s="464"/>
      <c r="G2571" s="510"/>
      <c r="H2571" s="411"/>
      <c r="I2571" s="411"/>
      <c r="J2571" s="750" t="e">
        <f t="shared" si="24"/>
        <v>#DIV/0!</v>
      </c>
      <c r="K2571" s="412"/>
      <c r="L2571" s="412"/>
      <c r="M2571" s="682"/>
      <c r="N2571" s="171"/>
      <c r="O2571" s="171"/>
      <c r="P2571" s="169"/>
      <c r="Q2571" s="171"/>
      <c r="R2571" s="171"/>
      <c r="S2571" s="171"/>
      <c r="T2571" s="171"/>
      <c r="U2571" s="171"/>
      <c r="V2571" s="171"/>
      <c r="W2571" s="171"/>
      <c r="X2571" s="171"/>
      <c r="Y2571" s="171"/>
      <c r="Z2571" s="171"/>
      <c r="AA2571" s="171"/>
    </row>
    <row r="2572" spans="1:27" s="530" customFormat="1" hidden="1" x14ac:dyDescent="0.2">
      <c r="A2572" s="526"/>
      <c r="B2572" s="527"/>
      <c r="C2572" s="465"/>
      <c r="D2572" s="464"/>
      <c r="E2572" s="464"/>
      <c r="F2572" s="464"/>
      <c r="G2572" s="510"/>
      <c r="H2572" s="411"/>
      <c r="I2572" s="411"/>
      <c r="J2572" s="750" t="e">
        <f t="shared" si="24"/>
        <v>#DIV/0!</v>
      </c>
      <c r="K2572" s="412"/>
      <c r="L2572" s="412"/>
      <c r="M2572" s="682"/>
      <c r="N2572" s="171"/>
      <c r="O2572" s="171"/>
      <c r="P2572" s="169"/>
      <c r="Q2572" s="171"/>
      <c r="R2572" s="171"/>
      <c r="S2572" s="171"/>
      <c r="T2572" s="171"/>
      <c r="U2572" s="171"/>
      <c r="V2572" s="171"/>
      <c r="W2572" s="171"/>
      <c r="X2572" s="171"/>
      <c r="Y2572" s="171"/>
      <c r="Z2572" s="171"/>
      <c r="AA2572" s="171"/>
    </row>
    <row r="2573" spans="1:27" s="530" customFormat="1" hidden="1" x14ac:dyDescent="0.2">
      <c r="A2573" s="526"/>
      <c r="B2573" s="527"/>
      <c r="C2573" s="465"/>
      <c r="D2573" s="464"/>
      <c r="E2573" s="464"/>
      <c r="F2573" s="464"/>
      <c r="G2573" s="510"/>
      <c r="H2573" s="411"/>
      <c r="I2573" s="411"/>
      <c r="J2573" s="750" t="e">
        <f t="shared" ref="J2573:J2636" si="25">SUM(I2573/H2573)*100</f>
        <v>#DIV/0!</v>
      </c>
      <c r="K2573" s="412"/>
      <c r="L2573" s="412"/>
      <c r="M2573" s="682"/>
      <c r="N2573" s="171"/>
      <c r="O2573" s="171"/>
      <c r="P2573" s="169"/>
      <c r="Q2573" s="171"/>
      <c r="R2573" s="171"/>
      <c r="S2573" s="171"/>
      <c r="T2573" s="171"/>
      <c r="U2573" s="171"/>
      <c r="V2573" s="171"/>
      <c r="W2573" s="171"/>
      <c r="X2573" s="171"/>
      <c r="Y2573" s="171"/>
      <c r="Z2573" s="171"/>
      <c r="AA2573" s="171"/>
    </row>
    <row r="2574" spans="1:27" s="530" customFormat="1" hidden="1" x14ac:dyDescent="0.2">
      <c r="A2574" s="526"/>
      <c r="B2574" s="527"/>
      <c r="C2574" s="465"/>
      <c r="D2574" s="464"/>
      <c r="E2574" s="464"/>
      <c r="F2574" s="464"/>
      <c r="G2574" s="510"/>
      <c r="H2574" s="411"/>
      <c r="I2574" s="411"/>
      <c r="J2574" s="750" t="e">
        <f t="shared" si="25"/>
        <v>#DIV/0!</v>
      </c>
      <c r="K2574" s="412"/>
      <c r="L2574" s="412"/>
      <c r="M2574" s="682"/>
      <c r="N2574" s="171"/>
      <c r="O2574" s="171"/>
      <c r="P2574" s="169"/>
      <c r="Q2574" s="171"/>
      <c r="R2574" s="171"/>
      <c r="S2574" s="171"/>
      <c r="T2574" s="171"/>
      <c r="U2574" s="171"/>
      <c r="V2574" s="171"/>
      <c r="W2574" s="171"/>
      <c r="X2574" s="171"/>
      <c r="Y2574" s="171"/>
      <c r="Z2574" s="171"/>
      <c r="AA2574" s="171"/>
    </row>
    <row r="2575" spans="1:27" s="530" customFormat="1" hidden="1" x14ac:dyDescent="0.2">
      <c r="A2575" s="526"/>
      <c r="B2575" s="527"/>
      <c r="C2575" s="465"/>
      <c r="D2575" s="464"/>
      <c r="E2575" s="464"/>
      <c r="F2575" s="464"/>
      <c r="G2575" s="510"/>
      <c r="H2575" s="411"/>
      <c r="I2575" s="411"/>
      <c r="J2575" s="750" t="e">
        <f t="shared" si="25"/>
        <v>#DIV/0!</v>
      </c>
      <c r="K2575" s="412"/>
      <c r="L2575" s="412"/>
      <c r="M2575" s="682"/>
      <c r="N2575" s="171"/>
      <c r="O2575" s="171"/>
      <c r="P2575" s="169"/>
      <c r="Q2575" s="171"/>
      <c r="R2575" s="171"/>
      <c r="S2575" s="171"/>
      <c r="T2575" s="171"/>
      <c r="U2575" s="171"/>
      <c r="V2575" s="171"/>
      <c r="W2575" s="171"/>
      <c r="X2575" s="171"/>
      <c r="Y2575" s="171"/>
      <c r="Z2575" s="171"/>
      <c r="AA2575" s="171"/>
    </row>
    <row r="2576" spans="1:27" s="530" customFormat="1" hidden="1" x14ac:dyDescent="0.2">
      <c r="A2576" s="526"/>
      <c r="B2576" s="527"/>
      <c r="C2576" s="465"/>
      <c r="D2576" s="464"/>
      <c r="E2576" s="464"/>
      <c r="F2576" s="464"/>
      <c r="G2576" s="510"/>
      <c r="H2576" s="411"/>
      <c r="I2576" s="411"/>
      <c r="J2576" s="750" t="e">
        <f t="shared" si="25"/>
        <v>#DIV/0!</v>
      </c>
      <c r="K2576" s="412"/>
      <c r="L2576" s="412"/>
      <c r="M2576" s="682"/>
      <c r="N2576" s="171"/>
      <c r="O2576" s="171"/>
      <c r="P2576" s="169"/>
      <c r="Q2576" s="171"/>
      <c r="R2576" s="171"/>
      <c r="S2576" s="171"/>
      <c r="T2576" s="171"/>
      <c r="U2576" s="171"/>
      <c r="V2576" s="171"/>
      <c r="W2576" s="171"/>
      <c r="X2576" s="171"/>
      <c r="Y2576" s="171"/>
      <c r="Z2576" s="171"/>
      <c r="AA2576" s="171"/>
    </row>
    <row r="2577" spans="1:27" s="530" customFormat="1" hidden="1" x14ac:dyDescent="0.2">
      <c r="A2577" s="526"/>
      <c r="B2577" s="527"/>
      <c r="C2577" s="465"/>
      <c r="D2577" s="464"/>
      <c r="E2577" s="464"/>
      <c r="F2577" s="464"/>
      <c r="G2577" s="510"/>
      <c r="H2577" s="411"/>
      <c r="I2577" s="411"/>
      <c r="J2577" s="750" t="e">
        <f t="shared" si="25"/>
        <v>#DIV/0!</v>
      </c>
      <c r="K2577" s="412"/>
      <c r="L2577" s="412"/>
      <c r="M2577" s="682"/>
      <c r="N2577" s="171"/>
      <c r="O2577" s="171"/>
      <c r="P2577" s="169"/>
      <c r="Q2577" s="171"/>
      <c r="R2577" s="171"/>
      <c r="S2577" s="171"/>
      <c r="T2577" s="171"/>
      <c r="U2577" s="171"/>
      <c r="V2577" s="171"/>
      <c r="W2577" s="171"/>
      <c r="X2577" s="171"/>
      <c r="Y2577" s="171"/>
      <c r="Z2577" s="171"/>
      <c r="AA2577" s="171"/>
    </row>
    <row r="2578" spans="1:27" s="530" customFormat="1" hidden="1" x14ac:dyDescent="0.2">
      <c r="A2578" s="526"/>
      <c r="B2578" s="527"/>
      <c r="C2578" s="465"/>
      <c r="D2578" s="464"/>
      <c r="E2578" s="464"/>
      <c r="F2578" s="464"/>
      <c r="G2578" s="510"/>
      <c r="H2578" s="411"/>
      <c r="I2578" s="411"/>
      <c r="J2578" s="750" t="e">
        <f t="shared" si="25"/>
        <v>#DIV/0!</v>
      </c>
      <c r="K2578" s="412"/>
      <c r="L2578" s="412"/>
      <c r="M2578" s="682"/>
      <c r="N2578" s="171"/>
      <c r="O2578" s="171"/>
      <c r="P2578" s="169"/>
      <c r="Q2578" s="171"/>
      <c r="R2578" s="171"/>
      <c r="S2578" s="171"/>
      <c r="T2578" s="171"/>
      <c r="U2578" s="171"/>
      <c r="V2578" s="171"/>
      <c r="W2578" s="171"/>
      <c r="X2578" s="171"/>
      <c r="Y2578" s="171"/>
      <c r="Z2578" s="171"/>
      <c r="AA2578" s="171"/>
    </row>
    <row r="2579" spans="1:27" s="530" customFormat="1" hidden="1" x14ac:dyDescent="0.2">
      <c r="A2579" s="526"/>
      <c r="B2579" s="527"/>
      <c r="C2579" s="465"/>
      <c r="D2579" s="464"/>
      <c r="E2579" s="464"/>
      <c r="F2579" s="464"/>
      <c r="G2579" s="510"/>
      <c r="H2579" s="411"/>
      <c r="I2579" s="411"/>
      <c r="J2579" s="750" t="e">
        <f t="shared" si="25"/>
        <v>#DIV/0!</v>
      </c>
      <c r="K2579" s="412"/>
      <c r="L2579" s="412"/>
      <c r="M2579" s="682"/>
      <c r="N2579" s="171"/>
      <c r="O2579" s="171"/>
      <c r="P2579" s="169"/>
      <c r="Q2579" s="171"/>
      <c r="R2579" s="171"/>
      <c r="S2579" s="171"/>
      <c r="T2579" s="171"/>
      <c r="U2579" s="171"/>
      <c r="V2579" s="171"/>
      <c r="W2579" s="171"/>
      <c r="X2579" s="171"/>
      <c r="Y2579" s="171"/>
      <c r="Z2579" s="171"/>
      <c r="AA2579" s="171"/>
    </row>
    <row r="2580" spans="1:27" s="530" customFormat="1" hidden="1" x14ac:dyDescent="0.2">
      <c r="A2580" s="526"/>
      <c r="B2580" s="527"/>
      <c r="C2580" s="465"/>
      <c r="D2580" s="464"/>
      <c r="E2580" s="464"/>
      <c r="F2580" s="464"/>
      <c r="G2580" s="510"/>
      <c r="H2580" s="411"/>
      <c r="I2580" s="411"/>
      <c r="J2580" s="750" t="e">
        <f t="shared" si="25"/>
        <v>#DIV/0!</v>
      </c>
      <c r="K2580" s="412"/>
      <c r="L2580" s="412"/>
      <c r="M2580" s="682"/>
      <c r="N2580" s="171"/>
      <c r="O2580" s="171"/>
      <c r="P2580" s="169"/>
      <c r="Q2580" s="171"/>
      <c r="R2580" s="171"/>
      <c r="S2580" s="171"/>
      <c r="T2580" s="171"/>
      <c r="U2580" s="171"/>
      <c r="V2580" s="171"/>
      <c r="W2580" s="171"/>
      <c r="X2580" s="171"/>
      <c r="Y2580" s="171"/>
      <c r="Z2580" s="171"/>
      <c r="AA2580" s="171"/>
    </row>
    <row r="2581" spans="1:27" s="530" customFormat="1" hidden="1" x14ac:dyDescent="0.2">
      <c r="A2581" s="526"/>
      <c r="B2581" s="527"/>
      <c r="C2581" s="465"/>
      <c r="D2581" s="464"/>
      <c r="E2581" s="464"/>
      <c r="F2581" s="464"/>
      <c r="G2581" s="510"/>
      <c r="H2581" s="411"/>
      <c r="I2581" s="411"/>
      <c r="J2581" s="750" t="e">
        <f t="shared" si="25"/>
        <v>#DIV/0!</v>
      </c>
      <c r="K2581" s="412"/>
      <c r="L2581" s="412"/>
      <c r="M2581" s="682"/>
      <c r="N2581" s="171"/>
      <c r="O2581" s="171"/>
      <c r="P2581" s="169"/>
      <c r="Q2581" s="171"/>
      <c r="R2581" s="171"/>
      <c r="S2581" s="171"/>
      <c r="T2581" s="171"/>
      <c r="U2581" s="171"/>
      <c r="V2581" s="171"/>
      <c r="W2581" s="171"/>
      <c r="X2581" s="171"/>
      <c r="Y2581" s="171"/>
      <c r="Z2581" s="171"/>
      <c r="AA2581" s="171"/>
    </row>
    <row r="2582" spans="1:27" s="530" customFormat="1" hidden="1" x14ac:dyDescent="0.2">
      <c r="A2582" s="526"/>
      <c r="B2582" s="527"/>
      <c r="C2582" s="465"/>
      <c r="D2582" s="464"/>
      <c r="E2582" s="464"/>
      <c r="F2582" s="464"/>
      <c r="G2582" s="510"/>
      <c r="H2582" s="411"/>
      <c r="I2582" s="411"/>
      <c r="J2582" s="750" t="e">
        <f t="shared" si="25"/>
        <v>#DIV/0!</v>
      </c>
      <c r="K2582" s="412"/>
      <c r="L2582" s="412"/>
      <c r="M2582" s="682"/>
      <c r="N2582" s="171"/>
      <c r="O2582" s="171"/>
      <c r="P2582" s="169"/>
      <c r="Q2582" s="171"/>
      <c r="R2582" s="171"/>
      <c r="S2582" s="171"/>
      <c r="T2582" s="171"/>
      <c r="U2582" s="171"/>
      <c r="V2582" s="171"/>
      <c r="W2582" s="171"/>
      <c r="X2582" s="171"/>
      <c r="Y2582" s="171"/>
      <c r="Z2582" s="171"/>
      <c r="AA2582" s="171"/>
    </row>
    <row r="2583" spans="1:27" s="530" customFormat="1" hidden="1" x14ac:dyDescent="0.2">
      <c r="A2583" s="526"/>
      <c r="B2583" s="527"/>
      <c r="C2583" s="465"/>
      <c r="D2583" s="464"/>
      <c r="E2583" s="464"/>
      <c r="F2583" s="464"/>
      <c r="G2583" s="510"/>
      <c r="H2583" s="411"/>
      <c r="I2583" s="411"/>
      <c r="J2583" s="750" t="e">
        <f t="shared" si="25"/>
        <v>#DIV/0!</v>
      </c>
      <c r="K2583" s="412"/>
      <c r="L2583" s="412"/>
      <c r="M2583" s="682"/>
      <c r="N2583" s="171"/>
      <c r="O2583" s="171"/>
      <c r="P2583" s="169"/>
      <c r="Q2583" s="171"/>
      <c r="R2583" s="171"/>
      <c r="S2583" s="171"/>
      <c r="T2583" s="171"/>
      <c r="U2583" s="171"/>
      <c r="V2583" s="171"/>
      <c r="W2583" s="171"/>
      <c r="X2583" s="171"/>
      <c r="Y2583" s="171"/>
      <c r="Z2583" s="171"/>
      <c r="AA2583" s="171"/>
    </row>
    <row r="2584" spans="1:27" s="530" customFormat="1" hidden="1" x14ac:dyDescent="0.2">
      <c r="A2584" s="526"/>
      <c r="B2584" s="527"/>
      <c r="C2584" s="465"/>
      <c r="D2584" s="464"/>
      <c r="E2584" s="464"/>
      <c r="F2584" s="464"/>
      <c r="G2584" s="510"/>
      <c r="H2584" s="411"/>
      <c r="I2584" s="411"/>
      <c r="J2584" s="750" t="e">
        <f t="shared" si="25"/>
        <v>#DIV/0!</v>
      </c>
      <c r="K2584" s="412"/>
      <c r="L2584" s="412"/>
      <c r="M2584" s="682"/>
      <c r="N2584" s="171"/>
      <c r="O2584" s="171"/>
      <c r="P2584" s="169"/>
      <c r="Q2584" s="171"/>
      <c r="R2584" s="171"/>
      <c r="S2584" s="171"/>
      <c r="T2584" s="171"/>
      <c r="U2584" s="171"/>
      <c r="V2584" s="171"/>
      <c r="W2584" s="171"/>
      <c r="X2584" s="171"/>
      <c r="Y2584" s="171"/>
      <c r="Z2584" s="171"/>
      <c r="AA2584" s="171"/>
    </row>
    <row r="2585" spans="1:27" s="530" customFormat="1" hidden="1" x14ac:dyDescent="0.2">
      <c r="A2585" s="526"/>
      <c r="B2585" s="527"/>
      <c r="C2585" s="465"/>
      <c r="D2585" s="464"/>
      <c r="E2585" s="464"/>
      <c r="F2585" s="464"/>
      <c r="G2585" s="510"/>
      <c r="H2585" s="411"/>
      <c r="I2585" s="411"/>
      <c r="J2585" s="750" t="e">
        <f t="shared" si="25"/>
        <v>#DIV/0!</v>
      </c>
      <c r="K2585" s="412"/>
      <c r="L2585" s="412"/>
      <c r="M2585" s="682"/>
      <c r="N2585" s="171"/>
      <c r="O2585" s="171"/>
      <c r="P2585" s="169"/>
      <c r="Q2585" s="171"/>
      <c r="R2585" s="171"/>
      <c r="S2585" s="171"/>
      <c r="T2585" s="171"/>
      <c r="U2585" s="171"/>
      <c r="V2585" s="171"/>
      <c r="W2585" s="171"/>
      <c r="X2585" s="171"/>
      <c r="Y2585" s="171"/>
      <c r="Z2585" s="171"/>
      <c r="AA2585" s="171"/>
    </row>
    <row r="2586" spans="1:27" s="530" customFormat="1" hidden="1" x14ac:dyDescent="0.2">
      <c r="A2586" s="526"/>
      <c r="B2586" s="527"/>
      <c r="C2586" s="465"/>
      <c r="D2586" s="464"/>
      <c r="E2586" s="464"/>
      <c r="F2586" s="464"/>
      <c r="G2586" s="510"/>
      <c r="H2586" s="411"/>
      <c r="I2586" s="411"/>
      <c r="J2586" s="750" t="e">
        <f t="shared" si="25"/>
        <v>#DIV/0!</v>
      </c>
      <c r="K2586" s="412"/>
      <c r="L2586" s="412"/>
      <c r="M2586" s="682"/>
      <c r="N2586" s="171"/>
      <c r="O2586" s="171"/>
      <c r="P2586" s="169"/>
      <c r="Q2586" s="171"/>
      <c r="R2586" s="171"/>
      <c r="S2586" s="171"/>
      <c r="T2586" s="171"/>
      <c r="U2586" s="171"/>
      <c r="V2586" s="171"/>
      <c r="W2586" s="171"/>
      <c r="X2586" s="171"/>
      <c r="Y2586" s="171"/>
      <c r="Z2586" s="171"/>
      <c r="AA2586" s="171"/>
    </row>
    <row r="2587" spans="1:27" s="530" customFormat="1" hidden="1" x14ac:dyDescent="0.2">
      <c r="A2587" s="526"/>
      <c r="B2587" s="527"/>
      <c r="C2587" s="465"/>
      <c r="D2587" s="464"/>
      <c r="E2587" s="464"/>
      <c r="F2587" s="464"/>
      <c r="G2587" s="510"/>
      <c r="H2587" s="411"/>
      <c r="I2587" s="411"/>
      <c r="J2587" s="750" t="e">
        <f t="shared" si="25"/>
        <v>#DIV/0!</v>
      </c>
      <c r="K2587" s="412"/>
      <c r="L2587" s="412"/>
      <c r="M2587" s="682"/>
      <c r="N2587" s="171"/>
      <c r="O2587" s="171"/>
      <c r="P2587" s="169"/>
      <c r="Q2587" s="171"/>
      <c r="R2587" s="171"/>
      <c r="S2587" s="171"/>
      <c r="T2587" s="171"/>
      <c r="U2587" s="171"/>
      <c r="V2587" s="171"/>
      <c r="W2587" s="171"/>
      <c r="X2587" s="171"/>
      <c r="Y2587" s="171"/>
      <c r="Z2587" s="171"/>
      <c r="AA2587" s="171"/>
    </row>
    <row r="2588" spans="1:27" s="530" customFormat="1" hidden="1" x14ac:dyDescent="0.2">
      <c r="A2588" s="526"/>
      <c r="B2588" s="527"/>
      <c r="C2588" s="465"/>
      <c r="D2588" s="464"/>
      <c r="E2588" s="464"/>
      <c r="F2588" s="464"/>
      <c r="G2588" s="510"/>
      <c r="H2588" s="411"/>
      <c r="I2588" s="411"/>
      <c r="J2588" s="750" t="e">
        <f t="shared" si="25"/>
        <v>#DIV/0!</v>
      </c>
      <c r="K2588" s="412"/>
      <c r="L2588" s="412"/>
      <c r="M2588" s="682"/>
      <c r="N2588" s="171"/>
      <c r="O2588" s="171"/>
      <c r="P2588" s="169"/>
      <c r="Q2588" s="171"/>
      <c r="R2588" s="171"/>
      <c r="S2588" s="171"/>
      <c r="T2588" s="171"/>
      <c r="U2588" s="171"/>
      <c r="V2588" s="171"/>
      <c r="W2588" s="171"/>
      <c r="X2588" s="171"/>
      <c r="Y2588" s="171"/>
      <c r="Z2588" s="171"/>
      <c r="AA2588" s="171"/>
    </row>
    <row r="2589" spans="1:27" s="530" customFormat="1" hidden="1" x14ac:dyDescent="0.2">
      <c r="A2589" s="526"/>
      <c r="B2589" s="527"/>
      <c r="C2589" s="465"/>
      <c r="D2589" s="464"/>
      <c r="E2589" s="464"/>
      <c r="F2589" s="464"/>
      <c r="G2589" s="510"/>
      <c r="H2589" s="411"/>
      <c r="I2589" s="411"/>
      <c r="J2589" s="750" t="e">
        <f t="shared" si="25"/>
        <v>#DIV/0!</v>
      </c>
      <c r="K2589" s="412"/>
      <c r="L2589" s="412"/>
      <c r="M2589" s="682"/>
      <c r="N2589" s="171"/>
      <c r="O2589" s="171"/>
      <c r="P2589" s="169"/>
      <c r="Q2589" s="171"/>
      <c r="R2589" s="171"/>
      <c r="S2589" s="171"/>
      <c r="T2589" s="171"/>
      <c r="U2589" s="171"/>
      <c r="V2589" s="171"/>
      <c r="W2589" s="171"/>
      <c r="X2589" s="171"/>
      <c r="Y2589" s="171"/>
      <c r="Z2589" s="171"/>
      <c r="AA2589" s="171"/>
    </row>
    <row r="2590" spans="1:27" s="530" customFormat="1" hidden="1" x14ac:dyDescent="0.2">
      <c r="A2590" s="526"/>
      <c r="B2590" s="527"/>
      <c r="C2590" s="465"/>
      <c r="D2590" s="464"/>
      <c r="E2590" s="464"/>
      <c r="F2590" s="464"/>
      <c r="G2590" s="510"/>
      <c r="H2590" s="411"/>
      <c r="I2590" s="411"/>
      <c r="J2590" s="750" t="e">
        <f t="shared" si="25"/>
        <v>#DIV/0!</v>
      </c>
      <c r="K2590" s="412"/>
      <c r="L2590" s="412"/>
      <c r="M2590" s="682"/>
      <c r="N2590" s="171"/>
      <c r="O2590" s="171"/>
      <c r="P2590" s="169"/>
      <c r="Q2590" s="171"/>
      <c r="R2590" s="171"/>
      <c r="S2590" s="171"/>
      <c r="T2590" s="171"/>
      <c r="U2590" s="171"/>
      <c r="V2590" s="171"/>
      <c r="W2590" s="171"/>
      <c r="X2590" s="171"/>
      <c r="Y2590" s="171"/>
      <c r="Z2590" s="171"/>
      <c r="AA2590" s="171"/>
    </row>
    <row r="2591" spans="1:27" s="530" customFormat="1" hidden="1" x14ac:dyDescent="0.2">
      <c r="A2591" s="526"/>
      <c r="B2591" s="527"/>
      <c r="C2591" s="465"/>
      <c r="D2591" s="464"/>
      <c r="E2591" s="464"/>
      <c r="F2591" s="464"/>
      <c r="G2591" s="510"/>
      <c r="H2591" s="411"/>
      <c r="I2591" s="411"/>
      <c r="J2591" s="750" t="e">
        <f t="shared" si="25"/>
        <v>#DIV/0!</v>
      </c>
      <c r="K2591" s="412"/>
      <c r="L2591" s="412"/>
      <c r="M2591" s="682"/>
      <c r="N2591" s="171"/>
      <c r="O2591" s="171"/>
      <c r="P2591" s="169"/>
      <c r="Q2591" s="171"/>
      <c r="R2591" s="171"/>
      <c r="S2591" s="171"/>
      <c r="T2591" s="171"/>
      <c r="U2591" s="171"/>
      <c r="V2591" s="171"/>
      <c r="W2591" s="171"/>
      <c r="X2591" s="171"/>
      <c r="Y2591" s="171"/>
      <c r="Z2591" s="171"/>
      <c r="AA2591" s="171"/>
    </row>
    <row r="2592" spans="1:27" s="530" customFormat="1" hidden="1" x14ac:dyDescent="0.2">
      <c r="A2592" s="526"/>
      <c r="B2592" s="527"/>
      <c r="C2592" s="465"/>
      <c r="D2592" s="464"/>
      <c r="E2592" s="464"/>
      <c r="F2592" s="464"/>
      <c r="G2592" s="510"/>
      <c r="H2592" s="411"/>
      <c r="I2592" s="411"/>
      <c r="J2592" s="750" t="e">
        <f t="shared" si="25"/>
        <v>#DIV/0!</v>
      </c>
      <c r="K2592" s="412"/>
      <c r="L2592" s="412"/>
      <c r="M2592" s="682"/>
      <c r="N2592" s="171"/>
      <c r="O2592" s="171"/>
      <c r="P2592" s="169"/>
      <c r="Q2592" s="171"/>
      <c r="R2592" s="171"/>
      <c r="S2592" s="171"/>
      <c r="T2592" s="171"/>
      <c r="U2592" s="171"/>
      <c r="V2592" s="171"/>
      <c r="W2592" s="171"/>
      <c r="X2592" s="171"/>
      <c r="Y2592" s="171"/>
      <c r="Z2592" s="171"/>
      <c r="AA2592" s="171"/>
    </row>
    <row r="2593" spans="1:27" s="530" customFormat="1" hidden="1" x14ac:dyDescent="0.2">
      <c r="A2593" s="526"/>
      <c r="B2593" s="527"/>
      <c r="C2593" s="465"/>
      <c r="D2593" s="464"/>
      <c r="E2593" s="464"/>
      <c r="F2593" s="464"/>
      <c r="G2593" s="510"/>
      <c r="H2593" s="411"/>
      <c r="I2593" s="411"/>
      <c r="J2593" s="750" t="e">
        <f t="shared" si="25"/>
        <v>#DIV/0!</v>
      </c>
      <c r="K2593" s="412"/>
      <c r="L2593" s="412"/>
      <c r="M2593" s="682"/>
      <c r="N2593" s="171"/>
      <c r="O2593" s="171"/>
      <c r="P2593" s="169"/>
      <c r="Q2593" s="171"/>
      <c r="R2593" s="171"/>
      <c r="S2593" s="171"/>
      <c r="T2593" s="171"/>
      <c r="U2593" s="171"/>
      <c r="V2593" s="171"/>
      <c r="W2593" s="171"/>
      <c r="X2593" s="171"/>
      <c r="Y2593" s="171"/>
      <c r="Z2593" s="171"/>
      <c r="AA2593" s="171"/>
    </row>
    <row r="2594" spans="1:27" s="530" customFormat="1" hidden="1" x14ac:dyDescent="0.2">
      <c r="A2594" s="526"/>
      <c r="B2594" s="527"/>
      <c r="C2594" s="465"/>
      <c r="D2594" s="464"/>
      <c r="E2594" s="464"/>
      <c r="F2594" s="464"/>
      <c r="G2594" s="510"/>
      <c r="H2594" s="411"/>
      <c r="I2594" s="411"/>
      <c r="J2594" s="750" t="e">
        <f t="shared" si="25"/>
        <v>#DIV/0!</v>
      </c>
      <c r="K2594" s="412"/>
      <c r="L2594" s="412"/>
      <c r="M2594" s="682"/>
      <c r="N2594" s="171"/>
      <c r="O2594" s="171"/>
      <c r="P2594" s="169"/>
      <c r="Q2594" s="171"/>
      <c r="R2594" s="171"/>
      <c r="S2594" s="171"/>
      <c r="T2594" s="171"/>
      <c r="U2594" s="171"/>
      <c r="V2594" s="171"/>
      <c r="W2594" s="171"/>
      <c r="X2594" s="171"/>
      <c r="Y2594" s="171"/>
      <c r="Z2594" s="171"/>
      <c r="AA2594" s="171"/>
    </row>
    <row r="2595" spans="1:27" s="530" customFormat="1" hidden="1" x14ac:dyDescent="0.2">
      <c r="A2595" s="526"/>
      <c r="B2595" s="527"/>
      <c r="C2595" s="465"/>
      <c r="D2595" s="464"/>
      <c r="E2595" s="464"/>
      <c r="F2595" s="464"/>
      <c r="G2595" s="510"/>
      <c r="H2595" s="411"/>
      <c r="I2595" s="411"/>
      <c r="J2595" s="750" t="e">
        <f t="shared" si="25"/>
        <v>#DIV/0!</v>
      </c>
      <c r="K2595" s="412"/>
      <c r="L2595" s="412"/>
      <c r="M2595" s="682"/>
      <c r="N2595" s="171"/>
      <c r="O2595" s="171"/>
      <c r="P2595" s="169"/>
      <c r="Q2595" s="171"/>
      <c r="R2595" s="171"/>
      <c r="S2595" s="171"/>
      <c r="T2595" s="171"/>
      <c r="U2595" s="171"/>
      <c r="V2595" s="171"/>
      <c r="W2595" s="171"/>
      <c r="X2595" s="171"/>
      <c r="Y2595" s="171"/>
      <c r="Z2595" s="171"/>
      <c r="AA2595" s="171"/>
    </row>
    <row r="2596" spans="1:27" s="530" customFormat="1" hidden="1" x14ac:dyDescent="0.2">
      <c r="A2596" s="526"/>
      <c r="B2596" s="527"/>
      <c r="C2596" s="465"/>
      <c r="D2596" s="464"/>
      <c r="E2596" s="464"/>
      <c r="F2596" s="464"/>
      <c r="G2596" s="510"/>
      <c r="H2596" s="411"/>
      <c r="I2596" s="411"/>
      <c r="J2596" s="750" t="e">
        <f t="shared" si="25"/>
        <v>#DIV/0!</v>
      </c>
      <c r="K2596" s="412"/>
      <c r="L2596" s="412"/>
      <c r="M2596" s="682"/>
      <c r="N2596" s="171"/>
      <c r="O2596" s="171"/>
      <c r="P2596" s="169"/>
      <c r="Q2596" s="171"/>
      <c r="R2596" s="171"/>
      <c r="S2596" s="171"/>
      <c r="T2596" s="171"/>
      <c r="U2596" s="171"/>
      <c r="V2596" s="171"/>
      <c r="W2596" s="171"/>
      <c r="X2596" s="171"/>
      <c r="Y2596" s="171"/>
      <c r="Z2596" s="171"/>
      <c r="AA2596" s="171"/>
    </row>
    <row r="2597" spans="1:27" s="530" customFormat="1" hidden="1" x14ac:dyDescent="0.2">
      <c r="A2597" s="526"/>
      <c r="B2597" s="527"/>
      <c r="C2597" s="465"/>
      <c r="D2597" s="464"/>
      <c r="E2597" s="464"/>
      <c r="F2597" s="464"/>
      <c r="G2597" s="510"/>
      <c r="H2597" s="411"/>
      <c r="I2597" s="411"/>
      <c r="J2597" s="750" t="e">
        <f t="shared" si="25"/>
        <v>#DIV/0!</v>
      </c>
      <c r="K2597" s="412"/>
      <c r="L2597" s="412"/>
      <c r="M2597" s="682"/>
      <c r="N2597" s="171"/>
      <c r="O2597" s="171"/>
      <c r="P2597" s="169"/>
      <c r="Q2597" s="171"/>
      <c r="R2597" s="171"/>
      <c r="S2597" s="171"/>
      <c r="T2597" s="171"/>
      <c r="U2597" s="171"/>
      <c r="V2597" s="171"/>
      <c r="W2597" s="171"/>
      <c r="X2597" s="171"/>
      <c r="Y2597" s="171"/>
      <c r="Z2597" s="171"/>
      <c r="AA2597" s="171"/>
    </row>
    <row r="2598" spans="1:27" s="530" customFormat="1" hidden="1" x14ac:dyDescent="0.2">
      <c r="A2598" s="526"/>
      <c r="B2598" s="527"/>
      <c r="C2598" s="465"/>
      <c r="D2598" s="464"/>
      <c r="E2598" s="464"/>
      <c r="F2598" s="464"/>
      <c r="G2598" s="510"/>
      <c r="H2598" s="411"/>
      <c r="I2598" s="411"/>
      <c r="J2598" s="750" t="e">
        <f t="shared" si="25"/>
        <v>#DIV/0!</v>
      </c>
      <c r="K2598" s="412"/>
      <c r="L2598" s="412"/>
      <c r="M2598" s="682"/>
      <c r="N2598" s="171"/>
      <c r="O2598" s="171"/>
      <c r="P2598" s="169"/>
      <c r="Q2598" s="171"/>
      <c r="R2598" s="171"/>
      <c r="S2598" s="171"/>
      <c r="T2598" s="171"/>
      <c r="U2598" s="171"/>
      <c r="V2598" s="171"/>
      <c r="W2598" s="171"/>
      <c r="X2598" s="171"/>
      <c r="Y2598" s="171"/>
      <c r="Z2598" s="171"/>
      <c r="AA2598" s="171"/>
    </row>
    <row r="2599" spans="1:27" s="530" customFormat="1" hidden="1" x14ac:dyDescent="0.2">
      <c r="A2599" s="526"/>
      <c r="B2599" s="527"/>
      <c r="C2599" s="465"/>
      <c r="D2599" s="464"/>
      <c r="E2599" s="464"/>
      <c r="F2599" s="464"/>
      <c r="G2599" s="510"/>
      <c r="H2599" s="411"/>
      <c r="I2599" s="411"/>
      <c r="J2599" s="750" t="e">
        <f t="shared" si="25"/>
        <v>#DIV/0!</v>
      </c>
      <c r="K2599" s="412"/>
      <c r="L2599" s="412"/>
      <c r="M2599" s="682"/>
      <c r="N2599" s="171"/>
      <c r="O2599" s="171"/>
      <c r="P2599" s="169"/>
      <c r="Q2599" s="171"/>
      <c r="R2599" s="171"/>
      <c r="S2599" s="171"/>
      <c r="T2599" s="171"/>
      <c r="U2599" s="171"/>
      <c r="V2599" s="171"/>
      <c r="W2599" s="171"/>
      <c r="X2599" s="171"/>
      <c r="Y2599" s="171"/>
      <c r="Z2599" s="171"/>
      <c r="AA2599" s="171"/>
    </row>
    <row r="2600" spans="1:27" s="530" customFormat="1" hidden="1" x14ac:dyDescent="0.2">
      <c r="A2600" s="526"/>
      <c r="B2600" s="527"/>
      <c r="C2600" s="465"/>
      <c r="D2600" s="464"/>
      <c r="E2600" s="464"/>
      <c r="F2600" s="464"/>
      <c r="G2600" s="510"/>
      <c r="H2600" s="411"/>
      <c r="I2600" s="411"/>
      <c r="J2600" s="750" t="e">
        <f t="shared" si="25"/>
        <v>#DIV/0!</v>
      </c>
      <c r="K2600" s="412"/>
      <c r="L2600" s="412"/>
      <c r="M2600" s="682"/>
      <c r="N2600" s="171"/>
      <c r="O2600" s="171"/>
      <c r="P2600" s="169"/>
      <c r="Q2600" s="171"/>
      <c r="R2600" s="171"/>
      <c r="S2600" s="171"/>
      <c r="T2600" s="171"/>
      <c r="U2600" s="171"/>
      <c r="V2600" s="171"/>
      <c r="W2600" s="171"/>
      <c r="X2600" s="171"/>
      <c r="Y2600" s="171"/>
      <c r="Z2600" s="171"/>
      <c r="AA2600" s="171"/>
    </row>
    <row r="2601" spans="1:27" s="530" customFormat="1" hidden="1" x14ac:dyDescent="0.2">
      <c r="A2601" s="526"/>
      <c r="B2601" s="527"/>
      <c r="C2601" s="465"/>
      <c r="D2601" s="464"/>
      <c r="E2601" s="464"/>
      <c r="F2601" s="464"/>
      <c r="G2601" s="510"/>
      <c r="H2601" s="411"/>
      <c r="I2601" s="411"/>
      <c r="J2601" s="750" t="e">
        <f t="shared" si="25"/>
        <v>#DIV/0!</v>
      </c>
      <c r="K2601" s="412"/>
      <c r="L2601" s="412"/>
      <c r="M2601" s="682"/>
      <c r="N2601" s="171"/>
      <c r="O2601" s="171"/>
      <c r="P2601" s="169"/>
      <c r="Q2601" s="171"/>
      <c r="R2601" s="171"/>
      <c r="S2601" s="171"/>
      <c r="T2601" s="171"/>
      <c r="U2601" s="171"/>
      <c r="V2601" s="171"/>
      <c r="W2601" s="171"/>
      <c r="X2601" s="171"/>
      <c r="Y2601" s="171"/>
      <c r="Z2601" s="171"/>
      <c r="AA2601" s="171"/>
    </row>
    <row r="2602" spans="1:27" s="530" customFormat="1" hidden="1" x14ac:dyDescent="0.2">
      <c r="A2602" s="526"/>
      <c r="B2602" s="527"/>
      <c r="C2602" s="465"/>
      <c r="D2602" s="464"/>
      <c r="E2602" s="464"/>
      <c r="F2602" s="464"/>
      <c r="G2602" s="510"/>
      <c r="H2602" s="411"/>
      <c r="I2602" s="411"/>
      <c r="J2602" s="750" t="e">
        <f t="shared" si="25"/>
        <v>#DIV/0!</v>
      </c>
      <c r="K2602" s="412"/>
      <c r="L2602" s="412"/>
      <c r="M2602" s="682"/>
      <c r="N2602" s="171"/>
      <c r="O2602" s="171"/>
      <c r="P2602" s="169"/>
      <c r="Q2602" s="171"/>
      <c r="R2602" s="171"/>
      <c r="S2602" s="171"/>
      <c r="T2602" s="171"/>
      <c r="U2602" s="171"/>
      <c r="V2602" s="171"/>
      <c r="W2602" s="171"/>
      <c r="X2602" s="171"/>
      <c r="Y2602" s="171"/>
      <c r="Z2602" s="171"/>
      <c r="AA2602" s="171"/>
    </row>
    <row r="2603" spans="1:27" s="530" customFormat="1" hidden="1" x14ac:dyDescent="0.2">
      <c r="A2603" s="526"/>
      <c r="B2603" s="527"/>
      <c r="C2603" s="465"/>
      <c r="D2603" s="464"/>
      <c r="E2603" s="464"/>
      <c r="F2603" s="464"/>
      <c r="G2603" s="510"/>
      <c r="H2603" s="411"/>
      <c r="I2603" s="411"/>
      <c r="J2603" s="750" t="e">
        <f t="shared" si="25"/>
        <v>#DIV/0!</v>
      </c>
      <c r="K2603" s="412"/>
      <c r="L2603" s="412"/>
      <c r="M2603" s="682"/>
      <c r="N2603" s="171"/>
      <c r="O2603" s="171"/>
      <c r="P2603" s="169"/>
      <c r="Q2603" s="171"/>
      <c r="R2603" s="171"/>
      <c r="S2603" s="171"/>
      <c r="T2603" s="171"/>
      <c r="U2603" s="171"/>
      <c r="V2603" s="171"/>
      <c r="W2603" s="171"/>
      <c r="X2603" s="171"/>
      <c r="Y2603" s="171"/>
      <c r="Z2603" s="171"/>
      <c r="AA2603" s="171"/>
    </row>
    <row r="2604" spans="1:27" s="530" customFormat="1" hidden="1" x14ac:dyDescent="0.2">
      <c r="A2604" s="526"/>
      <c r="B2604" s="527"/>
      <c r="C2604" s="465"/>
      <c r="D2604" s="464"/>
      <c r="E2604" s="464"/>
      <c r="F2604" s="464"/>
      <c r="G2604" s="510"/>
      <c r="H2604" s="411"/>
      <c r="I2604" s="411"/>
      <c r="J2604" s="750" t="e">
        <f t="shared" si="25"/>
        <v>#DIV/0!</v>
      </c>
      <c r="K2604" s="412"/>
      <c r="L2604" s="412"/>
      <c r="M2604" s="682"/>
      <c r="N2604" s="171"/>
      <c r="O2604" s="171"/>
      <c r="P2604" s="169"/>
      <c r="Q2604" s="171"/>
      <c r="R2604" s="171"/>
      <c r="S2604" s="171"/>
      <c r="T2604" s="171"/>
      <c r="U2604" s="171"/>
      <c r="V2604" s="171"/>
      <c r="W2604" s="171"/>
      <c r="X2604" s="171"/>
      <c r="Y2604" s="171"/>
      <c r="Z2604" s="171"/>
      <c r="AA2604" s="171"/>
    </row>
    <row r="2605" spans="1:27" s="530" customFormat="1" hidden="1" x14ac:dyDescent="0.2">
      <c r="A2605" s="526"/>
      <c r="B2605" s="527"/>
      <c r="C2605" s="465"/>
      <c r="D2605" s="464"/>
      <c r="E2605" s="464"/>
      <c r="F2605" s="464"/>
      <c r="G2605" s="510"/>
      <c r="H2605" s="411"/>
      <c r="I2605" s="411"/>
      <c r="J2605" s="750" t="e">
        <f t="shared" si="25"/>
        <v>#DIV/0!</v>
      </c>
      <c r="K2605" s="412"/>
      <c r="L2605" s="412"/>
      <c r="M2605" s="682"/>
      <c r="N2605" s="171"/>
      <c r="O2605" s="171"/>
      <c r="P2605" s="169"/>
      <c r="Q2605" s="171"/>
      <c r="R2605" s="171"/>
      <c r="S2605" s="171"/>
      <c r="T2605" s="171"/>
      <c r="U2605" s="171"/>
      <c r="V2605" s="171"/>
      <c r="W2605" s="171"/>
      <c r="X2605" s="171"/>
      <c r="Y2605" s="171"/>
      <c r="Z2605" s="171"/>
      <c r="AA2605" s="171"/>
    </row>
    <row r="2606" spans="1:27" s="530" customFormat="1" hidden="1" x14ac:dyDescent="0.2">
      <c r="A2606" s="526"/>
      <c r="B2606" s="527"/>
      <c r="C2606" s="465"/>
      <c r="D2606" s="464"/>
      <c r="E2606" s="464"/>
      <c r="F2606" s="464"/>
      <c r="G2606" s="510"/>
      <c r="H2606" s="411"/>
      <c r="I2606" s="411"/>
      <c r="J2606" s="750" t="e">
        <f t="shared" si="25"/>
        <v>#DIV/0!</v>
      </c>
      <c r="K2606" s="412"/>
      <c r="L2606" s="412"/>
      <c r="M2606" s="682"/>
      <c r="N2606" s="171"/>
      <c r="O2606" s="171"/>
      <c r="P2606" s="169"/>
      <c r="Q2606" s="171"/>
      <c r="R2606" s="171"/>
      <c r="S2606" s="171"/>
      <c r="T2606" s="171"/>
      <c r="U2606" s="171"/>
      <c r="V2606" s="171"/>
      <c r="W2606" s="171"/>
      <c r="X2606" s="171"/>
      <c r="Y2606" s="171"/>
      <c r="Z2606" s="171"/>
      <c r="AA2606" s="171"/>
    </row>
    <row r="2607" spans="1:27" s="530" customFormat="1" hidden="1" x14ac:dyDescent="0.2">
      <c r="A2607" s="526"/>
      <c r="B2607" s="527"/>
      <c r="C2607" s="465"/>
      <c r="D2607" s="464"/>
      <c r="E2607" s="464"/>
      <c r="F2607" s="464"/>
      <c r="G2607" s="510"/>
      <c r="H2607" s="411"/>
      <c r="I2607" s="411"/>
      <c r="J2607" s="750" t="e">
        <f t="shared" si="25"/>
        <v>#DIV/0!</v>
      </c>
      <c r="K2607" s="412"/>
      <c r="L2607" s="412"/>
      <c r="M2607" s="682"/>
      <c r="N2607" s="171"/>
      <c r="O2607" s="171"/>
      <c r="P2607" s="169"/>
      <c r="Q2607" s="171"/>
      <c r="R2607" s="171"/>
      <c r="S2607" s="171"/>
      <c r="T2607" s="171"/>
      <c r="U2607" s="171"/>
      <c r="V2607" s="171"/>
      <c r="W2607" s="171"/>
      <c r="X2607" s="171"/>
      <c r="Y2607" s="171"/>
      <c r="Z2607" s="171"/>
      <c r="AA2607" s="171"/>
    </row>
    <row r="2608" spans="1:27" s="530" customFormat="1" hidden="1" x14ac:dyDescent="0.2">
      <c r="A2608" s="526"/>
      <c r="B2608" s="527"/>
      <c r="C2608" s="465"/>
      <c r="D2608" s="464"/>
      <c r="E2608" s="464"/>
      <c r="F2608" s="464"/>
      <c r="G2608" s="510"/>
      <c r="H2608" s="411"/>
      <c r="I2608" s="411"/>
      <c r="J2608" s="750" t="e">
        <f t="shared" si="25"/>
        <v>#DIV/0!</v>
      </c>
      <c r="K2608" s="412"/>
      <c r="L2608" s="412"/>
      <c r="M2608" s="682"/>
      <c r="N2608" s="171"/>
      <c r="O2608" s="171"/>
      <c r="P2608" s="169"/>
      <c r="Q2608" s="171"/>
      <c r="R2608" s="171"/>
      <c r="S2608" s="171"/>
      <c r="T2608" s="171"/>
      <c r="U2608" s="171"/>
      <c r="V2608" s="171"/>
      <c r="W2608" s="171"/>
      <c r="X2608" s="171"/>
      <c r="Y2608" s="171"/>
      <c r="Z2608" s="171"/>
      <c r="AA2608" s="171"/>
    </row>
    <row r="2609" spans="1:27" s="530" customFormat="1" hidden="1" x14ac:dyDescent="0.2">
      <c r="A2609" s="526"/>
      <c r="B2609" s="527"/>
      <c r="C2609" s="465"/>
      <c r="D2609" s="464"/>
      <c r="E2609" s="464"/>
      <c r="F2609" s="464"/>
      <c r="G2609" s="510"/>
      <c r="H2609" s="411"/>
      <c r="I2609" s="411"/>
      <c r="J2609" s="750" t="e">
        <f t="shared" si="25"/>
        <v>#DIV/0!</v>
      </c>
      <c r="K2609" s="412"/>
      <c r="L2609" s="412"/>
      <c r="M2609" s="682"/>
      <c r="N2609" s="171"/>
      <c r="O2609" s="171"/>
      <c r="P2609" s="169"/>
      <c r="Q2609" s="171"/>
      <c r="R2609" s="171"/>
      <c r="S2609" s="171"/>
      <c r="T2609" s="171"/>
      <c r="U2609" s="171"/>
      <c r="V2609" s="171"/>
      <c r="W2609" s="171"/>
      <c r="X2609" s="171"/>
      <c r="Y2609" s="171"/>
      <c r="Z2609" s="171"/>
      <c r="AA2609" s="171"/>
    </row>
    <row r="2610" spans="1:27" s="530" customFormat="1" hidden="1" x14ac:dyDescent="0.2">
      <c r="A2610" s="526"/>
      <c r="B2610" s="527"/>
      <c r="C2610" s="465"/>
      <c r="D2610" s="464"/>
      <c r="E2610" s="464"/>
      <c r="F2610" s="464"/>
      <c r="G2610" s="510"/>
      <c r="H2610" s="411"/>
      <c r="I2610" s="411"/>
      <c r="J2610" s="750" t="e">
        <f t="shared" si="25"/>
        <v>#DIV/0!</v>
      </c>
      <c r="K2610" s="412"/>
      <c r="L2610" s="412"/>
      <c r="M2610" s="682"/>
      <c r="N2610" s="171"/>
      <c r="O2610" s="171"/>
      <c r="P2610" s="169"/>
      <c r="Q2610" s="171"/>
      <c r="R2610" s="171"/>
      <c r="S2610" s="171"/>
      <c r="T2610" s="171"/>
      <c r="U2610" s="171"/>
      <c r="V2610" s="171"/>
      <c r="W2610" s="171"/>
      <c r="X2610" s="171"/>
      <c r="Y2610" s="171"/>
      <c r="Z2610" s="171"/>
      <c r="AA2610" s="171"/>
    </row>
    <row r="2611" spans="1:27" s="530" customFormat="1" hidden="1" x14ac:dyDescent="0.2">
      <c r="A2611" s="526"/>
      <c r="B2611" s="527"/>
      <c r="C2611" s="465"/>
      <c r="D2611" s="464"/>
      <c r="E2611" s="464"/>
      <c r="F2611" s="464"/>
      <c r="G2611" s="510"/>
      <c r="H2611" s="411"/>
      <c r="I2611" s="411"/>
      <c r="J2611" s="750" t="e">
        <f t="shared" si="25"/>
        <v>#DIV/0!</v>
      </c>
      <c r="K2611" s="412"/>
      <c r="L2611" s="412"/>
      <c r="M2611" s="682"/>
      <c r="N2611" s="171"/>
      <c r="O2611" s="171"/>
      <c r="P2611" s="169"/>
      <c r="Q2611" s="171"/>
      <c r="R2611" s="171"/>
      <c r="S2611" s="171"/>
      <c r="T2611" s="171"/>
      <c r="U2611" s="171"/>
      <c r="V2611" s="171"/>
      <c r="W2611" s="171"/>
      <c r="X2611" s="171"/>
      <c r="Y2611" s="171"/>
      <c r="Z2611" s="171"/>
      <c r="AA2611" s="171"/>
    </row>
    <row r="2612" spans="1:27" s="530" customFormat="1" hidden="1" x14ac:dyDescent="0.2">
      <c r="A2612" s="526"/>
      <c r="B2612" s="527"/>
      <c r="C2612" s="465"/>
      <c r="D2612" s="464"/>
      <c r="E2612" s="464"/>
      <c r="F2612" s="464"/>
      <c r="G2612" s="510"/>
      <c r="H2612" s="411"/>
      <c r="I2612" s="411"/>
      <c r="J2612" s="750" t="e">
        <f t="shared" si="25"/>
        <v>#DIV/0!</v>
      </c>
      <c r="K2612" s="412"/>
      <c r="L2612" s="412"/>
      <c r="M2612" s="682"/>
      <c r="N2612" s="171"/>
      <c r="O2612" s="171"/>
      <c r="P2612" s="169"/>
      <c r="Q2612" s="171"/>
      <c r="R2612" s="171"/>
      <c r="S2612" s="171"/>
      <c r="T2612" s="171"/>
      <c r="U2612" s="171"/>
      <c r="V2612" s="171"/>
      <c r="W2612" s="171"/>
      <c r="X2612" s="171"/>
      <c r="Y2612" s="171"/>
      <c r="Z2612" s="171"/>
      <c r="AA2612" s="171"/>
    </row>
    <row r="2613" spans="1:27" s="530" customFormat="1" hidden="1" x14ac:dyDescent="0.2">
      <c r="A2613" s="526"/>
      <c r="B2613" s="527"/>
      <c r="C2613" s="465"/>
      <c r="D2613" s="464"/>
      <c r="E2613" s="464"/>
      <c r="F2613" s="464"/>
      <c r="G2613" s="510"/>
      <c r="H2613" s="411"/>
      <c r="I2613" s="411"/>
      <c r="J2613" s="750" t="e">
        <f t="shared" si="25"/>
        <v>#DIV/0!</v>
      </c>
      <c r="K2613" s="412"/>
      <c r="L2613" s="412"/>
      <c r="M2613" s="682"/>
      <c r="N2613" s="171"/>
      <c r="O2613" s="171"/>
      <c r="P2613" s="169"/>
      <c r="Q2613" s="171"/>
      <c r="R2613" s="171"/>
      <c r="S2613" s="171"/>
      <c r="T2613" s="171"/>
      <c r="U2613" s="171"/>
      <c r="V2613" s="171"/>
      <c r="W2613" s="171"/>
      <c r="X2613" s="171"/>
      <c r="Y2613" s="171"/>
      <c r="Z2613" s="171"/>
      <c r="AA2613" s="171"/>
    </row>
    <row r="2614" spans="1:27" s="530" customFormat="1" hidden="1" x14ac:dyDescent="0.2">
      <c r="A2614" s="526"/>
      <c r="B2614" s="527"/>
      <c r="C2614" s="465"/>
      <c r="D2614" s="464"/>
      <c r="E2614" s="464"/>
      <c r="F2614" s="464"/>
      <c r="G2614" s="510"/>
      <c r="H2614" s="411"/>
      <c r="I2614" s="411"/>
      <c r="J2614" s="750" t="e">
        <f t="shared" si="25"/>
        <v>#DIV/0!</v>
      </c>
      <c r="K2614" s="412"/>
      <c r="L2614" s="412"/>
      <c r="M2614" s="682"/>
      <c r="N2614" s="171"/>
      <c r="O2614" s="171"/>
      <c r="P2614" s="169"/>
      <c r="Q2614" s="171"/>
      <c r="R2614" s="171"/>
      <c r="S2614" s="171"/>
      <c r="T2614" s="171"/>
      <c r="U2614" s="171"/>
      <c r="V2614" s="171"/>
      <c r="W2614" s="171"/>
      <c r="X2614" s="171"/>
      <c r="Y2614" s="171"/>
      <c r="Z2614" s="171"/>
      <c r="AA2614" s="171"/>
    </row>
    <row r="2615" spans="1:27" s="530" customFormat="1" hidden="1" x14ac:dyDescent="0.2">
      <c r="A2615" s="526"/>
      <c r="B2615" s="527"/>
      <c r="C2615" s="465"/>
      <c r="D2615" s="464"/>
      <c r="E2615" s="464"/>
      <c r="F2615" s="464"/>
      <c r="G2615" s="510"/>
      <c r="H2615" s="411"/>
      <c r="I2615" s="411"/>
      <c r="J2615" s="750" t="e">
        <f t="shared" si="25"/>
        <v>#DIV/0!</v>
      </c>
      <c r="K2615" s="412"/>
      <c r="L2615" s="412"/>
      <c r="M2615" s="682"/>
      <c r="N2615" s="171"/>
      <c r="O2615" s="171"/>
      <c r="P2615" s="169"/>
      <c r="Q2615" s="171"/>
      <c r="R2615" s="171"/>
      <c r="S2615" s="171"/>
      <c r="T2615" s="171"/>
      <c r="U2615" s="171"/>
      <c r="V2615" s="171"/>
      <c r="W2615" s="171"/>
      <c r="X2615" s="171"/>
      <c r="Y2615" s="171"/>
      <c r="Z2615" s="171"/>
      <c r="AA2615" s="171"/>
    </row>
    <row r="2616" spans="1:27" s="530" customFormat="1" hidden="1" x14ac:dyDescent="0.2">
      <c r="A2616" s="526"/>
      <c r="B2616" s="527"/>
      <c r="C2616" s="465"/>
      <c r="D2616" s="464"/>
      <c r="E2616" s="464"/>
      <c r="F2616" s="464"/>
      <c r="G2616" s="510"/>
      <c r="H2616" s="411"/>
      <c r="I2616" s="411"/>
      <c r="J2616" s="750" t="e">
        <f t="shared" si="25"/>
        <v>#DIV/0!</v>
      </c>
      <c r="K2616" s="412"/>
      <c r="L2616" s="412"/>
      <c r="M2616" s="682"/>
      <c r="N2616" s="171"/>
      <c r="O2616" s="171"/>
      <c r="P2616" s="169"/>
      <c r="Q2616" s="171"/>
      <c r="R2616" s="171"/>
      <c r="S2616" s="171"/>
      <c r="T2616" s="171"/>
      <c r="U2616" s="171"/>
      <c r="V2616" s="171"/>
      <c r="W2616" s="171"/>
      <c r="X2616" s="171"/>
      <c r="Y2616" s="171"/>
      <c r="Z2616" s="171"/>
      <c r="AA2616" s="171"/>
    </row>
    <row r="2617" spans="1:27" s="530" customFormat="1" hidden="1" x14ac:dyDescent="0.2">
      <c r="A2617" s="526"/>
      <c r="B2617" s="527"/>
      <c r="C2617" s="465"/>
      <c r="D2617" s="464"/>
      <c r="E2617" s="464"/>
      <c r="F2617" s="464"/>
      <c r="G2617" s="510"/>
      <c r="H2617" s="411"/>
      <c r="I2617" s="411"/>
      <c r="J2617" s="750" t="e">
        <f t="shared" si="25"/>
        <v>#DIV/0!</v>
      </c>
      <c r="K2617" s="412"/>
      <c r="L2617" s="412"/>
      <c r="M2617" s="682"/>
      <c r="N2617" s="171"/>
      <c r="O2617" s="171"/>
      <c r="P2617" s="169"/>
      <c r="Q2617" s="171"/>
      <c r="R2617" s="171"/>
      <c r="S2617" s="171"/>
      <c r="T2617" s="171"/>
      <c r="U2617" s="171"/>
      <c r="V2617" s="171"/>
      <c r="W2617" s="171"/>
      <c r="X2617" s="171"/>
      <c r="Y2617" s="171"/>
      <c r="Z2617" s="171"/>
      <c r="AA2617" s="171"/>
    </row>
    <row r="2618" spans="1:27" s="530" customFormat="1" hidden="1" x14ac:dyDescent="0.2">
      <c r="A2618" s="526"/>
      <c r="B2618" s="527"/>
      <c r="C2618" s="465"/>
      <c r="D2618" s="464"/>
      <c r="E2618" s="464"/>
      <c r="F2618" s="464"/>
      <c r="G2618" s="510"/>
      <c r="H2618" s="411"/>
      <c r="I2618" s="411"/>
      <c r="J2618" s="750" t="e">
        <f t="shared" si="25"/>
        <v>#DIV/0!</v>
      </c>
      <c r="K2618" s="412"/>
      <c r="L2618" s="412"/>
      <c r="M2618" s="682"/>
      <c r="N2618" s="171"/>
      <c r="O2618" s="171"/>
      <c r="P2618" s="169"/>
      <c r="Q2618" s="171"/>
      <c r="R2618" s="171"/>
      <c r="S2618" s="171"/>
      <c r="T2618" s="171"/>
      <c r="U2618" s="171"/>
      <c r="V2618" s="171"/>
      <c r="W2618" s="171"/>
      <c r="X2618" s="171"/>
      <c r="Y2618" s="171"/>
      <c r="Z2618" s="171"/>
      <c r="AA2618" s="171"/>
    </row>
    <row r="2619" spans="1:27" s="530" customFormat="1" hidden="1" x14ac:dyDescent="0.2">
      <c r="A2619" s="526"/>
      <c r="B2619" s="527"/>
      <c r="C2619" s="465"/>
      <c r="D2619" s="464"/>
      <c r="E2619" s="464"/>
      <c r="F2619" s="464"/>
      <c r="G2619" s="510"/>
      <c r="H2619" s="411"/>
      <c r="I2619" s="411"/>
      <c r="J2619" s="750" t="e">
        <f t="shared" si="25"/>
        <v>#DIV/0!</v>
      </c>
      <c r="K2619" s="412"/>
      <c r="L2619" s="412"/>
      <c r="M2619" s="682"/>
      <c r="N2619" s="171"/>
      <c r="O2619" s="171"/>
      <c r="P2619" s="169"/>
      <c r="Q2619" s="171"/>
      <c r="R2619" s="171"/>
      <c r="S2619" s="171"/>
      <c r="T2619" s="171"/>
      <c r="U2619" s="171"/>
      <c r="V2619" s="171"/>
      <c r="W2619" s="171"/>
      <c r="X2619" s="171"/>
      <c r="Y2619" s="171"/>
      <c r="Z2619" s="171"/>
      <c r="AA2619" s="171"/>
    </row>
    <row r="2620" spans="1:27" s="530" customFormat="1" hidden="1" x14ac:dyDescent="0.2">
      <c r="A2620" s="526"/>
      <c r="B2620" s="527"/>
      <c r="C2620" s="465"/>
      <c r="D2620" s="464"/>
      <c r="E2620" s="464"/>
      <c r="F2620" s="464"/>
      <c r="G2620" s="510"/>
      <c r="H2620" s="411"/>
      <c r="I2620" s="411"/>
      <c r="J2620" s="750" t="e">
        <f t="shared" si="25"/>
        <v>#DIV/0!</v>
      </c>
      <c r="K2620" s="412"/>
      <c r="L2620" s="412"/>
      <c r="M2620" s="682"/>
      <c r="N2620" s="171"/>
      <c r="O2620" s="171"/>
      <c r="P2620" s="169"/>
      <c r="Q2620" s="171"/>
      <c r="R2620" s="171"/>
      <c r="S2620" s="171"/>
      <c r="T2620" s="171"/>
      <c r="U2620" s="171"/>
      <c r="V2620" s="171"/>
      <c r="W2620" s="171"/>
      <c r="X2620" s="171"/>
      <c r="Y2620" s="171"/>
      <c r="Z2620" s="171"/>
      <c r="AA2620" s="171"/>
    </row>
    <row r="2621" spans="1:27" s="530" customFormat="1" hidden="1" x14ac:dyDescent="0.2">
      <c r="A2621" s="526"/>
      <c r="B2621" s="527"/>
      <c r="C2621" s="465"/>
      <c r="D2621" s="464"/>
      <c r="E2621" s="464"/>
      <c r="F2621" s="464"/>
      <c r="G2621" s="510"/>
      <c r="H2621" s="411"/>
      <c r="I2621" s="411"/>
      <c r="J2621" s="750" t="e">
        <f t="shared" si="25"/>
        <v>#DIV/0!</v>
      </c>
      <c r="K2621" s="412"/>
      <c r="L2621" s="412"/>
      <c r="M2621" s="682"/>
      <c r="N2621" s="171"/>
      <c r="O2621" s="171"/>
      <c r="P2621" s="169"/>
      <c r="Q2621" s="171"/>
      <c r="R2621" s="171"/>
      <c r="S2621" s="171"/>
      <c r="T2621" s="171"/>
      <c r="U2621" s="171"/>
      <c r="V2621" s="171"/>
      <c r="W2621" s="171"/>
      <c r="X2621" s="171"/>
      <c r="Y2621" s="171"/>
      <c r="Z2621" s="171"/>
      <c r="AA2621" s="171"/>
    </row>
    <row r="2622" spans="1:27" s="530" customFormat="1" hidden="1" x14ac:dyDescent="0.2">
      <c r="A2622" s="526"/>
      <c r="B2622" s="527"/>
      <c r="C2622" s="465"/>
      <c r="D2622" s="464"/>
      <c r="E2622" s="464"/>
      <c r="F2622" s="464"/>
      <c r="G2622" s="510"/>
      <c r="H2622" s="411"/>
      <c r="I2622" s="411"/>
      <c r="J2622" s="750" t="e">
        <f t="shared" si="25"/>
        <v>#DIV/0!</v>
      </c>
      <c r="K2622" s="412"/>
      <c r="L2622" s="412"/>
      <c r="M2622" s="682"/>
      <c r="N2622" s="171"/>
      <c r="O2622" s="171"/>
      <c r="P2622" s="169"/>
      <c r="Q2622" s="171"/>
      <c r="R2622" s="171"/>
      <c r="S2622" s="171"/>
      <c r="T2622" s="171"/>
      <c r="U2622" s="171"/>
      <c r="V2622" s="171"/>
      <c r="W2622" s="171"/>
      <c r="X2622" s="171"/>
      <c r="Y2622" s="171"/>
      <c r="Z2622" s="171"/>
      <c r="AA2622" s="171"/>
    </row>
    <row r="2623" spans="1:27" s="530" customFormat="1" hidden="1" x14ac:dyDescent="0.2">
      <c r="A2623" s="526"/>
      <c r="B2623" s="527"/>
      <c r="C2623" s="465"/>
      <c r="D2623" s="464"/>
      <c r="E2623" s="464"/>
      <c r="F2623" s="464"/>
      <c r="G2623" s="510"/>
      <c r="H2623" s="411"/>
      <c r="I2623" s="411"/>
      <c r="J2623" s="750" t="e">
        <f t="shared" si="25"/>
        <v>#DIV/0!</v>
      </c>
      <c r="K2623" s="412"/>
      <c r="L2623" s="412"/>
      <c r="M2623" s="682"/>
      <c r="N2623" s="171"/>
      <c r="O2623" s="171"/>
      <c r="P2623" s="169"/>
      <c r="Q2623" s="171"/>
      <c r="R2623" s="171"/>
      <c r="S2623" s="171"/>
      <c r="T2623" s="171"/>
      <c r="U2623" s="171"/>
      <c r="V2623" s="171"/>
      <c r="W2623" s="171"/>
      <c r="X2623" s="171"/>
      <c r="Y2623" s="171"/>
      <c r="Z2623" s="171"/>
      <c r="AA2623" s="171"/>
    </row>
    <row r="2624" spans="1:27" s="530" customFormat="1" hidden="1" x14ac:dyDescent="0.2">
      <c r="A2624" s="526"/>
      <c r="B2624" s="527"/>
      <c r="C2624" s="465"/>
      <c r="D2624" s="464"/>
      <c r="E2624" s="464"/>
      <c r="F2624" s="464"/>
      <c r="G2624" s="510"/>
      <c r="H2624" s="411"/>
      <c r="I2624" s="411"/>
      <c r="J2624" s="750" t="e">
        <f t="shared" si="25"/>
        <v>#DIV/0!</v>
      </c>
      <c r="K2624" s="412"/>
      <c r="L2624" s="412"/>
      <c r="M2624" s="682"/>
      <c r="N2624" s="171"/>
      <c r="O2624" s="171"/>
      <c r="P2624" s="169"/>
      <c r="Q2624" s="171"/>
      <c r="R2624" s="171"/>
      <c r="S2624" s="171"/>
      <c r="T2624" s="171"/>
      <c r="U2624" s="171"/>
      <c r="V2624" s="171"/>
      <c r="W2624" s="171"/>
      <c r="X2624" s="171"/>
      <c r="Y2624" s="171"/>
      <c r="Z2624" s="171"/>
      <c r="AA2624" s="171"/>
    </row>
    <row r="2625" spans="1:27" s="530" customFormat="1" hidden="1" x14ac:dyDescent="0.2">
      <c r="A2625" s="526"/>
      <c r="B2625" s="527"/>
      <c r="C2625" s="465"/>
      <c r="D2625" s="464"/>
      <c r="E2625" s="464"/>
      <c r="F2625" s="464"/>
      <c r="G2625" s="510"/>
      <c r="H2625" s="411"/>
      <c r="I2625" s="411"/>
      <c r="J2625" s="750" t="e">
        <f t="shared" si="25"/>
        <v>#DIV/0!</v>
      </c>
      <c r="K2625" s="412"/>
      <c r="L2625" s="412"/>
      <c r="M2625" s="682"/>
      <c r="N2625" s="171"/>
      <c r="O2625" s="171"/>
      <c r="P2625" s="169"/>
      <c r="Q2625" s="171"/>
      <c r="R2625" s="171"/>
      <c r="S2625" s="171"/>
      <c r="T2625" s="171"/>
      <c r="U2625" s="171"/>
      <c r="V2625" s="171"/>
      <c r="W2625" s="171"/>
      <c r="X2625" s="171"/>
      <c r="Y2625" s="171"/>
      <c r="Z2625" s="171"/>
      <c r="AA2625" s="171"/>
    </row>
    <row r="2626" spans="1:27" s="530" customFormat="1" hidden="1" x14ac:dyDescent="0.2">
      <c r="A2626" s="526"/>
      <c r="B2626" s="527"/>
      <c r="C2626" s="465"/>
      <c r="D2626" s="464"/>
      <c r="E2626" s="464"/>
      <c r="F2626" s="464"/>
      <c r="G2626" s="510"/>
      <c r="H2626" s="411"/>
      <c r="I2626" s="411"/>
      <c r="J2626" s="750" t="e">
        <f t="shared" si="25"/>
        <v>#DIV/0!</v>
      </c>
      <c r="K2626" s="412"/>
      <c r="L2626" s="412"/>
      <c r="M2626" s="682"/>
      <c r="N2626" s="171"/>
      <c r="O2626" s="171"/>
      <c r="P2626" s="169"/>
      <c r="Q2626" s="171"/>
      <c r="R2626" s="171"/>
      <c r="S2626" s="171"/>
      <c r="T2626" s="171"/>
      <c r="U2626" s="171"/>
      <c r="V2626" s="171"/>
      <c r="W2626" s="171"/>
      <c r="X2626" s="171"/>
      <c r="Y2626" s="171"/>
      <c r="Z2626" s="171"/>
      <c r="AA2626" s="171"/>
    </row>
    <row r="2627" spans="1:27" s="530" customFormat="1" hidden="1" x14ac:dyDescent="0.2">
      <c r="A2627" s="526"/>
      <c r="B2627" s="527"/>
      <c r="C2627" s="465"/>
      <c r="D2627" s="464"/>
      <c r="E2627" s="464"/>
      <c r="F2627" s="464"/>
      <c r="G2627" s="510"/>
      <c r="H2627" s="411"/>
      <c r="I2627" s="411"/>
      <c r="J2627" s="750" t="e">
        <f t="shared" si="25"/>
        <v>#DIV/0!</v>
      </c>
      <c r="K2627" s="412"/>
      <c r="L2627" s="412"/>
      <c r="M2627" s="682"/>
      <c r="N2627" s="171"/>
      <c r="O2627" s="171"/>
      <c r="P2627" s="169"/>
      <c r="Q2627" s="171"/>
      <c r="R2627" s="171"/>
      <c r="S2627" s="171"/>
      <c r="T2627" s="171"/>
      <c r="U2627" s="171"/>
      <c r="V2627" s="171"/>
      <c r="W2627" s="171"/>
      <c r="X2627" s="171"/>
      <c r="Y2627" s="171"/>
      <c r="Z2627" s="171"/>
      <c r="AA2627" s="171"/>
    </row>
    <row r="2628" spans="1:27" s="530" customFormat="1" hidden="1" x14ac:dyDescent="0.2">
      <c r="A2628" s="526"/>
      <c r="B2628" s="527"/>
      <c r="C2628" s="465"/>
      <c r="D2628" s="464"/>
      <c r="E2628" s="464"/>
      <c r="F2628" s="464"/>
      <c r="G2628" s="510"/>
      <c r="H2628" s="411"/>
      <c r="I2628" s="411"/>
      <c r="J2628" s="750" t="e">
        <f t="shared" si="25"/>
        <v>#DIV/0!</v>
      </c>
      <c r="K2628" s="412"/>
      <c r="L2628" s="412"/>
      <c r="M2628" s="682"/>
      <c r="N2628" s="171"/>
      <c r="O2628" s="171"/>
      <c r="P2628" s="169"/>
      <c r="Q2628" s="171"/>
      <c r="R2628" s="171"/>
      <c r="S2628" s="171"/>
      <c r="T2628" s="171"/>
      <c r="U2628" s="171"/>
      <c r="V2628" s="171"/>
      <c r="W2628" s="171"/>
      <c r="X2628" s="171"/>
      <c r="Y2628" s="171"/>
      <c r="Z2628" s="171"/>
      <c r="AA2628" s="171"/>
    </row>
    <row r="2629" spans="1:27" s="530" customFormat="1" hidden="1" x14ac:dyDescent="0.2">
      <c r="A2629" s="526"/>
      <c r="B2629" s="527"/>
      <c r="C2629" s="465"/>
      <c r="D2629" s="464"/>
      <c r="E2629" s="464"/>
      <c r="F2629" s="464"/>
      <c r="G2629" s="510"/>
      <c r="H2629" s="411"/>
      <c r="I2629" s="411"/>
      <c r="J2629" s="750" t="e">
        <f t="shared" si="25"/>
        <v>#DIV/0!</v>
      </c>
      <c r="K2629" s="412"/>
      <c r="L2629" s="412"/>
      <c r="M2629" s="682"/>
      <c r="N2629" s="171"/>
      <c r="O2629" s="171"/>
      <c r="P2629" s="169"/>
      <c r="Q2629" s="171"/>
      <c r="R2629" s="171"/>
      <c r="S2629" s="171"/>
      <c r="T2629" s="171"/>
      <c r="U2629" s="171"/>
      <c r="V2629" s="171"/>
      <c r="W2629" s="171"/>
      <c r="X2629" s="171"/>
      <c r="Y2629" s="171"/>
      <c r="Z2629" s="171"/>
      <c r="AA2629" s="171"/>
    </row>
    <row r="2630" spans="1:27" s="530" customFormat="1" hidden="1" x14ac:dyDescent="0.2">
      <c r="A2630" s="526"/>
      <c r="B2630" s="527"/>
      <c r="C2630" s="465"/>
      <c r="D2630" s="464"/>
      <c r="E2630" s="464"/>
      <c r="F2630" s="464"/>
      <c r="G2630" s="510"/>
      <c r="H2630" s="411"/>
      <c r="I2630" s="411"/>
      <c r="J2630" s="750" t="e">
        <f t="shared" si="25"/>
        <v>#DIV/0!</v>
      </c>
      <c r="K2630" s="412"/>
      <c r="L2630" s="412"/>
      <c r="M2630" s="682"/>
      <c r="N2630" s="171"/>
      <c r="O2630" s="171"/>
      <c r="P2630" s="169"/>
      <c r="Q2630" s="171"/>
      <c r="R2630" s="171"/>
      <c r="S2630" s="171"/>
      <c r="T2630" s="171"/>
      <c r="U2630" s="171"/>
      <c r="V2630" s="171"/>
      <c r="W2630" s="171"/>
      <c r="X2630" s="171"/>
      <c r="Y2630" s="171"/>
      <c r="Z2630" s="171"/>
      <c r="AA2630" s="171"/>
    </row>
    <row r="2631" spans="1:27" s="530" customFormat="1" hidden="1" x14ac:dyDescent="0.2">
      <c r="A2631" s="526"/>
      <c r="B2631" s="527"/>
      <c r="C2631" s="465"/>
      <c r="D2631" s="464"/>
      <c r="E2631" s="464"/>
      <c r="F2631" s="464"/>
      <c r="G2631" s="510"/>
      <c r="H2631" s="411"/>
      <c r="I2631" s="411"/>
      <c r="J2631" s="750" t="e">
        <f t="shared" si="25"/>
        <v>#DIV/0!</v>
      </c>
      <c r="K2631" s="412"/>
      <c r="L2631" s="412"/>
      <c r="M2631" s="682"/>
      <c r="N2631" s="171"/>
      <c r="O2631" s="171"/>
      <c r="P2631" s="169"/>
      <c r="Q2631" s="171"/>
      <c r="R2631" s="171"/>
      <c r="S2631" s="171"/>
      <c r="T2631" s="171"/>
      <c r="U2631" s="171"/>
      <c r="V2631" s="171"/>
      <c r="W2631" s="171"/>
      <c r="X2631" s="171"/>
      <c r="Y2631" s="171"/>
      <c r="Z2631" s="171"/>
      <c r="AA2631" s="171"/>
    </row>
    <row r="2632" spans="1:27" s="530" customFormat="1" hidden="1" x14ac:dyDescent="0.2">
      <c r="A2632" s="526"/>
      <c r="B2632" s="527"/>
      <c r="C2632" s="465"/>
      <c r="D2632" s="464"/>
      <c r="E2632" s="464"/>
      <c r="F2632" s="464"/>
      <c r="G2632" s="510"/>
      <c r="H2632" s="411"/>
      <c r="I2632" s="411"/>
      <c r="J2632" s="750" t="e">
        <f t="shared" si="25"/>
        <v>#DIV/0!</v>
      </c>
      <c r="K2632" s="412"/>
      <c r="L2632" s="412"/>
      <c r="M2632" s="682"/>
      <c r="N2632" s="171"/>
      <c r="O2632" s="171"/>
      <c r="P2632" s="169"/>
      <c r="Q2632" s="171"/>
      <c r="R2632" s="171"/>
      <c r="S2632" s="171"/>
      <c r="T2632" s="171"/>
      <c r="U2632" s="171"/>
      <c r="V2632" s="171"/>
      <c r="W2632" s="171"/>
      <c r="X2632" s="171"/>
      <c r="Y2632" s="171"/>
      <c r="Z2632" s="171"/>
      <c r="AA2632" s="171"/>
    </row>
    <row r="2633" spans="1:27" s="530" customFormat="1" hidden="1" x14ac:dyDescent="0.2">
      <c r="A2633" s="526"/>
      <c r="B2633" s="527"/>
      <c r="C2633" s="465"/>
      <c r="D2633" s="464"/>
      <c r="E2633" s="464"/>
      <c r="F2633" s="464"/>
      <c r="G2633" s="510"/>
      <c r="H2633" s="411"/>
      <c r="I2633" s="411"/>
      <c r="J2633" s="750" t="e">
        <f t="shared" si="25"/>
        <v>#DIV/0!</v>
      </c>
      <c r="K2633" s="412"/>
      <c r="L2633" s="412"/>
      <c r="M2633" s="682"/>
      <c r="N2633" s="171"/>
      <c r="O2633" s="171"/>
      <c r="P2633" s="169"/>
      <c r="Q2633" s="171"/>
      <c r="R2633" s="171"/>
      <c r="S2633" s="171"/>
      <c r="T2633" s="171"/>
      <c r="U2633" s="171"/>
      <c r="V2633" s="171"/>
      <c r="W2633" s="171"/>
      <c r="X2633" s="171"/>
      <c r="Y2633" s="171"/>
      <c r="Z2633" s="171"/>
      <c r="AA2633" s="171"/>
    </row>
    <row r="2634" spans="1:27" s="530" customFormat="1" hidden="1" x14ac:dyDescent="0.2">
      <c r="A2634" s="526"/>
      <c r="B2634" s="527"/>
      <c r="C2634" s="465"/>
      <c r="D2634" s="464"/>
      <c r="E2634" s="464"/>
      <c r="F2634" s="464"/>
      <c r="G2634" s="510"/>
      <c r="H2634" s="411"/>
      <c r="I2634" s="411"/>
      <c r="J2634" s="750" t="e">
        <f t="shared" si="25"/>
        <v>#DIV/0!</v>
      </c>
      <c r="K2634" s="412"/>
      <c r="L2634" s="412"/>
      <c r="M2634" s="682"/>
      <c r="N2634" s="171"/>
      <c r="O2634" s="171"/>
      <c r="P2634" s="169"/>
      <c r="Q2634" s="171"/>
      <c r="R2634" s="171"/>
      <c r="S2634" s="171"/>
      <c r="T2634" s="171"/>
      <c r="U2634" s="171"/>
      <c r="V2634" s="171"/>
      <c r="W2634" s="171"/>
      <c r="X2634" s="171"/>
      <c r="Y2634" s="171"/>
      <c r="Z2634" s="171"/>
      <c r="AA2634" s="171"/>
    </row>
    <row r="2635" spans="1:27" s="530" customFormat="1" hidden="1" x14ac:dyDescent="0.2">
      <c r="A2635" s="526"/>
      <c r="B2635" s="527"/>
      <c r="C2635" s="465"/>
      <c r="D2635" s="464"/>
      <c r="E2635" s="464"/>
      <c r="F2635" s="464"/>
      <c r="G2635" s="510"/>
      <c r="H2635" s="411"/>
      <c r="I2635" s="411"/>
      <c r="J2635" s="750" t="e">
        <f t="shared" si="25"/>
        <v>#DIV/0!</v>
      </c>
      <c r="K2635" s="412"/>
      <c r="L2635" s="412"/>
      <c r="M2635" s="682"/>
      <c r="N2635" s="171"/>
      <c r="O2635" s="171"/>
      <c r="P2635" s="169"/>
      <c r="Q2635" s="171"/>
      <c r="R2635" s="171"/>
      <c r="S2635" s="171"/>
      <c r="T2635" s="171"/>
      <c r="U2635" s="171"/>
      <c r="V2635" s="171"/>
      <c r="W2635" s="171"/>
      <c r="X2635" s="171"/>
      <c r="Y2635" s="171"/>
      <c r="Z2635" s="171"/>
      <c r="AA2635" s="171"/>
    </row>
    <row r="2636" spans="1:27" s="530" customFormat="1" hidden="1" x14ac:dyDescent="0.2">
      <c r="A2636" s="526"/>
      <c r="B2636" s="527"/>
      <c r="C2636" s="465"/>
      <c r="D2636" s="464"/>
      <c r="E2636" s="464"/>
      <c r="F2636" s="464"/>
      <c r="G2636" s="510"/>
      <c r="H2636" s="411"/>
      <c r="I2636" s="411"/>
      <c r="J2636" s="750" t="e">
        <f t="shared" si="25"/>
        <v>#DIV/0!</v>
      </c>
      <c r="K2636" s="412"/>
      <c r="L2636" s="412"/>
      <c r="M2636" s="682"/>
      <c r="N2636" s="171"/>
      <c r="O2636" s="171"/>
      <c r="P2636" s="169"/>
      <c r="Q2636" s="171"/>
      <c r="R2636" s="171"/>
      <c r="S2636" s="171"/>
      <c r="T2636" s="171"/>
      <c r="U2636" s="171"/>
      <c r="V2636" s="171"/>
      <c r="W2636" s="171"/>
      <c r="X2636" s="171"/>
      <c r="Y2636" s="171"/>
      <c r="Z2636" s="171"/>
      <c r="AA2636" s="171"/>
    </row>
    <row r="2637" spans="1:27" s="530" customFormat="1" hidden="1" x14ac:dyDescent="0.2">
      <c r="A2637" s="526"/>
      <c r="B2637" s="527"/>
      <c r="C2637" s="465"/>
      <c r="D2637" s="464"/>
      <c r="E2637" s="464"/>
      <c r="F2637" s="464"/>
      <c r="G2637" s="510"/>
      <c r="H2637" s="411"/>
      <c r="I2637" s="411"/>
      <c r="J2637" s="750" t="e">
        <f t="shared" ref="J2637:J2700" si="26">SUM(I2637/H2637)*100</f>
        <v>#DIV/0!</v>
      </c>
      <c r="K2637" s="412"/>
      <c r="L2637" s="412"/>
      <c r="M2637" s="682"/>
      <c r="N2637" s="171"/>
      <c r="O2637" s="171"/>
      <c r="P2637" s="169"/>
      <c r="Q2637" s="171"/>
      <c r="R2637" s="171"/>
      <c r="S2637" s="171"/>
      <c r="T2637" s="171"/>
      <c r="U2637" s="171"/>
      <c r="V2637" s="171"/>
      <c r="W2637" s="171"/>
      <c r="X2637" s="171"/>
      <c r="Y2637" s="171"/>
      <c r="Z2637" s="171"/>
      <c r="AA2637" s="171"/>
    </row>
    <row r="2638" spans="1:27" s="530" customFormat="1" hidden="1" x14ac:dyDescent="0.2">
      <c r="A2638" s="526"/>
      <c r="B2638" s="527"/>
      <c r="C2638" s="465"/>
      <c r="D2638" s="464"/>
      <c r="E2638" s="464"/>
      <c r="F2638" s="464"/>
      <c r="G2638" s="510"/>
      <c r="H2638" s="411"/>
      <c r="I2638" s="411"/>
      <c r="J2638" s="750" t="e">
        <f t="shared" si="26"/>
        <v>#DIV/0!</v>
      </c>
      <c r="K2638" s="412"/>
      <c r="L2638" s="412"/>
      <c r="M2638" s="682"/>
      <c r="N2638" s="171"/>
      <c r="O2638" s="171"/>
      <c r="P2638" s="169"/>
      <c r="Q2638" s="171"/>
      <c r="R2638" s="171"/>
      <c r="S2638" s="171"/>
      <c r="T2638" s="171"/>
      <c r="U2638" s="171"/>
      <c r="V2638" s="171"/>
      <c r="W2638" s="171"/>
      <c r="X2638" s="171"/>
      <c r="Y2638" s="171"/>
      <c r="Z2638" s="171"/>
      <c r="AA2638" s="171"/>
    </row>
    <row r="2639" spans="1:27" s="530" customFormat="1" hidden="1" x14ac:dyDescent="0.2">
      <c r="A2639" s="526"/>
      <c r="B2639" s="527"/>
      <c r="C2639" s="465"/>
      <c r="D2639" s="464"/>
      <c r="E2639" s="464"/>
      <c r="F2639" s="464"/>
      <c r="G2639" s="510"/>
      <c r="H2639" s="411"/>
      <c r="I2639" s="411"/>
      <c r="J2639" s="750" t="e">
        <f t="shared" si="26"/>
        <v>#DIV/0!</v>
      </c>
      <c r="K2639" s="412"/>
      <c r="L2639" s="412"/>
      <c r="M2639" s="682"/>
      <c r="N2639" s="171"/>
      <c r="O2639" s="171"/>
      <c r="P2639" s="169"/>
      <c r="Q2639" s="171"/>
      <c r="R2639" s="171"/>
      <c r="S2639" s="171"/>
      <c r="T2639" s="171"/>
      <c r="U2639" s="171"/>
      <c r="V2639" s="171"/>
      <c r="W2639" s="171"/>
      <c r="X2639" s="171"/>
      <c r="Y2639" s="171"/>
      <c r="Z2639" s="171"/>
      <c r="AA2639" s="171"/>
    </row>
    <row r="2640" spans="1:27" s="530" customFormat="1" hidden="1" x14ac:dyDescent="0.2">
      <c r="A2640" s="526"/>
      <c r="B2640" s="527"/>
      <c r="C2640" s="465"/>
      <c r="D2640" s="464"/>
      <c r="E2640" s="464"/>
      <c r="F2640" s="464"/>
      <c r="G2640" s="510"/>
      <c r="H2640" s="411"/>
      <c r="I2640" s="411"/>
      <c r="J2640" s="750" t="e">
        <f t="shared" si="26"/>
        <v>#DIV/0!</v>
      </c>
      <c r="K2640" s="412"/>
      <c r="L2640" s="412"/>
      <c r="M2640" s="682"/>
      <c r="N2640" s="171"/>
      <c r="O2640" s="171"/>
      <c r="P2640" s="169"/>
      <c r="Q2640" s="171"/>
      <c r="R2640" s="171"/>
      <c r="S2640" s="171"/>
      <c r="T2640" s="171"/>
      <c r="U2640" s="171"/>
      <c r="V2640" s="171"/>
      <c r="W2640" s="171"/>
      <c r="X2640" s="171"/>
      <c r="Y2640" s="171"/>
      <c r="Z2640" s="171"/>
      <c r="AA2640" s="171"/>
    </row>
    <row r="2641" spans="1:27" s="530" customFormat="1" hidden="1" x14ac:dyDescent="0.2">
      <c r="A2641" s="526"/>
      <c r="B2641" s="527"/>
      <c r="C2641" s="465"/>
      <c r="D2641" s="464"/>
      <c r="E2641" s="464"/>
      <c r="F2641" s="464"/>
      <c r="G2641" s="510"/>
      <c r="H2641" s="411"/>
      <c r="I2641" s="411"/>
      <c r="J2641" s="750" t="e">
        <f t="shared" si="26"/>
        <v>#DIV/0!</v>
      </c>
      <c r="K2641" s="412"/>
      <c r="L2641" s="412"/>
      <c r="M2641" s="682"/>
      <c r="N2641" s="171"/>
      <c r="O2641" s="171"/>
      <c r="P2641" s="169"/>
      <c r="Q2641" s="171"/>
      <c r="R2641" s="171"/>
      <c r="S2641" s="171"/>
      <c r="T2641" s="171"/>
      <c r="U2641" s="171"/>
      <c r="V2641" s="171"/>
      <c r="W2641" s="171"/>
      <c r="X2641" s="171"/>
      <c r="Y2641" s="171"/>
      <c r="Z2641" s="171"/>
      <c r="AA2641" s="171"/>
    </row>
    <row r="2642" spans="1:27" s="530" customFormat="1" hidden="1" x14ac:dyDescent="0.2">
      <c r="A2642" s="526"/>
      <c r="B2642" s="527"/>
      <c r="C2642" s="465"/>
      <c r="D2642" s="464"/>
      <c r="E2642" s="464"/>
      <c r="F2642" s="464"/>
      <c r="G2642" s="510"/>
      <c r="H2642" s="411"/>
      <c r="I2642" s="411"/>
      <c r="J2642" s="750" t="e">
        <f t="shared" si="26"/>
        <v>#DIV/0!</v>
      </c>
      <c r="K2642" s="412"/>
      <c r="L2642" s="412"/>
      <c r="M2642" s="682"/>
      <c r="N2642" s="171"/>
      <c r="O2642" s="171"/>
      <c r="P2642" s="169"/>
      <c r="Q2642" s="171"/>
      <c r="R2642" s="171"/>
      <c r="S2642" s="171"/>
      <c r="T2642" s="171"/>
      <c r="U2642" s="171"/>
      <c r="V2642" s="171"/>
      <c r="W2642" s="171"/>
      <c r="X2642" s="171"/>
      <c r="Y2642" s="171"/>
      <c r="Z2642" s="171"/>
      <c r="AA2642" s="171"/>
    </row>
    <row r="2643" spans="1:27" s="530" customFormat="1" hidden="1" x14ac:dyDescent="0.2">
      <c r="A2643" s="526"/>
      <c r="B2643" s="527"/>
      <c r="C2643" s="465"/>
      <c r="D2643" s="464"/>
      <c r="E2643" s="464"/>
      <c r="F2643" s="464"/>
      <c r="G2643" s="510"/>
      <c r="H2643" s="411"/>
      <c r="I2643" s="411"/>
      <c r="J2643" s="750" t="e">
        <f t="shared" si="26"/>
        <v>#DIV/0!</v>
      </c>
      <c r="K2643" s="412"/>
      <c r="L2643" s="412"/>
      <c r="M2643" s="682"/>
      <c r="N2643" s="171"/>
      <c r="O2643" s="171"/>
      <c r="P2643" s="169"/>
      <c r="Q2643" s="171"/>
      <c r="R2643" s="171"/>
      <c r="S2643" s="171"/>
      <c r="T2643" s="171"/>
      <c r="U2643" s="171"/>
      <c r="V2643" s="171"/>
      <c r="W2643" s="171"/>
      <c r="X2643" s="171"/>
      <c r="Y2643" s="171"/>
      <c r="Z2643" s="171"/>
      <c r="AA2643" s="171"/>
    </row>
    <row r="2644" spans="1:27" s="530" customFormat="1" hidden="1" x14ac:dyDescent="0.2">
      <c r="A2644" s="526"/>
      <c r="B2644" s="527"/>
      <c r="C2644" s="465"/>
      <c r="D2644" s="464"/>
      <c r="E2644" s="464"/>
      <c r="F2644" s="464"/>
      <c r="G2644" s="510"/>
      <c r="H2644" s="411"/>
      <c r="I2644" s="411"/>
      <c r="J2644" s="750" t="e">
        <f t="shared" si="26"/>
        <v>#DIV/0!</v>
      </c>
      <c r="K2644" s="412"/>
      <c r="L2644" s="412"/>
      <c r="M2644" s="682"/>
      <c r="N2644" s="171"/>
      <c r="O2644" s="171"/>
      <c r="P2644" s="169"/>
      <c r="Q2644" s="171"/>
      <c r="R2644" s="171"/>
      <c r="S2644" s="171"/>
      <c r="T2644" s="171"/>
      <c r="U2644" s="171"/>
      <c r="V2644" s="171"/>
      <c r="W2644" s="171"/>
      <c r="X2644" s="171"/>
      <c r="Y2644" s="171"/>
      <c r="Z2644" s="171"/>
      <c r="AA2644" s="171"/>
    </row>
    <row r="2645" spans="1:27" s="530" customFormat="1" hidden="1" x14ac:dyDescent="0.2">
      <c r="A2645" s="526"/>
      <c r="B2645" s="527"/>
      <c r="C2645" s="465"/>
      <c r="D2645" s="464"/>
      <c r="E2645" s="464"/>
      <c r="F2645" s="464"/>
      <c r="G2645" s="510"/>
      <c r="H2645" s="411"/>
      <c r="I2645" s="411"/>
      <c r="J2645" s="750" t="e">
        <f t="shared" si="26"/>
        <v>#DIV/0!</v>
      </c>
      <c r="K2645" s="412"/>
      <c r="L2645" s="412"/>
      <c r="M2645" s="682"/>
      <c r="N2645" s="171"/>
      <c r="O2645" s="171"/>
      <c r="P2645" s="169"/>
      <c r="Q2645" s="171"/>
      <c r="R2645" s="171"/>
      <c r="S2645" s="171"/>
      <c r="T2645" s="171"/>
      <c r="U2645" s="171"/>
      <c r="V2645" s="171"/>
      <c r="W2645" s="171"/>
      <c r="X2645" s="171"/>
      <c r="Y2645" s="171"/>
      <c r="Z2645" s="171"/>
      <c r="AA2645" s="171"/>
    </row>
    <row r="2646" spans="1:27" s="530" customFormat="1" hidden="1" x14ac:dyDescent="0.2">
      <c r="A2646" s="526"/>
      <c r="B2646" s="527"/>
      <c r="C2646" s="465"/>
      <c r="D2646" s="464"/>
      <c r="E2646" s="464"/>
      <c r="F2646" s="464"/>
      <c r="G2646" s="510"/>
      <c r="H2646" s="411"/>
      <c r="I2646" s="411"/>
      <c r="J2646" s="750" t="e">
        <f t="shared" si="26"/>
        <v>#DIV/0!</v>
      </c>
      <c r="K2646" s="412"/>
      <c r="L2646" s="412"/>
      <c r="M2646" s="682"/>
      <c r="N2646" s="171"/>
      <c r="O2646" s="171"/>
      <c r="P2646" s="169"/>
      <c r="Q2646" s="171"/>
      <c r="R2646" s="171"/>
      <c r="S2646" s="171"/>
      <c r="T2646" s="171"/>
      <c r="U2646" s="171"/>
      <c r="V2646" s="171"/>
      <c r="W2646" s="171"/>
      <c r="X2646" s="171"/>
      <c r="Y2646" s="171"/>
      <c r="Z2646" s="171"/>
      <c r="AA2646" s="171"/>
    </row>
    <row r="2647" spans="1:27" s="530" customFormat="1" hidden="1" x14ac:dyDescent="0.2">
      <c r="A2647" s="526"/>
      <c r="B2647" s="527"/>
      <c r="C2647" s="465"/>
      <c r="D2647" s="464"/>
      <c r="E2647" s="464"/>
      <c r="F2647" s="464"/>
      <c r="G2647" s="510"/>
      <c r="H2647" s="411"/>
      <c r="I2647" s="411"/>
      <c r="J2647" s="750" t="e">
        <f t="shared" si="26"/>
        <v>#DIV/0!</v>
      </c>
      <c r="K2647" s="412"/>
      <c r="L2647" s="412"/>
      <c r="M2647" s="682"/>
      <c r="N2647" s="171"/>
      <c r="O2647" s="171"/>
      <c r="P2647" s="169"/>
      <c r="Q2647" s="171"/>
      <c r="R2647" s="171"/>
      <c r="S2647" s="171"/>
      <c r="T2647" s="171"/>
      <c r="U2647" s="171"/>
      <c r="V2647" s="171"/>
      <c r="W2647" s="171"/>
      <c r="X2647" s="171"/>
      <c r="Y2647" s="171"/>
      <c r="Z2647" s="171"/>
      <c r="AA2647" s="171"/>
    </row>
    <row r="2648" spans="1:27" s="530" customFormat="1" hidden="1" x14ac:dyDescent="0.2">
      <c r="A2648" s="526"/>
      <c r="B2648" s="527"/>
      <c r="C2648" s="465"/>
      <c r="D2648" s="464"/>
      <c r="E2648" s="464"/>
      <c r="F2648" s="464"/>
      <c r="G2648" s="510"/>
      <c r="H2648" s="411"/>
      <c r="I2648" s="411"/>
      <c r="J2648" s="750" t="e">
        <f t="shared" si="26"/>
        <v>#DIV/0!</v>
      </c>
      <c r="K2648" s="412"/>
      <c r="L2648" s="412"/>
      <c r="M2648" s="682"/>
      <c r="N2648" s="171"/>
      <c r="O2648" s="171"/>
      <c r="P2648" s="169"/>
      <c r="Q2648" s="171"/>
      <c r="R2648" s="171"/>
      <c r="S2648" s="171"/>
      <c r="T2648" s="171"/>
      <c r="U2648" s="171"/>
      <c r="V2648" s="171"/>
      <c r="W2648" s="171"/>
      <c r="X2648" s="171"/>
      <c r="Y2648" s="171"/>
      <c r="Z2648" s="171"/>
      <c r="AA2648" s="171"/>
    </row>
    <row r="2649" spans="1:27" s="530" customFormat="1" hidden="1" x14ac:dyDescent="0.2">
      <c r="A2649" s="526"/>
      <c r="B2649" s="527"/>
      <c r="C2649" s="465"/>
      <c r="D2649" s="464"/>
      <c r="E2649" s="464"/>
      <c r="F2649" s="464"/>
      <c r="G2649" s="510"/>
      <c r="H2649" s="411"/>
      <c r="I2649" s="411"/>
      <c r="J2649" s="750" t="e">
        <f t="shared" si="26"/>
        <v>#DIV/0!</v>
      </c>
      <c r="K2649" s="412"/>
      <c r="L2649" s="412"/>
      <c r="M2649" s="682"/>
      <c r="N2649" s="171"/>
      <c r="O2649" s="171"/>
      <c r="P2649" s="169"/>
      <c r="Q2649" s="171"/>
      <c r="R2649" s="171"/>
      <c r="S2649" s="171"/>
      <c r="T2649" s="171"/>
      <c r="U2649" s="171"/>
      <c r="V2649" s="171"/>
      <c r="W2649" s="171"/>
      <c r="X2649" s="171"/>
      <c r="Y2649" s="171"/>
      <c r="Z2649" s="171"/>
      <c r="AA2649" s="171"/>
    </row>
    <row r="2650" spans="1:27" s="530" customFormat="1" hidden="1" x14ac:dyDescent="0.2">
      <c r="A2650" s="526"/>
      <c r="B2650" s="527"/>
      <c r="C2650" s="465"/>
      <c r="D2650" s="464"/>
      <c r="E2650" s="464"/>
      <c r="F2650" s="464"/>
      <c r="G2650" s="510"/>
      <c r="H2650" s="411"/>
      <c r="I2650" s="411"/>
      <c r="J2650" s="750" t="e">
        <f t="shared" si="26"/>
        <v>#DIV/0!</v>
      </c>
      <c r="K2650" s="412"/>
      <c r="L2650" s="412"/>
      <c r="M2650" s="682"/>
      <c r="N2650" s="171"/>
      <c r="O2650" s="171"/>
      <c r="P2650" s="169"/>
      <c r="Q2650" s="171"/>
      <c r="R2650" s="171"/>
      <c r="S2650" s="171"/>
      <c r="T2650" s="171"/>
      <c r="U2650" s="171"/>
      <c r="V2650" s="171"/>
      <c r="W2650" s="171"/>
      <c r="X2650" s="171"/>
      <c r="Y2650" s="171"/>
      <c r="Z2650" s="171"/>
      <c r="AA2650" s="171"/>
    </row>
    <row r="2651" spans="1:27" s="530" customFormat="1" hidden="1" x14ac:dyDescent="0.2">
      <c r="A2651" s="526"/>
      <c r="B2651" s="527"/>
      <c r="C2651" s="465"/>
      <c r="D2651" s="464"/>
      <c r="E2651" s="464"/>
      <c r="F2651" s="464"/>
      <c r="G2651" s="510"/>
      <c r="H2651" s="411"/>
      <c r="I2651" s="411"/>
      <c r="J2651" s="750" t="e">
        <f t="shared" si="26"/>
        <v>#DIV/0!</v>
      </c>
      <c r="K2651" s="412"/>
      <c r="L2651" s="412"/>
      <c r="M2651" s="682"/>
      <c r="N2651" s="171"/>
      <c r="O2651" s="171"/>
      <c r="P2651" s="169"/>
      <c r="Q2651" s="171"/>
      <c r="R2651" s="171"/>
      <c r="S2651" s="171"/>
      <c r="T2651" s="171"/>
      <c r="U2651" s="171"/>
      <c r="V2651" s="171"/>
      <c r="W2651" s="171"/>
      <c r="X2651" s="171"/>
      <c r="Y2651" s="171"/>
      <c r="Z2651" s="171"/>
      <c r="AA2651" s="171"/>
    </row>
    <row r="2652" spans="1:27" s="530" customFormat="1" hidden="1" x14ac:dyDescent="0.2">
      <c r="A2652" s="526"/>
      <c r="B2652" s="527"/>
      <c r="C2652" s="465"/>
      <c r="D2652" s="464"/>
      <c r="E2652" s="464"/>
      <c r="F2652" s="464"/>
      <c r="G2652" s="510"/>
      <c r="H2652" s="411"/>
      <c r="I2652" s="411"/>
      <c r="J2652" s="750" t="e">
        <f t="shared" si="26"/>
        <v>#DIV/0!</v>
      </c>
      <c r="K2652" s="412"/>
      <c r="L2652" s="412"/>
      <c r="M2652" s="682"/>
      <c r="N2652" s="171"/>
      <c r="O2652" s="171"/>
      <c r="P2652" s="169"/>
      <c r="Q2652" s="171"/>
      <c r="R2652" s="171"/>
      <c r="S2652" s="171"/>
      <c r="T2652" s="171"/>
      <c r="U2652" s="171"/>
      <c r="V2652" s="171"/>
      <c r="W2652" s="171"/>
      <c r="X2652" s="171"/>
      <c r="Y2652" s="171"/>
      <c r="Z2652" s="171"/>
      <c r="AA2652" s="171"/>
    </row>
    <row r="2653" spans="1:27" s="530" customFormat="1" hidden="1" x14ac:dyDescent="0.2">
      <c r="A2653" s="526"/>
      <c r="B2653" s="527"/>
      <c r="C2653" s="465"/>
      <c r="D2653" s="464"/>
      <c r="E2653" s="464"/>
      <c r="F2653" s="464"/>
      <c r="G2653" s="510"/>
      <c r="H2653" s="411"/>
      <c r="I2653" s="411"/>
      <c r="J2653" s="750" t="e">
        <f t="shared" si="26"/>
        <v>#DIV/0!</v>
      </c>
      <c r="K2653" s="412"/>
      <c r="L2653" s="412"/>
      <c r="M2653" s="682"/>
      <c r="N2653" s="171"/>
      <c r="O2653" s="171"/>
      <c r="P2653" s="169"/>
      <c r="Q2653" s="171"/>
      <c r="R2653" s="171"/>
      <c r="S2653" s="171"/>
      <c r="T2653" s="171"/>
      <c r="U2653" s="171"/>
      <c r="V2653" s="171"/>
      <c r="W2653" s="171"/>
      <c r="X2653" s="171"/>
      <c r="Y2653" s="171"/>
      <c r="Z2653" s="171"/>
      <c r="AA2653" s="171"/>
    </row>
    <row r="2654" spans="1:27" s="530" customFormat="1" hidden="1" x14ac:dyDescent="0.2">
      <c r="A2654" s="526"/>
      <c r="B2654" s="527"/>
      <c r="C2654" s="465"/>
      <c r="D2654" s="464"/>
      <c r="E2654" s="464"/>
      <c r="F2654" s="464"/>
      <c r="G2654" s="510"/>
      <c r="H2654" s="411"/>
      <c r="I2654" s="411"/>
      <c r="J2654" s="750" t="e">
        <f t="shared" si="26"/>
        <v>#DIV/0!</v>
      </c>
      <c r="K2654" s="412"/>
      <c r="L2654" s="412"/>
      <c r="M2654" s="682"/>
      <c r="N2654" s="171"/>
      <c r="O2654" s="171"/>
      <c r="P2654" s="169"/>
      <c r="Q2654" s="171"/>
      <c r="R2654" s="171"/>
      <c r="S2654" s="171"/>
      <c r="T2654" s="171"/>
      <c r="U2654" s="171"/>
      <c r="V2654" s="171"/>
      <c r="W2654" s="171"/>
      <c r="X2654" s="171"/>
      <c r="Y2654" s="171"/>
      <c r="Z2654" s="171"/>
      <c r="AA2654" s="171"/>
    </row>
    <row r="2655" spans="1:27" s="530" customFormat="1" hidden="1" x14ac:dyDescent="0.2">
      <c r="A2655" s="526"/>
      <c r="B2655" s="527"/>
      <c r="C2655" s="465"/>
      <c r="D2655" s="464"/>
      <c r="E2655" s="464"/>
      <c r="F2655" s="464"/>
      <c r="G2655" s="510"/>
      <c r="H2655" s="411"/>
      <c r="I2655" s="411"/>
      <c r="J2655" s="750" t="e">
        <f t="shared" si="26"/>
        <v>#DIV/0!</v>
      </c>
      <c r="K2655" s="412"/>
      <c r="L2655" s="412"/>
      <c r="M2655" s="682"/>
      <c r="N2655" s="171"/>
      <c r="O2655" s="171"/>
      <c r="P2655" s="169"/>
      <c r="Q2655" s="171"/>
      <c r="R2655" s="171"/>
      <c r="S2655" s="171"/>
      <c r="T2655" s="171"/>
      <c r="U2655" s="171"/>
      <c r="V2655" s="171"/>
      <c r="W2655" s="171"/>
      <c r="X2655" s="171"/>
      <c r="Y2655" s="171"/>
      <c r="Z2655" s="171"/>
      <c r="AA2655" s="171"/>
    </row>
    <row r="2656" spans="1:27" s="530" customFormat="1" hidden="1" x14ac:dyDescent="0.2">
      <c r="A2656" s="526"/>
      <c r="B2656" s="527"/>
      <c r="C2656" s="465"/>
      <c r="D2656" s="464"/>
      <c r="E2656" s="464"/>
      <c r="F2656" s="464"/>
      <c r="G2656" s="510"/>
      <c r="H2656" s="411"/>
      <c r="I2656" s="411"/>
      <c r="J2656" s="750" t="e">
        <f t="shared" si="26"/>
        <v>#DIV/0!</v>
      </c>
      <c r="K2656" s="412"/>
      <c r="L2656" s="412"/>
      <c r="M2656" s="682"/>
      <c r="N2656" s="171"/>
      <c r="O2656" s="171"/>
      <c r="P2656" s="169"/>
      <c r="Q2656" s="171"/>
      <c r="R2656" s="171"/>
      <c r="S2656" s="171"/>
      <c r="T2656" s="171"/>
      <c r="U2656" s="171"/>
      <c r="V2656" s="171"/>
      <c r="W2656" s="171"/>
      <c r="X2656" s="171"/>
      <c r="Y2656" s="171"/>
      <c r="Z2656" s="171"/>
      <c r="AA2656" s="171"/>
    </row>
    <row r="2657" spans="1:27" s="530" customFormat="1" hidden="1" x14ac:dyDescent="0.2">
      <c r="A2657" s="526"/>
      <c r="B2657" s="527"/>
      <c r="C2657" s="465"/>
      <c r="D2657" s="464"/>
      <c r="E2657" s="464"/>
      <c r="F2657" s="464"/>
      <c r="G2657" s="510"/>
      <c r="H2657" s="411"/>
      <c r="I2657" s="411"/>
      <c r="J2657" s="750" t="e">
        <f t="shared" si="26"/>
        <v>#DIV/0!</v>
      </c>
      <c r="K2657" s="412"/>
      <c r="L2657" s="412"/>
      <c r="M2657" s="682"/>
      <c r="N2657" s="171"/>
      <c r="O2657" s="171"/>
      <c r="P2657" s="169"/>
      <c r="Q2657" s="171"/>
      <c r="R2657" s="171"/>
      <c r="S2657" s="171"/>
      <c r="T2657" s="171"/>
      <c r="U2657" s="171"/>
      <c r="V2657" s="171"/>
      <c r="W2657" s="171"/>
      <c r="X2657" s="171"/>
      <c r="Y2657" s="171"/>
      <c r="Z2657" s="171"/>
      <c r="AA2657" s="171"/>
    </row>
    <row r="2658" spans="1:27" s="530" customFormat="1" hidden="1" x14ac:dyDescent="0.2">
      <c r="A2658" s="526"/>
      <c r="B2658" s="527"/>
      <c r="C2658" s="465"/>
      <c r="D2658" s="464"/>
      <c r="E2658" s="464"/>
      <c r="F2658" s="464"/>
      <c r="G2658" s="510"/>
      <c r="H2658" s="411"/>
      <c r="I2658" s="411"/>
      <c r="J2658" s="750" t="e">
        <f t="shared" si="26"/>
        <v>#DIV/0!</v>
      </c>
      <c r="K2658" s="412"/>
      <c r="L2658" s="412"/>
      <c r="M2658" s="682"/>
      <c r="N2658" s="171"/>
      <c r="O2658" s="171"/>
      <c r="P2658" s="169"/>
      <c r="Q2658" s="171"/>
      <c r="R2658" s="171"/>
      <c r="S2658" s="171"/>
      <c r="T2658" s="171"/>
      <c r="U2658" s="171"/>
      <c r="V2658" s="171"/>
      <c r="W2658" s="171"/>
      <c r="X2658" s="171"/>
      <c r="Y2658" s="171"/>
      <c r="Z2658" s="171"/>
      <c r="AA2658" s="171"/>
    </row>
    <row r="2659" spans="1:27" s="530" customFormat="1" hidden="1" x14ac:dyDescent="0.2">
      <c r="A2659" s="526"/>
      <c r="B2659" s="527"/>
      <c r="C2659" s="465"/>
      <c r="D2659" s="464"/>
      <c r="E2659" s="464"/>
      <c r="F2659" s="464"/>
      <c r="G2659" s="510"/>
      <c r="H2659" s="411"/>
      <c r="I2659" s="411"/>
      <c r="J2659" s="750" t="e">
        <f t="shared" si="26"/>
        <v>#DIV/0!</v>
      </c>
      <c r="K2659" s="412"/>
      <c r="L2659" s="412"/>
      <c r="M2659" s="682"/>
      <c r="N2659" s="171"/>
      <c r="O2659" s="171"/>
      <c r="P2659" s="169"/>
      <c r="Q2659" s="171"/>
      <c r="R2659" s="171"/>
      <c r="S2659" s="171"/>
      <c r="T2659" s="171"/>
      <c r="U2659" s="171"/>
      <c r="V2659" s="171"/>
      <c r="W2659" s="171"/>
      <c r="X2659" s="171"/>
      <c r="Y2659" s="171"/>
      <c r="Z2659" s="171"/>
      <c r="AA2659" s="171"/>
    </row>
    <row r="2660" spans="1:27" s="530" customFormat="1" hidden="1" x14ac:dyDescent="0.2">
      <c r="A2660" s="526"/>
      <c r="B2660" s="527"/>
      <c r="C2660" s="465"/>
      <c r="D2660" s="464"/>
      <c r="E2660" s="464"/>
      <c r="F2660" s="464"/>
      <c r="G2660" s="510"/>
      <c r="H2660" s="411"/>
      <c r="I2660" s="411"/>
      <c r="J2660" s="750" t="e">
        <f t="shared" si="26"/>
        <v>#DIV/0!</v>
      </c>
      <c r="K2660" s="412"/>
      <c r="L2660" s="412"/>
      <c r="M2660" s="682"/>
      <c r="N2660" s="171"/>
      <c r="O2660" s="171"/>
      <c r="P2660" s="169"/>
      <c r="Q2660" s="171"/>
      <c r="R2660" s="171"/>
      <c r="S2660" s="171"/>
      <c r="T2660" s="171"/>
      <c r="U2660" s="171"/>
      <c r="V2660" s="171"/>
      <c r="W2660" s="171"/>
      <c r="X2660" s="171"/>
      <c r="Y2660" s="171"/>
      <c r="Z2660" s="171"/>
      <c r="AA2660" s="171"/>
    </row>
    <row r="2661" spans="1:27" s="530" customFormat="1" hidden="1" x14ac:dyDescent="0.2">
      <c r="A2661" s="526"/>
      <c r="B2661" s="527"/>
      <c r="C2661" s="465"/>
      <c r="D2661" s="464"/>
      <c r="E2661" s="464"/>
      <c r="F2661" s="464"/>
      <c r="G2661" s="510"/>
      <c r="H2661" s="411"/>
      <c r="I2661" s="411"/>
      <c r="J2661" s="750" t="e">
        <f t="shared" si="26"/>
        <v>#DIV/0!</v>
      </c>
      <c r="K2661" s="412"/>
      <c r="L2661" s="412"/>
      <c r="M2661" s="682"/>
      <c r="N2661" s="171"/>
      <c r="O2661" s="171"/>
      <c r="P2661" s="169"/>
      <c r="Q2661" s="171"/>
      <c r="R2661" s="171"/>
      <c r="S2661" s="171"/>
      <c r="T2661" s="171"/>
      <c r="U2661" s="171"/>
      <c r="V2661" s="171"/>
      <c r="W2661" s="171"/>
      <c r="X2661" s="171"/>
      <c r="Y2661" s="171"/>
      <c r="Z2661" s="171"/>
      <c r="AA2661" s="171"/>
    </row>
    <row r="2662" spans="1:27" s="530" customFormat="1" hidden="1" x14ac:dyDescent="0.2">
      <c r="A2662" s="526"/>
      <c r="B2662" s="527"/>
      <c r="C2662" s="465"/>
      <c r="D2662" s="464"/>
      <c r="E2662" s="464"/>
      <c r="F2662" s="464"/>
      <c r="G2662" s="510"/>
      <c r="H2662" s="411"/>
      <c r="I2662" s="411"/>
      <c r="J2662" s="750" t="e">
        <f t="shared" si="26"/>
        <v>#DIV/0!</v>
      </c>
      <c r="K2662" s="412"/>
      <c r="L2662" s="412"/>
      <c r="M2662" s="682"/>
      <c r="N2662" s="171"/>
      <c r="O2662" s="171"/>
      <c r="P2662" s="169"/>
      <c r="Q2662" s="171"/>
      <c r="R2662" s="171"/>
      <c r="S2662" s="171"/>
      <c r="T2662" s="171"/>
      <c r="U2662" s="171"/>
      <c r="V2662" s="171"/>
      <c r="W2662" s="171"/>
      <c r="X2662" s="171"/>
      <c r="Y2662" s="171"/>
      <c r="Z2662" s="171"/>
      <c r="AA2662" s="171"/>
    </row>
    <row r="2663" spans="1:27" s="530" customFormat="1" hidden="1" x14ac:dyDescent="0.2">
      <c r="A2663" s="526"/>
      <c r="B2663" s="527"/>
      <c r="C2663" s="465"/>
      <c r="D2663" s="464"/>
      <c r="E2663" s="464"/>
      <c r="F2663" s="464"/>
      <c r="G2663" s="510"/>
      <c r="H2663" s="411"/>
      <c r="I2663" s="411"/>
      <c r="J2663" s="750" t="e">
        <f t="shared" si="26"/>
        <v>#DIV/0!</v>
      </c>
      <c r="K2663" s="412"/>
      <c r="L2663" s="412"/>
      <c r="M2663" s="682"/>
      <c r="N2663" s="171"/>
      <c r="O2663" s="171"/>
      <c r="P2663" s="169"/>
      <c r="Q2663" s="171"/>
      <c r="R2663" s="171"/>
      <c r="S2663" s="171"/>
      <c r="T2663" s="171"/>
      <c r="U2663" s="171"/>
      <c r="V2663" s="171"/>
      <c r="W2663" s="171"/>
      <c r="X2663" s="171"/>
      <c r="Y2663" s="171"/>
      <c r="Z2663" s="171"/>
      <c r="AA2663" s="171"/>
    </row>
    <row r="2664" spans="1:27" s="530" customFormat="1" hidden="1" x14ac:dyDescent="0.2">
      <c r="A2664" s="526"/>
      <c r="B2664" s="527"/>
      <c r="C2664" s="465"/>
      <c r="D2664" s="464"/>
      <c r="E2664" s="464"/>
      <c r="F2664" s="464"/>
      <c r="G2664" s="510"/>
      <c r="H2664" s="411"/>
      <c r="I2664" s="411"/>
      <c r="J2664" s="750" t="e">
        <f t="shared" si="26"/>
        <v>#DIV/0!</v>
      </c>
      <c r="K2664" s="412"/>
      <c r="L2664" s="412"/>
      <c r="M2664" s="682"/>
      <c r="N2664" s="171"/>
      <c r="O2664" s="171"/>
      <c r="P2664" s="169"/>
      <c r="Q2664" s="171"/>
      <c r="R2664" s="171"/>
      <c r="S2664" s="171"/>
      <c r="T2664" s="171"/>
      <c r="U2664" s="171"/>
      <c r="V2664" s="171"/>
      <c r="W2664" s="171"/>
      <c r="X2664" s="171"/>
      <c r="Y2664" s="171"/>
      <c r="Z2664" s="171"/>
      <c r="AA2664" s="171"/>
    </row>
    <row r="2665" spans="1:27" s="530" customFormat="1" hidden="1" x14ac:dyDescent="0.2">
      <c r="A2665" s="526"/>
      <c r="B2665" s="527"/>
      <c r="C2665" s="465"/>
      <c r="D2665" s="464"/>
      <c r="E2665" s="464"/>
      <c r="F2665" s="464"/>
      <c r="G2665" s="510"/>
      <c r="H2665" s="411"/>
      <c r="I2665" s="411"/>
      <c r="J2665" s="750" t="e">
        <f t="shared" si="26"/>
        <v>#DIV/0!</v>
      </c>
      <c r="K2665" s="412"/>
      <c r="L2665" s="412"/>
      <c r="M2665" s="682"/>
      <c r="N2665" s="171"/>
      <c r="O2665" s="171"/>
      <c r="P2665" s="169"/>
      <c r="Q2665" s="171"/>
      <c r="R2665" s="171"/>
      <c r="S2665" s="171"/>
      <c r="T2665" s="171"/>
      <c r="U2665" s="171"/>
      <c r="V2665" s="171"/>
      <c r="W2665" s="171"/>
      <c r="X2665" s="171"/>
      <c r="Y2665" s="171"/>
      <c r="Z2665" s="171"/>
      <c r="AA2665" s="171"/>
    </row>
    <row r="2666" spans="1:27" s="530" customFormat="1" hidden="1" x14ac:dyDescent="0.2">
      <c r="A2666" s="526"/>
      <c r="B2666" s="527"/>
      <c r="C2666" s="465"/>
      <c r="D2666" s="464"/>
      <c r="E2666" s="464"/>
      <c r="F2666" s="464"/>
      <c r="G2666" s="510"/>
      <c r="H2666" s="411"/>
      <c r="I2666" s="411"/>
      <c r="J2666" s="750" t="e">
        <f t="shared" si="26"/>
        <v>#DIV/0!</v>
      </c>
      <c r="K2666" s="412"/>
      <c r="L2666" s="412"/>
      <c r="M2666" s="682"/>
      <c r="N2666" s="171"/>
      <c r="O2666" s="171"/>
      <c r="P2666" s="169"/>
      <c r="Q2666" s="171"/>
      <c r="R2666" s="171"/>
      <c r="S2666" s="171"/>
      <c r="T2666" s="171"/>
      <c r="U2666" s="171"/>
      <c r="V2666" s="171"/>
      <c r="W2666" s="171"/>
      <c r="X2666" s="171"/>
      <c r="Y2666" s="171"/>
      <c r="Z2666" s="171"/>
      <c r="AA2666" s="171"/>
    </row>
    <row r="2667" spans="1:27" s="530" customFormat="1" hidden="1" x14ac:dyDescent="0.2">
      <c r="A2667" s="526"/>
      <c r="B2667" s="527"/>
      <c r="C2667" s="465"/>
      <c r="D2667" s="464"/>
      <c r="E2667" s="464"/>
      <c r="F2667" s="464"/>
      <c r="G2667" s="510"/>
      <c r="H2667" s="411"/>
      <c r="I2667" s="411"/>
      <c r="J2667" s="750" t="e">
        <f t="shared" si="26"/>
        <v>#DIV/0!</v>
      </c>
      <c r="K2667" s="412"/>
      <c r="L2667" s="412"/>
      <c r="M2667" s="682"/>
      <c r="N2667" s="171"/>
      <c r="O2667" s="171"/>
      <c r="P2667" s="169"/>
      <c r="Q2667" s="171"/>
      <c r="R2667" s="171"/>
      <c r="S2667" s="171"/>
      <c r="T2667" s="171"/>
      <c r="U2667" s="171"/>
      <c r="V2667" s="171"/>
      <c r="W2667" s="171"/>
      <c r="X2667" s="171"/>
      <c r="Y2667" s="171"/>
      <c r="Z2667" s="171"/>
      <c r="AA2667" s="171"/>
    </row>
    <row r="2668" spans="1:27" s="530" customFormat="1" hidden="1" x14ac:dyDescent="0.2">
      <c r="A2668" s="526"/>
      <c r="B2668" s="527"/>
      <c r="C2668" s="465"/>
      <c r="D2668" s="464"/>
      <c r="E2668" s="464"/>
      <c r="F2668" s="464"/>
      <c r="G2668" s="510"/>
      <c r="H2668" s="411"/>
      <c r="I2668" s="411"/>
      <c r="J2668" s="750" t="e">
        <f t="shared" si="26"/>
        <v>#DIV/0!</v>
      </c>
      <c r="K2668" s="412"/>
      <c r="L2668" s="412"/>
      <c r="M2668" s="682"/>
      <c r="N2668" s="171"/>
      <c r="O2668" s="171"/>
      <c r="P2668" s="169"/>
      <c r="Q2668" s="171"/>
      <c r="R2668" s="171"/>
      <c r="S2668" s="171"/>
      <c r="T2668" s="171"/>
      <c r="U2668" s="171"/>
      <c r="V2668" s="171"/>
      <c r="W2668" s="171"/>
      <c r="X2668" s="171"/>
      <c r="Y2668" s="171"/>
      <c r="Z2668" s="171"/>
      <c r="AA2668" s="171"/>
    </row>
    <row r="2669" spans="1:27" s="530" customFormat="1" hidden="1" x14ac:dyDescent="0.2">
      <c r="A2669" s="526"/>
      <c r="B2669" s="527"/>
      <c r="C2669" s="465"/>
      <c r="D2669" s="464"/>
      <c r="E2669" s="464"/>
      <c r="F2669" s="464"/>
      <c r="G2669" s="510"/>
      <c r="H2669" s="411"/>
      <c r="I2669" s="411"/>
      <c r="J2669" s="750" t="e">
        <f t="shared" si="26"/>
        <v>#DIV/0!</v>
      </c>
      <c r="K2669" s="412"/>
      <c r="L2669" s="412"/>
      <c r="M2669" s="682"/>
      <c r="N2669" s="171"/>
      <c r="O2669" s="171"/>
      <c r="P2669" s="169"/>
      <c r="Q2669" s="171"/>
      <c r="R2669" s="171"/>
      <c r="S2669" s="171"/>
      <c r="T2669" s="171"/>
      <c r="U2669" s="171"/>
      <c r="V2669" s="171"/>
      <c r="W2669" s="171"/>
      <c r="X2669" s="171"/>
      <c r="Y2669" s="171"/>
      <c r="Z2669" s="171"/>
      <c r="AA2669" s="171"/>
    </row>
    <row r="2670" spans="1:27" s="530" customFormat="1" hidden="1" x14ac:dyDescent="0.2">
      <c r="A2670" s="526"/>
      <c r="B2670" s="527"/>
      <c r="C2670" s="465"/>
      <c r="D2670" s="464"/>
      <c r="E2670" s="464"/>
      <c r="F2670" s="464"/>
      <c r="G2670" s="510"/>
      <c r="H2670" s="411"/>
      <c r="I2670" s="411"/>
      <c r="J2670" s="750" t="e">
        <f t="shared" si="26"/>
        <v>#DIV/0!</v>
      </c>
      <c r="K2670" s="412"/>
      <c r="L2670" s="412"/>
      <c r="M2670" s="682"/>
      <c r="N2670" s="171"/>
      <c r="O2670" s="171"/>
      <c r="P2670" s="169"/>
      <c r="Q2670" s="171"/>
      <c r="R2670" s="171"/>
      <c r="S2670" s="171"/>
      <c r="T2670" s="171"/>
      <c r="U2670" s="171"/>
      <c r="V2670" s="171"/>
      <c r="W2670" s="171"/>
      <c r="X2670" s="171"/>
      <c r="Y2670" s="171"/>
      <c r="Z2670" s="171"/>
      <c r="AA2670" s="171"/>
    </row>
    <row r="2671" spans="1:27" s="530" customFormat="1" hidden="1" x14ac:dyDescent="0.2">
      <c r="A2671" s="526"/>
      <c r="B2671" s="527"/>
      <c r="C2671" s="465"/>
      <c r="D2671" s="464"/>
      <c r="E2671" s="464"/>
      <c r="F2671" s="464"/>
      <c r="G2671" s="510"/>
      <c r="H2671" s="411"/>
      <c r="I2671" s="411"/>
      <c r="J2671" s="750" t="e">
        <f t="shared" si="26"/>
        <v>#DIV/0!</v>
      </c>
      <c r="K2671" s="412"/>
      <c r="L2671" s="412"/>
      <c r="M2671" s="682"/>
      <c r="N2671" s="171"/>
      <c r="O2671" s="171"/>
      <c r="P2671" s="169"/>
      <c r="Q2671" s="171"/>
      <c r="R2671" s="171"/>
      <c r="S2671" s="171"/>
      <c r="T2671" s="171"/>
      <c r="U2671" s="171"/>
      <c r="V2671" s="171"/>
      <c r="W2671" s="171"/>
      <c r="X2671" s="171"/>
      <c r="Y2671" s="171"/>
      <c r="Z2671" s="171"/>
      <c r="AA2671" s="171"/>
    </row>
    <row r="2672" spans="1:27" s="530" customFormat="1" hidden="1" x14ac:dyDescent="0.2">
      <c r="A2672" s="526"/>
      <c r="B2672" s="527"/>
      <c r="C2672" s="465"/>
      <c r="D2672" s="464"/>
      <c r="E2672" s="464"/>
      <c r="F2672" s="464"/>
      <c r="G2672" s="510"/>
      <c r="H2672" s="411"/>
      <c r="I2672" s="411"/>
      <c r="J2672" s="750" t="e">
        <f t="shared" si="26"/>
        <v>#DIV/0!</v>
      </c>
      <c r="K2672" s="412"/>
      <c r="L2672" s="412"/>
      <c r="M2672" s="682"/>
      <c r="N2672" s="171"/>
      <c r="O2672" s="171"/>
      <c r="P2672" s="169"/>
      <c r="Q2672" s="171"/>
      <c r="R2672" s="171"/>
      <c r="S2672" s="171"/>
      <c r="T2672" s="171"/>
      <c r="U2672" s="171"/>
      <c r="V2672" s="171"/>
      <c r="W2672" s="171"/>
      <c r="X2672" s="171"/>
      <c r="Y2672" s="171"/>
      <c r="Z2672" s="171"/>
      <c r="AA2672" s="171"/>
    </row>
    <row r="2673" spans="1:27" s="530" customFormat="1" hidden="1" x14ac:dyDescent="0.2">
      <c r="A2673" s="526"/>
      <c r="B2673" s="527"/>
      <c r="C2673" s="465"/>
      <c r="D2673" s="464"/>
      <c r="E2673" s="464"/>
      <c r="F2673" s="464"/>
      <c r="G2673" s="510"/>
      <c r="H2673" s="411"/>
      <c r="I2673" s="411"/>
      <c r="J2673" s="750" t="e">
        <f t="shared" si="26"/>
        <v>#DIV/0!</v>
      </c>
      <c r="K2673" s="412"/>
      <c r="L2673" s="412"/>
      <c r="M2673" s="682"/>
      <c r="N2673" s="171"/>
      <c r="O2673" s="171"/>
      <c r="P2673" s="169"/>
      <c r="Q2673" s="171"/>
      <c r="R2673" s="171"/>
      <c r="S2673" s="171"/>
      <c r="T2673" s="171"/>
      <c r="U2673" s="171"/>
      <c r="V2673" s="171"/>
      <c r="W2673" s="171"/>
      <c r="X2673" s="171"/>
      <c r="Y2673" s="171"/>
      <c r="Z2673" s="171"/>
      <c r="AA2673" s="171"/>
    </row>
    <row r="2674" spans="1:27" s="530" customFormat="1" hidden="1" x14ac:dyDescent="0.2">
      <c r="A2674" s="526"/>
      <c r="B2674" s="527"/>
      <c r="C2674" s="465"/>
      <c r="D2674" s="464"/>
      <c r="E2674" s="464"/>
      <c r="F2674" s="464"/>
      <c r="G2674" s="510"/>
      <c r="H2674" s="411"/>
      <c r="I2674" s="411"/>
      <c r="J2674" s="750" t="e">
        <f t="shared" si="26"/>
        <v>#DIV/0!</v>
      </c>
      <c r="K2674" s="412"/>
      <c r="L2674" s="412"/>
      <c r="M2674" s="682"/>
      <c r="N2674" s="171"/>
      <c r="O2674" s="171"/>
      <c r="P2674" s="169"/>
      <c r="Q2674" s="171"/>
      <c r="R2674" s="171"/>
      <c r="S2674" s="171"/>
      <c r="T2674" s="171"/>
      <c r="U2674" s="171"/>
      <c r="V2674" s="171"/>
      <c r="W2674" s="171"/>
      <c r="X2674" s="171"/>
      <c r="Y2674" s="171"/>
      <c r="Z2674" s="171"/>
      <c r="AA2674" s="171"/>
    </row>
    <row r="2675" spans="1:27" s="530" customFormat="1" hidden="1" x14ac:dyDescent="0.2">
      <c r="A2675" s="526"/>
      <c r="B2675" s="527"/>
      <c r="C2675" s="465"/>
      <c r="D2675" s="464"/>
      <c r="E2675" s="464"/>
      <c r="F2675" s="464"/>
      <c r="G2675" s="510"/>
      <c r="H2675" s="411"/>
      <c r="I2675" s="411"/>
      <c r="J2675" s="750" t="e">
        <f t="shared" si="26"/>
        <v>#DIV/0!</v>
      </c>
      <c r="K2675" s="412"/>
      <c r="L2675" s="412"/>
      <c r="M2675" s="682"/>
      <c r="N2675" s="171"/>
      <c r="O2675" s="171"/>
      <c r="P2675" s="169"/>
      <c r="Q2675" s="171"/>
      <c r="R2675" s="171"/>
      <c r="S2675" s="171"/>
      <c r="T2675" s="171"/>
      <c r="U2675" s="171"/>
      <c r="V2675" s="171"/>
      <c r="W2675" s="171"/>
      <c r="X2675" s="171"/>
      <c r="Y2675" s="171"/>
      <c r="Z2675" s="171"/>
      <c r="AA2675" s="171"/>
    </row>
    <row r="2676" spans="1:27" s="530" customFormat="1" hidden="1" x14ac:dyDescent="0.2">
      <c r="A2676" s="526"/>
      <c r="B2676" s="527"/>
      <c r="C2676" s="465"/>
      <c r="D2676" s="464"/>
      <c r="E2676" s="464"/>
      <c r="F2676" s="464"/>
      <c r="G2676" s="510"/>
      <c r="H2676" s="411"/>
      <c r="I2676" s="411"/>
      <c r="J2676" s="750" t="e">
        <f t="shared" si="26"/>
        <v>#DIV/0!</v>
      </c>
      <c r="K2676" s="412"/>
      <c r="L2676" s="412"/>
      <c r="M2676" s="682"/>
      <c r="N2676" s="171"/>
      <c r="O2676" s="171"/>
      <c r="P2676" s="169"/>
      <c r="Q2676" s="171"/>
      <c r="R2676" s="171"/>
      <c r="S2676" s="171"/>
      <c r="T2676" s="171"/>
      <c r="U2676" s="171"/>
      <c r="V2676" s="171"/>
      <c r="W2676" s="171"/>
      <c r="X2676" s="171"/>
      <c r="Y2676" s="171"/>
      <c r="Z2676" s="171"/>
      <c r="AA2676" s="171"/>
    </row>
    <row r="2677" spans="1:27" s="530" customFormat="1" hidden="1" x14ac:dyDescent="0.2">
      <c r="A2677" s="526"/>
      <c r="B2677" s="527"/>
      <c r="C2677" s="465"/>
      <c r="D2677" s="464"/>
      <c r="E2677" s="464"/>
      <c r="F2677" s="464"/>
      <c r="G2677" s="510"/>
      <c r="H2677" s="411"/>
      <c r="I2677" s="411"/>
      <c r="J2677" s="750" t="e">
        <f t="shared" si="26"/>
        <v>#DIV/0!</v>
      </c>
      <c r="K2677" s="412"/>
      <c r="L2677" s="412"/>
      <c r="M2677" s="682"/>
      <c r="N2677" s="171"/>
      <c r="O2677" s="171"/>
      <c r="P2677" s="169"/>
      <c r="Q2677" s="171"/>
      <c r="R2677" s="171"/>
      <c r="S2677" s="171"/>
      <c r="T2677" s="171"/>
      <c r="U2677" s="171"/>
      <c r="V2677" s="171"/>
      <c r="W2677" s="171"/>
      <c r="X2677" s="171"/>
      <c r="Y2677" s="171"/>
      <c r="Z2677" s="171"/>
      <c r="AA2677" s="171"/>
    </row>
    <row r="2678" spans="1:27" s="530" customFormat="1" hidden="1" x14ac:dyDescent="0.2">
      <c r="A2678" s="526"/>
      <c r="B2678" s="527"/>
      <c r="C2678" s="465"/>
      <c r="D2678" s="464"/>
      <c r="E2678" s="464"/>
      <c r="F2678" s="464"/>
      <c r="G2678" s="510"/>
      <c r="H2678" s="411"/>
      <c r="I2678" s="411"/>
      <c r="J2678" s="750" t="e">
        <f t="shared" si="26"/>
        <v>#DIV/0!</v>
      </c>
      <c r="K2678" s="412"/>
      <c r="L2678" s="412"/>
      <c r="M2678" s="682"/>
      <c r="N2678" s="171"/>
      <c r="O2678" s="171"/>
      <c r="P2678" s="169"/>
      <c r="Q2678" s="171"/>
      <c r="R2678" s="171"/>
      <c r="S2678" s="171"/>
      <c r="T2678" s="171"/>
      <c r="U2678" s="171"/>
      <c r="V2678" s="171"/>
      <c r="W2678" s="171"/>
      <c r="X2678" s="171"/>
      <c r="Y2678" s="171"/>
      <c r="Z2678" s="171"/>
      <c r="AA2678" s="171"/>
    </row>
    <row r="2679" spans="1:27" s="530" customFormat="1" hidden="1" x14ac:dyDescent="0.2">
      <c r="A2679" s="526"/>
      <c r="B2679" s="527"/>
      <c r="C2679" s="465"/>
      <c r="D2679" s="464"/>
      <c r="E2679" s="464"/>
      <c r="F2679" s="464"/>
      <c r="G2679" s="510"/>
      <c r="H2679" s="411"/>
      <c r="I2679" s="411"/>
      <c r="J2679" s="750" t="e">
        <f t="shared" si="26"/>
        <v>#DIV/0!</v>
      </c>
      <c r="K2679" s="412"/>
      <c r="L2679" s="412"/>
      <c r="M2679" s="682"/>
      <c r="N2679" s="171"/>
      <c r="O2679" s="171"/>
      <c r="P2679" s="169"/>
      <c r="Q2679" s="171"/>
      <c r="R2679" s="171"/>
      <c r="S2679" s="171"/>
      <c r="T2679" s="171"/>
      <c r="U2679" s="171"/>
      <c r="V2679" s="171"/>
      <c r="W2679" s="171"/>
      <c r="X2679" s="171"/>
      <c r="Y2679" s="171"/>
      <c r="Z2679" s="171"/>
      <c r="AA2679" s="171"/>
    </row>
    <row r="2680" spans="1:27" s="530" customFormat="1" hidden="1" x14ac:dyDescent="0.2">
      <c r="A2680" s="526"/>
      <c r="B2680" s="527"/>
      <c r="C2680" s="465"/>
      <c r="D2680" s="464"/>
      <c r="E2680" s="464"/>
      <c r="F2680" s="464"/>
      <c r="G2680" s="510"/>
      <c r="H2680" s="411"/>
      <c r="I2680" s="411"/>
      <c r="J2680" s="750" t="e">
        <f t="shared" si="26"/>
        <v>#DIV/0!</v>
      </c>
      <c r="K2680" s="412"/>
      <c r="L2680" s="412"/>
      <c r="M2680" s="682"/>
      <c r="N2680" s="171"/>
      <c r="O2680" s="171"/>
      <c r="P2680" s="169"/>
      <c r="Q2680" s="171"/>
      <c r="R2680" s="171"/>
      <c r="S2680" s="171"/>
      <c r="T2680" s="171"/>
      <c r="U2680" s="171"/>
      <c r="V2680" s="171"/>
      <c r="W2680" s="171"/>
      <c r="X2680" s="171"/>
      <c r="Y2680" s="171"/>
      <c r="Z2680" s="171"/>
      <c r="AA2680" s="171"/>
    </row>
    <row r="2681" spans="1:27" s="530" customFormat="1" hidden="1" x14ac:dyDescent="0.2">
      <c r="A2681" s="526"/>
      <c r="B2681" s="527"/>
      <c r="C2681" s="465"/>
      <c r="D2681" s="464"/>
      <c r="E2681" s="464"/>
      <c r="F2681" s="464"/>
      <c r="G2681" s="510"/>
      <c r="H2681" s="411"/>
      <c r="I2681" s="411"/>
      <c r="J2681" s="750" t="e">
        <f t="shared" si="26"/>
        <v>#DIV/0!</v>
      </c>
      <c r="K2681" s="412"/>
      <c r="L2681" s="412"/>
      <c r="M2681" s="682"/>
      <c r="N2681" s="171"/>
      <c r="O2681" s="171"/>
      <c r="P2681" s="169"/>
      <c r="Q2681" s="171"/>
      <c r="R2681" s="171"/>
      <c r="S2681" s="171"/>
      <c r="T2681" s="171"/>
      <c r="U2681" s="171"/>
      <c r="V2681" s="171"/>
      <c r="W2681" s="171"/>
      <c r="X2681" s="171"/>
      <c r="Y2681" s="171"/>
      <c r="Z2681" s="171"/>
      <c r="AA2681" s="171"/>
    </row>
    <row r="2682" spans="1:27" s="530" customFormat="1" hidden="1" x14ac:dyDescent="0.2">
      <c r="A2682" s="526"/>
      <c r="B2682" s="527"/>
      <c r="C2682" s="465"/>
      <c r="D2682" s="464"/>
      <c r="E2682" s="464"/>
      <c r="F2682" s="464"/>
      <c r="G2682" s="510"/>
      <c r="H2682" s="411"/>
      <c r="I2682" s="411"/>
      <c r="J2682" s="750" t="e">
        <f t="shared" si="26"/>
        <v>#DIV/0!</v>
      </c>
      <c r="K2682" s="412"/>
      <c r="L2682" s="412"/>
      <c r="M2682" s="682"/>
      <c r="N2682" s="171"/>
      <c r="O2682" s="171"/>
      <c r="P2682" s="169"/>
      <c r="Q2682" s="171"/>
      <c r="R2682" s="171"/>
      <c r="S2682" s="171"/>
      <c r="T2682" s="171"/>
      <c r="U2682" s="171"/>
      <c r="V2682" s="171"/>
      <c r="W2682" s="171"/>
      <c r="X2682" s="171"/>
      <c r="Y2682" s="171"/>
      <c r="Z2682" s="171"/>
      <c r="AA2682" s="171"/>
    </row>
    <row r="2683" spans="1:27" s="530" customFormat="1" hidden="1" x14ac:dyDescent="0.2">
      <c r="A2683" s="526"/>
      <c r="B2683" s="527"/>
      <c r="C2683" s="465"/>
      <c r="D2683" s="464"/>
      <c r="E2683" s="464"/>
      <c r="F2683" s="464"/>
      <c r="G2683" s="510"/>
      <c r="H2683" s="411"/>
      <c r="I2683" s="411"/>
      <c r="J2683" s="750" t="e">
        <f t="shared" si="26"/>
        <v>#DIV/0!</v>
      </c>
      <c r="K2683" s="412"/>
      <c r="L2683" s="412"/>
      <c r="M2683" s="682"/>
      <c r="N2683" s="171"/>
      <c r="O2683" s="171"/>
      <c r="P2683" s="169"/>
      <c r="Q2683" s="171"/>
      <c r="R2683" s="171"/>
      <c r="S2683" s="171"/>
      <c r="T2683" s="171"/>
      <c r="U2683" s="171"/>
      <c r="V2683" s="171"/>
      <c r="W2683" s="171"/>
      <c r="X2683" s="171"/>
      <c r="Y2683" s="171"/>
      <c r="Z2683" s="171"/>
      <c r="AA2683" s="171"/>
    </row>
    <row r="2684" spans="1:27" s="530" customFormat="1" hidden="1" x14ac:dyDescent="0.2">
      <c r="A2684" s="526"/>
      <c r="B2684" s="527"/>
      <c r="C2684" s="465"/>
      <c r="D2684" s="464"/>
      <c r="E2684" s="464"/>
      <c r="F2684" s="464"/>
      <c r="G2684" s="510"/>
      <c r="H2684" s="411"/>
      <c r="I2684" s="411"/>
      <c r="J2684" s="750" t="e">
        <f t="shared" si="26"/>
        <v>#DIV/0!</v>
      </c>
      <c r="K2684" s="412"/>
      <c r="L2684" s="412"/>
      <c r="M2684" s="682"/>
      <c r="N2684" s="171"/>
      <c r="O2684" s="171"/>
      <c r="P2684" s="169"/>
      <c r="Q2684" s="171"/>
      <c r="R2684" s="171"/>
      <c r="S2684" s="171"/>
      <c r="T2684" s="171"/>
      <c r="U2684" s="171"/>
      <c r="V2684" s="171"/>
      <c r="W2684" s="171"/>
      <c r="X2684" s="171"/>
      <c r="Y2684" s="171"/>
      <c r="Z2684" s="171"/>
      <c r="AA2684" s="171"/>
    </row>
    <row r="2685" spans="1:27" s="530" customFormat="1" hidden="1" x14ac:dyDescent="0.2">
      <c r="A2685" s="526"/>
      <c r="B2685" s="527"/>
      <c r="C2685" s="465"/>
      <c r="D2685" s="464"/>
      <c r="E2685" s="464"/>
      <c r="F2685" s="464"/>
      <c r="G2685" s="510"/>
      <c r="H2685" s="411"/>
      <c r="I2685" s="411"/>
      <c r="J2685" s="750" t="e">
        <f t="shared" si="26"/>
        <v>#DIV/0!</v>
      </c>
      <c r="K2685" s="412"/>
      <c r="L2685" s="412"/>
      <c r="M2685" s="682"/>
      <c r="N2685" s="171"/>
      <c r="O2685" s="171"/>
      <c r="P2685" s="169"/>
      <c r="Q2685" s="171"/>
      <c r="R2685" s="171"/>
      <c r="S2685" s="171"/>
      <c r="T2685" s="171"/>
      <c r="U2685" s="171"/>
      <c r="V2685" s="171"/>
      <c r="W2685" s="171"/>
      <c r="X2685" s="171"/>
      <c r="Y2685" s="171"/>
      <c r="Z2685" s="171"/>
      <c r="AA2685" s="171"/>
    </row>
    <row r="2686" spans="1:27" s="530" customFormat="1" hidden="1" x14ac:dyDescent="0.2">
      <c r="A2686" s="526"/>
      <c r="B2686" s="527"/>
      <c r="C2686" s="465"/>
      <c r="D2686" s="464"/>
      <c r="E2686" s="464"/>
      <c r="F2686" s="464"/>
      <c r="G2686" s="510"/>
      <c r="H2686" s="411"/>
      <c r="I2686" s="411"/>
      <c r="J2686" s="750" t="e">
        <f t="shared" si="26"/>
        <v>#DIV/0!</v>
      </c>
      <c r="K2686" s="412"/>
      <c r="L2686" s="412"/>
      <c r="M2686" s="682"/>
      <c r="N2686" s="171"/>
      <c r="O2686" s="171"/>
      <c r="P2686" s="169"/>
      <c r="Q2686" s="171"/>
      <c r="R2686" s="171"/>
      <c r="S2686" s="171"/>
      <c r="T2686" s="171"/>
      <c r="U2686" s="171"/>
      <c r="V2686" s="171"/>
      <c r="W2686" s="171"/>
      <c r="X2686" s="171"/>
      <c r="Y2686" s="171"/>
      <c r="Z2686" s="171"/>
      <c r="AA2686" s="171"/>
    </row>
    <row r="2687" spans="1:27" s="530" customFormat="1" hidden="1" x14ac:dyDescent="0.2">
      <c r="A2687" s="526"/>
      <c r="B2687" s="527"/>
      <c r="C2687" s="465"/>
      <c r="D2687" s="464"/>
      <c r="E2687" s="464"/>
      <c r="F2687" s="464"/>
      <c r="G2687" s="510"/>
      <c r="H2687" s="411"/>
      <c r="I2687" s="411"/>
      <c r="J2687" s="750" t="e">
        <f t="shared" si="26"/>
        <v>#DIV/0!</v>
      </c>
      <c r="K2687" s="412"/>
      <c r="L2687" s="412"/>
      <c r="M2687" s="682"/>
      <c r="N2687" s="171"/>
      <c r="O2687" s="171"/>
      <c r="P2687" s="169"/>
      <c r="Q2687" s="171"/>
      <c r="R2687" s="171"/>
      <c r="S2687" s="171"/>
      <c r="T2687" s="171"/>
      <c r="U2687" s="171"/>
      <c r="V2687" s="171"/>
      <c r="W2687" s="171"/>
      <c r="X2687" s="171"/>
      <c r="Y2687" s="171"/>
      <c r="Z2687" s="171"/>
      <c r="AA2687" s="171"/>
    </row>
    <row r="2688" spans="1:27" s="530" customFormat="1" hidden="1" x14ac:dyDescent="0.2">
      <c r="A2688" s="526"/>
      <c r="B2688" s="527"/>
      <c r="C2688" s="465"/>
      <c r="D2688" s="464"/>
      <c r="E2688" s="464"/>
      <c r="F2688" s="464"/>
      <c r="G2688" s="510"/>
      <c r="H2688" s="411"/>
      <c r="I2688" s="411"/>
      <c r="J2688" s="750" t="e">
        <f t="shared" si="26"/>
        <v>#DIV/0!</v>
      </c>
      <c r="K2688" s="412"/>
      <c r="L2688" s="412"/>
      <c r="M2688" s="682"/>
      <c r="N2688" s="171"/>
      <c r="O2688" s="171"/>
      <c r="P2688" s="169"/>
      <c r="Q2688" s="171"/>
      <c r="R2688" s="171"/>
      <c r="S2688" s="171"/>
      <c r="T2688" s="171"/>
      <c r="U2688" s="171"/>
      <c r="V2688" s="171"/>
      <c r="W2688" s="171"/>
      <c r="X2688" s="171"/>
      <c r="Y2688" s="171"/>
      <c r="Z2688" s="171"/>
      <c r="AA2688" s="171"/>
    </row>
    <row r="2689" spans="1:27" s="530" customFormat="1" hidden="1" x14ac:dyDescent="0.2">
      <c r="A2689" s="526"/>
      <c r="B2689" s="527"/>
      <c r="C2689" s="465"/>
      <c r="D2689" s="464"/>
      <c r="E2689" s="464"/>
      <c r="F2689" s="464"/>
      <c r="G2689" s="510"/>
      <c r="H2689" s="411"/>
      <c r="I2689" s="411"/>
      <c r="J2689" s="750" t="e">
        <f t="shared" si="26"/>
        <v>#DIV/0!</v>
      </c>
      <c r="K2689" s="412"/>
      <c r="L2689" s="412"/>
      <c r="M2689" s="682"/>
      <c r="N2689" s="171"/>
      <c r="O2689" s="171"/>
      <c r="P2689" s="169"/>
      <c r="Q2689" s="171"/>
      <c r="R2689" s="171"/>
      <c r="S2689" s="171"/>
      <c r="T2689" s="171"/>
      <c r="U2689" s="171"/>
      <c r="V2689" s="171"/>
      <c r="W2689" s="171"/>
      <c r="X2689" s="171"/>
      <c r="Y2689" s="171"/>
      <c r="Z2689" s="171"/>
      <c r="AA2689" s="171"/>
    </row>
    <row r="2690" spans="1:27" s="530" customFormat="1" hidden="1" x14ac:dyDescent="0.2">
      <c r="A2690" s="526"/>
      <c r="B2690" s="527"/>
      <c r="C2690" s="465"/>
      <c r="D2690" s="464"/>
      <c r="E2690" s="464"/>
      <c r="F2690" s="464"/>
      <c r="G2690" s="510"/>
      <c r="H2690" s="411"/>
      <c r="I2690" s="411"/>
      <c r="J2690" s="750" t="e">
        <f t="shared" si="26"/>
        <v>#DIV/0!</v>
      </c>
      <c r="K2690" s="412"/>
      <c r="L2690" s="412"/>
      <c r="M2690" s="682"/>
      <c r="N2690" s="171"/>
      <c r="O2690" s="171"/>
      <c r="P2690" s="169"/>
      <c r="Q2690" s="171"/>
      <c r="R2690" s="171"/>
      <c r="S2690" s="171"/>
      <c r="T2690" s="171"/>
      <c r="U2690" s="171"/>
      <c r="V2690" s="171"/>
      <c r="W2690" s="171"/>
      <c r="X2690" s="171"/>
      <c r="Y2690" s="171"/>
      <c r="Z2690" s="171"/>
      <c r="AA2690" s="171"/>
    </row>
    <row r="2691" spans="1:27" s="530" customFormat="1" hidden="1" x14ac:dyDescent="0.2">
      <c r="A2691" s="526"/>
      <c r="B2691" s="527"/>
      <c r="C2691" s="465"/>
      <c r="D2691" s="464"/>
      <c r="E2691" s="464"/>
      <c r="F2691" s="464"/>
      <c r="G2691" s="510"/>
      <c r="H2691" s="411"/>
      <c r="I2691" s="411"/>
      <c r="J2691" s="750" t="e">
        <f t="shared" si="26"/>
        <v>#DIV/0!</v>
      </c>
      <c r="K2691" s="412"/>
      <c r="L2691" s="412"/>
      <c r="M2691" s="682"/>
      <c r="N2691" s="171"/>
      <c r="O2691" s="171"/>
      <c r="P2691" s="169"/>
      <c r="Q2691" s="171"/>
      <c r="R2691" s="171"/>
      <c r="S2691" s="171"/>
      <c r="T2691" s="171"/>
      <c r="U2691" s="171"/>
      <c r="V2691" s="171"/>
      <c r="W2691" s="171"/>
      <c r="X2691" s="171"/>
      <c r="Y2691" s="171"/>
      <c r="Z2691" s="171"/>
      <c r="AA2691" s="171"/>
    </row>
    <row r="2692" spans="1:27" s="530" customFormat="1" hidden="1" x14ac:dyDescent="0.2">
      <c r="A2692" s="526"/>
      <c r="B2692" s="527"/>
      <c r="C2692" s="465"/>
      <c r="D2692" s="464"/>
      <c r="E2692" s="464"/>
      <c r="F2692" s="464"/>
      <c r="G2692" s="510"/>
      <c r="H2692" s="411"/>
      <c r="I2692" s="411"/>
      <c r="J2692" s="750" t="e">
        <f t="shared" si="26"/>
        <v>#DIV/0!</v>
      </c>
      <c r="K2692" s="412"/>
      <c r="L2692" s="412"/>
      <c r="M2692" s="682"/>
      <c r="N2692" s="171"/>
      <c r="O2692" s="171"/>
      <c r="P2692" s="169"/>
      <c r="Q2692" s="171"/>
      <c r="R2692" s="171"/>
      <c r="S2692" s="171"/>
      <c r="T2692" s="171"/>
      <c r="U2692" s="171"/>
      <c r="V2692" s="171"/>
      <c r="W2692" s="171"/>
      <c r="X2692" s="171"/>
      <c r="Y2692" s="171"/>
      <c r="Z2692" s="171"/>
      <c r="AA2692" s="171"/>
    </row>
    <row r="2693" spans="1:27" s="530" customFormat="1" hidden="1" x14ac:dyDescent="0.2">
      <c r="A2693" s="526"/>
      <c r="B2693" s="527"/>
      <c r="C2693" s="465"/>
      <c r="D2693" s="464"/>
      <c r="E2693" s="464"/>
      <c r="F2693" s="464"/>
      <c r="G2693" s="510"/>
      <c r="H2693" s="411"/>
      <c r="I2693" s="411"/>
      <c r="J2693" s="750" t="e">
        <f t="shared" si="26"/>
        <v>#DIV/0!</v>
      </c>
      <c r="K2693" s="412"/>
      <c r="L2693" s="412"/>
      <c r="M2693" s="682"/>
      <c r="N2693" s="171"/>
      <c r="O2693" s="171"/>
      <c r="P2693" s="169"/>
      <c r="Q2693" s="171"/>
      <c r="R2693" s="171"/>
      <c r="S2693" s="171"/>
      <c r="T2693" s="171"/>
      <c r="U2693" s="171"/>
      <c r="V2693" s="171"/>
      <c r="W2693" s="171"/>
      <c r="X2693" s="171"/>
      <c r="Y2693" s="171"/>
      <c r="Z2693" s="171"/>
      <c r="AA2693" s="171"/>
    </row>
    <row r="2694" spans="1:27" s="530" customFormat="1" hidden="1" x14ac:dyDescent="0.2">
      <c r="A2694" s="526"/>
      <c r="B2694" s="527"/>
      <c r="C2694" s="465"/>
      <c r="D2694" s="464"/>
      <c r="E2694" s="464"/>
      <c r="F2694" s="464"/>
      <c r="G2694" s="510"/>
      <c r="H2694" s="411"/>
      <c r="I2694" s="411"/>
      <c r="J2694" s="750" t="e">
        <f t="shared" si="26"/>
        <v>#DIV/0!</v>
      </c>
      <c r="K2694" s="412"/>
      <c r="L2694" s="412"/>
      <c r="M2694" s="682"/>
      <c r="N2694" s="171"/>
      <c r="O2694" s="171"/>
      <c r="P2694" s="169"/>
      <c r="Q2694" s="171"/>
      <c r="R2694" s="171"/>
      <c r="S2694" s="171"/>
      <c r="T2694" s="171"/>
      <c r="U2694" s="171"/>
      <c r="V2694" s="171"/>
      <c r="W2694" s="171"/>
      <c r="X2694" s="171"/>
      <c r="Y2694" s="171"/>
      <c r="Z2694" s="171"/>
      <c r="AA2694" s="171"/>
    </row>
    <row r="2695" spans="1:27" s="530" customFormat="1" hidden="1" x14ac:dyDescent="0.2">
      <c r="A2695" s="526"/>
      <c r="B2695" s="527"/>
      <c r="C2695" s="465"/>
      <c r="D2695" s="464"/>
      <c r="E2695" s="464"/>
      <c r="F2695" s="464"/>
      <c r="G2695" s="510"/>
      <c r="H2695" s="411"/>
      <c r="I2695" s="411"/>
      <c r="J2695" s="750" t="e">
        <f t="shared" si="26"/>
        <v>#DIV/0!</v>
      </c>
      <c r="K2695" s="412"/>
      <c r="L2695" s="412"/>
      <c r="M2695" s="682"/>
      <c r="N2695" s="171"/>
      <c r="O2695" s="171"/>
      <c r="P2695" s="169"/>
      <c r="Q2695" s="171"/>
      <c r="R2695" s="171"/>
      <c r="S2695" s="171"/>
      <c r="T2695" s="171"/>
      <c r="U2695" s="171"/>
      <c r="V2695" s="171"/>
      <c r="W2695" s="171"/>
      <c r="X2695" s="171"/>
      <c r="Y2695" s="171"/>
      <c r="Z2695" s="171"/>
      <c r="AA2695" s="171"/>
    </row>
    <row r="2696" spans="1:27" s="530" customFormat="1" hidden="1" x14ac:dyDescent="0.2">
      <c r="A2696" s="526"/>
      <c r="B2696" s="527"/>
      <c r="C2696" s="465"/>
      <c r="D2696" s="464"/>
      <c r="E2696" s="464"/>
      <c r="F2696" s="464"/>
      <c r="G2696" s="510"/>
      <c r="H2696" s="411"/>
      <c r="I2696" s="411"/>
      <c r="J2696" s="750" t="e">
        <f t="shared" si="26"/>
        <v>#DIV/0!</v>
      </c>
      <c r="K2696" s="412"/>
      <c r="L2696" s="412"/>
      <c r="M2696" s="682"/>
      <c r="N2696" s="171"/>
      <c r="O2696" s="171"/>
      <c r="P2696" s="169"/>
      <c r="Q2696" s="171"/>
      <c r="R2696" s="171"/>
      <c r="S2696" s="171"/>
      <c r="T2696" s="171"/>
      <c r="U2696" s="171"/>
      <c r="V2696" s="171"/>
      <c r="W2696" s="171"/>
      <c r="X2696" s="171"/>
      <c r="Y2696" s="171"/>
      <c r="Z2696" s="171"/>
      <c r="AA2696" s="171"/>
    </row>
    <row r="2697" spans="1:27" s="530" customFormat="1" hidden="1" x14ac:dyDescent="0.2">
      <c r="A2697" s="526"/>
      <c r="B2697" s="527"/>
      <c r="C2697" s="465"/>
      <c r="D2697" s="464"/>
      <c r="E2697" s="464"/>
      <c r="F2697" s="464"/>
      <c r="G2697" s="510"/>
      <c r="H2697" s="411"/>
      <c r="I2697" s="411"/>
      <c r="J2697" s="750" t="e">
        <f t="shared" si="26"/>
        <v>#DIV/0!</v>
      </c>
      <c r="K2697" s="412"/>
      <c r="L2697" s="412"/>
      <c r="M2697" s="682"/>
      <c r="N2697" s="171"/>
      <c r="O2697" s="171"/>
      <c r="P2697" s="169"/>
      <c r="Q2697" s="171"/>
      <c r="R2697" s="171"/>
      <c r="S2697" s="171"/>
      <c r="T2697" s="171"/>
      <c r="U2697" s="171"/>
      <c r="V2697" s="171"/>
      <c r="W2697" s="171"/>
      <c r="X2697" s="171"/>
      <c r="Y2697" s="171"/>
      <c r="Z2697" s="171"/>
      <c r="AA2697" s="171"/>
    </row>
    <row r="2698" spans="1:27" s="530" customFormat="1" hidden="1" x14ac:dyDescent="0.2">
      <c r="A2698" s="526"/>
      <c r="B2698" s="527"/>
      <c r="C2698" s="465"/>
      <c r="D2698" s="464"/>
      <c r="E2698" s="464"/>
      <c r="F2698" s="464"/>
      <c r="G2698" s="510"/>
      <c r="H2698" s="411"/>
      <c r="I2698" s="411"/>
      <c r="J2698" s="750" t="e">
        <f t="shared" si="26"/>
        <v>#DIV/0!</v>
      </c>
      <c r="K2698" s="412"/>
      <c r="L2698" s="412"/>
      <c r="M2698" s="682"/>
      <c r="N2698" s="171"/>
      <c r="O2698" s="171"/>
      <c r="P2698" s="169"/>
      <c r="Q2698" s="171"/>
      <c r="R2698" s="171"/>
      <c r="S2698" s="171"/>
      <c r="T2698" s="171"/>
      <c r="U2698" s="171"/>
      <c r="V2698" s="171"/>
      <c r="W2698" s="171"/>
      <c r="X2698" s="171"/>
      <c r="Y2698" s="171"/>
      <c r="Z2698" s="171"/>
      <c r="AA2698" s="171"/>
    </row>
    <row r="2699" spans="1:27" s="530" customFormat="1" hidden="1" x14ac:dyDescent="0.2">
      <c r="A2699" s="526"/>
      <c r="B2699" s="527"/>
      <c r="C2699" s="465"/>
      <c r="D2699" s="464"/>
      <c r="E2699" s="464"/>
      <c r="F2699" s="464"/>
      <c r="G2699" s="510"/>
      <c r="H2699" s="411"/>
      <c r="I2699" s="411"/>
      <c r="J2699" s="750" t="e">
        <f t="shared" si="26"/>
        <v>#DIV/0!</v>
      </c>
      <c r="K2699" s="412"/>
      <c r="L2699" s="412"/>
      <c r="M2699" s="682"/>
      <c r="N2699" s="171"/>
      <c r="O2699" s="171"/>
      <c r="P2699" s="169"/>
      <c r="Q2699" s="171"/>
      <c r="R2699" s="171"/>
      <c r="S2699" s="171"/>
      <c r="T2699" s="171"/>
      <c r="U2699" s="171"/>
      <c r="V2699" s="171"/>
      <c r="W2699" s="171"/>
      <c r="X2699" s="171"/>
      <c r="Y2699" s="171"/>
      <c r="Z2699" s="171"/>
      <c r="AA2699" s="171"/>
    </row>
    <row r="2700" spans="1:27" s="530" customFormat="1" hidden="1" x14ac:dyDescent="0.2">
      <c r="A2700" s="526"/>
      <c r="B2700" s="527"/>
      <c r="C2700" s="465"/>
      <c r="D2700" s="464"/>
      <c r="E2700" s="464"/>
      <c r="F2700" s="464"/>
      <c r="G2700" s="510"/>
      <c r="H2700" s="411"/>
      <c r="I2700" s="411"/>
      <c r="J2700" s="750" t="e">
        <f t="shared" si="26"/>
        <v>#DIV/0!</v>
      </c>
      <c r="K2700" s="412"/>
      <c r="L2700" s="412"/>
      <c r="M2700" s="682"/>
      <c r="N2700" s="171"/>
      <c r="O2700" s="171"/>
      <c r="P2700" s="169"/>
      <c r="Q2700" s="171"/>
      <c r="R2700" s="171"/>
      <c r="S2700" s="171"/>
      <c r="T2700" s="171"/>
      <c r="U2700" s="171"/>
      <c r="V2700" s="171"/>
      <c r="W2700" s="171"/>
      <c r="X2700" s="171"/>
      <c r="Y2700" s="171"/>
      <c r="Z2700" s="171"/>
      <c r="AA2700" s="171"/>
    </row>
    <row r="2701" spans="1:27" s="530" customFormat="1" hidden="1" x14ac:dyDescent="0.2">
      <c r="A2701" s="526"/>
      <c r="B2701" s="527"/>
      <c r="C2701" s="465"/>
      <c r="D2701" s="464"/>
      <c r="E2701" s="464"/>
      <c r="F2701" s="464"/>
      <c r="G2701" s="510"/>
      <c r="H2701" s="411"/>
      <c r="I2701" s="411"/>
      <c r="J2701" s="750" t="e">
        <f t="shared" ref="J2701:J2764" si="27">SUM(I2701/H2701)*100</f>
        <v>#DIV/0!</v>
      </c>
      <c r="K2701" s="412"/>
      <c r="L2701" s="412"/>
      <c r="M2701" s="682"/>
      <c r="N2701" s="171"/>
      <c r="O2701" s="171"/>
      <c r="P2701" s="169"/>
      <c r="Q2701" s="171"/>
      <c r="R2701" s="171"/>
      <c r="S2701" s="171"/>
      <c r="T2701" s="171"/>
      <c r="U2701" s="171"/>
      <c r="V2701" s="171"/>
      <c r="W2701" s="171"/>
      <c r="X2701" s="171"/>
      <c r="Y2701" s="171"/>
      <c r="Z2701" s="171"/>
      <c r="AA2701" s="171"/>
    </row>
    <row r="2702" spans="1:27" s="530" customFormat="1" hidden="1" x14ac:dyDescent="0.2">
      <c r="A2702" s="526"/>
      <c r="B2702" s="527"/>
      <c r="C2702" s="465"/>
      <c r="D2702" s="464"/>
      <c r="E2702" s="464"/>
      <c r="F2702" s="464"/>
      <c r="G2702" s="510"/>
      <c r="H2702" s="411"/>
      <c r="I2702" s="411"/>
      <c r="J2702" s="750" t="e">
        <f t="shared" si="27"/>
        <v>#DIV/0!</v>
      </c>
      <c r="K2702" s="412"/>
      <c r="L2702" s="412"/>
      <c r="M2702" s="682"/>
      <c r="N2702" s="171"/>
      <c r="O2702" s="171"/>
      <c r="P2702" s="169"/>
      <c r="Q2702" s="171"/>
      <c r="R2702" s="171"/>
      <c r="S2702" s="171"/>
      <c r="T2702" s="171"/>
      <c r="U2702" s="171"/>
      <c r="V2702" s="171"/>
      <c r="W2702" s="171"/>
      <c r="X2702" s="171"/>
      <c r="Y2702" s="171"/>
      <c r="Z2702" s="171"/>
      <c r="AA2702" s="171"/>
    </row>
    <row r="2703" spans="1:27" s="530" customFormat="1" hidden="1" x14ac:dyDescent="0.2">
      <c r="A2703" s="526"/>
      <c r="B2703" s="527"/>
      <c r="C2703" s="465"/>
      <c r="D2703" s="464"/>
      <c r="E2703" s="464"/>
      <c r="F2703" s="464"/>
      <c r="G2703" s="510"/>
      <c r="H2703" s="411"/>
      <c r="I2703" s="411"/>
      <c r="J2703" s="750" t="e">
        <f t="shared" si="27"/>
        <v>#DIV/0!</v>
      </c>
      <c r="K2703" s="412"/>
      <c r="L2703" s="412"/>
      <c r="M2703" s="682"/>
      <c r="N2703" s="171"/>
      <c r="O2703" s="171"/>
      <c r="P2703" s="169"/>
      <c r="Q2703" s="171"/>
      <c r="R2703" s="171"/>
      <c r="S2703" s="171"/>
      <c r="T2703" s="171"/>
      <c r="U2703" s="171"/>
      <c r="V2703" s="171"/>
      <c r="W2703" s="171"/>
      <c r="X2703" s="171"/>
      <c r="Y2703" s="171"/>
      <c r="Z2703" s="171"/>
      <c r="AA2703" s="171"/>
    </row>
    <row r="2704" spans="1:27" s="530" customFormat="1" hidden="1" x14ac:dyDescent="0.2">
      <c r="A2704" s="526"/>
      <c r="B2704" s="527"/>
      <c r="C2704" s="465"/>
      <c r="D2704" s="464"/>
      <c r="E2704" s="464"/>
      <c r="F2704" s="464"/>
      <c r="G2704" s="510"/>
      <c r="H2704" s="411"/>
      <c r="I2704" s="411"/>
      <c r="J2704" s="750" t="e">
        <f t="shared" si="27"/>
        <v>#DIV/0!</v>
      </c>
      <c r="K2704" s="412"/>
      <c r="L2704" s="412"/>
      <c r="M2704" s="682"/>
      <c r="N2704" s="171"/>
      <c r="O2704" s="171"/>
      <c r="P2704" s="169"/>
      <c r="Q2704" s="171"/>
      <c r="R2704" s="171"/>
      <c r="S2704" s="171"/>
      <c r="T2704" s="171"/>
      <c r="U2704" s="171"/>
      <c r="V2704" s="171"/>
      <c r="W2704" s="171"/>
      <c r="X2704" s="171"/>
      <c r="Y2704" s="171"/>
      <c r="Z2704" s="171"/>
      <c r="AA2704" s="171"/>
    </row>
    <row r="2705" spans="1:27" s="530" customFormat="1" hidden="1" x14ac:dyDescent="0.2">
      <c r="A2705" s="526"/>
      <c r="B2705" s="527"/>
      <c r="C2705" s="465"/>
      <c r="D2705" s="464"/>
      <c r="E2705" s="464"/>
      <c r="F2705" s="464"/>
      <c r="G2705" s="510"/>
      <c r="H2705" s="411"/>
      <c r="I2705" s="411"/>
      <c r="J2705" s="750" t="e">
        <f t="shared" si="27"/>
        <v>#DIV/0!</v>
      </c>
      <c r="K2705" s="412"/>
      <c r="L2705" s="412"/>
      <c r="M2705" s="682"/>
      <c r="N2705" s="171"/>
      <c r="O2705" s="171"/>
      <c r="P2705" s="169"/>
      <c r="Q2705" s="171"/>
      <c r="R2705" s="171"/>
      <c r="S2705" s="171"/>
      <c r="T2705" s="171"/>
      <c r="U2705" s="171"/>
      <c r="V2705" s="171"/>
      <c r="W2705" s="171"/>
      <c r="X2705" s="171"/>
      <c r="Y2705" s="171"/>
      <c r="Z2705" s="171"/>
      <c r="AA2705" s="171"/>
    </row>
    <row r="2706" spans="1:27" s="530" customFormat="1" hidden="1" x14ac:dyDescent="0.2">
      <c r="A2706" s="526"/>
      <c r="B2706" s="527"/>
      <c r="C2706" s="465"/>
      <c r="D2706" s="464"/>
      <c r="E2706" s="464"/>
      <c r="F2706" s="464"/>
      <c r="G2706" s="510"/>
      <c r="H2706" s="411"/>
      <c r="I2706" s="411"/>
      <c r="J2706" s="750" t="e">
        <f t="shared" si="27"/>
        <v>#DIV/0!</v>
      </c>
      <c r="K2706" s="412"/>
      <c r="L2706" s="412"/>
      <c r="M2706" s="682"/>
      <c r="N2706" s="171"/>
      <c r="O2706" s="171"/>
      <c r="P2706" s="169"/>
      <c r="Q2706" s="171"/>
      <c r="R2706" s="171"/>
      <c r="S2706" s="171"/>
      <c r="T2706" s="171"/>
      <c r="U2706" s="171"/>
      <c r="V2706" s="171"/>
      <c r="W2706" s="171"/>
      <c r="X2706" s="171"/>
      <c r="Y2706" s="171"/>
      <c r="Z2706" s="171"/>
      <c r="AA2706" s="171"/>
    </row>
    <row r="2707" spans="1:27" s="530" customFormat="1" hidden="1" x14ac:dyDescent="0.2">
      <c r="A2707" s="526"/>
      <c r="B2707" s="527"/>
      <c r="C2707" s="465"/>
      <c r="D2707" s="464"/>
      <c r="E2707" s="464"/>
      <c r="F2707" s="464"/>
      <c r="G2707" s="510"/>
      <c r="H2707" s="411"/>
      <c r="I2707" s="411"/>
      <c r="J2707" s="750" t="e">
        <f t="shared" si="27"/>
        <v>#DIV/0!</v>
      </c>
      <c r="K2707" s="412"/>
      <c r="L2707" s="412"/>
      <c r="M2707" s="682"/>
      <c r="N2707" s="171"/>
      <c r="O2707" s="171"/>
      <c r="P2707" s="169"/>
      <c r="Q2707" s="171"/>
      <c r="R2707" s="171"/>
      <c r="S2707" s="171"/>
      <c r="T2707" s="171"/>
      <c r="U2707" s="171"/>
      <c r="V2707" s="171"/>
      <c r="W2707" s="171"/>
      <c r="X2707" s="171"/>
      <c r="Y2707" s="171"/>
      <c r="Z2707" s="171"/>
      <c r="AA2707" s="171"/>
    </row>
    <row r="2708" spans="1:27" s="530" customFormat="1" hidden="1" x14ac:dyDescent="0.2">
      <c r="A2708" s="526"/>
      <c r="B2708" s="527"/>
      <c r="C2708" s="465"/>
      <c r="D2708" s="464"/>
      <c r="E2708" s="464"/>
      <c r="F2708" s="464"/>
      <c r="G2708" s="510"/>
      <c r="H2708" s="411"/>
      <c r="I2708" s="411"/>
      <c r="J2708" s="750" t="e">
        <f t="shared" si="27"/>
        <v>#DIV/0!</v>
      </c>
      <c r="K2708" s="412"/>
      <c r="L2708" s="412"/>
      <c r="M2708" s="682"/>
      <c r="N2708" s="171"/>
      <c r="O2708" s="171"/>
      <c r="P2708" s="169"/>
      <c r="Q2708" s="171"/>
      <c r="R2708" s="171"/>
      <c r="S2708" s="171"/>
      <c r="T2708" s="171"/>
      <c r="U2708" s="171"/>
      <c r="V2708" s="171"/>
      <c r="W2708" s="171"/>
      <c r="X2708" s="171"/>
      <c r="Y2708" s="171"/>
      <c r="Z2708" s="171"/>
      <c r="AA2708" s="171"/>
    </row>
    <row r="2709" spans="1:27" s="530" customFormat="1" hidden="1" x14ac:dyDescent="0.2">
      <c r="A2709" s="526"/>
      <c r="B2709" s="527"/>
      <c r="C2709" s="465"/>
      <c r="D2709" s="464"/>
      <c r="E2709" s="464"/>
      <c r="F2709" s="464"/>
      <c r="G2709" s="510"/>
      <c r="H2709" s="411"/>
      <c r="I2709" s="411"/>
      <c r="J2709" s="750" t="e">
        <f t="shared" si="27"/>
        <v>#DIV/0!</v>
      </c>
      <c r="K2709" s="412"/>
      <c r="L2709" s="412"/>
      <c r="M2709" s="682"/>
      <c r="N2709" s="171"/>
      <c r="O2709" s="171"/>
      <c r="P2709" s="169"/>
      <c r="Q2709" s="171"/>
      <c r="R2709" s="171"/>
      <c r="S2709" s="171"/>
      <c r="T2709" s="171"/>
      <c r="U2709" s="171"/>
      <c r="V2709" s="171"/>
      <c r="W2709" s="171"/>
      <c r="X2709" s="171"/>
      <c r="Y2709" s="171"/>
      <c r="Z2709" s="171"/>
      <c r="AA2709" s="171"/>
    </row>
    <row r="2710" spans="1:27" s="530" customFormat="1" hidden="1" x14ac:dyDescent="0.2">
      <c r="A2710" s="526"/>
      <c r="B2710" s="527"/>
      <c r="C2710" s="465"/>
      <c r="D2710" s="464"/>
      <c r="E2710" s="464"/>
      <c r="F2710" s="464"/>
      <c r="G2710" s="510"/>
      <c r="H2710" s="411"/>
      <c r="I2710" s="411"/>
      <c r="J2710" s="750" t="e">
        <f t="shared" si="27"/>
        <v>#DIV/0!</v>
      </c>
      <c r="K2710" s="412"/>
      <c r="L2710" s="412"/>
      <c r="M2710" s="682"/>
      <c r="N2710" s="171"/>
      <c r="O2710" s="171"/>
      <c r="P2710" s="169"/>
      <c r="Q2710" s="171"/>
      <c r="R2710" s="171"/>
      <c r="S2710" s="171"/>
      <c r="T2710" s="171"/>
      <c r="U2710" s="171"/>
      <c r="V2710" s="171"/>
      <c r="W2710" s="171"/>
      <c r="X2710" s="171"/>
      <c r="Y2710" s="171"/>
      <c r="Z2710" s="171"/>
      <c r="AA2710" s="171"/>
    </row>
    <row r="2711" spans="1:27" s="530" customFormat="1" hidden="1" x14ac:dyDescent="0.2">
      <c r="A2711" s="526"/>
      <c r="B2711" s="527"/>
      <c r="C2711" s="465"/>
      <c r="D2711" s="464"/>
      <c r="E2711" s="464"/>
      <c r="F2711" s="464"/>
      <c r="G2711" s="510"/>
      <c r="H2711" s="411"/>
      <c r="I2711" s="411"/>
      <c r="J2711" s="750" t="e">
        <f t="shared" si="27"/>
        <v>#DIV/0!</v>
      </c>
      <c r="K2711" s="412"/>
      <c r="L2711" s="412"/>
      <c r="M2711" s="682"/>
      <c r="N2711" s="171"/>
      <c r="O2711" s="171"/>
      <c r="P2711" s="169"/>
      <c r="Q2711" s="171"/>
      <c r="R2711" s="171"/>
      <c r="S2711" s="171"/>
      <c r="T2711" s="171"/>
      <c r="U2711" s="171"/>
      <c r="V2711" s="171"/>
      <c r="W2711" s="171"/>
      <c r="X2711" s="171"/>
      <c r="Y2711" s="171"/>
      <c r="Z2711" s="171"/>
      <c r="AA2711" s="171"/>
    </row>
    <row r="2712" spans="1:27" s="530" customFormat="1" hidden="1" x14ac:dyDescent="0.2">
      <c r="A2712" s="526"/>
      <c r="B2712" s="527"/>
      <c r="C2712" s="465"/>
      <c r="D2712" s="464"/>
      <c r="E2712" s="464"/>
      <c r="F2712" s="464"/>
      <c r="G2712" s="510"/>
      <c r="H2712" s="411"/>
      <c r="I2712" s="411"/>
      <c r="J2712" s="750" t="e">
        <f t="shared" si="27"/>
        <v>#DIV/0!</v>
      </c>
      <c r="K2712" s="412"/>
      <c r="L2712" s="412"/>
      <c r="M2712" s="682"/>
      <c r="N2712" s="171"/>
      <c r="O2712" s="171"/>
      <c r="P2712" s="169"/>
      <c r="Q2712" s="171"/>
      <c r="R2712" s="171"/>
      <c r="S2712" s="171"/>
      <c r="T2712" s="171"/>
      <c r="U2712" s="171"/>
      <c r="V2712" s="171"/>
      <c r="W2712" s="171"/>
      <c r="X2712" s="171"/>
      <c r="Y2712" s="171"/>
      <c r="Z2712" s="171"/>
      <c r="AA2712" s="171"/>
    </row>
    <row r="2713" spans="1:27" s="530" customFormat="1" hidden="1" x14ac:dyDescent="0.2">
      <c r="A2713" s="526"/>
      <c r="B2713" s="527"/>
      <c r="C2713" s="465"/>
      <c r="D2713" s="464"/>
      <c r="E2713" s="464"/>
      <c r="F2713" s="464"/>
      <c r="G2713" s="510"/>
      <c r="H2713" s="411"/>
      <c r="I2713" s="411"/>
      <c r="J2713" s="750" t="e">
        <f t="shared" si="27"/>
        <v>#DIV/0!</v>
      </c>
      <c r="K2713" s="412"/>
      <c r="L2713" s="412"/>
      <c r="M2713" s="682"/>
      <c r="N2713" s="171"/>
      <c r="O2713" s="171"/>
      <c r="P2713" s="169"/>
      <c r="Q2713" s="171"/>
      <c r="R2713" s="171"/>
      <c r="S2713" s="171"/>
      <c r="T2713" s="171"/>
      <c r="U2713" s="171"/>
      <c r="V2713" s="171"/>
      <c r="W2713" s="171"/>
      <c r="X2713" s="171"/>
      <c r="Y2713" s="171"/>
      <c r="Z2713" s="171"/>
      <c r="AA2713" s="171"/>
    </row>
    <row r="2714" spans="1:27" s="530" customFormat="1" hidden="1" x14ac:dyDescent="0.2">
      <c r="A2714" s="526"/>
      <c r="B2714" s="527"/>
      <c r="C2714" s="465"/>
      <c r="D2714" s="464"/>
      <c r="E2714" s="464"/>
      <c r="F2714" s="464"/>
      <c r="G2714" s="510"/>
      <c r="H2714" s="411"/>
      <c r="I2714" s="411"/>
      <c r="J2714" s="750" t="e">
        <f t="shared" si="27"/>
        <v>#DIV/0!</v>
      </c>
      <c r="K2714" s="412"/>
      <c r="L2714" s="412"/>
      <c r="M2714" s="682"/>
      <c r="N2714" s="171"/>
      <c r="O2714" s="171"/>
      <c r="P2714" s="169"/>
      <c r="Q2714" s="171"/>
      <c r="R2714" s="171"/>
      <c r="S2714" s="171"/>
      <c r="T2714" s="171"/>
      <c r="U2714" s="171"/>
      <c r="V2714" s="171"/>
      <c r="W2714" s="171"/>
      <c r="X2714" s="171"/>
      <c r="Y2714" s="171"/>
      <c r="Z2714" s="171"/>
      <c r="AA2714" s="171"/>
    </row>
    <row r="2715" spans="1:27" s="530" customFormat="1" hidden="1" x14ac:dyDescent="0.2">
      <c r="A2715" s="526"/>
      <c r="B2715" s="527"/>
      <c r="C2715" s="465"/>
      <c r="D2715" s="464"/>
      <c r="E2715" s="464"/>
      <c r="F2715" s="464"/>
      <c r="G2715" s="510"/>
      <c r="H2715" s="411"/>
      <c r="I2715" s="411"/>
      <c r="J2715" s="750" t="e">
        <f t="shared" si="27"/>
        <v>#DIV/0!</v>
      </c>
      <c r="K2715" s="412"/>
      <c r="L2715" s="412"/>
      <c r="M2715" s="682"/>
      <c r="N2715" s="171"/>
      <c r="O2715" s="171"/>
      <c r="P2715" s="169"/>
      <c r="Q2715" s="171"/>
      <c r="R2715" s="171"/>
      <c r="S2715" s="171"/>
      <c r="T2715" s="171"/>
      <c r="U2715" s="171"/>
      <c r="V2715" s="171"/>
      <c r="W2715" s="171"/>
      <c r="X2715" s="171"/>
      <c r="Y2715" s="171"/>
      <c r="Z2715" s="171"/>
      <c r="AA2715" s="171"/>
    </row>
    <row r="2716" spans="1:27" s="530" customFormat="1" hidden="1" x14ac:dyDescent="0.2">
      <c r="A2716" s="526"/>
      <c r="B2716" s="527"/>
      <c r="C2716" s="465"/>
      <c r="D2716" s="464"/>
      <c r="E2716" s="464"/>
      <c r="F2716" s="464"/>
      <c r="G2716" s="510"/>
      <c r="H2716" s="411"/>
      <c r="I2716" s="411"/>
      <c r="J2716" s="750" t="e">
        <f t="shared" si="27"/>
        <v>#DIV/0!</v>
      </c>
      <c r="K2716" s="412"/>
      <c r="L2716" s="412"/>
      <c r="M2716" s="682"/>
      <c r="N2716" s="171"/>
      <c r="O2716" s="171"/>
      <c r="P2716" s="169"/>
      <c r="Q2716" s="171"/>
      <c r="R2716" s="171"/>
      <c r="S2716" s="171"/>
      <c r="T2716" s="171"/>
      <c r="U2716" s="171"/>
      <c r="V2716" s="171"/>
      <c r="W2716" s="171"/>
      <c r="X2716" s="171"/>
      <c r="Y2716" s="171"/>
      <c r="Z2716" s="171"/>
      <c r="AA2716" s="171"/>
    </row>
    <row r="2717" spans="1:27" s="530" customFormat="1" hidden="1" x14ac:dyDescent="0.2">
      <c r="A2717" s="526"/>
      <c r="B2717" s="527"/>
      <c r="C2717" s="465"/>
      <c r="D2717" s="464"/>
      <c r="E2717" s="464"/>
      <c r="F2717" s="464"/>
      <c r="G2717" s="510"/>
      <c r="H2717" s="411"/>
      <c r="I2717" s="411"/>
      <c r="J2717" s="750" t="e">
        <f t="shared" si="27"/>
        <v>#DIV/0!</v>
      </c>
      <c r="K2717" s="412"/>
      <c r="L2717" s="412"/>
      <c r="M2717" s="682"/>
      <c r="N2717" s="171"/>
      <c r="O2717" s="171"/>
      <c r="P2717" s="169"/>
      <c r="Q2717" s="171"/>
      <c r="R2717" s="171"/>
      <c r="S2717" s="171"/>
      <c r="T2717" s="171"/>
      <c r="U2717" s="171"/>
      <c r="V2717" s="171"/>
      <c r="W2717" s="171"/>
      <c r="X2717" s="171"/>
      <c r="Y2717" s="171"/>
      <c r="Z2717" s="171"/>
      <c r="AA2717" s="171"/>
    </row>
    <row r="2718" spans="1:27" s="530" customFormat="1" hidden="1" x14ac:dyDescent="0.2">
      <c r="A2718" s="526"/>
      <c r="B2718" s="527"/>
      <c r="C2718" s="465"/>
      <c r="D2718" s="464"/>
      <c r="E2718" s="464"/>
      <c r="F2718" s="464"/>
      <c r="G2718" s="510"/>
      <c r="H2718" s="411"/>
      <c r="I2718" s="411"/>
      <c r="J2718" s="750" t="e">
        <f t="shared" si="27"/>
        <v>#DIV/0!</v>
      </c>
      <c r="K2718" s="412"/>
      <c r="L2718" s="412"/>
      <c r="M2718" s="682"/>
      <c r="N2718" s="171"/>
      <c r="O2718" s="171"/>
      <c r="P2718" s="169"/>
      <c r="Q2718" s="171"/>
      <c r="R2718" s="171"/>
      <c r="S2718" s="171"/>
      <c r="T2718" s="171"/>
      <c r="U2718" s="171"/>
      <c r="V2718" s="171"/>
      <c r="W2718" s="171"/>
      <c r="X2718" s="171"/>
      <c r="Y2718" s="171"/>
      <c r="Z2718" s="171"/>
      <c r="AA2718" s="171"/>
    </row>
    <row r="2719" spans="1:27" s="530" customFormat="1" hidden="1" x14ac:dyDescent="0.2">
      <c r="A2719" s="526"/>
      <c r="B2719" s="527"/>
      <c r="C2719" s="465"/>
      <c r="D2719" s="464"/>
      <c r="E2719" s="464"/>
      <c r="F2719" s="464"/>
      <c r="G2719" s="510"/>
      <c r="H2719" s="411"/>
      <c r="I2719" s="411"/>
      <c r="J2719" s="750" t="e">
        <f t="shared" si="27"/>
        <v>#DIV/0!</v>
      </c>
      <c r="K2719" s="412"/>
      <c r="L2719" s="412"/>
      <c r="M2719" s="682"/>
      <c r="N2719" s="171"/>
      <c r="O2719" s="171"/>
      <c r="P2719" s="169"/>
      <c r="Q2719" s="171"/>
      <c r="R2719" s="171"/>
      <c r="S2719" s="171"/>
      <c r="T2719" s="171"/>
      <c r="U2719" s="171"/>
      <c r="V2719" s="171"/>
      <c r="W2719" s="171"/>
      <c r="X2719" s="171"/>
      <c r="Y2719" s="171"/>
      <c r="Z2719" s="171"/>
      <c r="AA2719" s="171"/>
    </row>
    <row r="2720" spans="1:27" s="530" customFormat="1" hidden="1" x14ac:dyDescent="0.2">
      <c r="A2720" s="526"/>
      <c r="B2720" s="527"/>
      <c r="C2720" s="465"/>
      <c r="D2720" s="464"/>
      <c r="E2720" s="464"/>
      <c r="F2720" s="464"/>
      <c r="G2720" s="510"/>
      <c r="H2720" s="411"/>
      <c r="I2720" s="411"/>
      <c r="J2720" s="750" t="e">
        <f t="shared" si="27"/>
        <v>#DIV/0!</v>
      </c>
      <c r="K2720" s="412"/>
      <c r="L2720" s="412"/>
      <c r="M2720" s="682"/>
      <c r="N2720" s="171"/>
      <c r="O2720" s="171"/>
      <c r="P2720" s="169"/>
      <c r="Q2720" s="171"/>
      <c r="R2720" s="171"/>
      <c r="S2720" s="171"/>
      <c r="T2720" s="171"/>
      <c r="U2720" s="171"/>
      <c r="V2720" s="171"/>
      <c r="W2720" s="171"/>
      <c r="X2720" s="171"/>
      <c r="Y2720" s="171"/>
      <c r="Z2720" s="171"/>
      <c r="AA2720" s="171"/>
    </row>
    <row r="2721" spans="1:27" s="530" customFormat="1" hidden="1" x14ac:dyDescent="0.2">
      <c r="A2721" s="526"/>
      <c r="B2721" s="527"/>
      <c r="C2721" s="465"/>
      <c r="D2721" s="464"/>
      <c r="E2721" s="464"/>
      <c r="F2721" s="464"/>
      <c r="G2721" s="510"/>
      <c r="H2721" s="411"/>
      <c r="I2721" s="411"/>
      <c r="J2721" s="750" t="e">
        <f t="shared" si="27"/>
        <v>#DIV/0!</v>
      </c>
      <c r="K2721" s="412"/>
      <c r="L2721" s="412"/>
      <c r="M2721" s="682"/>
      <c r="N2721" s="171"/>
      <c r="O2721" s="171"/>
      <c r="P2721" s="169"/>
      <c r="Q2721" s="171"/>
      <c r="R2721" s="171"/>
      <c r="S2721" s="171"/>
      <c r="T2721" s="171"/>
      <c r="U2721" s="171"/>
      <c r="V2721" s="171"/>
      <c r="W2721" s="171"/>
      <c r="X2721" s="171"/>
      <c r="Y2721" s="171"/>
      <c r="Z2721" s="171"/>
      <c r="AA2721" s="171"/>
    </row>
    <row r="2722" spans="1:27" s="530" customFormat="1" hidden="1" x14ac:dyDescent="0.2">
      <c r="A2722" s="526"/>
      <c r="B2722" s="527"/>
      <c r="C2722" s="465"/>
      <c r="D2722" s="464"/>
      <c r="E2722" s="464"/>
      <c r="F2722" s="464"/>
      <c r="G2722" s="510"/>
      <c r="H2722" s="411"/>
      <c r="I2722" s="411"/>
      <c r="J2722" s="750" t="e">
        <f t="shared" si="27"/>
        <v>#DIV/0!</v>
      </c>
      <c r="K2722" s="412"/>
      <c r="L2722" s="412"/>
      <c r="M2722" s="682"/>
      <c r="N2722" s="171"/>
      <c r="O2722" s="171"/>
      <c r="P2722" s="169"/>
      <c r="Q2722" s="171"/>
      <c r="R2722" s="171"/>
      <c r="S2722" s="171"/>
      <c r="T2722" s="171"/>
      <c r="U2722" s="171"/>
      <c r="V2722" s="171"/>
      <c r="W2722" s="171"/>
      <c r="X2722" s="171"/>
      <c r="Y2722" s="171"/>
      <c r="Z2722" s="171"/>
      <c r="AA2722" s="171"/>
    </row>
    <row r="2723" spans="1:27" s="530" customFormat="1" hidden="1" x14ac:dyDescent="0.2">
      <c r="A2723" s="526"/>
      <c r="B2723" s="527"/>
      <c r="C2723" s="465"/>
      <c r="D2723" s="464"/>
      <c r="E2723" s="464"/>
      <c r="F2723" s="464"/>
      <c r="G2723" s="510"/>
      <c r="H2723" s="411"/>
      <c r="I2723" s="411"/>
      <c r="J2723" s="750" t="e">
        <f t="shared" si="27"/>
        <v>#DIV/0!</v>
      </c>
      <c r="K2723" s="412"/>
      <c r="L2723" s="412"/>
      <c r="M2723" s="682"/>
      <c r="N2723" s="171"/>
      <c r="O2723" s="171"/>
      <c r="P2723" s="169"/>
      <c r="Q2723" s="171"/>
      <c r="R2723" s="171"/>
      <c r="S2723" s="171"/>
      <c r="T2723" s="171"/>
      <c r="U2723" s="171"/>
      <c r="V2723" s="171"/>
      <c r="W2723" s="171"/>
      <c r="X2723" s="171"/>
      <c r="Y2723" s="171"/>
      <c r="Z2723" s="171"/>
      <c r="AA2723" s="171"/>
    </row>
    <row r="2724" spans="1:27" s="530" customFormat="1" hidden="1" x14ac:dyDescent="0.2">
      <c r="A2724" s="526"/>
      <c r="B2724" s="527"/>
      <c r="C2724" s="465"/>
      <c r="D2724" s="464"/>
      <c r="E2724" s="464"/>
      <c r="F2724" s="464"/>
      <c r="G2724" s="510"/>
      <c r="H2724" s="411"/>
      <c r="I2724" s="411"/>
      <c r="J2724" s="750" t="e">
        <f t="shared" si="27"/>
        <v>#DIV/0!</v>
      </c>
      <c r="K2724" s="412"/>
      <c r="L2724" s="412"/>
      <c r="M2724" s="682"/>
      <c r="N2724" s="171"/>
      <c r="O2724" s="171"/>
      <c r="P2724" s="169"/>
      <c r="Q2724" s="171"/>
      <c r="R2724" s="171"/>
      <c r="S2724" s="171"/>
      <c r="T2724" s="171"/>
      <c r="U2724" s="171"/>
      <c r="V2724" s="171"/>
      <c r="W2724" s="171"/>
      <c r="X2724" s="171"/>
      <c r="Y2724" s="171"/>
      <c r="Z2724" s="171"/>
      <c r="AA2724" s="171"/>
    </row>
    <row r="2725" spans="1:27" s="530" customFormat="1" hidden="1" x14ac:dyDescent="0.2">
      <c r="A2725" s="526"/>
      <c r="B2725" s="527"/>
      <c r="C2725" s="465"/>
      <c r="D2725" s="464"/>
      <c r="E2725" s="464"/>
      <c r="F2725" s="464"/>
      <c r="G2725" s="510"/>
      <c r="H2725" s="411"/>
      <c r="I2725" s="411"/>
      <c r="J2725" s="750" t="e">
        <f t="shared" si="27"/>
        <v>#DIV/0!</v>
      </c>
      <c r="K2725" s="412"/>
      <c r="L2725" s="412"/>
      <c r="M2725" s="682"/>
      <c r="N2725" s="171"/>
      <c r="O2725" s="171"/>
      <c r="P2725" s="169"/>
      <c r="Q2725" s="171"/>
      <c r="R2725" s="171"/>
      <c r="S2725" s="171"/>
      <c r="T2725" s="171"/>
      <c r="U2725" s="171"/>
      <c r="V2725" s="171"/>
      <c r="W2725" s="171"/>
      <c r="X2725" s="171"/>
      <c r="Y2725" s="171"/>
      <c r="Z2725" s="171"/>
      <c r="AA2725" s="171"/>
    </row>
    <row r="2726" spans="1:27" s="530" customFormat="1" hidden="1" x14ac:dyDescent="0.2">
      <c r="A2726" s="526"/>
      <c r="B2726" s="527"/>
      <c r="C2726" s="465"/>
      <c r="D2726" s="464"/>
      <c r="E2726" s="464"/>
      <c r="F2726" s="464"/>
      <c r="G2726" s="510"/>
      <c r="H2726" s="411"/>
      <c r="I2726" s="411"/>
      <c r="J2726" s="750" t="e">
        <f t="shared" si="27"/>
        <v>#DIV/0!</v>
      </c>
      <c r="K2726" s="412"/>
      <c r="L2726" s="412"/>
      <c r="M2726" s="682"/>
      <c r="N2726" s="171"/>
      <c r="O2726" s="171"/>
      <c r="P2726" s="169"/>
      <c r="Q2726" s="171"/>
      <c r="R2726" s="171"/>
      <c r="S2726" s="171"/>
      <c r="T2726" s="171"/>
      <c r="U2726" s="171"/>
      <c r="V2726" s="171"/>
      <c r="W2726" s="171"/>
      <c r="X2726" s="171"/>
      <c r="Y2726" s="171"/>
      <c r="Z2726" s="171"/>
      <c r="AA2726" s="171"/>
    </row>
    <row r="2727" spans="1:27" s="530" customFormat="1" hidden="1" x14ac:dyDescent="0.2">
      <c r="A2727" s="526"/>
      <c r="B2727" s="527"/>
      <c r="C2727" s="465"/>
      <c r="D2727" s="464"/>
      <c r="E2727" s="464"/>
      <c r="F2727" s="464"/>
      <c r="G2727" s="510"/>
      <c r="H2727" s="411"/>
      <c r="I2727" s="411"/>
      <c r="J2727" s="750" t="e">
        <f t="shared" si="27"/>
        <v>#DIV/0!</v>
      </c>
      <c r="K2727" s="412"/>
      <c r="L2727" s="412"/>
      <c r="M2727" s="682"/>
      <c r="N2727" s="171"/>
      <c r="O2727" s="171"/>
      <c r="P2727" s="169"/>
      <c r="Q2727" s="171"/>
      <c r="R2727" s="171"/>
      <c r="S2727" s="171"/>
      <c r="T2727" s="171"/>
      <c r="U2727" s="171"/>
      <c r="V2727" s="171"/>
      <c r="W2727" s="171"/>
      <c r="X2727" s="171"/>
      <c r="Y2727" s="171"/>
      <c r="Z2727" s="171"/>
      <c r="AA2727" s="171"/>
    </row>
    <row r="2728" spans="1:27" s="530" customFormat="1" hidden="1" x14ac:dyDescent="0.2">
      <c r="A2728" s="526"/>
      <c r="B2728" s="527"/>
      <c r="C2728" s="465"/>
      <c r="D2728" s="464"/>
      <c r="E2728" s="464"/>
      <c r="F2728" s="464"/>
      <c r="G2728" s="510"/>
      <c r="H2728" s="411"/>
      <c r="I2728" s="411"/>
      <c r="J2728" s="750" t="e">
        <f t="shared" si="27"/>
        <v>#DIV/0!</v>
      </c>
      <c r="K2728" s="412"/>
      <c r="L2728" s="412"/>
      <c r="M2728" s="682"/>
      <c r="N2728" s="171"/>
      <c r="O2728" s="171"/>
      <c r="P2728" s="169"/>
      <c r="Q2728" s="171"/>
      <c r="R2728" s="171"/>
      <c r="S2728" s="171"/>
      <c r="T2728" s="171"/>
      <c r="U2728" s="171"/>
      <c r="V2728" s="171"/>
      <c r="W2728" s="171"/>
      <c r="X2728" s="171"/>
      <c r="Y2728" s="171"/>
      <c r="Z2728" s="171"/>
      <c r="AA2728" s="171"/>
    </row>
    <row r="2729" spans="1:27" s="530" customFormat="1" hidden="1" x14ac:dyDescent="0.2">
      <c r="A2729" s="526"/>
      <c r="B2729" s="527"/>
      <c r="C2729" s="465"/>
      <c r="D2729" s="464"/>
      <c r="E2729" s="464"/>
      <c r="F2729" s="464"/>
      <c r="G2729" s="510"/>
      <c r="H2729" s="411"/>
      <c r="I2729" s="411"/>
      <c r="J2729" s="750" t="e">
        <f t="shared" si="27"/>
        <v>#DIV/0!</v>
      </c>
      <c r="K2729" s="412"/>
      <c r="L2729" s="412"/>
      <c r="M2729" s="682"/>
      <c r="N2729" s="171"/>
      <c r="O2729" s="171"/>
      <c r="P2729" s="169"/>
      <c r="Q2729" s="171"/>
      <c r="R2729" s="171"/>
      <c r="S2729" s="171"/>
      <c r="T2729" s="171"/>
      <c r="U2729" s="171"/>
      <c r="V2729" s="171"/>
      <c r="W2729" s="171"/>
      <c r="X2729" s="171"/>
      <c r="Y2729" s="171"/>
      <c r="Z2729" s="171"/>
      <c r="AA2729" s="171"/>
    </row>
    <row r="2730" spans="1:27" s="530" customFormat="1" hidden="1" x14ac:dyDescent="0.2">
      <c r="A2730" s="526"/>
      <c r="B2730" s="527"/>
      <c r="C2730" s="465"/>
      <c r="D2730" s="464"/>
      <c r="E2730" s="464"/>
      <c r="F2730" s="464"/>
      <c r="G2730" s="510"/>
      <c r="H2730" s="411"/>
      <c r="I2730" s="411"/>
      <c r="J2730" s="750" t="e">
        <f t="shared" si="27"/>
        <v>#DIV/0!</v>
      </c>
      <c r="K2730" s="412"/>
      <c r="L2730" s="412"/>
      <c r="M2730" s="682"/>
      <c r="N2730" s="171"/>
      <c r="O2730" s="171"/>
      <c r="P2730" s="169"/>
      <c r="Q2730" s="171"/>
      <c r="R2730" s="171"/>
      <c r="S2730" s="171"/>
      <c r="T2730" s="171"/>
      <c r="U2730" s="171"/>
      <c r="V2730" s="171"/>
      <c r="W2730" s="171"/>
      <c r="X2730" s="171"/>
      <c r="Y2730" s="171"/>
      <c r="Z2730" s="171"/>
      <c r="AA2730" s="171"/>
    </row>
    <row r="2731" spans="1:27" s="530" customFormat="1" hidden="1" x14ac:dyDescent="0.2">
      <c r="A2731" s="526"/>
      <c r="B2731" s="527"/>
      <c r="C2731" s="465"/>
      <c r="D2731" s="464"/>
      <c r="E2731" s="464"/>
      <c r="F2731" s="464"/>
      <c r="G2731" s="510"/>
      <c r="H2731" s="411"/>
      <c r="I2731" s="411"/>
      <c r="J2731" s="750" t="e">
        <f t="shared" si="27"/>
        <v>#DIV/0!</v>
      </c>
      <c r="K2731" s="412"/>
      <c r="L2731" s="412"/>
      <c r="M2731" s="682"/>
      <c r="N2731" s="171"/>
      <c r="O2731" s="171"/>
      <c r="P2731" s="169"/>
      <c r="Q2731" s="171"/>
      <c r="R2731" s="171"/>
      <c r="S2731" s="171"/>
      <c r="T2731" s="171"/>
      <c r="U2731" s="171"/>
      <c r="V2731" s="171"/>
      <c r="W2731" s="171"/>
      <c r="X2731" s="171"/>
      <c r="Y2731" s="171"/>
      <c r="Z2731" s="171"/>
      <c r="AA2731" s="171"/>
    </row>
    <row r="2732" spans="1:27" s="530" customFormat="1" hidden="1" x14ac:dyDescent="0.2">
      <c r="A2732" s="526"/>
      <c r="B2732" s="527"/>
      <c r="C2732" s="465"/>
      <c r="D2732" s="464"/>
      <c r="E2732" s="464"/>
      <c r="F2732" s="464"/>
      <c r="G2732" s="510"/>
      <c r="H2732" s="411"/>
      <c r="I2732" s="411"/>
      <c r="J2732" s="750" t="e">
        <f t="shared" si="27"/>
        <v>#DIV/0!</v>
      </c>
      <c r="K2732" s="412"/>
      <c r="L2732" s="412"/>
      <c r="M2732" s="682"/>
      <c r="N2732" s="171"/>
      <c r="O2732" s="171"/>
      <c r="P2732" s="169"/>
      <c r="Q2732" s="171"/>
      <c r="R2732" s="171"/>
      <c r="S2732" s="171"/>
      <c r="T2732" s="171"/>
      <c r="U2732" s="171"/>
      <c r="V2732" s="171"/>
      <c r="W2732" s="171"/>
      <c r="X2732" s="171"/>
      <c r="Y2732" s="171"/>
      <c r="Z2732" s="171"/>
      <c r="AA2732" s="171"/>
    </row>
    <row r="2733" spans="1:27" s="530" customFormat="1" hidden="1" x14ac:dyDescent="0.2">
      <c r="A2733" s="526"/>
      <c r="B2733" s="527"/>
      <c r="C2733" s="465"/>
      <c r="D2733" s="464"/>
      <c r="E2733" s="464"/>
      <c r="F2733" s="464"/>
      <c r="G2733" s="510"/>
      <c r="H2733" s="411"/>
      <c r="I2733" s="411"/>
      <c r="J2733" s="750" t="e">
        <f t="shared" si="27"/>
        <v>#DIV/0!</v>
      </c>
      <c r="K2733" s="412"/>
      <c r="L2733" s="412"/>
      <c r="M2733" s="682"/>
      <c r="N2733" s="171"/>
      <c r="O2733" s="171"/>
      <c r="P2733" s="169"/>
      <c r="Q2733" s="171"/>
      <c r="R2733" s="171"/>
      <c r="S2733" s="171"/>
      <c r="T2733" s="171"/>
      <c r="U2733" s="171"/>
      <c r="V2733" s="171"/>
      <c r="W2733" s="171"/>
      <c r="X2733" s="171"/>
      <c r="Y2733" s="171"/>
      <c r="Z2733" s="171"/>
      <c r="AA2733" s="171"/>
    </row>
    <row r="2734" spans="1:27" s="530" customFormat="1" hidden="1" x14ac:dyDescent="0.2">
      <c r="A2734" s="526"/>
      <c r="B2734" s="527"/>
      <c r="C2734" s="465"/>
      <c r="D2734" s="464"/>
      <c r="E2734" s="464"/>
      <c r="F2734" s="464"/>
      <c r="G2734" s="510"/>
      <c r="H2734" s="411"/>
      <c r="I2734" s="411"/>
      <c r="J2734" s="750" t="e">
        <f t="shared" si="27"/>
        <v>#DIV/0!</v>
      </c>
      <c r="K2734" s="412"/>
      <c r="L2734" s="412"/>
      <c r="M2734" s="682"/>
      <c r="N2734" s="171"/>
      <c r="O2734" s="171"/>
      <c r="P2734" s="169"/>
      <c r="Q2734" s="171"/>
      <c r="R2734" s="171"/>
      <c r="S2734" s="171"/>
      <c r="T2734" s="171"/>
      <c r="U2734" s="171"/>
      <c r="V2734" s="171"/>
      <c r="W2734" s="171"/>
      <c r="X2734" s="171"/>
      <c r="Y2734" s="171"/>
      <c r="Z2734" s="171"/>
      <c r="AA2734" s="171"/>
    </row>
    <row r="2735" spans="1:27" s="530" customFormat="1" hidden="1" x14ac:dyDescent="0.2">
      <c r="A2735" s="526"/>
      <c r="B2735" s="527"/>
      <c r="C2735" s="465"/>
      <c r="D2735" s="464"/>
      <c r="E2735" s="464"/>
      <c r="F2735" s="464"/>
      <c r="G2735" s="510"/>
      <c r="H2735" s="411"/>
      <c r="I2735" s="411"/>
      <c r="J2735" s="750" t="e">
        <f t="shared" si="27"/>
        <v>#DIV/0!</v>
      </c>
      <c r="K2735" s="412"/>
      <c r="L2735" s="412"/>
      <c r="M2735" s="682"/>
      <c r="N2735" s="171"/>
      <c r="O2735" s="171"/>
      <c r="P2735" s="169"/>
      <c r="Q2735" s="171"/>
      <c r="R2735" s="171"/>
      <c r="S2735" s="171"/>
      <c r="T2735" s="171"/>
      <c r="U2735" s="171"/>
      <c r="V2735" s="171"/>
      <c r="W2735" s="171"/>
      <c r="X2735" s="171"/>
      <c r="Y2735" s="171"/>
      <c r="Z2735" s="171"/>
      <c r="AA2735" s="171"/>
    </row>
    <row r="2736" spans="1:27" s="530" customFormat="1" hidden="1" x14ac:dyDescent="0.2">
      <c r="A2736" s="526"/>
      <c r="B2736" s="527"/>
      <c r="C2736" s="465"/>
      <c r="D2736" s="464"/>
      <c r="E2736" s="464"/>
      <c r="F2736" s="464"/>
      <c r="G2736" s="510"/>
      <c r="H2736" s="411"/>
      <c r="I2736" s="411"/>
      <c r="J2736" s="750" t="e">
        <f t="shared" si="27"/>
        <v>#DIV/0!</v>
      </c>
      <c r="K2736" s="412"/>
      <c r="L2736" s="412"/>
      <c r="M2736" s="682"/>
      <c r="N2736" s="171"/>
      <c r="O2736" s="171"/>
      <c r="P2736" s="169"/>
      <c r="Q2736" s="171"/>
      <c r="R2736" s="171"/>
      <c r="S2736" s="171"/>
      <c r="T2736" s="171"/>
      <c r="U2736" s="171"/>
      <c r="V2736" s="171"/>
      <c r="W2736" s="171"/>
      <c r="X2736" s="171"/>
      <c r="Y2736" s="171"/>
      <c r="Z2736" s="171"/>
      <c r="AA2736" s="171"/>
    </row>
    <row r="2737" spans="1:27" s="530" customFormat="1" hidden="1" x14ac:dyDescent="0.2">
      <c r="A2737" s="526"/>
      <c r="B2737" s="527"/>
      <c r="C2737" s="465"/>
      <c r="D2737" s="464"/>
      <c r="E2737" s="464"/>
      <c r="F2737" s="464"/>
      <c r="G2737" s="510"/>
      <c r="H2737" s="411"/>
      <c r="I2737" s="411"/>
      <c r="J2737" s="750" t="e">
        <f t="shared" si="27"/>
        <v>#DIV/0!</v>
      </c>
      <c r="K2737" s="412"/>
      <c r="L2737" s="412"/>
      <c r="M2737" s="682"/>
      <c r="N2737" s="171"/>
      <c r="O2737" s="171"/>
      <c r="P2737" s="169"/>
      <c r="Q2737" s="171"/>
      <c r="R2737" s="171"/>
      <c r="S2737" s="171"/>
      <c r="T2737" s="171"/>
      <c r="U2737" s="171"/>
      <c r="V2737" s="171"/>
      <c r="W2737" s="171"/>
      <c r="X2737" s="171"/>
      <c r="Y2737" s="171"/>
      <c r="Z2737" s="171"/>
      <c r="AA2737" s="171"/>
    </row>
    <row r="2738" spans="1:27" s="530" customFormat="1" hidden="1" x14ac:dyDescent="0.2">
      <c r="A2738" s="526"/>
      <c r="B2738" s="527"/>
      <c r="C2738" s="465"/>
      <c r="D2738" s="464"/>
      <c r="E2738" s="464"/>
      <c r="F2738" s="464"/>
      <c r="G2738" s="510"/>
      <c r="H2738" s="411"/>
      <c r="I2738" s="411"/>
      <c r="J2738" s="750" t="e">
        <f t="shared" si="27"/>
        <v>#DIV/0!</v>
      </c>
      <c r="K2738" s="412"/>
      <c r="L2738" s="412"/>
      <c r="M2738" s="682"/>
      <c r="N2738" s="171"/>
      <c r="O2738" s="171"/>
      <c r="P2738" s="169"/>
      <c r="Q2738" s="171"/>
      <c r="R2738" s="171"/>
      <c r="S2738" s="171"/>
      <c r="T2738" s="171"/>
      <c r="U2738" s="171"/>
      <c r="V2738" s="171"/>
      <c r="W2738" s="171"/>
      <c r="X2738" s="171"/>
      <c r="Y2738" s="171"/>
      <c r="Z2738" s="171"/>
      <c r="AA2738" s="171"/>
    </row>
    <row r="2739" spans="1:27" s="530" customFormat="1" hidden="1" x14ac:dyDescent="0.2">
      <c r="A2739" s="526"/>
      <c r="B2739" s="527"/>
      <c r="C2739" s="465"/>
      <c r="D2739" s="464"/>
      <c r="E2739" s="464"/>
      <c r="F2739" s="464"/>
      <c r="G2739" s="510"/>
      <c r="H2739" s="411"/>
      <c r="I2739" s="411"/>
      <c r="J2739" s="750" t="e">
        <f t="shared" si="27"/>
        <v>#DIV/0!</v>
      </c>
      <c r="K2739" s="412"/>
      <c r="L2739" s="412"/>
      <c r="M2739" s="682"/>
      <c r="N2739" s="171"/>
      <c r="O2739" s="171"/>
      <c r="P2739" s="169"/>
      <c r="Q2739" s="171"/>
      <c r="R2739" s="171"/>
      <c r="S2739" s="171"/>
      <c r="T2739" s="171"/>
      <c r="U2739" s="171"/>
      <c r="V2739" s="171"/>
      <c r="W2739" s="171"/>
      <c r="X2739" s="171"/>
      <c r="Y2739" s="171"/>
      <c r="Z2739" s="171"/>
      <c r="AA2739" s="171"/>
    </row>
    <row r="2740" spans="1:27" s="530" customFormat="1" hidden="1" x14ac:dyDescent="0.2">
      <c r="A2740" s="526"/>
      <c r="B2740" s="527"/>
      <c r="C2740" s="465"/>
      <c r="D2740" s="464"/>
      <c r="E2740" s="464"/>
      <c r="F2740" s="464"/>
      <c r="G2740" s="510"/>
      <c r="H2740" s="411"/>
      <c r="I2740" s="411"/>
      <c r="J2740" s="750" t="e">
        <f t="shared" si="27"/>
        <v>#DIV/0!</v>
      </c>
      <c r="K2740" s="412"/>
      <c r="L2740" s="412"/>
      <c r="M2740" s="682"/>
      <c r="N2740" s="171"/>
      <c r="O2740" s="171"/>
      <c r="P2740" s="169"/>
      <c r="Q2740" s="171"/>
      <c r="R2740" s="171"/>
      <c r="S2740" s="171"/>
      <c r="T2740" s="171"/>
      <c r="U2740" s="171"/>
      <c r="V2740" s="171"/>
      <c r="W2740" s="171"/>
      <c r="X2740" s="171"/>
      <c r="Y2740" s="171"/>
      <c r="Z2740" s="171"/>
      <c r="AA2740" s="171"/>
    </row>
    <row r="2741" spans="1:27" s="530" customFormat="1" hidden="1" x14ac:dyDescent="0.2">
      <c r="A2741" s="526"/>
      <c r="B2741" s="527"/>
      <c r="C2741" s="465"/>
      <c r="D2741" s="464"/>
      <c r="E2741" s="464"/>
      <c r="F2741" s="464"/>
      <c r="G2741" s="510"/>
      <c r="H2741" s="411"/>
      <c r="I2741" s="411"/>
      <c r="J2741" s="750" t="e">
        <f t="shared" si="27"/>
        <v>#DIV/0!</v>
      </c>
      <c r="K2741" s="412"/>
      <c r="L2741" s="412"/>
      <c r="M2741" s="682"/>
      <c r="N2741" s="171"/>
      <c r="O2741" s="171"/>
      <c r="P2741" s="169"/>
      <c r="Q2741" s="171"/>
      <c r="R2741" s="171"/>
      <c r="S2741" s="171"/>
      <c r="T2741" s="171"/>
      <c r="U2741" s="171"/>
      <c r="V2741" s="171"/>
      <c r="W2741" s="171"/>
      <c r="X2741" s="171"/>
      <c r="Y2741" s="171"/>
      <c r="Z2741" s="171"/>
      <c r="AA2741" s="171"/>
    </row>
    <row r="2742" spans="1:27" s="530" customFormat="1" hidden="1" x14ac:dyDescent="0.2">
      <c r="A2742" s="526"/>
      <c r="B2742" s="527"/>
      <c r="C2742" s="465"/>
      <c r="D2742" s="464"/>
      <c r="E2742" s="464"/>
      <c r="F2742" s="464"/>
      <c r="G2742" s="510"/>
      <c r="H2742" s="411"/>
      <c r="I2742" s="411"/>
      <c r="J2742" s="750" t="e">
        <f t="shared" si="27"/>
        <v>#DIV/0!</v>
      </c>
      <c r="K2742" s="412"/>
      <c r="L2742" s="412"/>
      <c r="M2742" s="682"/>
      <c r="N2742" s="171"/>
      <c r="O2742" s="171"/>
      <c r="P2742" s="169"/>
      <c r="Q2742" s="171"/>
      <c r="R2742" s="171"/>
      <c r="S2742" s="171"/>
      <c r="T2742" s="171"/>
      <c r="U2742" s="171"/>
      <c r="V2742" s="171"/>
      <c r="W2742" s="171"/>
      <c r="X2742" s="171"/>
      <c r="Y2742" s="171"/>
      <c r="Z2742" s="171"/>
      <c r="AA2742" s="171"/>
    </row>
    <row r="2743" spans="1:27" s="530" customFormat="1" hidden="1" x14ac:dyDescent="0.2">
      <c r="A2743" s="526"/>
      <c r="B2743" s="527"/>
      <c r="C2743" s="465"/>
      <c r="D2743" s="464"/>
      <c r="E2743" s="464"/>
      <c r="F2743" s="464"/>
      <c r="G2743" s="510"/>
      <c r="H2743" s="411"/>
      <c r="I2743" s="411"/>
      <c r="J2743" s="750" t="e">
        <f t="shared" si="27"/>
        <v>#DIV/0!</v>
      </c>
      <c r="K2743" s="412"/>
      <c r="L2743" s="412"/>
      <c r="M2743" s="682"/>
      <c r="N2743" s="171"/>
      <c r="O2743" s="171"/>
      <c r="P2743" s="169"/>
      <c r="Q2743" s="171"/>
      <c r="R2743" s="171"/>
      <c r="S2743" s="171"/>
      <c r="T2743" s="171"/>
      <c r="U2743" s="171"/>
      <c r="V2743" s="171"/>
      <c r="W2743" s="171"/>
      <c r="X2743" s="171"/>
      <c r="Y2743" s="171"/>
      <c r="Z2743" s="171"/>
      <c r="AA2743" s="171"/>
    </row>
    <row r="2744" spans="1:27" s="530" customFormat="1" hidden="1" x14ac:dyDescent="0.2">
      <c r="A2744" s="526"/>
      <c r="B2744" s="527"/>
      <c r="C2744" s="465"/>
      <c r="D2744" s="464"/>
      <c r="E2744" s="464"/>
      <c r="F2744" s="464"/>
      <c r="G2744" s="510"/>
      <c r="H2744" s="411"/>
      <c r="I2744" s="411"/>
      <c r="J2744" s="750" t="e">
        <f t="shared" si="27"/>
        <v>#DIV/0!</v>
      </c>
      <c r="K2744" s="412"/>
      <c r="L2744" s="412"/>
      <c r="M2744" s="682"/>
      <c r="N2744" s="171"/>
      <c r="O2744" s="171"/>
      <c r="P2744" s="169"/>
      <c r="Q2744" s="171"/>
      <c r="R2744" s="171"/>
      <c r="S2744" s="171"/>
      <c r="T2744" s="171"/>
      <c r="U2744" s="171"/>
      <c r="V2744" s="171"/>
      <c r="W2744" s="171"/>
      <c r="X2744" s="171"/>
      <c r="Y2744" s="171"/>
      <c r="Z2744" s="171"/>
      <c r="AA2744" s="171"/>
    </row>
    <row r="2745" spans="1:27" s="530" customFormat="1" hidden="1" x14ac:dyDescent="0.2">
      <c r="A2745" s="526"/>
      <c r="B2745" s="527"/>
      <c r="C2745" s="465"/>
      <c r="D2745" s="464"/>
      <c r="E2745" s="464"/>
      <c r="F2745" s="464"/>
      <c r="G2745" s="510"/>
      <c r="H2745" s="411"/>
      <c r="I2745" s="411"/>
      <c r="J2745" s="750" t="e">
        <f t="shared" si="27"/>
        <v>#DIV/0!</v>
      </c>
      <c r="K2745" s="412"/>
      <c r="L2745" s="412"/>
      <c r="M2745" s="682"/>
      <c r="N2745" s="171"/>
      <c r="O2745" s="171"/>
      <c r="P2745" s="169"/>
      <c r="Q2745" s="171"/>
      <c r="R2745" s="171"/>
      <c r="S2745" s="171"/>
      <c r="T2745" s="171"/>
      <c r="U2745" s="171"/>
      <c r="V2745" s="171"/>
      <c r="W2745" s="171"/>
      <c r="X2745" s="171"/>
      <c r="Y2745" s="171"/>
      <c r="Z2745" s="171"/>
      <c r="AA2745" s="171"/>
    </row>
    <row r="2746" spans="1:27" s="530" customFormat="1" hidden="1" x14ac:dyDescent="0.2">
      <c r="A2746" s="526"/>
      <c r="B2746" s="527"/>
      <c r="C2746" s="465"/>
      <c r="D2746" s="464"/>
      <c r="E2746" s="464"/>
      <c r="F2746" s="464"/>
      <c r="G2746" s="510"/>
      <c r="H2746" s="411"/>
      <c r="I2746" s="411"/>
      <c r="J2746" s="750" t="e">
        <f t="shared" si="27"/>
        <v>#DIV/0!</v>
      </c>
      <c r="K2746" s="412"/>
      <c r="L2746" s="412"/>
      <c r="M2746" s="682"/>
      <c r="N2746" s="171"/>
      <c r="O2746" s="171"/>
      <c r="P2746" s="169"/>
      <c r="Q2746" s="171"/>
      <c r="R2746" s="171"/>
      <c r="S2746" s="171"/>
      <c r="T2746" s="171"/>
      <c r="U2746" s="171"/>
      <c r="V2746" s="171"/>
      <c r="W2746" s="171"/>
      <c r="X2746" s="171"/>
      <c r="Y2746" s="171"/>
      <c r="Z2746" s="171"/>
      <c r="AA2746" s="171"/>
    </row>
    <row r="2747" spans="1:27" s="530" customFormat="1" hidden="1" x14ac:dyDescent="0.2">
      <c r="A2747" s="526"/>
      <c r="B2747" s="527"/>
      <c r="C2747" s="465"/>
      <c r="D2747" s="464"/>
      <c r="E2747" s="464"/>
      <c r="F2747" s="464"/>
      <c r="G2747" s="510"/>
      <c r="H2747" s="411"/>
      <c r="I2747" s="411"/>
      <c r="J2747" s="750" t="e">
        <f t="shared" si="27"/>
        <v>#DIV/0!</v>
      </c>
      <c r="K2747" s="412"/>
      <c r="L2747" s="412"/>
      <c r="M2747" s="682"/>
      <c r="N2747" s="171"/>
      <c r="O2747" s="171"/>
      <c r="P2747" s="169"/>
      <c r="Q2747" s="171"/>
      <c r="R2747" s="171"/>
      <c r="S2747" s="171"/>
      <c r="T2747" s="171"/>
      <c r="U2747" s="171"/>
      <c r="V2747" s="171"/>
      <c r="W2747" s="171"/>
      <c r="X2747" s="171"/>
      <c r="Y2747" s="171"/>
      <c r="Z2747" s="171"/>
      <c r="AA2747" s="171"/>
    </row>
    <row r="2748" spans="1:27" s="530" customFormat="1" hidden="1" x14ac:dyDescent="0.2">
      <c r="A2748" s="526"/>
      <c r="B2748" s="527"/>
      <c r="C2748" s="465"/>
      <c r="D2748" s="464"/>
      <c r="E2748" s="464"/>
      <c r="F2748" s="464"/>
      <c r="G2748" s="510"/>
      <c r="H2748" s="411"/>
      <c r="I2748" s="411"/>
      <c r="J2748" s="750" t="e">
        <f t="shared" si="27"/>
        <v>#DIV/0!</v>
      </c>
      <c r="K2748" s="412"/>
      <c r="L2748" s="412"/>
      <c r="M2748" s="682"/>
      <c r="N2748" s="171"/>
      <c r="O2748" s="171"/>
      <c r="P2748" s="169"/>
      <c r="Q2748" s="171"/>
      <c r="R2748" s="171"/>
      <c r="S2748" s="171"/>
      <c r="T2748" s="171"/>
      <c r="U2748" s="171"/>
      <c r="V2748" s="171"/>
      <c r="W2748" s="171"/>
      <c r="X2748" s="171"/>
      <c r="Y2748" s="171"/>
      <c r="Z2748" s="171"/>
      <c r="AA2748" s="171"/>
    </row>
    <row r="2749" spans="1:27" s="530" customFormat="1" hidden="1" x14ac:dyDescent="0.2">
      <c r="A2749" s="526"/>
      <c r="B2749" s="527"/>
      <c r="C2749" s="465"/>
      <c r="D2749" s="464"/>
      <c r="E2749" s="464"/>
      <c r="F2749" s="464"/>
      <c r="G2749" s="510"/>
      <c r="H2749" s="411"/>
      <c r="I2749" s="411"/>
      <c r="J2749" s="750" t="e">
        <f t="shared" si="27"/>
        <v>#DIV/0!</v>
      </c>
      <c r="K2749" s="412"/>
      <c r="L2749" s="412"/>
      <c r="M2749" s="682"/>
      <c r="N2749" s="171"/>
      <c r="O2749" s="171"/>
      <c r="P2749" s="169"/>
      <c r="Q2749" s="171"/>
      <c r="R2749" s="171"/>
      <c r="S2749" s="171"/>
      <c r="T2749" s="171"/>
      <c r="U2749" s="171"/>
      <c r="V2749" s="171"/>
      <c r="W2749" s="171"/>
      <c r="X2749" s="171"/>
      <c r="Y2749" s="171"/>
      <c r="Z2749" s="171"/>
      <c r="AA2749" s="171"/>
    </row>
    <row r="2750" spans="1:27" s="530" customFormat="1" hidden="1" x14ac:dyDescent="0.2">
      <c r="A2750" s="526"/>
      <c r="B2750" s="527"/>
      <c r="C2750" s="465"/>
      <c r="D2750" s="464"/>
      <c r="E2750" s="464"/>
      <c r="F2750" s="464"/>
      <c r="G2750" s="510"/>
      <c r="H2750" s="411"/>
      <c r="I2750" s="411"/>
      <c r="J2750" s="750" t="e">
        <f t="shared" si="27"/>
        <v>#DIV/0!</v>
      </c>
      <c r="K2750" s="412"/>
      <c r="L2750" s="412"/>
      <c r="M2750" s="682"/>
      <c r="N2750" s="171"/>
      <c r="O2750" s="171"/>
      <c r="P2750" s="169"/>
      <c r="Q2750" s="171"/>
      <c r="R2750" s="171"/>
      <c r="S2750" s="171"/>
      <c r="T2750" s="171"/>
      <c r="U2750" s="171"/>
      <c r="V2750" s="171"/>
      <c r="W2750" s="171"/>
      <c r="X2750" s="171"/>
      <c r="Y2750" s="171"/>
      <c r="Z2750" s="171"/>
      <c r="AA2750" s="171"/>
    </row>
    <row r="2751" spans="1:27" s="530" customFormat="1" hidden="1" x14ac:dyDescent="0.2">
      <c r="A2751" s="526"/>
      <c r="B2751" s="527"/>
      <c r="C2751" s="465"/>
      <c r="D2751" s="464"/>
      <c r="E2751" s="464"/>
      <c r="F2751" s="464"/>
      <c r="G2751" s="510"/>
      <c r="H2751" s="411"/>
      <c r="I2751" s="411"/>
      <c r="J2751" s="750" t="e">
        <f t="shared" si="27"/>
        <v>#DIV/0!</v>
      </c>
      <c r="K2751" s="412"/>
      <c r="L2751" s="412"/>
      <c r="M2751" s="682"/>
      <c r="N2751" s="171"/>
      <c r="O2751" s="171"/>
      <c r="P2751" s="169"/>
      <c r="Q2751" s="171"/>
      <c r="R2751" s="171"/>
      <c r="S2751" s="171"/>
      <c r="T2751" s="171"/>
      <c r="U2751" s="171"/>
      <c r="V2751" s="171"/>
      <c r="W2751" s="171"/>
      <c r="X2751" s="171"/>
      <c r="Y2751" s="171"/>
      <c r="Z2751" s="171"/>
      <c r="AA2751" s="171"/>
    </row>
    <row r="2752" spans="1:27" s="530" customFormat="1" hidden="1" x14ac:dyDescent="0.2">
      <c r="A2752" s="526"/>
      <c r="B2752" s="527"/>
      <c r="C2752" s="465"/>
      <c r="D2752" s="464"/>
      <c r="E2752" s="464"/>
      <c r="F2752" s="464"/>
      <c r="G2752" s="510"/>
      <c r="H2752" s="411"/>
      <c r="I2752" s="411"/>
      <c r="J2752" s="750" t="e">
        <f t="shared" si="27"/>
        <v>#DIV/0!</v>
      </c>
      <c r="K2752" s="412"/>
      <c r="L2752" s="412"/>
      <c r="M2752" s="682"/>
      <c r="N2752" s="171"/>
      <c r="O2752" s="171"/>
      <c r="P2752" s="169"/>
      <c r="Q2752" s="171"/>
      <c r="R2752" s="171"/>
      <c r="S2752" s="171"/>
      <c r="T2752" s="171"/>
      <c r="U2752" s="171"/>
      <c r="V2752" s="171"/>
      <c r="W2752" s="171"/>
      <c r="X2752" s="171"/>
      <c r="Y2752" s="171"/>
      <c r="Z2752" s="171"/>
      <c r="AA2752" s="171"/>
    </row>
    <row r="2753" spans="1:27" s="530" customFormat="1" hidden="1" x14ac:dyDescent="0.2">
      <c r="A2753" s="526"/>
      <c r="B2753" s="527"/>
      <c r="C2753" s="465"/>
      <c r="D2753" s="464"/>
      <c r="E2753" s="464"/>
      <c r="F2753" s="464"/>
      <c r="G2753" s="510"/>
      <c r="H2753" s="411"/>
      <c r="I2753" s="411"/>
      <c r="J2753" s="750" t="e">
        <f t="shared" si="27"/>
        <v>#DIV/0!</v>
      </c>
      <c r="K2753" s="412"/>
      <c r="L2753" s="412"/>
      <c r="M2753" s="682"/>
      <c r="N2753" s="171"/>
      <c r="O2753" s="171"/>
      <c r="P2753" s="169"/>
      <c r="Q2753" s="171"/>
      <c r="R2753" s="171"/>
      <c r="S2753" s="171"/>
      <c r="T2753" s="171"/>
      <c r="U2753" s="171"/>
      <c r="V2753" s="171"/>
      <c r="W2753" s="171"/>
      <c r="X2753" s="171"/>
      <c r="Y2753" s="171"/>
      <c r="Z2753" s="171"/>
      <c r="AA2753" s="171"/>
    </row>
    <row r="2754" spans="1:27" s="530" customFormat="1" hidden="1" x14ac:dyDescent="0.2">
      <c r="A2754" s="526"/>
      <c r="B2754" s="527"/>
      <c r="C2754" s="465"/>
      <c r="D2754" s="464"/>
      <c r="E2754" s="464"/>
      <c r="F2754" s="464"/>
      <c r="G2754" s="510"/>
      <c r="H2754" s="411"/>
      <c r="I2754" s="411"/>
      <c r="J2754" s="750" t="e">
        <f t="shared" si="27"/>
        <v>#DIV/0!</v>
      </c>
      <c r="K2754" s="412"/>
      <c r="L2754" s="412"/>
      <c r="M2754" s="682"/>
      <c r="N2754" s="171"/>
      <c r="O2754" s="171"/>
      <c r="P2754" s="169"/>
      <c r="Q2754" s="171"/>
      <c r="R2754" s="171"/>
      <c r="S2754" s="171"/>
      <c r="T2754" s="171"/>
      <c r="U2754" s="171"/>
      <c r="V2754" s="171"/>
      <c r="W2754" s="171"/>
      <c r="X2754" s="171"/>
      <c r="Y2754" s="171"/>
      <c r="Z2754" s="171"/>
      <c r="AA2754" s="171"/>
    </row>
    <row r="2755" spans="1:27" s="530" customFormat="1" hidden="1" x14ac:dyDescent="0.2">
      <c r="A2755" s="526"/>
      <c r="B2755" s="527"/>
      <c r="C2755" s="465"/>
      <c r="D2755" s="464"/>
      <c r="E2755" s="464"/>
      <c r="F2755" s="464"/>
      <c r="G2755" s="510"/>
      <c r="H2755" s="411"/>
      <c r="I2755" s="411"/>
      <c r="J2755" s="750" t="e">
        <f t="shared" si="27"/>
        <v>#DIV/0!</v>
      </c>
      <c r="K2755" s="412"/>
      <c r="L2755" s="412"/>
      <c r="M2755" s="682"/>
      <c r="N2755" s="171"/>
      <c r="O2755" s="171"/>
      <c r="P2755" s="169"/>
      <c r="Q2755" s="171"/>
      <c r="R2755" s="171"/>
      <c r="S2755" s="171"/>
      <c r="T2755" s="171"/>
      <c r="U2755" s="171"/>
      <c r="V2755" s="171"/>
      <c r="W2755" s="171"/>
      <c r="X2755" s="171"/>
      <c r="Y2755" s="171"/>
      <c r="Z2755" s="171"/>
      <c r="AA2755" s="171"/>
    </row>
    <row r="2756" spans="1:27" s="530" customFormat="1" hidden="1" x14ac:dyDescent="0.2">
      <c r="A2756" s="526"/>
      <c r="B2756" s="527"/>
      <c r="C2756" s="465"/>
      <c r="D2756" s="464"/>
      <c r="E2756" s="464"/>
      <c r="F2756" s="464"/>
      <c r="G2756" s="510"/>
      <c r="H2756" s="411"/>
      <c r="I2756" s="411"/>
      <c r="J2756" s="750" t="e">
        <f t="shared" si="27"/>
        <v>#DIV/0!</v>
      </c>
      <c r="K2756" s="412"/>
      <c r="L2756" s="412"/>
      <c r="M2756" s="682"/>
      <c r="N2756" s="171"/>
      <c r="O2756" s="171"/>
      <c r="P2756" s="169"/>
      <c r="Q2756" s="171"/>
      <c r="R2756" s="171"/>
      <c r="S2756" s="171"/>
      <c r="T2756" s="171"/>
      <c r="U2756" s="171"/>
      <c r="V2756" s="171"/>
      <c r="W2756" s="171"/>
      <c r="X2756" s="171"/>
      <c r="Y2756" s="171"/>
      <c r="Z2756" s="171"/>
      <c r="AA2756" s="171"/>
    </row>
    <row r="2757" spans="1:27" s="530" customFormat="1" hidden="1" x14ac:dyDescent="0.2">
      <c r="A2757" s="526"/>
      <c r="B2757" s="527"/>
      <c r="C2757" s="465"/>
      <c r="D2757" s="464"/>
      <c r="E2757" s="464"/>
      <c r="F2757" s="464"/>
      <c r="G2757" s="510"/>
      <c r="H2757" s="411"/>
      <c r="I2757" s="411"/>
      <c r="J2757" s="750" t="e">
        <f t="shared" si="27"/>
        <v>#DIV/0!</v>
      </c>
      <c r="K2757" s="412"/>
      <c r="L2757" s="412"/>
      <c r="M2757" s="682"/>
      <c r="N2757" s="171"/>
      <c r="O2757" s="171"/>
      <c r="P2757" s="169"/>
      <c r="Q2757" s="171"/>
      <c r="R2757" s="171"/>
      <c r="S2757" s="171"/>
      <c r="T2757" s="171"/>
      <c r="U2757" s="171"/>
      <c r="V2757" s="171"/>
      <c r="W2757" s="171"/>
      <c r="X2757" s="171"/>
      <c r="Y2757" s="171"/>
      <c r="Z2757" s="171"/>
      <c r="AA2757" s="171"/>
    </row>
    <row r="2758" spans="1:27" s="530" customFormat="1" hidden="1" x14ac:dyDescent="0.2">
      <c r="A2758" s="526"/>
      <c r="B2758" s="527"/>
      <c r="C2758" s="465"/>
      <c r="D2758" s="464"/>
      <c r="E2758" s="464"/>
      <c r="F2758" s="464"/>
      <c r="G2758" s="510"/>
      <c r="H2758" s="411"/>
      <c r="I2758" s="411"/>
      <c r="J2758" s="750" t="e">
        <f t="shared" si="27"/>
        <v>#DIV/0!</v>
      </c>
      <c r="K2758" s="412"/>
      <c r="L2758" s="412"/>
      <c r="M2758" s="682"/>
      <c r="N2758" s="171"/>
      <c r="O2758" s="171"/>
      <c r="P2758" s="169"/>
      <c r="Q2758" s="171"/>
      <c r="R2758" s="171"/>
      <c r="S2758" s="171"/>
      <c r="T2758" s="171"/>
      <c r="U2758" s="171"/>
      <c r="V2758" s="171"/>
      <c r="W2758" s="171"/>
      <c r="X2758" s="171"/>
      <c r="Y2758" s="171"/>
      <c r="Z2758" s="171"/>
      <c r="AA2758" s="171"/>
    </row>
    <row r="2759" spans="1:27" s="530" customFormat="1" hidden="1" x14ac:dyDescent="0.2">
      <c r="A2759" s="526"/>
      <c r="B2759" s="527"/>
      <c r="C2759" s="465"/>
      <c r="D2759" s="464"/>
      <c r="E2759" s="464"/>
      <c r="F2759" s="464"/>
      <c r="G2759" s="510"/>
      <c r="H2759" s="411"/>
      <c r="I2759" s="411"/>
      <c r="J2759" s="750" t="e">
        <f t="shared" si="27"/>
        <v>#DIV/0!</v>
      </c>
      <c r="K2759" s="412"/>
      <c r="L2759" s="412"/>
      <c r="M2759" s="682"/>
      <c r="N2759" s="171"/>
      <c r="O2759" s="171"/>
      <c r="P2759" s="169"/>
      <c r="Q2759" s="171"/>
      <c r="R2759" s="171"/>
      <c r="S2759" s="171"/>
      <c r="T2759" s="171"/>
      <c r="U2759" s="171"/>
      <c r="V2759" s="171"/>
      <c r="W2759" s="171"/>
      <c r="X2759" s="171"/>
      <c r="Y2759" s="171"/>
      <c r="Z2759" s="171"/>
      <c r="AA2759" s="171"/>
    </row>
    <row r="2760" spans="1:27" s="530" customFormat="1" hidden="1" x14ac:dyDescent="0.2">
      <c r="A2760" s="526"/>
      <c r="B2760" s="527"/>
      <c r="C2760" s="465"/>
      <c r="D2760" s="464"/>
      <c r="E2760" s="464"/>
      <c r="F2760" s="464"/>
      <c r="G2760" s="510"/>
      <c r="H2760" s="411"/>
      <c r="I2760" s="411"/>
      <c r="J2760" s="750" t="e">
        <f t="shared" si="27"/>
        <v>#DIV/0!</v>
      </c>
      <c r="K2760" s="412"/>
      <c r="L2760" s="412"/>
      <c r="M2760" s="682"/>
      <c r="N2760" s="171"/>
      <c r="O2760" s="171"/>
      <c r="P2760" s="169"/>
      <c r="Q2760" s="171"/>
      <c r="R2760" s="171"/>
      <c r="S2760" s="171"/>
      <c r="T2760" s="171"/>
      <c r="U2760" s="171"/>
      <c r="V2760" s="171"/>
      <c r="W2760" s="171"/>
      <c r="X2760" s="171"/>
      <c r="Y2760" s="171"/>
      <c r="Z2760" s="171"/>
      <c r="AA2760" s="171"/>
    </row>
    <row r="2761" spans="1:27" s="530" customFormat="1" hidden="1" x14ac:dyDescent="0.2">
      <c r="A2761" s="526"/>
      <c r="B2761" s="527"/>
      <c r="C2761" s="465"/>
      <c r="D2761" s="464"/>
      <c r="E2761" s="464"/>
      <c r="F2761" s="464"/>
      <c r="G2761" s="510"/>
      <c r="H2761" s="411"/>
      <c r="I2761" s="411"/>
      <c r="J2761" s="750" t="e">
        <f t="shared" si="27"/>
        <v>#DIV/0!</v>
      </c>
      <c r="K2761" s="412"/>
      <c r="L2761" s="412"/>
      <c r="M2761" s="682"/>
      <c r="N2761" s="171"/>
      <c r="O2761" s="171"/>
      <c r="P2761" s="169"/>
      <c r="Q2761" s="171"/>
      <c r="R2761" s="171"/>
      <c r="S2761" s="171"/>
      <c r="T2761" s="171"/>
      <c r="U2761" s="171"/>
      <c r="V2761" s="171"/>
      <c r="W2761" s="171"/>
      <c r="X2761" s="171"/>
      <c r="Y2761" s="171"/>
      <c r="Z2761" s="171"/>
      <c r="AA2761" s="171"/>
    </row>
    <row r="2762" spans="1:27" s="530" customFormat="1" hidden="1" x14ac:dyDescent="0.2">
      <c r="A2762" s="526"/>
      <c r="B2762" s="527"/>
      <c r="C2762" s="465"/>
      <c r="D2762" s="464"/>
      <c r="E2762" s="464"/>
      <c r="F2762" s="464"/>
      <c r="G2762" s="510"/>
      <c r="H2762" s="411"/>
      <c r="I2762" s="411"/>
      <c r="J2762" s="750" t="e">
        <f t="shared" si="27"/>
        <v>#DIV/0!</v>
      </c>
      <c r="K2762" s="412"/>
      <c r="L2762" s="412"/>
      <c r="M2762" s="682"/>
      <c r="N2762" s="171"/>
      <c r="O2762" s="171"/>
      <c r="P2762" s="169"/>
      <c r="Q2762" s="171"/>
      <c r="R2762" s="171"/>
      <c r="S2762" s="171"/>
      <c r="T2762" s="171"/>
      <c r="U2762" s="171"/>
      <c r="V2762" s="171"/>
      <c r="W2762" s="171"/>
      <c r="X2762" s="171"/>
      <c r="Y2762" s="171"/>
      <c r="Z2762" s="171"/>
      <c r="AA2762" s="171"/>
    </row>
    <row r="2763" spans="1:27" s="530" customFormat="1" hidden="1" x14ac:dyDescent="0.2">
      <c r="A2763" s="526"/>
      <c r="B2763" s="527"/>
      <c r="C2763" s="465"/>
      <c r="D2763" s="464"/>
      <c r="E2763" s="464"/>
      <c r="F2763" s="464"/>
      <c r="G2763" s="510"/>
      <c r="H2763" s="411"/>
      <c r="I2763" s="411"/>
      <c r="J2763" s="750" t="e">
        <f t="shared" si="27"/>
        <v>#DIV/0!</v>
      </c>
      <c r="K2763" s="412"/>
      <c r="L2763" s="412"/>
      <c r="M2763" s="682"/>
      <c r="N2763" s="171"/>
      <c r="O2763" s="171"/>
      <c r="P2763" s="169"/>
      <c r="Q2763" s="171"/>
      <c r="R2763" s="171"/>
      <c r="S2763" s="171"/>
      <c r="T2763" s="171"/>
      <c r="U2763" s="171"/>
      <c r="V2763" s="171"/>
      <c r="W2763" s="171"/>
      <c r="X2763" s="171"/>
      <c r="Y2763" s="171"/>
      <c r="Z2763" s="171"/>
      <c r="AA2763" s="171"/>
    </row>
    <row r="2764" spans="1:27" s="530" customFormat="1" hidden="1" x14ac:dyDescent="0.2">
      <c r="A2764" s="526"/>
      <c r="B2764" s="527"/>
      <c r="C2764" s="465"/>
      <c r="D2764" s="464"/>
      <c r="E2764" s="464"/>
      <c r="F2764" s="464"/>
      <c r="G2764" s="510"/>
      <c r="H2764" s="411"/>
      <c r="I2764" s="411"/>
      <c r="J2764" s="750" t="e">
        <f t="shared" si="27"/>
        <v>#DIV/0!</v>
      </c>
      <c r="K2764" s="412"/>
      <c r="L2764" s="412"/>
      <c r="M2764" s="682"/>
      <c r="N2764" s="171"/>
      <c r="O2764" s="171"/>
      <c r="P2764" s="169"/>
      <c r="Q2764" s="171"/>
      <c r="R2764" s="171"/>
      <c r="S2764" s="171"/>
      <c r="T2764" s="171"/>
      <c r="U2764" s="171"/>
      <c r="V2764" s="171"/>
      <c r="W2764" s="171"/>
      <c r="X2764" s="171"/>
      <c r="Y2764" s="171"/>
      <c r="Z2764" s="171"/>
      <c r="AA2764" s="171"/>
    </row>
    <row r="2765" spans="1:27" s="530" customFormat="1" hidden="1" x14ac:dyDescent="0.2">
      <c r="A2765" s="526"/>
      <c r="B2765" s="527"/>
      <c r="C2765" s="465"/>
      <c r="D2765" s="464"/>
      <c r="E2765" s="464"/>
      <c r="F2765" s="464"/>
      <c r="G2765" s="510"/>
      <c r="H2765" s="411"/>
      <c r="I2765" s="411"/>
      <c r="J2765" s="750" t="e">
        <f t="shared" ref="J2765:J2828" si="28">SUM(I2765/H2765)*100</f>
        <v>#DIV/0!</v>
      </c>
      <c r="K2765" s="412"/>
      <c r="L2765" s="412"/>
      <c r="M2765" s="682"/>
      <c r="N2765" s="171"/>
      <c r="O2765" s="171"/>
      <c r="P2765" s="169"/>
      <c r="Q2765" s="171"/>
      <c r="R2765" s="171"/>
      <c r="S2765" s="171"/>
      <c r="T2765" s="171"/>
      <c r="U2765" s="171"/>
      <c r="V2765" s="171"/>
      <c r="W2765" s="171"/>
      <c r="X2765" s="171"/>
      <c r="Y2765" s="171"/>
      <c r="Z2765" s="171"/>
      <c r="AA2765" s="171"/>
    </row>
    <row r="2766" spans="1:27" s="530" customFormat="1" hidden="1" x14ac:dyDescent="0.2">
      <c r="A2766" s="526"/>
      <c r="B2766" s="527"/>
      <c r="C2766" s="465"/>
      <c r="D2766" s="464"/>
      <c r="E2766" s="464"/>
      <c r="F2766" s="464"/>
      <c r="G2766" s="510"/>
      <c r="H2766" s="411"/>
      <c r="I2766" s="411"/>
      <c r="J2766" s="750" t="e">
        <f t="shared" si="28"/>
        <v>#DIV/0!</v>
      </c>
      <c r="K2766" s="412"/>
      <c r="L2766" s="412"/>
      <c r="M2766" s="682"/>
      <c r="N2766" s="171"/>
      <c r="O2766" s="171"/>
      <c r="P2766" s="169"/>
      <c r="Q2766" s="171"/>
      <c r="R2766" s="171"/>
      <c r="S2766" s="171"/>
      <c r="T2766" s="171"/>
      <c r="U2766" s="171"/>
      <c r="V2766" s="171"/>
      <c r="W2766" s="171"/>
      <c r="X2766" s="171"/>
      <c r="Y2766" s="171"/>
      <c r="Z2766" s="171"/>
      <c r="AA2766" s="171"/>
    </row>
    <row r="2767" spans="1:27" s="530" customFormat="1" hidden="1" x14ac:dyDescent="0.2">
      <c r="A2767" s="526"/>
      <c r="B2767" s="527"/>
      <c r="C2767" s="465"/>
      <c r="D2767" s="464"/>
      <c r="E2767" s="464"/>
      <c r="F2767" s="464"/>
      <c r="G2767" s="510"/>
      <c r="H2767" s="411"/>
      <c r="I2767" s="411"/>
      <c r="J2767" s="750" t="e">
        <f t="shared" si="28"/>
        <v>#DIV/0!</v>
      </c>
      <c r="K2767" s="412"/>
      <c r="L2767" s="412"/>
      <c r="M2767" s="682"/>
      <c r="N2767" s="171"/>
      <c r="O2767" s="171"/>
      <c r="P2767" s="169"/>
      <c r="Q2767" s="171"/>
      <c r="R2767" s="171"/>
      <c r="S2767" s="171"/>
      <c r="T2767" s="171"/>
      <c r="U2767" s="171"/>
      <c r="V2767" s="171"/>
      <c r="W2767" s="171"/>
      <c r="X2767" s="171"/>
      <c r="Y2767" s="171"/>
      <c r="Z2767" s="171"/>
      <c r="AA2767" s="171"/>
    </row>
    <row r="2768" spans="1:27" s="530" customFormat="1" hidden="1" x14ac:dyDescent="0.2">
      <c r="A2768" s="526"/>
      <c r="B2768" s="527"/>
      <c r="C2768" s="465"/>
      <c r="D2768" s="464"/>
      <c r="E2768" s="464"/>
      <c r="F2768" s="464"/>
      <c r="G2768" s="510"/>
      <c r="H2768" s="411"/>
      <c r="I2768" s="411"/>
      <c r="J2768" s="750" t="e">
        <f t="shared" si="28"/>
        <v>#DIV/0!</v>
      </c>
      <c r="K2768" s="412"/>
      <c r="L2768" s="412"/>
      <c r="M2768" s="682"/>
      <c r="N2768" s="171"/>
      <c r="O2768" s="171"/>
      <c r="P2768" s="169"/>
      <c r="Q2768" s="171"/>
      <c r="R2768" s="171"/>
      <c r="S2768" s="171"/>
      <c r="T2768" s="171"/>
      <c r="U2768" s="171"/>
      <c r="V2768" s="171"/>
      <c r="W2768" s="171"/>
      <c r="X2768" s="171"/>
      <c r="Y2768" s="171"/>
      <c r="Z2768" s="171"/>
      <c r="AA2768" s="171"/>
    </row>
    <row r="2769" spans="1:27" s="530" customFormat="1" hidden="1" x14ac:dyDescent="0.2">
      <c r="A2769" s="526"/>
      <c r="B2769" s="527"/>
      <c r="C2769" s="465"/>
      <c r="D2769" s="464"/>
      <c r="E2769" s="464"/>
      <c r="F2769" s="464"/>
      <c r="G2769" s="510"/>
      <c r="H2769" s="411"/>
      <c r="I2769" s="411"/>
      <c r="J2769" s="750" t="e">
        <f t="shared" si="28"/>
        <v>#DIV/0!</v>
      </c>
      <c r="K2769" s="412"/>
      <c r="L2769" s="412"/>
      <c r="M2769" s="682"/>
      <c r="N2769" s="171"/>
      <c r="O2769" s="171"/>
      <c r="P2769" s="169"/>
      <c r="Q2769" s="171"/>
      <c r="R2769" s="171"/>
      <c r="S2769" s="171"/>
      <c r="T2769" s="171"/>
      <c r="U2769" s="171"/>
      <c r="V2769" s="171"/>
      <c r="W2769" s="171"/>
      <c r="X2769" s="171"/>
      <c r="Y2769" s="171"/>
      <c r="Z2769" s="171"/>
      <c r="AA2769" s="171"/>
    </row>
    <row r="2770" spans="1:27" s="530" customFormat="1" hidden="1" x14ac:dyDescent="0.2">
      <c r="A2770" s="526"/>
      <c r="B2770" s="527"/>
      <c r="C2770" s="465"/>
      <c r="D2770" s="464"/>
      <c r="E2770" s="464"/>
      <c r="F2770" s="464"/>
      <c r="G2770" s="510"/>
      <c r="H2770" s="411"/>
      <c r="I2770" s="411"/>
      <c r="J2770" s="750" t="e">
        <f t="shared" si="28"/>
        <v>#DIV/0!</v>
      </c>
      <c r="K2770" s="412"/>
      <c r="L2770" s="412"/>
      <c r="M2770" s="682"/>
      <c r="N2770" s="171"/>
      <c r="O2770" s="171"/>
      <c r="P2770" s="169"/>
      <c r="Q2770" s="171"/>
      <c r="R2770" s="171"/>
      <c r="S2770" s="171"/>
      <c r="T2770" s="171"/>
      <c r="U2770" s="171"/>
      <c r="V2770" s="171"/>
      <c r="W2770" s="171"/>
      <c r="X2770" s="171"/>
      <c r="Y2770" s="171"/>
      <c r="Z2770" s="171"/>
      <c r="AA2770" s="171"/>
    </row>
    <row r="2771" spans="1:27" s="530" customFormat="1" hidden="1" x14ac:dyDescent="0.2">
      <c r="A2771" s="526"/>
      <c r="B2771" s="527"/>
      <c r="C2771" s="465"/>
      <c r="D2771" s="464"/>
      <c r="E2771" s="464"/>
      <c r="F2771" s="464"/>
      <c r="G2771" s="510"/>
      <c r="H2771" s="411"/>
      <c r="I2771" s="411"/>
      <c r="J2771" s="750" t="e">
        <f t="shared" si="28"/>
        <v>#DIV/0!</v>
      </c>
      <c r="K2771" s="412"/>
      <c r="L2771" s="412"/>
      <c r="M2771" s="682"/>
      <c r="N2771" s="171"/>
      <c r="O2771" s="171"/>
      <c r="P2771" s="169"/>
      <c r="Q2771" s="171"/>
      <c r="R2771" s="171"/>
      <c r="S2771" s="171"/>
      <c r="T2771" s="171"/>
      <c r="U2771" s="171"/>
      <c r="V2771" s="171"/>
      <c r="W2771" s="171"/>
      <c r="X2771" s="171"/>
      <c r="Y2771" s="171"/>
      <c r="Z2771" s="171"/>
      <c r="AA2771" s="171"/>
    </row>
    <row r="2772" spans="1:27" s="530" customFormat="1" hidden="1" x14ac:dyDescent="0.2">
      <c r="A2772" s="526"/>
      <c r="B2772" s="527"/>
      <c r="C2772" s="465"/>
      <c r="D2772" s="464"/>
      <c r="E2772" s="464"/>
      <c r="F2772" s="464"/>
      <c r="G2772" s="510"/>
      <c r="H2772" s="411"/>
      <c r="I2772" s="411"/>
      <c r="J2772" s="750" t="e">
        <f t="shared" si="28"/>
        <v>#DIV/0!</v>
      </c>
      <c r="K2772" s="412"/>
      <c r="L2772" s="412"/>
      <c r="M2772" s="682"/>
      <c r="N2772" s="171"/>
      <c r="O2772" s="171"/>
      <c r="P2772" s="169"/>
      <c r="Q2772" s="171"/>
      <c r="R2772" s="171"/>
      <c r="S2772" s="171"/>
      <c r="T2772" s="171"/>
      <c r="U2772" s="171"/>
      <c r="V2772" s="171"/>
      <c r="W2772" s="171"/>
      <c r="X2772" s="171"/>
      <c r="Y2772" s="171"/>
      <c r="Z2772" s="171"/>
      <c r="AA2772" s="171"/>
    </row>
    <row r="2773" spans="1:27" s="530" customFormat="1" hidden="1" x14ac:dyDescent="0.2">
      <c r="A2773" s="526"/>
      <c r="B2773" s="527"/>
      <c r="C2773" s="465"/>
      <c r="D2773" s="464"/>
      <c r="E2773" s="464"/>
      <c r="F2773" s="464"/>
      <c r="G2773" s="510"/>
      <c r="H2773" s="411"/>
      <c r="I2773" s="411"/>
      <c r="J2773" s="750" t="e">
        <f t="shared" si="28"/>
        <v>#DIV/0!</v>
      </c>
      <c r="K2773" s="412"/>
      <c r="L2773" s="412"/>
      <c r="M2773" s="682"/>
      <c r="N2773" s="171"/>
      <c r="O2773" s="171"/>
      <c r="P2773" s="169"/>
      <c r="Q2773" s="171"/>
      <c r="R2773" s="171"/>
      <c r="S2773" s="171"/>
      <c r="T2773" s="171"/>
      <c r="U2773" s="171"/>
      <c r="V2773" s="171"/>
      <c r="W2773" s="171"/>
      <c r="X2773" s="171"/>
      <c r="Y2773" s="171"/>
      <c r="Z2773" s="171"/>
      <c r="AA2773" s="171"/>
    </row>
    <row r="2774" spans="1:27" s="530" customFormat="1" hidden="1" x14ac:dyDescent="0.2">
      <c r="A2774" s="526"/>
      <c r="B2774" s="527"/>
      <c r="C2774" s="465"/>
      <c r="D2774" s="464"/>
      <c r="E2774" s="464"/>
      <c r="F2774" s="464"/>
      <c r="G2774" s="510"/>
      <c r="H2774" s="411"/>
      <c r="I2774" s="411"/>
      <c r="J2774" s="750" t="e">
        <f t="shared" si="28"/>
        <v>#DIV/0!</v>
      </c>
      <c r="K2774" s="412"/>
      <c r="L2774" s="412"/>
      <c r="M2774" s="682"/>
      <c r="N2774" s="171"/>
      <c r="O2774" s="171"/>
      <c r="P2774" s="169"/>
      <c r="Q2774" s="171"/>
      <c r="R2774" s="171"/>
      <c r="S2774" s="171"/>
      <c r="T2774" s="171"/>
      <c r="U2774" s="171"/>
      <c r="V2774" s="171"/>
      <c r="W2774" s="171"/>
      <c r="X2774" s="171"/>
      <c r="Y2774" s="171"/>
      <c r="Z2774" s="171"/>
      <c r="AA2774" s="171"/>
    </row>
    <row r="2775" spans="1:27" s="530" customFormat="1" hidden="1" x14ac:dyDescent="0.2">
      <c r="A2775" s="526"/>
      <c r="B2775" s="527"/>
      <c r="C2775" s="465"/>
      <c r="D2775" s="464"/>
      <c r="E2775" s="464"/>
      <c r="F2775" s="464"/>
      <c r="G2775" s="510"/>
      <c r="H2775" s="411"/>
      <c r="I2775" s="411"/>
      <c r="J2775" s="750" t="e">
        <f t="shared" si="28"/>
        <v>#DIV/0!</v>
      </c>
      <c r="K2775" s="412"/>
      <c r="L2775" s="412"/>
      <c r="M2775" s="682"/>
      <c r="N2775" s="171"/>
      <c r="O2775" s="171"/>
      <c r="P2775" s="169"/>
      <c r="Q2775" s="171"/>
      <c r="R2775" s="171"/>
      <c r="S2775" s="171"/>
      <c r="T2775" s="171"/>
      <c r="U2775" s="171"/>
      <c r="V2775" s="171"/>
      <c r="W2775" s="171"/>
      <c r="X2775" s="171"/>
      <c r="Y2775" s="171"/>
      <c r="Z2775" s="171"/>
      <c r="AA2775" s="171"/>
    </row>
    <row r="2776" spans="1:27" s="530" customFormat="1" hidden="1" x14ac:dyDescent="0.2">
      <c r="A2776" s="526"/>
      <c r="B2776" s="527"/>
      <c r="C2776" s="465"/>
      <c r="D2776" s="464"/>
      <c r="E2776" s="464"/>
      <c r="F2776" s="464"/>
      <c r="G2776" s="510"/>
      <c r="H2776" s="411"/>
      <c r="I2776" s="411"/>
      <c r="J2776" s="750" t="e">
        <f t="shared" si="28"/>
        <v>#DIV/0!</v>
      </c>
      <c r="K2776" s="412"/>
      <c r="L2776" s="412"/>
      <c r="M2776" s="682"/>
      <c r="N2776" s="171"/>
      <c r="O2776" s="171"/>
      <c r="P2776" s="169"/>
      <c r="Q2776" s="171"/>
      <c r="R2776" s="171"/>
      <c r="S2776" s="171"/>
      <c r="T2776" s="171"/>
      <c r="U2776" s="171"/>
      <c r="V2776" s="171"/>
      <c r="W2776" s="171"/>
      <c r="X2776" s="171"/>
      <c r="Y2776" s="171"/>
      <c r="Z2776" s="171"/>
      <c r="AA2776" s="171"/>
    </row>
    <row r="2777" spans="1:27" s="530" customFormat="1" hidden="1" x14ac:dyDescent="0.2">
      <c r="A2777" s="526"/>
      <c r="B2777" s="527"/>
      <c r="C2777" s="465"/>
      <c r="D2777" s="464"/>
      <c r="E2777" s="464"/>
      <c r="F2777" s="464"/>
      <c r="G2777" s="510"/>
      <c r="H2777" s="411"/>
      <c r="I2777" s="411"/>
      <c r="J2777" s="750" t="e">
        <f t="shared" si="28"/>
        <v>#DIV/0!</v>
      </c>
      <c r="K2777" s="412"/>
      <c r="L2777" s="412"/>
      <c r="M2777" s="682"/>
      <c r="N2777" s="171"/>
      <c r="O2777" s="171"/>
      <c r="P2777" s="169"/>
      <c r="Q2777" s="171"/>
      <c r="R2777" s="171"/>
      <c r="S2777" s="171"/>
      <c r="T2777" s="171"/>
      <c r="U2777" s="171"/>
      <c r="V2777" s="171"/>
      <c r="W2777" s="171"/>
      <c r="X2777" s="171"/>
      <c r="Y2777" s="171"/>
      <c r="Z2777" s="171"/>
      <c r="AA2777" s="171"/>
    </row>
    <row r="2778" spans="1:27" s="530" customFormat="1" hidden="1" x14ac:dyDescent="0.2">
      <c r="A2778" s="526"/>
      <c r="B2778" s="527"/>
      <c r="C2778" s="465"/>
      <c r="D2778" s="464"/>
      <c r="E2778" s="464"/>
      <c r="F2778" s="464"/>
      <c r="G2778" s="510"/>
      <c r="H2778" s="411"/>
      <c r="I2778" s="411"/>
      <c r="J2778" s="750" t="e">
        <f t="shared" si="28"/>
        <v>#DIV/0!</v>
      </c>
      <c r="K2778" s="412"/>
      <c r="L2778" s="412"/>
      <c r="M2778" s="682"/>
      <c r="N2778" s="171"/>
      <c r="O2778" s="171"/>
      <c r="P2778" s="169"/>
      <c r="Q2778" s="171"/>
      <c r="R2778" s="171"/>
      <c r="S2778" s="171"/>
      <c r="T2778" s="171"/>
      <c r="U2778" s="171"/>
      <c r="V2778" s="171"/>
      <c r="W2778" s="171"/>
      <c r="X2778" s="171"/>
      <c r="Y2778" s="171"/>
      <c r="Z2778" s="171"/>
      <c r="AA2778" s="171"/>
    </row>
    <row r="2779" spans="1:27" s="530" customFormat="1" hidden="1" x14ac:dyDescent="0.2">
      <c r="A2779" s="526"/>
      <c r="B2779" s="527"/>
      <c r="C2779" s="465"/>
      <c r="D2779" s="464"/>
      <c r="E2779" s="464"/>
      <c r="F2779" s="464"/>
      <c r="G2779" s="510"/>
      <c r="H2779" s="411"/>
      <c r="I2779" s="411"/>
      <c r="J2779" s="750" t="e">
        <f t="shared" si="28"/>
        <v>#DIV/0!</v>
      </c>
      <c r="K2779" s="412"/>
      <c r="L2779" s="412"/>
      <c r="M2779" s="682"/>
      <c r="N2779" s="171"/>
      <c r="O2779" s="171"/>
      <c r="P2779" s="169"/>
      <c r="Q2779" s="171"/>
      <c r="R2779" s="171"/>
      <c r="S2779" s="171"/>
      <c r="T2779" s="171"/>
      <c r="U2779" s="171"/>
      <c r="V2779" s="171"/>
      <c r="W2779" s="171"/>
      <c r="X2779" s="171"/>
      <c r="Y2779" s="171"/>
      <c r="Z2779" s="171"/>
      <c r="AA2779" s="171"/>
    </row>
    <row r="2780" spans="1:27" s="530" customFormat="1" hidden="1" x14ac:dyDescent="0.2">
      <c r="A2780" s="526"/>
      <c r="B2780" s="527"/>
      <c r="C2780" s="465"/>
      <c r="D2780" s="464"/>
      <c r="E2780" s="464"/>
      <c r="F2780" s="464"/>
      <c r="G2780" s="510"/>
      <c r="H2780" s="411"/>
      <c r="I2780" s="411"/>
      <c r="J2780" s="750" t="e">
        <f t="shared" si="28"/>
        <v>#DIV/0!</v>
      </c>
      <c r="K2780" s="412"/>
      <c r="L2780" s="412"/>
      <c r="M2780" s="682"/>
      <c r="N2780" s="171"/>
      <c r="O2780" s="171"/>
      <c r="P2780" s="169"/>
      <c r="Q2780" s="171"/>
      <c r="R2780" s="171"/>
      <c r="S2780" s="171"/>
      <c r="T2780" s="171"/>
      <c r="U2780" s="171"/>
      <c r="V2780" s="171"/>
      <c r="W2780" s="171"/>
      <c r="X2780" s="171"/>
      <c r="Y2780" s="171"/>
      <c r="Z2780" s="171"/>
      <c r="AA2780" s="171"/>
    </row>
    <row r="2781" spans="1:27" s="530" customFormat="1" hidden="1" x14ac:dyDescent="0.2">
      <c r="A2781" s="526"/>
      <c r="B2781" s="527"/>
      <c r="C2781" s="465"/>
      <c r="D2781" s="464"/>
      <c r="E2781" s="464"/>
      <c r="F2781" s="464"/>
      <c r="G2781" s="510"/>
      <c r="H2781" s="411"/>
      <c r="I2781" s="411"/>
      <c r="J2781" s="750" t="e">
        <f t="shared" si="28"/>
        <v>#DIV/0!</v>
      </c>
      <c r="K2781" s="412"/>
      <c r="L2781" s="412"/>
      <c r="M2781" s="682"/>
      <c r="N2781" s="171"/>
      <c r="O2781" s="171"/>
      <c r="P2781" s="169"/>
      <c r="Q2781" s="171"/>
      <c r="R2781" s="171"/>
      <c r="S2781" s="171"/>
      <c r="T2781" s="171"/>
      <c r="U2781" s="171"/>
      <c r="V2781" s="171"/>
      <c r="W2781" s="171"/>
      <c r="X2781" s="171"/>
      <c r="Y2781" s="171"/>
      <c r="Z2781" s="171"/>
      <c r="AA2781" s="171"/>
    </row>
    <row r="2782" spans="1:27" s="530" customFormat="1" hidden="1" x14ac:dyDescent="0.2">
      <c r="A2782" s="526"/>
      <c r="B2782" s="527"/>
      <c r="C2782" s="465"/>
      <c r="D2782" s="464"/>
      <c r="E2782" s="464"/>
      <c r="F2782" s="464"/>
      <c r="G2782" s="510"/>
      <c r="H2782" s="411"/>
      <c r="I2782" s="411"/>
      <c r="J2782" s="750" t="e">
        <f t="shared" si="28"/>
        <v>#DIV/0!</v>
      </c>
      <c r="K2782" s="412"/>
      <c r="L2782" s="412"/>
      <c r="M2782" s="682"/>
      <c r="N2782" s="171"/>
      <c r="O2782" s="171"/>
      <c r="P2782" s="169"/>
      <c r="Q2782" s="171"/>
      <c r="R2782" s="171"/>
      <c r="S2782" s="171"/>
      <c r="T2782" s="171"/>
      <c r="U2782" s="171"/>
      <c r="V2782" s="171"/>
      <c r="W2782" s="171"/>
      <c r="X2782" s="171"/>
      <c r="Y2782" s="171"/>
      <c r="Z2782" s="171"/>
      <c r="AA2782" s="171"/>
    </row>
    <row r="2783" spans="1:27" s="530" customFormat="1" hidden="1" x14ac:dyDescent="0.2">
      <c r="A2783" s="526"/>
      <c r="B2783" s="527"/>
      <c r="C2783" s="465"/>
      <c r="D2783" s="464"/>
      <c r="E2783" s="464"/>
      <c r="F2783" s="464"/>
      <c r="G2783" s="510"/>
      <c r="H2783" s="411"/>
      <c r="I2783" s="411"/>
      <c r="J2783" s="750" t="e">
        <f t="shared" si="28"/>
        <v>#DIV/0!</v>
      </c>
      <c r="K2783" s="412"/>
      <c r="L2783" s="412"/>
      <c r="M2783" s="682"/>
      <c r="N2783" s="171"/>
      <c r="O2783" s="171"/>
      <c r="P2783" s="169"/>
      <c r="Q2783" s="171"/>
      <c r="R2783" s="171"/>
      <c r="S2783" s="171"/>
      <c r="T2783" s="171"/>
      <c r="U2783" s="171"/>
      <c r="V2783" s="171"/>
      <c r="W2783" s="171"/>
      <c r="X2783" s="171"/>
      <c r="Y2783" s="171"/>
      <c r="Z2783" s="171"/>
      <c r="AA2783" s="171"/>
    </row>
    <row r="2784" spans="1:27" s="530" customFormat="1" hidden="1" x14ac:dyDescent="0.2">
      <c r="A2784" s="526"/>
      <c r="B2784" s="527"/>
      <c r="C2784" s="465"/>
      <c r="D2784" s="464"/>
      <c r="E2784" s="464"/>
      <c r="F2784" s="464"/>
      <c r="G2784" s="510"/>
      <c r="H2784" s="411"/>
      <c r="I2784" s="411"/>
      <c r="J2784" s="750" t="e">
        <f t="shared" si="28"/>
        <v>#DIV/0!</v>
      </c>
      <c r="K2784" s="412"/>
      <c r="L2784" s="412"/>
      <c r="M2784" s="682"/>
      <c r="N2784" s="171"/>
      <c r="O2784" s="171"/>
      <c r="P2784" s="169"/>
      <c r="Q2784" s="171"/>
      <c r="R2784" s="171"/>
      <c r="S2784" s="171"/>
      <c r="T2784" s="171"/>
      <c r="U2784" s="171"/>
      <c r="V2784" s="171"/>
      <c r="W2784" s="171"/>
      <c r="X2784" s="171"/>
      <c r="Y2784" s="171"/>
      <c r="Z2784" s="171"/>
      <c r="AA2784" s="171"/>
    </row>
    <row r="2785" spans="1:27" s="530" customFormat="1" hidden="1" x14ac:dyDescent="0.2">
      <c r="A2785" s="526"/>
      <c r="B2785" s="527"/>
      <c r="C2785" s="465"/>
      <c r="D2785" s="464"/>
      <c r="E2785" s="464"/>
      <c r="F2785" s="464"/>
      <c r="G2785" s="510"/>
      <c r="H2785" s="411"/>
      <c r="I2785" s="411"/>
      <c r="J2785" s="750" t="e">
        <f t="shared" si="28"/>
        <v>#DIV/0!</v>
      </c>
      <c r="K2785" s="412"/>
      <c r="L2785" s="412"/>
      <c r="M2785" s="682"/>
      <c r="N2785" s="171"/>
      <c r="O2785" s="171"/>
      <c r="P2785" s="169"/>
      <c r="Q2785" s="171"/>
      <c r="R2785" s="171"/>
      <c r="S2785" s="171"/>
      <c r="T2785" s="171"/>
      <c r="U2785" s="171"/>
      <c r="V2785" s="171"/>
      <c r="W2785" s="171"/>
      <c r="X2785" s="171"/>
      <c r="Y2785" s="171"/>
      <c r="Z2785" s="171"/>
      <c r="AA2785" s="171"/>
    </row>
    <row r="2786" spans="1:27" s="530" customFormat="1" hidden="1" x14ac:dyDescent="0.2">
      <c r="A2786" s="526"/>
      <c r="B2786" s="527"/>
      <c r="C2786" s="465"/>
      <c r="D2786" s="464"/>
      <c r="E2786" s="464"/>
      <c r="F2786" s="464"/>
      <c r="G2786" s="510"/>
      <c r="H2786" s="411"/>
      <c r="I2786" s="411"/>
      <c r="J2786" s="750" t="e">
        <f t="shared" si="28"/>
        <v>#DIV/0!</v>
      </c>
      <c r="K2786" s="412"/>
      <c r="L2786" s="412"/>
      <c r="M2786" s="682"/>
      <c r="N2786" s="171"/>
      <c r="O2786" s="171"/>
      <c r="P2786" s="169"/>
      <c r="Q2786" s="171"/>
      <c r="R2786" s="171"/>
      <c r="S2786" s="171"/>
      <c r="T2786" s="171"/>
      <c r="U2786" s="171"/>
      <c r="V2786" s="171"/>
      <c r="W2786" s="171"/>
      <c r="X2786" s="171"/>
      <c r="Y2786" s="171"/>
      <c r="Z2786" s="171"/>
      <c r="AA2786" s="171"/>
    </row>
    <row r="2787" spans="1:27" s="530" customFormat="1" hidden="1" x14ac:dyDescent="0.2">
      <c r="A2787" s="526"/>
      <c r="B2787" s="527"/>
      <c r="C2787" s="465"/>
      <c r="D2787" s="464"/>
      <c r="E2787" s="464"/>
      <c r="F2787" s="464"/>
      <c r="G2787" s="510"/>
      <c r="H2787" s="411"/>
      <c r="I2787" s="411"/>
      <c r="J2787" s="750" t="e">
        <f t="shared" si="28"/>
        <v>#DIV/0!</v>
      </c>
      <c r="K2787" s="412"/>
      <c r="L2787" s="412"/>
      <c r="M2787" s="682"/>
      <c r="N2787" s="171"/>
      <c r="O2787" s="171"/>
      <c r="P2787" s="169"/>
      <c r="Q2787" s="171"/>
      <c r="R2787" s="171"/>
      <c r="S2787" s="171"/>
      <c r="T2787" s="171"/>
      <c r="U2787" s="171"/>
      <c r="V2787" s="171"/>
      <c r="W2787" s="171"/>
      <c r="X2787" s="171"/>
      <c r="Y2787" s="171"/>
      <c r="Z2787" s="171"/>
      <c r="AA2787" s="171"/>
    </row>
    <row r="2788" spans="1:27" s="530" customFormat="1" hidden="1" x14ac:dyDescent="0.2">
      <c r="A2788" s="526"/>
      <c r="B2788" s="527"/>
      <c r="C2788" s="465"/>
      <c r="D2788" s="464"/>
      <c r="E2788" s="464"/>
      <c r="F2788" s="464"/>
      <c r="G2788" s="510"/>
      <c r="H2788" s="411"/>
      <c r="I2788" s="411"/>
      <c r="J2788" s="750" t="e">
        <f t="shared" si="28"/>
        <v>#DIV/0!</v>
      </c>
      <c r="K2788" s="412"/>
      <c r="L2788" s="412"/>
      <c r="M2788" s="682"/>
      <c r="N2788" s="171"/>
      <c r="O2788" s="171"/>
      <c r="P2788" s="169"/>
      <c r="Q2788" s="171"/>
      <c r="R2788" s="171"/>
      <c r="S2788" s="171"/>
      <c r="T2788" s="171"/>
      <c r="U2788" s="171"/>
      <c r="V2788" s="171"/>
      <c r="W2788" s="171"/>
      <c r="X2788" s="171"/>
      <c r="Y2788" s="171"/>
      <c r="Z2788" s="171"/>
      <c r="AA2788" s="171"/>
    </row>
    <row r="2789" spans="1:27" s="530" customFormat="1" hidden="1" x14ac:dyDescent="0.2">
      <c r="A2789" s="526"/>
      <c r="B2789" s="527"/>
      <c r="C2789" s="465"/>
      <c r="D2789" s="464"/>
      <c r="E2789" s="464"/>
      <c r="F2789" s="464"/>
      <c r="G2789" s="510"/>
      <c r="H2789" s="411"/>
      <c r="I2789" s="411"/>
      <c r="J2789" s="750" t="e">
        <f t="shared" si="28"/>
        <v>#DIV/0!</v>
      </c>
      <c r="K2789" s="412"/>
      <c r="L2789" s="412"/>
      <c r="M2789" s="682"/>
      <c r="N2789" s="171"/>
      <c r="O2789" s="171"/>
      <c r="P2789" s="169"/>
      <c r="Q2789" s="171"/>
      <c r="R2789" s="171"/>
      <c r="S2789" s="171"/>
      <c r="T2789" s="171"/>
      <c r="U2789" s="171"/>
      <c r="V2789" s="171"/>
      <c r="W2789" s="171"/>
      <c r="X2789" s="171"/>
      <c r="Y2789" s="171"/>
      <c r="Z2789" s="171"/>
      <c r="AA2789" s="171"/>
    </row>
    <row r="2790" spans="1:27" s="530" customFormat="1" hidden="1" x14ac:dyDescent="0.2">
      <c r="A2790" s="526"/>
      <c r="B2790" s="527"/>
      <c r="C2790" s="465"/>
      <c r="D2790" s="464"/>
      <c r="E2790" s="464"/>
      <c r="F2790" s="464"/>
      <c r="G2790" s="510"/>
      <c r="H2790" s="411"/>
      <c r="I2790" s="411"/>
      <c r="J2790" s="750" t="e">
        <f t="shared" si="28"/>
        <v>#DIV/0!</v>
      </c>
      <c r="K2790" s="412"/>
      <c r="L2790" s="412"/>
      <c r="M2790" s="682"/>
      <c r="N2790" s="171"/>
      <c r="O2790" s="171"/>
      <c r="P2790" s="169"/>
      <c r="Q2790" s="171"/>
      <c r="R2790" s="171"/>
      <c r="S2790" s="171"/>
      <c r="T2790" s="171"/>
      <c r="U2790" s="171"/>
      <c r="V2790" s="171"/>
      <c r="W2790" s="171"/>
      <c r="X2790" s="171"/>
      <c r="Y2790" s="171"/>
      <c r="Z2790" s="171"/>
      <c r="AA2790" s="171"/>
    </row>
    <row r="2791" spans="1:27" s="530" customFormat="1" hidden="1" x14ac:dyDescent="0.2">
      <c r="A2791" s="526"/>
      <c r="B2791" s="527"/>
      <c r="C2791" s="465"/>
      <c r="D2791" s="464"/>
      <c r="E2791" s="464"/>
      <c r="F2791" s="464"/>
      <c r="G2791" s="510"/>
      <c r="H2791" s="411"/>
      <c r="I2791" s="411"/>
      <c r="J2791" s="750" t="e">
        <f t="shared" si="28"/>
        <v>#DIV/0!</v>
      </c>
      <c r="K2791" s="412"/>
      <c r="L2791" s="412"/>
      <c r="M2791" s="682"/>
      <c r="N2791" s="171"/>
      <c r="O2791" s="171"/>
      <c r="P2791" s="169"/>
      <c r="Q2791" s="171"/>
      <c r="R2791" s="171"/>
      <c r="S2791" s="171"/>
      <c r="T2791" s="171"/>
      <c r="U2791" s="171"/>
      <c r="V2791" s="171"/>
      <c r="W2791" s="171"/>
      <c r="X2791" s="171"/>
      <c r="Y2791" s="171"/>
      <c r="Z2791" s="171"/>
      <c r="AA2791" s="171"/>
    </row>
    <row r="2792" spans="1:27" s="530" customFormat="1" hidden="1" x14ac:dyDescent="0.2">
      <c r="A2792" s="526"/>
      <c r="B2792" s="527"/>
      <c r="C2792" s="465"/>
      <c r="D2792" s="464"/>
      <c r="E2792" s="464"/>
      <c r="F2792" s="464"/>
      <c r="G2792" s="510"/>
      <c r="H2792" s="411"/>
      <c r="I2792" s="411"/>
      <c r="J2792" s="750" t="e">
        <f t="shared" si="28"/>
        <v>#DIV/0!</v>
      </c>
      <c r="K2792" s="412"/>
      <c r="L2792" s="412"/>
      <c r="M2792" s="682"/>
      <c r="N2792" s="171"/>
      <c r="O2792" s="171"/>
      <c r="P2792" s="169"/>
      <c r="Q2792" s="171"/>
      <c r="R2792" s="171"/>
      <c r="S2792" s="171"/>
      <c r="T2792" s="171"/>
      <c r="U2792" s="171"/>
      <c r="V2792" s="171"/>
      <c r="W2792" s="171"/>
      <c r="X2792" s="171"/>
      <c r="Y2792" s="171"/>
      <c r="Z2792" s="171"/>
      <c r="AA2792" s="171"/>
    </row>
    <row r="2793" spans="1:27" s="530" customFormat="1" hidden="1" x14ac:dyDescent="0.2">
      <c r="A2793" s="526"/>
      <c r="B2793" s="527"/>
      <c r="C2793" s="465"/>
      <c r="D2793" s="464"/>
      <c r="E2793" s="464"/>
      <c r="F2793" s="464"/>
      <c r="G2793" s="510"/>
      <c r="H2793" s="411"/>
      <c r="I2793" s="411"/>
      <c r="J2793" s="750" t="e">
        <f t="shared" si="28"/>
        <v>#DIV/0!</v>
      </c>
      <c r="K2793" s="412"/>
      <c r="L2793" s="412"/>
      <c r="M2793" s="682"/>
      <c r="N2793" s="171"/>
      <c r="O2793" s="171"/>
      <c r="P2793" s="169"/>
      <c r="Q2793" s="171"/>
      <c r="R2793" s="171"/>
      <c r="S2793" s="171"/>
      <c r="T2793" s="171"/>
      <c r="U2793" s="171"/>
      <c r="V2793" s="171"/>
      <c r="W2793" s="171"/>
      <c r="X2793" s="171"/>
      <c r="Y2793" s="171"/>
      <c r="Z2793" s="171"/>
      <c r="AA2793" s="171"/>
    </row>
    <row r="2794" spans="1:27" s="530" customFormat="1" hidden="1" x14ac:dyDescent="0.2">
      <c r="A2794" s="526"/>
      <c r="B2794" s="527"/>
      <c r="C2794" s="465"/>
      <c r="D2794" s="464"/>
      <c r="E2794" s="464"/>
      <c r="F2794" s="464"/>
      <c r="G2794" s="510"/>
      <c r="H2794" s="411"/>
      <c r="I2794" s="411"/>
      <c r="J2794" s="750" t="e">
        <f t="shared" si="28"/>
        <v>#DIV/0!</v>
      </c>
      <c r="K2794" s="412"/>
      <c r="L2794" s="412"/>
      <c r="M2794" s="682"/>
      <c r="N2794" s="171"/>
      <c r="O2794" s="171"/>
      <c r="P2794" s="169"/>
      <c r="Q2794" s="171"/>
      <c r="R2794" s="171"/>
      <c r="S2794" s="171"/>
      <c r="T2794" s="171"/>
      <c r="U2794" s="171"/>
      <c r="V2794" s="171"/>
      <c r="W2794" s="171"/>
      <c r="X2794" s="171"/>
      <c r="Y2794" s="171"/>
      <c r="Z2794" s="171"/>
      <c r="AA2794" s="171"/>
    </row>
    <row r="2795" spans="1:27" s="530" customFormat="1" hidden="1" x14ac:dyDescent="0.2">
      <c r="A2795" s="526"/>
      <c r="B2795" s="527"/>
      <c r="C2795" s="465"/>
      <c r="D2795" s="464"/>
      <c r="E2795" s="464"/>
      <c r="F2795" s="464"/>
      <c r="G2795" s="510"/>
      <c r="H2795" s="411"/>
      <c r="I2795" s="411"/>
      <c r="J2795" s="750" t="e">
        <f t="shared" si="28"/>
        <v>#DIV/0!</v>
      </c>
      <c r="K2795" s="412"/>
      <c r="L2795" s="412"/>
      <c r="M2795" s="682"/>
      <c r="N2795" s="171"/>
      <c r="O2795" s="171"/>
      <c r="P2795" s="169"/>
      <c r="Q2795" s="171"/>
      <c r="R2795" s="171"/>
      <c r="S2795" s="171"/>
      <c r="T2795" s="171"/>
      <c r="U2795" s="171"/>
      <c r="V2795" s="171"/>
      <c r="W2795" s="171"/>
      <c r="X2795" s="171"/>
      <c r="Y2795" s="171"/>
      <c r="Z2795" s="171"/>
      <c r="AA2795" s="171"/>
    </row>
    <row r="2796" spans="1:27" s="530" customFormat="1" hidden="1" x14ac:dyDescent="0.2">
      <c r="A2796" s="526"/>
      <c r="B2796" s="527"/>
      <c r="C2796" s="465"/>
      <c r="D2796" s="464"/>
      <c r="E2796" s="464"/>
      <c r="F2796" s="464"/>
      <c r="G2796" s="510"/>
      <c r="H2796" s="411"/>
      <c r="I2796" s="411"/>
      <c r="J2796" s="750" t="e">
        <f t="shared" si="28"/>
        <v>#DIV/0!</v>
      </c>
      <c r="K2796" s="412"/>
      <c r="L2796" s="412"/>
      <c r="M2796" s="682"/>
      <c r="N2796" s="171"/>
      <c r="O2796" s="171"/>
      <c r="P2796" s="169"/>
      <c r="Q2796" s="171"/>
      <c r="R2796" s="171"/>
      <c r="S2796" s="171"/>
      <c r="T2796" s="171"/>
      <c r="U2796" s="171"/>
      <c r="V2796" s="171"/>
      <c r="W2796" s="171"/>
      <c r="X2796" s="171"/>
      <c r="Y2796" s="171"/>
      <c r="Z2796" s="171"/>
      <c r="AA2796" s="171"/>
    </row>
    <row r="2797" spans="1:27" s="530" customFormat="1" hidden="1" x14ac:dyDescent="0.2">
      <c r="A2797" s="526"/>
      <c r="B2797" s="527"/>
      <c r="C2797" s="465"/>
      <c r="D2797" s="464"/>
      <c r="E2797" s="464"/>
      <c r="F2797" s="464"/>
      <c r="G2797" s="510"/>
      <c r="H2797" s="411"/>
      <c r="I2797" s="411"/>
      <c r="J2797" s="750" t="e">
        <f t="shared" si="28"/>
        <v>#DIV/0!</v>
      </c>
      <c r="K2797" s="412"/>
      <c r="L2797" s="412"/>
      <c r="M2797" s="682"/>
      <c r="N2797" s="171"/>
      <c r="O2797" s="171"/>
      <c r="P2797" s="169"/>
      <c r="Q2797" s="171"/>
      <c r="R2797" s="171"/>
      <c r="S2797" s="171"/>
      <c r="T2797" s="171"/>
      <c r="U2797" s="171"/>
      <c r="V2797" s="171"/>
      <c r="W2797" s="171"/>
      <c r="X2797" s="171"/>
      <c r="Y2797" s="171"/>
      <c r="Z2797" s="171"/>
      <c r="AA2797" s="171"/>
    </row>
    <row r="2798" spans="1:27" s="530" customFormat="1" hidden="1" x14ac:dyDescent="0.2">
      <c r="A2798" s="526"/>
      <c r="B2798" s="527"/>
      <c r="C2798" s="465"/>
      <c r="D2798" s="464"/>
      <c r="E2798" s="464"/>
      <c r="F2798" s="464"/>
      <c r="G2798" s="510"/>
      <c r="H2798" s="411"/>
      <c r="I2798" s="411"/>
      <c r="J2798" s="750" t="e">
        <f t="shared" si="28"/>
        <v>#DIV/0!</v>
      </c>
      <c r="K2798" s="412"/>
      <c r="L2798" s="412"/>
      <c r="M2798" s="682"/>
      <c r="N2798" s="171"/>
      <c r="O2798" s="171"/>
      <c r="P2798" s="169"/>
      <c r="Q2798" s="171"/>
      <c r="R2798" s="171"/>
      <c r="S2798" s="171"/>
      <c r="T2798" s="171"/>
      <c r="U2798" s="171"/>
      <c r="V2798" s="171"/>
      <c r="W2798" s="171"/>
      <c r="X2798" s="171"/>
      <c r="Y2798" s="171"/>
      <c r="Z2798" s="171"/>
      <c r="AA2798" s="171"/>
    </row>
    <row r="2799" spans="1:27" s="530" customFormat="1" hidden="1" x14ac:dyDescent="0.2">
      <c r="A2799" s="526"/>
      <c r="B2799" s="527"/>
      <c r="C2799" s="465"/>
      <c r="D2799" s="464"/>
      <c r="E2799" s="464"/>
      <c r="F2799" s="464"/>
      <c r="G2799" s="510"/>
      <c r="H2799" s="411"/>
      <c r="I2799" s="411"/>
      <c r="J2799" s="750" t="e">
        <f t="shared" si="28"/>
        <v>#DIV/0!</v>
      </c>
      <c r="K2799" s="412"/>
      <c r="L2799" s="412"/>
      <c r="M2799" s="682"/>
      <c r="N2799" s="171"/>
      <c r="O2799" s="171"/>
      <c r="P2799" s="169"/>
      <c r="Q2799" s="171"/>
      <c r="R2799" s="171"/>
      <c r="S2799" s="171"/>
      <c r="T2799" s="171"/>
      <c r="U2799" s="171"/>
      <c r="V2799" s="171"/>
      <c r="W2799" s="171"/>
      <c r="X2799" s="171"/>
      <c r="Y2799" s="171"/>
      <c r="Z2799" s="171"/>
      <c r="AA2799" s="171"/>
    </row>
    <row r="2800" spans="1:27" s="530" customFormat="1" hidden="1" x14ac:dyDescent="0.2">
      <c r="A2800" s="526"/>
      <c r="B2800" s="527"/>
      <c r="C2800" s="465"/>
      <c r="D2800" s="464"/>
      <c r="E2800" s="464"/>
      <c r="F2800" s="464"/>
      <c r="G2800" s="510"/>
      <c r="H2800" s="411"/>
      <c r="I2800" s="411"/>
      <c r="J2800" s="750" t="e">
        <f t="shared" si="28"/>
        <v>#DIV/0!</v>
      </c>
      <c r="K2800" s="412"/>
      <c r="L2800" s="412"/>
      <c r="M2800" s="682"/>
      <c r="N2800" s="171"/>
      <c r="O2800" s="171"/>
      <c r="P2800" s="169"/>
      <c r="Q2800" s="171"/>
      <c r="R2800" s="171"/>
      <c r="S2800" s="171"/>
      <c r="T2800" s="171"/>
      <c r="U2800" s="171"/>
      <c r="V2800" s="171"/>
      <c r="W2800" s="171"/>
      <c r="X2800" s="171"/>
      <c r="Y2800" s="171"/>
      <c r="Z2800" s="171"/>
      <c r="AA2800" s="171"/>
    </row>
    <row r="2801" spans="1:27" s="530" customFormat="1" hidden="1" x14ac:dyDescent="0.2">
      <c r="A2801" s="526"/>
      <c r="B2801" s="527"/>
      <c r="C2801" s="465"/>
      <c r="D2801" s="464"/>
      <c r="E2801" s="464"/>
      <c r="F2801" s="464"/>
      <c r="G2801" s="510"/>
      <c r="H2801" s="411"/>
      <c r="I2801" s="411"/>
      <c r="J2801" s="750" t="e">
        <f t="shared" si="28"/>
        <v>#DIV/0!</v>
      </c>
      <c r="K2801" s="412"/>
      <c r="L2801" s="412"/>
      <c r="M2801" s="682"/>
      <c r="N2801" s="171"/>
      <c r="O2801" s="171"/>
      <c r="P2801" s="169"/>
      <c r="Q2801" s="171"/>
      <c r="R2801" s="171"/>
      <c r="S2801" s="171"/>
      <c r="T2801" s="171"/>
      <c r="U2801" s="171"/>
      <c r="V2801" s="171"/>
      <c r="W2801" s="171"/>
      <c r="X2801" s="171"/>
      <c r="Y2801" s="171"/>
      <c r="Z2801" s="171"/>
      <c r="AA2801" s="171"/>
    </row>
    <row r="2802" spans="1:27" s="530" customFormat="1" hidden="1" x14ac:dyDescent="0.2">
      <c r="A2802" s="526"/>
      <c r="B2802" s="527"/>
      <c r="C2802" s="465"/>
      <c r="D2802" s="464"/>
      <c r="E2802" s="464"/>
      <c r="F2802" s="464"/>
      <c r="G2802" s="510"/>
      <c r="H2802" s="411"/>
      <c r="I2802" s="411"/>
      <c r="J2802" s="750" t="e">
        <f t="shared" si="28"/>
        <v>#DIV/0!</v>
      </c>
      <c r="K2802" s="412"/>
      <c r="L2802" s="412"/>
      <c r="M2802" s="682"/>
      <c r="N2802" s="171"/>
      <c r="O2802" s="171"/>
      <c r="P2802" s="169"/>
      <c r="Q2802" s="171"/>
      <c r="R2802" s="171"/>
      <c r="S2802" s="171"/>
      <c r="T2802" s="171"/>
      <c r="U2802" s="171"/>
      <c r="V2802" s="171"/>
      <c r="W2802" s="171"/>
      <c r="X2802" s="171"/>
      <c r="Y2802" s="171"/>
      <c r="Z2802" s="171"/>
      <c r="AA2802" s="171"/>
    </row>
    <row r="2803" spans="1:27" s="530" customFormat="1" hidden="1" x14ac:dyDescent="0.2">
      <c r="A2803" s="526"/>
      <c r="B2803" s="527"/>
      <c r="C2803" s="465"/>
      <c r="D2803" s="464"/>
      <c r="E2803" s="464"/>
      <c r="F2803" s="464"/>
      <c r="G2803" s="510"/>
      <c r="H2803" s="411"/>
      <c r="I2803" s="411"/>
      <c r="J2803" s="750" t="e">
        <f t="shared" si="28"/>
        <v>#DIV/0!</v>
      </c>
      <c r="K2803" s="412"/>
      <c r="L2803" s="412"/>
      <c r="M2803" s="682"/>
      <c r="N2803" s="171"/>
      <c r="O2803" s="171"/>
      <c r="P2803" s="169"/>
      <c r="Q2803" s="171"/>
      <c r="R2803" s="171"/>
      <c r="S2803" s="171"/>
      <c r="T2803" s="171"/>
      <c r="U2803" s="171"/>
      <c r="V2803" s="171"/>
      <c r="W2803" s="171"/>
      <c r="X2803" s="171"/>
      <c r="Y2803" s="171"/>
      <c r="Z2803" s="171"/>
      <c r="AA2803" s="171"/>
    </row>
    <row r="2804" spans="1:27" s="530" customFormat="1" hidden="1" x14ac:dyDescent="0.2">
      <c r="A2804" s="526"/>
      <c r="B2804" s="527"/>
      <c r="C2804" s="465"/>
      <c r="D2804" s="464"/>
      <c r="E2804" s="464"/>
      <c r="F2804" s="464"/>
      <c r="G2804" s="510"/>
      <c r="H2804" s="411"/>
      <c r="I2804" s="411"/>
      <c r="J2804" s="750" t="e">
        <f t="shared" si="28"/>
        <v>#DIV/0!</v>
      </c>
      <c r="K2804" s="412"/>
      <c r="L2804" s="412"/>
      <c r="M2804" s="682"/>
      <c r="N2804" s="171"/>
      <c r="O2804" s="171"/>
      <c r="P2804" s="169"/>
      <c r="Q2804" s="171"/>
      <c r="R2804" s="171"/>
      <c r="S2804" s="171"/>
      <c r="T2804" s="171"/>
      <c r="U2804" s="171"/>
      <c r="V2804" s="171"/>
      <c r="W2804" s="171"/>
      <c r="X2804" s="171"/>
      <c r="Y2804" s="171"/>
      <c r="Z2804" s="171"/>
      <c r="AA2804" s="171"/>
    </row>
    <row r="2805" spans="1:27" s="530" customFormat="1" hidden="1" x14ac:dyDescent="0.2">
      <c r="A2805" s="526"/>
      <c r="B2805" s="527"/>
      <c r="C2805" s="465"/>
      <c r="D2805" s="464"/>
      <c r="E2805" s="464"/>
      <c r="F2805" s="464"/>
      <c r="G2805" s="510"/>
      <c r="H2805" s="411"/>
      <c r="I2805" s="411"/>
      <c r="J2805" s="750" t="e">
        <f t="shared" si="28"/>
        <v>#DIV/0!</v>
      </c>
      <c r="K2805" s="412"/>
      <c r="L2805" s="412"/>
      <c r="M2805" s="682"/>
      <c r="N2805" s="171"/>
      <c r="O2805" s="171"/>
      <c r="P2805" s="169"/>
      <c r="Q2805" s="171"/>
      <c r="R2805" s="171"/>
      <c r="S2805" s="171"/>
      <c r="T2805" s="171"/>
      <c r="U2805" s="171"/>
      <c r="V2805" s="171"/>
      <c r="W2805" s="171"/>
      <c r="X2805" s="171"/>
      <c r="Y2805" s="171"/>
      <c r="Z2805" s="171"/>
      <c r="AA2805" s="171"/>
    </row>
    <row r="2806" spans="1:27" s="530" customFormat="1" hidden="1" x14ac:dyDescent="0.2">
      <c r="A2806" s="526"/>
      <c r="B2806" s="527"/>
      <c r="C2806" s="465"/>
      <c r="D2806" s="464"/>
      <c r="E2806" s="464"/>
      <c r="F2806" s="464"/>
      <c r="G2806" s="510"/>
      <c r="H2806" s="411"/>
      <c r="I2806" s="411"/>
      <c r="J2806" s="750" t="e">
        <f t="shared" si="28"/>
        <v>#DIV/0!</v>
      </c>
      <c r="K2806" s="412"/>
      <c r="L2806" s="412"/>
      <c r="M2806" s="682"/>
      <c r="N2806" s="171"/>
      <c r="O2806" s="171"/>
      <c r="P2806" s="169"/>
      <c r="Q2806" s="171"/>
      <c r="R2806" s="171"/>
      <c r="S2806" s="171"/>
      <c r="T2806" s="171"/>
      <c r="U2806" s="171"/>
      <c r="V2806" s="171"/>
      <c r="W2806" s="171"/>
      <c r="X2806" s="171"/>
      <c r="Y2806" s="171"/>
      <c r="Z2806" s="171"/>
      <c r="AA2806" s="171"/>
    </row>
    <row r="2807" spans="1:27" s="530" customFormat="1" hidden="1" x14ac:dyDescent="0.2">
      <c r="A2807" s="526"/>
      <c r="B2807" s="527"/>
      <c r="C2807" s="465"/>
      <c r="D2807" s="464"/>
      <c r="E2807" s="464"/>
      <c r="F2807" s="464"/>
      <c r="G2807" s="510"/>
      <c r="H2807" s="411"/>
      <c r="I2807" s="411"/>
      <c r="J2807" s="750" t="e">
        <f t="shared" si="28"/>
        <v>#DIV/0!</v>
      </c>
      <c r="K2807" s="412"/>
      <c r="L2807" s="412"/>
      <c r="M2807" s="682"/>
      <c r="N2807" s="171"/>
      <c r="O2807" s="171"/>
      <c r="P2807" s="169"/>
      <c r="Q2807" s="171"/>
      <c r="R2807" s="171"/>
      <c r="S2807" s="171"/>
      <c r="T2807" s="171"/>
      <c r="U2807" s="171"/>
      <c r="V2807" s="171"/>
      <c r="W2807" s="171"/>
      <c r="X2807" s="171"/>
      <c r="Y2807" s="171"/>
      <c r="Z2807" s="171"/>
      <c r="AA2807" s="171"/>
    </row>
    <row r="2808" spans="1:27" s="530" customFormat="1" hidden="1" x14ac:dyDescent="0.2">
      <c r="A2808" s="526"/>
      <c r="B2808" s="527"/>
      <c r="C2808" s="465"/>
      <c r="D2808" s="464"/>
      <c r="E2808" s="464"/>
      <c r="F2808" s="464"/>
      <c r="G2808" s="510"/>
      <c r="H2808" s="411"/>
      <c r="I2808" s="411"/>
      <c r="J2808" s="750" t="e">
        <f t="shared" si="28"/>
        <v>#DIV/0!</v>
      </c>
      <c r="K2808" s="412"/>
      <c r="L2808" s="412"/>
      <c r="M2808" s="682"/>
      <c r="N2808" s="171"/>
      <c r="O2808" s="171"/>
      <c r="P2808" s="169"/>
      <c r="Q2808" s="171"/>
      <c r="R2808" s="171"/>
      <c r="S2808" s="171"/>
      <c r="T2808" s="171"/>
      <c r="U2808" s="171"/>
      <c r="V2808" s="171"/>
      <c r="W2808" s="171"/>
      <c r="X2808" s="171"/>
      <c r="Y2808" s="171"/>
      <c r="Z2808" s="171"/>
      <c r="AA2808" s="171"/>
    </row>
    <row r="2809" spans="1:27" s="530" customFormat="1" hidden="1" x14ac:dyDescent="0.2">
      <c r="A2809" s="526"/>
      <c r="B2809" s="527"/>
      <c r="C2809" s="465"/>
      <c r="D2809" s="464"/>
      <c r="E2809" s="464"/>
      <c r="F2809" s="464"/>
      <c r="G2809" s="510"/>
      <c r="H2809" s="411"/>
      <c r="I2809" s="411"/>
      <c r="J2809" s="750" t="e">
        <f t="shared" si="28"/>
        <v>#DIV/0!</v>
      </c>
      <c r="K2809" s="412"/>
      <c r="L2809" s="412"/>
      <c r="M2809" s="682"/>
      <c r="N2809" s="171"/>
      <c r="O2809" s="171"/>
      <c r="P2809" s="169"/>
      <c r="Q2809" s="171"/>
      <c r="R2809" s="171"/>
      <c r="S2809" s="171"/>
      <c r="T2809" s="171"/>
      <c r="U2809" s="171"/>
      <c r="V2809" s="171"/>
      <c r="W2809" s="171"/>
      <c r="X2809" s="171"/>
      <c r="Y2809" s="171"/>
      <c r="Z2809" s="171"/>
      <c r="AA2809" s="171"/>
    </row>
    <row r="2810" spans="1:27" s="530" customFormat="1" hidden="1" x14ac:dyDescent="0.2">
      <c r="A2810" s="526"/>
      <c r="B2810" s="527"/>
      <c r="C2810" s="465"/>
      <c r="D2810" s="464"/>
      <c r="E2810" s="464"/>
      <c r="F2810" s="464"/>
      <c r="G2810" s="510"/>
      <c r="H2810" s="411"/>
      <c r="I2810" s="411"/>
      <c r="J2810" s="750" t="e">
        <f t="shared" si="28"/>
        <v>#DIV/0!</v>
      </c>
      <c r="K2810" s="412"/>
      <c r="L2810" s="412"/>
      <c r="M2810" s="682"/>
      <c r="N2810" s="171"/>
      <c r="O2810" s="171"/>
      <c r="P2810" s="169"/>
      <c r="Q2810" s="171"/>
      <c r="R2810" s="171"/>
      <c r="S2810" s="171"/>
      <c r="T2810" s="171"/>
      <c r="U2810" s="171"/>
      <c r="V2810" s="171"/>
      <c r="W2810" s="171"/>
      <c r="X2810" s="171"/>
      <c r="Y2810" s="171"/>
      <c r="Z2810" s="171"/>
      <c r="AA2810" s="171"/>
    </row>
    <row r="2811" spans="1:27" s="530" customFormat="1" hidden="1" x14ac:dyDescent="0.2">
      <c r="A2811" s="526"/>
      <c r="B2811" s="527"/>
      <c r="C2811" s="465"/>
      <c r="D2811" s="464"/>
      <c r="E2811" s="464"/>
      <c r="F2811" s="464"/>
      <c r="G2811" s="510"/>
      <c r="H2811" s="411"/>
      <c r="I2811" s="411"/>
      <c r="J2811" s="750" t="e">
        <f t="shared" si="28"/>
        <v>#DIV/0!</v>
      </c>
      <c r="K2811" s="412"/>
      <c r="L2811" s="412"/>
      <c r="M2811" s="682"/>
      <c r="N2811" s="171"/>
      <c r="O2811" s="171"/>
      <c r="P2811" s="169"/>
      <c r="Q2811" s="171"/>
      <c r="R2811" s="171"/>
      <c r="S2811" s="171"/>
      <c r="T2811" s="171"/>
      <c r="U2811" s="171"/>
      <c r="V2811" s="171"/>
      <c r="W2811" s="171"/>
      <c r="X2811" s="171"/>
      <c r="Y2811" s="171"/>
      <c r="Z2811" s="171"/>
      <c r="AA2811" s="171"/>
    </row>
    <row r="2812" spans="1:27" s="530" customFormat="1" hidden="1" x14ac:dyDescent="0.2">
      <c r="A2812" s="526"/>
      <c r="B2812" s="527"/>
      <c r="C2812" s="465"/>
      <c r="D2812" s="464"/>
      <c r="E2812" s="464"/>
      <c r="F2812" s="464"/>
      <c r="G2812" s="510"/>
      <c r="H2812" s="411"/>
      <c r="I2812" s="411"/>
      <c r="J2812" s="750" t="e">
        <f t="shared" si="28"/>
        <v>#DIV/0!</v>
      </c>
      <c r="K2812" s="412"/>
      <c r="L2812" s="412"/>
      <c r="M2812" s="682"/>
      <c r="N2812" s="171"/>
      <c r="O2812" s="171"/>
      <c r="P2812" s="169"/>
      <c r="Q2812" s="171"/>
      <c r="R2812" s="171"/>
      <c r="S2812" s="171"/>
      <c r="T2812" s="171"/>
      <c r="U2812" s="171"/>
      <c r="V2812" s="171"/>
      <c r="W2812" s="171"/>
      <c r="X2812" s="171"/>
      <c r="Y2812" s="171"/>
      <c r="Z2812" s="171"/>
      <c r="AA2812" s="171"/>
    </row>
    <row r="2813" spans="1:27" s="530" customFormat="1" hidden="1" x14ac:dyDescent="0.2">
      <c r="A2813" s="526"/>
      <c r="B2813" s="527"/>
      <c r="C2813" s="465"/>
      <c r="D2813" s="464"/>
      <c r="E2813" s="464"/>
      <c r="F2813" s="464"/>
      <c r="G2813" s="510"/>
      <c r="H2813" s="411"/>
      <c r="I2813" s="411"/>
      <c r="J2813" s="750" t="e">
        <f t="shared" si="28"/>
        <v>#DIV/0!</v>
      </c>
      <c r="K2813" s="412"/>
      <c r="L2813" s="412"/>
      <c r="M2813" s="682"/>
      <c r="N2813" s="171"/>
      <c r="O2813" s="171"/>
      <c r="P2813" s="169"/>
      <c r="Q2813" s="171"/>
      <c r="R2813" s="171"/>
      <c r="S2813" s="171"/>
      <c r="T2813" s="171"/>
      <c r="U2813" s="171"/>
      <c r="V2813" s="171"/>
      <c r="W2813" s="171"/>
      <c r="X2813" s="171"/>
      <c r="Y2813" s="171"/>
      <c r="Z2813" s="171"/>
      <c r="AA2813" s="171"/>
    </row>
    <row r="2814" spans="1:27" s="530" customFormat="1" hidden="1" x14ac:dyDescent="0.2">
      <c r="A2814" s="526"/>
      <c r="B2814" s="527"/>
      <c r="C2814" s="465"/>
      <c r="D2814" s="464"/>
      <c r="E2814" s="464"/>
      <c r="F2814" s="464"/>
      <c r="G2814" s="510"/>
      <c r="H2814" s="411"/>
      <c r="I2814" s="411"/>
      <c r="J2814" s="750" t="e">
        <f t="shared" si="28"/>
        <v>#DIV/0!</v>
      </c>
      <c r="K2814" s="412"/>
      <c r="L2814" s="412"/>
      <c r="M2814" s="682"/>
      <c r="N2814" s="171"/>
      <c r="O2814" s="171"/>
      <c r="P2814" s="169"/>
      <c r="Q2814" s="171"/>
      <c r="R2814" s="171"/>
      <c r="S2814" s="171"/>
      <c r="T2814" s="171"/>
      <c r="U2814" s="171"/>
      <c r="V2814" s="171"/>
      <c r="W2814" s="171"/>
      <c r="X2814" s="171"/>
      <c r="Y2814" s="171"/>
      <c r="Z2814" s="171"/>
      <c r="AA2814" s="171"/>
    </row>
    <row r="2815" spans="1:27" s="530" customFormat="1" hidden="1" x14ac:dyDescent="0.2">
      <c r="A2815" s="526"/>
      <c r="B2815" s="527"/>
      <c r="C2815" s="465"/>
      <c r="D2815" s="464"/>
      <c r="E2815" s="464"/>
      <c r="F2815" s="464"/>
      <c r="G2815" s="510"/>
      <c r="H2815" s="411"/>
      <c r="I2815" s="411"/>
      <c r="J2815" s="750" t="e">
        <f t="shared" si="28"/>
        <v>#DIV/0!</v>
      </c>
      <c r="K2815" s="412"/>
      <c r="L2815" s="412"/>
      <c r="M2815" s="682"/>
      <c r="N2815" s="171"/>
      <c r="O2815" s="171"/>
      <c r="P2815" s="169"/>
      <c r="Q2815" s="171"/>
      <c r="R2815" s="171"/>
      <c r="S2815" s="171"/>
      <c r="T2815" s="171"/>
      <c r="U2815" s="171"/>
      <c r="V2815" s="171"/>
      <c r="W2815" s="171"/>
      <c r="X2815" s="171"/>
      <c r="Y2815" s="171"/>
      <c r="Z2815" s="171"/>
      <c r="AA2815" s="171"/>
    </row>
    <row r="2816" spans="1:27" s="530" customFormat="1" hidden="1" x14ac:dyDescent="0.2">
      <c r="A2816" s="526"/>
      <c r="B2816" s="527"/>
      <c r="C2816" s="465"/>
      <c r="D2816" s="464"/>
      <c r="E2816" s="464"/>
      <c r="F2816" s="464"/>
      <c r="G2816" s="510"/>
      <c r="H2816" s="411"/>
      <c r="I2816" s="411"/>
      <c r="J2816" s="750" t="e">
        <f t="shared" si="28"/>
        <v>#DIV/0!</v>
      </c>
      <c r="K2816" s="412"/>
      <c r="L2816" s="412"/>
      <c r="M2816" s="682"/>
      <c r="N2816" s="171"/>
      <c r="O2816" s="171"/>
      <c r="P2816" s="169"/>
      <c r="Q2816" s="171"/>
      <c r="R2816" s="171"/>
      <c r="S2816" s="171"/>
      <c r="T2816" s="171"/>
      <c r="U2816" s="171"/>
      <c r="V2816" s="171"/>
      <c r="W2816" s="171"/>
      <c r="X2816" s="171"/>
      <c r="Y2816" s="171"/>
      <c r="Z2816" s="171"/>
      <c r="AA2816" s="171"/>
    </row>
    <row r="2817" spans="1:27" s="530" customFormat="1" hidden="1" x14ac:dyDescent="0.2">
      <c r="A2817" s="526"/>
      <c r="B2817" s="527"/>
      <c r="C2817" s="465"/>
      <c r="D2817" s="464"/>
      <c r="E2817" s="464"/>
      <c r="F2817" s="464"/>
      <c r="G2817" s="510"/>
      <c r="H2817" s="411"/>
      <c r="I2817" s="411"/>
      <c r="J2817" s="750" t="e">
        <f t="shared" si="28"/>
        <v>#DIV/0!</v>
      </c>
      <c r="K2817" s="412"/>
      <c r="L2817" s="412"/>
      <c r="M2817" s="682"/>
      <c r="N2817" s="171"/>
      <c r="O2817" s="171"/>
      <c r="P2817" s="169"/>
      <c r="Q2817" s="171"/>
      <c r="R2817" s="171"/>
      <c r="S2817" s="171"/>
      <c r="T2817" s="171"/>
      <c r="U2817" s="171"/>
      <c r="V2817" s="171"/>
      <c r="W2817" s="171"/>
      <c r="X2817" s="171"/>
      <c r="Y2817" s="171"/>
      <c r="Z2817" s="171"/>
      <c r="AA2817" s="171"/>
    </row>
    <row r="2818" spans="1:27" s="530" customFormat="1" hidden="1" x14ac:dyDescent="0.2">
      <c r="A2818" s="526"/>
      <c r="B2818" s="527"/>
      <c r="C2818" s="465"/>
      <c r="D2818" s="464"/>
      <c r="E2818" s="464"/>
      <c r="F2818" s="464"/>
      <c r="G2818" s="510"/>
      <c r="H2818" s="411"/>
      <c r="I2818" s="411"/>
      <c r="J2818" s="750" t="e">
        <f t="shared" si="28"/>
        <v>#DIV/0!</v>
      </c>
      <c r="K2818" s="412"/>
      <c r="L2818" s="412"/>
      <c r="M2818" s="682"/>
      <c r="N2818" s="171"/>
      <c r="O2818" s="171"/>
      <c r="P2818" s="169"/>
      <c r="Q2818" s="171"/>
      <c r="R2818" s="171"/>
      <c r="S2818" s="171"/>
      <c r="T2818" s="171"/>
      <c r="U2818" s="171"/>
      <c r="V2818" s="171"/>
      <c r="W2818" s="171"/>
      <c r="X2818" s="171"/>
      <c r="Y2818" s="171"/>
      <c r="Z2818" s="171"/>
      <c r="AA2818" s="171"/>
    </row>
    <row r="2819" spans="1:27" s="530" customFormat="1" hidden="1" x14ac:dyDescent="0.2">
      <c r="A2819" s="526"/>
      <c r="B2819" s="527"/>
      <c r="C2819" s="465"/>
      <c r="D2819" s="464"/>
      <c r="E2819" s="464"/>
      <c r="F2819" s="464"/>
      <c r="G2819" s="510"/>
      <c r="H2819" s="411"/>
      <c r="I2819" s="411"/>
      <c r="J2819" s="750" t="e">
        <f t="shared" si="28"/>
        <v>#DIV/0!</v>
      </c>
      <c r="K2819" s="412"/>
      <c r="L2819" s="412"/>
      <c r="M2819" s="682"/>
      <c r="N2819" s="171"/>
      <c r="O2819" s="171"/>
      <c r="P2819" s="169"/>
      <c r="Q2819" s="171"/>
      <c r="R2819" s="171"/>
      <c r="S2819" s="171"/>
      <c r="T2819" s="171"/>
      <c r="U2819" s="171"/>
      <c r="V2819" s="171"/>
      <c r="W2819" s="171"/>
      <c r="X2819" s="171"/>
      <c r="Y2819" s="171"/>
      <c r="Z2819" s="171"/>
      <c r="AA2819" s="171"/>
    </row>
    <row r="2820" spans="1:27" s="530" customFormat="1" hidden="1" x14ac:dyDescent="0.2">
      <c r="A2820" s="526"/>
      <c r="B2820" s="527"/>
      <c r="C2820" s="465"/>
      <c r="D2820" s="464"/>
      <c r="E2820" s="464"/>
      <c r="F2820" s="464"/>
      <c r="G2820" s="510"/>
      <c r="H2820" s="411"/>
      <c r="I2820" s="411"/>
      <c r="J2820" s="750" t="e">
        <f t="shared" si="28"/>
        <v>#DIV/0!</v>
      </c>
      <c r="K2820" s="412"/>
      <c r="L2820" s="412"/>
      <c r="M2820" s="682"/>
      <c r="N2820" s="171"/>
      <c r="O2820" s="171"/>
      <c r="P2820" s="169"/>
      <c r="Q2820" s="171"/>
      <c r="R2820" s="171"/>
      <c r="S2820" s="171"/>
      <c r="T2820" s="171"/>
      <c r="U2820" s="171"/>
      <c r="V2820" s="171"/>
      <c r="W2820" s="171"/>
      <c r="X2820" s="171"/>
      <c r="Y2820" s="171"/>
      <c r="Z2820" s="171"/>
      <c r="AA2820" s="171"/>
    </row>
    <row r="2821" spans="1:27" s="530" customFormat="1" hidden="1" x14ac:dyDescent="0.2">
      <c r="A2821" s="526"/>
      <c r="B2821" s="527"/>
      <c r="C2821" s="465"/>
      <c r="D2821" s="464"/>
      <c r="E2821" s="464"/>
      <c r="F2821" s="464"/>
      <c r="G2821" s="510"/>
      <c r="H2821" s="411"/>
      <c r="I2821" s="411"/>
      <c r="J2821" s="750" t="e">
        <f t="shared" si="28"/>
        <v>#DIV/0!</v>
      </c>
      <c r="K2821" s="412"/>
      <c r="L2821" s="412"/>
      <c r="M2821" s="682"/>
      <c r="N2821" s="171"/>
      <c r="O2821" s="171"/>
      <c r="P2821" s="169"/>
      <c r="Q2821" s="171"/>
      <c r="R2821" s="171"/>
      <c r="S2821" s="171"/>
      <c r="T2821" s="171"/>
      <c r="U2821" s="171"/>
      <c r="V2821" s="171"/>
      <c r="W2821" s="171"/>
      <c r="X2821" s="171"/>
      <c r="Y2821" s="171"/>
      <c r="Z2821" s="171"/>
      <c r="AA2821" s="171"/>
    </row>
    <row r="2822" spans="1:27" s="530" customFormat="1" hidden="1" x14ac:dyDescent="0.2">
      <c r="A2822" s="526"/>
      <c r="B2822" s="527"/>
      <c r="C2822" s="465"/>
      <c r="D2822" s="464"/>
      <c r="E2822" s="464"/>
      <c r="F2822" s="464"/>
      <c r="G2822" s="510"/>
      <c r="H2822" s="411"/>
      <c r="I2822" s="411"/>
      <c r="J2822" s="750" t="e">
        <f t="shared" si="28"/>
        <v>#DIV/0!</v>
      </c>
      <c r="K2822" s="412"/>
      <c r="L2822" s="412"/>
      <c r="M2822" s="682"/>
      <c r="N2822" s="171"/>
      <c r="O2822" s="171"/>
      <c r="P2822" s="169"/>
      <c r="Q2822" s="171"/>
      <c r="R2822" s="171"/>
      <c r="S2822" s="171"/>
      <c r="T2822" s="171"/>
      <c r="U2822" s="171"/>
      <c r="V2822" s="171"/>
      <c r="W2822" s="171"/>
      <c r="X2822" s="171"/>
      <c r="Y2822" s="171"/>
      <c r="Z2822" s="171"/>
      <c r="AA2822" s="171"/>
    </row>
    <row r="2823" spans="1:27" s="530" customFormat="1" hidden="1" x14ac:dyDescent="0.2">
      <c r="A2823" s="526"/>
      <c r="B2823" s="527"/>
      <c r="C2823" s="465"/>
      <c r="D2823" s="464"/>
      <c r="E2823" s="464"/>
      <c r="F2823" s="464"/>
      <c r="G2823" s="510"/>
      <c r="H2823" s="411"/>
      <c r="I2823" s="411"/>
      <c r="J2823" s="750" t="e">
        <f t="shared" si="28"/>
        <v>#DIV/0!</v>
      </c>
      <c r="K2823" s="412"/>
      <c r="L2823" s="412"/>
      <c r="M2823" s="682"/>
      <c r="N2823" s="171"/>
      <c r="O2823" s="171"/>
      <c r="P2823" s="169"/>
      <c r="Q2823" s="171"/>
      <c r="R2823" s="171"/>
      <c r="S2823" s="171"/>
      <c r="T2823" s="171"/>
      <c r="U2823" s="171"/>
      <c r="V2823" s="171"/>
      <c r="W2823" s="171"/>
      <c r="X2823" s="171"/>
      <c r="Y2823" s="171"/>
      <c r="Z2823" s="171"/>
      <c r="AA2823" s="171"/>
    </row>
    <row r="2824" spans="1:27" s="530" customFormat="1" hidden="1" x14ac:dyDescent="0.2">
      <c r="A2824" s="526"/>
      <c r="B2824" s="527"/>
      <c r="C2824" s="465"/>
      <c r="D2824" s="464"/>
      <c r="E2824" s="464"/>
      <c r="F2824" s="464"/>
      <c r="G2824" s="510"/>
      <c r="H2824" s="411"/>
      <c r="I2824" s="411"/>
      <c r="J2824" s="750" t="e">
        <f t="shared" si="28"/>
        <v>#DIV/0!</v>
      </c>
      <c r="K2824" s="412"/>
      <c r="L2824" s="412"/>
      <c r="M2824" s="682"/>
      <c r="N2824" s="171"/>
      <c r="O2824" s="171"/>
      <c r="P2824" s="169"/>
      <c r="Q2824" s="171"/>
      <c r="R2824" s="171"/>
      <c r="S2824" s="171"/>
      <c r="T2824" s="171"/>
      <c r="U2824" s="171"/>
      <c r="V2824" s="171"/>
      <c r="W2824" s="171"/>
      <c r="X2824" s="171"/>
      <c r="Y2824" s="171"/>
      <c r="Z2824" s="171"/>
      <c r="AA2824" s="171"/>
    </row>
    <row r="2825" spans="1:27" s="530" customFormat="1" hidden="1" x14ac:dyDescent="0.2">
      <c r="A2825" s="526"/>
      <c r="B2825" s="527"/>
      <c r="C2825" s="465"/>
      <c r="D2825" s="464"/>
      <c r="E2825" s="464"/>
      <c r="F2825" s="464"/>
      <c r="G2825" s="510"/>
      <c r="H2825" s="411"/>
      <c r="I2825" s="411"/>
      <c r="J2825" s="750" t="e">
        <f t="shared" si="28"/>
        <v>#DIV/0!</v>
      </c>
      <c r="K2825" s="412"/>
      <c r="L2825" s="412"/>
      <c r="M2825" s="682"/>
      <c r="N2825" s="171"/>
      <c r="O2825" s="171"/>
      <c r="P2825" s="169"/>
      <c r="Q2825" s="171"/>
      <c r="R2825" s="171"/>
      <c r="S2825" s="171"/>
      <c r="T2825" s="171"/>
      <c r="U2825" s="171"/>
      <c r="V2825" s="171"/>
      <c r="W2825" s="171"/>
      <c r="X2825" s="171"/>
      <c r="Y2825" s="171"/>
      <c r="Z2825" s="171"/>
      <c r="AA2825" s="171"/>
    </row>
    <row r="2826" spans="1:27" s="530" customFormat="1" hidden="1" x14ac:dyDescent="0.2">
      <c r="A2826" s="526"/>
      <c r="B2826" s="527"/>
      <c r="C2826" s="465"/>
      <c r="D2826" s="464"/>
      <c r="E2826" s="464"/>
      <c r="F2826" s="464"/>
      <c r="G2826" s="510"/>
      <c r="H2826" s="411"/>
      <c r="I2826" s="411"/>
      <c r="J2826" s="750" t="e">
        <f t="shared" si="28"/>
        <v>#DIV/0!</v>
      </c>
      <c r="K2826" s="412"/>
      <c r="L2826" s="412"/>
      <c r="M2826" s="682"/>
      <c r="N2826" s="171"/>
      <c r="O2826" s="171"/>
      <c r="P2826" s="169"/>
      <c r="Q2826" s="171"/>
      <c r="R2826" s="171"/>
      <c r="S2826" s="171"/>
      <c r="T2826" s="171"/>
      <c r="U2826" s="171"/>
      <c r="V2826" s="171"/>
      <c r="W2826" s="171"/>
      <c r="X2826" s="171"/>
      <c r="Y2826" s="171"/>
      <c r="Z2826" s="171"/>
      <c r="AA2826" s="171"/>
    </row>
    <row r="2827" spans="1:27" s="530" customFormat="1" hidden="1" x14ac:dyDescent="0.2">
      <c r="A2827" s="526"/>
      <c r="B2827" s="527"/>
      <c r="C2827" s="465"/>
      <c r="D2827" s="464"/>
      <c r="E2827" s="464"/>
      <c r="F2827" s="464"/>
      <c r="G2827" s="510"/>
      <c r="H2827" s="411"/>
      <c r="I2827" s="411"/>
      <c r="J2827" s="750" t="e">
        <f t="shared" si="28"/>
        <v>#DIV/0!</v>
      </c>
      <c r="K2827" s="412"/>
      <c r="L2827" s="412"/>
      <c r="M2827" s="682"/>
      <c r="N2827" s="171"/>
      <c r="O2827" s="171"/>
      <c r="P2827" s="169"/>
      <c r="Q2827" s="171"/>
      <c r="R2827" s="171"/>
      <c r="S2827" s="171"/>
      <c r="T2827" s="171"/>
      <c r="U2827" s="171"/>
      <c r="V2827" s="171"/>
      <c r="W2827" s="171"/>
      <c r="X2827" s="171"/>
      <c r="Y2827" s="171"/>
      <c r="Z2827" s="171"/>
      <c r="AA2827" s="171"/>
    </row>
    <row r="2828" spans="1:27" s="530" customFormat="1" hidden="1" x14ac:dyDescent="0.2">
      <c r="A2828" s="526"/>
      <c r="B2828" s="527"/>
      <c r="C2828" s="465"/>
      <c r="D2828" s="464"/>
      <c r="E2828" s="464"/>
      <c r="F2828" s="464"/>
      <c r="G2828" s="510"/>
      <c r="H2828" s="411"/>
      <c r="I2828" s="411"/>
      <c r="J2828" s="750" t="e">
        <f t="shared" si="28"/>
        <v>#DIV/0!</v>
      </c>
      <c r="K2828" s="412"/>
      <c r="L2828" s="412"/>
      <c r="M2828" s="682"/>
      <c r="N2828" s="171"/>
      <c r="O2828" s="171"/>
      <c r="P2828" s="169"/>
      <c r="Q2828" s="171"/>
      <c r="R2828" s="171"/>
      <c r="S2828" s="171"/>
      <c r="T2828" s="171"/>
      <c r="U2828" s="171"/>
      <c r="V2828" s="171"/>
      <c r="W2828" s="171"/>
      <c r="X2828" s="171"/>
      <c r="Y2828" s="171"/>
      <c r="Z2828" s="171"/>
      <c r="AA2828" s="171"/>
    </row>
    <row r="2829" spans="1:27" s="530" customFormat="1" hidden="1" x14ac:dyDescent="0.2">
      <c r="A2829" s="526"/>
      <c r="B2829" s="527"/>
      <c r="C2829" s="465"/>
      <c r="D2829" s="464"/>
      <c r="E2829" s="464"/>
      <c r="F2829" s="464"/>
      <c r="G2829" s="510"/>
      <c r="H2829" s="411"/>
      <c r="I2829" s="411"/>
      <c r="J2829" s="750" t="e">
        <f t="shared" ref="J2829:J2892" si="29">SUM(I2829/H2829)*100</f>
        <v>#DIV/0!</v>
      </c>
      <c r="K2829" s="412"/>
      <c r="L2829" s="412"/>
      <c r="M2829" s="682"/>
      <c r="N2829" s="171"/>
      <c r="O2829" s="171"/>
      <c r="P2829" s="169"/>
      <c r="Q2829" s="171"/>
      <c r="R2829" s="171"/>
      <c r="S2829" s="171"/>
      <c r="T2829" s="171"/>
      <c r="U2829" s="171"/>
      <c r="V2829" s="171"/>
      <c r="W2829" s="171"/>
      <c r="X2829" s="171"/>
      <c r="Y2829" s="171"/>
      <c r="Z2829" s="171"/>
      <c r="AA2829" s="171"/>
    </row>
    <row r="2830" spans="1:27" s="530" customFormat="1" hidden="1" x14ac:dyDescent="0.2">
      <c r="A2830" s="526"/>
      <c r="B2830" s="527"/>
      <c r="C2830" s="465"/>
      <c r="D2830" s="464"/>
      <c r="E2830" s="464"/>
      <c r="F2830" s="464"/>
      <c r="G2830" s="510"/>
      <c r="H2830" s="411"/>
      <c r="I2830" s="411"/>
      <c r="J2830" s="750" t="e">
        <f t="shared" si="29"/>
        <v>#DIV/0!</v>
      </c>
      <c r="K2830" s="412"/>
      <c r="L2830" s="412"/>
      <c r="M2830" s="682"/>
      <c r="N2830" s="171"/>
      <c r="O2830" s="171"/>
      <c r="P2830" s="169"/>
      <c r="Q2830" s="171"/>
      <c r="R2830" s="171"/>
      <c r="S2830" s="171"/>
      <c r="T2830" s="171"/>
      <c r="U2830" s="171"/>
      <c r="V2830" s="171"/>
      <c r="W2830" s="171"/>
      <c r="X2830" s="171"/>
      <c r="Y2830" s="171"/>
      <c r="Z2830" s="171"/>
      <c r="AA2830" s="171"/>
    </row>
    <row r="2831" spans="1:27" s="530" customFormat="1" hidden="1" x14ac:dyDescent="0.2">
      <c r="A2831" s="526"/>
      <c r="B2831" s="527"/>
      <c r="C2831" s="465"/>
      <c r="D2831" s="464"/>
      <c r="E2831" s="464"/>
      <c r="F2831" s="464"/>
      <c r="G2831" s="510"/>
      <c r="H2831" s="411"/>
      <c r="I2831" s="411"/>
      <c r="J2831" s="750" t="e">
        <f t="shared" si="29"/>
        <v>#DIV/0!</v>
      </c>
      <c r="K2831" s="412"/>
      <c r="L2831" s="412"/>
      <c r="M2831" s="682"/>
      <c r="N2831" s="171"/>
      <c r="O2831" s="171"/>
      <c r="P2831" s="169"/>
      <c r="Q2831" s="171"/>
      <c r="R2831" s="171"/>
      <c r="S2831" s="171"/>
      <c r="T2831" s="171"/>
      <c r="U2831" s="171"/>
      <c r="V2831" s="171"/>
      <c r="W2831" s="171"/>
      <c r="X2831" s="171"/>
      <c r="Y2831" s="171"/>
      <c r="Z2831" s="171"/>
      <c r="AA2831" s="171"/>
    </row>
    <row r="2832" spans="1:27" s="530" customFormat="1" hidden="1" x14ac:dyDescent="0.2">
      <c r="A2832" s="526"/>
      <c r="B2832" s="527"/>
      <c r="C2832" s="465"/>
      <c r="D2832" s="464"/>
      <c r="E2832" s="464"/>
      <c r="F2832" s="464"/>
      <c r="G2832" s="510"/>
      <c r="H2832" s="411"/>
      <c r="I2832" s="411"/>
      <c r="J2832" s="750" t="e">
        <f t="shared" si="29"/>
        <v>#DIV/0!</v>
      </c>
      <c r="K2832" s="412"/>
      <c r="L2832" s="412"/>
      <c r="M2832" s="682"/>
      <c r="N2832" s="171"/>
      <c r="O2832" s="171"/>
      <c r="P2832" s="169"/>
      <c r="Q2832" s="171"/>
      <c r="R2832" s="171"/>
      <c r="S2832" s="171"/>
      <c r="T2832" s="171"/>
      <c r="U2832" s="171"/>
      <c r="V2832" s="171"/>
      <c r="W2832" s="171"/>
      <c r="X2832" s="171"/>
      <c r="Y2832" s="171"/>
      <c r="Z2832" s="171"/>
      <c r="AA2832" s="171"/>
    </row>
    <row r="2833" spans="1:27" s="530" customFormat="1" hidden="1" x14ac:dyDescent="0.2">
      <c r="A2833" s="526"/>
      <c r="B2833" s="527"/>
      <c r="C2833" s="465"/>
      <c r="D2833" s="464"/>
      <c r="E2833" s="464"/>
      <c r="F2833" s="464"/>
      <c r="G2833" s="510"/>
      <c r="H2833" s="411"/>
      <c r="I2833" s="411"/>
      <c r="J2833" s="750" t="e">
        <f t="shared" si="29"/>
        <v>#DIV/0!</v>
      </c>
      <c r="K2833" s="412"/>
      <c r="L2833" s="412"/>
      <c r="M2833" s="682"/>
      <c r="N2833" s="171"/>
      <c r="O2833" s="171"/>
      <c r="P2833" s="169"/>
      <c r="Q2833" s="171"/>
      <c r="R2833" s="171"/>
      <c r="S2833" s="171"/>
      <c r="T2833" s="171"/>
      <c r="U2833" s="171"/>
      <c r="V2833" s="171"/>
      <c r="W2833" s="171"/>
      <c r="X2833" s="171"/>
      <c r="Y2833" s="171"/>
      <c r="Z2833" s="171"/>
      <c r="AA2833" s="171"/>
    </row>
    <row r="2834" spans="1:27" s="530" customFormat="1" hidden="1" x14ac:dyDescent="0.2">
      <c r="A2834" s="526"/>
      <c r="B2834" s="527"/>
      <c r="C2834" s="465"/>
      <c r="D2834" s="464"/>
      <c r="E2834" s="464"/>
      <c r="F2834" s="464"/>
      <c r="G2834" s="510"/>
      <c r="H2834" s="411"/>
      <c r="I2834" s="411"/>
      <c r="J2834" s="750" t="e">
        <f t="shared" si="29"/>
        <v>#DIV/0!</v>
      </c>
      <c r="K2834" s="412"/>
      <c r="L2834" s="412"/>
      <c r="M2834" s="682"/>
      <c r="N2834" s="171"/>
      <c r="O2834" s="171"/>
      <c r="P2834" s="169"/>
      <c r="Q2834" s="171"/>
      <c r="R2834" s="171"/>
      <c r="S2834" s="171"/>
      <c r="T2834" s="171"/>
      <c r="U2834" s="171"/>
      <c r="V2834" s="171"/>
      <c r="W2834" s="171"/>
      <c r="X2834" s="171"/>
      <c r="Y2834" s="171"/>
      <c r="Z2834" s="171"/>
      <c r="AA2834" s="171"/>
    </row>
    <row r="2835" spans="1:27" s="530" customFormat="1" hidden="1" x14ac:dyDescent="0.2">
      <c r="A2835" s="526"/>
      <c r="B2835" s="527"/>
      <c r="C2835" s="465"/>
      <c r="D2835" s="464"/>
      <c r="E2835" s="464"/>
      <c r="F2835" s="464"/>
      <c r="G2835" s="510"/>
      <c r="H2835" s="411"/>
      <c r="I2835" s="411"/>
      <c r="J2835" s="750" t="e">
        <f t="shared" si="29"/>
        <v>#DIV/0!</v>
      </c>
      <c r="K2835" s="412"/>
      <c r="L2835" s="412"/>
      <c r="M2835" s="682"/>
      <c r="N2835" s="171"/>
      <c r="O2835" s="171"/>
      <c r="P2835" s="169"/>
      <c r="Q2835" s="171"/>
      <c r="R2835" s="171"/>
      <c r="S2835" s="171"/>
      <c r="T2835" s="171"/>
      <c r="U2835" s="171"/>
      <c r="V2835" s="171"/>
      <c r="W2835" s="171"/>
      <c r="X2835" s="171"/>
      <c r="Y2835" s="171"/>
      <c r="Z2835" s="171"/>
      <c r="AA2835" s="171"/>
    </row>
    <row r="2836" spans="1:27" s="530" customFormat="1" hidden="1" x14ac:dyDescent="0.2">
      <c r="A2836" s="526"/>
      <c r="B2836" s="527"/>
      <c r="C2836" s="465"/>
      <c r="D2836" s="464"/>
      <c r="E2836" s="464"/>
      <c r="F2836" s="464"/>
      <c r="G2836" s="510"/>
      <c r="H2836" s="411"/>
      <c r="I2836" s="411"/>
      <c r="J2836" s="750" t="e">
        <f t="shared" si="29"/>
        <v>#DIV/0!</v>
      </c>
      <c r="K2836" s="412"/>
      <c r="L2836" s="412"/>
      <c r="M2836" s="682"/>
      <c r="N2836" s="171"/>
      <c r="O2836" s="171"/>
      <c r="P2836" s="169"/>
      <c r="Q2836" s="171"/>
      <c r="R2836" s="171"/>
      <c r="S2836" s="171"/>
      <c r="T2836" s="171"/>
      <c r="U2836" s="171"/>
      <c r="V2836" s="171"/>
      <c r="W2836" s="171"/>
      <c r="X2836" s="171"/>
      <c r="Y2836" s="171"/>
      <c r="Z2836" s="171"/>
      <c r="AA2836" s="171"/>
    </row>
    <row r="2837" spans="1:27" s="530" customFormat="1" hidden="1" x14ac:dyDescent="0.2">
      <c r="A2837" s="526"/>
      <c r="B2837" s="527"/>
      <c r="C2837" s="465"/>
      <c r="D2837" s="464"/>
      <c r="E2837" s="464"/>
      <c r="F2837" s="464"/>
      <c r="G2837" s="510"/>
      <c r="H2837" s="411"/>
      <c r="I2837" s="411"/>
      <c r="J2837" s="750" t="e">
        <f t="shared" si="29"/>
        <v>#DIV/0!</v>
      </c>
      <c r="K2837" s="412"/>
      <c r="L2837" s="412"/>
      <c r="M2837" s="682"/>
      <c r="N2837" s="171"/>
      <c r="O2837" s="171"/>
      <c r="P2837" s="169"/>
      <c r="Q2837" s="171"/>
      <c r="R2837" s="171"/>
      <c r="S2837" s="171"/>
      <c r="T2837" s="171"/>
      <c r="U2837" s="171"/>
      <c r="V2837" s="171"/>
      <c r="W2837" s="171"/>
      <c r="X2837" s="171"/>
      <c r="Y2837" s="171"/>
      <c r="Z2837" s="171"/>
      <c r="AA2837" s="171"/>
    </row>
    <row r="2838" spans="1:27" s="530" customFormat="1" hidden="1" x14ac:dyDescent="0.2">
      <c r="A2838" s="526"/>
      <c r="B2838" s="527"/>
      <c r="C2838" s="465"/>
      <c r="D2838" s="464"/>
      <c r="E2838" s="464"/>
      <c r="F2838" s="464"/>
      <c r="G2838" s="510"/>
      <c r="H2838" s="411"/>
      <c r="I2838" s="411"/>
      <c r="J2838" s="750" t="e">
        <f t="shared" si="29"/>
        <v>#DIV/0!</v>
      </c>
      <c r="K2838" s="412"/>
      <c r="L2838" s="412"/>
      <c r="M2838" s="682"/>
      <c r="N2838" s="171"/>
      <c r="O2838" s="171"/>
      <c r="P2838" s="169"/>
      <c r="Q2838" s="171"/>
      <c r="R2838" s="171"/>
      <c r="S2838" s="171"/>
      <c r="T2838" s="171"/>
      <c r="U2838" s="171"/>
      <c r="V2838" s="171"/>
      <c r="W2838" s="171"/>
      <c r="X2838" s="171"/>
      <c r="Y2838" s="171"/>
      <c r="Z2838" s="171"/>
      <c r="AA2838" s="171"/>
    </row>
    <row r="2839" spans="1:27" s="530" customFormat="1" hidden="1" x14ac:dyDescent="0.2">
      <c r="A2839" s="526"/>
      <c r="B2839" s="527"/>
      <c r="C2839" s="465"/>
      <c r="D2839" s="464"/>
      <c r="E2839" s="464"/>
      <c r="F2839" s="464"/>
      <c r="G2839" s="510"/>
      <c r="H2839" s="411"/>
      <c r="I2839" s="411"/>
      <c r="J2839" s="750" t="e">
        <f t="shared" si="29"/>
        <v>#DIV/0!</v>
      </c>
      <c r="K2839" s="412"/>
      <c r="L2839" s="412"/>
      <c r="M2839" s="682"/>
      <c r="N2839" s="171"/>
      <c r="O2839" s="171"/>
      <c r="P2839" s="169"/>
      <c r="Q2839" s="171"/>
      <c r="R2839" s="171"/>
      <c r="S2839" s="171"/>
      <c r="T2839" s="171"/>
      <c r="U2839" s="171"/>
      <c r="V2839" s="171"/>
      <c r="W2839" s="171"/>
      <c r="X2839" s="171"/>
      <c r="Y2839" s="171"/>
      <c r="Z2839" s="171"/>
      <c r="AA2839" s="171"/>
    </row>
    <row r="2840" spans="1:27" s="530" customFormat="1" hidden="1" x14ac:dyDescent="0.2">
      <c r="A2840" s="526"/>
      <c r="B2840" s="527"/>
      <c r="C2840" s="465"/>
      <c r="D2840" s="464"/>
      <c r="E2840" s="464"/>
      <c r="F2840" s="464"/>
      <c r="G2840" s="510"/>
      <c r="H2840" s="411"/>
      <c r="I2840" s="411"/>
      <c r="J2840" s="750" t="e">
        <f t="shared" si="29"/>
        <v>#DIV/0!</v>
      </c>
      <c r="K2840" s="412"/>
      <c r="L2840" s="412"/>
      <c r="M2840" s="682"/>
      <c r="N2840" s="171"/>
      <c r="O2840" s="171"/>
      <c r="P2840" s="169"/>
      <c r="Q2840" s="171"/>
      <c r="R2840" s="171"/>
      <c r="S2840" s="171"/>
      <c r="T2840" s="171"/>
      <c r="U2840" s="171"/>
      <c r="V2840" s="171"/>
      <c r="W2840" s="171"/>
      <c r="X2840" s="171"/>
      <c r="Y2840" s="171"/>
      <c r="Z2840" s="171"/>
      <c r="AA2840" s="171"/>
    </row>
    <row r="2841" spans="1:27" s="530" customFormat="1" hidden="1" x14ac:dyDescent="0.2">
      <c r="A2841" s="526"/>
      <c r="B2841" s="527"/>
      <c r="C2841" s="465"/>
      <c r="D2841" s="464"/>
      <c r="E2841" s="464"/>
      <c r="F2841" s="464"/>
      <c r="G2841" s="510"/>
      <c r="H2841" s="411"/>
      <c r="I2841" s="411"/>
      <c r="J2841" s="750" t="e">
        <f t="shared" si="29"/>
        <v>#DIV/0!</v>
      </c>
      <c r="K2841" s="412"/>
      <c r="L2841" s="412"/>
      <c r="M2841" s="682"/>
      <c r="N2841" s="171"/>
      <c r="O2841" s="171"/>
      <c r="P2841" s="169"/>
      <c r="Q2841" s="171"/>
      <c r="R2841" s="171"/>
      <c r="S2841" s="171"/>
      <c r="T2841" s="171"/>
      <c r="U2841" s="171"/>
      <c r="V2841" s="171"/>
      <c r="W2841" s="171"/>
      <c r="X2841" s="171"/>
      <c r="Y2841" s="171"/>
      <c r="Z2841" s="171"/>
      <c r="AA2841" s="171"/>
    </row>
    <row r="2842" spans="1:27" s="530" customFormat="1" hidden="1" x14ac:dyDescent="0.2">
      <c r="A2842" s="526"/>
      <c r="B2842" s="527"/>
      <c r="C2842" s="465"/>
      <c r="D2842" s="464"/>
      <c r="E2842" s="464"/>
      <c r="F2842" s="464"/>
      <c r="G2842" s="510"/>
      <c r="H2842" s="411"/>
      <c r="I2842" s="411"/>
      <c r="J2842" s="750" t="e">
        <f t="shared" si="29"/>
        <v>#DIV/0!</v>
      </c>
      <c r="K2842" s="412"/>
      <c r="L2842" s="412"/>
      <c r="M2842" s="682"/>
      <c r="N2842" s="171"/>
      <c r="O2842" s="171"/>
      <c r="P2842" s="169"/>
      <c r="Q2842" s="171"/>
      <c r="R2842" s="171"/>
      <c r="S2842" s="171"/>
      <c r="T2842" s="171"/>
      <c r="U2842" s="171"/>
      <c r="V2842" s="171"/>
      <c r="W2842" s="171"/>
      <c r="X2842" s="171"/>
      <c r="Y2842" s="171"/>
      <c r="Z2842" s="171"/>
      <c r="AA2842" s="171"/>
    </row>
    <row r="2843" spans="1:27" s="530" customFormat="1" hidden="1" x14ac:dyDescent="0.2">
      <c r="A2843" s="526"/>
      <c r="B2843" s="527"/>
      <c r="C2843" s="465"/>
      <c r="D2843" s="464"/>
      <c r="E2843" s="464"/>
      <c r="F2843" s="464"/>
      <c r="G2843" s="510"/>
      <c r="H2843" s="411"/>
      <c r="I2843" s="411"/>
      <c r="J2843" s="750" t="e">
        <f t="shared" si="29"/>
        <v>#DIV/0!</v>
      </c>
      <c r="K2843" s="412"/>
      <c r="L2843" s="412"/>
      <c r="M2843" s="682"/>
      <c r="N2843" s="171"/>
      <c r="O2843" s="171"/>
      <c r="P2843" s="169"/>
      <c r="Q2843" s="171"/>
      <c r="R2843" s="171"/>
      <c r="S2843" s="171"/>
      <c r="T2843" s="171"/>
      <c r="U2843" s="171"/>
      <c r="V2843" s="171"/>
      <c r="W2843" s="171"/>
      <c r="X2843" s="171"/>
      <c r="Y2843" s="171"/>
      <c r="Z2843" s="171"/>
      <c r="AA2843" s="171"/>
    </row>
    <row r="2844" spans="1:27" s="530" customFormat="1" hidden="1" x14ac:dyDescent="0.2">
      <c r="A2844" s="526"/>
      <c r="B2844" s="527"/>
      <c r="C2844" s="465"/>
      <c r="D2844" s="464"/>
      <c r="E2844" s="464"/>
      <c r="F2844" s="464"/>
      <c r="G2844" s="510"/>
      <c r="H2844" s="411"/>
      <c r="I2844" s="411"/>
      <c r="J2844" s="750" t="e">
        <f t="shared" si="29"/>
        <v>#DIV/0!</v>
      </c>
      <c r="K2844" s="412"/>
      <c r="L2844" s="412"/>
      <c r="M2844" s="682"/>
      <c r="N2844" s="171"/>
      <c r="O2844" s="171"/>
      <c r="P2844" s="169"/>
      <c r="Q2844" s="171"/>
      <c r="R2844" s="171"/>
      <c r="S2844" s="171"/>
      <c r="T2844" s="171"/>
      <c r="U2844" s="171"/>
      <c r="V2844" s="171"/>
      <c r="W2844" s="171"/>
      <c r="X2844" s="171"/>
      <c r="Y2844" s="171"/>
      <c r="Z2844" s="171"/>
      <c r="AA2844" s="171"/>
    </row>
    <row r="2845" spans="1:27" s="530" customFormat="1" hidden="1" x14ac:dyDescent="0.2">
      <c r="A2845" s="526"/>
      <c r="B2845" s="527"/>
      <c r="C2845" s="465"/>
      <c r="D2845" s="464"/>
      <c r="E2845" s="464"/>
      <c r="F2845" s="464"/>
      <c r="G2845" s="510"/>
      <c r="H2845" s="411"/>
      <c r="I2845" s="411"/>
      <c r="J2845" s="750" t="e">
        <f t="shared" si="29"/>
        <v>#DIV/0!</v>
      </c>
      <c r="K2845" s="412"/>
      <c r="L2845" s="412"/>
      <c r="M2845" s="682"/>
      <c r="N2845" s="171"/>
      <c r="O2845" s="171"/>
      <c r="P2845" s="169"/>
      <c r="Q2845" s="171"/>
      <c r="R2845" s="171"/>
      <c r="S2845" s="171"/>
      <c r="T2845" s="171"/>
      <c r="U2845" s="171"/>
      <c r="V2845" s="171"/>
      <c r="W2845" s="171"/>
      <c r="X2845" s="171"/>
      <c r="Y2845" s="171"/>
      <c r="Z2845" s="171"/>
      <c r="AA2845" s="171"/>
    </row>
    <row r="2846" spans="1:27" s="530" customFormat="1" hidden="1" x14ac:dyDescent="0.2">
      <c r="A2846" s="526"/>
      <c r="B2846" s="527"/>
      <c r="C2846" s="465"/>
      <c r="D2846" s="464"/>
      <c r="E2846" s="464"/>
      <c r="F2846" s="464"/>
      <c r="G2846" s="510"/>
      <c r="H2846" s="411"/>
      <c r="I2846" s="411"/>
      <c r="J2846" s="750" t="e">
        <f t="shared" si="29"/>
        <v>#DIV/0!</v>
      </c>
      <c r="K2846" s="412"/>
      <c r="L2846" s="412"/>
      <c r="M2846" s="682"/>
      <c r="N2846" s="171"/>
      <c r="O2846" s="171"/>
      <c r="P2846" s="169"/>
      <c r="Q2846" s="171"/>
      <c r="R2846" s="171"/>
      <c r="S2846" s="171"/>
      <c r="T2846" s="171"/>
      <c r="U2846" s="171"/>
      <c r="V2846" s="171"/>
      <c r="W2846" s="171"/>
      <c r="X2846" s="171"/>
      <c r="Y2846" s="171"/>
      <c r="Z2846" s="171"/>
      <c r="AA2846" s="171"/>
    </row>
    <row r="2847" spans="1:27" s="530" customFormat="1" hidden="1" x14ac:dyDescent="0.2">
      <c r="A2847" s="526"/>
      <c r="B2847" s="527"/>
      <c r="C2847" s="465"/>
      <c r="D2847" s="464"/>
      <c r="E2847" s="464"/>
      <c r="F2847" s="464"/>
      <c r="G2847" s="510"/>
      <c r="H2847" s="411"/>
      <c r="I2847" s="411"/>
      <c r="J2847" s="750" t="e">
        <f t="shared" si="29"/>
        <v>#DIV/0!</v>
      </c>
      <c r="K2847" s="412"/>
      <c r="L2847" s="412"/>
      <c r="M2847" s="682"/>
      <c r="N2847" s="171"/>
      <c r="O2847" s="171"/>
      <c r="P2847" s="169"/>
      <c r="Q2847" s="171"/>
      <c r="R2847" s="171"/>
      <c r="S2847" s="171"/>
      <c r="T2847" s="171"/>
      <c r="U2847" s="171"/>
      <c r="V2847" s="171"/>
      <c r="W2847" s="171"/>
      <c r="X2847" s="171"/>
      <c r="Y2847" s="171"/>
      <c r="Z2847" s="171"/>
      <c r="AA2847" s="171"/>
    </row>
    <row r="2848" spans="1:27" s="530" customFormat="1" hidden="1" x14ac:dyDescent="0.2">
      <c r="A2848" s="526"/>
      <c r="B2848" s="527"/>
      <c r="C2848" s="465"/>
      <c r="D2848" s="464"/>
      <c r="E2848" s="464"/>
      <c r="F2848" s="464"/>
      <c r="G2848" s="510"/>
      <c r="H2848" s="411"/>
      <c r="I2848" s="411"/>
      <c r="J2848" s="750" t="e">
        <f t="shared" si="29"/>
        <v>#DIV/0!</v>
      </c>
      <c r="K2848" s="412"/>
      <c r="L2848" s="412"/>
      <c r="M2848" s="682"/>
      <c r="N2848" s="171"/>
      <c r="O2848" s="171"/>
      <c r="P2848" s="169"/>
      <c r="Q2848" s="171"/>
      <c r="R2848" s="171"/>
      <c r="S2848" s="171"/>
      <c r="T2848" s="171"/>
      <c r="U2848" s="171"/>
      <c r="V2848" s="171"/>
      <c r="W2848" s="171"/>
      <c r="X2848" s="171"/>
      <c r="Y2848" s="171"/>
      <c r="Z2848" s="171"/>
      <c r="AA2848" s="171"/>
    </row>
    <row r="2849" spans="1:27" s="530" customFormat="1" hidden="1" x14ac:dyDescent="0.2">
      <c r="A2849" s="526"/>
      <c r="B2849" s="527"/>
      <c r="C2849" s="465"/>
      <c r="D2849" s="464"/>
      <c r="E2849" s="464"/>
      <c r="F2849" s="464"/>
      <c r="G2849" s="510"/>
      <c r="H2849" s="411"/>
      <c r="I2849" s="411"/>
      <c r="J2849" s="750" t="e">
        <f t="shared" si="29"/>
        <v>#DIV/0!</v>
      </c>
      <c r="K2849" s="412"/>
      <c r="L2849" s="412"/>
      <c r="M2849" s="682"/>
      <c r="N2849" s="171"/>
      <c r="O2849" s="171"/>
      <c r="P2849" s="169"/>
      <c r="Q2849" s="171"/>
      <c r="R2849" s="171"/>
      <c r="S2849" s="171"/>
      <c r="T2849" s="171"/>
      <c r="U2849" s="171"/>
      <c r="V2849" s="171"/>
      <c r="W2849" s="171"/>
      <c r="X2849" s="171"/>
      <c r="Y2849" s="171"/>
      <c r="Z2849" s="171"/>
      <c r="AA2849" s="171"/>
    </row>
    <row r="2850" spans="1:27" s="530" customFormat="1" hidden="1" x14ac:dyDescent="0.2">
      <c r="A2850" s="526"/>
      <c r="B2850" s="527"/>
      <c r="C2850" s="465"/>
      <c r="D2850" s="464"/>
      <c r="E2850" s="464"/>
      <c r="F2850" s="464"/>
      <c r="G2850" s="510"/>
      <c r="H2850" s="411"/>
      <c r="I2850" s="411"/>
      <c r="J2850" s="750" t="e">
        <f t="shared" si="29"/>
        <v>#DIV/0!</v>
      </c>
      <c r="K2850" s="412"/>
      <c r="L2850" s="412"/>
      <c r="M2850" s="682"/>
      <c r="N2850" s="171"/>
      <c r="O2850" s="171"/>
      <c r="P2850" s="169"/>
      <c r="Q2850" s="171"/>
      <c r="R2850" s="171"/>
      <c r="S2850" s="171"/>
      <c r="T2850" s="171"/>
      <c r="U2850" s="171"/>
      <c r="V2850" s="171"/>
      <c r="W2850" s="171"/>
      <c r="X2850" s="171"/>
      <c r="Y2850" s="171"/>
      <c r="Z2850" s="171"/>
      <c r="AA2850" s="171"/>
    </row>
    <row r="2851" spans="1:27" s="530" customFormat="1" hidden="1" x14ac:dyDescent="0.2">
      <c r="A2851" s="526"/>
      <c r="B2851" s="527"/>
      <c r="C2851" s="465"/>
      <c r="D2851" s="464"/>
      <c r="E2851" s="464"/>
      <c r="F2851" s="464"/>
      <c r="G2851" s="510"/>
      <c r="H2851" s="411"/>
      <c r="I2851" s="411"/>
      <c r="J2851" s="750" t="e">
        <f t="shared" si="29"/>
        <v>#DIV/0!</v>
      </c>
      <c r="K2851" s="412"/>
      <c r="L2851" s="412"/>
      <c r="M2851" s="682"/>
      <c r="N2851" s="171"/>
      <c r="O2851" s="171"/>
      <c r="P2851" s="169"/>
      <c r="Q2851" s="171"/>
      <c r="R2851" s="171"/>
      <c r="S2851" s="171"/>
      <c r="T2851" s="171"/>
      <c r="U2851" s="171"/>
      <c r="V2851" s="171"/>
      <c r="W2851" s="171"/>
      <c r="X2851" s="171"/>
      <c r="Y2851" s="171"/>
      <c r="Z2851" s="171"/>
      <c r="AA2851" s="171"/>
    </row>
    <row r="2852" spans="1:27" s="530" customFormat="1" hidden="1" x14ac:dyDescent="0.2">
      <c r="A2852" s="526"/>
      <c r="B2852" s="527"/>
      <c r="C2852" s="465"/>
      <c r="D2852" s="464"/>
      <c r="E2852" s="464"/>
      <c r="F2852" s="464"/>
      <c r="G2852" s="510"/>
      <c r="H2852" s="411"/>
      <c r="I2852" s="411"/>
      <c r="J2852" s="750" t="e">
        <f t="shared" si="29"/>
        <v>#DIV/0!</v>
      </c>
      <c r="K2852" s="412"/>
      <c r="L2852" s="412"/>
      <c r="M2852" s="682"/>
      <c r="N2852" s="171"/>
      <c r="O2852" s="171"/>
      <c r="P2852" s="169"/>
      <c r="Q2852" s="171"/>
      <c r="R2852" s="171"/>
      <c r="S2852" s="171"/>
      <c r="T2852" s="171"/>
      <c r="U2852" s="171"/>
      <c r="V2852" s="171"/>
      <c r="W2852" s="171"/>
      <c r="X2852" s="171"/>
      <c r="Y2852" s="171"/>
      <c r="Z2852" s="171"/>
      <c r="AA2852" s="171"/>
    </row>
    <row r="2853" spans="1:27" s="530" customFormat="1" hidden="1" x14ac:dyDescent="0.2">
      <c r="A2853" s="526"/>
      <c r="B2853" s="527"/>
      <c r="C2853" s="465"/>
      <c r="D2853" s="464"/>
      <c r="E2853" s="464"/>
      <c r="F2853" s="464"/>
      <c r="G2853" s="510"/>
      <c r="H2853" s="411"/>
      <c r="I2853" s="411"/>
      <c r="J2853" s="750" t="e">
        <f t="shared" si="29"/>
        <v>#DIV/0!</v>
      </c>
      <c r="K2853" s="412"/>
      <c r="L2853" s="412"/>
      <c r="M2853" s="682"/>
      <c r="N2853" s="171"/>
      <c r="O2853" s="171"/>
      <c r="P2853" s="169"/>
      <c r="Q2853" s="171"/>
      <c r="R2853" s="171"/>
      <c r="S2853" s="171"/>
      <c r="T2853" s="171"/>
      <c r="U2853" s="171"/>
      <c r="V2853" s="171"/>
      <c r="W2853" s="171"/>
      <c r="X2853" s="171"/>
      <c r="Y2853" s="171"/>
      <c r="Z2853" s="171"/>
      <c r="AA2853" s="171"/>
    </row>
    <row r="2854" spans="1:27" s="530" customFormat="1" hidden="1" x14ac:dyDescent="0.2">
      <c r="A2854" s="526"/>
      <c r="B2854" s="527"/>
      <c r="C2854" s="465"/>
      <c r="D2854" s="464"/>
      <c r="E2854" s="464"/>
      <c r="F2854" s="464"/>
      <c r="G2854" s="510"/>
      <c r="H2854" s="411"/>
      <c r="I2854" s="411"/>
      <c r="J2854" s="750" t="e">
        <f t="shared" si="29"/>
        <v>#DIV/0!</v>
      </c>
      <c r="K2854" s="412"/>
      <c r="L2854" s="412"/>
      <c r="M2854" s="682"/>
      <c r="N2854" s="171"/>
      <c r="O2854" s="171"/>
      <c r="P2854" s="169"/>
      <c r="Q2854" s="171"/>
      <c r="R2854" s="171"/>
      <c r="S2854" s="171"/>
      <c r="T2854" s="171"/>
      <c r="U2854" s="171"/>
      <c r="V2854" s="171"/>
      <c r="W2854" s="171"/>
      <c r="X2854" s="171"/>
      <c r="Y2854" s="171"/>
      <c r="Z2854" s="171"/>
      <c r="AA2854" s="171"/>
    </row>
    <row r="2855" spans="1:27" s="530" customFormat="1" hidden="1" x14ac:dyDescent="0.2">
      <c r="A2855" s="526"/>
      <c r="B2855" s="527"/>
      <c r="C2855" s="465"/>
      <c r="D2855" s="464"/>
      <c r="E2855" s="464"/>
      <c r="F2855" s="464"/>
      <c r="G2855" s="510"/>
      <c r="H2855" s="411"/>
      <c r="I2855" s="411"/>
      <c r="J2855" s="750" t="e">
        <f t="shared" si="29"/>
        <v>#DIV/0!</v>
      </c>
      <c r="K2855" s="412"/>
      <c r="L2855" s="412"/>
      <c r="M2855" s="682"/>
      <c r="N2855" s="171"/>
      <c r="O2855" s="171"/>
      <c r="P2855" s="169"/>
      <c r="Q2855" s="171"/>
      <c r="R2855" s="171"/>
      <c r="S2855" s="171"/>
      <c r="T2855" s="171"/>
      <c r="U2855" s="171"/>
      <c r="V2855" s="171"/>
      <c r="W2855" s="171"/>
      <c r="X2855" s="171"/>
      <c r="Y2855" s="171"/>
      <c r="Z2855" s="171"/>
      <c r="AA2855" s="171"/>
    </row>
    <row r="2856" spans="1:27" s="530" customFormat="1" hidden="1" x14ac:dyDescent="0.2">
      <c r="A2856" s="526"/>
      <c r="B2856" s="527"/>
      <c r="C2856" s="465"/>
      <c r="D2856" s="464"/>
      <c r="E2856" s="464"/>
      <c r="F2856" s="464"/>
      <c r="G2856" s="510"/>
      <c r="H2856" s="411"/>
      <c r="I2856" s="411"/>
      <c r="J2856" s="750" t="e">
        <f t="shared" si="29"/>
        <v>#DIV/0!</v>
      </c>
      <c r="K2856" s="412"/>
      <c r="L2856" s="412"/>
      <c r="M2856" s="682"/>
      <c r="N2856" s="171"/>
      <c r="O2856" s="171"/>
      <c r="P2856" s="169"/>
      <c r="Q2856" s="171"/>
      <c r="R2856" s="171"/>
      <c r="S2856" s="171"/>
      <c r="T2856" s="171"/>
      <c r="U2856" s="171"/>
      <c r="V2856" s="171"/>
      <c r="W2856" s="171"/>
      <c r="X2856" s="171"/>
      <c r="Y2856" s="171"/>
      <c r="Z2856" s="171"/>
      <c r="AA2856" s="171"/>
    </row>
    <row r="2857" spans="1:27" s="530" customFormat="1" hidden="1" x14ac:dyDescent="0.2">
      <c r="A2857" s="526"/>
      <c r="B2857" s="527"/>
      <c r="C2857" s="465"/>
      <c r="D2857" s="464"/>
      <c r="E2857" s="464"/>
      <c r="F2857" s="464"/>
      <c r="G2857" s="510"/>
      <c r="H2857" s="411"/>
      <c r="I2857" s="411"/>
      <c r="J2857" s="750" t="e">
        <f t="shared" si="29"/>
        <v>#DIV/0!</v>
      </c>
      <c r="K2857" s="412"/>
      <c r="L2857" s="412"/>
      <c r="M2857" s="682"/>
      <c r="N2857" s="171"/>
      <c r="O2857" s="171"/>
      <c r="P2857" s="169"/>
      <c r="Q2857" s="171"/>
      <c r="R2857" s="171"/>
      <c r="S2857" s="171"/>
      <c r="T2857" s="171"/>
      <c r="U2857" s="171"/>
      <c r="V2857" s="171"/>
      <c r="W2857" s="171"/>
      <c r="X2857" s="171"/>
      <c r="Y2857" s="171"/>
      <c r="Z2857" s="171"/>
      <c r="AA2857" s="171"/>
    </row>
    <row r="2858" spans="1:27" s="530" customFormat="1" hidden="1" x14ac:dyDescent="0.2">
      <c r="A2858" s="526"/>
      <c r="B2858" s="527"/>
      <c r="C2858" s="465"/>
      <c r="D2858" s="464"/>
      <c r="E2858" s="464"/>
      <c r="F2858" s="464"/>
      <c r="G2858" s="510"/>
      <c r="H2858" s="411"/>
      <c r="I2858" s="411"/>
      <c r="J2858" s="750" t="e">
        <f t="shared" si="29"/>
        <v>#DIV/0!</v>
      </c>
      <c r="K2858" s="412"/>
      <c r="L2858" s="412"/>
      <c r="M2858" s="682"/>
      <c r="N2858" s="171"/>
      <c r="O2858" s="171"/>
      <c r="P2858" s="169"/>
      <c r="Q2858" s="171"/>
      <c r="R2858" s="171"/>
      <c r="S2858" s="171"/>
      <c r="T2858" s="171"/>
      <c r="U2858" s="171"/>
      <c r="V2858" s="171"/>
      <c r="W2858" s="171"/>
      <c r="X2858" s="171"/>
      <c r="Y2858" s="171"/>
      <c r="Z2858" s="171"/>
      <c r="AA2858" s="171"/>
    </row>
    <row r="2859" spans="1:27" s="530" customFormat="1" hidden="1" x14ac:dyDescent="0.2">
      <c r="A2859" s="526"/>
      <c r="B2859" s="527"/>
      <c r="C2859" s="465"/>
      <c r="D2859" s="464"/>
      <c r="E2859" s="464"/>
      <c r="F2859" s="464"/>
      <c r="G2859" s="510"/>
      <c r="H2859" s="411"/>
      <c r="I2859" s="411"/>
      <c r="J2859" s="750" t="e">
        <f t="shared" si="29"/>
        <v>#DIV/0!</v>
      </c>
      <c r="K2859" s="412"/>
      <c r="L2859" s="412"/>
      <c r="M2859" s="682"/>
      <c r="N2859" s="171"/>
      <c r="O2859" s="171"/>
      <c r="P2859" s="169"/>
      <c r="Q2859" s="171"/>
      <c r="R2859" s="171"/>
      <c r="S2859" s="171"/>
      <c r="T2859" s="171"/>
      <c r="U2859" s="171"/>
      <c r="V2859" s="171"/>
      <c r="W2859" s="171"/>
      <c r="X2859" s="171"/>
      <c r="Y2859" s="171"/>
      <c r="Z2859" s="171"/>
      <c r="AA2859" s="171"/>
    </row>
    <row r="2860" spans="1:27" s="530" customFormat="1" hidden="1" x14ac:dyDescent="0.2">
      <c r="A2860" s="526"/>
      <c r="B2860" s="527"/>
      <c r="C2860" s="465"/>
      <c r="D2860" s="464"/>
      <c r="E2860" s="464"/>
      <c r="F2860" s="464"/>
      <c r="G2860" s="510"/>
      <c r="H2860" s="411"/>
      <c r="I2860" s="411"/>
      <c r="J2860" s="750" t="e">
        <f t="shared" si="29"/>
        <v>#DIV/0!</v>
      </c>
      <c r="K2860" s="412"/>
      <c r="L2860" s="412"/>
      <c r="M2860" s="682"/>
      <c r="N2860" s="171"/>
      <c r="O2860" s="171"/>
      <c r="P2860" s="169"/>
      <c r="Q2860" s="171"/>
      <c r="R2860" s="171"/>
      <c r="S2860" s="171"/>
      <c r="T2860" s="171"/>
      <c r="U2860" s="171"/>
      <c r="V2860" s="171"/>
      <c r="W2860" s="171"/>
      <c r="X2860" s="171"/>
      <c r="Y2860" s="171"/>
      <c r="Z2860" s="171"/>
      <c r="AA2860" s="171"/>
    </row>
    <row r="2861" spans="1:27" s="530" customFormat="1" hidden="1" x14ac:dyDescent="0.2">
      <c r="A2861" s="526"/>
      <c r="B2861" s="527"/>
      <c r="C2861" s="465"/>
      <c r="D2861" s="464"/>
      <c r="E2861" s="464"/>
      <c r="F2861" s="464"/>
      <c r="G2861" s="510"/>
      <c r="H2861" s="411"/>
      <c r="I2861" s="411"/>
      <c r="J2861" s="750" t="e">
        <f t="shared" si="29"/>
        <v>#DIV/0!</v>
      </c>
      <c r="K2861" s="412"/>
      <c r="L2861" s="412"/>
      <c r="M2861" s="682"/>
      <c r="N2861" s="171"/>
      <c r="O2861" s="171"/>
      <c r="P2861" s="169"/>
      <c r="Q2861" s="171"/>
      <c r="R2861" s="171"/>
      <c r="S2861" s="171"/>
      <c r="T2861" s="171"/>
      <c r="U2861" s="171"/>
      <c r="V2861" s="171"/>
      <c r="W2861" s="171"/>
      <c r="X2861" s="171"/>
      <c r="Y2861" s="171"/>
      <c r="Z2861" s="171"/>
      <c r="AA2861" s="171"/>
    </row>
    <row r="2862" spans="1:27" s="530" customFormat="1" hidden="1" x14ac:dyDescent="0.2">
      <c r="A2862" s="526"/>
      <c r="B2862" s="527"/>
      <c r="C2862" s="465"/>
      <c r="D2862" s="464"/>
      <c r="E2862" s="464"/>
      <c r="F2862" s="464"/>
      <c r="G2862" s="510"/>
      <c r="H2862" s="411"/>
      <c r="I2862" s="411"/>
      <c r="J2862" s="750" t="e">
        <f t="shared" si="29"/>
        <v>#DIV/0!</v>
      </c>
      <c r="K2862" s="412"/>
      <c r="L2862" s="412"/>
      <c r="M2862" s="682"/>
      <c r="N2862" s="171"/>
      <c r="O2862" s="171"/>
      <c r="P2862" s="169"/>
      <c r="Q2862" s="171"/>
      <c r="R2862" s="171"/>
      <c r="S2862" s="171"/>
      <c r="T2862" s="171"/>
      <c r="U2862" s="171"/>
      <c r="V2862" s="171"/>
      <c r="W2862" s="171"/>
      <c r="X2862" s="171"/>
      <c r="Y2862" s="171"/>
      <c r="Z2862" s="171"/>
      <c r="AA2862" s="171"/>
    </row>
    <row r="2863" spans="1:27" s="530" customFormat="1" hidden="1" x14ac:dyDescent="0.2">
      <c r="A2863" s="526"/>
      <c r="B2863" s="527"/>
      <c r="C2863" s="465"/>
      <c r="D2863" s="464"/>
      <c r="E2863" s="464"/>
      <c r="F2863" s="464"/>
      <c r="G2863" s="510"/>
      <c r="H2863" s="411"/>
      <c r="I2863" s="411"/>
      <c r="J2863" s="750" t="e">
        <f t="shared" si="29"/>
        <v>#DIV/0!</v>
      </c>
      <c r="K2863" s="412"/>
      <c r="L2863" s="412"/>
      <c r="M2863" s="682"/>
      <c r="N2863" s="171"/>
      <c r="O2863" s="171"/>
      <c r="P2863" s="169"/>
      <c r="Q2863" s="171"/>
      <c r="R2863" s="171"/>
      <c r="S2863" s="171"/>
      <c r="T2863" s="171"/>
      <c r="U2863" s="171"/>
      <c r="V2863" s="171"/>
      <c r="W2863" s="171"/>
      <c r="X2863" s="171"/>
      <c r="Y2863" s="171"/>
      <c r="Z2863" s="171"/>
      <c r="AA2863" s="171"/>
    </row>
    <row r="2864" spans="1:27" s="530" customFormat="1" hidden="1" x14ac:dyDescent="0.2">
      <c r="A2864" s="526"/>
      <c r="B2864" s="527"/>
      <c r="C2864" s="465"/>
      <c r="D2864" s="464"/>
      <c r="E2864" s="464"/>
      <c r="F2864" s="464"/>
      <c r="G2864" s="510"/>
      <c r="H2864" s="411"/>
      <c r="I2864" s="411"/>
      <c r="J2864" s="750" t="e">
        <f t="shared" si="29"/>
        <v>#DIV/0!</v>
      </c>
      <c r="K2864" s="412"/>
      <c r="L2864" s="412"/>
      <c r="M2864" s="682"/>
      <c r="N2864" s="171"/>
      <c r="O2864" s="171"/>
      <c r="P2864" s="169"/>
      <c r="Q2864" s="171"/>
      <c r="R2864" s="171"/>
      <c r="S2864" s="171"/>
      <c r="T2864" s="171"/>
      <c r="U2864" s="171"/>
      <c r="V2864" s="171"/>
      <c r="W2864" s="171"/>
      <c r="X2864" s="171"/>
      <c r="Y2864" s="171"/>
      <c r="Z2864" s="171"/>
      <c r="AA2864" s="171"/>
    </row>
    <row r="2865" spans="1:27" s="530" customFormat="1" hidden="1" x14ac:dyDescent="0.2">
      <c r="A2865" s="526"/>
      <c r="B2865" s="527"/>
      <c r="C2865" s="465"/>
      <c r="D2865" s="464"/>
      <c r="E2865" s="464"/>
      <c r="F2865" s="464"/>
      <c r="G2865" s="510"/>
      <c r="H2865" s="411"/>
      <c r="I2865" s="411"/>
      <c r="J2865" s="750" t="e">
        <f t="shared" si="29"/>
        <v>#DIV/0!</v>
      </c>
      <c r="K2865" s="412"/>
      <c r="L2865" s="412"/>
      <c r="M2865" s="682"/>
      <c r="N2865" s="171"/>
      <c r="O2865" s="171"/>
      <c r="P2865" s="169"/>
      <c r="Q2865" s="171"/>
      <c r="R2865" s="171"/>
      <c r="S2865" s="171"/>
      <c r="T2865" s="171"/>
      <c r="U2865" s="171"/>
      <c r="V2865" s="171"/>
      <c r="W2865" s="171"/>
      <c r="X2865" s="171"/>
      <c r="Y2865" s="171"/>
      <c r="Z2865" s="171"/>
      <c r="AA2865" s="171"/>
    </row>
    <row r="2866" spans="1:27" s="530" customFormat="1" hidden="1" x14ac:dyDescent="0.2">
      <c r="A2866" s="526"/>
      <c r="B2866" s="527"/>
      <c r="C2866" s="465"/>
      <c r="D2866" s="464"/>
      <c r="E2866" s="464"/>
      <c r="F2866" s="464"/>
      <c r="G2866" s="510"/>
      <c r="H2866" s="411"/>
      <c r="I2866" s="411"/>
      <c r="J2866" s="750" t="e">
        <f t="shared" si="29"/>
        <v>#DIV/0!</v>
      </c>
      <c r="K2866" s="412"/>
      <c r="L2866" s="412"/>
      <c r="M2866" s="682"/>
      <c r="N2866" s="171"/>
      <c r="O2866" s="171"/>
      <c r="P2866" s="169"/>
      <c r="Q2866" s="171"/>
      <c r="R2866" s="171"/>
      <c r="S2866" s="171"/>
      <c r="T2866" s="171"/>
      <c r="U2866" s="171"/>
      <c r="V2866" s="171"/>
      <c r="W2866" s="171"/>
      <c r="X2866" s="171"/>
      <c r="Y2866" s="171"/>
      <c r="Z2866" s="171"/>
      <c r="AA2866" s="171"/>
    </row>
    <row r="2867" spans="1:27" s="530" customFormat="1" hidden="1" x14ac:dyDescent="0.2">
      <c r="A2867" s="526"/>
      <c r="B2867" s="527"/>
      <c r="C2867" s="465"/>
      <c r="D2867" s="464"/>
      <c r="E2867" s="464"/>
      <c r="F2867" s="464"/>
      <c r="G2867" s="510"/>
      <c r="H2867" s="411"/>
      <c r="I2867" s="411"/>
      <c r="J2867" s="750" t="e">
        <f t="shared" si="29"/>
        <v>#DIV/0!</v>
      </c>
      <c r="K2867" s="412"/>
      <c r="L2867" s="412"/>
      <c r="M2867" s="682"/>
      <c r="N2867" s="171"/>
      <c r="O2867" s="171"/>
      <c r="P2867" s="169"/>
      <c r="Q2867" s="171"/>
      <c r="R2867" s="171"/>
      <c r="S2867" s="171"/>
      <c r="T2867" s="171"/>
      <c r="U2867" s="171"/>
      <c r="V2867" s="171"/>
      <c r="W2867" s="171"/>
      <c r="X2867" s="171"/>
      <c r="Y2867" s="171"/>
      <c r="Z2867" s="171"/>
      <c r="AA2867" s="171"/>
    </row>
    <row r="2868" spans="1:27" s="530" customFormat="1" hidden="1" x14ac:dyDescent="0.2">
      <c r="A2868" s="526"/>
      <c r="B2868" s="527"/>
      <c r="C2868" s="465"/>
      <c r="D2868" s="464"/>
      <c r="E2868" s="464"/>
      <c r="F2868" s="464"/>
      <c r="G2868" s="510"/>
      <c r="H2868" s="411"/>
      <c r="I2868" s="411"/>
      <c r="J2868" s="750" t="e">
        <f t="shared" si="29"/>
        <v>#DIV/0!</v>
      </c>
      <c r="K2868" s="412"/>
      <c r="L2868" s="412"/>
      <c r="M2868" s="682"/>
      <c r="N2868" s="171"/>
      <c r="O2868" s="171"/>
      <c r="P2868" s="169"/>
      <c r="Q2868" s="171"/>
      <c r="R2868" s="171"/>
      <c r="S2868" s="171"/>
      <c r="T2868" s="171"/>
      <c r="U2868" s="171"/>
      <c r="V2868" s="171"/>
      <c r="W2868" s="171"/>
      <c r="X2868" s="171"/>
      <c r="Y2868" s="171"/>
      <c r="Z2868" s="171"/>
      <c r="AA2868" s="171"/>
    </row>
    <row r="2869" spans="1:27" s="530" customFormat="1" hidden="1" x14ac:dyDescent="0.2">
      <c r="A2869" s="526"/>
      <c r="B2869" s="527"/>
      <c r="C2869" s="465"/>
      <c r="D2869" s="464"/>
      <c r="E2869" s="464"/>
      <c r="F2869" s="464"/>
      <c r="G2869" s="510"/>
      <c r="H2869" s="411"/>
      <c r="I2869" s="411"/>
      <c r="J2869" s="750" t="e">
        <f t="shared" si="29"/>
        <v>#DIV/0!</v>
      </c>
      <c r="K2869" s="412"/>
      <c r="L2869" s="412"/>
      <c r="M2869" s="682"/>
      <c r="N2869" s="171"/>
      <c r="O2869" s="171"/>
      <c r="P2869" s="169"/>
      <c r="Q2869" s="171"/>
      <c r="R2869" s="171"/>
      <c r="S2869" s="171"/>
      <c r="T2869" s="171"/>
      <c r="U2869" s="171"/>
      <c r="V2869" s="171"/>
      <c r="W2869" s="171"/>
      <c r="X2869" s="171"/>
      <c r="Y2869" s="171"/>
      <c r="Z2869" s="171"/>
      <c r="AA2869" s="171"/>
    </row>
    <row r="2870" spans="1:27" s="530" customFormat="1" hidden="1" x14ac:dyDescent="0.2">
      <c r="A2870" s="526"/>
      <c r="B2870" s="527"/>
      <c r="C2870" s="465"/>
      <c r="D2870" s="464"/>
      <c r="E2870" s="464"/>
      <c r="F2870" s="464"/>
      <c r="G2870" s="510"/>
      <c r="H2870" s="411"/>
      <c r="I2870" s="411"/>
      <c r="J2870" s="750" t="e">
        <f t="shared" si="29"/>
        <v>#DIV/0!</v>
      </c>
      <c r="K2870" s="412"/>
      <c r="L2870" s="412"/>
      <c r="M2870" s="682"/>
      <c r="N2870" s="171"/>
      <c r="O2870" s="171"/>
      <c r="P2870" s="169"/>
      <c r="Q2870" s="171"/>
      <c r="R2870" s="171"/>
      <c r="S2870" s="171"/>
      <c r="T2870" s="171"/>
      <c r="U2870" s="171"/>
      <c r="V2870" s="171"/>
      <c r="W2870" s="171"/>
      <c r="X2870" s="171"/>
      <c r="Y2870" s="171"/>
      <c r="Z2870" s="171"/>
      <c r="AA2870" s="171"/>
    </row>
    <row r="2871" spans="1:27" s="530" customFormat="1" hidden="1" x14ac:dyDescent="0.2">
      <c r="A2871" s="526"/>
      <c r="B2871" s="527"/>
      <c r="C2871" s="465"/>
      <c r="D2871" s="464"/>
      <c r="E2871" s="464"/>
      <c r="F2871" s="464"/>
      <c r="G2871" s="510"/>
      <c r="H2871" s="411"/>
      <c r="I2871" s="411"/>
      <c r="J2871" s="750" t="e">
        <f t="shared" si="29"/>
        <v>#DIV/0!</v>
      </c>
      <c r="K2871" s="412"/>
      <c r="L2871" s="412"/>
      <c r="M2871" s="682"/>
      <c r="N2871" s="171"/>
      <c r="O2871" s="171"/>
      <c r="P2871" s="169"/>
      <c r="Q2871" s="171"/>
      <c r="R2871" s="171"/>
      <c r="S2871" s="171"/>
      <c r="T2871" s="171"/>
      <c r="U2871" s="171"/>
      <c r="V2871" s="171"/>
      <c r="W2871" s="171"/>
      <c r="X2871" s="171"/>
      <c r="Y2871" s="171"/>
      <c r="Z2871" s="171"/>
      <c r="AA2871" s="171"/>
    </row>
    <row r="2872" spans="1:27" s="530" customFormat="1" hidden="1" x14ac:dyDescent="0.2">
      <c r="A2872" s="526"/>
      <c r="B2872" s="527"/>
      <c r="C2872" s="465"/>
      <c r="D2872" s="464"/>
      <c r="E2872" s="464"/>
      <c r="F2872" s="464"/>
      <c r="G2872" s="510"/>
      <c r="H2872" s="411"/>
      <c r="I2872" s="411"/>
      <c r="J2872" s="750" t="e">
        <f t="shared" si="29"/>
        <v>#DIV/0!</v>
      </c>
      <c r="K2872" s="412"/>
      <c r="L2872" s="412"/>
      <c r="M2872" s="682"/>
      <c r="N2872" s="171"/>
      <c r="O2872" s="171"/>
      <c r="P2872" s="169"/>
      <c r="Q2872" s="171"/>
      <c r="R2872" s="171"/>
      <c r="S2872" s="171"/>
      <c r="T2872" s="171"/>
      <c r="U2872" s="171"/>
      <c r="V2872" s="171"/>
      <c r="W2872" s="171"/>
      <c r="X2872" s="171"/>
      <c r="Y2872" s="171"/>
      <c r="Z2872" s="171"/>
      <c r="AA2872" s="171"/>
    </row>
    <row r="2873" spans="1:27" s="530" customFormat="1" hidden="1" x14ac:dyDescent="0.2">
      <c r="A2873" s="526"/>
      <c r="B2873" s="527"/>
      <c r="C2873" s="465"/>
      <c r="D2873" s="464"/>
      <c r="E2873" s="464"/>
      <c r="F2873" s="464"/>
      <c r="G2873" s="510"/>
      <c r="H2873" s="411"/>
      <c r="I2873" s="411"/>
      <c r="J2873" s="750" t="e">
        <f t="shared" si="29"/>
        <v>#DIV/0!</v>
      </c>
      <c r="K2873" s="412"/>
      <c r="L2873" s="412"/>
      <c r="M2873" s="682"/>
      <c r="N2873" s="171"/>
      <c r="O2873" s="171"/>
      <c r="P2873" s="169"/>
      <c r="Q2873" s="171"/>
      <c r="R2873" s="171"/>
      <c r="S2873" s="171"/>
      <c r="T2873" s="171"/>
      <c r="U2873" s="171"/>
      <c r="V2873" s="171"/>
      <c r="W2873" s="171"/>
      <c r="X2873" s="171"/>
      <c r="Y2873" s="171"/>
      <c r="Z2873" s="171"/>
      <c r="AA2873" s="171"/>
    </row>
    <row r="2874" spans="1:27" s="530" customFormat="1" hidden="1" x14ac:dyDescent="0.2">
      <c r="A2874" s="526"/>
      <c r="B2874" s="527"/>
      <c r="C2874" s="465"/>
      <c r="D2874" s="464"/>
      <c r="E2874" s="464"/>
      <c r="F2874" s="464"/>
      <c r="G2874" s="510"/>
      <c r="H2874" s="411"/>
      <c r="I2874" s="411"/>
      <c r="J2874" s="750" t="e">
        <f t="shared" si="29"/>
        <v>#DIV/0!</v>
      </c>
      <c r="K2874" s="412"/>
      <c r="L2874" s="412"/>
      <c r="M2874" s="682"/>
      <c r="N2874" s="171"/>
      <c r="O2874" s="171"/>
      <c r="P2874" s="169"/>
      <c r="Q2874" s="171"/>
      <c r="R2874" s="171"/>
      <c r="S2874" s="171"/>
      <c r="T2874" s="171"/>
      <c r="U2874" s="171"/>
      <c r="V2874" s="171"/>
      <c r="W2874" s="171"/>
      <c r="X2874" s="171"/>
      <c r="Y2874" s="171"/>
      <c r="Z2874" s="171"/>
      <c r="AA2874" s="171"/>
    </row>
    <row r="2875" spans="1:27" s="530" customFormat="1" hidden="1" x14ac:dyDescent="0.2">
      <c r="A2875" s="526"/>
      <c r="B2875" s="527"/>
      <c r="C2875" s="465"/>
      <c r="D2875" s="464"/>
      <c r="E2875" s="464"/>
      <c r="F2875" s="464"/>
      <c r="G2875" s="510"/>
      <c r="H2875" s="411"/>
      <c r="I2875" s="411"/>
      <c r="J2875" s="750" t="e">
        <f t="shared" si="29"/>
        <v>#DIV/0!</v>
      </c>
      <c r="K2875" s="412"/>
      <c r="L2875" s="412"/>
      <c r="M2875" s="682"/>
      <c r="N2875" s="171"/>
      <c r="O2875" s="171"/>
      <c r="P2875" s="169"/>
      <c r="Q2875" s="171"/>
      <c r="R2875" s="171"/>
      <c r="S2875" s="171"/>
      <c r="T2875" s="171"/>
      <c r="U2875" s="171"/>
      <c r="V2875" s="171"/>
      <c r="W2875" s="171"/>
      <c r="X2875" s="171"/>
      <c r="Y2875" s="171"/>
      <c r="Z2875" s="171"/>
      <c r="AA2875" s="171"/>
    </row>
    <row r="2876" spans="1:27" s="530" customFormat="1" hidden="1" x14ac:dyDescent="0.2">
      <c r="A2876" s="526"/>
      <c r="B2876" s="527"/>
      <c r="C2876" s="465"/>
      <c r="D2876" s="464"/>
      <c r="E2876" s="464"/>
      <c r="F2876" s="464"/>
      <c r="G2876" s="510"/>
      <c r="H2876" s="411"/>
      <c r="I2876" s="411"/>
      <c r="J2876" s="750" t="e">
        <f t="shared" si="29"/>
        <v>#DIV/0!</v>
      </c>
      <c r="K2876" s="412"/>
      <c r="L2876" s="412"/>
      <c r="M2876" s="682"/>
      <c r="N2876" s="171"/>
      <c r="O2876" s="171"/>
      <c r="P2876" s="169"/>
      <c r="Q2876" s="171"/>
      <c r="R2876" s="171"/>
      <c r="S2876" s="171"/>
      <c r="T2876" s="171"/>
      <c r="U2876" s="171"/>
      <c r="V2876" s="171"/>
      <c r="W2876" s="171"/>
      <c r="X2876" s="171"/>
      <c r="Y2876" s="171"/>
      <c r="Z2876" s="171"/>
      <c r="AA2876" s="171"/>
    </row>
    <row r="2877" spans="1:27" s="530" customFormat="1" hidden="1" x14ac:dyDescent="0.2">
      <c r="A2877" s="526"/>
      <c r="B2877" s="527"/>
      <c r="C2877" s="465"/>
      <c r="D2877" s="464"/>
      <c r="E2877" s="464"/>
      <c r="F2877" s="464"/>
      <c r="G2877" s="510"/>
      <c r="H2877" s="411"/>
      <c r="I2877" s="411"/>
      <c r="J2877" s="750" t="e">
        <f t="shared" si="29"/>
        <v>#DIV/0!</v>
      </c>
      <c r="K2877" s="412"/>
      <c r="L2877" s="412"/>
      <c r="M2877" s="682"/>
      <c r="N2877" s="171"/>
      <c r="O2877" s="171"/>
      <c r="P2877" s="169"/>
      <c r="Q2877" s="171"/>
      <c r="R2877" s="171"/>
      <c r="S2877" s="171"/>
      <c r="T2877" s="171"/>
      <c r="U2877" s="171"/>
      <c r="V2877" s="171"/>
      <c r="W2877" s="171"/>
      <c r="X2877" s="171"/>
      <c r="Y2877" s="171"/>
      <c r="Z2877" s="171"/>
      <c r="AA2877" s="171"/>
    </row>
    <row r="2878" spans="1:27" s="530" customFormat="1" hidden="1" x14ac:dyDescent="0.2">
      <c r="A2878" s="526"/>
      <c r="B2878" s="527"/>
      <c r="C2878" s="465"/>
      <c r="D2878" s="464"/>
      <c r="E2878" s="464"/>
      <c r="F2878" s="464"/>
      <c r="G2878" s="510"/>
      <c r="H2878" s="411"/>
      <c r="I2878" s="411"/>
      <c r="J2878" s="750" t="e">
        <f t="shared" si="29"/>
        <v>#DIV/0!</v>
      </c>
      <c r="K2878" s="412"/>
      <c r="L2878" s="412"/>
      <c r="M2878" s="682"/>
      <c r="N2878" s="171"/>
      <c r="O2878" s="171"/>
      <c r="P2878" s="169"/>
      <c r="Q2878" s="171"/>
      <c r="R2878" s="171"/>
      <c r="S2878" s="171"/>
      <c r="T2878" s="171"/>
      <c r="U2878" s="171"/>
      <c r="V2878" s="171"/>
      <c r="W2878" s="171"/>
      <c r="X2878" s="171"/>
      <c r="Y2878" s="171"/>
      <c r="Z2878" s="171"/>
      <c r="AA2878" s="171"/>
    </row>
    <row r="2879" spans="1:27" s="530" customFormat="1" hidden="1" x14ac:dyDescent="0.2">
      <c r="A2879" s="526"/>
      <c r="B2879" s="527"/>
      <c r="C2879" s="465"/>
      <c r="D2879" s="464"/>
      <c r="E2879" s="464"/>
      <c r="F2879" s="464"/>
      <c r="G2879" s="510"/>
      <c r="H2879" s="411"/>
      <c r="I2879" s="411"/>
      <c r="J2879" s="750" t="e">
        <f t="shared" si="29"/>
        <v>#DIV/0!</v>
      </c>
      <c r="K2879" s="412"/>
      <c r="L2879" s="412"/>
      <c r="M2879" s="682"/>
      <c r="N2879" s="171"/>
      <c r="O2879" s="171"/>
      <c r="P2879" s="169"/>
      <c r="Q2879" s="171"/>
      <c r="R2879" s="171"/>
      <c r="S2879" s="171"/>
      <c r="T2879" s="171"/>
      <c r="U2879" s="171"/>
      <c r="V2879" s="171"/>
      <c r="W2879" s="171"/>
      <c r="X2879" s="171"/>
      <c r="Y2879" s="171"/>
      <c r="Z2879" s="171"/>
      <c r="AA2879" s="171"/>
    </row>
    <row r="2880" spans="1:27" s="530" customFormat="1" hidden="1" x14ac:dyDescent="0.2">
      <c r="A2880" s="526"/>
      <c r="B2880" s="527"/>
      <c r="C2880" s="465"/>
      <c r="D2880" s="464"/>
      <c r="E2880" s="464"/>
      <c r="F2880" s="464"/>
      <c r="G2880" s="510"/>
      <c r="H2880" s="411"/>
      <c r="I2880" s="411"/>
      <c r="J2880" s="750" t="e">
        <f t="shared" si="29"/>
        <v>#DIV/0!</v>
      </c>
      <c r="K2880" s="412"/>
      <c r="L2880" s="412"/>
      <c r="M2880" s="682"/>
      <c r="N2880" s="171"/>
      <c r="O2880" s="171"/>
      <c r="P2880" s="169"/>
      <c r="Q2880" s="171"/>
      <c r="R2880" s="171"/>
      <c r="S2880" s="171"/>
      <c r="T2880" s="171"/>
      <c r="U2880" s="171"/>
      <c r="V2880" s="171"/>
      <c r="W2880" s="171"/>
      <c r="X2880" s="171"/>
      <c r="Y2880" s="171"/>
      <c r="Z2880" s="171"/>
      <c r="AA2880" s="171"/>
    </row>
    <row r="2881" spans="1:27" s="530" customFormat="1" hidden="1" x14ac:dyDescent="0.2">
      <c r="A2881" s="526"/>
      <c r="B2881" s="527"/>
      <c r="C2881" s="465"/>
      <c r="D2881" s="464"/>
      <c r="E2881" s="464"/>
      <c r="F2881" s="464"/>
      <c r="G2881" s="510"/>
      <c r="H2881" s="411"/>
      <c r="I2881" s="411"/>
      <c r="J2881" s="750" t="e">
        <f t="shared" si="29"/>
        <v>#DIV/0!</v>
      </c>
      <c r="K2881" s="412"/>
      <c r="L2881" s="412"/>
      <c r="M2881" s="682"/>
      <c r="N2881" s="171"/>
      <c r="O2881" s="171"/>
      <c r="P2881" s="169"/>
      <c r="Q2881" s="171"/>
      <c r="R2881" s="171"/>
      <c r="S2881" s="171"/>
      <c r="T2881" s="171"/>
      <c r="U2881" s="171"/>
      <c r="V2881" s="171"/>
      <c r="W2881" s="171"/>
      <c r="X2881" s="171"/>
      <c r="Y2881" s="171"/>
      <c r="Z2881" s="171"/>
      <c r="AA2881" s="171"/>
    </row>
    <row r="2882" spans="1:27" s="530" customFormat="1" hidden="1" x14ac:dyDescent="0.2">
      <c r="A2882" s="526"/>
      <c r="B2882" s="527"/>
      <c r="C2882" s="465"/>
      <c r="D2882" s="464"/>
      <c r="E2882" s="464"/>
      <c r="F2882" s="464"/>
      <c r="G2882" s="510"/>
      <c r="H2882" s="411"/>
      <c r="I2882" s="411"/>
      <c r="J2882" s="750" t="e">
        <f t="shared" si="29"/>
        <v>#DIV/0!</v>
      </c>
      <c r="K2882" s="412"/>
      <c r="L2882" s="412"/>
      <c r="M2882" s="682"/>
      <c r="N2882" s="171"/>
      <c r="O2882" s="171"/>
      <c r="P2882" s="169"/>
      <c r="Q2882" s="171"/>
      <c r="R2882" s="171"/>
      <c r="S2882" s="171"/>
      <c r="T2882" s="171"/>
      <c r="U2882" s="171"/>
      <c r="V2882" s="171"/>
      <c r="W2882" s="171"/>
      <c r="X2882" s="171"/>
      <c r="Y2882" s="171"/>
      <c r="Z2882" s="171"/>
      <c r="AA2882" s="171"/>
    </row>
    <row r="2883" spans="1:27" s="530" customFormat="1" hidden="1" x14ac:dyDescent="0.2">
      <c r="A2883" s="526"/>
      <c r="B2883" s="527"/>
      <c r="C2883" s="465"/>
      <c r="D2883" s="464"/>
      <c r="E2883" s="464"/>
      <c r="F2883" s="464"/>
      <c r="G2883" s="510"/>
      <c r="H2883" s="411"/>
      <c r="I2883" s="411"/>
      <c r="J2883" s="750" t="e">
        <f t="shared" si="29"/>
        <v>#DIV/0!</v>
      </c>
      <c r="K2883" s="412"/>
      <c r="L2883" s="412"/>
      <c r="M2883" s="682"/>
      <c r="N2883" s="171"/>
      <c r="O2883" s="171"/>
      <c r="P2883" s="169"/>
      <c r="Q2883" s="171"/>
      <c r="R2883" s="171"/>
      <c r="S2883" s="171"/>
      <c r="T2883" s="171"/>
      <c r="U2883" s="171"/>
      <c r="V2883" s="171"/>
      <c r="W2883" s="171"/>
      <c r="X2883" s="171"/>
      <c r="Y2883" s="171"/>
      <c r="Z2883" s="171"/>
      <c r="AA2883" s="171"/>
    </row>
    <row r="2884" spans="1:27" s="530" customFormat="1" hidden="1" x14ac:dyDescent="0.2">
      <c r="A2884" s="526"/>
      <c r="B2884" s="527"/>
      <c r="C2884" s="465"/>
      <c r="D2884" s="464"/>
      <c r="E2884" s="464"/>
      <c r="F2884" s="464"/>
      <c r="G2884" s="510"/>
      <c r="H2884" s="411"/>
      <c r="I2884" s="411"/>
      <c r="J2884" s="750" t="e">
        <f t="shared" si="29"/>
        <v>#DIV/0!</v>
      </c>
      <c r="K2884" s="412"/>
      <c r="L2884" s="412"/>
      <c r="M2884" s="682"/>
      <c r="N2884" s="171"/>
      <c r="O2884" s="171"/>
      <c r="P2884" s="169"/>
      <c r="Q2884" s="171"/>
      <c r="R2884" s="171"/>
      <c r="S2884" s="171"/>
      <c r="T2884" s="171"/>
      <c r="U2884" s="171"/>
      <c r="V2884" s="171"/>
      <c r="W2884" s="171"/>
      <c r="X2884" s="171"/>
      <c r="Y2884" s="171"/>
      <c r="Z2884" s="171"/>
      <c r="AA2884" s="171"/>
    </row>
    <row r="2885" spans="1:27" s="530" customFormat="1" hidden="1" x14ac:dyDescent="0.2">
      <c r="A2885" s="526"/>
      <c r="B2885" s="527"/>
      <c r="C2885" s="465"/>
      <c r="D2885" s="464"/>
      <c r="E2885" s="464"/>
      <c r="F2885" s="464"/>
      <c r="G2885" s="510"/>
      <c r="H2885" s="411"/>
      <c r="I2885" s="411"/>
      <c r="J2885" s="750" t="e">
        <f t="shared" si="29"/>
        <v>#DIV/0!</v>
      </c>
      <c r="K2885" s="412"/>
      <c r="L2885" s="412"/>
      <c r="M2885" s="682"/>
      <c r="N2885" s="171"/>
      <c r="O2885" s="171"/>
      <c r="P2885" s="169"/>
      <c r="Q2885" s="171"/>
      <c r="R2885" s="171"/>
      <c r="S2885" s="171"/>
      <c r="T2885" s="171"/>
      <c r="U2885" s="171"/>
      <c r="V2885" s="171"/>
      <c r="W2885" s="171"/>
      <c r="X2885" s="171"/>
      <c r="Y2885" s="171"/>
      <c r="Z2885" s="171"/>
      <c r="AA2885" s="171"/>
    </row>
    <row r="2886" spans="1:27" s="530" customFormat="1" hidden="1" x14ac:dyDescent="0.2">
      <c r="A2886" s="526"/>
      <c r="B2886" s="527"/>
      <c r="C2886" s="465"/>
      <c r="D2886" s="464"/>
      <c r="E2886" s="464"/>
      <c r="F2886" s="464"/>
      <c r="G2886" s="510"/>
      <c r="H2886" s="411"/>
      <c r="I2886" s="411"/>
      <c r="J2886" s="750" t="e">
        <f t="shared" si="29"/>
        <v>#DIV/0!</v>
      </c>
      <c r="K2886" s="412"/>
      <c r="L2886" s="412"/>
      <c r="M2886" s="682"/>
      <c r="N2886" s="171"/>
      <c r="O2886" s="171"/>
      <c r="P2886" s="169"/>
      <c r="Q2886" s="171"/>
      <c r="R2886" s="171"/>
      <c r="S2886" s="171"/>
      <c r="T2886" s="171"/>
      <c r="U2886" s="171"/>
      <c r="V2886" s="171"/>
      <c r="W2886" s="171"/>
      <c r="X2886" s="171"/>
      <c r="Y2886" s="171"/>
      <c r="Z2886" s="171"/>
      <c r="AA2886" s="171"/>
    </row>
    <row r="2887" spans="1:27" s="530" customFormat="1" hidden="1" x14ac:dyDescent="0.2">
      <c r="A2887" s="526"/>
      <c r="B2887" s="527"/>
      <c r="C2887" s="465"/>
      <c r="D2887" s="464"/>
      <c r="E2887" s="464"/>
      <c r="F2887" s="464"/>
      <c r="G2887" s="510"/>
      <c r="H2887" s="411"/>
      <c r="I2887" s="411"/>
      <c r="J2887" s="750" t="e">
        <f t="shared" si="29"/>
        <v>#DIV/0!</v>
      </c>
      <c r="K2887" s="412"/>
      <c r="L2887" s="412"/>
      <c r="M2887" s="682"/>
      <c r="N2887" s="171"/>
      <c r="O2887" s="171"/>
      <c r="P2887" s="169"/>
      <c r="Q2887" s="171"/>
      <c r="R2887" s="171"/>
      <c r="S2887" s="171"/>
      <c r="T2887" s="171"/>
      <c r="U2887" s="171"/>
      <c r="V2887" s="171"/>
      <c r="W2887" s="171"/>
      <c r="X2887" s="171"/>
      <c r="Y2887" s="171"/>
      <c r="Z2887" s="171"/>
      <c r="AA2887" s="171"/>
    </row>
    <row r="2888" spans="1:27" s="530" customFormat="1" hidden="1" x14ac:dyDescent="0.2">
      <c r="A2888" s="526"/>
      <c r="B2888" s="527"/>
      <c r="C2888" s="465"/>
      <c r="D2888" s="464"/>
      <c r="E2888" s="464"/>
      <c r="F2888" s="464"/>
      <c r="G2888" s="510"/>
      <c r="H2888" s="411"/>
      <c r="I2888" s="411"/>
      <c r="J2888" s="750" t="e">
        <f t="shared" si="29"/>
        <v>#DIV/0!</v>
      </c>
      <c r="K2888" s="412"/>
      <c r="L2888" s="412"/>
      <c r="M2888" s="682"/>
      <c r="N2888" s="171"/>
      <c r="O2888" s="171"/>
      <c r="P2888" s="169"/>
      <c r="Q2888" s="171"/>
      <c r="R2888" s="171"/>
      <c r="S2888" s="171"/>
      <c r="T2888" s="171"/>
      <c r="U2888" s="171"/>
      <c r="V2888" s="171"/>
      <c r="W2888" s="171"/>
      <c r="X2888" s="171"/>
      <c r="Y2888" s="171"/>
      <c r="Z2888" s="171"/>
      <c r="AA2888" s="171"/>
    </row>
    <row r="2889" spans="1:27" s="530" customFormat="1" hidden="1" x14ac:dyDescent="0.2">
      <c r="A2889" s="526"/>
      <c r="B2889" s="527"/>
      <c r="C2889" s="465"/>
      <c r="D2889" s="464"/>
      <c r="E2889" s="464"/>
      <c r="F2889" s="464"/>
      <c r="G2889" s="510"/>
      <c r="H2889" s="411"/>
      <c r="I2889" s="411"/>
      <c r="J2889" s="750" t="e">
        <f t="shared" si="29"/>
        <v>#DIV/0!</v>
      </c>
      <c r="K2889" s="412"/>
      <c r="L2889" s="412"/>
      <c r="M2889" s="682"/>
      <c r="N2889" s="171"/>
      <c r="O2889" s="171"/>
      <c r="P2889" s="169"/>
      <c r="Q2889" s="171"/>
      <c r="R2889" s="171"/>
      <c r="S2889" s="171"/>
      <c r="T2889" s="171"/>
      <c r="U2889" s="171"/>
      <c r="V2889" s="171"/>
      <c r="W2889" s="171"/>
      <c r="X2889" s="171"/>
      <c r="Y2889" s="171"/>
      <c r="Z2889" s="171"/>
      <c r="AA2889" s="171"/>
    </row>
    <row r="2890" spans="1:27" s="530" customFormat="1" hidden="1" x14ac:dyDescent="0.2">
      <c r="A2890" s="526"/>
      <c r="B2890" s="527"/>
      <c r="C2890" s="465"/>
      <c r="D2890" s="464"/>
      <c r="E2890" s="464"/>
      <c r="F2890" s="464"/>
      <c r="G2890" s="510"/>
      <c r="H2890" s="411"/>
      <c r="I2890" s="411"/>
      <c r="J2890" s="750" t="e">
        <f t="shared" si="29"/>
        <v>#DIV/0!</v>
      </c>
      <c r="K2890" s="412"/>
      <c r="L2890" s="412"/>
      <c r="M2890" s="682"/>
      <c r="N2890" s="171"/>
      <c r="O2890" s="171"/>
      <c r="P2890" s="169"/>
      <c r="Q2890" s="171"/>
      <c r="R2890" s="171"/>
      <c r="S2890" s="171"/>
      <c r="T2890" s="171"/>
      <c r="U2890" s="171"/>
      <c r="V2890" s="171"/>
      <c r="W2890" s="171"/>
      <c r="X2890" s="171"/>
      <c r="Y2890" s="171"/>
      <c r="Z2890" s="171"/>
      <c r="AA2890" s="171"/>
    </row>
    <row r="2891" spans="1:27" s="530" customFormat="1" hidden="1" x14ac:dyDescent="0.2">
      <c r="A2891" s="526"/>
      <c r="B2891" s="527"/>
      <c r="C2891" s="465"/>
      <c r="D2891" s="464"/>
      <c r="E2891" s="464"/>
      <c r="F2891" s="464"/>
      <c r="G2891" s="510"/>
      <c r="H2891" s="411"/>
      <c r="I2891" s="411"/>
      <c r="J2891" s="750" t="e">
        <f t="shared" si="29"/>
        <v>#DIV/0!</v>
      </c>
      <c r="K2891" s="412"/>
      <c r="L2891" s="412"/>
      <c r="M2891" s="682"/>
      <c r="N2891" s="171"/>
      <c r="O2891" s="171"/>
      <c r="P2891" s="169"/>
      <c r="Q2891" s="171"/>
      <c r="R2891" s="171"/>
      <c r="S2891" s="171"/>
      <c r="T2891" s="171"/>
      <c r="U2891" s="171"/>
      <c r="V2891" s="171"/>
      <c r="W2891" s="171"/>
      <c r="X2891" s="171"/>
      <c r="Y2891" s="171"/>
      <c r="Z2891" s="171"/>
      <c r="AA2891" s="171"/>
    </row>
    <row r="2892" spans="1:27" s="530" customFormat="1" hidden="1" x14ac:dyDescent="0.2">
      <c r="A2892" s="526"/>
      <c r="B2892" s="527"/>
      <c r="C2892" s="465"/>
      <c r="D2892" s="464"/>
      <c r="E2892" s="464"/>
      <c r="F2892" s="464"/>
      <c r="G2892" s="510"/>
      <c r="H2892" s="411"/>
      <c r="I2892" s="411"/>
      <c r="J2892" s="750" t="e">
        <f t="shared" si="29"/>
        <v>#DIV/0!</v>
      </c>
      <c r="K2892" s="412"/>
      <c r="L2892" s="412"/>
      <c r="M2892" s="682"/>
      <c r="N2892" s="171"/>
      <c r="O2892" s="171"/>
      <c r="P2892" s="169"/>
      <c r="Q2892" s="171"/>
      <c r="R2892" s="171"/>
      <c r="S2892" s="171"/>
      <c r="T2892" s="171"/>
      <c r="U2892" s="171"/>
      <c r="V2892" s="171"/>
      <c r="W2892" s="171"/>
      <c r="X2892" s="171"/>
      <c r="Y2892" s="171"/>
      <c r="Z2892" s="171"/>
      <c r="AA2892" s="171"/>
    </row>
    <row r="2893" spans="1:27" s="530" customFormat="1" hidden="1" x14ac:dyDescent="0.2">
      <c r="A2893" s="526"/>
      <c r="B2893" s="527"/>
      <c r="C2893" s="465"/>
      <c r="D2893" s="464"/>
      <c r="E2893" s="464"/>
      <c r="F2893" s="464"/>
      <c r="G2893" s="510"/>
      <c r="H2893" s="411"/>
      <c r="I2893" s="411"/>
      <c r="J2893" s="750" t="e">
        <f t="shared" ref="J2893:J2956" si="30">SUM(I2893/H2893)*100</f>
        <v>#DIV/0!</v>
      </c>
      <c r="K2893" s="412"/>
      <c r="L2893" s="412"/>
      <c r="M2893" s="682"/>
      <c r="N2893" s="171"/>
      <c r="O2893" s="171"/>
      <c r="P2893" s="169"/>
      <c r="Q2893" s="171"/>
      <c r="R2893" s="171"/>
      <c r="S2893" s="171"/>
      <c r="T2893" s="171"/>
      <c r="U2893" s="171"/>
      <c r="V2893" s="171"/>
      <c r="W2893" s="171"/>
      <c r="X2893" s="171"/>
      <c r="Y2893" s="171"/>
      <c r="Z2893" s="171"/>
      <c r="AA2893" s="171"/>
    </row>
    <row r="2894" spans="1:27" s="530" customFormat="1" hidden="1" x14ac:dyDescent="0.2">
      <c r="A2894" s="526"/>
      <c r="B2894" s="527"/>
      <c r="C2894" s="465"/>
      <c r="D2894" s="464"/>
      <c r="E2894" s="464"/>
      <c r="F2894" s="464"/>
      <c r="G2894" s="510"/>
      <c r="H2894" s="411"/>
      <c r="I2894" s="411"/>
      <c r="J2894" s="750" t="e">
        <f t="shared" si="30"/>
        <v>#DIV/0!</v>
      </c>
      <c r="K2894" s="412"/>
      <c r="L2894" s="412"/>
      <c r="M2894" s="682"/>
      <c r="N2894" s="171"/>
      <c r="O2894" s="171"/>
      <c r="P2894" s="169"/>
      <c r="Q2894" s="171"/>
      <c r="R2894" s="171"/>
      <c r="S2894" s="171"/>
      <c r="T2894" s="171"/>
      <c r="U2894" s="171"/>
      <c r="V2894" s="171"/>
      <c r="W2894" s="171"/>
      <c r="X2894" s="171"/>
      <c r="Y2894" s="171"/>
      <c r="Z2894" s="171"/>
      <c r="AA2894" s="171"/>
    </row>
    <row r="2895" spans="1:27" s="530" customFormat="1" hidden="1" x14ac:dyDescent="0.2">
      <c r="A2895" s="526"/>
      <c r="B2895" s="527"/>
      <c r="C2895" s="465"/>
      <c r="D2895" s="464"/>
      <c r="E2895" s="464"/>
      <c r="F2895" s="464"/>
      <c r="G2895" s="510"/>
      <c r="H2895" s="411"/>
      <c r="I2895" s="411"/>
      <c r="J2895" s="750" t="e">
        <f t="shared" si="30"/>
        <v>#DIV/0!</v>
      </c>
      <c r="K2895" s="412"/>
      <c r="L2895" s="412"/>
      <c r="M2895" s="682"/>
      <c r="N2895" s="171"/>
      <c r="O2895" s="171"/>
      <c r="P2895" s="169"/>
      <c r="Q2895" s="171"/>
      <c r="R2895" s="171"/>
      <c r="S2895" s="171"/>
      <c r="T2895" s="171"/>
      <c r="U2895" s="171"/>
      <c r="V2895" s="171"/>
      <c r="W2895" s="171"/>
      <c r="X2895" s="171"/>
      <c r="Y2895" s="171"/>
      <c r="Z2895" s="171"/>
      <c r="AA2895" s="171"/>
    </row>
    <row r="2896" spans="1:27" s="530" customFormat="1" hidden="1" x14ac:dyDescent="0.2">
      <c r="A2896" s="526"/>
      <c r="B2896" s="527"/>
      <c r="C2896" s="465"/>
      <c r="D2896" s="464"/>
      <c r="E2896" s="464"/>
      <c r="F2896" s="464"/>
      <c r="G2896" s="510"/>
      <c r="H2896" s="411"/>
      <c r="I2896" s="411"/>
      <c r="J2896" s="750" t="e">
        <f t="shared" si="30"/>
        <v>#DIV/0!</v>
      </c>
      <c r="K2896" s="412"/>
      <c r="L2896" s="412"/>
      <c r="M2896" s="682"/>
      <c r="N2896" s="171"/>
      <c r="O2896" s="171"/>
      <c r="P2896" s="169"/>
      <c r="Q2896" s="171"/>
      <c r="R2896" s="171"/>
      <c r="S2896" s="171"/>
      <c r="T2896" s="171"/>
      <c r="U2896" s="171"/>
      <c r="V2896" s="171"/>
      <c r="W2896" s="171"/>
      <c r="X2896" s="171"/>
      <c r="Y2896" s="171"/>
      <c r="Z2896" s="171"/>
      <c r="AA2896" s="171"/>
    </row>
    <row r="2897" spans="1:27" s="530" customFormat="1" hidden="1" x14ac:dyDescent="0.2">
      <c r="A2897" s="526"/>
      <c r="B2897" s="527"/>
      <c r="C2897" s="465"/>
      <c r="D2897" s="464"/>
      <c r="E2897" s="464"/>
      <c r="F2897" s="464"/>
      <c r="G2897" s="510"/>
      <c r="H2897" s="411"/>
      <c r="I2897" s="411"/>
      <c r="J2897" s="750" t="e">
        <f t="shared" si="30"/>
        <v>#DIV/0!</v>
      </c>
      <c r="K2897" s="412"/>
      <c r="L2897" s="412"/>
      <c r="M2897" s="682"/>
      <c r="N2897" s="171"/>
      <c r="O2897" s="171"/>
      <c r="P2897" s="169"/>
      <c r="Q2897" s="171"/>
      <c r="R2897" s="171"/>
      <c r="S2897" s="171"/>
      <c r="T2897" s="171"/>
      <c r="U2897" s="171"/>
      <c r="V2897" s="171"/>
      <c r="W2897" s="171"/>
      <c r="X2897" s="171"/>
      <c r="Y2897" s="171"/>
      <c r="Z2897" s="171"/>
      <c r="AA2897" s="171"/>
    </row>
    <row r="2898" spans="1:27" s="530" customFormat="1" hidden="1" x14ac:dyDescent="0.2">
      <c r="A2898" s="526"/>
      <c r="B2898" s="527"/>
      <c r="C2898" s="465"/>
      <c r="D2898" s="464"/>
      <c r="E2898" s="464"/>
      <c r="F2898" s="464"/>
      <c r="G2898" s="510"/>
      <c r="H2898" s="411"/>
      <c r="I2898" s="411"/>
      <c r="J2898" s="750" t="e">
        <f t="shared" si="30"/>
        <v>#DIV/0!</v>
      </c>
      <c r="K2898" s="412"/>
      <c r="L2898" s="412"/>
      <c r="M2898" s="682"/>
      <c r="N2898" s="171"/>
      <c r="O2898" s="171"/>
      <c r="P2898" s="169"/>
      <c r="Q2898" s="171"/>
      <c r="R2898" s="171"/>
      <c r="S2898" s="171"/>
      <c r="T2898" s="171"/>
      <c r="U2898" s="171"/>
      <c r="V2898" s="171"/>
      <c r="W2898" s="171"/>
      <c r="X2898" s="171"/>
      <c r="Y2898" s="171"/>
      <c r="Z2898" s="171"/>
      <c r="AA2898" s="171"/>
    </row>
    <row r="2899" spans="1:27" s="530" customFormat="1" hidden="1" x14ac:dyDescent="0.2">
      <c r="A2899" s="526"/>
      <c r="B2899" s="527"/>
      <c r="C2899" s="465"/>
      <c r="D2899" s="464"/>
      <c r="E2899" s="464"/>
      <c r="F2899" s="464"/>
      <c r="G2899" s="510"/>
      <c r="H2899" s="411"/>
      <c r="I2899" s="411"/>
      <c r="J2899" s="750" t="e">
        <f t="shared" si="30"/>
        <v>#DIV/0!</v>
      </c>
      <c r="K2899" s="412"/>
      <c r="L2899" s="412"/>
      <c r="M2899" s="682"/>
      <c r="N2899" s="171"/>
      <c r="O2899" s="171"/>
      <c r="P2899" s="169"/>
      <c r="Q2899" s="171"/>
      <c r="R2899" s="171"/>
      <c r="S2899" s="171"/>
      <c r="T2899" s="171"/>
      <c r="U2899" s="171"/>
      <c r="V2899" s="171"/>
      <c r="W2899" s="171"/>
      <c r="X2899" s="171"/>
      <c r="Y2899" s="171"/>
      <c r="Z2899" s="171"/>
      <c r="AA2899" s="171"/>
    </row>
    <row r="2900" spans="1:27" s="530" customFormat="1" hidden="1" x14ac:dyDescent="0.2">
      <c r="A2900" s="526"/>
      <c r="B2900" s="527"/>
      <c r="C2900" s="465"/>
      <c r="D2900" s="464"/>
      <c r="E2900" s="464"/>
      <c r="F2900" s="464"/>
      <c r="G2900" s="510"/>
      <c r="H2900" s="411"/>
      <c r="I2900" s="411"/>
      <c r="J2900" s="750" t="e">
        <f t="shared" si="30"/>
        <v>#DIV/0!</v>
      </c>
      <c r="K2900" s="412"/>
      <c r="L2900" s="412"/>
      <c r="M2900" s="682"/>
      <c r="N2900" s="171"/>
      <c r="O2900" s="171"/>
      <c r="P2900" s="169"/>
      <c r="Q2900" s="171"/>
      <c r="R2900" s="171"/>
      <c r="S2900" s="171"/>
      <c r="T2900" s="171"/>
      <c r="U2900" s="171"/>
      <c r="V2900" s="171"/>
      <c r="W2900" s="171"/>
      <c r="X2900" s="171"/>
      <c r="Y2900" s="171"/>
      <c r="Z2900" s="171"/>
      <c r="AA2900" s="171"/>
    </row>
    <row r="2901" spans="1:27" s="530" customFormat="1" hidden="1" x14ac:dyDescent="0.2">
      <c r="A2901" s="526"/>
      <c r="B2901" s="527"/>
      <c r="C2901" s="465"/>
      <c r="D2901" s="464"/>
      <c r="E2901" s="464"/>
      <c r="F2901" s="464"/>
      <c r="G2901" s="510"/>
      <c r="H2901" s="411"/>
      <c r="I2901" s="411"/>
      <c r="J2901" s="750" t="e">
        <f t="shared" si="30"/>
        <v>#DIV/0!</v>
      </c>
      <c r="K2901" s="412"/>
      <c r="L2901" s="412"/>
      <c r="M2901" s="682"/>
      <c r="N2901" s="171"/>
      <c r="O2901" s="171"/>
      <c r="P2901" s="169"/>
      <c r="Q2901" s="171"/>
      <c r="R2901" s="171"/>
      <c r="S2901" s="171"/>
      <c r="T2901" s="171"/>
      <c r="U2901" s="171"/>
      <c r="V2901" s="171"/>
      <c r="W2901" s="171"/>
      <c r="X2901" s="171"/>
      <c r="Y2901" s="171"/>
      <c r="Z2901" s="171"/>
      <c r="AA2901" s="171"/>
    </row>
    <row r="2902" spans="1:27" s="530" customFormat="1" hidden="1" x14ac:dyDescent="0.2">
      <c r="A2902" s="526"/>
      <c r="B2902" s="527"/>
      <c r="C2902" s="465"/>
      <c r="D2902" s="464"/>
      <c r="E2902" s="464"/>
      <c r="F2902" s="464"/>
      <c r="G2902" s="510"/>
      <c r="H2902" s="411"/>
      <c r="I2902" s="411"/>
      <c r="J2902" s="750" t="e">
        <f t="shared" si="30"/>
        <v>#DIV/0!</v>
      </c>
      <c r="K2902" s="412"/>
      <c r="L2902" s="412"/>
      <c r="M2902" s="682"/>
      <c r="N2902" s="171"/>
      <c r="O2902" s="171"/>
      <c r="P2902" s="169"/>
      <c r="Q2902" s="171"/>
      <c r="R2902" s="171"/>
      <c r="S2902" s="171"/>
      <c r="T2902" s="171"/>
      <c r="U2902" s="171"/>
      <c r="V2902" s="171"/>
      <c r="W2902" s="171"/>
      <c r="X2902" s="171"/>
      <c r="Y2902" s="171"/>
      <c r="Z2902" s="171"/>
      <c r="AA2902" s="171"/>
    </row>
    <row r="2903" spans="1:27" s="530" customFormat="1" hidden="1" x14ac:dyDescent="0.2">
      <c r="A2903" s="526"/>
      <c r="B2903" s="527"/>
      <c r="C2903" s="465"/>
      <c r="D2903" s="464"/>
      <c r="E2903" s="464"/>
      <c r="F2903" s="464"/>
      <c r="G2903" s="510"/>
      <c r="H2903" s="411"/>
      <c r="I2903" s="411"/>
      <c r="J2903" s="750" t="e">
        <f t="shared" si="30"/>
        <v>#DIV/0!</v>
      </c>
      <c r="K2903" s="412"/>
      <c r="L2903" s="412"/>
      <c r="M2903" s="682"/>
      <c r="N2903" s="171"/>
      <c r="O2903" s="171"/>
      <c r="P2903" s="169"/>
      <c r="Q2903" s="171"/>
      <c r="R2903" s="171"/>
      <c r="S2903" s="171"/>
      <c r="T2903" s="171"/>
      <c r="U2903" s="171"/>
      <c r="V2903" s="171"/>
      <c r="W2903" s="171"/>
      <c r="X2903" s="171"/>
      <c r="Y2903" s="171"/>
      <c r="Z2903" s="171"/>
      <c r="AA2903" s="171"/>
    </row>
    <row r="2904" spans="1:27" s="530" customFormat="1" hidden="1" x14ac:dyDescent="0.2">
      <c r="A2904" s="526"/>
      <c r="B2904" s="527"/>
      <c r="C2904" s="465"/>
      <c r="D2904" s="464"/>
      <c r="E2904" s="464"/>
      <c r="F2904" s="464"/>
      <c r="G2904" s="510"/>
      <c r="H2904" s="411"/>
      <c r="I2904" s="411"/>
      <c r="J2904" s="750" t="e">
        <f t="shared" si="30"/>
        <v>#DIV/0!</v>
      </c>
      <c r="K2904" s="412"/>
      <c r="L2904" s="412"/>
      <c r="M2904" s="682"/>
      <c r="N2904" s="171"/>
      <c r="O2904" s="171"/>
      <c r="P2904" s="169"/>
      <c r="Q2904" s="171"/>
      <c r="R2904" s="171"/>
      <c r="S2904" s="171"/>
      <c r="T2904" s="171"/>
      <c r="U2904" s="171"/>
      <c r="V2904" s="171"/>
      <c r="W2904" s="171"/>
      <c r="X2904" s="171"/>
      <c r="Y2904" s="171"/>
      <c r="Z2904" s="171"/>
      <c r="AA2904" s="171"/>
    </row>
    <row r="2905" spans="1:27" s="530" customFormat="1" hidden="1" x14ac:dyDescent="0.2">
      <c r="A2905" s="526"/>
      <c r="B2905" s="527"/>
      <c r="C2905" s="465"/>
      <c r="D2905" s="464"/>
      <c r="E2905" s="464"/>
      <c r="F2905" s="464"/>
      <c r="G2905" s="510"/>
      <c r="H2905" s="411"/>
      <c r="I2905" s="411"/>
      <c r="J2905" s="750" t="e">
        <f t="shared" si="30"/>
        <v>#DIV/0!</v>
      </c>
      <c r="K2905" s="412"/>
      <c r="L2905" s="412"/>
      <c r="M2905" s="682"/>
      <c r="N2905" s="171"/>
      <c r="O2905" s="171"/>
      <c r="P2905" s="169"/>
      <c r="Q2905" s="171"/>
      <c r="R2905" s="171"/>
      <c r="S2905" s="171"/>
      <c r="T2905" s="171"/>
      <c r="U2905" s="171"/>
      <c r="V2905" s="171"/>
      <c r="W2905" s="171"/>
      <c r="X2905" s="171"/>
      <c r="Y2905" s="171"/>
      <c r="Z2905" s="171"/>
      <c r="AA2905" s="171"/>
    </row>
    <row r="2906" spans="1:27" s="530" customFormat="1" hidden="1" x14ac:dyDescent="0.2">
      <c r="A2906" s="526"/>
      <c r="B2906" s="527"/>
      <c r="C2906" s="465"/>
      <c r="D2906" s="464"/>
      <c r="E2906" s="464"/>
      <c r="F2906" s="464"/>
      <c r="G2906" s="510"/>
      <c r="H2906" s="411"/>
      <c r="I2906" s="411"/>
      <c r="J2906" s="750" t="e">
        <f t="shared" si="30"/>
        <v>#DIV/0!</v>
      </c>
      <c r="K2906" s="412"/>
      <c r="L2906" s="412"/>
      <c r="M2906" s="682"/>
      <c r="N2906" s="171"/>
      <c r="O2906" s="171"/>
      <c r="P2906" s="169"/>
      <c r="Q2906" s="171"/>
      <c r="R2906" s="171"/>
      <c r="S2906" s="171"/>
      <c r="T2906" s="171"/>
      <c r="U2906" s="171"/>
      <c r="V2906" s="171"/>
      <c r="W2906" s="171"/>
      <c r="X2906" s="171"/>
      <c r="Y2906" s="171"/>
      <c r="Z2906" s="171"/>
      <c r="AA2906" s="171"/>
    </row>
    <row r="2907" spans="1:27" s="530" customFormat="1" hidden="1" x14ac:dyDescent="0.2">
      <c r="A2907" s="526"/>
      <c r="B2907" s="527"/>
      <c r="C2907" s="465"/>
      <c r="D2907" s="464"/>
      <c r="E2907" s="464"/>
      <c r="F2907" s="464"/>
      <c r="G2907" s="510"/>
      <c r="H2907" s="411"/>
      <c r="I2907" s="411"/>
      <c r="J2907" s="750" t="e">
        <f t="shared" si="30"/>
        <v>#DIV/0!</v>
      </c>
      <c r="K2907" s="412"/>
      <c r="L2907" s="412"/>
      <c r="M2907" s="682"/>
      <c r="N2907" s="171"/>
      <c r="O2907" s="171"/>
      <c r="P2907" s="169"/>
      <c r="Q2907" s="171"/>
      <c r="R2907" s="171"/>
      <c r="S2907" s="171"/>
      <c r="T2907" s="171"/>
      <c r="U2907" s="171"/>
      <c r="V2907" s="171"/>
      <c r="W2907" s="171"/>
      <c r="X2907" s="171"/>
      <c r="Y2907" s="171"/>
      <c r="Z2907" s="171"/>
      <c r="AA2907" s="171"/>
    </row>
    <row r="2908" spans="1:27" s="530" customFormat="1" hidden="1" x14ac:dyDescent="0.2">
      <c r="A2908" s="526"/>
      <c r="B2908" s="527"/>
      <c r="C2908" s="465"/>
      <c r="D2908" s="464"/>
      <c r="E2908" s="464"/>
      <c r="F2908" s="464"/>
      <c r="G2908" s="510"/>
      <c r="H2908" s="411"/>
      <c r="I2908" s="411"/>
      <c r="J2908" s="750" t="e">
        <f t="shared" si="30"/>
        <v>#DIV/0!</v>
      </c>
      <c r="K2908" s="412"/>
      <c r="L2908" s="412"/>
      <c r="M2908" s="682"/>
      <c r="N2908" s="171"/>
      <c r="O2908" s="171"/>
      <c r="P2908" s="169"/>
      <c r="Q2908" s="171"/>
      <c r="R2908" s="171"/>
      <c r="S2908" s="171"/>
      <c r="T2908" s="171"/>
      <c r="U2908" s="171"/>
      <c r="V2908" s="171"/>
      <c r="W2908" s="171"/>
      <c r="X2908" s="171"/>
      <c r="Y2908" s="171"/>
      <c r="Z2908" s="171"/>
      <c r="AA2908" s="171"/>
    </row>
    <row r="2909" spans="1:27" s="530" customFormat="1" hidden="1" x14ac:dyDescent="0.2">
      <c r="A2909" s="526"/>
      <c r="B2909" s="527"/>
      <c r="C2909" s="465"/>
      <c r="D2909" s="464"/>
      <c r="E2909" s="464"/>
      <c r="F2909" s="464"/>
      <c r="G2909" s="510"/>
      <c r="H2909" s="411"/>
      <c r="I2909" s="411"/>
      <c r="J2909" s="750" t="e">
        <f t="shared" si="30"/>
        <v>#DIV/0!</v>
      </c>
      <c r="K2909" s="412"/>
      <c r="L2909" s="412"/>
      <c r="M2909" s="682"/>
      <c r="N2909" s="171"/>
      <c r="O2909" s="171"/>
      <c r="P2909" s="169"/>
      <c r="Q2909" s="171"/>
      <c r="R2909" s="171"/>
      <c r="S2909" s="171"/>
      <c r="T2909" s="171"/>
      <c r="U2909" s="171"/>
      <c r="V2909" s="171"/>
      <c r="W2909" s="171"/>
      <c r="X2909" s="171"/>
      <c r="Y2909" s="171"/>
      <c r="Z2909" s="171"/>
      <c r="AA2909" s="171"/>
    </row>
    <row r="2910" spans="1:27" s="530" customFormat="1" hidden="1" x14ac:dyDescent="0.2">
      <c r="A2910" s="526"/>
      <c r="B2910" s="527"/>
      <c r="C2910" s="465"/>
      <c r="D2910" s="464"/>
      <c r="E2910" s="464"/>
      <c r="F2910" s="464"/>
      <c r="G2910" s="510"/>
      <c r="H2910" s="411"/>
      <c r="I2910" s="411"/>
      <c r="J2910" s="750" t="e">
        <f t="shared" si="30"/>
        <v>#DIV/0!</v>
      </c>
      <c r="K2910" s="412"/>
      <c r="L2910" s="412"/>
      <c r="M2910" s="682"/>
      <c r="N2910" s="171"/>
      <c r="O2910" s="171"/>
      <c r="P2910" s="169"/>
      <c r="Q2910" s="171"/>
      <c r="R2910" s="171"/>
      <c r="S2910" s="171"/>
      <c r="T2910" s="171"/>
      <c r="U2910" s="171"/>
      <c r="V2910" s="171"/>
      <c r="W2910" s="171"/>
      <c r="X2910" s="171"/>
      <c r="Y2910" s="171"/>
      <c r="Z2910" s="171"/>
      <c r="AA2910" s="171"/>
    </row>
    <row r="2911" spans="1:27" s="530" customFormat="1" hidden="1" x14ac:dyDescent="0.2">
      <c r="A2911" s="526"/>
      <c r="B2911" s="527"/>
      <c r="C2911" s="465"/>
      <c r="D2911" s="464"/>
      <c r="E2911" s="464"/>
      <c r="F2911" s="464"/>
      <c r="G2911" s="510"/>
      <c r="H2911" s="411"/>
      <c r="I2911" s="411"/>
      <c r="J2911" s="750" t="e">
        <f t="shared" si="30"/>
        <v>#DIV/0!</v>
      </c>
      <c r="K2911" s="412"/>
      <c r="L2911" s="412"/>
      <c r="M2911" s="682"/>
      <c r="N2911" s="171"/>
      <c r="O2911" s="171"/>
      <c r="P2911" s="169"/>
      <c r="Q2911" s="171"/>
      <c r="R2911" s="171"/>
      <c r="S2911" s="171"/>
      <c r="T2911" s="171"/>
      <c r="U2911" s="171"/>
      <c r="V2911" s="171"/>
      <c r="W2911" s="171"/>
      <c r="X2911" s="171"/>
      <c r="Y2911" s="171"/>
      <c r="Z2911" s="171"/>
      <c r="AA2911" s="171"/>
    </row>
    <row r="2912" spans="1:27" s="530" customFormat="1" hidden="1" x14ac:dyDescent="0.2">
      <c r="A2912" s="526"/>
      <c r="B2912" s="527"/>
      <c r="C2912" s="465"/>
      <c r="D2912" s="464"/>
      <c r="E2912" s="464"/>
      <c r="F2912" s="464"/>
      <c r="G2912" s="510"/>
      <c r="H2912" s="411"/>
      <c r="I2912" s="411"/>
      <c r="J2912" s="750" t="e">
        <f t="shared" si="30"/>
        <v>#DIV/0!</v>
      </c>
      <c r="K2912" s="412"/>
      <c r="L2912" s="412"/>
      <c r="M2912" s="682"/>
      <c r="N2912" s="171"/>
      <c r="O2912" s="171"/>
      <c r="P2912" s="169"/>
      <c r="Q2912" s="171"/>
      <c r="R2912" s="171"/>
      <c r="S2912" s="171"/>
      <c r="T2912" s="171"/>
      <c r="U2912" s="171"/>
      <c r="V2912" s="171"/>
      <c r="W2912" s="171"/>
      <c r="X2912" s="171"/>
      <c r="Y2912" s="171"/>
      <c r="Z2912" s="171"/>
      <c r="AA2912" s="171"/>
    </row>
    <row r="2913" spans="1:27" s="530" customFormat="1" hidden="1" x14ac:dyDescent="0.2">
      <c r="A2913" s="526"/>
      <c r="B2913" s="527"/>
      <c r="C2913" s="465"/>
      <c r="D2913" s="464"/>
      <c r="E2913" s="464"/>
      <c r="F2913" s="464"/>
      <c r="G2913" s="510"/>
      <c r="H2913" s="411"/>
      <c r="I2913" s="411"/>
      <c r="J2913" s="750" t="e">
        <f t="shared" si="30"/>
        <v>#DIV/0!</v>
      </c>
      <c r="K2913" s="412"/>
      <c r="L2913" s="412"/>
      <c r="M2913" s="682"/>
      <c r="N2913" s="171"/>
      <c r="O2913" s="171"/>
      <c r="P2913" s="169"/>
      <c r="Q2913" s="171"/>
      <c r="R2913" s="171"/>
      <c r="S2913" s="171"/>
      <c r="T2913" s="171"/>
      <c r="U2913" s="171"/>
      <c r="V2913" s="171"/>
      <c r="W2913" s="171"/>
      <c r="X2913" s="171"/>
      <c r="Y2913" s="171"/>
      <c r="Z2913" s="171"/>
      <c r="AA2913" s="171"/>
    </row>
    <row r="2914" spans="1:27" s="530" customFormat="1" hidden="1" x14ac:dyDescent="0.2">
      <c r="A2914" s="526"/>
      <c r="B2914" s="527"/>
      <c r="C2914" s="465"/>
      <c r="D2914" s="464"/>
      <c r="E2914" s="464"/>
      <c r="F2914" s="464"/>
      <c r="G2914" s="510"/>
      <c r="H2914" s="411"/>
      <c r="I2914" s="411"/>
      <c r="J2914" s="750" t="e">
        <f t="shared" si="30"/>
        <v>#DIV/0!</v>
      </c>
      <c r="K2914" s="412"/>
      <c r="L2914" s="412"/>
      <c r="M2914" s="682"/>
      <c r="N2914" s="171"/>
      <c r="O2914" s="171"/>
      <c r="P2914" s="169"/>
      <c r="Q2914" s="171"/>
      <c r="R2914" s="171"/>
      <c r="S2914" s="171"/>
      <c r="T2914" s="171"/>
      <c r="U2914" s="171"/>
      <c r="V2914" s="171"/>
      <c r="W2914" s="171"/>
      <c r="X2914" s="171"/>
      <c r="Y2914" s="171"/>
      <c r="Z2914" s="171"/>
      <c r="AA2914" s="171"/>
    </row>
    <row r="2915" spans="1:27" s="530" customFormat="1" hidden="1" x14ac:dyDescent="0.2">
      <c r="A2915" s="526"/>
      <c r="B2915" s="527"/>
      <c r="C2915" s="465"/>
      <c r="D2915" s="464"/>
      <c r="E2915" s="464"/>
      <c r="F2915" s="464"/>
      <c r="G2915" s="510"/>
      <c r="H2915" s="411"/>
      <c r="I2915" s="411"/>
      <c r="J2915" s="750" t="e">
        <f t="shared" si="30"/>
        <v>#DIV/0!</v>
      </c>
      <c r="K2915" s="412"/>
      <c r="L2915" s="412"/>
      <c r="M2915" s="682"/>
      <c r="N2915" s="171"/>
      <c r="O2915" s="171"/>
      <c r="P2915" s="169"/>
      <c r="Q2915" s="171"/>
      <c r="R2915" s="171"/>
      <c r="S2915" s="171"/>
      <c r="T2915" s="171"/>
      <c r="U2915" s="171"/>
      <c r="V2915" s="171"/>
      <c r="W2915" s="171"/>
      <c r="X2915" s="171"/>
      <c r="Y2915" s="171"/>
      <c r="Z2915" s="171"/>
      <c r="AA2915" s="171"/>
    </row>
    <row r="2916" spans="1:27" s="530" customFormat="1" hidden="1" x14ac:dyDescent="0.2">
      <c r="A2916" s="526"/>
      <c r="B2916" s="527"/>
      <c r="C2916" s="465"/>
      <c r="D2916" s="464"/>
      <c r="E2916" s="464"/>
      <c r="F2916" s="464"/>
      <c r="G2916" s="510"/>
      <c r="H2916" s="411"/>
      <c r="I2916" s="411"/>
      <c r="J2916" s="750" t="e">
        <f t="shared" si="30"/>
        <v>#DIV/0!</v>
      </c>
      <c r="K2916" s="412"/>
      <c r="L2916" s="412"/>
      <c r="M2916" s="682"/>
      <c r="N2916" s="171"/>
      <c r="O2916" s="171"/>
      <c r="P2916" s="169"/>
      <c r="Q2916" s="171"/>
      <c r="R2916" s="171"/>
      <c r="S2916" s="171"/>
      <c r="T2916" s="171"/>
      <c r="U2916" s="171"/>
      <c r="V2916" s="171"/>
      <c r="W2916" s="171"/>
      <c r="X2916" s="171"/>
      <c r="Y2916" s="171"/>
      <c r="Z2916" s="171"/>
      <c r="AA2916" s="171"/>
    </row>
    <row r="2917" spans="1:27" s="530" customFormat="1" hidden="1" x14ac:dyDescent="0.2">
      <c r="A2917" s="526"/>
      <c r="B2917" s="527"/>
      <c r="C2917" s="465"/>
      <c r="D2917" s="464"/>
      <c r="E2917" s="464"/>
      <c r="F2917" s="464"/>
      <c r="G2917" s="510"/>
      <c r="H2917" s="411"/>
      <c r="I2917" s="411"/>
      <c r="J2917" s="750" t="e">
        <f t="shared" si="30"/>
        <v>#DIV/0!</v>
      </c>
      <c r="K2917" s="412"/>
      <c r="L2917" s="412"/>
      <c r="M2917" s="682"/>
      <c r="N2917" s="171"/>
      <c r="O2917" s="171"/>
      <c r="P2917" s="169"/>
      <c r="Q2917" s="171"/>
      <c r="R2917" s="171"/>
      <c r="S2917" s="171"/>
      <c r="T2917" s="171"/>
      <c r="U2917" s="171"/>
      <c r="V2917" s="171"/>
      <c r="W2917" s="171"/>
      <c r="X2917" s="171"/>
      <c r="Y2917" s="171"/>
      <c r="Z2917" s="171"/>
      <c r="AA2917" s="171"/>
    </row>
    <row r="2918" spans="1:27" s="530" customFormat="1" hidden="1" x14ac:dyDescent="0.2">
      <c r="A2918" s="526"/>
      <c r="B2918" s="527"/>
      <c r="C2918" s="465"/>
      <c r="D2918" s="464"/>
      <c r="E2918" s="464"/>
      <c r="F2918" s="464"/>
      <c r="G2918" s="510"/>
      <c r="H2918" s="411"/>
      <c r="I2918" s="411"/>
      <c r="J2918" s="750" t="e">
        <f t="shared" si="30"/>
        <v>#DIV/0!</v>
      </c>
      <c r="K2918" s="412"/>
      <c r="L2918" s="412"/>
      <c r="M2918" s="682"/>
      <c r="N2918" s="171"/>
      <c r="O2918" s="171"/>
      <c r="P2918" s="169"/>
      <c r="Q2918" s="171"/>
      <c r="R2918" s="171"/>
      <c r="S2918" s="171"/>
      <c r="T2918" s="171"/>
      <c r="U2918" s="171"/>
      <c r="V2918" s="171"/>
      <c r="W2918" s="171"/>
      <c r="X2918" s="171"/>
      <c r="Y2918" s="171"/>
      <c r="Z2918" s="171"/>
      <c r="AA2918" s="171"/>
    </row>
    <row r="2919" spans="1:27" s="530" customFormat="1" hidden="1" x14ac:dyDescent="0.2">
      <c r="A2919" s="526"/>
      <c r="B2919" s="527"/>
      <c r="C2919" s="465"/>
      <c r="D2919" s="464"/>
      <c r="E2919" s="464"/>
      <c r="F2919" s="464"/>
      <c r="G2919" s="510"/>
      <c r="H2919" s="411"/>
      <c r="I2919" s="411"/>
      <c r="J2919" s="750" t="e">
        <f t="shared" si="30"/>
        <v>#DIV/0!</v>
      </c>
      <c r="K2919" s="412"/>
      <c r="L2919" s="412"/>
      <c r="M2919" s="682"/>
      <c r="N2919" s="171"/>
      <c r="O2919" s="171"/>
      <c r="P2919" s="169"/>
      <c r="Q2919" s="171"/>
      <c r="R2919" s="171"/>
      <c r="S2919" s="171"/>
      <c r="T2919" s="171"/>
      <c r="U2919" s="171"/>
      <c r="V2919" s="171"/>
      <c r="W2919" s="171"/>
      <c r="X2919" s="171"/>
      <c r="Y2919" s="171"/>
      <c r="Z2919" s="171"/>
      <c r="AA2919" s="171"/>
    </row>
    <row r="2920" spans="1:27" s="530" customFormat="1" hidden="1" x14ac:dyDescent="0.2">
      <c r="A2920" s="526"/>
      <c r="B2920" s="527"/>
      <c r="C2920" s="465"/>
      <c r="D2920" s="464"/>
      <c r="E2920" s="464"/>
      <c r="F2920" s="464"/>
      <c r="G2920" s="510"/>
      <c r="H2920" s="411"/>
      <c r="I2920" s="411"/>
      <c r="J2920" s="750" t="e">
        <f t="shared" si="30"/>
        <v>#DIV/0!</v>
      </c>
      <c r="K2920" s="412"/>
      <c r="L2920" s="412"/>
      <c r="M2920" s="682"/>
      <c r="N2920" s="171"/>
      <c r="O2920" s="171"/>
      <c r="P2920" s="169"/>
      <c r="Q2920" s="171"/>
      <c r="R2920" s="171"/>
      <c r="S2920" s="171"/>
      <c r="T2920" s="171"/>
      <c r="U2920" s="171"/>
      <c r="V2920" s="171"/>
      <c r="W2920" s="171"/>
      <c r="X2920" s="171"/>
      <c r="Y2920" s="171"/>
      <c r="Z2920" s="171"/>
      <c r="AA2920" s="171"/>
    </row>
    <row r="2921" spans="1:27" s="530" customFormat="1" hidden="1" x14ac:dyDescent="0.2">
      <c r="A2921" s="526"/>
      <c r="B2921" s="527"/>
      <c r="C2921" s="465"/>
      <c r="D2921" s="464"/>
      <c r="E2921" s="464"/>
      <c r="F2921" s="464"/>
      <c r="G2921" s="510"/>
      <c r="H2921" s="411"/>
      <c r="I2921" s="411"/>
      <c r="J2921" s="750" t="e">
        <f t="shared" si="30"/>
        <v>#DIV/0!</v>
      </c>
      <c r="K2921" s="412"/>
      <c r="L2921" s="412"/>
      <c r="M2921" s="682"/>
      <c r="N2921" s="171"/>
      <c r="O2921" s="171"/>
      <c r="P2921" s="169"/>
      <c r="Q2921" s="171"/>
      <c r="R2921" s="171"/>
      <c r="S2921" s="171"/>
      <c r="T2921" s="171"/>
      <c r="U2921" s="171"/>
      <c r="V2921" s="171"/>
      <c r="W2921" s="171"/>
      <c r="X2921" s="171"/>
      <c r="Y2921" s="171"/>
      <c r="Z2921" s="171"/>
      <c r="AA2921" s="171"/>
    </row>
    <row r="2922" spans="1:27" s="530" customFormat="1" hidden="1" x14ac:dyDescent="0.2">
      <c r="A2922" s="526"/>
      <c r="B2922" s="527"/>
      <c r="C2922" s="465"/>
      <c r="D2922" s="464"/>
      <c r="E2922" s="464"/>
      <c r="F2922" s="464"/>
      <c r="G2922" s="510"/>
      <c r="H2922" s="411"/>
      <c r="I2922" s="411"/>
      <c r="J2922" s="750" t="e">
        <f t="shared" si="30"/>
        <v>#DIV/0!</v>
      </c>
      <c r="K2922" s="412"/>
      <c r="L2922" s="412"/>
      <c r="M2922" s="682"/>
      <c r="N2922" s="171"/>
      <c r="O2922" s="171"/>
      <c r="P2922" s="169"/>
      <c r="Q2922" s="171"/>
      <c r="R2922" s="171"/>
      <c r="S2922" s="171"/>
      <c r="T2922" s="171"/>
      <c r="U2922" s="171"/>
      <c r="V2922" s="171"/>
      <c r="W2922" s="171"/>
      <c r="X2922" s="171"/>
      <c r="Y2922" s="171"/>
      <c r="Z2922" s="171"/>
      <c r="AA2922" s="171"/>
    </row>
    <row r="2923" spans="1:27" s="530" customFormat="1" hidden="1" x14ac:dyDescent="0.2">
      <c r="A2923" s="526"/>
      <c r="B2923" s="527"/>
      <c r="C2923" s="465"/>
      <c r="D2923" s="464"/>
      <c r="E2923" s="464"/>
      <c r="F2923" s="464"/>
      <c r="G2923" s="510"/>
      <c r="H2923" s="411"/>
      <c r="I2923" s="411"/>
      <c r="J2923" s="750" t="e">
        <f t="shared" si="30"/>
        <v>#DIV/0!</v>
      </c>
      <c r="K2923" s="412"/>
      <c r="L2923" s="412"/>
      <c r="M2923" s="682"/>
      <c r="N2923" s="171"/>
      <c r="O2923" s="171"/>
      <c r="P2923" s="169"/>
      <c r="Q2923" s="171"/>
      <c r="R2923" s="171"/>
      <c r="S2923" s="171"/>
      <c r="T2923" s="171"/>
      <c r="U2923" s="171"/>
      <c r="V2923" s="171"/>
      <c r="W2923" s="171"/>
      <c r="X2923" s="171"/>
      <c r="Y2923" s="171"/>
      <c r="Z2923" s="171"/>
      <c r="AA2923" s="171"/>
    </row>
    <row r="2924" spans="1:27" s="530" customFormat="1" hidden="1" x14ac:dyDescent="0.2">
      <c r="A2924" s="526"/>
      <c r="B2924" s="527"/>
      <c r="C2924" s="465"/>
      <c r="D2924" s="464"/>
      <c r="E2924" s="464"/>
      <c r="F2924" s="464"/>
      <c r="G2924" s="510"/>
      <c r="H2924" s="411"/>
      <c r="I2924" s="411"/>
      <c r="J2924" s="750" t="e">
        <f t="shared" si="30"/>
        <v>#DIV/0!</v>
      </c>
      <c r="K2924" s="412"/>
      <c r="L2924" s="412"/>
      <c r="M2924" s="682"/>
      <c r="N2924" s="171"/>
      <c r="O2924" s="171"/>
      <c r="P2924" s="169"/>
      <c r="Q2924" s="171"/>
      <c r="R2924" s="171"/>
      <c r="S2924" s="171"/>
      <c r="T2924" s="171"/>
      <c r="U2924" s="171"/>
      <c r="V2924" s="171"/>
      <c r="W2924" s="171"/>
      <c r="X2924" s="171"/>
      <c r="Y2924" s="171"/>
      <c r="Z2924" s="171"/>
      <c r="AA2924" s="171"/>
    </row>
    <row r="2925" spans="1:27" s="530" customFormat="1" hidden="1" x14ac:dyDescent="0.2">
      <c r="A2925" s="526"/>
      <c r="B2925" s="527"/>
      <c r="C2925" s="465"/>
      <c r="D2925" s="464"/>
      <c r="E2925" s="464"/>
      <c r="F2925" s="464"/>
      <c r="G2925" s="510"/>
      <c r="H2925" s="411"/>
      <c r="I2925" s="411"/>
      <c r="J2925" s="750" t="e">
        <f t="shared" si="30"/>
        <v>#DIV/0!</v>
      </c>
      <c r="K2925" s="412"/>
      <c r="L2925" s="412"/>
      <c r="M2925" s="682"/>
      <c r="N2925" s="171"/>
      <c r="O2925" s="171"/>
      <c r="P2925" s="169"/>
      <c r="Q2925" s="171"/>
      <c r="R2925" s="171"/>
      <c r="S2925" s="171"/>
      <c r="T2925" s="171"/>
      <c r="U2925" s="171"/>
      <c r="V2925" s="171"/>
      <c r="W2925" s="171"/>
      <c r="X2925" s="171"/>
      <c r="Y2925" s="171"/>
      <c r="Z2925" s="171"/>
      <c r="AA2925" s="171"/>
    </row>
    <row r="2926" spans="1:27" s="530" customFormat="1" hidden="1" x14ac:dyDescent="0.2">
      <c r="A2926" s="526"/>
      <c r="B2926" s="527"/>
      <c r="C2926" s="465"/>
      <c r="D2926" s="464"/>
      <c r="E2926" s="464"/>
      <c r="F2926" s="464"/>
      <c r="G2926" s="510"/>
      <c r="H2926" s="411"/>
      <c r="I2926" s="411"/>
      <c r="J2926" s="750" t="e">
        <f t="shared" si="30"/>
        <v>#DIV/0!</v>
      </c>
      <c r="K2926" s="412"/>
      <c r="L2926" s="412"/>
      <c r="M2926" s="682"/>
      <c r="N2926" s="171"/>
      <c r="O2926" s="171"/>
      <c r="P2926" s="169"/>
      <c r="Q2926" s="171"/>
      <c r="R2926" s="171"/>
      <c r="S2926" s="171"/>
      <c r="T2926" s="171"/>
      <c r="U2926" s="171"/>
      <c r="V2926" s="171"/>
      <c r="W2926" s="171"/>
      <c r="X2926" s="171"/>
      <c r="Y2926" s="171"/>
      <c r="Z2926" s="171"/>
      <c r="AA2926" s="171"/>
    </row>
    <row r="2927" spans="1:27" s="530" customFormat="1" hidden="1" x14ac:dyDescent="0.2">
      <c r="A2927" s="526"/>
      <c r="B2927" s="527"/>
      <c r="C2927" s="465"/>
      <c r="D2927" s="464"/>
      <c r="E2927" s="464"/>
      <c r="F2927" s="464"/>
      <c r="G2927" s="510"/>
      <c r="H2927" s="411"/>
      <c r="I2927" s="411"/>
      <c r="J2927" s="750" t="e">
        <f t="shared" si="30"/>
        <v>#DIV/0!</v>
      </c>
      <c r="K2927" s="412"/>
      <c r="L2927" s="412"/>
      <c r="M2927" s="682"/>
      <c r="N2927" s="171"/>
      <c r="O2927" s="171"/>
      <c r="P2927" s="169"/>
      <c r="Q2927" s="171"/>
      <c r="R2927" s="171"/>
      <c r="S2927" s="171"/>
      <c r="T2927" s="171"/>
      <c r="U2927" s="171"/>
      <c r="V2927" s="171"/>
      <c r="W2927" s="171"/>
      <c r="X2927" s="171"/>
      <c r="Y2927" s="171"/>
      <c r="Z2927" s="171"/>
      <c r="AA2927" s="171"/>
    </row>
    <row r="2928" spans="1:27" s="530" customFormat="1" hidden="1" x14ac:dyDescent="0.2">
      <c r="A2928" s="526"/>
      <c r="B2928" s="527"/>
      <c r="C2928" s="465"/>
      <c r="D2928" s="464"/>
      <c r="E2928" s="464"/>
      <c r="F2928" s="464"/>
      <c r="G2928" s="510"/>
      <c r="H2928" s="411"/>
      <c r="I2928" s="411"/>
      <c r="J2928" s="750" t="e">
        <f t="shared" si="30"/>
        <v>#DIV/0!</v>
      </c>
      <c r="K2928" s="412"/>
      <c r="L2928" s="412"/>
      <c r="M2928" s="682"/>
      <c r="N2928" s="171"/>
      <c r="O2928" s="171"/>
      <c r="P2928" s="169"/>
      <c r="Q2928" s="171"/>
      <c r="R2928" s="171"/>
      <c r="S2928" s="171"/>
      <c r="T2928" s="171"/>
      <c r="U2928" s="171"/>
      <c r="V2928" s="171"/>
      <c r="W2928" s="171"/>
      <c r="X2928" s="171"/>
      <c r="Y2928" s="171"/>
      <c r="Z2928" s="171"/>
      <c r="AA2928" s="171"/>
    </row>
    <row r="2929" spans="1:27" s="530" customFormat="1" hidden="1" x14ac:dyDescent="0.2">
      <c r="A2929" s="526"/>
      <c r="B2929" s="527"/>
      <c r="C2929" s="465"/>
      <c r="D2929" s="464"/>
      <c r="E2929" s="464"/>
      <c r="F2929" s="464"/>
      <c r="G2929" s="510"/>
      <c r="H2929" s="411"/>
      <c r="I2929" s="411"/>
      <c r="J2929" s="750" t="e">
        <f t="shared" si="30"/>
        <v>#DIV/0!</v>
      </c>
      <c r="K2929" s="412"/>
      <c r="L2929" s="412"/>
      <c r="M2929" s="682"/>
      <c r="N2929" s="171"/>
      <c r="O2929" s="171"/>
      <c r="P2929" s="169"/>
      <c r="Q2929" s="171"/>
      <c r="R2929" s="171"/>
      <c r="S2929" s="171"/>
      <c r="T2929" s="171"/>
      <c r="U2929" s="171"/>
      <c r="V2929" s="171"/>
      <c r="W2929" s="171"/>
      <c r="X2929" s="171"/>
      <c r="Y2929" s="171"/>
      <c r="Z2929" s="171"/>
      <c r="AA2929" s="171"/>
    </row>
    <row r="2930" spans="1:27" s="530" customFormat="1" hidden="1" x14ac:dyDescent="0.2">
      <c r="A2930" s="526"/>
      <c r="B2930" s="527"/>
      <c r="C2930" s="465"/>
      <c r="D2930" s="464"/>
      <c r="E2930" s="464"/>
      <c r="F2930" s="464"/>
      <c r="G2930" s="510"/>
      <c r="H2930" s="411"/>
      <c r="I2930" s="411"/>
      <c r="J2930" s="750" t="e">
        <f t="shared" si="30"/>
        <v>#DIV/0!</v>
      </c>
      <c r="K2930" s="412"/>
      <c r="L2930" s="412"/>
      <c r="M2930" s="682"/>
      <c r="N2930" s="171"/>
      <c r="O2930" s="171"/>
      <c r="P2930" s="169"/>
      <c r="Q2930" s="171"/>
      <c r="R2930" s="171"/>
      <c r="S2930" s="171"/>
      <c r="T2930" s="171"/>
      <c r="U2930" s="171"/>
      <c r="V2930" s="171"/>
      <c r="W2930" s="171"/>
      <c r="X2930" s="171"/>
      <c r="Y2930" s="171"/>
      <c r="Z2930" s="171"/>
      <c r="AA2930" s="171"/>
    </row>
    <row r="2931" spans="1:27" s="530" customFormat="1" hidden="1" x14ac:dyDescent="0.2">
      <c r="A2931" s="526"/>
      <c r="B2931" s="527"/>
      <c r="C2931" s="465"/>
      <c r="D2931" s="464"/>
      <c r="E2931" s="464"/>
      <c r="F2931" s="464"/>
      <c r="G2931" s="510"/>
      <c r="H2931" s="411"/>
      <c r="I2931" s="411"/>
      <c r="J2931" s="750" t="e">
        <f t="shared" si="30"/>
        <v>#DIV/0!</v>
      </c>
      <c r="K2931" s="412"/>
      <c r="L2931" s="412"/>
      <c r="M2931" s="682"/>
      <c r="N2931" s="171"/>
      <c r="O2931" s="171"/>
      <c r="P2931" s="169"/>
      <c r="Q2931" s="171"/>
      <c r="R2931" s="171"/>
      <c r="S2931" s="171"/>
      <c r="T2931" s="171"/>
      <c r="U2931" s="171"/>
      <c r="V2931" s="171"/>
      <c r="W2931" s="171"/>
      <c r="X2931" s="171"/>
      <c r="Y2931" s="171"/>
      <c r="Z2931" s="171"/>
      <c r="AA2931" s="171"/>
    </row>
    <row r="2932" spans="1:27" s="530" customFormat="1" hidden="1" x14ac:dyDescent="0.2">
      <c r="A2932" s="526"/>
      <c r="B2932" s="527"/>
      <c r="C2932" s="465"/>
      <c r="D2932" s="464"/>
      <c r="E2932" s="464"/>
      <c r="F2932" s="464"/>
      <c r="G2932" s="510"/>
      <c r="H2932" s="411"/>
      <c r="I2932" s="411"/>
      <c r="J2932" s="750" t="e">
        <f t="shared" si="30"/>
        <v>#DIV/0!</v>
      </c>
      <c r="K2932" s="412"/>
      <c r="L2932" s="412"/>
      <c r="M2932" s="682"/>
      <c r="N2932" s="171"/>
      <c r="O2932" s="171"/>
      <c r="P2932" s="169"/>
      <c r="Q2932" s="171"/>
      <c r="R2932" s="171"/>
      <c r="S2932" s="171"/>
      <c r="T2932" s="171"/>
      <c r="U2932" s="171"/>
      <c r="V2932" s="171"/>
      <c r="W2932" s="171"/>
      <c r="X2932" s="171"/>
      <c r="Y2932" s="171"/>
      <c r="Z2932" s="171"/>
      <c r="AA2932" s="171"/>
    </row>
    <row r="2933" spans="1:27" s="530" customFormat="1" hidden="1" x14ac:dyDescent="0.2">
      <c r="A2933" s="526"/>
      <c r="B2933" s="527"/>
      <c r="C2933" s="465"/>
      <c r="D2933" s="464"/>
      <c r="E2933" s="464"/>
      <c r="F2933" s="464"/>
      <c r="G2933" s="510"/>
      <c r="H2933" s="411"/>
      <c r="I2933" s="411"/>
      <c r="J2933" s="750" t="e">
        <f t="shared" si="30"/>
        <v>#DIV/0!</v>
      </c>
      <c r="K2933" s="412"/>
      <c r="L2933" s="412"/>
      <c r="M2933" s="682"/>
      <c r="N2933" s="171"/>
      <c r="O2933" s="171"/>
      <c r="P2933" s="169"/>
      <c r="Q2933" s="171"/>
      <c r="R2933" s="171"/>
      <c r="S2933" s="171"/>
      <c r="T2933" s="171"/>
      <c r="U2933" s="171"/>
      <c r="V2933" s="171"/>
      <c r="W2933" s="171"/>
      <c r="X2933" s="171"/>
      <c r="Y2933" s="171"/>
      <c r="Z2933" s="171"/>
      <c r="AA2933" s="171"/>
    </row>
    <row r="2934" spans="1:27" s="530" customFormat="1" hidden="1" x14ac:dyDescent="0.2">
      <c r="A2934" s="526"/>
      <c r="B2934" s="527"/>
      <c r="C2934" s="465"/>
      <c r="D2934" s="464"/>
      <c r="E2934" s="464"/>
      <c r="F2934" s="464"/>
      <c r="G2934" s="510"/>
      <c r="H2934" s="411"/>
      <c r="I2934" s="411"/>
      <c r="J2934" s="750" t="e">
        <f t="shared" si="30"/>
        <v>#DIV/0!</v>
      </c>
      <c r="K2934" s="412"/>
      <c r="L2934" s="412"/>
      <c r="M2934" s="682"/>
      <c r="N2934" s="171"/>
      <c r="O2934" s="171"/>
      <c r="P2934" s="169"/>
      <c r="Q2934" s="171"/>
      <c r="R2934" s="171"/>
      <c r="S2934" s="171"/>
      <c r="T2934" s="171"/>
      <c r="U2934" s="171"/>
      <c r="V2934" s="171"/>
      <c r="W2934" s="171"/>
      <c r="X2934" s="171"/>
      <c r="Y2934" s="171"/>
      <c r="Z2934" s="171"/>
      <c r="AA2934" s="171"/>
    </row>
    <row r="2935" spans="1:27" s="530" customFormat="1" hidden="1" x14ac:dyDescent="0.2">
      <c r="A2935" s="526"/>
      <c r="B2935" s="527"/>
      <c r="C2935" s="465"/>
      <c r="D2935" s="464"/>
      <c r="E2935" s="464"/>
      <c r="F2935" s="464"/>
      <c r="G2935" s="510"/>
      <c r="H2935" s="411"/>
      <c r="I2935" s="411"/>
      <c r="J2935" s="750" t="e">
        <f t="shared" si="30"/>
        <v>#DIV/0!</v>
      </c>
      <c r="K2935" s="412"/>
      <c r="L2935" s="412"/>
      <c r="M2935" s="682"/>
      <c r="N2935" s="171"/>
      <c r="O2935" s="171"/>
      <c r="P2935" s="169"/>
      <c r="Q2935" s="171"/>
      <c r="R2935" s="171"/>
      <c r="S2935" s="171"/>
      <c r="T2935" s="171"/>
      <c r="U2935" s="171"/>
      <c r="V2935" s="171"/>
      <c r="W2935" s="171"/>
      <c r="X2935" s="171"/>
      <c r="Y2935" s="171"/>
      <c r="Z2935" s="171"/>
      <c r="AA2935" s="171"/>
    </row>
    <row r="2936" spans="1:27" s="530" customFormat="1" hidden="1" x14ac:dyDescent="0.2">
      <c r="A2936" s="526"/>
      <c r="B2936" s="527"/>
      <c r="C2936" s="465"/>
      <c r="D2936" s="464"/>
      <c r="E2936" s="464"/>
      <c r="F2936" s="464"/>
      <c r="G2936" s="510"/>
      <c r="H2936" s="411"/>
      <c r="I2936" s="411"/>
      <c r="J2936" s="750" t="e">
        <f t="shared" si="30"/>
        <v>#DIV/0!</v>
      </c>
      <c r="K2936" s="412"/>
      <c r="L2936" s="412"/>
      <c r="M2936" s="682"/>
      <c r="N2936" s="171"/>
      <c r="O2936" s="171"/>
      <c r="P2936" s="169"/>
      <c r="Q2936" s="171"/>
      <c r="R2936" s="171"/>
      <c r="S2936" s="171"/>
      <c r="T2936" s="171"/>
      <c r="U2936" s="171"/>
      <c r="V2936" s="171"/>
      <c r="W2936" s="171"/>
      <c r="X2936" s="171"/>
      <c r="Y2936" s="171"/>
      <c r="Z2936" s="171"/>
      <c r="AA2936" s="171"/>
    </row>
    <row r="2937" spans="1:27" s="530" customFormat="1" hidden="1" x14ac:dyDescent="0.2">
      <c r="A2937" s="526"/>
      <c r="B2937" s="527"/>
      <c r="C2937" s="465"/>
      <c r="D2937" s="464"/>
      <c r="E2937" s="464"/>
      <c r="F2937" s="464"/>
      <c r="G2937" s="510"/>
      <c r="H2937" s="411"/>
      <c r="I2937" s="411"/>
      <c r="J2937" s="750" t="e">
        <f t="shared" si="30"/>
        <v>#DIV/0!</v>
      </c>
      <c r="K2937" s="412"/>
      <c r="L2937" s="412"/>
      <c r="M2937" s="682"/>
      <c r="N2937" s="171"/>
      <c r="O2937" s="171"/>
      <c r="P2937" s="169"/>
      <c r="Q2937" s="171"/>
      <c r="R2937" s="171"/>
      <c r="S2937" s="171"/>
      <c r="T2937" s="171"/>
      <c r="U2937" s="171"/>
      <c r="V2937" s="171"/>
      <c r="W2937" s="171"/>
      <c r="X2937" s="171"/>
      <c r="Y2937" s="171"/>
      <c r="Z2937" s="171"/>
      <c r="AA2937" s="171"/>
    </row>
    <row r="2938" spans="1:27" s="530" customFormat="1" hidden="1" x14ac:dyDescent="0.2">
      <c r="A2938" s="526"/>
      <c r="B2938" s="527"/>
      <c r="C2938" s="465"/>
      <c r="D2938" s="464"/>
      <c r="E2938" s="464"/>
      <c r="F2938" s="464"/>
      <c r="G2938" s="510"/>
      <c r="H2938" s="411"/>
      <c r="I2938" s="411"/>
      <c r="J2938" s="750" t="e">
        <f t="shared" si="30"/>
        <v>#DIV/0!</v>
      </c>
      <c r="K2938" s="412"/>
      <c r="L2938" s="412"/>
      <c r="M2938" s="682"/>
      <c r="N2938" s="171"/>
      <c r="O2938" s="171"/>
      <c r="P2938" s="169"/>
      <c r="Q2938" s="171"/>
      <c r="R2938" s="171"/>
      <c r="S2938" s="171"/>
      <c r="T2938" s="171"/>
      <c r="U2938" s="171"/>
      <c r="V2938" s="171"/>
      <c r="W2938" s="171"/>
      <c r="X2938" s="171"/>
      <c r="Y2938" s="171"/>
      <c r="Z2938" s="171"/>
      <c r="AA2938" s="171"/>
    </row>
    <row r="2939" spans="1:27" s="530" customFormat="1" hidden="1" x14ac:dyDescent="0.2">
      <c r="A2939" s="526"/>
      <c r="B2939" s="527"/>
      <c r="C2939" s="465"/>
      <c r="D2939" s="464"/>
      <c r="E2939" s="464"/>
      <c r="F2939" s="464"/>
      <c r="G2939" s="510"/>
      <c r="H2939" s="411"/>
      <c r="I2939" s="411"/>
      <c r="J2939" s="750" t="e">
        <f t="shared" si="30"/>
        <v>#DIV/0!</v>
      </c>
      <c r="K2939" s="412"/>
      <c r="L2939" s="412"/>
      <c r="M2939" s="682"/>
      <c r="N2939" s="171"/>
      <c r="O2939" s="171"/>
      <c r="P2939" s="169"/>
      <c r="Q2939" s="171"/>
      <c r="R2939" s="171"/>
      <c r="S2939" s="171"/>
      <c r="T2939" s="171"/>
      <c r="U2939" s="171"/>
      <c r="V2939" s="171"/>
      <c r="W2939" s="171"/>
      <c r="X2939" s="171"/>
      <c r="Y2939" s="171"/>
      <c r="Z2939" s="171"/>
      <c r="AA2939" s="171"/>
    </row>
    <row r="2940" spans="1:27" s="530" customFormat="1" hidden="1" x14ac:dyDescent="0.2">
      <c r="A2940" s="526"/>
      <c r="B2940" s="527"/>
      <c r="C2940" s="465"/>
      <c r="D2940" s="464"/>
      <c r="E2940" s="464"/>
      <c r="F2940" s="464"/>
      <c r="G2940" s="510"/>
      <c r="H2940" s="411"/>
      <c r="I2940" s="411"/>
      <c r="J2940" s="750" t="e">
        <f t="shared" si="30"/>
        <v>#DIV/0!</v>
      </c>
      <c r="K2940" s="412"/>
      <c r="L2940" s="412"/>
      <c r="M2940" s="682"/>
      <c r="N2940" s="171"/>
      <c r="O2940" s="171"/>
      <c r="P2940" s="169"/>
      <c r="Q2940" s="171"/>
      <c r="R2940" s="171"/>
      <c r="S2940" s="171"/>
      <c r="T2940" s="171"/>
      <c r="U2940" s="171"/>
      <c r="V2940" s="171"/>
      <c r="W2940" s="171"/>
      <c r="X2940" s="171"/>
      <c r="Y2940" s="171"/>
      <c r="Z2940" s="171"/>
      <c r="AA2940" s="171"/>
    </row>
    <row r="2941" spans="1:27" s="530" customFormat="1" hidden="1" x14ac:dyDescent="0.2">
      <c r="A2941" s="526"/>
      <c r="B2941" s="527"/>
      <c r="C2941" s="465"/>
      <c r="D2941" s="464"/>
      <c r="E2941" s="464"/>
      <c r="F2941" s="464"/>
      <c r="G2941" s="510"/>
      <c r="H2941" s="411"/>
      <c r="I2941" s="411"/>
      <c r="J2941" s="750" t="e">
        <f t="shared" si="30"/>
        <v>#DIV/0!</v>
      </c>
      <c r="K2941" s="412"/>
      <c r="L2941" s="412"/>
      <c r="M2941" s="682"/>
      <c r="N2941" s="171"/>
      <c r="O2941" s="171"/>
      <c r="P2941" s="169"/>
      <c r="Q2941" s="171"/>
      <c r="R2941" s="171"/>
      <c r="S2941" s="171"/>
      <c r="T2941" s="171"/>
      <c r="U2941" s="171"/>
      <c r="V2941" s="171"/>
      <c r="W2941" s="171"/>
      <c r="X2941" s="171"/>
      <c r="Y2941" s="171"/>
      <c r="Z2941" s="171"/>
      <c r="AA2941" s="171"/>
    </row>
    <row r="2942" spans="1:27" s="530" customFormat="1" hidden="1" x14ac:dyDescent="0.2">
      <c r="A2942" s="526"/>
      <c r="B2942" s="527"/>
      <c r="C2942" s="465"/>
      <c r="D2942" s="464"/>
      <c r="E2942" s="464"/>
      <c r="F2942" s="464"/>
      <c r="G2942" s="510"/>
      <c r="H2942" s="411"/>
      <c r="I2942" s="411"/>
      <c r="J2942" s="750" t="e">
        <f t="shared" si="30"/>
        <v>#DIV/0!</v>
      </c>
      <c r="K2942" s="412"/>
      <c r="L2942" s="412"/>
      <c r="M2942" s="682"/>
      <c r="N2942" s="171"/>
      <c r="O2942" s="171"/>
      <c r="P2942" s="169"/>
      <c r="Q2942" s="171"/>
      <c r="R2942" s="171"/>
      <c r="S2942" s="171"/>
      <c r="T2942" s="171"/>
      <c r="U2942" s="171"/>
      <c r="V2942" s="171"/>
      <c r="W2942" s="171"/>
      <c r="X2942" s="171"/>
      <c r="Y2942" s="171"/>
      <c r="Z2942" s="171"/>
      <c r="AA2942" s="171"/>
    </row>
    <row r="2943" spans="1:27" s="530" customFormat="1" hidden="1" x14ac:dyDescent="0.2">
      <c r="A2943" s="526"/>
      <c r="B2943" s="527"/>
      <c r="C2943" s="465"/>
      <c r="D2943" s="464"/>
      <c r="E2943" s="464"/>
      <c r="F2943" s="464"/>
      <c r="G2943" s="510"/>
      <c r="H2943" s="411"/>
      <c r="I2943" s="411"/>
      <c r="J2943" s="750" t="e">
        <f t="shared" si="30"/>
        <v>#DIV/0!</v>
      </c>
      <c r="K2943" s="412"/>
      <c r="L2943" s="412"/>
      <c r="M2943" s="682"/>
      <c r="N2943" s="171"/>
      <c r="O2943" s="171"/>
      <c r="P2943" s="169"/>
      <c r="Q2943" s="171"/>
      <c r="R2943" s="171"/>
      <c r="S2943" s="171"/>
      <c r="T2943" s="171"/>
      <c r="U2943" s="171"/>
      <c r="V2943" s="171"/>
      <c r="W2943" s="171"/>
      <c r="X2943" s="171"/>
      <c r="Y2943" s="171"/>
      <c r="Z2943" s="171"/>
      <c r="AA2943" s="171"/>
    </row>
    <row r="2944" spans="1:27" s="530" customFormat="1" hidden="1" x14ac:dyDescent="0.2">
      <c r="A2944" s="526"/>
      <c r="B2944" s="527"/>
      <c r="C2944" s="465"/>
      <c r="D2944" s="464"/>
      <c r="E2944" s="464"/>
      <c r="F2944" s="464"/>
      <c r="G2944" s="510"/>
      <c r="H2944" s="411"/>
      <c r="I2944" s="411"/>
      <c r="J2944" s="750" t="e">
        <f t="shared" si="30"/>
        <v>#DIV/0!</v>
      </c>
      <c r="K2944" s="412"/>
      <c r="L2944" s="412"/>
      <c r="M2944" s="682"/>
      <c r="N2944" s="171"/>
      <c r="O2944" s="171"/>
      <c r="P2944" s="169"/>
      <c r="Q2944" s="171"/>
      <c r="R2944" s="171"/>
      <c r="S2944" s="171"/>
      <c r="T2944" s="171"/>
      <c r="U2944" s="171"/>
      <c r="V2944" s="171"/>
      <c r="W2944" s="171"/>
      <c r="X2944" s="171"/>
      <c r="Y2944" s="171"/>
      <c r="Z2944" s="171"/>
      <c r="AA2944" s="171"/>
    </row>
    <row r="2945" spans="1:27" s="530" customFormat="1" hidden="1" x14ac:dyDescent="0.2">
      <c r="A2945" s="526"/>
      <c r="B2945" s="527"/>
      <c r="C2945" s="465"/>
      <c r="D2945" s="464"/>
      <c r="E2945" s="464"/>
      <c r="F2945" s="464"/>
      <c r="G2945" s="510"/>
      <c r="H2945" s="411"/>
      <c r="I2945" s="411"/>
      <c r="J2945" s="750" t="e">
        <f t="shared" si="30"/>
        <v>#DIV/0!</v>
      </c>
      <c r="K2945" s="412"/>
      <c r="L2945" s="412"/>
      <c r="M2945" s="682"/>
      <c r="N2945" s="171"/>
      <c r="O2945" s="171"/>
      <c r="P2945" s="169"/>
      <c r="Q2945" s="171"/>
      <c r="R2945" s="171"/>
      <c r="S2945" s="171"/>
      <c r="T2945" s="171"/>
      <c r="U2945" s="171"/>
      <c r="V2945" s="171"/>
      <c r="W2945" s="171"/>
      <c r="X2945" s="171"/>
      <c r="Y2945" s="171"/>
      <c r="Z2945" s="171"/>
      <c r="AA2945" s="171"/>
    </row>
    <row r="2946" spans="1:27" s="530" customFormat="1" hidden="1" x14ac:dyDescent="0.2">
      <c r="A2946" s="526"/>
      <c r="B2946" s="527"/>
      <c r="C2946" s="465"/>
      <c r="D2946" s="464"/>
      <c r="E2946" s="464"/>
      <c r="F2946" s="464"/>
      <c r="G2946" s="510"/>
      <c r="H2946" s="411"/>
      <c r="I2946" s="411"/>
      <c r="J2946" s="750" t="e">
        <f t="shared" si="30"/>
        <v>#DIV/0!</v>
      </c>
      <c r="K2946" s="412"/>
      <c r="L2946" s="412"/>
      <c r="M2946" s="682"/>
      <c r="N2946" s="171"/>
      <c r="O2946" s="171"/>
      <c r="P2946" s="169"/>
      <c r="Q2946" s="171"/>
      <c r="R2946" s="171"/>
      <c r="S2946" s="171"/>
      <c r="T2946" s="171"/>
      <c r="U2946" s="171"/>
      <c r="V2946" s="171"/>
      <c r="W2946" s="171"/>
      <c r="X2946" s="171"/>
      <c r="Y2946" s="171"/>
      <c r="Z2946" s="171"/>
      <c r="AA2946" s="171"/>
    </row>
    <row r="2947" spans="1:27" s="530" customFormat="1" hidden="1" x14ac:dyDescent="0.2">
      <c r="A2947" s="526"/>
      <c r="B2947" s="527"/>
      <c r="C2947" s="465"/>
      <c r="D2947" s="464"/>
      <c r="E2947" s="464"/>
      <c r="F2947" s="464"/>
      <c r="G2947" s="510"/>
      <c r="H2947" s="411"/>
      <c r="I2947" s="411"/>
      <c r="J2947" s="750" t="e">
        <f t="shared" si="30"/>
        <v>#DIV/0!</v>
      </c>
      <c r="K2947" s="412"/>
      <c r="L2947" s="412"/>
      <c r="M2947" s="682"/>
      <c r="N2947" s="171"/>
      <c r="O2947" s="171"/>
      <c r="P2947" s="169"/>
      <c r="Q2947" s="171"/>
      <c r="R2947" s="171"/>
      <c r="S2947" s="171"/>
      <c r="T2947" s="171"/>
      <c r="U2947" s="171"/>
      <c r="V2947" s="171"/>
      <c r="W2947" s="171"/>
      <c r="X2947" s="171"/>
      <c r="Y2947" s="171"/>
      <c r="Z2947" s="171"/>
      <c r="AA2947" s="171"/>
    </row>
    <row r="2948" spans="1:27" s="530" customFormat="1" hidden="1" x14ac:dyDescent="0.2">
      <c r="A2948" s="526"/>
      <c r="B2948" s="527"/>
      <c r="C2948" s="465"/>
      <c r="D2948" s="464"/>
      <c r="E2948" s="464"/>
      <c r="F2948" s="464"/>
      <c r="G2948" s="510"/>
      <c r="H2948" s="411"/>
      <c r="I2948" s="411"/>
      <c r="J2948" s="750" t="e">
        <f t="shared" si="30"/>
        <v>#DIV/0!</v>
      </c>
      <c r="K2948" s="412"/>
      <c r="L2948" s="412"/>
      <c r="M2948" s="682"/>
      <c r="N2948" s="171"/>
      <c r="O2948" s="171"/>
      <c r="P2948" s="169"/>
      <c r="Q2948" s="171"/>
      <c r="R2948" s="171"/>
      <c r="S2948" s="171"/>
      <c r="T2948" s="171"/>
      <c r="U2948" s="171"/>
      <c r="V2948" s="171"/>
      <c r="W2948" s="171"/>
      <c r="X2948" s="171"/>
      <c r="Y2948" s="171"/>
      <c r="Z2948" s="171"/>
      <c r="AA2948" s="171"/>
    </row>
    <row r="2949" spans="1:27" s="530" customFormat="1" hidden="1" x14ac:dyDescent="0.2">
      <c r="A2949" s="526"/>
      <c r="B2949" s="527"/>
      <c r="C2949" s="465"/>
      <c r="D2949" s="464"/>
      <c r="E2949" s="464"/>
      <c r="F2949" s="464"/>
      <c r="G2949" s="510"/>
      <c r="H2949" s="411"/>
      <c r="I2949" s="411"/>
      <c r="J2949" s="750" t="e">
        <f t="shared" si="30"/>
        <v>#DIV/0!</v>
      </c>
      <c r="K2949" s="412"/>
      <c r="L2949" s="412"/>
      <c r="M2949" s="682"/>
      <c r="N2949" s="171"/>
      <c r="O2949" s="171"/>
      <c r="P2949" s="169"/>
      <c r="Q2949" s="171"/>
      <c r="R2949" s="171"/>
      <c r="S2949" s="171"/>
      <c r="T2949" s="171"/>
      <c r="U2949" s="171"/>
      <c r="V2949" s="171"/>
      <c r="W2949" s="171"/>
      <c r="X2949" s="171"/>
      <c r="Y2949" s="171"/>
      <c r="Z2949" s="171"/>
      <c r="AA2949" s="171"/>
    </row>
    <row r="2950" spans="1:27" s="530" customFormat="1" hidden="1" x14ac:dyDescent="0.2">
      <c r="A2950" s="526"/>
      <c r="B2950" s="527"/>
      <c r="C2950" s="465"/>
      <c r="D2950" s="464"/>
      <c r="E2950" s="464"/>
      <c r="F2950" s="464"/>
      <c r="G2950" s="510"/>
      <c r="H2950" s="411"/>
      <c r="I2950" s="411"/>
      <c r="J2950" s="750" t="e">
        <f t="shared" si="30"/>
        <v>#DIV/0!</v>
      </c>
      <c r="K2950" s="412"/>
      <c r="L2950" s="412"/>
      <c r="M2950" s="682"/>
      <c r="N2950" s="171"/>
      <c r="O2950" s="171"/>
      <c r="P2950" s="169"/>
      <c r="Q2950" s="171"/>
      <c r="R2950" s="171"/>
      <c r="S2950" s="171"/>
      <c r="T2950" s="171"/>
      <c r="U2950" s="171"/>
      <c r="V2950" s="171"/>
      <c r="W2950" s="171"/>
      <c r="X2950" s="171"/>
      <c r="Y2950" s="171"/>
      <c r="Z2950" s="171"/>
      <c r="AA2950" s="171"/>
    </row>
    <row r="2951" spans="1:27" s="530" customFormat="1" hidden="1" x14ac:dyDescent="0.2">
      <c r="A2951" s="526"/>
      <c r="B2951" s="527"/>
      <c r="C2951" s="465"/>
      <c r="D2951" s="464"/>
      <c r="E2951" s="464"/>
      <c r="F2951" s="464"/>
      <c r="G2951" s="510"/>
      <c r="H2951" s="411"/>
      <c r="I2951" s="411"/>
      <c r="J2951" s="750" t="e">
        <f t="shared" si="30"/>
        <v>#DIV/0!</v>
      </c>
      <c r="K2951" s="412"/>
      <c r="L2951" s="412"/>
      <c r="M2951" s="682"/>
      <c r="N2951" s="171"/>
      <c r="O2951" s="171"/>
      <c r="P2951" s="169"/>
      <c r="Q2951" s="171"/>
      <c r="R2951" s="171"/>
      <c r="S2951" s="171"/>
      <c r="T2951" s="171"/>
      <c r="U2951" s="171"/>
      <c r="V2951" s="171"/>
      <c r="W2951" s="171"/>
      <c r="X2951" s="171"/>
      <c r="Y2951" s="171"/>
      <c r="Z2951" s="171"/>
      <c r="AA2951" s="171"/>
    </row>
    <row r="2952" spans="1:27" s="530" customFormat="1" hidden="1" x14ac:dyDescent="0.2">
      <c r="A2952" s="526"/>
      <c r="B2952" s="527"/>
      <c r="C2952" s="465"/>
      <c r="D2952" s="464"/>
      <c r="E2952" s="464"/>
      <c r="F2952" s="464"/>
      <c r="G2952" s="510"/>
      <c r="H2952" s="411"/>
      <c r="I2952" s="411"/>
      <c r="J2952" s="750" t="e">
        <f t="shared" si="30"/>
        <v>#DIV/0!</v>
      </c>
      <c r="K2952" s="412"/>
      <c r="L2952" s="412"/>
      <c r="M2952" s="682"/>
      <c r="N2952" s="171"/>
      <c r="O2952" s="171"/>
      <c r="P2952" s="169"/>
      <c r="Q2952" s="171"/>
      <c r="R2952" s="171"/>
      <c r="S2952" s="171"/>
      <c r="T2952" s="171"/>
      <c r="U2952" s="171"/>
      <c r="V2952" s="171"/>
      <c r="W2952" s="171"/>
      <c r="X2952" s="171"/>
      <c r="Y2952" s="171"/>
      <c r="Z2952" s="171"/>
      <c r="AA2952" s="171"/>
    </row>
    <row r="2953" spans="1:27" s="530" customFormat="1" hidden="1" x14ac:dyDescent="0.2">
      <c r="A2953" s="526"/>
      <c r="B2953" s="527"/>
      <c r="C2953" s="465"/>
      <c r="D2953" s="464"/>
      <c r="E2953" s="464"/>
      <c r="F2953" s="464"/>
      <c r="G2953" s="510"/>
      <c r="H2953" s="411"/>
      <c r="I2953" s="411"/>
      <c r="J2953" s="750" t="e">
        <f t="shared" si="30"/>
        <v>#DIV/0!</v>
      </c>
      <c r="K2953" s="412"/>
      <c r="L2953" s="412"/>
      <c r="M2953" s="682"/>
      <c r="N2953" s="171"/>
      <c r="O2953" s="171"/>
      <c r="P2953" s="169"/>
      <c r="Q2953" s="171"/>
      <c r="R2953" s="171"/>
      <c r="S2953" s="171"/>
      <c r="T2953" s="171"/>
      <c r="U2953" s="171"/>
      <c r="V2953" s="171"/>
      <c r="W2953" s="171"/>
      <c r="X2953" s="171"/>
      <c r="Y2953" s="171"/>
      <c r="Z2953" s="171"/>
      <c r="AA2953" s="171"/>
    </row>
    <row r="2954" spans="1:27" s="530" customFormat="1" hidden="1" x14ac:dyDescent="0.2">
      <c r="A2954" s="526"/>
      <c r="B2954" s="527"/>
      <c r="C2954" s="465"/>
      <c r="D2954" s="464"/>
      <c r="E2954" s="464"/>
      <c r="F2954" s="464"/>
      <c r="G2954" s="510"/>
      <c r="H2954" s="411"/>
      <c r="I2954" s="411"/>
      <c r="J2954" s="750" t="e">
        <f t="shared" si="30"/>
        <v>#DIV/0!</v>
      </c>
      <c r="K2954" s="412"/>
      <c r="L2954" s="412"/>
      <c r="M2954" s="682"/>
      <c r="N2954" s="171"/>
      <c r="O2954" s="171"/>
      <c r="P2954" s="169"/>
      <c r="Q2954" s="171"/>
      <c r="R2954" s="171"/>
      <c r="S2954" s="171"/>
      <c r="T2954" s="171"/>
      <c r="U2954" s="171"/>
      <c r="V2954" s="171"/>
      <c r="W2954" s="171"/>
      <c r="X2954" s="171"/>
      <c r="Y2954" s="171"/>
      <c r="Z2954" s="171"/>
      <c r="AA2954" s="171"/>
    </row>
    <row r="2955" spans="1:27" s="530" customFormat="1" hidden="1" x14ac:dyDescent="0.2">
      <c r="A2955" s="526"/>
      <c r="B2955" s="527"/>
      <c r="C2955" s="465"/>
      <c r="D2955" s="464"/>
      <c r="E2955" s="464"/>
      <c r="F2955" s="464"/>
      <c r="G2955" s="510"/>
      <c r="H2955" s="411"/>
      <c r="I2955" s="411"/>
      <c r="J2955" s="750" t="e">
        <f t="shared" si="30"/>
        <v>#DIV/0!</v>
      </c>
      <c r="K2955" s="412"/>
      <c r="L2955" s="412"/>
      <c r="M2955" s="682"/>
      <c r="N2955" s="171"/>
      <c r="O2955" s="171"/>
      <c r="P2955" s="169"/>
      <c r="Q2955" s="171"/>
      <c r="R2955" s="171"/>
      <c r="S2955" s="171"/>
      <c r="T2955" s="171"/>
      <c r="U2955" s="171"/>
      <c r="V2955" s="171"/>
      <c r="W2955" s="171"/>
      <c r="X2955" s="171"/>
      <c r="Y2955" s="171"/>
      <c r="Z2955" s="171"/>
      <c r="AA2955" s="171"/>
    </row>
    <row r="2956" spans="1:27" s="530" customFormat="1" hidden="1" x14ac:dyDescent="0.2">
      <c r="A2956" s="526"/>
      <c r="B2956" s="527"/>
      <c r="C2956" s="465"/>
      <c r="D2956" s="464"/>
      <c r="E2956" s="464"/>
      <c r="F2956" s="464"/>
      <c r="G2956" s="510"/>
      <c r="H2956" s="411"/>
      <c r="I2956" s="411"/>
      <c r="J2956" s="750" t="e">
        <f t="shared" si="30"/>
        <v>#DIV/0!</v>
      </c>
      <c r="K2956" s="412"/>
      <c r="L2956" s="412"/>
      <c r="M2956" s="682"/>
      <c r="N2956" s="171"/>
      <c r="O2956" s="171"/>
      <c r="P2956" s="169"/>
      <c r="Q2956" s="171"/>
      <c r="R2956" s="171"/>
      <c r="S2956" s="171"/>
      <c r="T2956" s="171"/>
      <c r="U2956" s="171"/>
      <c r="V2956" s="171"/>
      <c r="W2956" s="171"/>
      <c r="X2956" s="171"/>
      <c r="Y2956" s="171"/>
      <c r="Z2956" s="171"/>
      <c r="AA2956" s="171"/>
    </row>
    <row r="2957" spans="1:27" s="530" customFormat="1" hidden="1" x14ac:dyDescent="0.2">
      <c r="A2957" s="526"/>
      <c r="B2957" s="527"/>
      <c r="C2957" s="465"/>
      <c r="D2957" s="464"/>
      <c r="E2957" s="464"/>
      <c r="F2957" s="464"/>
      <c r="G2957" s="510"/>
      <c r="H2957" s="411"/>
      <c r="I2957" s="411"/>
      <c r="J2957" s="750" t="e">
        <f t="shared" ref="J2957:J3018" si="31">SUM(I2957/H2957)*100</f>
        <v>#DIV/0!</v>
      </c>
      <c r="K2957" s="412"/>
      <c r="L2957" s="412"/>
      <c r="M2957" s="682"/>
      <c r="N2957" s="171"/>
      <c r="O2957" s="171"/>
      <c r="P2957" s="169"/>
      <c r="Q2957" s="171"/>
      <c r="R2957" s="171"/>
      <c r="S2957" s="171"/>
      <c r="T2957" s="171"/>
      <c r="U2957" s="171"/>
      <c r="V2957" s="171"/>
      <c r="W2957" s="171"/>
      <c r="X2957" s="171"/>
      <c r="Y2957" s="171"/>
      <c r="Z2957" s="171"/>
      <c r="AA2957" s="171"/>
    </row>
    <row r="2958" spans="1:27" s="530" customFormat="1" hidden="1" x14ac:dyDescent="0.2">
      <c r="A2958" s="526"/>
      <c r="B2958" s="527"/>
      <c r="C2958" s="465"/>
      <c r="D2958" s="464"/>
      <c r="E2958" s="464"/>
      <c r="F2958" s="464"/>
      <c r="G2958" s="510"/>
      <c r="H2958" s="411"/>
      <c r="I2958" s="411"/>
      <c r="J2958" s="750" t="e">
        <f t="shared" si="31"/>
        <v>#DIV/0!</v>
      </c>
      <c r="K2958" s="412"/>
      <c r="L2958" s="412"/>
      <c r="M2958" s="682"/>
      <c r="N2958" s="171"/>
      <c r="O2958" s="171"/>
      <c r="P2958" s="169"/>
      <c r="Q2958" s="171"/>
      <c r="R2958" s="171"/>
      <c r="S2958" s="171"/>
      <c r="T2958" s="171"/>
      <c r="U2958" s="171"/>
      <c r="V2958" s="171"/>
      <c r="W2958" s="171"/>
      <c r="X2958" s="171"/>
      <c r="Y2958" s="171"/>
      <c r="Z2958" s="171"/>
      <c r="AA2958" s="171"/>
    </row>
    <row r="2959" spans="1:27" s="530" customFormat="1" hidden="1" x14ac:dyDescent="0.2">
      <c r="A2959" s="526"/>
      <c r="B2959" s="527"/>
      <c r="C2959" s="465"/>
      <c r="D2959" s="464"/>
      <c r="E2959" s="464"/>
      <c r="F2959" s="464"/>
      <c r="G2959" s="510"/>
      <c r="H2959" s="411"/>
      <c r="I2959" s="411"/>
      <c r="J2959" s="750" t="e">
        <f t="shared" si="31"/>
        <v>#DIV/0!</v>
      </c>
      <c r="K2959" s="412"/>
      <c r="L2959" s="412"/>
      <c r="M2959" s="682"/>
      <c r="N2959" s="171"/>
      <c r="O2959" s="171"/>
      <c r="P2959" s="169"/>
      <c r="Q2959" s="171"/>
      <c r="R2959" s="171"/>
      <c r="S2959" s="171"/>
      <c r="T2959" s="171"/>
      <c r="U2959" s="171"/>
      <c r="V2959" s="171"/>
      <c r="W2959" s="171"/>
      <c r="X2959" s="171"/>
      <c r="Y2959" s="171"/>
      <c r="Z2959" s="171"/>
      <c r="AA2959" s="171"/>
    </row>
    <row r="2960" spans="1:27" s="530" customFormat="1" hidden="1" x14ac:dyDescent="0.2">
      <c r="A2960" s="526"/>
      <c r="B2960" s="527"/>
      <c r="C2960" s="465"/>
      <c r="D2960" s="464"/>
      <c r="E2960" s="464"/>
      <c r="F2960" s="464"/>
      <c r="G2960" s="510"/>
      <c r="H2960" s="411"/>
      <c r="I2960" s="411"/>
      <c r="J2960" s="750" t="e">
        <f t="shared" si="31"/>
        <v>#DIV/0!</v>
      </c>
      <c r="K2960" s="412"/>
      <c r="L2960" s="412"/>
      <c r="M2960" s="682"/>
      <c r="N2960" s="171"/>
      <c r="O2960" s="171"/>
      <c r="P2960" s="169"/>
      <c r="Q2960" s="171"/>
      <c r="R2960" s="171"/>
      <c r="S2960" s="171"/>
      <c r="T2960" s="171"/>
      <c r="U2960" s="171"/>
      <c r="V2960" s="171"/>
      <c r="W2960" s="171"/>
      <c r="X2960" s="171"/>
      <c r="Y2960" s="171"/>
      <c r="Z2960" s="171"/>
      <c r="AA2960" s="171"/>
    </row>
    <row r="2961" spans="1:27" s="530" customFormat="1" hidden="1" x14ac:dyDescent="0.2">
      <c r="A2961" s="526"/>
      <c r="B2961" s="527"/>
      <c r="C2961" s="465"/>
      <c r="D2961" s="464"/>
      <c r="E2961" s="464"/>
      <c r="F2961" s="464"/>
      <c r="G2961" s="510"/>
      <c r="H2961" s="411"/>
      <c r="I2961" s="411"/>
      <c r="J2961" s="750" t="e">
        <f t="shared" si="31"/>
        <v>#DIV/0!</v>
      </c>
      <c r="K2961" s="412"/>
      <c r="L2961" s="412"/>
      <c r="M2961" s="682"/>
      <c r="N2961" s="171"/>
      <c r="O2961" s="171"/>
      <c r="P2961" s="169"/>
      <c r="Q2961" s="171"/>
      <c r="R2961" s="171"/>
      <c r="S2961" s="171"/>
      <c r="T2961" s="171"/>
      <c r="U2961" s="171"/>
      <c r="V2961" s="171"/>
      <c r="W2961" s="171"/>
      <c r="X2961" s="171"/>
      <c r="Y2961" s="171"/>
      <c r="Z2961" s="171"/>
      <c r="AA2961" s="171"/>
    </row>
    <row r="2962" spans="1:27" s="530" customFormat="1" hidden="1" x14ac:dyDescent="0.2">
      <c r="A2962" s="526"/>
      <c r="B2962" s="527"/>
      <c r="C2962" s="465"/>
      <c r="D2962" s="464"/>
      <c r="E2962" s="464"/>
      <c r="F2962" s="464"/>
      <c r="G2962" s="510"/>
      <c r="H2962" s="411"/>
      <c r="I2962" s="411"/>
      <c r="J2962" s="750" t="e">
        <f t="shared" si="31"/>
        <v>#DIV/0!</v>
      </c>
      <c r="K2962" s="412"/>
      <c r="L2962" s="412"/>
      <c r="M2962" s="682"/>
      <c r="N2962" s="171"/>
      <c r="O2962" s="171"/>
      <c r="P2962" s="169"/>
      <c r="Q2962" s="171"/>
      <c r="R2962" s="171"/>
      <c r="S2962" s="171"/>
      <c r="T2962" s="171"/>
      <c r="U2962" s="171"/>
      <c r="V2962" s="171"/>
      <c r="W2962" s="171"/>
      <c r="X2962" s="171"/>
      <c r="Y2962" s="171"/>
      <c r="Z2962" s="171"/>
      <c r="AA2962" s="171"/>
    </row>
    <row r="2963" spans="1:27" s="530" customFormat="1" hidden="1" x14ac:dyDescent="0.2">
      <c r="A2963" s="526"/>
      <c r="B2963" s="527"/>
      <c r="C2963" s="465"/>
      <c r="D2963" s="464"/>
      <c r="E2963" s="464"/>
      <c r="F2963" s="464"/>
      <c r="G2963" s="510"/>
      <c r="H2963" s="411"/>
      <c r="I2963" s="411"/>
      <c r="J2963" s="750" t="e">
        <f t="shared" si="31"/>
        <v>#DIV/0!</v>
      </c>
      <c r="K2963" s="412"/>
      <c r="L2963" s="412"/>
      <c r="M2963" s="682"/>
      <c r="N2963" s="171"/>
      <c r="O2963" s="171"/>
      <c r="P2963" s="169"/>
      <c r="Q2963" s="171"/>
      <c r="R2963" s="171"/>
      <c r="S2963" s="171"/>
      <c r="T2963" s="171"/>
      <c r="U2963" s="171"/>
      <c r="V2963" s="171"/>
      <c r="W2963" s="171"/>
      <c r="X2963" s="171"/>
      <c r="Y2963" s="171"/>
      <c r="Z2963" s="171"/>
      <c r="AA2963" s="171"/>
    </row>
    <row r="2964" spans="1:27" s="530" customFormat="1" hidden="1" x14ac:dyDescent="0.2">
      <c r="A2964" s="526"/>
      <c r="B2964" s="527"/>
      <c r="C2964" s="465"/>
      <c r="D2964" s="464"/>
      <c r="E2964" s="464"/>
      <c r="F2964" s="464"/>
      <c r="G2964" s="510"/>
      <c r="H2964" s="411"/>
      <c r="I2964" s="411"/>
      <c r="J2964" s="750" t="e">
        <f t="shared" si="31"/>
        <v>#DIV/0!</v>
      </c>
      <c r="K2964" s="412"/>
      <c r="L2964" s="412"/>
      <c r="M2964" s="682"/>
      <c r="N2964" s="171"/>
      <c r="O2964" s="171"/>
      <c r="P2964" s="169"/>
      <c r="Q2964" s="171"/>
      <c r="R2964" s="171"/>
      <c r="S2964" s="171"/>
      <c r="T2964" s="171"/>
      <c r="U2964" s="171"/>
      <c r="V2964" s="171"/>
      <c r="W2964" s="171"/>
      <c r="X2964" s="171"/>
      <c r="Y2964" s="171"/>
      <c r="Z2964" s="171"/>
      <c r="AA2964" s="171"/>
    </row>
    <row r="2965" spans="1:27" s="530" customFormat="1" hidden="1" x14ac:dyDescent="0.2">
      <c r="A2965" s="526"/>
      <c r="B2965" s="527"/>
      <c r="C2965" s="465"/>
      <c r="D2965" s="464"/>
      <c r="E2965" s="464"/>
      <c r="F2965" s="464"/>
      <c r="G2965" s="510"/>
      <c r="H2965" s="411"/>
      <c r="I2965" s="411"/>
      <c r="J2965" s="750" t="e">
        <f t="shared" si="31"/>
        <v>#DIV/0!</v>
      </c>
      <c r="K2965" s="412"/>
      <c r="L2965" s="412"/>
      <c r="M2965" s="682"/>
      <c r="N2965" s="171"/>
      <c r="O2965" s="171"/>
      <c r="P2965" s="169"/>
      <c r="Q2965" s="171"/>
      <c r="R2965" s="171"/>
      <c r="S2965" s="171"/>
      <c r="T2965" s="171"/>
      <c r="U2965" s="171"/>
      <c r="V2965" s="171"/>
      <c r="W2965" s="171"/>
      <c r="X2965" s="171"/>
      <c r="Y2965" s="171"/>
      <c r="Z2965" s="171"/>
      <c r="AA2965" s="171"/>
    </row>
    <row r="2966" spans="1:27" s="530" customFormat="1" hidden="1" x14ac:dyDescent="0.2">
      <c r="A2966" s="526"/>
      <c r="B2966" s="527"/>
      <c r="C2966" s="465"/>
      <c r="D2966" s="464"/>
      <c r="E2966" s="464"/>
      <c r="F2966" s="464"/>
      <c r="G2966" s="510"/>
      <c r="H2966" s="411"/>
      <c r="I2966" s="411"/>
      <c r="J2966" s="750" t="e">
        <f t="shared" si="31"/>
        <v>#DIV/0!</v>
      </c>
      <c r="K2966" s="412"/>
      <c r="L2966" s="412"/>
      <c r="M2966" s="682"/>
      <c r="N2966" s="171"/>
      <c r="O2966" s="171"/>
      <c r="P2966" s="169"/>
      <c r="Q2966" s="171"/>
      <c r="R2966" s="171"/>
      <c r="S2966" s="171"/>
      <c r="T2966" s="171"/>
      <c r="U2966" s="171"/>
      <c r="V2966" s="171"/>
      <c r="W2966" s="171"/>
      <c r="X2966" s="171"/>
      <c r="Y2966" s="171"/>
      <c r="Z2966" s="171"/>
      <c r="AA2966" s="171"/>
    </row>
    <row r="2967" spans="1:27" s="530" customFormat="1" hidden="1" x14ac:dyDescent="0.2">
      <c r="A2967" s="526"/>
      <c r="B2967" s="527"/>
      <c r="C2967" s="465"/>
      <c r="D2967" s="464"/>
      <c r="E2967" s="464"/>
      <c r="F2967" s="464"/>
      <c r="G2967" s="510"/>
      <c r="H2967" s="411"/>
      <c r="I2967" s="411"/>
      <c r="J2967" s="750" t="e">
        <f t="shared" si="31"/>
        <v>#DIV/0!</v>
      </c>
      <c r="K2967" s="412"/>
      <c r="L2967" s="412"/>
      <c r="M2967" s="682"/>
      <c r="N2967" s="171"/>
      <c r="O2967" s="171"/>
      <c r="P2967" s="169"/>
      <c r="Q2967" s="171"/>
      <c r="R2967" s="171"/>
      <c r="S2967" s="171"/>
      <c r="T2967" s="171"/>
      <c r="U2967" s="171"/>
      <c r="V2967" s="171"/>
      <c r="W2967" s="171"/>
      <c r="X2967" s="171"/>
      <c r="Y2967" s="171"/>
      <c r="Z2967" s="171"/>
      <c r="AA2967" s="171"/>
    </row>
    <row r="2968" spans="1:27" s="530" customFormat="1" hidden="1" x14ac:dyDescent="0.2">
      <c r="A2968" s="526"/>
      <c r="B2968" s="527"/>
      <c r="C2968" s="465"/>
      <c r="D2968" s="464"/>
      <c r="E2968" s="464"/>
      <c r="F2968" s="464"/>
      <c r="G2968" s="510"/>
      <c r="H2968" s="411"/>
      <c r="I2968" s="411"/>
      <c r="J2968" s="750" t="e">
        <f t="shared" si="31"/>
        <v>#DIV/0!</v>
      </c>
      <c r="K2968" s="412"/>
      <c r="L2968" s="412"/>
      <c r="M2968" s="682"/>
      <c r="N2968" s="171"/>
      <c r="O2968" s="171"/>
      <c r="P2968" s="169"/>
      <c r="Q2968" s="171"/>
      <c r="R2968" s="171"/>
      <c r="S2968" s="171"/>
      <c r="T2968" s="171"/>
      <c r="U2968" s="171"/>
      <c r="V2968" s="171"/>
      <c r="W2968" s="171"/>
      <c r="X2968" s="171"/>
      <c r="Y2968" s="171"/>
      <c r="Z2968" s="171"/>
      <c r="AA2968" s="171"/>
    </row>
    <row r="2969" spans="1:27" s="530" customFormat="1" hidden="1" x14ac:dyDescent="0.2">
      <c r="A2969" s="526"/>
      <c r="B2969" s="527"/>
      <c r="C2969" s="465"/>
      <c r="D2969" s="464"/>
      <c r="E2969" s="464"/>
      <c r="F2969" s="464"/>
      <c r="G2969" s="510"/>
      <c r="H2969" s="411"/>
      <c r="I2969" s="411"/>
      <c r="J2969" s="750" t="e">
        <f t="shared" si="31"/>
        <v>#DIV/0!</v>
      </c>
      <c r="K2969" s="412"/>
      <c r="L2969" s="412"/>
      <c r="M2969" s="682"/>
      <c r="N2969" s="171"/>
      <c r="O2969" s="171"/>
      <c r="P2969" s="169"/>
      <c r="Q2969" s="171"/>
      <c r="R2969" s="171"/>
      <c r="S2969" s="171"/>
      <c r="T2969" s="171"/>
      <c r="U2969" s="171"/>
      <c r="V2969" s="171"/>
      <c r="W2969" s="171"/>
      <c r="X2969" s="171"/>
      <c r="Y2969" s="171"/>
      <c r="Z2969" s="171"/>
      <c r="AA2969" s="171"/>
    </row>
    <row r="2970" spans="1:27" s="530" customFormat="1" hidden="1" x14ac:dyDescent="0.2">
      <c r="A2970" s="526"/>
      <c r="B2970" s="527"/>
      <c r="C2970" s="465"/>
      <c r="D2970" s="464"/>
      <c r="E2970" s="464"/>
      <c r="F2970" s="464"/>
      <c r="G2970" s="510"/>
      <c r="H2970" s="411"/>
      <c r="I2970" s="411"/>
      <c r="J2970" s="750" t="e">
        <f t="shared" si="31"/>
        <v>#DIV/0!</v>
      </c>
      <c r="K2970" s="412"/>
      <c r="L2970" s="412"/>
      <c r="M2970" s="682"/>
      <c r="N2970" s="171"/>
      <c r="O2970" s="171"/>
      <c r="P2970" s="169"/>
      <c r="Q2970" s="171"/>
      <c r="R2970" s="171"/>
      <c r="S2970" s="171"/>
      <c r="T2970" s="171"/>
      <c r="U2970" s="171"/>
      <c r="V2970" s="171"/>
      <c r="W2970" s="171"/>
      <c r="X2970" s="171"/>
      <c r="Y2970" s="171"/>
      <c r="Z2970" s="171"/>
      <c r="AA2970" s="171"/>
    </row>
    <row r="2971" spans="1:27" s="530" customFormat="1" hidden="1" x14ac:dyDescent="0.2">
      <c r="A2971" s="526"/>
      <c r="B2971" s="527"/>
      <c r="C2971" s="465"/>
      <c r="D2971" s="464"/>
      <c r="E2971" s="464"/>
      <c r="F2971" s="464"/>
      <c r="G2971" s="510"/>
      <c r="H2971" s="411"/>
      <c r="I2971" s="411"/>
      <c r="J2971" s="750" t="e">
        <f t="shared" si="31"/>
        <v>#DIV/0!</v>
      </c>
      <c r="K2971" s="412"/>
      <c r="L2971" s="412"/>
      <c r="M2971" s="682"/>
      <c r="N2971" s="171"/>
      <c r="O2971" s="171"/>
      <c r="P2971" s="169"/>
      <c r="Q2971" s="171"/>
      <c r="R2971" s="171"/>
      <c r="S2971" s="171"/>
      <c r="T2971" s="171"/>
      <c r="U2971" s="171"/>
      <c r="V2971" s="171"/>
      <c r="W2971" s="171"/>
      <c r="X2971" s="171"/>
      <c r="Y2971" s="171"/>
      <c r="Z2971" s="171"/>
      <c r="AA2971" s="171"/>
    </row>
    <row r="2972" spans="1:27" s="530" customFormat="1" hidden="1" x14ac:dyDescent="0.2">
      <c r="A2972" s="526"/>
      <c r="B2972" s="527"/>
      <c r="C2972" s="465"/>
      <c r="D2972" s="464"/>
      <c r="E2972" s="464"/>
      <c r="F2972" s="464"/>
      <c r="G2972" s="510"/>
      <c r="H2972" s="411"/>
      <c r="I2972" s="411"/>
      <c r="J2972" s="750" t="e">
        <f t="shared" si="31"/>
        <v>#DIV/0!</v>
      </c>
      <c r="K2972" s="412"/>
      <c r="L2972" s="412"/>
      <c r="M2972" s="682"/>
      <c r="N2972" s="171"/>
      <c r="O2972" s="171"/>
      <c r="P2972" s="169"/>
      <c r="Q2972" s="171"/>
      <c r="R2972" s="171"/>
      <c r="S2972" s="171"/>
      <c r="T2972" s="171"/>
      <c r="U2972" s="171"/>
      <c r="V2972" s="171"/>
      <c r="W2972" s="171"/>
      <c r="X2972" s="171"/>
      <c r="Y2972" s="171"/>
      <c r="Z2972" s="171"/>
      <c r="AA2972" s="171"/>
    </row>
    <row r="2973" spans="1:27" s="530" customFormat="1" hidden="1" x14ac:dyDescent="0.2">
      <c r="A2973" s="526"/>
      <c r="B2973" s="527"/>
      <c r="C2973" s="465"/>
      <c r="D2973" s="464"/>
      <c r="E2973" s="464"/>
      <c r="F2973" s="464"/>
      <c r="G2973" s="510"/>
      <c r="H2973" s="411"/>
      <c r="I2973" s="411"/>
      <c r="J2973" s="750" t="e">
        <f t="shared" si="31"/>
        <v>#DIV/0!</v>
      </c>
      <c r="K2973" s="412"/>
      <c r="L2973" s="412"/>
      <c r="M2973" s="682"/>
      <c r="N2973" s="171"/>
      <c r="O2973" s="171"/>
      <c r="P2973" s="169"/>
      <c r="Q2973" s="171"/>
      <c r="R2973" s="171"/>
      <c r="S2973" s="171"/>
      <c r="T2973" s="171"/>
      <c r="U2973" s="171"/>
      <c r="V2973" s="171"/>
      <c r="W2973" s="171"/>
      <c r="X2973" s="171"/>
      <c r="Y2973" s="171"/>
      <c r="Z2973" s="171"/>
      <c r="AA2973" s="171"/>
    </row>
    <row r="2974" spans="1:27" s="530" customFormat="1" hidden="1" x14ac:dyDescent="0.2">
      <c r="A2974" s="526"/>
      <c r="B2974" s="527"/>
      <c r="C2974" s="465"/>
      <c r="D2974" s="464"/>
      <c r="E2974" s="464"/>
      <c r="F2974" s="464"/>
      <c r="G2974" s="510"/>
      <c r="H2974" s="411"/>
      <c r="I2974" s="411"/>
      <c r="J2974" s="750" t="e">
        <f t="shared" si="31"/>
        <v>#DIV/0!</v>
      </c>
      <c r="K2974" s="412"/>
      <c r="L2974" s="412"/>
      <c r="M2974" s="682"/>
      <c r="N2974" s="171"/>
      <c r="O2974" s="171"/>
      <c r="P2974" s="169"/>
      <c r="Q2974" s="171"/>
      <c r="R2974" s="171"/>
      <c r="S2974" s="171"/>
      <c r="T2974" s="171"/>
      <c r="U2974" s="171"/>
      <c r="V2974" s="171"/>
      <c r="W2974" s="171"/>
      <c r="X2974" s="171"/>
      <c r="Y2974" s="171"/>
      <c r="Z2974" s="171"/>
      <c r="AA2974" s="171"/>
    </row>
    <row r="2975" spans="1:27" s="530" customFormat="1" hidden="1" x14ac:dyDescent="0.2">
      <c r="A2975" s="526"/>
      <c r="B2975" s="527"/>
      <c r="C2975" s="465"/>
      <c r="D2975" s="464"/>
      <c r="E2975" s="464"/>
      <c r="F2975" s="464"/>
      <c r="G2975" s="510"/>
      <c r="H2975" s="411"/>
      <c r="I2975" s="411"/>
      <c r="J2975" s="750" t="e">
        <f t="shared" si="31"/>
        <v>#DIV/0!</v>
      </c>
      <c r="K2975" s="412"/>
      <c r="L2975" s="412"/>
      <c r="M2975" s="682"/>
      <c r="N2975" s="171"/>
      <c r="O2975" s="171"/>
      <c r="P2975" s="169"/>
      <c r="Q2975" s="171"/>
      <c r="R2975" s="171"/>
      <c r="S2975" s="171"/>
      <c r="T2975" s="171"/>
      <c r="U2975" s="171"/>
      <c r="V2975" s="171"/>
      <c r="W2975" s="171"/>
      <c r="X2975" s="171"/>
      <c r="Y2975" s="171"/>
      <c r="Z2975" s="171"/>
      <c r="AA2975" s="171"/>
    </row>
    <row r="2976" spans="1:27" s="530" customFormat="1" hidden="1" x14ac:dyDescent="0.2">
      <c r="A2976" s="526"/>
      <c r="B2976" s="527"/>
      <c r="C2976" s="465"/>
      <c r="D2976" s="464"/>
      <c r="E2976" s="464"/>
      <c r="F2976" s="464"/>
      <c r="G2976" s="510"/>
      <c r="H2976" s="411"/>
      <c r="I2976" s="411"/>
      <c r="J2976" s="750" t="e">
        <f t="shared" si="31"/>
        <v>#DIV/0!</v>
      </c>
      <c r="K2976" s="412"/>
      <c r="L2976" s="412"/>
      <c r="M2976" s="682"/>
      <c r="N2976" s="171"/>
      <c r="O2976" s="171"/>
      <c r="P2976" s="169"/>
      <c r="Q2976" s="171"/>
      <c r="R2976" s="171"/>
      <c r="S2976" s="171"/>
      <c r="T2976" s="171"/>
      <c r="U2976" s="171"/>
      <c r="V2976" s="171"/>
      <c r="W2976" s="171"/>
      <c r="X2976" s="171"/>
      <c r="Y2976" s="171"/>
      <c r="Z2976" s="171"/>
      <c r="AA2976" s="171"/>
    </row>
    <row r="2977" spans="1:27" s="530" customFormat="1" hidden="1" x14ac:dyDescent="0.2">
      <c r="A2977" s="526"/>
      <c r="B2977" s="527"/>
      <c r="C2977" s="465"/>
      <c r="D2977" s="464"/>
      <c r="E2977" s="464"/>
      <c r="F2977" s="464"/>
      <c r="G2977" s="510"/>
      <c r="H2977" s="411"/>
      <c r="I2977" s="411"/>
      <c r="J2977" s="750" t="e">
        <f t="shared" si="31"/>
        <v>#DIV/0!</v>
      </c>
      <c r="K2977" s="412"/>
      <c r="L2977" s="412"/>
      <c r="M2977" s="682"/>
      <c r="N2977" s="171"/>
      <c r="O2977" s="171"/>
      <c r="P2977" s="169"/>
      <c r="Q2977" s="171"/>
      <c r="R2977" s="171"/>
      <c r="S2977" s="171"/>
      <c r="T2977" s="171"/>
      <c r="U2977" s="171"/>
      <c r="V2977" s="171"/>
      <c r="W2977" s="171"/>
      <c r="X2977" s="171"/>
      <c r="Y2977" s="171"/>
      <c r="Z2977" s="171"/>
      <c r="AA2977" s="171"/>
    </row>
    <row r="2978" spans="1:27" s="530" customFormat="1" hidden="1" x14ac:dyDescent="0.2">
      <c r="A2978" s="526"/>
      <c r="B2978" s="527"/>
      <c r="C2978" s="465"/>
      <c r="D2978" s="464"/>
      <c r="E2978" s="464"/>
      <c r="F2978" s="464"/>
      <c r="G2978" s="510"/>
      <c r="H2978" s="411"/>
      <c r="I2978" s="411"/>
      <c r="J2978" s="750" t="e">
        <f t="shared" si="31"/>
        <v>#DIV/0!</v>
      </c>
      <c r="K2978" s="412"/>
      <c r="L2978" s="412"/>
      <c r="M2978" s="682"/>
      <c r="N2978" s="171"/>
      <c r="O2978" s="171"/>
      <c r="P2978" s="169"/>
      <c r="Q2978" s="171"/>
      <c r="R2978" s="171"/>
      <c r="S2978" s="171"/>
      <c r="T2978" s="171"/>
      <c r="U2978" s="171"/>
      <c r="V2978" s="171"/>
      <c r="W2978" s="171"/>
      <c r="X2978" s="171"/>
      <c r="Y2978" s="171"/>
      <c r="Z2978" s="171"/>
      <c r="AA2978" s="171"/>
    </row>
    <row r="2979" spans="1:27" s="530" customFormat="1" hidden="1" x14ac:dyDescent="0.2">
      <c r="A2979" s="526"/>
      <c r="B2979" s="527"/>
      <c r="C2979" s="465"/>
      <c r="D2979" s="464"/>
      <c r="E2979" s="464"/>
      <c r="F2979" s="464"/>
      <c r="G2979" s="510"/>
      <c r="H2979" s="411"/>
      <c r="I2979" s="411"/>
      <c r="J2979" s="750" t="e">
        <f t="shared" si="31"/>
        <v>#DIV/0!</v>
      </c>
      <c r="K2979" s="412"/>
      <c r="L2979" s="412"/>
      <c r="M2979" s="682"/>
      <c r="N2979" s="171"/>
      <c r="O2979" s="171"/>
      <c r="P2979" s="169"/>
      <c r="Q2979" s="171"/>
      <c r="R2979" s="171"/>
      <c r="S2979" s="171"/>
      <c r="T2979" s="171"/>
      <c r="U2979" s="171"/>
      <c r="V2979" s="171"/>
      <c r="W2979" s="171"/>
      <c r="X2979" s="171"/>
      <c r="Y2979" s="171"/>
      <c r="Z2979" s="171"/>
      <c r="AA2979" s="171"/>
    </row>
    <row r="2980" spans="1:27" s="530" customFormat="1" hidden="1" x14ac:dyDescent="0.2">
      <c r="A2980" s="526"/>
      <c r="B2980" s="527"/>
      <c r="C2980" s="465"/>
      <c r="D2980" s="464"/>
      <c r="E2980" s="464"/>
      <c r="F2980" s="464"/>
      <c r="G2980" s="510"/>
      <c r="H2980" s="411"/>
      <c r="I2980" s="411"/>
      <c r="J2980" s="750" t="e">
        <f t="shared" si="31"/>
        <v>#DIV/0!</v>
      </c>
      <c r="K2980" s="412"/>
      <c r="L2980" s="412"/>
      <c r="M2980" s="682"/>
      <c r="N2980" s="171"/>
      <c r="O2980" s="171"/>
      <c r="P2980" s="169"/>
      <c r="Q2980" s="171"/>
      <c r="R2980" s="171"/>
      <c r="S2980" s="171"/>
      <c r="T2980" s="171"/>
      <c r="U2980" s="171"/>
      <c r="V2980" s="171"/>
      <c r="W2980" s="171"/>
      <c r="X2980" s="171"/>
      <c r="Y2980" s="171"/>
      <c r="Z2980" s="171"/>
      <c r="AA2980" s="171"/>
    </row>
    <row r="2981" spans="1:27" s="530" customFormat="1" hidden="1" x14ac:dyDescent="0.2">
      <c r="A2981" s="526"/>
      <c r="B2981" s="527"/>
      <c r="C2981" s="465"/>
      <c r="D2981" s="464"/>
      <c r="E2981" s="464"/>
      <c r="F2981" s="464"/>
      <c r="G2981" s="510"/>
      <c r="H2981" s="411"/>
      <c r="I2981" s="411"/>
      <c r="J2981" s="750" t="e">
        <f t="shared" si="31"/>
        <v>#DIV/0!</v>
      </c>
      <c r="K2981" s="412"/>
      <c r="L2981" s="412"/>
      <c r="M2981" s="682"/>
      <c r="N2981" s="171"/>
      <c r="O2981" s="171"/>
      <c r="P2981" s="169"/>
      <c r="Q2981" s="171"/>
      <c r="R2981" s="171"/>
      <c r="S2981" s="171"/>
      <c r="T2981" s="171"/>
      <c r="U2981" s="171"/>
      <c r="V2981" s="171"/>
      <c r="W2981" s="171"/>
      <c r="X2981" s="171"/>
      <c r="Y2981" s="171"/>
      <c r="Z2981" s="171"/>
      <c r="AA2981" s="171"/>
    </row>
    <row r="2982" spans="1:27" s="530" customFormat="1" hidden="1" x14ac:dyDescent="0.2">
      <c r="A2982" s="526"/>
      <c r="B2982" s="527"/>
      <c r="C2982" s="465"/>
      <c r="D2982" s="464"/>
      <c r="E2982" s="464"/>
      <c r="F2982" s="464"/>
      <c r="G2982" s="510"/>
      <c r="H2982" s="411"/>
      <c r="I2982" s="411"/>
      <c r="J2982" s="750" t="e">
        <f t="shared" si="31"/>
        <v>#DIV/0!</v>
      </c>
      <c r="K2982" s="412"/>
      <c r="L2982" s="412"/>
      <c r="M2982" s="682"/>
      <c r="N2982" s="171"/>
      <c r="O2982" s="171"/>
      <c r="P2982" s="169"/>
      <c r="Q2982" s="171"/>
      <c r="R2982" s="171"/>
      <c r="S2982" s="171"/>
      <c r="T2982" s="171"/>
      <c r="U2982" s="171"/>
      <c r="V2982" s="171"/>
      <c r="W2982" s="171"/>
      <c r="X2982" s="171"/>
      <c r="Y2982" s="171"/>
      <c r="Z2982" s="171"/>
      <c r="AA2982" s="171"/>
    </row>
    <row r="2983" spans="1:27" s="530" customFormat="1" hidden="1" x14ac:dyDescent="0.2">
      <c r="A2983" s="526"/>
      <c r="B2983" s="527"/>
      <c r="C2983" s="465"/>
      <c r="D2983" s="464"/>
      <c r="E2983" s="464"/>
      <c r="F2983" s="464"/>
      <c r="G2983" s="510"/>
      <c r="H2983" s="411"/>
      <c r="I2983" s="411"/>
      <c r="J2983" s="750" t="e">
        <f t="shared" si="31"/>
        <v>#DIV/0!</v>
      </c>
      <c r="K2983" s="412"/>
      <c r="L2983" s="412"/>
      <c r="M2983" s="682"/>
      <c r="N2983" s="171"/>
      <c r="O2983" s="171"/>
      <c r="P2983" s="169"/>
      <c r="Q2983" s="171"/>
      <c r="R2983" s="171"/>
      <c r="S2983" s="171"/>
      <c r="T2983" s="171"/>
      <c r="U2983" s="171"/>
      <c r="V2983" s="171"/>
      <c r="W2983" s="171"/>
      <c r="X2983" s="171"/>
      <c r="Y2983" s="171"/>
      <c r="Z2983" s="171"/>
      <c r="AA2983" s="171"/>
    </row>
    <row r="2984" spans="1:27" s="530" customFormat="1" hidden="1" x14ac:dyDescent="0.2">
      <c r="A2984" s="526"/>
      <c r="B2984" s="527"/>
      <c r="C2984" s="465"/>
      <c r="D2984" s="464"/>
      <c r="E2984" s="464"/>
      <c r="F2984" s="464"/>
      <c r="G2984" s="510"/>
      <c r="H2984" s="411"/>
      <c r="I2984" s="411"/>
      <c r="J2984" s="750" t="e">
        <f t="shared" si="31"/>
        <v>#DIV/0!</v>
      </c>
      <c r="K2984" s="412"/>
      <c r="L2984" s="412"/>
      <c r="M2984" s="682"/>
      <c r="N2984" s="171"/>
      <c r="O2984" s="171"/>
      <c r="P2984" s="169"/>
      <c r="Q2984" s="171"/>
      <c r="R2984" s="171"/>
      <c r="S2984" s="171"/>
      <c r="T2984" s="171"/>
      <c r="U2984" s="171"/>
      <c r="V2984" s="171"/>
      <c r="W2984" s="171"/>
      <c r="X2984" s="171"/>
      <c r="Y2984" s="171"/>
      <c r="Z2984" s="171"/>
      <c r="AA2984" s="171"/>
    </row>
    <row r="2985" spans="1:27" s="530" customFormat="1" hidden="1" x14ac:dyDescent="0.2">
      <c r="A2985" s="526"/>
      <c r="B2985" s="527"/>
      <c r="C2985" s="465"/>
      <c r="D2985" s="464"/>
      <c r="E2985" s="464"/>
      <c r="F2985" s="464"/>
      <c r="G2985" s="510"/>
      <c r="H2985" s="411"/>
      <c r="I2985" s="411"/>
      <c r="J2985" s="750" t="e">
        <f t="shared" si="31"/>
        <v>#DIV/0!</v>
      </c>
      <c r="K2985" s="412"/>
      <c r="L2985" s="412"/>
      <c r="M2985" s="682"/>
      <c r="N2985" s="171"/>
      <c r="O2985" s="171"/>
      <c r="P2985" s="169"/>
      <c r="Q2985" s="171"/>
      <c r="R2985" s="171"/>
      <c r="S2985" s="171"/>
      <c r="T2985" s="171"/>
      <c r="U2985" s="171"/>
      <c r="V2985" s="171"/>
      <c r="W2985" s="171"/>
      <c r="X2985" s="171"/>
      <c r="Y2985" s="171"/>
      <c r="Z2985" s="171"/>
      <c r="AA2985" s="171"/>
    </row>
    <row r="2986" spans="1:27" s="530" customFormat="1" hidden="1" x14ac:dyDescent="0.2">
      <c r="A2986" s="526"/>
      <c r="B2986" s="527"/>
      <c r="C2986" s="465"/>
      <c r="D2986" s="464"/>
      <c r="E2986" s="464"/>
      <c r="F2986" s="464"/>
      <c r="G2986" s="510"/>
      <c r="H2986" s="411"/>
      <c r="I2986" s="411"/>
      <c r="J2986" s="750" t="e">
        <f t="shared" si="31"/>
        <v>#DIV/0!</v>
      </c>
      <c r="K2986" s="412"/>
      <c r="L2986" s="412"/>
      <c r="M2986" s="682"/>
      <c r="N2986" s="171"/>
      <c r="O2986" s="171"/>
      <c r="P2986" s="169"/>
      <c r="Q2986" s="171"/>
      <c r="R2986" s="171"/>
      <c r="S2986" s="171"/>
      <c r="T2986" s="171"/>
      <c r="U2986" s="171"/>
      <c r="V2986" s="171"/>
      <c r="W2986" s="171"/>
      <c r="X2986" s="171"/>
      <c r="Y2986" s="171"/>
      <c r="Z2986" s="171"/>
      <c r="AA2986" s="171"/>
    </row>
    <row r="2987" spans="1:27" s="530" customFormat="1" hidden="1" x14ac:dyDescent="0.2">
      <c r="A2987" s="526"/>
      <c r="B2987" s="527"/>
      <c r="C2987" s="465"/>
      <c r="D2987" s="464"/>
      <c r="E2987" s="464"/>
      <c r="F2987" s="464"/>
      <c r="G2987" s="510"/>
      <c r="H2987" s="411"/>
      <c r="I2987" s="411"/>
      <c r="J2987" s="750" t="e">
        <f t="shared" si="31"/>
        <v>#DIV/0!</v>
      </c>
      <c r="K2987" s="412"/>
      <c r="L2987" s="412"/>
      <c r="M2987" s="682"/>
      <c r="N2987" s="171"/>
      <c r="O2987" s="171"/>
      <c r="P2987" s="169"/>
      <c r="Q2987" s="171"/>
      <c r="R2987" s="171"/>
      <c r="S2987" s="171"/>
      <c r="T2987" s="171"/>
      <c r="U2987" s="171"/>
      <c r="V2987" s="171"/>
      <c r="W2987" s="171"/>
      <c r="X2987" s="171"/>
      <c r="Y2987" s="171"/>
      <c r="Z2987" s="171"/>
      <c r="AA2987" s="171"/>
    </row>
    <row r="2988" spans="1:27" s="530" customFormat="1" hidden="1" x14ac:dyDescent="0.2">
      <c r="A2988" s="526"/>
      <c r="B2988" s="527"/>
      <c r="C2988" s="465"/>
      <c r="D2988" s="464"/>
      <c r="E2988" s="464"/>
      <c r="F2988" s="464"/>
      <c r="G2988" s="510"/>
      <c r="H2988" s="411"/>
      <c r="I2988" s="411"/>
      <c r="J2988" s="750" t="e">
        <f t="shared" si="31"/>
        <v>#DIV/0!</v>
      </c>
      <c r="K2988" s="412"/>
      <c r="L2988" s="412"/>
      <c r="M2988" s="682"/>
      <c r="N2988" s="171"/>
      <c r="O2988" s="171"/>
      <c r="P2988" s="169"/>
      <c r="Q2988" s="171"/>
      <c r="R2988" s="171"/>
      <c r="S2988" s="171"/>
      <c r="T2988" s="171"/>
      <c r="U2988" s="171"/>
      <c r="V2988" s="171"/>
      <c r="W2988" s="171"/>
      <c r="X2988" s="171"/>
      <c r="Y2988" s="171"/>
      <c r="Z2988" s="171"/>
      <c r="AA2988" s="171"/>
    </row>
    <row r="2989" spans="1:27" s="530" customFormat="1" hidden="1" x14ac:dyDescent="0.2">
      <c r="A2989" s="526"/>
      <c r="B2989" s="527"/>
      <c r="C2989" s="465"/>
      <c r="D2989" s="464"/>
      <c r="E2989" s="464"/>
      <c r="F2989" s="464"/>
      <c r="G2989" s="510"/>
      <c r="H2989" s="411"/>
      <c r="I2989" s="411"/>
      <c r="J2989" s="750" t="e">
        <f t="shared" si="31"/>
        <v>#DIV/0!</v>
      </c>
      <c r="K2989" s="412"/>
      <c r="L2989" s="412"/>
      <c r="M2989" s="682"/>
      <c r="N2989" s="171"/>
      <c r="O2989" s="171"/>
      <c r="P2989" s="169"/>
      <c r="Q2989" s="171"/>
      <c r="R2989" s="171"/>
      <c r="S2989" s="171"/>
      <c r="T2989" s="171"/>
      <c r="U2989" s="171"/>
      <c r="V2989" s="171"/>
      <c r="W2989" s="171"/>
      <c r="X2989" s="171"/>
      <c r="Y2989" s="171"/>
      <c r="Z2989" s="171"/>
      <c r="AA2989" s="171"/>
    </row>
    <row r="2990" spans="1:27" s="530" customFormat="1" hidden="1" x14ac:dyDescent="0.2">
      <c r="A2990" s="526"/>
      <c r="B2990" s="527"/>
      <c r="C2990" s="465"/>
      <c r="D2990" s="464"/>
      <c r="E2990" s="464"/>
      <c r="F2990" s="464"/>
      <c r="G2990" s="510"/>
      <c r="H2990" s="411"/>
      <c r="I2990" s="411"/>
      <c r="J2990" s="750" t="e">
        <f t="shared" si="31"/>
        <v>#DIV/0!</v>
      </c>
      <c r="K2990" s="412"/>
      <c r="L2990" s="412"/>
      <c r="M2990" s="682"/>
      <c r="N2990" s="171"/>
      <c r="O2990" s="171"/>
      <c r="P2990" s="169"/>
      <c r="Q2990" s="171"/>
      <c r="R2990" s="171"/>
      <c r="S2990" s="171"/>
      <c r="T2990" s="171"/>
      <c r="U2990" s="171"/>
      <c r="V2990" s="171"/>
      <c r="W2990" s="171"/>
      <c r="X2990" s="171"/>
      <c r="Y2990" s="171"/>
      <c r="Z2990" s="171"/>
      <c r="AA2990" s="171"/>
    </row>
    <row r="2991" spans="1:27" s="530" customFormat="1" hidden="1" x14ac:dyDescent="0.2">
      <c r="A2991" s="526"/>
      <c r="B2991" s="527"/>
      <c r="C2991" s="465"/>
      <c r="D2991" s="464"/>
      <c r="E2991" s="464"/>
      <c r="F2991" s="464"/>
      <c r="G2991" s="510"/>
      <c r="H2991" s="411"/>
      <c r="I2991" s="411"/>
      <c r="J2991" s="750" t="e">
        <f t="shared" si="31"/>
        <v>#DIV/0!</v>
      </c>
      <c r="K2991" s="412"/>
      <c r="L2991" s="412"/>
      <c r="M2991" s="682"/>
      <c r="N2991" s="171"/>
      <c r="O2991" s="171"/>
      <c r="P2991" s="169"/>
      <c r="Q2991" s="171"/>
      <c r="R2991" s="171"/>
      <c r="S2991" s="171"/>
      <c r="T2991" s="171"/>
      <c r="U2991" s="171"/>
      <c r="V2991" s="171"/>
      <c r="W2991" s="171"/>
      <c r="X2991" s="171"/>
      <c r="Y2991" s="171"/>
      <c r="Z2991" s="171"/>
      <c r="AA2991" s="171"/>
    </row>
    <row r="2992" spans="1:27" s="530" customFormat="1" hidden="1" x14ac:dyDescent="0.2">
      <c r="A2992" s="526"/>
      <c r="B2992" s="527"/>
      <c r="C2992" s="465"/>
      <c r="D2992" s="464"/>
      <c r="E2992" s="464"/>
      <c r="F2992" s="464"/>
      <c r="G2992" s="510"/>
      <c r="H2992" s="411"/>
      <c r="I2992" s="411"/>
      <c r="J2992" s="750" t="e">
        <f t="shared" si="31"/>
        <v>#DIV/0!</v>
      </c>
      <c r="K2992" s="412"/>
      <c r="L2992" s="412"/>
      <c r="M2992" s="682"/>
      <c r="N2992" s="171"/>
      <c r="O2992" s="171"/>
      <c r="P2992" s="169"/>
      <c r="Q2992" s="171"/>
      <c r="R2992" s="171"/>
      <c r="S2992" s="171"/>
      <c r="T2992" s="171"/>
      <c r="U2992" s="171"/>
      <c r="V2992" s="171"/>
      <c r="W2992" s="171"/>
      <c r="X2992" s="171"/>
      <c r="Y2992" s="171"/>
      <c r="Z2992" s="171"/>
      <c r="AA2992" s="171"/>
    </row>
    <row r="2993" spans="1:27" s="530" customFormat="1" hidden="1" x14ac:dyDescent="0.2">
      <c r="A2993" s="526"/>
      <c r="B2993" s="527"/>
      <c r="C2993" s="465"/>
      <c r="D2993" s="464"/>
      <c r="E2993" s="464"/>
      <c r="F2993" s="464"/>
      <c r="G2993" s="510"/>
      <c r="H2993" s="411"/>
      <c r="I2993" s="411"/>
      <c r="J2993" s="750" t="e">
        <f t="shared" si="31"/>
        <v>#DIV/0!</v>
      </c>
      <c r="K2993" s="412"/>
      <c r="L2993" s="412"/>
      <c r="M2993" s="682"/>
      <c r="N2993" s="171"/>
      <c r="O2993" s="171"/>
      <c r="P2993" s="169"/>
      <c r="Q2993" s="171"/>
      <c r="R2993" s="171"/>
      <c r="S2993" s="171"/>
      <c r="T2993" s="171"/>
      <c r="U2993" s="171"/>
      <c r="V2993" s="171"/>
      <c r="W2993" s="171"/>
      <c r="X2993" s="171"/>
      <c r="Y2993" s="171"/>
      <c r="Z2993" s="171"/>
      <c r="AA2993" s="171"/>
    </row>
    <row r="2994" spans="1:27" s="530" customFormat="1" hidden="1" x14ac:dyDescent="0.2">
      <c r="A2994" s="526"/>
      <c r="B2994" s="527"/>
      <c r="C2994" s="465"/>
      <c r="D2994" s="464"/>
      <c r="E2994" s="464"/>
      <c r="F2994" s="464"/>
      <c r="G2994" s="510"/>
      <c r="H2994" s="411"/>
      <c r="I2994" s="411"/>
      <c r="J2994" s="750" t="e">
        <f t="shared" si="31"/>
        <v>#DIV/0!</v>
      </c>
      <c r="K2994" s="412"/>
      <c r="L2994" s="412"/>
      <c r="M2994" s="682"/>
      <c r="N2994" s="171"/>
      <c r="O2994" s="171"/>
      <c r="P2994" s="169"/>
      <c r="Q2994" s="171"/>
      <c r="R2994" s="171"/>
      <c r="S2994" s="171"/>
      <c r="T2994" s="171"/>
      <c r="U2994" s="171"/>
      <c r="V2994" s="171"/>
      <c r="W2994" s="171"/>
      <c r="X2994" s="171"/>
      <c r="Y2994" s="171"/>
      <c r="Z2994" s="171"/>
      <c r="AA2994" s="171"/>
    </row>
    <row r="2995" spans="1:27" s="530" customFormat="1" hidden="1" x14ac:dyDescent="0.2">
      <c r="A2995" s="526"/>
      <c r="B2995" s="527"/>
      <c r="C2995" s="465"/>
      <c r="D2995" s="464"/>
      <c r="E2995" s="464"/>
      <c r="F2995" s="464"/>
      <c r="G2995" s="510"/>
      <c r="H2995" s="411"/>
      <c r="I2995" s="411"/>
      <c r="J2995" s="750" t="e">
        <f t="shared" si="31"/>
        <v>#DIV/0!</v>
      </c>
      <c r="K2995" s="412"/>
      <c r="L2995" s="412"/>
      <c r="M2995" s="682"/>
      <c r="N2995" s="171"/>
      <c r="O2995" s="171"/>
      <c r="P2995" s="169"/>
      <c r="Q2995" s="171"/>
      <c r="R2995" s="171"/>
      <c r="S2995" s="171"/>
      <c r="T2995" s="171"/>
      <c r="U2995" s="171"/>
      <c r="V2995" s="171"/>
      <c r="W2995" s="171"/>
      <c r="X2995" s="171"/>
      <c r="Y2995" s="171"/>
      <c r="Z2995" s="171"/>
      <c r="AA2995" s="171"/>
    </row>
    <row r="2996" spans="1:27" s="530" customFormat="1" ht="0.75" hidden="1" customHeight="1" x14ac:dyDescent="0.2">
      <c r="A2996" s="526"/>
      <c r="B2996" s="527"/>
      <c r="C2996" s="465"/>
      <c r="D2996" s="464"/>
      <c r="E2996" s="464"/>
      <c r="F2996" s="464"/>
      <c r="G2996" s="510"/>
      <c r="H2996" s="411"/>
      <c r="I2996" s="411"/>
      <c r="J2996" s="750" t="e">
        <f t="shared" si="31"/>
        <v>#DIV/0!</v>
      </c>
      <c r="K2996" s="412"/>
      <c r="L2996" s="412"/>
      <c r="M2996" s="682"/>
      <c r="N2996" s="171"/>
      <c r="O2996" s="171"/>
      <c r="P2996" s="169"/>
      <c r="Q2996" s="171"/>
      <c r="R2996" s="171"/>
      <c r="S2996" s="171"/>
      <c r="T2996" s="171"/>
      <c r="U2996" s="171"/>
      <c r="V2996" s="171"/>
      <c r="W2996" s="171"/>
      <c r="X2996" s="171"/>
      <c r="Y2996" s="171"/>
      <c r="Z2996" s="171"/>
      <c r="AA2996" s="171"/>
    </row>
    <row r="2997" spans="1:27" s="530" customFormat="1" ht="15.75" customHeight="1" x14ac:dyDescent="0.2">
      <c r="A2997" s="526"/>
      <c r="B2997" s="527"/>
      <c r="C2997" s="465"/>
      <c r="D2997" s="464"/>
      <c r="E2997" s="464"/>
      <c r="F2997" s="498"/>
      <c r="G2997" s="511" t="s">
        <v>4203</v>
      </c>
      <c r="H2997" s="413"/>
      <c r="I2997" s="413"/>
      <c r="J2997" s="750"/>
      <c r="K2997" s="414"/>
      <c r="L2997" s="415"/>
      <c r="M2997" s="682"/>
      <c r="N2997" s="171"/>
      <c r="O2997" s="171"/>
      <c r="P2997" s="169"/>
      <c r="Q2997" s="171"/>
      <c r="R2997" s="171"/>
      <c r="S2997" s="171"/>
      <c r="T2997" s="171"/>
      <c r="U2997" s="171"/>
      <c r="V2997" s="171"/>
      <c r="W2997" s="171"/>
      <c r="X2997" s="171"/>
      <c r="Y2997" s="171"/>
      <c r="Z2997" s="171"/>
      <c r="AA2997" s="171"/>
    </row>
    <row r="2998" spans="1:27" s="530" customFormat="1" ht="16.5" customHeight="1" x14ac:dyDescent="0.2">
      <c r="A2998" s="526"/>
      <c r="B2998" s="527"/>
      <c r="C2998" s="465"/>
      <c r="D2998" s="464"/>
      <c r="E2998" s="464"/>
      <c r="F2998" s="503" t="s">
        <v>234</v>
      </c>
      <c r="G2998" s="504" t="s">
        <v>235</v>
      </c>
      <c r="H2998" s="403">
        <f>SUM(H2293,H1957,H1858)</f>
        <v>83702150</v>
      </c>
      <c r="I2998" s="403">
        <f>SUM(I1957,I1858)</f>
        <v>80065215.150000006</v>
      </c>
      <c r="J2998" s="750">
        <f t="shared" si="31"/>
        <v>95.654908685141308</v>
      </c>
      <c r="K2998" s="404"/>
      <c r="L2998" s="404"/>
      <c r="M2998" s="682"/>
      <c r="N2998" s="171"/>
      <c r="O2998" s="171"/>
      <c r="P2998" s="169"/>
      <c r="Q2998" s="171"/>
      <c r="R2998" s="171"/>
      <c r="S2998" s="171"/>
      <c r="T2998" s="171"/>
      <c r="U2998" s="171"/>
      <c r="V2998" s="171"/>
      <c r="W2998" s="171"/>
      <c r="X2998" s="171"/>
      <c r="Y2998" s="171"/>
      <c r="Z2998" s="171"/>
      <c r="AA2998" s="171"/>
    </row>
    <row r="2999" spans="1:27" s="530" customFormat="1" ht="19.5" hidden="1" customHeight="1" x14ac:dyDescent="0.2">
      <c r="A2999" s="526"/>
      <c r="B2999" s="527"/>
      <c r="C2999" s="465"/>
      <c r="D2999" s="464"/>
      <c r="E2999" s="464"/>
      <c r="F2999" s="503" t="s">
        <v>236</v>
      </c>
      <c r="G2999" s="504" t="s">
        <v>237</v>
      </c>
      <c r="H2999" s="397"/>
      <c r="I2999" s="397"/>
      <c r="J2999" s="750" t="e">
        <f t="shared" si="31"/>
        <v>#DIV/0!</v>
      </c>
      <c r="K2999" s="398"/>
      <c r="L2999" s="404"/>
      <c r="M2999" s="682"/>
      <c r="N2999" s="171"/>
      <c r="O2999" s="171"/>
      <c r="P2999" s="169"/>
      <c r="Q2999" s="171"/>
      <c r="R2999" s="171"/>
      <c r="S2999" s="171"/>
      <c r="T2999" s="171"/>
      <c r="U2999" s="171"/>
      <c r="V2999" s="171"/>
      <c r="W2999" s="171"/>
      <c r="X2999" s="171"/>
      <c r="Y2999" s="171"/>
      <c r="Z2999" s="171"/>
      <c r="AA2999" s="171"/>
    </row>
    <row r="3000" spans="1:27" s="530" customFormat="1" ht="21.75" hidden="1" customHeight="1" x14ac:dyDescent="0.2">
      <c r="A3000" s="526"/>
      <c r="B3000" s="527"/>
      <c r="C3000" s="465"/>
      <c r="D3000" s="464"/>
      <c r="E3000" s="464"/>
      <c r="F3000" s="503" t="s">
        <v>238</v>
      </c>
      <c r="G3000" s="504" t="s">
        <v>239</v>
      </c>
      <c r="H3000" s="397"/>
      <c r="I3000" s="397"/>
      <c r="J3000" s="750" t="e">
        <f t="shared" si="31"/>
        <v>#DIV/0!</v>
      </c>
      <c r="K3000" s="398"/>
      <c r="L3000" s="404"/>
      <c r="M3000" s="682"/>
      <c r="N3000" s="171"/>
      <c r="O3000" s="171"/>
      <c r="P3000" s="169"/>
      <c r="Q3000" s="171"/>
      <c r="R3000" s="171"/>
      <c r="S3000" s="171"/>
      <c r="T3000" s="171"/>
      <c r="U3000" s="171"/>
      <c r="V3000" s="171"/>
      <c r="W3000" s="171"/>
      <c r="X3000" s="171"/>
      <c r="Y3000" s="171"/>
      <c r="Z3000" s="171"/>
      <c r="AA3000" s="171"/>
    </row>
    <row r="3001" spans="1:27" s="530" customFormat="1" ht="20.25" hidden="1" customHeight="1" x14ac:dyDescent="0.2">
      <c r="A3001" s="526"/>
      <c r="B3001" s="527"/>
      <c r="C3001" s="465"/>
      <c r="D3001" s="464"/>
      <c r="E3001" s="464"/>
      <c r="F3001" s="503" t="s">
        <v>240</v>
      </c>
      <c r="G3001" s="504" t="s">
        <v>241</v>
      </c>
      <c r="H3001" s="397"/>
      <c r="I3001" s="397"/>
      <c r="J3001" s="750" t="e">
        <f t="shared" si="31"/>
        <v>#DIV/0!</v>
      </c>
      <c r="K3001" s="398"/>
      <c r="L3001" s="404"/>
      <c r="M3001" s="682"/>
      <c r="N3001" s="171"/>
      <c r="O3001" s="171"/>
      <c r="P3001" s="169"/>
      <c r="Q3001" s="171"/>
      <c r="R3001" s="171"/>
      <c r="S3001" s="171"/>
      <c r="T3001" s="171"/>
      <c r="U3001" s="171"/>
      <c r="V3001" s="171"/>
      <c r="W3001" s="171"/>
      <c r="X3001" s="171"/>
      <c r="Y3001" s="171"/>
      <c r="Z3001" s="171"/>
      <c r="AA3001" s="171"/>
    </row>
    <row r="3002" spans="1:27" s="530" customFormat="1" ht="18" hidden="1" customHeight="1" x14ac:dyDescent="0.2">
      <c r="A3002" s="526"/>
      <c r="B3002" s="527"/>
      <c r="C3002" s="465"/>
      <c r="D3002" s="464"/>
      <c r="E3002" s="464"/>
      <c r="F3002" s="503" t="s">
        <v>242</v>
      </c>
      <c r="G3002" s="504" t="s">
        <v>243</v>
      </c>
      <c r="H3002" s="397"/>
      <c r="I3002" s="397"/>
      <c r="J3002" s="750" t="e">
        <f t="shared" si="31"/>
        <v>#DIV/0!</v>
      </c>
      <c r="K3002" s="398"/>
      <c r="L3002" s="404"/>
      <c r="M3002" s="682"/>
      <c r="N3002" s="171"/>
      <c r="O3002" s="171"/>
      <c r="P3002" s="169"/>
      <c r="Q3002" s="171"/>
      <c r="R3002" s="171"/>
      <c r="S3002" s="171"/>
      <c r="T3002" s="171"/>
      <c r="U3002" s="171"/>
      <c r="V3002" s="171"/>
      <c r="W3002" s="171"/>
      <c r="X3002" s="171"/>
      <c r="Y3002" s="171"/>
      <c r="Z3002" s="171"/>
      <c r="AA3002" s="171"/>
    </row>
    <row r="3003" spans="1:27" s="530" customFormat="1" ht="17.25" hidden="1" customHeight="1" x14ac:dyDescent="0.2">
      <c r="A3003" s="526"/>
      <c r="B3003" s="527"/>
      <c r="C3003" s="465"/>
      <c r="D3003" s="464"/>
      <c r="E3003" s="464"/>
      <c r="F3003" s="503" t="s">
        <v>244</v>
      </c>
      <c r="G3003" s="504" t="s">
        <v>245</v>
      </c>
      <c r="H3003" s="397"/>
      <c r="I3003" s="397"/>
      <c r="J3003" s="750" t="e">
        <f t="shared" si="31"/>
        <v>#DIV/0!</v>
      </c>
      <c r="K3003" s="398"/>
      <c r="L3003" s="404"/>
      <c r="M3003" s="682"/>
      <c r="N3003" s="171"/>
      <c r="O3003" s="171"/>
      <c r="P3003" s="169"/>
      <c r="Q3003" s="171"/>
      <c r="R3003" s="171"/>
      <c r="S3003" s="171"/>
      <c r="T3003" s="171"/>
      <c r="U3003" s="171"/>
      <c r="V3003" s="171"/>
      <c r="W3003" s="171"/>
      <c r="X3003" s="171"/>
      <c r="Y3003" s="171"/>
      <c r="Z3003" s="171"/>
      <c r="AA3003" s="171"/>
    </row>
    <row r="3004" spans="1:27" s="530" customFormat="1" ht="12.75" customHeight="1" x14ac:dyDescent="0.2">
      <c r="A3004" s="526"/>
      <c r="B3004" s="527"/>
      <c r="C3004" s="465"/>
      <c r="D3004" s="464"/>
      <c r="E3004" s="464"/>
      <c r="F3004" s="503" t="s">
        <v>246</v>
      </c>
      <c r="G3004" s="504" t="s">
        <v>247</v>
      </c>
      <c r="H3004" s="397"/>
      <c r="I3004" s="397"/>
      <c r="J3004" s="750"/>
      <c r="K3004" s="398">
        <f>SUM(K2444,K1973,K1874)</f>
        <v>5615165</v>
      </c>
      <c r="L3004" s="404">
        <f>SUM(L2444,L1973,L1874)</f>
        <v>6366450.21</v>
      </c>
      <c r="M3004" s="682"/>
      <c r="N3004" s="171"/>
      <c r="O3004" s="171"/>
      <c r="P3004" s="169"/>
      <c r="Q3004" s="171"/>
      <c r="R3004" s="171"/>
      <c r="S3004" s="171"/>
      <c r="T3004" s="171"/>
      <c r="U3004" s="171"/>
      <c r="V3004" s="171"/>
      <c r="W3004" s="171"/>
      <c r="X3004" s="171"/>
      <c r="Y3004" s="171"/>
      <c r="Z3004" s="171"/>
      <c r="AA3004" s="171"/>
    </row>
    <row r="3005" spans="1:27" s="530" customFormat="1" ht="16.5" hidden="1" customHeight="1" x14ac:dyDescent="0.2">
      <c r="A3005" s="526"/>
      <c r="B3005" s="527"/>
      <c r="C3005" s="465"/>
      <c r="D3005" s="464"/>
      <c r="E3005" s="464"/>
      <c r="F3005" s="503" t="s">
        <v>248</v>
      </c>
      <c r="G3005" s="504" t="s">
        <v>249</v>
      </c>
      <c r="H3005" s="397"/>
      <c r="I3005" s="397"/>
      <c r="J3005" s="750" t="e">
        <f t="shared" si="31"/>
        <v>#DIV/0!</v>
      </c>
      <c r="K3005" s="398"/>
      <c r="L3005" s="404"/>
      <c r="M3005" s="682"/>
      <c r="N3005" s="171"/>
      <c r="O3005" s="171"/>
      <c r="P3005" s="169"/>
      <c r="Q3005" s="171"/>
      <c r="R3005" s="171"/>
      <c r="S3005" s="171"/>
      <c r="T3005" s="171"/>
      <c r="U3005" s="171"/>
      <c r="V3005" s="171"/>
      <c r="W3005" s="171"/>
      <c r="X3005" s="171"/>
      <c r="Y3005" s="171"/>
      <c r="Z3005" s="171"/>
      <c r="AA3005" s="171"/>
    </row>
    <row r="3006" spans="1:27" s="530" customFormat="1" ht="15.75" hidden="1" customHeight="1" x14ac:dyDescent="0.2">
      <c r="A3006" s="526"/>
      <c r="B3006" s="527"/>
      <c r="C3006" s="465"/>
      <c r="D3006" s="464"/>
      <c r="E3006" s="464"/>
      <c r="F3006" s="503" t="s">
        <v>250</v>
      </c>
      <c r="G3006" s="504" t="s">
        <v>57</v>
      </c>
      <c r="H3006" s="397"/>
      <c r="I3006" s="397"/>
      <c r="J3006" s="750" t="e">
        <f t="shared" si="31"/>
        <v>#DIV/0!</v>
      </c>
      <c r="K3006" s="398"/>
      <c r="L3006" s="404"/>
      <c r="M3006" s="682"/>
      <c r="N3006" s="171"/>
      <c r="O3006" s="171"/>
      <c r="P3006" s="169"/>
      <c r="Q3006" s="171"/>
      <c r="R3006" s="171"/>
      <c r="S3006" s="171"/>
      <c r="T3006" s="171"/>
      <c r="U3006" s="171"/>
      <c r="V3006" s="171"/>
      <c r="W3006" s="171"/>
      <c r="X3006" s="171"/>
      <c r="Y3006" s="171"/>
      <c r="Z3006" s="171"/>
      <c r="AA3006" s="171"/>
    </row>
    <row r="3007" spans="1:27" s="530" customFormat="1" ht="16.5" hidden="1" customHeight="1" x14ac:dyDescent="0.2">
      <c r="A3007" s="526"/>
      <c r="B3007" s="527"/>
      <c r="C3007" s="465"/>
      <c r="D3007" s="464"/>
      <c r="E3007" s="464"/>
      <c r="F3007" s="503" t="s">
        <v>251</v>
      </c>
      <c r="G3007" s="504" t="s">
        <v>252</v>
      </c>
      <c r="H3007" s="397"/>
      <c r="I3007" s="397"/>
      <c r="J3007" s="750" t="e">
        <f t="shared" si="31"/>
        <v>#DIV/0!</v>
      </c>
      <c r="K3007" s="398"/>
      <c r="L3007" s="404"/>
      <c r="M3007" s="682"/>
      <c r="N3007" s="171"/>
      <c r="O3007" s="171"/>
      <c r="P3007" s="169"/>
      <c r="Q3007" s="171"/>
      <c r="R3007" s="171"/>
      <c r="S3007" s="171"/>
      <c r="T3007" s="171"/>
      <c r="U3007" s="171"/>
      <c r="V3007" s="171"/>
      <c r="W3007" s="171"/>
      <c r="X3007" s="171"/>
      <c r="Y3007" s="171"/>
      <c r="Z3007" s="171"/>
      <c r="AA3007" s="171"/>
    </row>
    <row r="3008" spans="1:27" s="530" customFormat="1" ht="19.5" hidden="1" customHeight="1" x14ac:dyDescent="0.2">
      <c r="A3008" s="526"/>
      <c r="B3008" s="527"/>
      <c r="C3008" s="465"/>
      <c r="D3008" s="464"/>
      <c r="E3008" s="464"/>
      <c r="F3008" s="503" t="s">
        <v>253</v>
      </c>
      <c r="G3008" s="504" t="s">
        <v>254</v>
      </c>
      <c r="H3008" s="397"/>
      <c r="I3008" s="397"/>
      <c r="J3008" s="750" t="e">
        <f t="shared" si="31"/>
        <v>#DIV/0!</v>
      </c>
      <c r="K3008" s="398"/>
      <c r="L3008" s="404"/>
      <c r="M3008" s="682"/>
      <c r="N3008" s="171"/>
      <c r="O3008" s="171"/>
      <c r="P3008" s="169"/>
      <c r="Q3008" s="171"/>
      <c r="R3008" s="171"/>
      <c r="S3008" s="171"/>
      <c r="T3008" s="171"/>
      <c r="U3008" s="171"/>
      <c r="V3008" s="171"/>
      <c r="W3008" s="171"/>
      <c r="X3008" s="171"/>
      <c r="Y3008" s="171"/>
      <c r="Z3008" s="171"/>
      <c r="AA3008" s="171"/>
    </row>
    <row r="3009" spans="1:27" s="530" customFormat="1" ht="12.75" hidden="1" customHeight="1" x14ac:dyDescent="0.2">
      <c r="A3009" s="526"/>
      <c r="B3009" s="527"/>
      <c r="C3009" s="465"/>
      <c r="D3009" s="464"/>
      <c r="E3009" s="464"/>
      <c r="F3009" s="503" t="s">
        <v>255</v>
      </c>
      <c r="G3009" s="504" t="s">
        <v>256</v>
      </c>
      <c r="H3009" s="397"/>
      <c r="I3009" s="397"/>
      <c r="J3009" s="750" t="e">
        <f t="shared" si="31"/>
        <v>#DIV/0!</v>
      </c>
      <c r="K3009" s="398"/>
      <c r="L3009" s="404"/>
      <c r="M3009" s="682"/>
      <c r="N3009" s="171"/>
      <c r="O3009" s="171"/>
      <c r="P3009" s="169"/>
      <c r="Q3009" s="171"/>
      <c r="R3009" s="171"/>
      <c r="S3009" s="171"/>
      <c r="T3009" s="171"/>
      <c r="U3009" s="171"/>
      <c r="V3009" s="171"/>
      <c r="W3009" s="171"/>
      <c r="X3009" s="171"/>
      <c r="Y3009" s="171"/>
      <c r="Z3009" s="171"/>
      <c r="AA3009" s="171"/>
    </row>
    <row r="3010" spans="1:27" s="530" customFormat="1" ht="14.25" hidden="1" customHeight="1" x14ac:dyDescent="0.2">
      <c r="A3010" s="526"/>
      <c r="B3010" s="527"/>
      <c r="C3010" s="465"/>
      <c r="D3010" s="464"/>
      <c r="E3010" s="464"/>
      <c r="F3010" s="503" t="s">
        <v>257</v>
      </c>
      <c r="G3010" s="504" t="s">
        <v>258</v>
      </c>
      <c r="H3010" s="397"/>
      <c r="I3010" s="397"/>
      <c r="J3010" s="750" t="e">
        <f t="shared" si="31"/>
        <v>#DIV/0!</v>
      </c>
      <c r="K3010" s="398"/>
      <c r="L3010" s="404"/>
      <c r="M3010" s="682"/>
      <c r="N3010" s="171"/>
      <c r="O3010" s="171"/>
      <c r="P3010" s="169"/>
      <c r="Q3010" s="171"/>
      <c r="R3010" s="171"/>
      <c r="S3010" s="171"/>
      <c r="T3010" s="171"/>
      <c r="U3010" s="171"/>
      <c r="V3010" s="171"/>
      <c r="W3010" s="171"/>
      <c r="X3010" s="171"/>
      <c r="Y3010" s="171"/>
      <c r="Z3010" s="171"/>
      <c r="AA3010" s="171"/>
    </row>
    <row r="3011" spans="1:27" s="530" customFormat="1" ht="21.75" hidden="1" customHeight="1" x14ac:dyDescent="0.2">
      <c r="A3011" s="526"/>
      <c r="B3011" s="527"/>
      <c r="C3011" s="465"/>
      <c r="D3011" s="464"/>
      <c r="E3011" s="464"/>
      <c r="F3011" s="503" t="s">
        <v>259</v>
      </c>
      <c r="G3011" s="504" t="s">
        <v>260</v>
      </c>
      <c r="H3011" s="397"/>
      <c r="I3011" s="397"/>
      <c r="J3011" s="750" t="e">
        <f t="shared" si="31"/>
        <v>#DIV/0!</v>
      </c>
      <c r="K3011" s="398"/>
      <c r="L3011" s="404"/>
      <c r="M3011" s="682"/>
      <c r="N3011" s="171"/>
      <c r="O3011" s="171"/>
      <c r="P3011" s="169"/>
      <c r="Q3011" s="171"/>
      <c r="R3011" s="171"/>
      <c r="S3011" s="171"/>
      <c r="T3011" s="171"/>
      <c r="U3011" s="171"/>
      <c r="V3011" s="171"/>
      <c r="W3011" s="171"/>
      <c r="X3011" s="171"/>
      <c r="Y3011" s="171"/>
      <c r="Z3011" s="171"/>
      <c r="AA3011" s="171"/>
    </row>
    <row r="3012" spans="1:27" s="530" customFormat="1" ht="14.25" hidden="1" customHeight="1" x14ac:dyDescent="0.2">
      <c r="A3012" s="526"/>
      <c r="B3012" s="527"/>
      <c r="C3012" s="465"/>
      <c r="D3012" s="464"/>
      <c r="E3012" s="464"/>
      <c r="F3012" s="503" t="s">
        <v>261</v>
      </c>
      <c r="G3012" s="504" t="s">
        <v>262</v>
      </c>
      <c r="H3012" s="397"/>
      <c r="I3012" s="397"/>
      <c r="J3012" s="750" t="e">
        <f t="shared" si="31"/>
        <v>#DIV/0!</v>
      </c>
      <c r="K3012" s="398"/>
      <c r="L3012" s="404"/>
      <c r="M3012" s="682"/>
      <c r="N3012" s="171"/>
      <c r="O3012" s="171"/>
      <c r="P3012" s="169"/>
      <c r="Q3012" s="171"/>
      <c r="R3012" s="171"/>
      <c r="S3012" s="171"/>
      <c r="T3012" s="171"/>
      <c r="U3012" s="171"/>
      <c r="V3012" s="171"/>
      <c r="W3012" s="171"/>
      <c r="X3012" s="171"/>
      <c r="Y3012" s="171"/>
      <c r="Z3012" s="171"/>
      <c r="AA3012" s="171"/>
    </row>
    <row r="3013" spans="1:27" s="530" customFormat="1" ht="13.5" customHeight="1" thickBot="1" x14ac:dyDescent="0.25">
      <c r="A3013" s="526"/>
      <c r="B3013" s="527"/>
      <c r="C3013" s="465"/>
      <c r="D3013" s="464"/>
      <c r="E3013" s="464"/>
      <c r="F3013" s="503" t="s">
        <v>257</v>
      </c>
      <c r="G3013" s="504" t="s">
        <v>258</v>
      </c>
      <c r="H3013" s="403">
        <f>SUM(H2440,H1873)</f>
        <v>10073000</v>
      </c>
      <c r="I3013" s="403">
        <f>SUM(I2426)</f>
        <v>1664786.43</v>
      </c>
      <c r="J3013" s="750">
        <f t="shared" si="31"/>
        <v>16.527215625930705</v>
      </c>
      <c r="K3013" s="404"/>
      <c r="L3013" s="404"/>
      <c r="M3013" s="682"/>
      <c r="N3013" s="171"/>
      <c r="O3013" s="171"/>
      <c r="P3013" s="169"/>
      <c r="Q3013" s="171"/>
      <c r="R3013" s="171"/>
      <c r="S3013" s="171"/>
      <c r="T3013" s="171"/>
      <c r="U3013" s="171"/>
      <c r="V3013" s="171"/>
      <c r="W3013" s="171"/>
      <c r="X3013" s="171"/>
      <c r="Y3013" s="171"/>
      <c r="Z3013" s="171"/>
      <c r="AA3013" s="171"/>
    </row>
    <row r="3014" spans="1:27" s="530" customFormat="1" ht="15" customHeight="1" thickBot="1" x14ac:dyDescent="0.25">
      <c r="A3014" s="526"/>
      <c r="B3014" s="527"/>
      <c r="C3014" s="465"/>
      <c r="D3014" s="464"/>
      <c r="E3014" s="464"/>
      <c r="F3014" s="464"/>
      <c r="G3014" s="505" t="s">
        <v>4204</v>
      </c>
      <c r="H3014" s="405">
        <f>SUM(H2998:H3013)</f>
        <v>93775150</v>
      </c>
      <c r="I3014" s="405">
        <f>SUM(I2998:I3013)</f>
        <v>81730001.580000013</v>
      </c>
      <c r="J3014" s="750">
        <f t="shared" si="31"/>
        <v>87.155287493541749</v>
      </c>
      <c r="K3014" s="406">
        <f>SUM(K3004)</f>
        <v>5615165</v>
      </c>
      <c r="L3014" s="406">
        <f>SUM(L3004)</f>
        <v>6366450.21</v>
      </c>
      <c r="M3014" s="682"/>
      <c r="N3014" s="171"/>
      <c r="O3014" s="171"/>
      <c r="P3014" s="169"/>
      <c r="Q3014" s="171"/>
      <c r="R3014" s="171"/>
      <c r="S3014" s="171"/>
      <c r="T3014" s="171"/>
      <c r="U3014" s="171"/>
      <c r="V3014" s="171"/>
      <c r="W3014" s="171"/>
      <c r="X3014" s="171"/>
      <c r="Y3014" s="171"/>
      <c r="Z3014" s="171"/>
      <c r="AA3014" s="171"/>
    </row>
    <row r="3015" spans="1:27" s="530" customFormat="1" ht="15" hidden="1" customHeight="1" x14ac:dyDescent="0.2">
      <c r="A3015" s="526"/>
      <c r="B3015" s="527"/>
      <c r="C3015" s="465"/>
      <c r="D3015" s="464"/>
      <c r="E3015" s="464"/>
      <c r="F3015" s="464"/>
      <c r="G3015" s="510"/>
      <c r="H3015" s="411"/>
      <c r="I3015" s="411"/>
      <c r="J3015" s="750" t="e">
        <f t="shared" si="31"/>
        <v>#DIV/0!</v>
      </c>
      <c r="K3015" s="412"/>
      <c r="L3015" s="412"/>
      <c r="M3015" s="682"/>
      <c r="N3015" s="171"/>
      <c r="O3015" s="171"/>
      <c r="P3015" s="169"/>
      <c r="Q3015" s="171"/>
      <c r="R3015" s="171"/>
      <c r="S3015" s="171"/>
      <c r="T3015" s="171"/>
      <c r="U3015" s="171"/>
      <c r="V3015" s="171"/>
      <c r="W3015" s="171"/>
      <c r="X3015" s="171"/>
      <c r="Y3015" s="171"/>
      <c r="Z3015" s="171"/>
      <c r="AA3015" s="171"/>
    </row>
    <row r="3016" spans="1:27" s="530" customFormat="1" ht="14.25" hidden="1" customHeight="1" x14ac:dyDescent="0.2">
      <c r="A3016" s="526"/>
      <c r="B3016" s="527"/>
      <c r="C3016" s="465"/>
      <c r="D3016" s="464"/>
      <c r="E3016" s="464"/>
      <c r="F3016" s="464"/>
      <c r="G3016" s="510"/>
      <c r="H3016" s="411"/>
      <c r="I3016" s="411"/>
      <c r="J3016" s="750" t="e">
        <f t="shared" si="31"/>
        <v>#DIV/0!</v>
      </c>
      <c r="K3016" s="412"/>
      <c r="L3016" s="412"/>
      <c r="M3016" s="682"/>
      <c r="N3016" s="171"/>
      <c r="O3016" s="171"/>
      <c r="P3016" s="169"/>
      <c r="Q3016" s="171"/>
      <c r="R3016" s="171"/>
      <c r="S3016" s="171"/>
      <c r="T3016" s="171"/>
      <c r="U3016" s="171"/>
      <c r="V3016" s="171"/>
      <c r="W3016" s="171"/>
      <c r="X3016" s="171"/>
      <c r="Y3016" s="171"/>
      <c r="Z3016" s="171"/>
      <c r="AA3016" s="171"/>
    </row>
    <row r="3017" spans="1:27" s="530" customFormat="1" ht="14.25" hidden="1" customHeight="1" x14ac:dyDescent="0.2">
      <c r="A3017" s="526"/>
      <c r="B3017" s="527"/>
      <c r="C3017" s="465"/>
      <c r="D3017" s="464"/>
      <c r="E3017" s="464"/>
      <c r="F3017" s="464"/>
      <c r="G3017" s="510"/>
      <c r="H3017" s="411"/>
      <c r="I3017" s="411"/>
      <c r="J3017" s="750" t="e">
        <f t="shared" si="31"/>
        <v>#DIV/0!</v>
      </c>
      <c r="K3017" s="412"/>
      <c r="L3017" s="412"/>
      <c r="M3017" s="682"/>
      <c r="N3017" s="171"/>
      <c r="O3017" s="171"/>
      <c r="P3017" s="169"/>
      <c r="Q3017" s="171"/>
      <c r="R3017" s="171"/>
      <c r="S3017" s="171"/>
      <c r="T3017" s="171"/>
      <c r="U3017" s="171"/>
      <c r="V3017" s="171"/>
      <c r="W3017" s="171"/>
      <c r="X3017" s="171"/>
      <c r="Y3017" s="171"/>
      <c r="Z3017" s="171"/>
      <c r="AA3017" s="171"/>
    </row>
    <row r="3018" spans="1:27" s="530" customFormat="1" ht="4.5" hidden="1" customHeight="1" x14ac:dyDescent="0.2">
      <c r="A3018" s="526"/>
      <c r="B3018" s="527"/>
      <c r="C3018" s="465"/>
      <c r="D3018" s="464"/>
      <c r="E3018" s="464"/>
      <c r="F3018" s="464"/>
      <c r="G3018" s="510"/>
      <c r="H3018" s="411"/>
      <c r="I3018" s="411"/>
      <c r="J3018" s="750" t="e">
        <f t="shared" si="31"/>
        <v>#DIV/0!</v>
      </c>
      <c r="K3018" s="412"/>
      <c r="L3018" s="412"/>
      <c r="M3018" s="682"/>
      <c r="N3018" s="171"/>
      <c r="O3018" s="171"/>
      <c r="P3018" s="169"/>
      <c r="Q3018" s="171"/>
      <c r="R3018" s="171"/>
      <c r="S3018" s="171"/>
      <c r="T3018" s="171"/>
      <c r="U3018" s="171"/>
      <c r="V3018" s="171"/>
      <c r="W3018" s="171"/>
      <c r="X3018" s="171"/>
      <c r="Y3018" s="171"/>
      <c r="Z3018" s="171"/>
      <c r="AA3018" s="171"/>
    </row>
    <row r="3019" spans="1:27" s="530" customFormat="1" x14ac:dyDescent="0.2">
      <c r="A3019" s="526"/>
      <c r="B3019" s="527"/>
      <c r="C3019" s="489" t="s">
        <v>3576</v>
      </c>
      <c r="D3019" s="464"/>
      <c r="E3019" s="464"/>
      <c r="F3019" s="464"/>
      <c r="G3019" s="513" t="s">
        <v>4306</v>
      </c>
      <c r="H3019" s="397"/>
      <c r="I3019" s="397"/>
      <c r="J3019" s="750"/>
      <c r="K3019" s="398"/>
      <c r="L3019" s="398"/>
      <c r="M3019" s="682"/>
      <c r="N3019" s="171"/>
      <c r="O3019" s="171"/>
      <c r="P3019" s="169"/>
      <c r="Q3019" s="171"/>
      <c r="R3019" s="171"/>
      <c r="S3019" s="171"/>
      <c r="T3019" s="171"/>
      <c r="U3019" s="171"/>
      <c r="V3019" s="171"/>
      <c r="W3019" s="171"/>
      <c r="X3019" s="171"/>
      <c r="Y3019" s="171"/>
      <c r="Z3019" s="171"/>
      <c r="AA3019" s="171"/>
    </row>
    <row r="3020" spans="1:27" s="530" customFormat="1" ht="12.75" customHeight="1" x14ac:dyDescent="0.2">
      <c r="A3020" s="526"/>
      <c r="B3020" s="527"/>
      <c r="C3020" s="531" t="s">
        <v>5048</v>
      </c>
      <c r="D3020" s="490"/>
      <c r="E3020" s="490"/>
      <c r="F3020" s="532"/>
      <c r="G3020" s="559" t="s">
        <v>4104</v>
      </c>
      <c r="H3020" s="422"/>
      <c r="I3020" s="422"/>
      <c r="J3020" s="750"/>
      <c r="K3020" s="423"/>
      <c r="L3020" s="424"/>
      <c r="M3020" s="682"/>
      <c r="N3020" s="171"/>
      <c r="O3020" s="171"/>
      <c r="P3020" s="169"/>
      <c r="Q3020" s="171"/>
      <c r="R3020" s="171"/>
      <c r="S3020" s="171"/>
      <c r="T3020" s="171"/>
      <c r="U3020" s="171"/>
      <c r="V3020" s="171"/>
      <c r="W3020" s="171"/>
      <c r="X3020" s="171"/>
      <c r="Y3020" s="171"/>
      <c r="Z3020" s="171"/>
      <c r="AA3020" s="171"/>
    </row>
    <row r="3021" spans="1:27" s="530" customFormat="1" ht="13.5" customHeight="1" x14ac:dyDescent="0.2">
      <c r="A3021" s="464"/>
      <c r="B3021" s="464"/>
      <c r="C3021" s="489"/>
      <c r="D3021" s="492">
        <v>620</v>
      </c>
      <c r="E3021" s="492"/>
      <c r="F3021" s="492"/>
      <c r="G3021" s="493" t="s">
        <v>182</v>
      </c>
      <c r="H3021" s="397"/>
      <c r="I3021" s="397"/>
      <c r="J3021" s="750"/>
      <c r="K3021" s="398"/>
      <c r="L3021" s="398"/>
      <c r="M3021" s="682"/>
      <c r="N3021" s="171"/>
      <c r="O3021" s="171"/>
      <c r="P3021" s="169"/>
      <c r="Q3021" s="171"/>
      <c r="R3021" s="171"/>
      <c r="S3021" s="171"/>
      <c r="T3021" s="171"/>
      <c r="U3021" s="171"/>
      <c r="V3021" s="171"/>
      <c r="W3021" s="171"/>
      <c r="X3021" s="171"/>
      <c r="Y3021" s="171"/>
      <c r="Z3021" s="171"/>
      <c r="AA3021" s="171"/>
    </row>
    <row r="3022" spans="1:27" s="530" customFormat="1" hidden="1" x14ac:dyDescent="0.2">
      <c r="A3022" s="464"/>
      <c r="B3022" s="464"/>
      <c r="C3022" s="465"/>
      <c r="D3022" s="464"/>
      <c r="E3022" s="464"/>
      <c r="F3022" s="494">
        <v>411</v>
      </c>
      <c r="G3022" s="495" t="s">
        <v>4167</v>
      </c>
      <c r="H3022" s="397"/>
      <c r="I3022" s="397"/>
      <c r="J3022" s="750" t="e">
        <f t="shared" ref="J3022:J3081" si="32">SUM(I3022/H3022)*100</f>
        <v>#DIV/0!</v>
      </c>
      <c r="K3022" s="398"/>
      <c r="L3022" s="398"/>
      <c r="M3022" s="682"/>
      <c r="N3022" s="171"/>
      <c r="O3022" s="171"/>
      <c r="P3022" s="169"/>
      <c r="Q3022" s="171"/>
      <c r="R3022" s="171"/>
      <c r="S3022" s="171"/>
      <c r="T3022" s="171"/>
      <c r="U3022" s="171"/>
      <c r="V3022" s="171"/>
      <c r="W3022" s="171"/>
      <c r="X3022" s="171"/>
      <c r="Y3022" s="171"/>
      <c r="Z3022" s="171"/>
      <c r="AA3022" s="171"/>
    </row>
    <row r="3023" spans="1:27" s="530" customFormat="1" hidden="1" x14ac:dyDescent="0.2">
      <c r="A3023" s="464"/>
      <c r="B3023" s="464"/>
      <c r="C3023" s="465"/>
      <c r="D3023" s="464"/>
      <c r="E3023" s="464"/>
      <c r="F3023" s="494">
        <v>412</v>
      </c>
      <c r="G3023" s="496" t="s">
        <v>3764</v>
      </c>
      <c r="H3023" s="397"/>
      <c r="I3023" s="397"/>
      <c r="J3023" s="750" t="e">
        <f t="shared" si="32"/>
        <v>#DIV/0!</v>
      </c>
      <c r="K3023" s="398"/>
      <c r="L3023" s="398"/>
      <c r="M3023" s="682"/>
      <c r="N3023" s="171"/>
      <c r="O3023" s="171"/>
      <c r="P3023" s="169"/>
      <c r="Q3023" s="171"/>
      <c r="R3023" s="171"/>
      <c r="S3023" s="171"/>
      <c r="T3023" s="171"/>
      <c r="U3023" s="171"/>
      <c r="V3023" s="171"/>
      <c r="W3023" s="171"/>
      <c r="X3023" s="171"/>
      <c r="Y3023" s="171"/>
      <c r="Z3023" s="171"/>
      <c r="AA3023" s="171"/>
    </row>
    <row r="3024" spans="1:27" s="530" customFormat="1" hidden="1" x14ac:dyDescent="0.2">
      <c r="A3024" s="464"/>
      <c r="B3024" s="464"/>
      <c r="C3024" s="465"/>
      <c r="D3024" s="464"/>
      <c r="E3024" s="464"/>
      <c r="F3024" s="494">
        <v>413</v>
      </c>
      <c r="G3024" s="495" t="s">
        <v>4168</v>
      </c>
      <c r="H3024" s="397"/>
      <c r="I3024" s="397"/>
      <c r="J3024" s="750" t="e">
        <f t="shared" si="32"/>
        <v>#DIV/0!</v>
      </c>
      <c r="K3024" s="398"/>
      <c r="L3024" s="398"/>
      <c r="M3024" s="682"/>
      <c r="N3024" s="171"/>
      <c r="O3024" s="171"/>
      <c r="P3024" s="169"/>
      <c r="Q3024" s="171"/>
      <c r="R3024" s="171"/>
      <c r="S3024" s="171"/>
      <c r="T3024" s="171"/>
      <c r="U3024" s="171"/>
      <c r="V3024" s="171"/>
      <c r="W3024" s="171"/>
      <c r="X3024" s="171"/>
      <c r="Y3024" s="171"/>
      <c r="Z3024" s="171"/>
      <c r="AA3024" s="171"/>
    </row>
    <row r="3025" spans="1:27" s="530" customFormat="1" hidden="1" x14ac:dyDescent="0.2">
      <c r="A3025" s="464"/>
      <c r="B3025" s="464"/>
      <c r="C3025" s="465"/>
      <c r="D3025" s="464"/>
      <c r="E3025" s="464"/>
      <c r="F3025" s="494">
        <v>414</v>
      </c>
      <c r="G3025" s="495" t="s">
        <v>3767</v>
      </c>
      <c r="H3025" s="397"/>
      <c r="I3025" s="397"/>
      <c r="J3025" s="750" t="e">
        <f t="shared" si="32"/>
        <v>#DIV/0!</v>
      </c>
      <c r="K3025" s="398"/>
      <c r="L3025" s="398"/>
      <c r="M3025" s="682"/>
      <c r="N3025" s="171"/>
      <c r="O3025" s="171"/>
      <c r="P3025" s="169"/>
      <c r="Q3025" s="171"/>
      <c r="R3025" s="171"/>
      <c r="S3025" s="171"/>
      <c r="T3025" s="171"/>
      <c r="U3025" s="171"/>
      <c r="V3025" s="171"/>
      <c r="W3025" s="171"/>
      <c r="X3025" s="171"/>
      <c r="Y3025" s="171"/>
      <c r="Z3025" s="171"/>
      <c r="AA3025" s="171"/>
    </row>
    <row r="3026" spans="1:27" s="530" customFormat="1" hidden="1" x14ac:dyDescent="0.2">
      <c r="A3026" s="464"/>
      <c r="B3026" s="464"/>
      <c r="C3026" s="465"/>
      <c r="D3026" s="464"/>
      <c r="E3026" s="464"/>
      <c r="F3026" s="494">
        <v>415</v>
      </c>
      <c r="G3026" s="495" t="s">
        <v>4177</v>
      </c>
      <c r="H3026" s="397"/>
      <c r="I3026" s="397"/>
      <c r="J3026" s="750" t="e">
        <f t="shared" si="32"/>
        <v>#DIV/0!</v>
      </c>
      <c r="K3026" s="398"/>
      <c r="L3026" s="398"/>
      <c r="M3026" s="682"/>
      <c r="N3026" s="171"/>
      <c r="O3026" s="171"/>
      <c r="P3026" s="169"/>
      <c r="Q3026" s="171"/>
      <c r="R3026" s="171"/>
      <c r="S3026" s="171"/>
      <c r="T3026" s="171"/>
      <c r="U3026" s="171"/>
      <c r="V3026" s="171"/>
      <c r="W3026" s="171"/>
      <c r="X3026" s="171"/>
      <c r="Y3026" s="171"/>
      <c r="Z3026" s="171"/>
      <c r="AA3026" s="171"/>
    </row>
    <row r="3027" spans="1:27" s="530" customFormat="1" ht="25.5" hidden="1" x14ac:dyDescent="0.2">
      <c r="A3027" s="464"/>
      <c r="B3027" s="464"/>
      <c r="C3027" s="465"/>
      <c r="D3027" s="464"/>
      <c r="E3027" s="464"/>
      <c r="F3027" s="494">
        <v>416</v>
      </c>
      <c r="G3027" s="495" t="s">
        <v>4178</v>
      </c>
      <c r="H3027" s="397"/>
      <c r="I3027" s="397"/>
      <c r="J3027" s="750" t="e">
        <f t="shared" si="32"/>
        <v>#DIV/0!</v>
      </c>
      <c r="K3027" s="398"/>
      <c r="L3027" s="398"/>
      <c r="M3027" s="682"/>
      <c r="N3027" s="171"/>
      <c r="O3027" s="171"/>
      <c r="P3027" s="169"/>
      <c r="Q3027" s="171"/>
      <c r="R3027" s="171"/>
      <c r="S3027" s="171"/>
      <c r="T3027" s="171"/>
      <c r="U3027" s="171"/>
      <c r="V3027" s="171"/>
      <c r="W3027" s="171"/>
      <c r="X3027" s="171"/>
      <c r="Y3027" s="171"/>
      <c r="Z3027" s="171"/>
      <c r="AA3027" s="171"/>
    </row>
    <row r="3028" spans="1:27" s="530" customFormat="1" hidden="1" x14ac:dyDescent="0.2">
      <c r="A3028" s="464"/>
      <c r="B3028" s="464"/>
      <c r="C3028" s="465"/>
      <c r="D3028" s="464"/>
      <c r="E3028" s="464"/>
      <c r="F3028" s="494">
        <v>417</v>
      </c>
      <c r="G3028" s="495" t="s">
        <v>4179</v>
      </c>
      <c r="H3028" s="397"/>
      <c r="I3028" s="397"/>
      <c r="J3028" s="750" t="e">
        <f t="shared" si="32"/>
        <v>#DIV/0!</v>
      </c>
      <c r="K3028" s="398"/>
      <c r="L3028" s="398"/>
      <c r="M3028" s="682"/>
      <c r="N3028" s="171"/>
      <c r="O3028" s="171"/>
      <c r="P3028" s="169"/>
      <c r="Q3028" s="171"/>
      <c r="R3028" s="171"/>
      <c r="S3028" s="171"/>
      <c r="T3028" s="171"/>
      <c r="U3028" s="171"/>
      <c r="V3028" s="171"/>
      <c r="W3028" s="171"/>
      <c r="X3028" s="171"/>
      <c r="Y3028" s="171"/>
      <c r="Z3028" s="171"/>
      <c r="AA3028" s="171"/>
    </row>
    <row r="3029" spans="1:27" s="530" customFormat="1" hidden="1" x14ac:dyDescent="0.2">
      <c r="A3029" s="464"/>
      <c r="B3029" s="464"/>
      <c r="C3029" s="465"/>
      <c r="D3029" s="464"/>
      <c r="E3029" s="464"/>
      <c r="F3029" s="494">
        <v>418</v>
      </c>
      <c r="G3029" s="495" t="s">
        <v>3773</v>
      </c>
      <c r="H3029" s="397"/>
      <c r="I3029" s="397"/>
      <c r="J3029" s="750" t="e">
        <f t="shared" si="32"/>
        <v>#DIV/0!</v>
      </c>
      <c r="K3029" s="398"/>
      <c r="L3029" s="398"/>
      <c r="M3029" s="682"/>
      <c r="N3029" s="171"/>
      <c r="O3029" s="171"/>
      <c r="P3029" s="169"/>
      <c r="Q3029" s="171"/>
      <c r="R3029" s="171"/>
      <c r="S3029" s="171"/>
      <c r="T3029" s="171"/>
      <c r="U3029" s="171"/>
      <c r="V3029" s="171"/>
      <c r="W3029" s="171"/>
      <c r="X3029" s="171"/>
      <c r="Y3029" s="171"/>
      <c r="Z3029" s="171"/>
      <c r="AA3029" s="171"/>
    </row>
    <row r="3030" spans="1:27" s="530" customFormat="1" hidden="1" x14ac:dyDescent="0.2">
      <c r="A3030" s="464"/>
      <c r="B3030" s="464"/>
      <c r="C3030" s="465"/>
      <c r="D3030" s="464"/>
      <c r="E3030" s="464"/>
      <c r="F3030" s="494">
        <v>421</v>
      </c>
      <c r="G3030" s="495" t="s">
        <v>3777</v>
      </c>
      <c r="H3030" s="397"/>
      <c r="I3030" s="397"/>
      <c r="J3030" s="750" t="e">
        <f t="shared" si="32"/>
        <v>#DIV/0!</v>
      </c>
      <c r="K3030" s="398"/>
      <c r="L3030" s="398"/>
      <c r="M3030" s="682"/>
      <c r="N3030" s="171"/>
      <c r="O3030" s="171"/>
      <c r="P3030" s="169"/>
      <c r="Q3030" s="171"/>
      <c r="R3030" s="171"/>
      <c r="S3030" s="171"/>
      <c r="T3030" s="171"/>
      <c r="U3030" s="171"/>
      <c r="V3030" s="171"/>
      <c r="W3030" s="171"/>
      <c r="X3030" s="171"/>
      <c r="Y3030" s="171"/>
      <c r="Z3030" s="171"/>
      <c r="AA3030" s="171"/>
    </row>
    <row r="3031" spans="1:27" s="530" customFormat="1" hidden="1" x14ac:dyDescent="0.2">
      <c r="A3031" s="464"/>
      <c r="B3031" s="464"/>
      <c r="C3031" s="465"/>
      <c r="D3031" s="464"/>
      <c r="E3031" s="464"/>
      <c r="F3031" s="494">
        <v>422</v>
      </c>
      <c r="G3031" s="495" t="s">
        <v>3778</v>
      </c>
      <c r="H3031" s="397"/>
      <c r="I3031" s="397"/>
      <c r="J3031" s="750" t="e">
        <f t="shared" si="32"/>
        <v>#DIV/0!</v>
      </c>
      <c r="K3031" s="398"/>
      <c r="L3031" s="398"/>
      <c r="M3031" s="682"/>
      <c r="N3031" s="171"/>
      <c r="O3031" s="171"/>
      <c r="P3031" s="169"/>
      <c r="Q3031" s="171"/>
      <c r="R3031" s="171"/>
      <c r="S3031" s="171"/>
      <c r="T3031" s="171"/>
      <c r="U3031" s="171"/>
      <c r="V3031" s="171"/>
      <c r="W3031" s="171"/>
      <c r="X3031" s="171"/>
      <c r="Y3031" s="171"/>
      <c r="Z3031" s="171"/>
      <c r="AA3031" s="171"/>
    </row>
    <row r="3032" spans="1:27" s="530" customFormat="1" hidden="1" x14ac:dyDescent="0.2">
      <c r="A3032" s="464"/>
      <c r="B3032" s="464"/>
      <c r="C3032" s="465"/>
      <c r="D3032" s="464"/>
      <c r="E3032" s="464"/>
      <c r="F3032" s="494">
        <v>423</v>
      </c>
      <c r="G3032" s="495" t="s">
        <v>3779</v>
      </c>
      <c r="H3032" s="397"/>
      <c r="I3032" s="397"/>
      <c r="J3032" s="750" t="e">
        <f t="shared" si="32"/>
        <v>#DIV/0!</v>
      </c>
      <c r="K3032" s="398"/>
      <c r="L3032" s="398"/>
      <c r="M3032" s="682"/>
      <c r="N3032" s="171"/>
      <c r="O3032" s="171"/>
      <c r="P3032" s="169"/>
      <c r="Q3032" s="171"/>
      <c r="R3032" s="171"/>
      <c r="S3032" s="171"/>
      <c r="T3032" s="171"/>
      <c r="U3032" s="171"/>
      <c r="V3032" s="171"/>
      <c r="W3032" s="171"/>
      <c r="X3032" s="171"/>
      <c r="Y3032" s="171"/>
      <c r="Z3032" s="171"/>
      <c r="AA3032" s="171"/>
    </row>
    <row r="3033" spans="1:27" s="530" customFormat="1" x14ac:dyDescent="0.2">
      <c r="A3033" s="464"/>
      <c r="B3033" s="464"/>
      <c r="C3033" s="465"/>
      <c r="D3033" s="464"/>
      <c r="E3033" s="464">
        <v>38</v>
      </c>
      <c r="F3033" s="494">
        <v>424</v>
      </c>
      <c r="G3033" s="495" t="s">
        <v>3781</v>
      </c>
      <c r="H3033" s="397">
        <v>25000000</v>
      </c>
      <c r="I3033" s="397">
        <v>22148572.420000002</v>
      </c>
      <c r="J3033" s="750">
        <f t="shared" si="32"/>
        <v>88.594289680000003</v>
      </c>
      <c r="K3033" s="398">
        <v>12162010</v>
      </c>
      <c r="L3033" s="398">
        <v>8659772.5099999998</v>
      </c>
      <c r="M3033" s="682"/>
      <c r="N3033" s="171"/>
      <c r="O3033" s="171"/>
      <c r="P3033" s="169"/>
      <c r="Q3033" s="171"/>
      <c r="R3033" s="171"/>
      <c r="S3033" s="171"/>
      <c r="T3033" s="171"/>
      <c r="U3033" s="171"/>
      <c r="V3033" s="171"/>
      <c r="W3033" s="171"/>
      <c r="X3033" s="171"/>
      <c r="Y3033" s="171"/>
      <c r="Z3033" s="171"/>
      <c r="AA3033" s="171"/>
    </row>
    <row r="3034" spans="1:27" s="530" customFormat="1" hidden="1" x14ac:dyDescent="0.2">
      <c r="A3034" s="464"/>
      <c r="B3034" s="464"/>
      <c r="C3034" s="465"/>
      <c r="D3034" s="464"/>
      <c r="E3034" s="464"/>
      <c r="F3034" s="494">
        <v>425</v>
      </c>
      <c r="G3034" s="495" t="s">
        <v>4180</v>
      </c>
      <c r="H3034" s="397"/>
      <c r="I3034" s="397"/>
      <c r="J3034" s="750" t="e">
        <f t="shared" si="32"/>
        <v>#DIV/0!</v>
      </c>
      <c r="K3034" s="398"/>
      <c r="L3034" s="398"/>
      <c r="M3034" s="682"/>
      <c r="N3034" s="171"/>
      <c r="O3034" s="171"/>
      <c r="P3034" s="169"/>
      <c r="Q3034" s="171"/>
      <c r="R3034" s="171"/>
      <c r="S3034" s="171"/>
      <c r="T3034" s="171"/>
      <c r="U3034" s="171"/>
      <c r="V3034" s="171"/>
      <c r="W3034" s="171"/>
      <c r="X3034" s="171"/>
      <c r="Y3034" s="171"/>
      <c r="Z3034" s="171"/>
      <c r="AA3034" s="171"/>
    </row>
    <row r="3035" spans="1:27" s="530" customFormat="1" hidden="1" x14ac:dyDescent="0.2">
      <c r="A3035" s="464"/>
      <c r="B3035" s="464"/>
      <c r="C3035" s="465"/>
      <c r="D3035" s="464"/>
      <c r="E3035" s="464"/>
      <c r="F3035" s="494">
        <v>426</v>
      </c>
      <c r="G3035" s="495" t="s">
        <v>3785</v>
      </c>
      <c r="H3035" s="397"/>
      <c r="I3035" s="397"/>
      <c r="J3035" s="750" t="e">
        <f t="shared" si="32"/>
        <v>#DIV/0!</v>
      </c>
      <c r="K3035" s="398"/>
      <c r="L3035" s="398"/>
      <c r="M3035" s="682"/>
      <c r="N3035" s="171"/>
      <c r="O3035" s="171"/>
      <c r="P3035" s="169"/>
      <c r="Q3035" s="171"/>
      <c r="R3035" s="171"/>
      <c r="S3035" s="171"/>
      <c r="T3035" s="171"/>
      <c r="U3035" s="171"/>
      <c r="V3035" s="171"/>
      <c r="W3035" s="171"/>
      <c r="X3035" s="171"/>
      <c r="Y3035" s="171"/>
      <c r="Z3035" s="171"/>
      <c r="AA3035" s="171"/>
    </row>
    <row r="3036" spans="1:27" s="530" customFormat="1" hidden="1" x14ac:dyDescent="0.2">
      <c r="A3036" s="464"/>
      <c r="B3036" s="464"/>
      <c r="C3036" s="465"/>
      <c r="D3036" s="464"/>
      <c r="E3036" s="464"/>
      <c r="F3036" s="494">
        <v>431</v>
      </c>
      <c r="G3036" s="495" t="s">
        <v>4181</v>
      </c>
      <c r="H3036" s="397"/>
      <c r="I3036" s="397"/>
      <c r="J3036" s="750" t="e">
        <f t="shared" si="32"/>
        <v>#DIV/0!</v>
      </c>
      <c r="K3036" s="398"/>
      <c r="L3036" s="398"/>
      <c r="M3036" s="682"/>
      <c r="N3036" s="171"/>
      <c r="O3036" s="171"/>
      <c r="P3036" s="169"/>
      <c r="Q3036" s="171"/>
      <c r="R3036" s="171"/>
      <c r="S3036" s="171"/>
      <c r="T3036" s="171"/>
      <c r="U3036" s="171"/>
      <c r="V3036" s="171"/>
      <c r="W3036" s="171"/>
      <c r="X3036" s="171"/>
      <c r="Y3036" s="171"/>
      <c r="Z3036" s="171"/>
      <c r="AA3036" s="171"/>
    </row>
    <row r="3037" spans="1:27" s="530" customFormat="1" hidden="1" x14ac:dyDescent="0.2">
      <c r="A3037" s="464"/>
      <c r="B3037" s="464"/>
      <c r="C3037" s="465"/>
      <c r="D3037" s="464"/>
      <c r="E3037" s="464"/>
      <c r="F3037" s="494">
        <v>432</v>
      </c>
      <c r="G3037" s="495" t="s">
        <v>4182</v>
      </c>
      <c r="H3037" s="397"/>
      <c r="I3037" s="397"/>
      <c r="J3037" s="750" t="e">
        <f t="shared" si="32"/>
        <v>#DIV/0!</v>
      </c>
      <c r="K3037" s="398"/>
      <c r="L3037" s="398"/>
      <c r="M3037" s="682"/>
      <c r="N3037" s="171"/>
      <c r="O3037" s="171"/>
      <c r="P3037" s="169"/>
      <c r="Q3037" s="171"/>
      <c r="R3037" s="171"/>
      <c r="S3037" s="171"/>
      <c r="T3037" s="171"/>
      <c r="U3037" s="171"/>
      <c r="V3037" s="171"/>
      <c r="W3037" s="171"/>
      <c r="X3037" s="171"/>
      <c r="Y3037" s="171"/>
      <c r="Z3037" s="171"/>
      <c r="AA3037" s="171"/>
    </row>
    <row r="3038" spans="1:27" s="530" customFormat="1" hidden="1" x14ac:dyDescent="0.2">
      <c r="A3038" s="464"/>
      <c r="B3038" s="464"/>
      <c r="C3038" s="465"/>
      <c r="D3038" s="464"/>
      <c r="E3038" s="464"/>
      <c r="F3038" s="494">
        <v>433</v>
      </c>
      <c r="G3038" s="495" t="s">
        <v>4183</v>
      </c>
      <c r="H3038" s="397"/>
      <c r="I3038" s="397"/>
      <c r="J3038" s="750" t="e">
        <f t="shared" si="32"/>
        <v>#DIV/0!</v>
      </c>
      <c r="K3038" s="398"/>
      <c r="L3038" s="398"/>
      <c r="M3038" s="682"/>
      <c r="N3038" s="171"/>
      <c r="O3038" s="171"/>
      <c r="P3038" s="169"/>
      <c r="Q3038" s="171"/>
      <c r="R3038" s="171"/>
      <c r="S3038" s="171"/>
      <c r="T3038" s="171"/>
      <c r="U3038" s="171"/>
      <c r="V3038" s="171"/>
      <c r="W3038" s="171"/>
      <c r="X3038" s="171"/>
      <c r="Y3038" s="171"/>
      <c r="Z3038" s="171"/>
      <c r="AA3038" s="171"/>
    </row>
    <row r="3039" spans="1:27" s="530" customFormat="1" hidden="1" x14ac:dyDescent="0.2">
      <c r="A3039" s="464"/>
      <c r="B3039" s="464"/>
      <c r="C3039" s="465"/>
      <c r="D3039" s="464"/>
      <c r="E3039" s="464"/>
      <c r="F3039" s="494">
        <v>434</v>
      </c>
      <c r="G3039" s="495" t="s">
        <v>4184</v>
      </c>
      <c r="H3039" s="397"/>
      <c r="I3039" s="397"/>
      <c r="J3039" s="750" t="e">
        <f t="shared" si="32"/>
        <v>#DIV/0!</v>
      </c>
      <c r="K3039" s="398"/>
      <c r="L3039" s="398"/>
      <c r="M3039" s="682"/>
      <c r="N3039" s="171"/>
      <c r="O3039" s="171"/>
      <c r="P3039" s="169"/>
      <c r="Q3039" s="171"/>
      <c r="R3039" s="171"/>
      <c r="S3039" s="171"/>
      <c r="T3039" s="171"/>
      <c r="U3039" s="171"/>
      <c r="V3039" s="171"/>
      <c r="W3039" s="171"/>
      <c r="X3039" s="171"/>
      <c r="Y3039" s="171"/>
      <c r="Z3039" s="171"/>
      <c r="AA3039" s="171"/>
    </row>
    <row r="3040" spans="1:27" s="530" customFormat="1" hidden="1" x14ac:dyDescent="0.2">
      <c r="A3040" s="464"/>
      <c r="B3040" s="464"/>
      <c r="C3040" s="465"/>
      <c r="D3040" s="464"/>
      <c r="E3040" s="464"/>
      <c r="F3040" s="494">
        <v>435</v>
      </c>
      <c r="G3040" s="495" t="s">
        <v>3792</v>
      </c>
      <c r="H3040" s="397"/>
      <c r="I3040" s="397"/>
      <c r="J3040" s="750" t="e">
        <f t="shared" si="32"/>
        <v>#DIV/0!</v>
      </c>
      <c r="K3040" s="398"/>
      <c r="L3040" s="398"/>
      <c r="M3040" s="682"/>
      <c r="N3040" s="171"/>
      <c r="O3040" s="171"/>
      <c r="P3040" s="169"/>
      <c r="Q3040" s="171"/>
      <c r="R3040" s="171"/>
      <c r="S3040" s="171"/>
      <c r="T3040" s="171"/>
      <c r="U3040" s="171"/>
      <c r="V3040" s="171"/>
      <c r="W3040" s="171"/>
      <c r="X3040" s="171"/>
      <c r="Y3040" s="171"/>
      <c r="Z3040" s="171"/>
      <c r="AA3040" s="171"/>
    </row>
    <row r="3041" spans="1:27" s="530" customFormat="1" hidden="1" x14ac:dyDescent="0.2">
      <c r="A3041" s="464"/>
      <c r="B3041" s="464"/>
      <c r="C3041" s="465"/>
      <c r="D3041" s="464"/>
      <c r="E3041" s="464"/>
      <c r="F3041" s="494">
        <v>441</v>
      </c>
      <c r="G3041" s="495" t="s">
        <v>4185</v>
      </c>
      <c r="H3041" s="397"/>
      <c r="I3041" s="397"/>
      <c r="J3041" s="750" t="e">
        <f t="shared" si="32"/>
        <v>#DIV/0!</v>
      </c>
      <c r="K3041" s="398"/>
      <c r="L3041" s="398"/>
      <c r="M3041" s="682"/>
      <c r="N3041" s="171"/>
      <c r="O3041" s="171"/>
      <c r="P3041" s="169"/>
      <c r="Q3041" s="171"/>
      <c r="R3041" s="171"/>
      <c r="S3041" s="171"/>
      <c r="T3041" s="171"/>
      <c r="U3041" s="171"/>
      <c r="V3041" s="171"/>
      <c r="W3041" s="171"/>
      <c r="X3041" s="171"/>
      <c r="Y3041" s="171"/>
      <c r="Z3041" s="171"/>
      <c r="AA3041" s="171"/>
    </row>
    <row r="3042" spans="1:27" s="530" customFormat="1" hidden="1" x14ac:dyDescent="0.2">
      <c r="A3042" s="464"/>
      <c r="B3042" s="464"/>
      <c r="C3042" s="465"/>
      <c r="D3042" s="464"/>
      <c r="E3042" s="464"/>
      <c r="F3042" s="494">
        <v>442</v>
      </c>
      <c r="G3042" s="495" t="s">
        <v>4186</v>
      </c>
      <c r="H3042" s="397"/>
      <c r="I3042" s="397"/>
      <c r="J3042" s="750" t="e">
        <f t="shared" si="32"/>
        <v>#DIV/0!</v>
      </c>
      <c r="K3042" s="398"/>
      <c r="L3042" s="398"/>
      <c r="M3042" s="682"/>
      <c r="N3042" s="171"/>
      <c r="O3042" s="171"/>
      <c r="P3042" s="169"/>
      <c r="Q3042" s="171"/>
      <c r="R3042" s="171"/>
      <c r="S3042" s="171"/>
      <c r="T3042" s="171"/>
      <c r="U3042" s="171"/>
      <c r="V3042" s="171"/>
      <c r="W3042" s="171"/>
      <c r="X3042" s="171"/>
      <c r="Y3042" s="171"/>
      <c r="Z3042" s="171"/>
      <c r="AA3042" s="171"/>
    </row>
    <row r="3043" spans="1:27" s="530" customFormat="1" hidden="1" x14ac:dyDescent="0.2">
      <c r="A3043" s="464"/>
      <c r="B3043" s="464"/>
      <c r="C3043" s="465"/>
      <c r="D3043" s="464"/>
      <c r="E3043" s="464"/>
      <c r="F3043" s="494">
        <v>443</v>
      </c>
      <c r="G3043" s="495" t="s">
        <v>3797</v>
      </c>
      <c r="H3043" s="397"/>
      <c r="I3043" s="397"/>
      <c r="J3043" s="750" t="e">
        <f t="shared" si="32"/>
        <v>#DIV/0!</v>
      </c>
      <c r="K3043" s="398"/>
      <c r="L3043" s="398"/>
      <c r="M3043" s="682"/>
      <c r="N3043" s="171"/>
      <c r="O3043" s="171"/>
      <c r="P3043" s="169"/>
      <c r="Q3043" s="171"/>
      <c r="R3043" s="171"/>
      <c r="S3043" s="171"/>
      <c r="T3043" s="171"/>
      <c r="U3043" s="171"/>
      <c r="V3043" s="171"/>
      <c r="W3043" s="171"/>
      <c r="X3043" s="171"/>
      <c r="Y3043" s="171"/>
      <c r="Z3043" s="171"/>
      <c r="AA3043" s="171"/>
    </row>
    <row r="3044" spans="1:27" s="530" customFormat="1" hidden="1" x14ac:dyDescent="0.2">
      <c r="A3044" s="464"/>
      <c r="B3044" s="464"/>
      <c r="C3044" s="465"/>
      <c r="D3044" s="464"/>
      <c r="E3044" s="464"/>
      <c r="F3044" s="494">
        <v>444</v>
      </c>
      <c r="G3044" s="495" t="s">
        <v>3798</v>
      </c>
      <c r="H3044" s="397"/>
      <c r="I3044" s="397"/>
      <c r="J3044" s="750" t="e">
        <f t="shared" si="32"/>
        <v>#DIV/0!</v>
      </c>
      <c r="K3044" s="398"/>
      <c r="L3044" s="398"/>
      <c r="M3044" s="682"/>
      <c r="N3044" s="171"/>
      <c r="O3044" s="171"/>
      <c r="P3044" s="169"/>
      <c r="Q3044" s="171"/>
      <c r="R3044" s="171"/>
      <c r="S3044" s="171"/>
      <c r="T3044" s="171"/>
      <c r="U3044" s="171"/>
      <c r="V3044" s="171"/>
      <c r="W3044" s="171"/>
      <c r="X3044" s="171"/>
      <c r="Y3044" s="171"/>
      <c r="Z3044" s="171"/>
      <c r="AA3044" s="171"/>
    </row>
    <row r="3045" spans="1:27" s="530" customFormat="1" ht="25.5" hidden="1" x14ac:dyDescent="0.2">
      <c r="A3045" s="464"/>
      <c r="B3045" s="464"/>
      <c r="C3045" s="465"/>
      <c r="D3045" s="464"/>
      <c r="E3045" s="464"/>
      <c r="F3045" s="494">
        <v>4511</v>
      </c>
      <c r="G3045" s="466" t="s">
        <v>1692</v>
      </c>
      <c r="H3045" s="397"/>
      <c r="I3045" s="397"/>
      <c r="J3045" s="750" t="e">
        <f t="shared" si="32"/>
        <v>#DIV/0!</v>
      </c>
      <c r="K3045" s="398"/>
      <c r="L3045" s="398"/>
      <c r="M3045" s="682"/>
      <c r="N3045" s="171"/>
      <c r="O3045" s="171"/>
      <c r="P3045" s="169"/>
      <c r="Q3045" s="171"/>
      <c r="R3045" s="171"/>
      <c r="S3045" s="171"/>
      <c r="T3045" s="171"/>
      <c r="U3045" s="171"/>
      <c r="V3045" s="171"/>
      <c r="W3045" s="171"/>
      <c r="X3045" s="171"/>
      <c r="Y3045" s="171"/>
      <c r="Z3045" s="171"/>
      <c r="AA3045" s="171"/>
    </row>
    <row r="3046" spans="1:27" s="530" customFormat="1" ht="25.5" hidden="1" x14ac:dyDescent="0.2">
      <c r="A3046" s="464"/>
      <c r="B3046" s="464"/>
      <c r="C3046" s="465"/>
      <c r="D3046" s="464"/>
      <c r="E3046" s="464"/>
      <c r="F3046" s="494">
        <v>4512</v>
      </c>
      <c r="G3046" s="466" t="s">
        <v>1701</v>
      </c>
      <c r="H3046" s="397"/>
      <c r="I3046" s="397"/>
      <c r="J3046" s="750" t="e">
        <f t="shared" si="32"/>
        <v>#DIV/0!</v>
      </c>
      <c r="K3046" s="398"/>
      <c r="L3046" s="398"/>
      <c r="M3046" s="682"/>
      <c r="N3046" s="171"/>
      <c r="O3046" s="171"/>
      <c r="P3046" s="169"/>
      <c r="Q3046" s="171"/>
      <c r="R3046" s="171"/>
      <c r="S3046" s="171"/>
      <c r="T3046" s="171"/>
      <c r="U3046" s="171"/>
      <c r="V3046" s="171"/>
      <c r="W3046" s="171"/>
      <c r="X3046" s="171"/>
      <c r="Y3046" s="171"/>
      <c r="Z3046" s="171"/>
      <c r="AA3046" s="171"/>
    </row>
    <row r="3047" spans="1:27" s="530" customFormat="1" ht="25.5" hidden="1" x14ac:dyDescent="0.2">
      <c r="A3047" s="464"/>
      <c r="B3047" s="464"/>
      <c r="C3047" s="465"/>
      <c r="D3047" s="464"/>
      <c r="E3047" s="464"/>
      <c r="F3047" s="494">
        <v>452</v>
      </c>
      <c r="G3047" s="495" t="s">
        <v>4187</v>
      </c>
      <c r="H3047" s="397"/>
      <c r="I3047" s="397"/>
      <c r="J3047" s="750" t="e">
        <f t="shared" si="32"/>
        <v>#DIV/0!</v>
      </c>
      <c r="K3047" s="398"/>
      <c r="L3047" s="398"/>
      <c r="M3047" s="682"/>
      <c r="N3047" s="171"/>
      <c r="O3047" s="171"/>
      <c r="P3047" s="169"/>
      <c r="Q3047" s="171"/>
      <c r="R3047" s="171"/>
      <c r="S3047" s="171"/>
      <c r="T3047" s="171"/>
      <c r="U3047" s="171"/>
      <c r="V3047" s="171"/>
      <c r="W3047" s="171"/>
      <c r="X3047" s="171"/>
      <c r="Y3047" s="171"/>
      <c r="Z3047" s="171"/>
      <c r="AA3047" s="171"/>
    </row>
    <row r="3048" spans="1:27" s="530" customFormat="1" ht="25.5" hidden="1" x14ac:dyDescent="0.2">
      <c r="A3048" s="464"/>
      <c r="B3048" s="464"/>
      <c r="C3048" s="465"/>
      <c r="D3048" s="464"/>
      <c r="E3048" s="464"/>
      <c r="F3048" s="494">
        <v>453</v>
      </c>
      <c r="G3048" s="495" t="s">
        <v>4188</v>
      </c>
      <c r="H3048" s="397"/>
      <c r="I3048" s="397"/>
      <c r="J3048" s="750" t="e">
        <f t="shared" si="32"/>
        <v>#DIV/0!</v>
      </c>
      <c r="K3048" s="398"/>
      <c r="L3048" s="398"/>
      <c r="M3048" s="682"/>
      <c r="N3048" s="171"/>
      <c r="O3048" s="171"/>
      <c r="P3048" s="169"/>
      <c r="Q3048" s="171"/>
      <c r="R3048" s="171"/>
      <c r="S3048" s="171"/>
      <c r="T3048" s="171"/>
      <c r="U3048" s="171"/>
      <c r="V3048" s="171"/>
      <c r="W3048" s="171"/>
      <c r="X3048" s="171"/>
      <c r="Y3048" s="171"/>
      <c r="Z3048" s="171"/>
      <c r="AA3048" s="171"/>
    </row>
    <row r="3049" spans="1:27" s="530" customFormat="1" hidden="1" x14ac:dyDescent="0.2">
      <c r="A3049" s="464"/>
      <c r="B3049" s="464"/>
      <c r="C3049" s="465"/>
      <c r="D3049" s="464"/>
      <c r="E3049" s="464"/>
      <c r="F3049" s="494">
        <v>454</v>
      </c>
      <c r="G3049" s="495" t="s">
        <v>3803</v>
      </c>
      <c r="H3049" s="397"/>
      <c r="I3049" s="397"/>
      <c r="J3049" s="750" t="e">
        <f t="shared" si="32"/>
        <v>#DIV/0!</v>
      </c>
      <c r="K3049" s="398"/>
      <c r="L3049" s="398"/>
      <c r="M3049" s="682"/>
      <c r="N3049" s="171"/>
      <c r="O3049" s="171"/>
      <c r="P3049" s="169"/>
      <c r="Q3049" s="171"/>
      <c r="R3049" s="171"/>
      <c r="S3049" s="171"/>
      <c r="T3049" s="171"/>
      <c r="U3049" s="171"/>
      <c r="V3049" s="171"/>
      <c r="W3049" s="171"/>
      <c r="X3049" s="171"/>
      <c r="Y3049" s="171"/>
      <c r="Z3049" s="171"/>
      <c r="AA3049" s="171"/>
    </row>
    <row r="3050" spans="1:27" s="530" customFormat="1" hidden="1" x14ac:dyDescent="0.2">
      <c r="A3050" s="464"/>
      <c r="B3050" s="464"/>
      <c r="C3050" s="465"/>
      <c r="D3050" s="464"/>
      <c r="E3050" s="464"/>
      <c r="F3050" s="494">
        <v>461</v>
      </c>
      <c r="G3050" s="495" t="s">
        <v>4169</v>
      </c>
      <c r="H3050" s="397"/>
      <c r="I3050" s="397"/>
      <c r="J3050" s="750" t="e">
        <f t="shared" si="32"/>
        <v>#DIV/0!</v>
      </c>
      <c r="K3050" s="398"/>
      <c r="L3050" s="398"/>
      <c r="M3050" s="682"/>
      <c r="N3050" s="171"/>
      <c r="O3050" s="171"/>
      <c r="P3050" s="169"/>
      <c r="Q3050" s="171"/>
      <c r="R3050" s="171"/>
      <c r="S3050" s="171"/>
      <c r="T3050" s="171"/>
      <c r="U3050" s="171"/>
      <c r="V3050" s="171"/>
      <c r="W3050" s="171"/>
      <c r="X3050" s="171"/>
      <c r="Y3050" s="171"/>
      <c r="Z3050" s="171"/>
      <c r="AA3050" s="171"/>
    </row>
    <row r="3051" spans="1:27" s="530" customFormat="1" ht="25.5" hidden="1" x14ac:dyDescent="0.2">
      <c r="A3051" s="464"/>
      <c r="B3051" s="464"/>
      <c r="C3051" s="465"/>
      <c r="D3051" s="464"/>
      <c r="E3051" s="464"/>
      <c r="F3051" s="494">
        <v>462</v>
      </c>
      <c r="G3051" s="495" t="s">
        <v>3806</v>
      </c>
      <c r="H3051" s="397"/>
      <c r="I3051" s="397"/>
      <c r="J3051" s="750" t="e">
        <f t="shared" si="32"/>
        <v>#DIV/0!</v>
      </c>
      <c r="K3051" s="398"/>
      <c r="L3051" s="398"/>
      <c r="M3051" s="682"/>
      <c r="N3051" s="171"/>
      <c r="O3051" s="171"/>
      <c r="P3051" s="169"/>
      <c r="Q3051" s="171"/>
      <c r="R3051" s="171"/>
      <c r="S3051" s="171"/>
      <c r="T3051" s="171"/>
      <c r="U3051" s="171"/>
      <c r="V3051" s="171"/>
      <c r="W3051" s="171"/>
      <c r="X3051" s="171"/>
      <c r="Y3051" s="171"/>
      <c r="Z3051" s="171"/>
      <c r="AA3051" s="171"/>
    </row>
    <row r="3052" spans="1:27" s="530" customFormat="1" hidden="1" x14ac:dyDescent="0.2">
      <c r="A3052" s="464"/>
      <c r="B3052" s="464"/>
      <c r="C3052" s="465"/>
      <c r="D3052" s="464"/>
      <c r="E3052" s="464"/>
      <c r="F3052" s="494">
        <v>4631</v>
      </c>
      <c r="G3052" s="495" t="s">
        <v>3807</v>
      </c>
      <c r="H3052" s="397"/>
      <c r="I3052" s="397"/>
      <c r="J3052" s="750" t="e">
        <f t="shared" si="32"/>
        <v>#DIV/0!</v>
      </c>
      <c r="K3052" s="398"/>
      <c r="L3052" s="398"/>
      <c r="M3052" s="682"/>
      <c r="N3052" s="171"/>
      <c r="O3052" s="171"/>
      <c r="P3052" s="169"/>
      <c r="Q3052" s="171"/>
      <c r="R3052" s="171"/>
      <c r="S3052" s="171"/>
      <c r="T3052" s="171"/>
      <c r="U3052" s="171"/>
      <c r="V3052" s="171"/>
      <c r="W3052" s="171"/>
      <c r="X3052" s="171"/>
      <c r="Y3052" s="171"/>
      <c r="Z3052" s="171"/>
      <c r="AA3052" s="171"/>
    </row>
    <row r="3053" spans="1:27" s="530" customFormat="1" hidden="1" x14ac:dyDescent="0.2">
      <c r="A3053" s="464"/>
      <c r="B3053" s="464"/>
      <c r="C3053" s="465"/>
      <c r="D3053" s="464"/>
      <c r="E3053" s="464"/>
      <c r="F3053" s="494">
        <v>4632</v>
      </c>
      <c r="G3053" s="495" t="s">
        <v>3808</v>
      </c>
      <c r="H3053" s="397"/>
      <c r="I3053" s="397"/>
      <c r="J3053" s="750" t="e">
        <f t="shared" si="32"/>
        <v>#DIV/0!</v>
      </c>
      <c r="K3053" s="398"/>
      <c r="L3053" s="398"/>
      <c r="M3053" s="682"/>
      <c r="N3053" s="171"/>
      <c r="O3053" s="171"/>
      <c r="P3053" s="169"/>
      <c r="Q3053" s="171"/>
      <c r="R3053" s="171"/>
      <c r="S3053" s="171"/>
      <c r="T3053" s="171"/>
      <c r="U3053" s="171"/>
      <c r="V3053" s="171"/>
      <c r="W3053" s="171"/>
      <c r="X3053" s="171"/>
      <c r="Y3053" s="171"/>
      <c r="Z3053" s="171"/>
      <c r="AA3053" s="171"/>
    </row>
    <row r="3054" spans="1:27" s="530" customFormat="1" ht="25.5" hidden="1" x14ac:dyDescent="0.2">
      <c r="A3054" s="464"/>
      <c r="B3054" s="464"/>
      <c r="C3054" s="465"/>
      <c r="D3054" s="464"/>
      <c r="E3054" s="464"/>
      <c r="F3054" s="494">
        <v>464</v>
      </c>
      <c r="G3054" s="495" t="s">
        <v>3809</v>
      </c>
      <c r="H3054" s="397"/>
      <c r="I3054" s="397"/>
      <c r="J3054" s="750" t="e">
        <f t="shared" si="32"/>
        <v>#DIV/0!</v>
      </c>
      <c r="K3054" s="398"/>
      <c r="L3054" s="398"/>
      <c r="M3054" s="682"/>
      <c r="N3054" s="171"/>
      <c r="O3054" s="171"/>
      <c r="P3054" s="169"/>
      <c r="Q3054" s="171"/>
      <c r="R3054" s="171"/>
      <c r="S3054" s="171"/>
      <c r="T3054" s="171"/>
      <c r="U3054" s="171"/>
      <c r="V3054" s="171"/>
      <c r="W3054" s="171"/>
      <c r="X3054" s="171"/>
      <c r="Y3054" s="171"/>
      <c r="Z3054" s="171"/>
      <c r="AA3054" s="171"/>
    </row>
    <row r="3055" spans="1:27" s="530" customFormat="1" hidden="1" x14ac:dyDescent="0.2">
      <c r="A3055" s="464"/>
      <c r="B3055" s="464"/>
      <c r="C3055" s="465"/>
      <c r="D3055" s="464"/>
      <c r="E3055" s="464"/>
      <c r="F3055" s="494">
        <v>465</v>
      </c>
      <c r="G3055" s="495" t="s">
        <v>4170</v>
      </c>
      <c r="H3055" s="397"/>
      <c r="I3055" s="397"/>
      <c r="J3055" s="750" t="e">
        <f t="shared" si="32"/>
        <v>#DIV/0!</v>
      </c>
      <c r="K3055" s="398"/>
      <c r="L3055" s="398"/>
      <c r="M3055" s="682"/>
      <c r="N3055" s="171"/>
      <c r="O3055" s="171"/>
      <c r="P3055" s="169"/>
      <c r="Q3055" s="171"/>
      <c r="R3055" s="171"/>
      <c r="S3055" s="171"/>
      <c r="T3055" s="171"/>
      <c r="U3055" s="171"/>
      <c r="V3055" s="171"/>
      <c r="W3055" s="171"/>
      <c r="X3055" s="171"/>
      <c r="Y3055" s="171"/>
      <c r="Z3055" s="171"/>
      <c r="AA3055" s="171"/>
    </row>
    <row r="3056" spans="1:27" s="530" customFormat="1" hidden="1" x14ac:dyDescent="0.2">
      <c r="A3056" s="464"/>
      <c r="B3056" s="464"/>
      <c r="C3056" s="465"/>
      <c r="D3056" s="464"/>
      <c r="E3056" s="464"/>
      <c r="F3056" s="494">
        <v>472</v>
      </c>
      <c r="G3056" s="495" t="s">
        <v>3813</v>
      </c>
      <c r="H3056" s="397"/>
      <c r="I3056" s="397"/>
      <c r="J3056" s="750" t="e">
        <f t="shared" si="32"/>
        <v>#DIV/0!</v>
      </c>
      <c r="K3056" s="398"/>
      <c r="L3056" s="398"/>
      <c r="M3056" s="682"/>
      <c r="N3056" s="171"/>
      <c r="O3056" s="171"/>
      <c r="P3056" s="169"/>
      <c r="Q3056" s="171"/>
      <c r="R3056" s="171"/>
      <c r="S3056" s="171"/>
      <c r="T3056" s="171"/>
      <c r="U3056" s="171"/>
      <c r="V3056" s="171"/>
      <c r="W3056" s="171"/>
      <c r="X3056" s="171"/>
      <c r="Y3056" s="171"/>
      <c r="Z3056" s="171"/>
      <c r="AA3056" s="171"/>
    </row>
    <row r="3057" spans="1:27" s="530" customFormat="1" hidden="1" x14ac:dyDescent="0.2">
      <c r="A3057" s="464"/>
      <c r="B3057" s="464"/>
      <c r="C3057" s="465"/>
      <c r="D3057" s="464"/>
      <c r="E3057" s="464"/>
      <c r="F3057" s="494">
        <v>481</v>
      </c>
      <c r="G3057" s="495" t="s">
        <v>4189</v>
      </c>
      <c r="H3057" s="397"/>
      <c r="I3057" s="397"/>
      <c r="J3057" s="750" t="e">
        <f t="shared" si="32"/>
        <v>#DIV/0!</v>
      </c>
      <c r="K3057" s="398"/>
      <c r="L3057" s="398"/>
      <c r="M3057" s="682"/>
      <c r="N3057" s="171"/>
      <c r="O3057" s="171"/>
      <c r="P3057" s="169"/>
      <c r="Q3057" s="171"/>
      <c r="R3057" s="171"/>
      <c r="S3057" s="171"/>
      <c r="T3057" s="171"/>
      <c r="U3057" s="171"/>
      <c r="V3057" s="171"/>
      <c r="W3057" s="171"/>
      <c r="X3057" s="171"/>
      <c r="Y3057" s="171"/>
      <c r="Z3057" s="171"/>
      <c r="AA3057" s="171"/>
    </row>
    <row r="3058" spans="1:27" s="530" customFormat="1" hidden="1" x14ac:dyDescent="0.2">
      <c r="A3058" s="464"/>
      <c r="B3058" s="464"/>
      <c r="C3058" s="465"/>
      <c r="D3058" s="464"/>
      <c r="E3058" s="464"/>
      <c r="F3058" s="494">
        <v>482</v>
      </c>
      <c r="G3058" s="495" t="s">
        <v>4190</v>
      </c>
      <c r="H3058" s="397"/>
      <c r="I3058" s="397"/>
      <c r="J3058" s="750" t="e">
        <f t="shared" si="32"/>
        <v>#DIV/0!</v>
      </c>
      <c r="K3058" s="398"/>
      <c r="L3058" s="398"/>
      <c r="M3058" s="682"/>
      <c r="N3058" s="171"/>
      <c r="O3058" s="171"/>
      <c r="P3058" s="169"/>
      <c r="Q3058" s="171"/>
      <c r="R3058" s="171"/>
      <c r="S3058" s="171"/>
      <c r="T3058" s="171"/>
      <c r="U3058" s="171"/>
      <c r="V3058" s="171"/>
      <c r="W3058" s="171"/>
      <c r="X3058" s="171"/>
      <c r="Y3058" s="171"/>
      <c r="Z3058" s="171"/>
      <c r="AA3058" s="171"/>
    </row>
    <row r="3059" spans="1:27" s="530" customFormat="1" hidden="1" x14ac:dyDescent="0.2">
      <c r="A3059" s="464"/>
      <c r="B3059" s="464"/>
      <c r="C3059" s="465"/>
      <c r="D3059" s="464"/>
      <c r="E3059" s="464"/>
      <c r="F3059" s="494">
        <v>483</v>
      </c>
      <c r="G3059" s="497" t="s">
        <v>4191</v>
      </c>
      <c r="H3059" s="397"/>
      <c r="I3059" s="397"/>
      <c r="J3059" s="750" t="e">
        <f t="shared" si="32"/>
        <v>#DIV/0!</v>
      </c>
      <c r="K3059" s="398"/>
      <c r="L3059" s="398"/>
      <c r="M3059" s="682"/>
      <c r="N3059" s="171"/>
      <c r="O3059" s="171"/>
      <c r="P3059" s="169"/>
      <c r="Q3059" s="171"/>
      <c r="R3059" s="171"/>
      <c r="S3059" s="171"/>
      <c r="T3059" s="171"/>
      <c r="U3059" s="171"/>
      <c r="V3059" s="171"/>
      <c r="W3059" s="171"/>
      <c r="X3059" s="171"/>
      <c r="Y3059" s="171"/>
      <c r="Z3059" s="171"/>
      <c r="AA3059" s="171"/>
    </row>
    <row r="3060" spans="1:27" s="530" customFormat="1" ht="38.25" hidden="1" x14ac:dyDescent="0.2">
      <c r="A3060" s="464"/>
      <c r="B3060" s="464"/>
      <c r="C3060" s="465"/>
      <c r="D3060" s="464"/>
      <c r="E3060" s="464"/>
      <c r="F3060" s="494">
        <v>484</v>
      </c>
      <c r="G3060" s="495" t="s">
        <v>4192</v>
      </c>
      <c r="H3060" s="397"/>
      <c r="I3060" s="397"/>
      <c r="J3060" s="750" t="e">
        <f t="shared" si="32"/>
        <v>#DIV/0!</v>
      </c>
      <c r="K3060" s="398"/>
      <c r="L3060" s="398"/>
      <c r="M3060" s="682"/>
      <c r="N3060" s="171"/>
      <c r="O3060" s="171"/>
      <c r="P3060" s="169"/>
      <c r="Q3060" s="171"/>
      <c r="R3060" s="171"/>
      <c r="S3060" s="171"/>
      <c r="T3060" s="171"/>
      <c r="U3060" s="171"/>
      <c r="V3060" s="171"/>
      <c r="W3060" s="171"/>
      <c r="X3060" s="171"/>
      <c r="Y3060" s="171"/>
      <c r="Z3060" s="171"/>
      <c r="AA3060" s="171"/>
    </row>
    <row r="3061" spans="1:27" s="530" customFormat="1" ht="25.5" hidden="1" x14ac:dyDescent="0.2">
      <c r="A3061" s="464"/>
      <c r="B3061" s="464"/>
      <c r="C3061" s="465"/>
      <c r="D3061" s="464"/>
      <c r="E3061" s="464"/>
      <c r="F3061" s="494">
        <v>485</v>
      </c>
      <c r="G3061" s="495" t="s">
        <v>4193</v>
      </c>
      <c r="H3061" s="397"/>
      <c r="I3061" s="397"/>
      <c r="J3061" s="750" t="e">
        <f t="shared" si="32"/>
        <v>#DIV/0!</v>
      </c>
      <c r="K3061" s="398"/>
      <c r="L3061" s="398"/>
      <c r="M3061" s="682"/>
      <c r="N3061" s="171"/>
      <c r="O3061" s="171"/>
      <c r="P3061" s="169"/>
      <c r="Q3061" s="171"/>
      <c r="R3061" s="171"/>
      <c r="S3061" s="171"/>
      <c r="T3061" s="171"/>
      <c r="U3061" s="171"/>
      <c r="V3061" s="171"/>
      <c r="W3061" s="171"/>
      <c r="X3061" s="171"/>
      <c r="Y3061" s="171"/>
      <c r="Z3061" s="171"/>
      <c r="AA3061" s="171"/>
    </row>
    <row r="3062" spans="1:27" s="530" customFormat="1" ht="25.5" hidden="1" x14ac:dyDescent="0.2">
      <c r="A3062" s="464"/>
      <c r="B3062" s="464"/>
      <c r="C3062" s="465"/>
      <c r="D3062" s="464"/>
      <c r="E3062" s="464"/>
      <c r="F3062" s="494">
        <v>489</v>
      </c>
      <c r="G3062" s="495" t="s">
        <v>3821</v>
      </c>
      <c r="H3062" s="397"/>
      <c r="I3062" s="397"/>
      <c r="J3062" s="750" t="e">
        <f t="shared" si="32"/>
        <v>#DIV/0!</v>
      </c>
      <c r="K3062" s="398"/>
      <c r="L3062" s="398"/>
      <c r="M3062" s="682"/>
      <c r="N3062" s="171"/>
      <c r="O3062" s="171"/>
      <c r="P3062" s="169"/>
      <c r="Q3062" s="171"/>
      <c r="R3062" s="171"/>
      <c r="S3062" s="171"/>
      <c r="T3062" s="171"/>
      <c r="U3062" s="171"/>
      <c r="V3062" s="171"/>
      <c r="W3062" s="171"/>
      <c r="X3062" s="171"/>
      <c r="Y3062" s="171"/>
      <c r="Z3062" s="171"/>
      <c r="AA3062" s="171"/>
    </row>
    <row r="3063" spans="1:27" s="530" customFormat="1" ht="25.5" hidden="1" x14ac:dyDescent="0.2">
      <c r="A3063" s="464"/>
      <c r="B3063" s="464"/>
      <c r="C3063" s="465"/>
      <c r="D3063" s="464"/>
      <c r="E3063" s="464"/>
      <c r="F3063" s="494">
        <v>494</v>
      </c>
      <c r="G3063" s="495" t="s">
        <v>4171</v>
      </c>
      <c r="H3063" s="397"/>
      <c r="I3063" s="397"/>
      <c r="J3063" s="750" t="e">
        <f t="shared" si="32"/>
        <v>#DIV/0!</v>
      </c>
      <c r="K3063" s="398"/>
      <c r="L3063" s="398"/>
      <c r="M3063" s="682"/>
      <c r="N3063" s="171"/>
      <c r="O3063" s="171"/>
      <c r="P3063" s="169"/>
      <c r="Q3063" s="171"/>
      <c r="R3063" s="171"/>
      <c r="S3063" s="171"/>
      <c r="T3063" s="171"/>
      <c r="U3063" s="171"/>
      <c r="V3063" s="171"/>
      <c r="W3063" s="171"/>
      <c r="X3063" s="171"/>
      <c r="Y3063" s="171"/>
      <c r="Z3063" s="171"/>
      <c r="AA3063" s="171"/>
    </row>
    <row r="3064" spans="1:27" s="530" customFormat="1" ht="25.5" hidden="1" x14ac:dyDescent="0.2">
      <c r="A3064" s="464"/>
      <c r="B3064" s="464"/>
      <c r="C3064" s="465"/>
      <c r="D3064" s="464"/>
      <c r="E3064" s="464"/>
      <c r="F3064" s="494">
        <v>495</v>
      </c>
      <c r="G3064" s="495" t="s">
        <v>4172</v>
      </c>
      <c r="H3064" s="397"/>
      <c r="I3064" s="397"/>
      <c r="J3064" s="750" t="e">
        <f t="shared" si="32"/>
        <v>#DIV/0!</v>
      </c>
      <c r="K3064" s="398"/>
      <c r="L3064" s="398"/>
      <c r="M3064" s="682"/>
      <c r="N3064" s="171"/>
      <c r="O3064" s="171"/>
      <c r="P3064" s="169"/>
      <c r="Q3064" s="171"/>
      <c r="R3064" s="171"/>
      <c r="S3064" s="171"/>
      <c r="T3064" s="171"/>
      <c r="U3064" s="171"/>
      <c r="V3064" s="171"/>
      <c r="W3064" s="171"/>
      <c r="X3064" s="171"/>
      <c r="Y3064" s="171"/>
      <c r="Z3064" s="171"/>
      <c r="AA3064" s="171"/>
    </row>
    <row r="3065" spans="1:27" s="530" customFormat="1" ht="38.25" hidden="1" x14ac:dyDescent="0.2">
      <c r="A3065" s="464"/>
      <c r="B3065" s="464"/>
      <c r="C3065" s="465"/>
      <c r="D3065" s="464"/>
      <c r="E3065" s="464"/>
      <c r="F3065" s="494">
        <v>496</v>
      </c>
      <c r="G3065" s="495" t="s">
        <v>4173</v>
      </c>
      <c r="H3065" s="397"/>
      <c r="I3065" s="397"/>
      <c r="J3065" s="750" t="e">
        <f t="shared" si="32"/>
        <v>#DIV/0!</v>
      </c>
      <c r="K3065" s="398"/>
      <c r="L3065" s="398"/>
      <c r="M3065" s="682"/>
      <c r="N3065" s="171"/>
      <c r="O3065" s="171"/>
      <c r="P3065" s="169"/>
      <c r="Q3065" s="171"/>
      <c r="R3065" s="171"/>
      <c r="S3065" s="171"/>
      <c r="T3065" s="171"/>
      <c r="U3065" s="171"/>
      <c r="V3065" s="171"/>
      <c r="W3065" s="171"/>
      <c r="X3065" s="171"/>
      <c r="Y3065" s="171"/>
      <c r="Z3065" s="171"/>
      <c r="AA3065" s="171"/>
    </row>
    <row r="3066" spans="1:27" s="530" customFormat="1" ht="25.5" hidden="1" x14ac:dyDescent="0.2">
      <c r="A3066" s="464"/>
      <c r="B3066" s="464"/>
      <c r="C3066" s="465"/>
      <c r="D3066" s="464"/>
      <c r="E3066" s="464"/>
      <c r="F3066" s="494">
        <v>499</v>
      </c>
      <c r="G3066" s="495" t="s">
        <v>4174</v>
      </c>
      <c r="H3066" s="397"/>
      <c r="I3066" s="397"/>
      <c r="J3066" s="750" t="e">
        <f t="shared" si="32"/>
        <v>#DIV/0!</v>
      </c>
      <c r="K3066" s="398"/>
      <c r="L3066" s="398"/>
      <c r="M3066" s="682"/>
      <c r="N3066" s="171"/>
      <c r="O3066" s="171"/>
      <c r="P3066" s="169"/>
      <c r="Q3066" s="171"/>
      <c r="R3066" s="171"/>
      <c r="S3066" s="171"/>
      <c r="T3066" s="171"/>
      <c r="U3066" s="171"/>
      <c r="V3066" s="171"/>
      <c r="W3066" s="171"/>
      <c r="X3066" s="171"/>
      <c r="Y3066" s="171"/>
      <c r="Z3066" s="171"/>
      <c r="AA3066" s="171"/>
    </row>
    <row r="3067" spans="1:27" s="530" customFormat="1" x14ac:dyDescent="0.2">
      <c r="A3067" s="464"/>
      <c r="B3067" s="464"/>
      <c r="C3067" s="465"/>
      <c r="D3067" s="464"/>
      <c r="E3067" s="464">
        <v>39</v>
      </c>
      <c r="F3067" s="494">
        <v>511</v>
      </c>
      <c r="G3067" s="560" t="s">
        <v>4194</v>
      </c>
      <c r="H3067" s="397">
        <v>48851000</v>
      </c>
      <c r="I3067" s="397">
        <v>36615805.57</v>
      </c>
      <c r="J3067" s="750">
        <f t="shared" si="32"/>
        <v>74.95405533151829</v>
      </c>
      <c r="K3067" s="398"/>
      <c r="L3067" s="398"/>
      <c r="M3067" s="682"/>
      <c r="N3067" s="171"/>
      <c r="O3067" s="171"/>
      <c r="P3067" s="169"/>
      <c r="Q3067" s="171"/>
      <c r="R3067" s="171"/>
      <c r="S3067" s="171"/>
      <c r="T3067" s="171"/>
      <c r="U3067" s="171"/>
      <c r="V3067" s="171"/>
      <c r="W3067" s="171"/>
      <c r="X3067" s="171"/>
      <c r="Y3067" s="171"/>
      <c r="Z3067" s="171"/>
      <c r="AA3067" s="171"/>
    </row>
    <row r="3068" spans="1:27" s="530" customFormat="1" hidden="1" x14ac:dyDescent="0.2">
      <c r="A3068" s="464"/>
      <c r="B3068" s="464"/>
      <c r="C3068" s="465"/>
      <c r="D3068" s="464"/>
      <c r="E3068" s="464"/>
      <c r="F3068" s="494">
        <v>512</v>
      </c>
      <c r="G3068" s="497" t="s">
        <v>4195</v>
      </c>
      <c r="H3068" s="397"/>
      <c r="I3068" s="397"/>
      <c r="J3068" s="750" t="e">
        <f t="shared" si="32"/>
        <v>#DIV/0!</v>
      </c>
      <c r="K3068" s="398"/>
      <c r="L3068" s="398"/>
      <c r="M3068" s="682"/>
      <c r="N3068" s="171"/>
      <c r="O3068" s="171"/>
      <c r="P3068" s="169"/>
      <c r="Q3068" s="171"/>
      <c r="R3068" s="171"/>
      <c r="S3068" s="171"/>
      <c r="T3068" s="171"/>
      <c r="U3068" s="171"/>
      <c r="V3068" s="171"/>
      <c r="W3068" s="171"/>
      <c r="X3068" s="171"/>
      <c r="Y3068" s="171"/>
      <c r="Z3068" s="171"/>
      <c r="AA3068" s="171"/>
    </row>
    <row r="3069" spans="1:27" s="530" customFormat="1" hidden="1" x14ac:dyDescent="0.2">
      <c r="A3069" s="464"/>
      <c r="B3069" s="464"/>
      <c r="C3069" s="465"/>
      <c r="D3069" s="464"/>
      <c r="E3069" s="464"/>
      <c r="F3069" s="494">
        <v>513</v>
      </c>
      <c r="G3069" s="497" t="s">
        <v>4196</v>
      </c>
      <c r="H3069" s="397"/>
      <c r="I3069" s="397"/>
      <c r="J3069" s="750" t="e">
        <f t="shared" si="32"/>
        <v>#DIV/0!</v>
      </c>
      <c r="K3069" s="398"/>
      <c r="L3069" s="398"/>
      <c r="M3069" s="682"/>
      <c r="N3069" s="171"/>
      <c r="O3069" s="171"/>
      <c r="P3069" s="169"/>
      <c r="Q3069" s="171"/>
      <c r="R3069" s="171"/>
      <c r="S3069" s="171"/>
      <c r="T3069" s="171"/>
      <c r="U3069" s="171"/>
      <c r="V3069" s="171"/>
      <c r="W3069" s="171"/>
      <c r="X3069" s="171"/>
      <c r="Y3069" s="171"/>
      <c r="Z3069" s="171"/>
      <c r="AA3069" s="171"/>
    </row>
    <row r="3070" spans="1:27" s="530" customFormat="1" hidden="1" x14ac:dyDescent="0.2">
      <c r="A3070" s="464"/>
      <c r="B3070" s="464"/>
      <c r="C3070" s="465"/>
      <c r="D3070" s="464"/>
      <c r="E3070" s="464"/>
      <c r="F3070" s="494">
        <v>514</v>
      </c>
      <c r="G3070" s="495" t="s">
        <v>4197</v>
      </c>
      <c r="H3070" s="397"/>
      <c r="I3070" s="397"/>
      <c r="J3070" s="750" t="e">
        <f t="shared" si="32"/>
        <v>#DIV/0!</v>
      </c>
      <c r="K3070" s="398"/>
      <c r="L3070" s="398"/>
      <c r="M3070" s="682"/>
      <c r="N3070" s="171"/>
      <c r="O3070" s="171"/>
      <c r="P3070" s="169"/>
      <c r="Q3070" s="171"/>
      <c r="R3070" s="171"/>
      <c r="S3070" s="171"/>
      <c r="T3070" s="171"/>
      <c r="U3070" s="171"/>
      <c r="V3070" s="171"/>
      <c r="W3070" s="171"/>
      <c r="X3070" s="171"/>
      <c r="Y3070" s="171"/>
      <c r="Z3070" s="171"/>
      <c r="AA3070" s="171"/>
    </row>
    <row r="3071" spans="1:27" s="530" customFormat="1" hidden="1" x14ac:dyDescent="0.2">
      <c r="A3071" s="464"/>
      <c r="B3071" s="464"/>
      <c r="C3071" s="465"/>
      <c r="D3071" s="464"/>
      <c r="E3071" s="464"/>
      <c r="F3071" s="494">
        <v>515</v>
      </c>
      <c r="G3071" s="495" t="s">
        <v>3832</v>
      </c>
      <c r="H3071" s="397"/>
      <c r="I3071" s="397"/>
      <c r="J3071" s="750" t="e">
        <f t="shared" si="32"/>
        <v>#DIV/0!</v>
      </c>
      <c r="K3071" s="398"/>
      <c r="L3071" s="398"/>
      <c r="M3071" s="682"/>
      <c r="N3071" s="171"/>
      <c r="O3071" s="171"/>
      <c r="P3071" s="169"/>
      <c r="Q3071" s="171"/>
      <c r="R3071" s="171"/>
      <c r="S3071" s="171"/>
      <c r="T3071" s="171"/>
      <c r="U3071" s="171"/>
      <c r="V3071" s="171"/>
      <c r="W3071" s="171"/>
      <c r="X3071" s="171"/>
      <c r="Y3071" s="171"/>
      <c r="Z3071" s="171"/>
      <c r="AA3071" s="171"/>
    </row>
    <row r="3072" spans="1:27" s="530" customFormat="1" hidden="1" x14ac:dyDescent="0.2">
      <c r="A3072" s="464"/>
      <c r="B3072" s="464"/>
      <c r="C3072" s="465"/>
      <c r="D3072" s="464"/>
      <c r="E3072" s="464"/>
      <c r="F3072" s="494">
        <v>521</v>
      </c>
      <c r="G3072" s="495" t="s">
        <v>4198</v>
      </c>
      <c r="H3072" s="397"/>
      <c r="I3072" s="397"/>
      <c r="J3072" s="750" t="e">
        <f t="shared" si="32"/>
        <v>#DIV/0!</v>
      </c>
      <c r="K3072" s="398"/>
      <c r="L3072" s="398"/>
      <c r="M3072" s="682"/>
      <c r="N3072" s="171"/>
      <c r="O3072" s="171"/>
      <c r="P3072" s="169"/>
      <c r="Q3072" s="171"/>
      <c r="R3072" s="171"/>
      <c r="S3072" s="171"/>
      <c r="T3072" s="171"/>
      <c r="U3072" s="171"/>
      <c r="V3072" s="171"/>
      <c r="W3072" s="171"/>
      <c r="X3072" s="171"/>
      <c r="Y3072" s="171"/>
      <c r="Z3072" s="171"/>
      <c r="AA3072" s="171"/>
    </row>
    <row r="3073" spans="1:27" s="530" customFormat="1" hidden="1" x14ac:dyDescent="0.2">
      <c r="A3073" s="464"/>
      <c r="B3073" s="464"/>
      <c r="C3073" s="465"/>
      <c r="D3073" s="464"/>
      <c r="E3073" s="464"/>
      <c r="F3073" s="494">
        <v>522</v>
      </c>
      <c r="G3073" s="495" t="s">
        <v>4199</v>
      </c>
      <c r="H3073" s="397"/>
      <c r="I3073" s="397"/>
      <c r="J3073" s="750" t="e">
        <f t="shared" si="32"/>
        <v>#DIV/0!</v>
      </c>
      <c r="K3073" s="398"/>
      <c r="L3073" s="398"/>
      <c r="M3073" s="682"/>
      <c r="N3073" s="171"/>
      <c r="O3073" s="171"/>
      <c r="P3073" s="169"/>
      <c r="Q3073" s="171"/>
      <c r="R3073" s="171"/>
      <c r="S3073" s="171"/>
      <c r="T3073" s="171"/>
      <c r="U3073" s="171"/>
      <c r="V3073" s="171"/>
      <c r="W3073" s="171"/>
      <c r="X3073" s="171"/>
      <c r="Y3073" s="171"/>
      <c r="Z3073" s="171"/>
      <c r="AA3073" s="171"/>
    </row>
    <row r="3074" spans="1:27" s="530" customFormat="1" hidden="1" x14ac:dyDescent="0.2">
      <c r="A3074" s="464"/>
      <c r="B3074" s="464"/>
      <c r="C3074" s="465"/>
      <c r="D3074" s="464"/>
      <c r="E3074" s="464"/>
      <c r="F3074" s="494">
        <v>523</v>
      </c>
      <c r="G3074" s="495" t="s">
        <v>3837</v>
      </c>
      <c r="H3074" s="397"/>
      <c r="I3074" s="397"/>
      <c r="J3074" s="750" t="e">
        <f t="shared" si="32"/>
        <v>#DIV/0!</v>
      </c>
      <c r="K3074" s="398"/>
      <c r="L3074" s="398"/>
      <c r="M3074" s="682"/>
      <c r="N3074" s="171"/>
      <c r="O3074" s="171"/>
      <c r="P3074" s="169"/>
      <c r="Q3074" s="171"/>
      <c r="R3074" s="171"/>
      <c r="S3074" s="171"/>
      <c r="T3074" s="171"/>
      <c r="U3074" s="171"/>
      <c r="V3074" s="171"/>
      <c r="W3074" s="171"/>
      <c r="X3074" s="171"/>
      <c r="Y3074" s="171"/>
      <c r="Z3074" s="171"/>
      <c r="AA3074" s="171"/>
    </row>
    <row r="3075" spans="1:27" s="530" customFormat="1" hidden="1" x14ac:dyDescent="0.2">
      <c r="A3075" s="464"/>
      <c r="B3075" s="464"/>
      <c r="C3075" s="465"/>
      <c r="D3075" s="464"/>
      <c r="E3075" s="464"/>
      <c r="F3075" s="494">
        <v>531</v>
      </c>
      <c r="G3075" s="496" t="s">
        <v>4175</v>
      </c>
      <c r="H3075" s="397"/>
      <c r="I3075" s="397"/>
      <c r="J3075" s="750" t="e">
        <f t="shared" si="32"/>
        <v>#DIV/0!</v>
      </c>
      <c r="K3075" s="398"/>
      <c r="L3075" s="398"/>
      <c r="M3075" s="682"/>
      <c r="N3075" s="171"/>
      <c r="O3075" s="171"/>
      <c r="P3075" s="169"/>
      <c r="Q3075" s="171"/>
      <c r="R3075" s="171"/>
      <c r="S3075" s="171"/>
      <c r="T3075" s="171"/>
      <c r="U3075" s="171"/>
      <c r="V3075" s="171"/>
      <c r="W3075" s="171"/>
      <c r="X3075" s="171"/>
      <c r="Y3075" s="171"/>
      <c r="Z3075" s="171"/>
      <c r="AA3075" s="171"/>
    </row>
    <row r="3076" spans="1:27" s="530" customFormat="1" hidden="1" x14ac:dyDescent="0.2">
      <c r="A3076" s="464"/>
      <c r="B3076" s="464"/>
      <c r="C3076" s="465"/>
      <c r="D3076" s="464"/>
      <c r="E3076" s="464"/>
      <c r="F3076" s="494">
        <v>541</v>
      </c>
      <c r="G3076" s="495" t="s">
        <v>4200</v>
      </c>
      <c r="H3076" s="397"/>
      <c r="I3076" s="397"/>
      <c r="J3076" s="750" t="e">
        <f t="shared" si="32"/>
        <v>#DIV/0!</v>
      </c>
      <c r="K3076" s="398"/>
      <c r="L3076" s="398"/>
      <c r="M3076" s="682"/>
      <c r="N3076" s="171"/>
      <c r="O3076" s="171"/>
      <c r="P3076" s="169"/>
      <c r="Q3076" s="171"/>
      <c r="R3076" s="171"/>
      <c r="S3076" s="171"/>
      <c r="T3076" s="171"/>
      <c r="U3076" s="171"/>
      <c r="V3076" s="171"/>
      <c r="W3076" s="171"/>
      <c r="X3076" s="171"/>
      <c r="Y3076" s="171"/>
      <c r="Z3076" s="171"/>
      <c r="AA3076" s="171"/>
    </row>
    <row r="3077" spans="1:27" s="530" customFormat="1" hidden="1" x14ac:dyDescent="0.2">
      <c r="A3077" s="464"/>
      <c r="B3077" s="464"/>
      <c r="C3077" s="465"/>
      <c r="D3077" s="464"/>
      <c r="E3077" s="464"/>
      <c r="F3077" s="494">
        <v>542</v>
      </c>
      <c r="G3077" s="495" t="s">
        <v>4201</v>
      </c>
      <c r="H3077" s="397"/>
      <c r="I3077" s="397"/>
      <c r="J3077" s="750" t="e">
        <f t="shared" si="32"/>
        <v>#DIV/0!</v>
      </c>
      <c r="K3077" s="398"/>
      <c r="L3077" s="398"/>
      <c r="M3077" s="682"/>
      <c r="N3077" s="171"/>
      <c r="O3077" s="171"/>
      <c r="P3077" s="169"/>
      <c r="Q3077" s="171"/>
      <c r="R3077" s="171"/>
      <c r="S3077" s="171"/>
      <c r="T3077" s="171"/>
      <c r="U3077" s="171"/>
      <c r="V3077" s="171"/>
      <c r="W3077" s="171"/>
      <c r="X3077" s="171"/>
      <c r="Y3077" s="171"/>
      <c r="Z3077" s="171"/>
      <c r="AA3077" s="171"/>
    </row>
    <row r="3078" spans="1:27" s="530" customFormat="1" hidden="1" x14ac:dyDescent="0.2">
      <c r="A3078" s="464"/>
      <c r="B3078" s="464"/>
      <c r="C3078" s="465"/>
      <c r="D3078" s="464"/>
      <c r="E3078" s="464"/>
      <c r="F3078" s="494">
        <v>543</v>
      </c>
      <c r="G3078" s="495" t="s">
        <v>3842</v>
      </c>
      <c r="H3078" s="397"/>
      <c r="I3078" s="397"/>
      <c r="J3078" s="750" t="e">
        <f t="shared" si="32"/>
        <v>#DIV/0!</v>
      </c>
      <c r="K3078" s="398"/>
      <c r="L3078" s="398"/>
      <c r="M3078" s="682"/>
      <c r="N3078" s="171"/>
      <c r="O3078" s="171"/>
      <c r="P3078" s="169"/>
      <c r="Q3078" s="171"/>
      <c r="R3078" s="171"/>
      <c r="S3078" s="171"/>
      <c r="T3078" s="171"/>
      <c r="U3078" s="171"/>
      <c r="V3078" s="171"/>
      <c r="W3078" s="171"/>
      <c r="X3078" s="171"/>
      <c r="Y3078" s="171"/>
      <c r="Z3078" s="171"/>
      <c r="AA3078" s="171"/>
    </row>
    <row r="3079" spans="1:27" s="530" customFormat="1" ht="38.25" hidden="1" x14ac:dyDescent="0.2">
      <c r="A3079" s="464"/>
      <c r="B3079" s="464"/>
      <c r="C3079" s="465"/>
      <c r="D3079" s="464"/>
      <c r="E3079" s="464"/>
      <c r="F3079" s="494">
        <v>551</v>
      </c>
      <c r="G3079" s="495" t="s">
        <v>4176</v>
      </c>
      <c r="H3079" s="397"/>
      <c r="I3079" s="397"/>
      <c r="J3079" s="750" t="e">
        <f t="shared" si="32"/>
        <v>#DIV/0!</v>
      </c>
      <c r="K3079" s="398"/>
      <c r="L3079" s="398"/>
      <c r="M3079" s="682"/>
      <c r="N3079" s="171"/>
      <c r="O3079" s="171"/>
      <c r="P3079" s="169"/>
      <c r="Q3079" s="171"/>
      <c r="R3079" s="171"/>
      <c r="S3079" s="171"/>
      <c r="T3079" s="171"/>
      <c r="U3079" s="171"/>
      <c r="V3079" s="171"/>
      <c r="W3079" s="171"/>
      <c r="X3079" s="171"/>
      <c r="Y3079" s="171"/>
      <c r="Z3079" s="171"/>
      <c r="AA3079" s="171"/>
    </row>
    <row r="3080" spans="1:27" s="530" customFormat="1" hidden="1" x14ac:dyDescent="0.2">
      <c r="A3080" s="464"/>
      <c r="B3080" s="464"/>
      <c r="C3080" s="465"/>
      <c r="D3080" s="464"/>
      <c r="E3080" s="464"/>
      <c r="F3080" s="498">
        <v>611</v>
      </c>
      <c r="G3080" s="499" t="s">
        <v>3848</v>
      </c>
      <c r="H3080" s="397"/>
      <c r="I3080" s="397"/>
      <c r="J3080" s="750" t="e">
        <f t="shared" si="32"/>
        <v>#DIV/0!</v>
      </c>
      <c r="K3080" s="398"/>
      <c r="L3080" s="398"/>
      <c r="M3080" s="682"/>
      <c r="N3080" s="171"/>
      <c r="O3080" s="171"/>
      <c r="P3080" s="169"/>
      <c r="Q3080" s="171"/>
      <c r="R3080" s="171"/>
      <c r="S3080" s="171"/>
      <c r="T3080" s="171"/>
      <c r="U3080" s="171"/>
      <c r="V3080" s="171"/>
      <c r="W3080" s="171"/>
      <c r="X3080" s="171"/>
      <c r="Y3080" s="171"/>
      <c r="Z3080" s="171"/>
      <c r="AA3080" s="171"/>
    </row>
    <row r="3081" spans="1:27" s="530" customFormat="1" hidden="1" x14ac:dyDescent="0.2">
      <c r="A3081" s="464"/>
      <c r="B3081" s="464"/>
      <c r="C3081" s="465"/>
      <c r="D3081" s="464"/>
      <c r="E3081" s="464"/>
      <c r="F3081" s="498">
        <v>620</v>
      </c>
      <c r="G3081" s="499" t="s">
        <v>88</v>
      </c>
      <c r="H3081" s="397"/>
      <c r="I3081" s="397"/>
      <c r="J3081" s="750" t="e">
        <f t="shared" si="32"/>
        <v>#DIV/0!</v>
      </c>
      <c r="K3081" s="398"/>
      <c r="L3081" s="398"/>
      <c r="M3081" s="682"/>
      <c r="N3081" s="171"/>
      <c r="O3081" s="171"/>
      <c r="P3081" s="169"/>
      <c r="Q3081" s="171"/>
      <c r="R3081" s="171"/>
      <c r="S3081" s="171"/>
      <c r="T3081" s="171"/>
      <c r="U3081" s="171"/>
      <c r="V3081" s="171"/>
      <c r="W3081" s="171"/>
      <c r="X3081" s="171"/>
      <c r="Y3081" s="171"/>
      <c r="Z3081" s="171"/>
      <c r="AA3081" s="171"/>
    </row>
    <row r="3082" spans="1:27" s="530" customFormat="1" ht="14.25" thickBot="1" x14ac:dyDescent="0.25">
      <c r="A3082" s="464"/>
      <c r="B3082" s="464"/>
      <c r="C3082" s="465"/>
      <c r="D3082" s="464"/>
      <c r="E3082" s="464"/>
      <c r="F3082" s="498"/>
      <c r="G3082" s="561" t="s">
        <v>5218</v>
      </c>
      <c r="H3082" s="397"/>
      <c r="I3082" s="397"/>
      <c r="J3082" s="750"/>
      <c r="K3082" s="398"/>
      <c r="L3082" s="398"/>
      <c r="M3082" s="682"/>
      <c r="N3082" s="171"/>
      <c r="O3082" s="171"/>
      <c r="P3082" s="169"/>
      <c r="Q3082" s="171"/>
      <c r="R3082" s="171"/>
      <c r="S3082" s="171"/>
      <c r="T3082" s="171"/>
      <c r="U3082" s="171"/>
      <c r="V3082" s="171"/>
      <c r="W3082" s="171"/>
      <c r="X3082" s="171"/>
      <c r="Y3082" s="171"/>
      <c r="Z3082" s="171"/>
      <c r="AA3082" s="171"/>
    </row>
    <row r="3083" spans="1:27" s="530" customFormat="1" hidden="1" x14ac:dyDescent="0.2">
      <c r="A3083" s="464"/>
      <c r="B3083" s="464"/>
      <c r="C3083" s="465"/>
      <c r="D3083" s="464"/>
      <c r="E3083" s="464"/>
      <c r="F3083" s="498"/>
      <c r="G3083" s="562"/>
      <c r="H3083" s="397"/>
      <c r="I3083" s="397"/>
      <c r="J3083" s="750"/>
      <c r="K3083" s="398"/>
      <c r="L3083" s="398"/>
      <c r="M3083" s="682"/>
      <c r="N3083" s="171"/>
      <c r="O3083" s="171"/>
      <c r="P3083" s="169"/>
      <c r="Q3083" s="171"/>
      <c r="R3083" s="171"/>
      <c r="S3083" s="171"/>
      <c r="T3083" s="171"/>
      <c r="U3083" s="171"/>
      <c r="V3083" s="171"/>
      <c r="W3083" s="171"/>
      <c r="X3083" s="171"/>
      <c r="Y3083" s="171"/>
      <c r="Z3083" s="171"/>
      <c r="AA3083" s="171"/>
    </row>
    <row r="3084" spans="1:27" s="530" customFormat="1" hidden="1" x14ac:dyDescent="0.2">
      <c r="A3084" s="464"/>
      <c r="B3084" s="464"/>
      <c r="C3084" s="465"/>
      <c r="D3084" s="464"/>
      <c r="E3084" s="464"/>
      <c r="F3084" s="498"/>
      <c r="G3084" s="562"/>
      <c r="H3084" s="397"/>
      <c r="I3084" s="397"/>
      <c r="J3084" s="750"/>
      <c r="K3084" s="398"/>
      <c r="L3084" s="398"/>
      <c r="M3084" s="682"/>
      <c r="N3084" s="171"/>
      <c r="O3084" s="171"/>
      <c r="P3084" s="169"/>
      <c r="Q3084" s="171"/>
      <c r="R3084" s="171"/>
      <c r="S3084" s="171"/>
      <c r="T3084" s="171"/>
      <c r="U3084" s="171"/>
      <c r="V3084" s="171"/>
      <c r="W3084" s="171"/>
      <c r="X3084" s="171"/>
      <c r="Y3084" s="171"/>
      <c r="Z3084" s="171"/>
      <c r="AA3084" s="171"/>
    </row>
    <row r="3085" spans="1:27" s="530" customFormat="1" ht="16.5" hidden="1" customHeight="1" x14ac:dyDescent="0.2">
      <c r="A3085" s="464"/>
      <c r="B3085" s="464"/>
      <c r="C3085" s="465"/>
      <c r="D3085" s="464"/>
      <c r="E3085" s="464"/>
      <c r="F3085" s="498"/>
      <c r="G3085" s="562"/>
      <c r="H3085" s="397"/>
      <c r="I3085" s="397"/>
      <c r="J3085" s="750"/>
      <c r="K3085" s="398"/>
      <c r="L3085" s="398"/>
      <c r="M3085" s="682"/>
      <c r="N3085" s="171"/>
      <c r="O3085" s="171"/>
      <c r="P3085" s="169"/>
      <c r="Q3085" s="171"/>
      <c r="R3085" s="171"/>
      <c r="S3085" s="171"/>
      <c r="T3085" s="171"/>
      <c r="U3085" s="171"/>
      <c r="V3085" s="171"/>
      <c r="W3085" s="171"/>
      <c r="X3085" s="171"/>
      <c r="Y3085" s="171"/>
      <c r="Z3085" s="171"/>
      <c r="AA3085" s="171"/>
    </row>
    <row r="3086" spans="1:27" s="530" customFormat="1" ht="14.25" hidden="1" customHeight="1" x14ac:dyDescent="0.2">
      <c r="A3086" s="464"/>
      <c r="B3086" s="464"/>
      <c r="C3086" s="465"/>
      <c r="D3086" s="464"/>
      <c r="E3086" s="464"/>
      <c r="F3086" s="498"/>
      <c r="G3086" s="562"/>
      <c r="H3086" s="397"/>
      <c r="I3086" s="397"/>
      <c r="J3086" s="750"/>
      <c r="K3086" s="398"/>
      <c r="L3086" s="398"/>
      <c r="M3086" s="682"/>
      <c r="N3086" s="171"/>
      <c r="O3086" s="171"/>
      <c r="P3086" s="169"/>
      <c r="Q3086" s="171"/>
      <c r="R3086" s="171"/>
      <c r="S3086" s="171"/>
      <c r="T3086" s="171"/>
      <c r="U3086" s="171"/>
      <c r="V3086" s="171"/>
      <c r="W3086" s="171"/>
      <c r="X3086" s="171"/>
      <c r="Y3086" s="171"/>
      <c r="Z3086" s="171"/>
      <c r="AA3086" s="171"/>
    </row>
    <row r="3087" spans="1:27" s="530" customFormat="1" ht="12.75" hidden="1" customHeight="1" x14ac:dyDescent="0.2">
      <c r="A3087" s="464"/>
      <c r="B3087" s="464"/>
      <c r="C3087" s="465"/>
      <c r="D3087" s="464"/>
      <c r="E3087" s="464"/>
      <c r="F3087" s="498"/>
      <c r="G3087" s="563"/>
      <c r="H3087" s="397"/>
      <c r="I3087" s="397"/>
      <c r="J3087" s="750"/>
      <c r="K3087" s="398"/>
      <c r="L3087" s="398"/>
      <c r="M3087" s="682"/>
      <c r="N3087" s="171"/>
      <c r="O3087" s="171"/>
      <c r="P3087" s="169"/>
      <c r="Q3087" s="171"/>
      <c r="R3087" s="171"/>
      <c r="S3087" s="171"/>
      <c r="T3087" s="171"/>
      <c r="U3087" s="171"/>
      <c r="V3087" s="171"/>
      <c r="W3087" s="171"/>
      <c r="X3087" s="171"/>
      <c r="Y3087" s="171"/>
      <c r="Z3087" s="171"/>
      <c r="AA3087" s="171"/>
    </row>
    <row r="3088" spans="1:27" s="530" customFormat="1" ht="13.5" hidden="1" customHeight="1" x14ac:dyDescent="0.2">
      <c r="A3088" s="464"/>
      <c r="B3088" s="464"/>
      <c r="C3088" s="465"/>
      <c r="D3088" s="464"/>
      <c r="E3088" s="464"/>
      <c r="F3088" s="498"/>
      <c r="G3088" s="563"/>
      <c r="H3088" s="397"/>
      <c r="I3088" s="397"/>
      <c r="J3088" s="750"/>
      <c r="K3088" s="398"/>
      <c r="L3088" s="398"/>
      <c r="M3088" s="682"/>
      <c r="N3088" s="171"/>
      <c r="O3088" s="171"/>
      <c r="P3088" s="169"/>
      <c r="Q3088" s="171"/>
      <c r="R3088" s="171"/>
      <c r="S3088" s="171"/>
      <c r="T3088" s="171"/>
      <c r="U3088" s="171"/>
      <c r="V3088" s="171"/>
      <c r="W3088" s="171"/>
      <c r="X3088" s="171"/>
      <c r="Y3088" s="171"/>
      <c r="Z3088" s="171"/>
      <c r="AA3088" s="171"/>
    </row>
    <row r="3089" spans="1:27" s="530" customFormat="1" ht="13.5" hidden="1" customHeight="1" x14ac:dyDescent="0.2">
      <c r="A3089" s="464"/>
      <c r="B3089" s="464"/>
      <c r="C3089" s="465"/>
      <c r="D3089" s="464"/>
      <c r="E3089" s="464"/>
      <c r="F3089" s="498"/>
      <c r="G3089" s="562"/>
      <c r="H3089" s="397"/>
      <c r="I3089" s="397"/>
      <c r="J3089" s="750"/>
      <c r="K3089" s="398"/>
      <c r="L3089" s="398"/>
      <c r="M3089" s="682"/>
      <c r="N3089" s="171"/>
      <c r="O3089" s="171"/>
      <c r="P3089" s="169"/>
      <c r="Q3089" s="171"/>
      <c r="R3089" s="171"/>
      <c r="S3089" s="171"/>
      <c r="T3089" s="171"/>
      <c r="U3089" s="171"/>
      <c r="V3089" s="171"/>
      <c r="W3089" s="171"/>
      <c r="X3089" s="171"/>
      <c r="Y3089" s="171"/>
      <c r="Z3089" s="171"/>
      <c r="AA3089" s="171"/>
    </row>
    <row r="3090" spans="1:27" s="530" customFormat="1" ht="12.75" hidden="1" customHeight="1" x14ac:dyDescent="0.2">
      <c r="A3090" s="464"/>
      <c r="B3090" s="464"/>
      <c r="C3090" s="465"/>
      <c r="D3090" s="464"/>
      <c r="E3090" s="464"/>
      <c r="F3090" s="498"/>
      <c r="G3090" s="562"/>
      <c r="H3090" s="397"/>
      <c r="I3090" s="397"/>
      <c r="J3090" s="750"/>
      <c r="K3090" s="398"/>
      <c r="L3090" s="398"/>
      <c r="M3090" s="682"/>
      <c r="N3090" s="171"/>
      <c r="O3090" s="171"/>
      <c r="P3090" s="169"/>
      <c r="Q3090" s="171"/>
      <c r="R3090" s="171"/>
      <c r="S3090" s="171"/>
      <c r="T3090" s="171"/>
      <c r="U3090" s="171"/>
      <c r="V3090" s="171"/>
      <c r="W3090" s="171"/>
      <c r="X3090" s="171"/>
      <c r="Y3090" s="171"/>
      <c r="Z3090" s="171"/>
      <c r="AA3090" s="171"/>
    </row>
    <row r="3091" spans="1:27" s="530" customFormat="1" ht="15.75" hidden="1" customHeight="1" x14ac:dyDescent="0.2">
      <c r="A3091" s="464"/>
      <c r="B3091" s="464"/>
      <c r="C3091" s="465"/>
      <c r="D3091" s="464"/>
      <c r="E3091" s="464"/>
      <c r="F3091" s="498"/>
      <c r="G3091" s="562"/>
      <c r="H3091" s="397"/>
      <c r="I3091" s="397"/>
      <c r="J3091" s="750"/>
      <c r="K3091" s="398"/>
      <c r="L3091" s="398"/>
      <c r="M3091" s="682"/>
      <c r="N3091" s="171"/>
      <c r="O3091" s="171"/>
      <c r="P3091" s="169"/>
      <c r="Q3091" s="171"/>
      <c r="R3091" s="171"/>
      <c r="S3091" s="171"/>
      <c r="T3091" s="171"/>
      <c r="U3091" s="171"/>
      <c r="V3091" s="171"/>
      <c r="W3091" s="171"/>
      <c r="X3091" s="171"/>
      <c r="Y3091" s="171"/>
      <c r="Z3091" s="171"/>
      <c r="AA3091" s="171"/>
    </row>
    <row r="3092" spans="1:27" s="530" customFormat="1" ht="13.5" hidden="1" customHeight="1" x14ac:dyDescent="0.2">
      <c r="A3092" s="464"/>
      <c r="B3092" s="464"/>
      <c r="C3092" s="465"/>
      <c r="D3092" s="464"/>
      <c r="E3092" s="464"/>
      <c r="F3092" s="498"/>
      <c r="G3092" s="562"/>
      <c r="H3092" s="397"/>
      <c r="I3092" s="397"/>
      <c r="J3092" s="750"/>
      <c r="K3092" s="398"/>
      <c r="L3092" s="398"/>
      <c r="M3092" s="682"/>
      <c r="N3092" s="171"/>
      <c r="O3092" s="171"/>
      <c r="P3092" s="169"/>
      <c r="Q3092" s="171"/>
      <c r="R3092" s="171"/>
      <c r="S3092" s="171"/>
      <c r="T3092" s="171"/>
      <c r="U3092" s="171"/>
      <c r="V3092" s="171"/>
      <c r="W3092" s="171"/>
      <c r="X3092" s="171"/>
      <c r="Y3092" s="171"/>
      <c r="Z3092" s="171"/>
      <c r="AA3092" s="171"/>
    </row>
    <row r="3093" spans="1:27" s="530" customFormat="1" ht="13.5" hidden="1" customHeight="1" x14ac:dyDescent="0.2">
      <c r="A3093" s="464"/>
      <c r="B3093" s="464"/>
      <c r="C3093" s="465"/>
      <c r="D3093" s="464"/>
      <c r="E3093" s="464"/>
      <c r="F3093" s="498"/>
      <c r="G3093" s="563"/>
      <c r="H3093" s="397"/>
      <c r="I3093" s="397"/>
      <c r="J3093" s="750"/>
      <c r="K3093" s="398"/>
      <c r="L3093" s="398"/>
      <c r="M3093" s="682"/>
      <c r="N3093" s="171"/>
      <c r="O3093" s="171"/>
      <c r="P3093" s="169"/>
      <c r="Q3093" s="171"/>
      <c r="R3093" s="171"/>
      <c r="S3093" s="171"/>
      <c r="T3093" s="171"/>
      <c r="U3093" s="171"/>
      <c r="V3093" s="171"/>
      <c r="W3093" s="171"/>
      <c r="X3093" s="171"/>
      <c r="Y3093" s="171"/>
      <c r="Z3093" s="171"/>
      <c r="AA3093" s="171"/>
    </row>
    <row r="3094" spans="1:27" s="530" customFormat="1" ht="13.5" hidden="1" customHeight="1" x14ac:dyDescent="0.2">
      <c r="A3094" s="464"/>
      <c r="B3094" s="464"/>
      <c r="C3094" s="465"/>
      <c r="D3094" s="464"/>
      <c r="E3094" s="464"/>
      <c r="F3094" s="498"/>
      <c r="G3094" s="563"/>
      <c r="H3094" s="397"/>
      <c r="I3094" s="397"/>
      <c r="J3094" s="750"/>
      <c r="K3094" s="398"/>
      <c r="L3094" s="398"/>
      <c r="M3094" s="682"/>
      <c r="N3094" s="171"/>
      <c r="O3094" s="171"/>
      <c r="P3094" s="169"/>
      <c r="Q3094" s="171"/>
      <c r="R3094" s="171"/>
      <c r="S3094" s="171"/>
      <c r="T3094" s="171"/>
      <c r="U3094" s="171"/>
      <c r="V3094" s="171"/>
      <c r="W3094" s="171"/>
      <c r="X3094" s="171"/>
      <c r="Y3094" s="171"/>
      <c r="Z3094" s="171"/>
      <c r="AA3094" s="171"/>
    </row>
    <row r="3095" spans="1:27" s="530" customFormat="1" ht="15" hidden="1" customHeight="1" thickBot="1" x14ac:dyDescent="0.25">
      <c r="A3095" s="464"/>
      <c r="B3095" s="464"/>
      <c r="C3095" s="465"/>
      <c r="D3095" s="464"/>
      <c r="E3095" s="464"/>
      <c r="F3095" s="498"/>
      <c r="G3095" s="563"/>
      <c r="H3095" s="397"/>
      <c r="I3095" s="397"/>
      <c r="J3095" s="750"/>
      <c r="K3095" s="398"/>
      <c r="L3095" s="398"/>
      <c r="M3095" s="682"/>
      <c r="N3095" s="171"/>
      <c r="O3095" s="171"/>
      <c r="P3095" s="169"/>
      <c r="Q3095" s="171"/>
      <c r="R3095" s="171"/>
      <c r="S3095" s="171"/>
      <c r="T3095" s="171"/>
      <c r="U3095" s="171"/>
      <c r="V3095" s="171"/>
      <c r="W3095" s="171"/>
      <c r="X3095" s="171"/>
      <c r="Y3095" s="171"/>
      <c r="Z3095" s="171"/>
      <c r="AA3095" s="171"/>
    </row>
    <row r="3096" spans="1:27" s="530" customFormat="1" x14ac:dyDescent="0.2">
      <c r="A3096" s="464"/>
      <c r="B3096" s="464"/>
      <c r="C3096" s="465"/>
      <c r="D3096" s="464"/>
      <c r="E3096" s="500"/>
      <c r="F3096" s="498"/>
      <c r="G3096" s="501" t="s">
        <v>4344</v>
      </c>
      <c r="H3096" s="400"/>
      <c r="I3096" s="400"/>
      <c r="J3096" s="750"/>
      <c r="K3096" s="401"/>
      <c r="L3096" s="402"/>
      <c r="M3096" s="682"/>
      <c r="N3096" s="171"/>
      <c r="O3096" s="171"/>
      <c r="P3096" s="169"/>
      <c r="Q3096" s="171"/>
      <c r="R3096" s="171"/>
      <c r="S3096" s="171"/>
      <c r="T3096" s="171"/>
      <c r="U3096" s="171"/>
      <c r="V3096" s="171"/>
      <c r="W3096" s="171"/>
      <c r="X3096" s="171"/>
      <c r="Y3096" s="171"/>
      <c r="Z3096" s="171"/>
      <c r="AA3096" s="171"/>
    </row>
    <row r="3097" spans="1:27" s="530" customFormat="1" x14ac:dyDescent="0.2">
      <c r="A3097" s="464"/>
      <c r="B3097" s="464"/>
      <c r="C3097" s="465"/>
      <c r="D3097" s="464"/>
      <c r="E3097" s="502"/>
      <c r="F3097" s="503" t="s">
        <v>234</v>
      </c>
      <c r="G3097" s="504" t="s">
        <v>235</v>
      </c>
      <c r="H3097" s="403">
        <v>54851000</v>
      </c>
      <c r="I3097" s="403">
        <f>SUM(I3033:I3067)</f>
        <v>58764377.990000002</v>
      </c>
      <c r="J3097" s="750">
        <f t="shared" ref="J3097:J3148" si="33">SUM(I3097/H3097)*100</f>
        <v>107.13456088311972</v>
      </c>
      <c r="K3097" s="404"/>
      <c r="L3097" s="404"/>
      <c r="M3097" s="682"/>
      <c r="N3097" s="171"/>
      <c r="O3097" s="171"/>
      <c r="P3097" s="169"/>
      <c r="Q3097" s="171"/>
      <c r="R3097" s="171"/>
      <c r="S3097" s="171"/>
      <c r="T3097" s="171"/>
      <c r="U3097" s="171"/>
      <c r="V3097" s="171"/>
      <c r="W3097" s="171"/>
      <c r="X3097" s="171"/>
      <c r="Y3097" s="171"/>
      <c r="Z3097" s="171"/>
      <c r="AA3097" s="171"/>
    </row>
    <row r="3098" spans="1:27" s="530" customFormat="1" hidden="1" x14ac:dyDescent="0.2">
      <c r="A3098" s="464"/>
      <c r="B3098" s="464"/>
      <c r="C3098" s="465"/>
      <c r="D3098" s="464"/>
      <c r="E3098" s="464"/>
      <c r="F3098" s="503" t="s">
        <v>236</v>
      </c>
      <c r="G3098" s="504" t="s">
        <v>237</v>
      </c>
      <c r="H3098" s="397"/>
      <c r="I3098" s="397"/>
      <c r="J3098" s="750" t="e">
        <f t="shared" si="33"/>
        <v>#DIV/0!</v>
      </c>
      <c r="K3098" s="398"/>
      <c r="L3098" s="404"/>
      <c r="M3098" s="682"/>
      <c r="N3098" s="171"/>
      <c r="O3098" s="171"/>
      <c r="P3098" s="169"/>
      <c r="Q3098" s="171"/>
      <c r="R3098" s="171"/>
      <c r="S3098" s="171"/>
      <c r="T3098" s="171"/>
      <c r="U3098" s="171"/>
      <c r="V3098" s="171"/>
      <c r="W3098" s="171"/>
      <c r="X3098" s="171"/>
      <c r="Y3098" s="171"/>
      <c r="Z3098" s="171"/>
      <c r="AA3098" s="171"/>
    </row>
    <row r="3099" spans="1:27" s="530" customFormat="1" hidden="1" x14ac:dyDescent="0.2">
      <c r="A3099" s="464"/>
      <c r="B3099" s="464"/>
      <c r="C3099" s="465"/>
      <c r="D3099" s="464"/>
      <c r="E3099" s="464"/>
      <c r="F3099" s="503" t="s">
        <v>238</v>
      </c>
      <c r="G3099" s="504" t="s">
        <v>239</v>
      </c>
      <c r="H3099" s="397"/>
      <c r="I3099" s="397"/>
      <c r="J3099" s="750" t="e">
        <f t="shared" si="33"/>
        <v>#DIV/0!</v>
      </c>
      <c r="K3099" s="398"/>
      <c r="L3099" s="404"/>
      <c r="M3099" s="682"/>
      <c r="N3099" s="171"/>
      <c r="O3099" s="171"/>
      <c r="P3099" s="169"/>
      <c r="Q3099" s="171"/>
      <c r="R3099" s="171"/>
      <c r="S3099" s="171"/>
      <c r="T3099" s="171"/>
      <c r="U3099" s="171"/>
      <c r="V3099" s="171"/>
      <c r="W3099" s="171"/>
      <c r="X3099" s="171"/>
      <c r="Y3099" s="171"/>
      <c r="Z3099" s="171"/>
      <c r="AA3099" s="171"/>
    </row>
    <row r="3100" spans="1:27" s="530" customFormat="1" hidden="1" x14ac:dyDescent="0.2">
      <c r="A3100" s="464"/>
      <c r="B3100" s="464"/>
      <c r="C3100" s="465"/>
      <c r="D3100" s="464"/>
      <c r="E3100" s="464"/>
      <c r="F3100" s="503" t="s">
        <v>240</v>
      </c>
      <c r="G3100" s="504" t="s">
        <v>241</v>
      </c>
      <c r="H3100" s="397"/>
      <c r="I3100" s="397"/>
      <c r="J3100" s="750" t="e">
        <f t="shared" si="33"/>
        <v>#DIV/0!</v>
      </c>
      <c r="K3100" s="398"/>
      <c r="L3100" s="404"/>
      <c r="M3100" s="682"/>
      <c r="N3100" s="171"/>
      <c r="O3100" s="171"/>
      <c r="P3100" s="169"/>
      <c r="Q3100" s="171"/>
      <c r="R3100" s="171"/>
      <c r="S3100" s="171"/>
      <c r="T3100" s="171"/>
      <c r="U3100" s="171"/>
      <c r="V3100" s="171"/>
      <c r="W3100" s="171"/>
      <c r="X3100" s="171"/>
      <c r="Y3100" s="171"/>
      <c r="Z3100" s="171"/>
      <c r="AA3100" s="171"/>
    </row>
    <row r="3101" spans="1:27" s="530" customFormat="1" hidden="1" x14ac:dyDescent="0.2">
      <c r="A3101" s="464"/>
      <c r="B3101" s="464"/>
      <c r="C3101" s="465"/>
      <c r="D3101" s="464"/>
      <c r="E3101" s="464"/>
      <c r="F3101" s="503" t="s">
        <v>242</v>
      </c>
      <c r="G3101" s="504" t="s">
        <v>243</v>
      </c>
      <c r="H3101" s="397"/>
      <c r="I3101" s="397"/>
      <c r="J3101" s="750" t="e">
        <f t="shared" si="33"/>
        <v>#DIV/0!</v>
      </c>
      <c r="K3101" s="398"/>
      <c r="L3101" s="404"/>
      <c r="M3101" s="682"/>
      <c r="N3101" s="171"/>
      <c r="O3101" s="171"/>
      <c r="P3101" s="169"/>
      <c r="Q3101" s="171"/>
      <c r="R3101" s="171"/>
      <c r="S3101" s="171"/>
      <c r="T3101" s="171"/>
      <c r="U3101" s="171"/>
      <c r="V3101" s="171"/>
      <c r="W3101" s="171"/>
      <c r="X3101" s="171"/>
      <c r="Y3101" s="171"/>
      <c r="Z3101" s="171"/>
      <c r="AA3101" s="171"/>
    </row>
    <row r="3102" spans="1:27" s="530" customFormat="1" hidden="1" x14ac:dyDescent="0.2">
      <c r="A3102" s="464"/>
      <c r="B3102" s="464"/>
      <c r="C3102" s="465"/>
      <c r="D3102" s="464"/>
      <c r="E3102" s="464"/>
      <c r="F3102" s="503" t="s">
        <v>244</v>
      </c>
      <c r="G3102" s="504" t="s">
        <v>245</v>
      </c>
      <c r="H3102" s="397"/>
      <c r="I3102" s="397"/>
      <c r="J3102" s="750" t="e">
        <f t="shared" si="33"/>
        <v>#DIV/0!</v>
      </c>
      <c r="K3102" s="398"/>
      <c r="L3102" s="404"/>
      <c r="M3102" s="682"/>
      <c r="N3102" s="171"/>
      <c r="O3102" s="171"/>
      <c r="P3102" s="169"/>
      <c r="Q3102" s="171"/>
      <c r="R3102" s="171"/>
      <c r="S3102" s="171"/>
      <c r="T3102" s="171"/>
      <c r="U3102" s="171"/>
      <c r="V3102" s="171"/>
      <c r="W3102" s="171"/>
      <c r="X3102" s="171"/>
      <c r="Y3102" s="171"/>
      <c r="Z3102" s="171"/>
      <c r="AA3102" s="171"/>
    </row>
    <row r="3103" spans="1:27" s="530" customFormat="1" hidden="1" x14ac:dyDescent="0.2">
      <c r="A3103" s="464"/>
      <c r="B3103" s="464"/>
      <c r="C3103" s="465"/>
      <c r="D3103" s="464"/>
      <c r="E3103" s="464"/>
      <c r="F3103" s="503" t="s">
        <v>246</v>
      </c>
      <c r="G3103" s="504" t="s">
        <v>247</v>
      </c>
      <c r="H3103" s="397"/>
      <c r="I3103" s="397"/>
      <c r="J3103" s="750" t="e">
        <f t="shared" si="33"/>
        <v>#DIV/0!</v>
      </c>
      <c r="K3103" s="398"/>
      <c r="L3103" s="404"/>
      <c r="M3103" s="682"/>
      <c r="N3103" s="171"/>
      <c r="O3103" s="171"/>
      <c r="P3103" s="169"/>
      <c r="Q3103" s="171"/>
      <c r="R3103" s="171"/>
      <c r="S3103" s="171"/>
      <c r="T3103" s="171"/>
      <c r="U3103" s="171"/>
      <c r="V3103" s="171"/>
      <c r="W3103" s="171"/>
      <c r="X3103" s="171"/>
      <c r="Y3103" s="171"/>
      <c r="Z3103" s="171"/>
      <c r="AA3103" s="171"/>
    </row>
    <row r="3104" spans="1:27" s="530" customFormat="1" ht="25.5" hidden="1" x14ac:dyDescent="0.2">
      <c r="A3104" s="464"/>
      <c r="B3104" s="464"/>
      <c r="C3104" s="465"/>
      <c r="D3104" s="464"/>
      <c r="E3104" s="464"/>
      <c r="F3104" s="503" t="s">
        <v>248</v>
      </c>
      <c r="G3104" s="504" t="s">
        <v>249</v>
      </c>
      <c r="H3104" s="397"/>
      <c r="I3104" s="397"/>
      <c r="J3104" s="750" t="e">
        <f t="shared" si="33"/>
        <v>#DIV/0!</v>
      </c>
      <c r="K3104" s="398"/>
      <c r="L3104" s="404"/>
      <c r="M3104" s="682"/>
      <c r="N3104" s="171"/>
      <c r="O3104" s="171"/>
      <c r="P3104" s="169"/>
      <c r="Q3104" s="171"/>
      <c r="R3104" s="171"/>
      <c r="S3104" s="171"/>
      <c r="T3104" s="171"/>
      <c r="U3104" s="171"/>
      <c r="V3104" s="171"/>
      <c r="W3104" s="171"/>
      <c r="X3104" s="171"/>
      <c r="Y3104" s="171"/>
      <c r="Z3104" s="171"/>
      <c r="AA3104" s="171"/>
    </row>
    <row r="3105" spans="1:27" s="530" customFormat="1" hidden="1" x14ac:dyDescent="0.2">
      <c r="A3105" s="464"/>
      <c r="B3105" s="464"/>
      <c r="C3105" s="465"/>
      <c r="D3105" s="464"/>
      <c r="E3105" s="464"/>
      <c r="F3105" s="503" t="s">
        <v>250</v>
      </c>
      <c r="G3105" s="504" t="s">
        <v>57</v>
      </c>
      <c r="H3105" s="397"/>
      <c r="I3105" s="397"/>
      <c r="J3105" s="750" t="e">
        <f t="shared" si="33"/>
        <v>#DIV/0!</v>
      </c>
      <c r="K3105" s="398"/>
      <c r="L3105" s="404"/>
      <c r="M3105" s="682"/>
      <c r="N3105" s="171"/>
      <c r="O3105" s="171"/>
      <c r="P3105" s="169"/>
      <c r="Q3105" s="171"/>
      <c r="R3105" s="171"/>
      <c r="S3105" s="171"/>
      <c r="T3105" s="171"/>
      <c r="U3105" s="171"/>
      <c r="V3105" s="171"/>
      <c r="W3105" s="171"/>
      <c r="X3105" s="171"/>
      <c r="Y3105" s="171"/>
      <c r="Z3105" s="171"/>
      <c r="AA3105" s="171"/>
    </row>
    <row r="3106" spans="1:27" s="530" customFormat="1" hidden="1" x14ac:dyDescent="0.2">
      <c r="A3106" s="464"/>
      <c r="B3106" s="464"/>
      <c r="C3106" s="465"/>
      <c r="D3106" s="464"/>
      <c r="E3106" s="464"/>
      <c r="F3106" s="503" t="s">
        <v>251</v>
      </c>
      <c r="G3106" s="504" t="s">
        <v>252</v>
      </c>
      <c r="H3106" s="397"/>
      <c r="I3106" s="397"/>
      <c r="J3106" s="750" t="e">
        <f t="shared" si="33"/>
        <v>#DIV/0!</v>
      </c>
      <c r="K3106" s="398"/>
      <c r="L3106" s="404"/>
      <c r="M3106" s="682"/>
      <c r="N3106" s="171"/>
      <c r="O3106" s="171"/>
      <c r="P3106" s="169"/>
      <c r="Q3106" s="171"/>
      <c r="R3106" s="171"/>
      <c r="S3106" s="171"/>
      <c r="T3106" s="171"/>
      <c r="U3106" s="171"/>
      <c r="V3106" s="171"/>
      <c r="W3106" s="171"/>
      <c r="X3106" s="171"/>
      <c r="Y3106" s="171"/>
      <c r="Z3106" s="171"/>
      <c r="AA3106" s="171"/>
    </row>
    <row r="3107" spans="1:27" s="530" customFormat="1" hidden="1" x14ac:dyDescent="0.2">
      <c r="A3107" s="464"/>
      <c r="B3107" s="464"/>
      <c r="C3107" s="465"/>
      <c r="D3107" s="464"/>
      <c r="E3107" s="464"/>
      <c r="F3107" s="503" t="s">
        <v>253</v>
      </c>
      <c r="G3107" s="504" t="s">
        <v>254</v>
      </c>
      <c r="H3107" s="397"/>
      <c r="I3107" s="397"/>
      <c r="J3107" s="750" t="e">
        <f t="shared" si="33"/>
        <v>#DIV/0!</v>
      </c>
      <c r="K3107" s="398"/>
      <c r="L3107" s="404"/>
      <c r="M3107" s="682"/>
      <c r="N3107" s="171"/>
      <c r="O3107" s="171"/>
      <c r="P3107" s="169"/>
      <c r="Q3107" s="171"/>
      <c r="R3107" s="171"/>
      <c r="S3107" s="171"/>
      <c r="T3107" s="171"/>
      <c r="U3107" s="171"/>
      <c r="V3107" s="171"/>
      <c r="W3107" s="171"/>
      <c r="X3107" s="171"/>
      <c r="Y3107" s="171"/>
      <c r="Z3107" s="171"/>
      <c r="AA3107" s="171"/>
    </row>
    <row r="3108" spans="1:27" s="530" customFormat="1" ht="25.5" hidden="1" x14ac:dyDescent="0.2">
      <c r="A3108" s="464"/>
      <c r="B3108" s="464"/>
      <c r="C3108" s="465"/>
      <c r="D3108" s="464"/>
      <c r="E3108" s="464"/>
      <c r="F3108" s="503" t="s">
        <v>255</v>
      </c>
      <c r="G3108" s="504" t="s">
        <v>256</v>
      </c>
      <c r="H3108" s="397"/>
      <c r="I3108" s="397"/>
      <c r="J3108" s="750" t="e">
        <f t="shared" si="33"/>
        <v>#DIV/0!</v>
      </c>
      <c r="K3108" s="398"/>
      <c r="L3108" s="404"/>
      <c r="M3108" s="682"/>
      <c r="N3108" s="171"/>
      <c r="O3108" s="171"/>
      <c r="P3108" s="169"/>
      <c r="Q3108" s="171"/>
      <c r="R3108" s="171"/>
      <c r="S3108" s="171"/>
      <c r="T3108" s="171"/>
      <c r="U3108" s="171"/>
      <c r="V3108" s="171"/>
      <c r="W3108" s="171"/>
      <c r="X3108" s="171"/>
      <c r="Y3108" s="171"/>
      <c r="Z3108" s="171"/>
      <c r="AA3108" s="171"/>
    </row>
    <row r="3109" spans="1:27" s="530" customFormat="1" ht="25.5" hidden="1" x14ac:dyDescent="0.2">
      <c r="A3109" s="464"/>
      <c r="B3109" s="464"/>
      <c r="C3109" s="465"/>
      <c r="D3109" s="464"/>
      <c r="E3109" s="464"/>
      <c r="F3109" s="503" t="s">
        <v>257</v>
      </c>
      <c r="G3109" s="504" t="s">
        <v>258</v>
      </c>
      <c r="H3109" s="397"/>
      <c r="I3109" s="397"/>
      <c r="J3109" s="750" t="e">
        <f t="shared" si="33"/>
        <v>#DIV/0!</v>
      </c>
      <c r="K3109" s="398"/>
      <c r="L3109" s="404"/>
      <c r="M3109" s="682"/>
      <c r="N3109" s="171"/>
      <c r="O3109" s="171"/>
      <c r="P3109" s="169"/>
      <c r="Q3109" s="171"/>
      <c r="R3109" s="171"/>
      <c r="S3109" s="171"/>
      <c r="T3109" s="171"/>
      <c r="U3109" s="171"/>
      <c r="V3109" s="171"/>
      <c r="W3109" s="171"/>
      <c r="X3109" s="171"/>
      <c r="Y3109" s="171"/>
      <c r="Z3109" s="171"/>
      <c r="AA3109" s="171"/>
    </row>
    <row r="3110" spans="1:27" s="530" customFormat="1" ht="25.5" hidden="1" x14ac:dyDescent="0.2">
      <c r="A3110" s="464"/>
      <c r="B3110" s="464"/>
      <c r="C3110" s="465"/>
      <c r="D3110" s="464"/>
      <c r="E3110" s="464"/>
      <c r="F3110" s="503" t="s">
        <v>259</v>
      </c>
      <c r="G3110" s="504" t="s">
        <v>260</v>
      </c>
      <c r="H3110" s="397"/>
      <c r="I3110" s="397"/>
      <c r="J3110" s="750" t="e">
        <f t="shared" si="33"/>
        <v>#DIV/0!</v>
      </c>
      <c r="K3110" s="398"/>
      <c r="L3110" s="404"/>
      <c r="M3110" s="682"/>
      <c r="N3110" s="171"/>
      <c r="O3110" s="171"/>
      <c r="P3110" s="169"/>
      <c r="Q3110" s="171"/>
      <c r="R3110" s="171"/>
      <c r="S3110" s="171"/>
      <c r="T3110" s="171"/>
      <c r="U3110" s="171"/>
      <c r="V3110" s="171"/>
      <c r="W3110" s="171"/>
      <c r="X3110" s="171"/>
      <c r="Y3110" s="171"/>
      <c r="Z3110" s="171"/>
      <c r="AA3110" s="171"/>
    </row>
    <row r="3111" spans="1:27" s="530" customFormat="1" ht="13.5" customHeight="1" x14ac:dyDescent="0.2">
      <c r="A3111" s="464"/>
      <c r="B3111" s="464"/>
      <c r="C3111" s="465"/>
      <c r="D3111" s="464"/>
      <c r="E3111" s="464"/>
      <c r="F3111" s="549" t="s">
        <v>246</v>
      </c>
      <c r="G3111" s="504" t="s">
        <v>5306</v>
      </c>
      <c r="H3111" s="397"/>
      <c r="I3111" s="397"/>
      <c r="J3111" s="750"/>
      <c r="K3111" s="398">
        <f>SUM(K3033)</f>
        <v>12162010</v>
      </c>
      <c r="L3111" s="404">
        <f>SUM(L3033)</f>
        <v>8659772.5099999998</v>
      </c>
      <c r="M3111" s="682"/>
      <c r="N3111" s="171"/>
      <c r="O3111" s="171"/>
      <c r="P3111" s="169"/>
      <c r="Q3111" s="171"/>
      <c r="R3111" s="171"/>
      <c r="S3111" s="171"/>
      <c r="T3111" s="171"/>
      <c r="U3111" s="171"/>
      <c r="V3111" s="171"/>
      <c r="W3111" s="171"/>
      <c r="X3111" s="171"/>
      <c r="Y3111" s="171"/>
      <c r="Z3111" s="171"/>
      <c r="AA3111" s="171"/>
    </row>
    <row r="3112" spans="1:27" s="530" customFormat="1" ht="15" customHeight="1" thickBot="1" x14ac:dyDescent="0.25">
      <c r="A3112" s="464"/>
      <c r="B3112" s="464"/>
      <c r="C3112" s="465"/>
      <c r="D3112" s="464"/>
      <c r="E3112" s="464"/>
      <c r="F3112" s="503" t="s">
        <v>257</v>
      </c>
      <c r="G3112" s="504" t="s">
        <v>258</v>
      </c>
      <c r="H3112" s="403">
        <v>19000000</v>
      </c>
      <c r="I3112" s="403"/>
      <c r="J3112" s="750">
        <f t="shared" si="33"/>
        <v>0</v>
      </c>
      <c r="K3112" s="404"/>
      <c r="L3112" s="404"/>
      <c r="M3112" s="682"/>
      <c r="N3112" s="171"/>
      <c r="O3112" s="171"/>
      <c r="P3112" s="169"/>
      <c r="Q3112" s="171"/>
      <c r="R3112" s="171"/>
      <c r="S3112" s="171"/>
      <c r="T3112" s="171"/>
      <c r="U3112" s="171"/>
      <c r="V3112" s="171"/>
      <c r="W3112" s="171"/>
      <c r="X3112" s="171"/>
      <c r="Y3112" s="171"/>
      <c r="Z3112" s="171"/>
      <c r="AA3112" s="171"/>
    </row>
    <row r="3113" spans="1:27" s="530" customFormat="1" ht="13.5" customHeight="1" thickBot="1" x14ac:dyDescent="0.25">
      <c r="A3113" s="464"/>
      <c r="B3113" s="464"/>
      <c r="C3113" s="465"/>
      <c r="D3113" s="464"/>
      <c r="E3113" s="464"/>
      <c r="F3113" s="464"/>
      <c r="G3113" s="505" t="s">
        <v>4345</v>
      </c>
      <c r="H3113" s="405">
        <f>SUM(H3097:H3112)</f>
        <v>73851000</v>
      </c>
      <c r="I3113" s="405">
        <f>SUM(I3097:I3112)</f>
        <v>58764377.990000002</v>
      </c>
      <c r="J3113" s="750">
        <f t="shared" si="33"/>
        <v>79.571539979147204</v>
      </c>
      <c r="K3113" s="406">
        <f>SUM(K3098:K3112)</f>
        <v>12162010</v>
      </c>
      <c r="L3113" s="406">
        <f>SUM(L3033)</f>
        <v>8659772.5099999998</v>
      </c>
      <c r="M3113" s="682"/>
      <c r="N3113" s="171"/>
      <c r="O3113" s="171"/>
      <c r="P3113" s="169"/>
      <c r="Q3113" s="171"/>
      <c r="R3113" s="171"/>
      <c r="S3113" s="171"/>
      <c r="T3113" s="171"/>
      <c r="U3113" s="171"/>
      <c r="V3113" s="171"/>
      <c r="W3113" s="171"/>
      <c r="X3113" s="171"/>
      <c r="Y3113" s="171"/>
      <c r="Z3113" s="171"/>
      <c r="AA3113" s="171"/>
    </row>
    <row r="3114" spans="1:27" s="530" customFormat="1" ht="17.25" customHeight="1" x14ac:dyDescent="0.2">
      <c r="A3114" s="464"/>
      <c r="B3114" s="464"/>
      <c r="C3114" s="465"/>
      <c r="D3114" s="464"/>
      <c r="E3114" s="500"/>
      <c r="F3114" s="498"/>
      <c r="G3114" s="506" t="s">
        <v>5049</v>
      </c>
      <c r="H3114" s="407"/>
      <c r="I3114" s="408"/>
      <c r="J3114" s="750"/>
      <c r="K3114" s="409"/>
      <c r="L3114" s="410"/>
      <c r="M3114" s="682"/>
      <c r="N3114" s="171"/>
      <c r="O3114" s="171"/>
      <c r="P3114" s="169"/>
      <c r="Q3114" s="171"/>
      <c r="R3114" s="171"/>
      <c r="S3114" s="171"/>
      <c r="T3114" s="171"/>
      <c r="U3114" s="171"/>
      <c r="V3114" s="171"/>
      <c r="W3114" s="171"/>
      <c r="X3114" s="171"/>
      <c r="Y3114" s="171"/>
      <c r="Z3114" s="171"/>
      <c r="AA3114" s="171"/>
    </row>
    <row r="3115" spans="1:27" s="530" customFormat="1" ht="12" customHeight="1" x14ac:dyDescent="0.2">
      <c r="A3115" s="464"/>
      <c r="B3115" s="464"/>
      <c r="C3115" s="465"/>
      <c r="D3115" s="464"/>
      <c r="E3115" s="502"/>
      <c r="F3115" s="503" t="s">
        <v>234</v>
      </c>
      <c r="G3115" s="504" t="s">
        <v>235</v>
      </c>
      <c r="H3115" s="403">
        <f>SUM(H3097)</f>
        <v>54851000</v>
      </c>
      <c r="I3115" s="403">
        <f>SUM(I3113)</f>
        <v>58764377.990000002</v>
      </c>
      <c r="J3115" s="750">
        <f t="shared" si="33"/>
        <v>107.13456088311972</v>
      </c>
      <c r="K3115" s="404"/>
      <c r="L3115" s="404"/>
      <c r="M3115" s="682"/>
      <c r="N3115" s="171"/>
      <c r="O3115" s="171"/>
      <c r="P3115" s="169"/>
      <c r="Q3115" s="171"/>
      <c r="R3115" s="171"/>
      <c r="S3115" s="171"/>
      <c r="T3115" s="171"/>
      <c r="U3115" s="171"/>
      <c r="V3115" s="171"/>
      <c r="W3115" s="171"/>
      <c r="X3115" s="171"/>
      <c r="Y3115" s="171"/>
      <c r="Z3115" s="171"/>
      <c r="AA3115" s="171"/>
    </row>
    <row r="3116" spans="1:27" s="530" customFormat="1" hidden="1" x14ac:dyDescent="0.2">
      <c r="A3116" s="464"/>
      <c r="B3116" s="464"/>
      <c r="C3116" s="465"/>
      <c r="D3116" s="464"/>
      <c r="E3116" s="464"/>
      <c r="F3116" s="503" t="s">
        <v>236</v>
      </c>
      <c r="G3116" s="504" t="s">
        <v>237</v>
      </c>
      <c r="H3116" s="397"/>
      <c r="I3116" s="397"/>
      <c r="J3116" s="750" t="e">
        <f t="shared" si="33"/>
        <v>#DIV/0!</v>
      </c>
      <c r="K3116" s="398"/>
      <c r="L3116" s="404"/>
      <c r="M3116" s="682"/>
      <c r="N3116" s="171"/>
      <c r="O3116" s="171"/>
      <c r="P3116" s="169"/>
      <c r="Q3116" s="171"/>
      <c r="R3116" s="171"/>
      <c r="S3116" s="171"/>
      <c r="T3116" s="171"/>
      <c r="U3116" s="171"/>
      <c r="V3116" s="171"/>
      <c r="W3116" s="171"/>
      <c r="X3116" s="171"/>
      <c r="Y3116" s="171"/>
      <c r="Z3116" s="171"/>
      <c r="AA3116" s="171"/>
    </row>
    <row r="3117" spans="1:27" s="530" customFormat="1" hidden="1" x14ac:dyDescent="0.2">
      <c r="A3117" s="464"/>
      <c r="B3117" s="464"/>
      <c r="C3117" s="465"/>
      <c r="D3117" s="464"/>
      <c r="E3117" s="464"/>
      <c r="F3117" s="503" t="s">
        <v>238</v>
      </c>
      <c r="G3117" s="504" t="s">
        <v>239</v>
      </c>
      <c r="H3117" s="397"/>
      <c r="I3117" s="397"/>
      <c r="J3117" s="750" t="e">
        <f t="shared" si="33"/>
        <v>#DIV/0!</v>
      </c>
      <c r="K3117" s="398"/>
      <c r="L3117" s="404"/>
      <c r="M3117" s="682"/>
      <c r="N3117" s="171"/>
      <c r="O3117" s="171"/>
      <c r="P3117" s="169"/>
      <c r="Q3117" s="171"/>
      <c r="R3117" s="171"/>
      <c r="S3117" s="171"/>
      <c r="T3117" s="171"/>
      <c r="U3117" s="171"/>
      <c r="V3117" s="171"/>
      <c r="W3117" s="171"/>
      <c r="X3117" s="171"/>
      <c r="Y3117" s="171"/>
      <c r="Z3117" s="171"/>
      <c r="AA3117" s="171"/>
    </row>
    <row r="3118" spans="1:27" s="530" customFormat="1" hidden="1" x14ac:dyDescent="0.2">
      <c r="A3118" s="464"/>
      <c r="B3118" s="464"/>
      <c r="C3118" s="465"/>
      <c r="D3118" s="464"/>
      <c r="E3118" s="464"/>
      <c r="F3118" s="503" t="s">
        <v>240</v>
      </c>
      <c r="G3118" s="504" t="s">
        <v>241</v>
      </c>
      <c r="H3118" s="397"/>
      <c r="I3118" s="397"/>
      <c r="J3118" s="750" t="e">
        <f t="shared" si="33"/>
        <v>#DIV/0!</v>
      </c>
      <c r="K3118" s="398"/>
      <c r="L3118" s="404"/>
      <c r="M3118" s="682"/>
      <c r="N3118" s="171"/>
      <c r="O3118" s="171"/>
      <c r="P3118" s="169"/>
      <c r="Q3118" s="171"/>
      <c r="R3118" s="171"/>
      <c r="S3118" s="171"/>
      <c r="T3118" s="171"/>
      <c r="U3118" s="171"/>
      <c r="V3118" s="171"/>
      <c r="W3118" s="171"/>
      <c r="X3118" s="171"/>
      <c r="Y3118" s="171"/>
      <c r="Z3118" s="171"/>
      <c r="AA3118" s="171"/>
    </row>
    <row r="3119" spans="1:27" s="530" customFormat="1" hidden="1" x14ac:dyDescent="0.2">
      <c r="A3119" s="464"/>
      <c r="B3119" s="464"/>
      <c r="C3119" s="465"/>
      <c r="D3119" s="464"/>
      <c r="E3119" s="464"/>
      <c r="F3119" s="503" t="s">
        <v>242</v>
      </c>
      <c r="G3119" s="504" t="s">
        <v>243</v>
      </c>
      <c r="H3119" s="397"/>
      <c r="I3119" s="397"/>
      <c r="J3119" s="750" t="e">
        <f t="shared" si="33"/>
        <v>#DIV/0!</v>
      </c>
      <c r="K3119" s="398"/>
      <c r="L3119" s="404"/>
      <c r="M3119" s="682"/>
      <c r="N3119" s="171"/>
      <c r="O3119" s="171"/>
      <c r="P3119" s="169"/>
      <c r="Q3119" s="171"/>
      <c r="R3119" s="171"/>
      <c r="S3119" s="171"/>
      <c r="T3119" s="171"/>
      <c r="U3119" s="171"/>
      <c r="V3119" s="171"/>
      <c r="W3119" s="171"/>
      <c r="X3119" s="171"/>
      <c r="Y3119" s="171"/>
      <c r="Z3119" s="171"/>
      <c r="AA3119" s="171"/>
    </row>
    <row r="3120" spans="1:27" s="530" customFormat="1" hidden="1" x14ac:dyDescent="0.2">
      <c r="A3120" s="464"/>
      <c r="B3120" s="464"/>
      <c r="C3120" s="465"/>
      <c r="D3120" s="464"/>
      <c r="E3120" s="464"/>
      <c r="F3120" s="503" t="s">
        <v>244</v>
      </c>
      <c r="G3120" s="504" t="s">
        <v>245</v>
      </c>
      <c r="H3120" s="397"/>
      <c r="I3120" s="397"/>
      <c r="J3120" s="750" t="e">
        <f t="shared" si="33"/>
        <v>#DIV/0!</v>
      </c>
      <c r="K3120" s="398"/>
      <c r="L3120" s="404"/>
      <c r="M3120" s="682"/>
      <c r="N3120" s="171"/>
      <c r="O3120" s="171"/>
      <c r="P3120" s="169"/>
      <c r="Q3120" s="171"/>
      <c r="R3120" s="171"/>
      <c r="S3120" s="171"/>
      <c r="T3120" s="171"/>
      <c r="U3120" s="171"/>
      <c r="V3120" s="171"/>
      <c r="W3120" s="171"/>
      <c r="X3120" s="171"/>
      <c r="Y3120" s="171"/>
      <c r="Z3120" s="171"/>
      <c r="AA3120" s="171"/>
    </row>
    <row r="3121" spans="1:27" s="530" customFormat="1" hidden="1" x14ac:dyDescent="0.2">
      <c r="A3121" s="464"/>
      <c r="B3121" s="464"/>
      <c r="C3121" s="465"/>
      <c r="D3121" s="464"/>
      <c r="E3121" s="464"/>
      <c r="F3121" s="503" t="s">
        <v>246</v>
      </c>
      <c r="G3121" s="504" t="s">
        <v>247</v>
      </c>
      <c r="H3121" s="397"/>
      <c r="I3121" s="397"/>
      <c r="J3121" s="750" t="e">
        <f t="shared" si="33"/>
        <v>#DIV/0!</v>
      </c>
      <c r="K3121" s="398"/>
      <c r="L3121" s="404"/>
      <c r="M3121" s="682"/>
      <c r="N3121" s="171"/>
      <c r="O3121" s="171"/>
      <c r="P3121" s="169"/>
      <c r="Q3121" s="171"/>
      <c r="R3121" s="171"/>
      <c r="S3121" s="171"/>
      <c r="T3121" s="171"/>
      <c r="U3121" s="171"/>
      <c r="V3121" s="171"/>
      <c r="W3121" s="171"/>
      <c r="X3121" s="171"/>
      <c r="Y3121" s="171"/>
      <c r="Z3121" s="171"/>
      <c r="AA3121" s="171"/>
    </row>
    <row r="3122" spans="1:27" s="530" customFormat="1" ht="25.5" hidden="1" x14ac:dyDescent="0.2">
      <c r="A3122" s="464"/>
      <c r="B3122" s="464"/>
      <c r="C3122" s="465"/>
      <c r="D3122" s="464"/>
      <c r="E3122" s="464"/>
      <c r="F3122" s="503" t="s">
        <v>248</v>
      </c>
      <c r="G3122" s="504" t="s">
        <v>249</v>
      </c>
      <c r="H3122" s="397"/>
      <c r="I3122" s="397"/>
      <c r="J3122" s="750" t="e">
        <f t="shared" si="33"/>
        <v>#DIV/0!</v>
      </c>
      <c r="K3122" s="398"/>
      <c r="L3122" s="404"/>
      <c r="M3122" s="682"/>
      <c r="N3122" s="171"/>
      <c r="O3122" s="171"/>
      <c r="P3122" s="169"/>
      <c r="Q3122" s="171"/>
      <c r="R3122" s="171"/>
      <c r="S3122" s="171"/>
      <c r="T3122" s="171"/>
      <c r="U3122" s="171"/>
      <c r="V3122" s="171"/>
      <c r="W3122" s="171"/>
      <c r="X3122" s="171"/>
      <c r="Y3122" s="171"/>
      <c r="Z3122" s="171"/>
      <c r="AA3122" s="171"/>
    </row>
    <row r="3123" spans="1:27" s="530" customFormat="1" hidden="1" x14ac:dyDescent="0.2">
      <c r="A3123" s="464"/>
      <c r="B3123" s="464"/>
      <c r="C3123" s="465"/>
      <c r="D3123" s="464"/>
      <c r="E3123" s="464"/>
      <c r="F3123" s="503" t="s">
        <v>250</v>
      </c>
      <c r="G3123" s="504" t="s">
        <v>57</v>
      </c>
      <c r="H3123" s="397"/>
      <c r="I3123" s="397"/>
      <c r="J3123" s="750" t="e">
        <f t="shared" si="33"/>
        <v>#DIV/0!</v>
      </c>
      <c r="K3123" s="398"/>
      <c r="L3123" s="404"/>
      <c r="M3123" s="682"/>
      <c r="N3123" s="171"/>
      <c r="O3123" s="171"/>
      <c r="P3123" s="169"/>
      <c r="Q3123" s="171"/>
      <c r="R3123" s="171"/>
      <c r="S3123" s="171"/>
      <c r="T3123" s="171"/>
      <c r="U3123" s="171"/>
      <c r="V3123" s="171"/>
      <c r="W3123" s="171"/>
      <c r="X3123" s="171"/>
      <c r="Y3123" s="171"/>
      <c r="Z3123" s="171"/>
      <c r="AA3123" s="171"/>
    </row>
    <row r="3124" spans="1:27" s="530" customFormat="1" hidden="1" x14ac:dyDescent="0.2">
      <c r="A3124" s="464"/>
      <c r="B3124" s="464"/>
      <c r="C3124" s="465"/>
      <c r="D3124" s="464"/>
      <c r="E3124" s="464"/>
      <c r="F3124" s="503" t="s">
        <v>251</v>
      </c>
      <c r="G3124" s="504" t="s">
        <v>252</v>
      </c>
      <c r="H3124" s="397"/>
      <c r="I3124" s="397"/>
      <c r="J3124" s="750" t="e">
        <f t="shared" si="33"/>
        <v>#DIV/0!</v>
      </c>
      <c r="K3124" s="398"/>
      <c r="L3124" s="404"/>
      <c r="M3124" s="682"/>
      <c r="N3124" s="171"/>
      <c r="O3124" s="171"/>
      <c r="P3124" s="169"/>
      <c r="Q3124" s="171"/>
      <c r="R3124" s="171"/>
      <c r="S3124" s="171"/>
      <c r="T3124" s="171"/>
      <c r="U3124" s="171"/>
      <c r="V3124" s="171"/>
      <c r="W3124" s="171"/>
      <c r="X3124" s="171"/>
      <c r="Y3124" s="171"/>
      <c r="Z3124" s="171"/>
      <c r="AA3124" s="171"/>
    </row>
    <row r="3125" spans="1:27" s="530" customFormat="1" hidden="1" x14ac:dyDescent="0.2">
      <c r="A3125" s="464"/>
      <c r="B3125" s="464"/>
      <c r="C3125" s="465"/>
      <c r="D3125" s="464"/>
      <c r="E3125" s="464"/>
      <c r="F3125" s="503" t="s">
        <v>253</v>
      </c>
      <c r="G3125" s="504" t="s">
        <v>254</v>
      </c>
      <c r="H3125" s="397"/>
      <c r="I3125" s="397"/>
      <c r="J3125" s="750" t="e">
        <f t="shared" si="33"/>
        <v>#DIV/0!</v>
      </c>
      <c r="K3125" s="398"/>
      <c r="L3125" s="404"/>
      <c r="M3125" s="682"/>
      <c r="N3125" s="171"/>
      <c r="O3125" s="171"/>
      <c r="P3125" s="169"/>
      <c r="Q3125" s="171"/>
      <c r="R3125" s="171"/>
      <c r="S3125" s="171"/>
      <c r="T3125" s="171"/>
      <c r="U3125" s="171"/>
      <c r="V3125" s="171"/>
      <c r="W3125" s="171"/>
      <c r="X3125" s="171"/>
      <c r="Y3125" s="171"/>
      <c r="Z3125" s="171"/>
      <c r="AA3125" s="171"/>
    </row>
    <row r="3126" spans="1:27" s="530" customFormat="1" ht="25.5" hidden="1" x14ac:dyDescent="0.2">
      <c r="A3126" s="464"/>
      <c r="B3126" s="464"/>
      <c r="C3126" s="465"/>
      <c r="D3126" s="464"/>
      <c r="E3126" s="464"/>
      <c r="F3126" s="503" t="s">
        <v>255</v>
      </c>
      <c r="G3126" s="504" t="s">
        <v>256</v>
      </c>
      <c r="H3126" s="397"/>
      <c r="I3126" s="397"/>
      <c r="J3126" s="750" t="e">
        <f t="shared" si="33"/>
        <v>#DIV/0!</v>
      </c>
      <c r="K3126" s="398"/>
      <c r="L3126" s="404"/>
      <c r="M3126" s="682"/>
      <c r="N3126" s="171"/>
      <c r="O3126" s="171"/>
      <c r="P3126" s="169"/>
      <c r="Q3126" s="171"/>
      <c r="R3126" s="171"/>
      <c r="S3126" s="171"/>
      <c r="T3126" s="171"/>
      <c r="U3126" s="171"/>
      <c r="V3126" s="171"/>
      <c r="W3126" s="171"/>
      <c r="X3126" s="171"/>
      <c r="Y3126" s="171"/>
      <c r="Z3126" s="171"/>
      <c r="AA3126" s="171"/>
    </row>
    <row r="3127" spans="1:27" s="530" customFormat="1" ht="25.5" hidden="1" x14ac:dyDescent="0.2">
      <c r="A3127" s="464"/>
      <c r="B3127" s="464"/>
      <c r="C3127" s="465"/>
      <c r="D3127" s="464"/>
      <c r="E3127" s="464"/>
      <c r="F3127" s="503" t="s">
        <v>257</v>
      </c>
      <c r="G3127" s="504" t="s">
        <v>258</v>
      </c>
      <c r="H3127" s="397"/>
      <c r="I3127" s="397"/>
      <c r="J3127" s="750" t="e">
        <f t="shared" si="33"/>
        <v>#DIV/0!</v>
      </c>
      <c r="K3127" s="398"/>
      <c r="L3127" s="404"/>
      <c r="M3127" s="682"/>
      <c r="N3127" s="171"/>
      <c r="O3127" s="171"/>
      <c r="P3127" s="169"/>
      <c r="Q3127" s="171"/>
      <c r="R3127" s="171"/>
      <c r="S3127" s="171"/>
      <c r="T3127" s="171"/>
      <c r="U3127" s="171"/>
      <c r="V3127" s="171"/>
      <c r="W3127" s="171"/>
      <c r="X3127" s="171"/>
      <c r="Y3127" s="171"/>
      <c r="Z3127" s="171"/>
      <c r="AA3127" s="171"/>
    </row>
    <row r="3128" spans="1:27" s="530" customFormat="1" ht="25.5" hidden="1" x14ac:dyDescent="0.2">
      <c r="A3128" s="464"/>
      <c r="B3128" s="464"/>
      <c r="C3128" s="465"/>
      <c r="D3128" s="464"/>
      <c r="E3128" s="464"/>
      <c r="F3128" s="503" t="s">
        <v>259</v>
      </c>
      <c r="G3128" s="504" t="s">
        <v>260</v>
      </c>
      <c r="H3128" s="397"/>
      <c r="I3128" s="397"/>
      <c r="J3128" s="750" t="e">
        <f t="shared" si="33"/>
        <v>#DIV/0!</v>
      </c>
      <c r="K3128" s="398"/>
      <c r="L3128" s="404"/>
      <c r="M3128" s="682"/>
      <c r="N3128" s="171"/>
      <c r="O3128" s="171"/>
      <c r="P3128" s="169"/>
      <c r="Q3128" s="171"/>
      <c r="R3128" s="171"/>
      <c r="S3128" s="171"/>
      <c r="T3128" s="171"/>
      <c r="U3128" s="171"/>
      <c r="V3128" s="171"/>
      <c r="W3128" s="171"/>
      <c r="X3128" s="171"/>
      <c r="Y3128" s="171"/>
      <c r="Z3128" s="171"/>
      <c r="AA3128" s="171"/>
    </row>
    <row r="3129" spans="1:27" s="530" customFormat="1" ht="13.5" customHeight="1" x14ac:dyDescent="0.2">
      <c r="A3129" s="464"/>
      <c r="B3129" s="464"/>
      <c r="C3129" s="465"/>
      <c r="D3129" s="464"/>
      <c r="E3129" s="464"/>
      <c r="F3129" s="549" t="s">
        <v>246</v>
      </c>
      <c r="G3129" s="504" t="s">
        <v>5306</v>
      </c>
      <c r="H3129" s="397"/>
      <c r="I3129" s="397"/>
      <c r="J3129" s="750"/>
      <c r="K3129" s="398">
        <f>SUM(K3111)</f>
        <v>12162010</v>
      </c>
      <c r="L3129" s="404">
        <f>SUM(L3113)</f>
        <v>8659772.5099999998</v>
      </c>
      <c r="M3129" s="682"/>
      <c r="N3129" s="171"/>
      <c r="O3129" s="171"/>
      <c r="P3129" s="169"/>
      <c r="Q3129" s="171"/>
      <c r="R3129" s="171"/>
      <c r="S3129" s="171"/>
      <c r="T3129" s="171"/>
      <c r="U3129" s="171"/>
      <c r="V3129" s="171"/>
      <c r="W3129" s="171"/>
      <c r="X3129" s="171"/>
      <c r="Y3129" s="171"/>
      <c r="Z3129" s="171"/>
      <c r="AA3129" s="171"/>
    </row>
    <row r="3130" spans="1:27" s="530" customFormat="1" ht="13.5" customHeight="1" thickBot="1" x14ac:dyDescent="0.25">
      <c r="A3130" s="464"/>
      <c r="B3130" s="464"/>
      <c r="C3130" s="465"/>
      <c r="D3130" s="464"/>
      <c r="E3130" s="464"/>
      <c r="F3130" s="503" t="s">
        <v>257</v>
      </c>
      <c r="G3130" s="504" t="s">
        <v>258</v>
      </c>
      <c r="H3130" s="403">
        <v>19000000</v>
      </c>
      <c r="I3130" s="403"/>
      <c r="J3130" s="750">
        <f t="shared" si="33"/>
        <v>0</v>
      </c>
      <c r="K3130" s="404"/>
      <c r="L3130" s="404"/>
      <c r="M3130" s="682"/>
      <c r="N3130" s="171"/>
      <c r="O3130" s="171"/>
      <c r="P3130" s="169"/>
      <c r="Q3130" s="171"/>
      <c r="R3130" s="171"/>
      <c r="S3130" s="171"/>
      <c r="T3130" s="171"/>
      <c r="U3130" s="171"/>
      <c r="V3130" s="171"/>
      <c r="W3130" s="171"/>
      <c r="X3130" s="171"/>
      <c r="Y3130" s="171"/>
      <c r="Z3130" s="171"/>
      <c r="AA3130" s="171"/>
    </row>
    <row r="3131" spans="1:27" s="530" customFormat="1" ht="13.5" customHeight="1" thickBot="1" x14ac:dyDescent="0.25">
      <c r="A3131" s="464"/>
      <c r="B3131" s="464"/>
      <c r="C3131" s="465"/>
      <c r="D3131" s="464"/>
      <c r="E3131" s="464"/>
      <c r="F3131" s="464"/>
      <c r="G3131" s="505" t="s">
        <v>5050</v>
      </c>
      <c r="H3131" s="405">
        <f>SUM(H3115:H3130)</f>
        <v>73851000</v>
      </c>
      <c r="I3131" s="405">
        <f>SUM(I3115)</f>
        <v>58764377.990000002</v>
      </c>
      <c r="J3131" s="750">
        <f t="shared" si="33"/>
        <v>79.571539979147204</v>
      </c>
      <c r="K3131" s="406">
        <f>SUM(K3111)</f>
        <v>12162010</v>
      </c>
      <c r="L3131" s="406">
        <f>SUM(L3129)</f>
        <v>8659772.5099999998</v>
      </c>
      <c r="M3131" s="682"/>
      <c r="N3131" s="171"/>
      <c r="O3131" s="171"/>
      <c r="P3131" s="169"/>
      <c r="Q3131" s="171"/>
      <c r="R3131" s="171"/>
      <c r="S3131" s="171"/>
      <c r="T3131" s="171"/>
      <c r="U3131" s="171"/>
      <c r="V3131" s="171"/>
      <c r="W3131" s="171"/>
      <c r="X3131" s="171"/>
      <c r="Y3131" s="171"/>
      <c r="Z3131" s="171"/>
      <c r="AA3131" s="171"/>
    </row>
    <row r="3132" spans="1:27" s="530" customFormat="1" hidden="1" x14ac:dyDescent="0.2">
      <c r="A3132" s="526"/>
      <c r="B3132" s="527"/>
      <c r="C3132" s="489"/>
      <c r="D3132" s="464"/>
      <c r="E3132" s="464"/>
      <c r="F3132" s="464"/>
      <c r="G3132" s="513"/>
      <c r="H3132" s="397"/>
      <c r="I3132" s="397"/>
      <c r="J3132" s="750" t="e">
        <f t="shared" si="33"/>
        <v>#DIV/0!</v>
      </c>
      <c r="K3132" s="398"/>
      <c r="L3132" s="398"/>
      <c r="M3132" s="682"/>
      <c r="N3132" s="171"/>
      <c r="O3132" s="171"/>
      <c r="P3132" s="169"/>
      <c r="Q3132" s="171"/>
      <c r="R3132" s="171"/>
      <c r="S3132" s="171"/>
      <c r="T3132" s="171"/>
      <c r="U3132" s="171"/>
      <c r="V3132" s="171"/>
      <c r="W3132" s="171"/>
      <c r="X3132" s="171"/>
      <c r="Y3132" s="171"/>
      <c r="Z3132" s="171"/>
      <c r="AA3132" s="171"/>
    </row>
    <row r="3133" spans="1:27" s="530" customFormat="1" hidden="1" x14ac:dyDescent="0.2">
      <c r="A3133" s="526"/>
      <c r="B3133" s="527"/>
      <c r="C3133" s="489"/>
      <c r="D3133" s="464"/>
      <c r="E3133" s="464"/>
      <c r="F3133" s="464"/>
      <c r="G3133" s="513"/>
      <c r="H3133" s="397"/>
      <c r="I3133" s="397"/>
      <c r="J3133" s="750" t="e">
        <f t="shared" si="33"/>
        <v>#DIV/0!</v>
      </c>
      <c r="K3133" s="398"/>
      <c r="L3133" s="398"/>
      <c r="M3133" s="682"/>
      <c r="N3133" s="171"/>
      <c r="O3133" s="171"/>
      <c r="P3133" s="169"/>
      <c r="Q3133" s="171"/>
      <c r="R3133" s="171"/>
      <c r="S3133" s="171"/>
      <c r="T3133" s="171"/>
      <c r="U3133" s="171"/>
      <c r="V3133" s="171"/>
      <c r="W3133" s="171"/>
      <c r="X3133" s="171"/>
      <c r="Y3133" s="171"/>
      <c r="Z3133" s="171"/>
      <c r="AA3133" s="171"/>
    </row>
    <row r="3134" spans="1:27" s="530" customFormat="1" hidden="1" x14ac:dyDescent="0.2">
      <c r="A3134" s="526"/>
      <c r="B3134" s="527"/>
      <c r="C3134" s="489"/>
      <c r="D3134" s="464"/>
      <c r="E3134" s="464"/>
      <c r="F3134" s="464"/>
      <c r="G3134" s="513"/>
      <c r="H3134" s="397"/>
      <c r="I3134" s="397"/>
      <c r="J3134" s="750" t="e">
        <f t="shared" si="33"/>
        <v>#DIV/0!</v>
      </c>
      <c r="K3134" s="398"/>
      <c r="L3134" s="398"/>
      <c r="M3134" s="682"/>
      <c r="N3134" s="171"/>
      <c r="O3134" s="171"/>
      <c r="P3134" s="169"/>
      <c r="Q3134" s="171"/>
      <c r="R3134" s="171"/>
      <c r="S3134" s="171"/>
      <c r="T3134" s="171"/>
      <c r="U3134" s="171"/>
      <c r="V3134" s="171"/>
      <c r="W3134" s="171"/>
      <c r="X3134" s="171"/>
      <c r="Y3134" s="171"/>
      <c r="Z3134" s="171"/>
      <c r="AA3134" s="171"/>
    </row>
    <row r="3135" spans="1:27" s="530" customFormat="1" hidden="1" x14ac:dyDescent="0.2">
      <c r="A3135" s="526"/>
      <c r="B3135" s="527"/>
      <c r="C3135" s="489"/>
      <c r="D3135" s="464"/>
      <c r="E3135" s="464"/>
      <c r="F3135" s="464"/>
      <c r="G3135" s="513"/>
      <c r="H3135" s="397"/>
      <c r="I3135" s="397"/>
      <c r="J3135" s="750" t="e">
        <f t="shared" si="33"/>
        <v>#DIV/0!</v>
      </c>
      <c r="K3135" s="398"/>
      <c r="L3135" s="398"/>
      <c r="M3135" s="682"/>
      <c r="N3135" s="171"/>
      <c r="O3135" s="171"/>
      <c r="P3135" s="169"/>
      <c r="Q3135" s="171"/>
      <c r="R3135" s="171"/>
      <c r="S3135" s="171"/>
      <c r="T3135" s="171"/>
      <c r="U3135" s="171"/>
      <c r="V3135" s="171"/>
      <c r="W3135" s="171"/>
      <c r="X3135" s="171"/>
      <c r="Y3135" s="171"/>
      <c r="Z3135" s="171"/>
      <c r="AA3135" s="171"/>
    </row>
    <row r="3136" spans="1:27" s="530" customFormat="1" hidden="1" x14ac:dyDescent="0.2">
      <c r="A3136" s="526"/>
      <c r="B3136" s="527"/>
      <c r="C3136" s="489"/>
      <c r="D3136" s="464"/>
      <c r="E3136" s="464"/>
      <c r="F3136" s="464"/>
      <c r="G3136" s="513"/>
      <c r="H3136" s="397"/>
      <c r="I3136" s="397"/>
      <c r="J3136" s="750" t="e">
        <f t="shared" si="33"/>
        <v>#DIV/0!</v>
      </c>
      <c r="K3136" s="398"/>
      <c r="L3136" s="398"/>
      <c r="M3136" s="682"/>
      <c r="N3136" s="171"/>
      <c r="O3136" s="171"/>
      <c r="P3136" s="169"/>
      <c r="Q3136" s="171"/>
      <c r="R3136" s="171"/>
      <c r="S3136" s="171"/>
      <c r="T3136" s="171"/>
      <c r="U3136" s="171"/>
      <c r="V3136" s="171"/>
      <c r="W3136" s="171"/>
      <c r="X3136" s="171"/>
      <c r="Y3136" s="171"/>
      <c r="Z3136" s="171"/>
      <c r="AA3136" s="171"/>
    </row>
    <row r="3137" spans="1:27" s="530" customFormat="1" hidden="1" x14ac:dyDescent="0.2">
      <c r="A3137" s="526"/>
      <c r="B3137" s="527"/>
      <c r="C3137" s="489"/>
      <c r="D3137" s="464"/>
      <c r="E3137" s="464"/>
      <c r="F3137" s="464"/>
      <c r="G3137" s="513"/>
      <c r="H3137" s="397"/>
      <c r="I3137" s="397"/>
      <c r="J3137" s="750" t="e">
        <f t="shared" si="33"/>
        <v>#DIV/0!</v>
      </c>
      <c r="K3137" s="398"/>
      <c r="L3137" s="398"/>
      <c r="M3137" s="682"/>
      <c r="N3137" s="171"/>
      <c r="O3137" s="171"/>
      <c r="P3137" s="169"/>
      <c r="Q3137" s="171"/>
      <c r="R3137" s="171"/>
      <c r="S3137" s="171"/>
      <c r="T3137" s="171"/>
      <c r="U3137" s="171"/>
      <c r="V3137" s="171"/>
      <c r="W3137" s="171"/>
      <c r="X3137" s="171"/>
      <c r="Y3137" s="171"/>
      <c r="Z3137" s="171"/>
      <c r="AA3137" s="171"/>
    </row>
    <row r="3138" spans="1:27" s="530" customFormat="1" hidden="1" x14ac:dyDescent="0.2">
      <c r="A3138" s="526"/>
      <c r="B3138" s="527"/>
      <c r="C3138" s="489"/>
      <c r="D3138" s="464"/>
      <c r="E3138" s="464"/>
      <c r="F3138" s="464"/>
      <c r="G3138" s="513"/>
      <c r="H3138" s="397"/>
      <c r="I3138" s="397"/>
      <c r="J3138" s="750" t="e">
        <f t="shared" si="33"/>
        <v>#DIV/0!</v>
      </c>
      <c r="K3138" s="398"/>
      <c r="L3138" s="398"/>
      <c r="M3138" s="682"/>
      <c r="N3138" s="171"/>
      <c r="O3138" s="171"/>
      <c r="P3138" s="169"/>
      <c r="Q3138" s="171"/>
      <c r="R3138" s="171"/>
      <c r="S3138" s="171"/>
      <c r="T3138" s="171"/>
      <c r="U3138" s="171"/>
      <c r="V3138" s="171"/>
      <c r="W3138" s="171"/>
      <c r="X3138" s="171"/>
      <c r="Y3138" s="171"/>
      <c r="Z3138" s="171"/>
      <c r="AA3138" s="171"/>
    </row>
    <row r="3139" spans="1:27" s="530" customFormat="1" hidden="1" x14ac:dyDescent="0.2">
      <c r="A3139" s="526"/>
      <c r="B3139" s="527"/>
      <c r="C3139" s="489"/>
      <c r="D3139" s="464"/>
      <c r="E3139" s="464"/>
      <c r="F3139" s="464"/>
      <c r="G3139" s="513"/>
      <c r="H3139" s="397"/>
      <c r="I3139" s="397"/>
      <c r="J3139" s="750" t="e">
        <f t="shared" si="33"/>
        <v>#DIV/0!</v>
      </c>
      <c r="K3139" s="398"/>
      <c r="L3139" s="398"/>
      <c r="M3139" s="682"/>
      <c r="N3139" s="171"/>
      <c r="O3139" s="171"/>
      <c r="P3139" s="169"/>
      <c r="Q3139" s="171"/>
      <c r="R3139" s="171"/>
      <c r="S3139" s="171"/>
      <c r="T3139" s="171"/>
      <c r="U3139" s="171"/>
      <c r="V3139" s="171"/>
      <c r="W3139" s="171"/>
      <c r="X3139" s="171"/>
      <c r="Y3139" s="171"/>
      <c r="Z3139" s="171"/>
      <c r="AA3139" s="171"/>
    </row>
    <row r="3140" spans="1:27" s="530" customFormat="1" hidden="1" x14ac:dyDescent="0.2">
      <c r="A3140" s="526"/>
      <c r="B3140" s="527"/>
      <c r="C3140" s="489"/>
      <c r="D3140" s="464"/>
      <c r="E3140" s="464"/>
      <c r="F3140" s="464"/>
      <c r="G3140" s="513"/>
      <c r="H3140" s="397"/>
      <c r="I3140" s="397"/>
      <c r="J3140" s="750" t="e">
        <f t="shared" si="33"/>
        <v>#DIV/0!</v>
      </c>
      <c r="K3140" s="398"/>
      <c r="L3140" s="398"/>
      <c r="M3140" s="682"/>
      <c r="N3140" s="171"/>
      <c r="O3140" s="171"/>
      <c r="P3140" s="169"/>
      <c r="Q3140" s="171"/>
      <c r="R3140" s="171"/>
      <c r="S3140" s="171"/>
      <c r="T3140" s="171"/>
      <c r="U3140" s="171"/>
      <c r="V3140" s="171"/>
      <c r="W3140" s="171"/>
      <c r="X3140" s="171"/>
      <c r="Y3140" s="171"/>
      <c r="Z3140" s="171"/>
      <c r="AA3140" s="171"/>
    </row>
    <row r="3141" spans="1:27" s="530" customFormat="1" hidden="1" x14ac:dyDescent="0.2">
      <c r="A3141" s="526"/>
      <c r="B3141" s="527"/>
      <c r="C3141" s="489"/>
      <c r="D3141" s="464"/>
      <c r="E3141" s="464"/>
      <c r="F3141" s="464"/>
      <c r="G3141" s="513"/>
      <c r="H3141" s="397"/>
      <c r="I3141" s="397"/>
      <c r="J3141" s="750" t="e">
        <f t="shared" si="33"/>
        <v>#DIV/0!</v>
      </c>
      <c r="K3141" s="398"/>
      <c r="L3141" s="398"/>
      <c r="M3141" s="682"/>
      <c r="N3141" s="171"/>
      <c r="O3141" s="171"/>
      <c r="P3141" s="169"/>
      <c r="Q3141" s="171"/>
      <c r="R3141" s="171"/>
      <c r="S3141" s="171"/>
      <c r="T3141" s="171"/>
      <c r="U3141" s="171"/>
      <c r="V3141" s="171"/>
      <c r="W3141" s="171"/>
      <c r="X3141" s="171"/>
      <c r="Y3141" s="171"/>
      <c r="Z3141" s="171"/>
      <c r="AA3141" s="171"/>
    </row>
    <row r="3142" spans="1:27" s="530" customFormat="1" hidden="1" x14ac:dyDescent="0.2">
      <c r="A3142" s="526"/>
      <c r="B3142" s="527"/>
      <c r="C3142" s="489"/>
      <c r="D3142" s="464"/>
      <c r="E3142" s="464"/>
      <c r="F3142" s="464"/>
      <c r="G3142" s="513"/>
      <c r="H3142" s="397"/>
      <c r="I3142" s="397"/>
      <c r="J3142" s="750" t="e">
        <f t="shared" si="33"/>
        <v>#DIV/0!</v>
      </c>
      <c r="K3142" s="398"/>
      <c r="L3142" s="398"/>
      <c r="M3142" s="682"/>
      <c r="N3142" s="171"/>
      <c r="O3142" s="171"/>
      <c r="P3142" s="169"/>
      <c r="Q3142" s="171"/>
      <c r="R3142" s="171"/>
      <c r="S3142" s="171"/>
      <c r="T3142" s="171"/>
      <c r="U3142" s="171"/>
      <c r="V3142" s="171"/>
      <c r="W3142" s="171"/>
      <c r="X3142" s="171"/>
      <c r="Y3142" s="171"/>
      <c r="Z3142" s="171"/>
      <c r="AA3142" s="171"/>
    </row>
    <row r="3143" spans="1:27" s="530" customFormat="1" hidden="1" x14ac:dyDescent="0.2">
      <c r="A3143" s="526"/>
      <c r="B3143" s="527"/>
      <c r="C3143" s="489"/>
      <c r="D3143" s="464"/>
      <c r="E3143" s="464"/>
      <c r="F3143" s="464"/>
      <c r="G3143" s="513"/>
      <c r="H3143" s="397"/>
      <c r="I3143" s="397"/>
      <c r="J3143" s="750" t="e">
        <f t="shared" si="33"/>
        <v>#DIV/0!</v>
      </c>
      <c r="K3143" s="398"/>
      <c r="L3143" s="398"/>
      <c r="M3143" s="682"/>
      <c r="N3143" s="171"/>
      <c r="O3143" s="171"/>
      <c r="P3143" s="169"/>
      <c r="Q3143" s="171"/>
      <c r="R3143" s="171"/>
      <c r="S3143" s="171"/>
      <c r="T3143" s="171"/>
      <c r="U3143" s="171"/>
      <c r="V3143" s="171"/>
      <c r="W3143" s="171"/>
      <c r="X3143" s="171"/>
      <c r="Y3143" s="171"/>
      <c r="Z3143" s="171"/>
      <c r="AA3143" s="171"/>
    </row>
    <row r="3144" spans="1:27" s="530" customFormat="1" hidden="1" x14ac:dyDescent="0.2">
      <c r="A3144" s="526"/>
      <c r="B3144" s="527"/>
      <c r="C3144" s="489"/>
      <c r="D3144" s="464"/>
      <c r="E3144" s="464"/>
      <c r="F3144" s="464"/>
      <c r="G3144" s="513"/>
      <c r="H3144" s="397"/>
      <c r="I3144" s="397"/>
      <c r="J3144" s="750" t="e">
        <f t="shared" si="33"/>
        <v>#DIV/0!</v>
      </c>
      <c r="K3144" s="398"/>
      <c r="L3144" s="398"/>
      <c r="M3144" s="682"/>
      <c r="N3144" s="171"/>
      <c r="O3144" s="171"/>
      <c r="P3144" s="169"/>
      <c r="Q3144" s="171"/>
      <c r="R3144" s="171"/>
      <c r="S3144" s="171"/>
      <c r="T3144" s="171"/>
      <c r="U3144" s="171"/>
      <c r="V3144" s="171"/>
      <c r="W3144" s="171"/>
      <c r="X3144" s="171"/>
      <c r="Y3144" s="171"/>
      <c r="Z3144" s="171"/>
      <c r="AA3144" s="171"/>
    </row>
    <row r="3145" spans="1:27" s="530" customFormat="1" hidden="1" x14ac:dyDescent="0.2">
      <c r="A3145" s="526"/>
      <c r="B3145" s="527"/>
      <c r="C3145" s="489"/>
      <c r="D3145" s="464"/>
      <c r="E3145" s="464"/>
      <c r="F3145" s="464"/>
      <c r="G3145" s="513"/>
      <c r="H3145" s="397"/>
      <c r="I3145" s="397"/>
      <c r="J3145" s="750" t="e">
        <f t="shared" si="33"/>
        <v>#DIV/0!</v>
      </c>
      <c r="K3145" s="398"/>
      <c r="L3145" s="398"/>
      <c r="M3145" s="682"/>
      <c r="N3145" s="171"/>
      <c r="O3145" s="171"/>
      <c r="P3145" s="169"/>
      <c r="Q3145" s="171"/>
      <c r="R3145" s="171"/>
      <c r="S3145" s="171"/>
      <c r="T3145" s="171"/>
      <c r="U3145" s="171"/>
      <c r="V3145" s="171"/>
      <c r="W3145" s="171"/>
      <c r="X3145" s="171"/>
      <c r="Y3145" s="171"/>
      <c r="Z3145" s="171"/>
      <c r="AA3145" s="171"/>
    </row>
    <row r="3146" spans="1:27" s="530" customFormat="1" hidden="1" x14ac:dyDescent="0.2">
      <c r="A3146" s="526"/>
      <c r="B3146" s="527"/>
      <c r="C3146" s="489"/>
      <c r="D3146" s="464"/>
      <c r="E3146" s="464"/>
      <c r="F3146" s="464"/>
      <c r="G3146" s="513"/>
      <c r="H3146" s="397"/>
      <c r="I3146" s="397"/>
      <c r="J3146" s="750" t="e">
        <f t="shared" si="33"/>
        <v>#DIV/0!</v>
      </c>
      <c r="K3146" s="398"/>
      <c r="L3146" s="398"/>
      <c r="M3146" s="682"/>
      <c r="N3146" s="171"/>
      <c r="O3146" s="171"/>
      <c r="P3146" s="169"/>
      <c r="Q3146" s="171"/>
      <c r="R3146" s="171"/>
      <c r="S3146" s="171"/>
      <c r="T3146" s="171"/>
      <c r="U3146" s="171"/>
      <c r="V3146" s="171"/>
      <c r="W3146" s="171"/>
      <c r="X3146" s="171"/>
      <c r="Y3146" s="171"/>
      <c r="Z3146" s="171"/>
      <c r="AA3146" s="171"/>
    </row>
    <row r="3147" spans="1:27" s="530" customFormat="1" hidden="1" x14ac:dyDescent="0.2">
      <c r="A3147" s="526"/>
      <c r="B3147" s="527"/>
      <c r="C3147" s="489"/>
      <c r="D3147" s="464"/>
      <c r="E3147" s="464"/>
      <c r="F3147" s="464"/>
      <c r="G3147" s="513"/>
      <c r="H3147" s="397"/>
      <c r="I3147" s="397"/>
      <c r="J3147" s="750" t="e">
        <f t="shared" si="33"/>
        <v>#DIV/0!</v>
      </c>
      <c r="K3147" s="398"/>
      <c r="L3147" s="398"/>
      <c r="M3147" s="682"/>
      <c r="N3147" s="171"/>
      <c r="O3147" s="171"/>
      <c r="P3147" s="169"/>
      <c r="Q3147" s="171"/>
      <c r="R3147" s="171"/>
      <c r="S3147" s="171"/>
      <c r="T3147" s="171"/>
      <c r="U3147" s="171"/>
      <c r="V3147" s="171"/>
      <c r="W3147" s="171"/>
      <c r="X3147" s="171"/>
      <c r="Y3147" s="171"/>
      <c r="Z3147" s="171"/>
      <c r="AA3147" s="171"/>
    </row>
    <row r="3148" spans="1:27" s="530" customFormat="1" hidden="1" x14ac:dyDescent="0.2">
      <c r="A3148" s="526"/>
      <c r="B3148" s="527"/>
      <c r="C3148" s="489"/>
      <c r="D3148" s="464"/>
      <c r="E3148" s="464"/>
      <c r="F3148" s="464"/>
      <c r="G3148" s="513"/>
      <c r="H3148" s="397"/>
      <c r="I3148" s="397"/>
      <c r="J3148" s="750" t="e">
        <f t="shared" si="33"/>
        <v>#DIV/0!</v>
      </c>
      <c r="K3148" s="398"/>
      <c r="L3148" s="398"/>
      <c r="M3148" s="682"/>
      <c r="N3148" s="171"/>
      <c r="O3148" s="171"/>
      <c r="P3148" s="169"/>
      <c r="Q3148" s="171"/>
      <c r="R3148" s="171"/>
      <c r="S3148" s="171"/>
      <c r="T3148" s="171"/>
      <c r="U3148" s="171"/>
      <c r="V3148" s="171"/>
      <c r="W3148" s="171"/>
      <c r="X3148" s="171"/>
      <c r="Y3148" s="171"/>
      <c r="Z3148" s="171"/>
      <c r="AA3148" s="171"/>
    </row>
    <row r="3149" spans="1:27" s="530" customFormat="1" hidden="1" x14ac:dyDescent="0.2">
      <c r="A3149" s="526"/>
      <c r="B3149" s="527"/>
      <c r="C3149" s="489"/>
      <c r="D3149" s="464"/>
      <c r="E3149" s="464"/>
      <c r="F3149" s="464"/>
      <c r="G3149" s="513"/>
      <c r="H3149" s="397"/>
      <c r="I3149" s="397"/>
      <c r="J3149" s="750" t="e">
        <f t="shared" ref="J3149:J3212" si="34">SUM(I3149/H3149)*100</f>
        <v>#DIV/0!</v>
      </c>
      <c r="K3149" s="398"/>
      <c r="L3149" s="398"/>
      <c r="M3149" s="682"/>
      <c r="N3149" s="171"/>
      <c r="O3149" s="171"/>
      <c r="P3149" s="169"/>
      <c r="Q3149" s="171"/>
      <c r="R3149" s="171"/>
      <c r="S3149" s="171"/>
      <c r="T3149" s="171"/>
      <c r="U3149" s="171"/>
      <c r="V3149" s="171"/>
      <c r="W3149" s="171"/>
      <c r="X3149" s="171"/>
      <c r="Y3149" s="171"/>
      <c r="Z3149" s="171"/>
      <c r="AA3149" s="171"/>
    </row>
    <row r="3150" spans="1:27" s="530" customFormat="1" hidden="1" x14ac:dyDescent="0.2">
      <c r="A3150" s="526"/>
      <c r="B3150" s="527"/>
      <c r="C3150" s="489"/>
      <c r="D3150" s="464"/>
      <c r="E3150" s="464"/>
      <c r="F3150" s="464"/>
      <c r="G3150" s="513"/>
      <c r="H3150" s="397"/>
      <c r="I3150" s="397"/>
      <c r="J3150" s="750" t="e">
        <f t="shared" si="34"/>
        <v>#DIV/0!</v>
      </c>
      <c r="K3150" s="398"/>
      <c r="L3150" s="398"/>
      <c r="M3150" s="682"/>
      <c r="N3150" s="171"/>
      <c r="O3150" s="171"/>
      <c r="P3150" s="169"/>
      <c r="Q3150" s="171"/>
      <c r="R3150" s="171"/>
      <c r="S3150" s="171"/>
      <c r="T3150" s="171"/>
      <c r="U3150" s="171"/>
      <c r="V3150" s="171"/>
      <c r="W3150" s="171"/>
      <c r="X3150" s="171"/>
      <c r="Y3150" s="171"/>
      <c r="Z3150" s="171"/>
      <c r="AA3150" s="171"/>
    </row>
    <row r="3151" spans="1:27" s="530" customFormat="1" hidden="1" x14ac:dyDescent="0.2">
      <c r="A3151" s="526"/>
      <c r="B3151" s="527"/>
      <c r="C3151" s="489"/>
      <c r="D3151" s="464"/>
      <c r="E3151" s="464"/>
      <c r="F3151" s="464"/>
      <c r="G3151" s="513"/>
      <c r="H3151" s="397"/>
      <c r="I3151" s="397"/>
      <c r="J3151" s="750" t="e">
        <f t="shared" si="34"/>
        <v>#DIV/0!</v>
      </c>
      <c r="K3151" s="398"/>
      <c r="L3151" s="398"/>
      <c r="M3151" s="682"/>
      <c r="N3151" s="171"/>
      <c r="O3151" s="171"/>
      <c r="P3151" s="169"/>
      <c r="Q3151" s="171"/>
      <c r="R3151" s="171"/>
      <c r="S3151" s="171"/>
      <c r="T3151" s="171"/>
      <c r="U3151" s="171"/>
      <c r="V3151" s="171"/>
      <c r="W3151" s="171"/>
      <c r="X3151" s="171"/>
      <c r="Y3151" s="171"/>
      <c r="Z3151" s="171"/>
      <c r="AA3151" s="171"/>
    </row>
    <row r="3152" spans="1:27" s="530" customFormat="1" hidden="1" x14ac:dyDescent="0.2">
      <c r="A3152" s="526"/>
      <c r="B3152" s="527"/>
      <c r="C3152" s="489"/>
      <c r="D3152" s="464"/>
      <c r="E3152" s="464"/>
      <c r="F3152" s="464"/>
      <c r="G3152" s="513"/>
      <c r="H3152" s="397"/>
      <c r="I3152" s="397"/>
      <c r="J3152" s="750" t="e">
        <f t="shared" si="34"/>
        <v>#DIV/0!</v>
      </c>
      <c r="K3152" s="398"/>
      <c r="L3152" s="398"/>
      <c r="M3152" s="682"/>
      <c r="N3152" s="171"/>
      <c r="O3152" s="171"/>
      <c r="P3152" s="169"/>
      <c r="Q3152" s="171"/>
      <c r="R3152" s="171"/>
      <c r="S3152" s="171"/>
      <c r="T3152" s="171"/>
      <c r="U3152" s="171"/>
      <c r="V3152" s="171"/>
      <c r="W3152" s="171"/>
      <c r="X3152" s="171"/>
      <c r="Y3152" s="171"/>
      <c r="Z3152" s="171"/>
      <c r="AA3152" s="171"/>
    </row>
    <row r="3153" spans="1:27" s="530" customFormat="1" hidden="1" x14ac:dyDescent="0.2">
      <c r="A3153" s="526"/>
      <c r="B3153" s="527"/>
      <c r="C3153" s="489"/>
      <c r="D3153" s="464"/>
      <c r="E3153" s="464"/>
      <c r="F3153" s="464"/>
      <c r="G3153" s="513"/>
      <c r="H3153" s="397"/>
      <c r="I3153" s="397"/>
      <c r="J3153" s="750" t="e">
        <f t="shared" si="34"/>
        <v>#DIV/0!</v>
      </c>
      <c r="K3153" s="398"/>
      <c r="L3153" s="398"/>
      <c r="M3153" s="682"/>
      <c r="N3153" s="171"/>
      <c r="O3153" s="171"/>
      <c r="P3153" s="169"/>
      <c r="Q3153" s="171"/>
      <c r="R3153" s="171"/>
      <c r="S3153" s="171"/>
      <c r="T3153" s="171"/>
      <c r="U3153" s="171"/>
      <c r="V3153" s="171"/>
      <c r="W3153" s="171"/>
      <c r="X3153" s="171"/>
      <c r="Y3153" s="171"/>
      <c r="Z3153" s="171"/>
      <c r="AA3153" s="171"/>
    </row>
    <row r="3154" spans="1:27" s="530" customFormat="1" hidden="1" x14ac:dyDescent="0.2">
      <c r="A3154" s="526"/>
      <c r="B3154" s="527"/>
      <c r="C3154" s="489"/>
      <c r="D3154" s="464"/>
      <c r="E3154" s="464"/>
      <c r="F3154" s="464"/>
      <c r="G3154" s="513"/>
      <c r="H3154" s="397"/>
      <c r="I3154" s="397"/>
      <c r="J3154" s="750" t="e">
        <f t="shared" si="34"/>
        <v>#DIV/0!</v>
      </c>
      <c r="K3154" s="398"/>
      <c r="L3154" s="398"/>
      <c r="M3154" s="682"/>
      <c r="N3154" s="171"/>
      <c r="O3154" s="171"/>
      <c r="P3154" s="169"/>
      <c r="Q3154" s="171"/>
      <c r="R3154" s="171"/>
      <c r="S3154" s="171"/>
      <c r="T3154" s="171"/>
      <c r="U3154" s="171"/>
      <c r="V3154" s="171"/>
      <c r="W3154" s="171"/>
      <c r="X3154" s="171"/>
      <c r="Y3154" s="171"/>
      <c r="Z3154" s="171"/>
      <c r="AA3154" s="171"/>
    </row>
    <row r="3155" spans="1:27" s="530" customFormat="1" hidden="1" x14ac:dyDescent="0.2">
      <c r="A3155" s="526"/>
      <c r="B3155" s="527"/>
      <c r="C3155" s="489"/>
      <c r="D3155" s="464"/>
      <c r="E3155" s="464"/>
      <c r="F3155" s="464"/>
      <c r="G3155" s="513"/>
      <c r="H3155" s="397"/>
      <c r="I3155" s="397"/>
      <c r="J3155" s="750" t="e">
        <f t="shared" si="34"/>
        <v>#DIV/0!</v>
      </c>
      <c r="K3155" s="398"/>
      <c r="L3155" s="398"/>
      <c r="M3155" s="682"/>
      <c r="N3155" s="171"/>
      <c r="O3155" s="171"/>
      <c r="P3155" s="169"/>
      <c r="Q3155" s="171"/>
      <c r="R3155" s="171"/>
      <c r="S3155" s="171"/>
      <c r="T3155" s="171"/>
      <c r="U3155" s="171"/>
      <c r="V3155" s="171"/>
      <c r="W3155" s="171"/>
      <c r="X3155" s="171"/>
      <c r="Y3155" s="171"/>
      <c r="Z3155" s="171"/>
      <c r="AA3155" s="171"/>
    </row>
    <row r="3156" spans="1:27" s="530" customFormat="1" hidden="1" x14ac:dyDescent="0.2">
      <c r="A3156" s="526"/>
      <c r="B3156" s="527"/>
      <c r="C3156" s="489"/>
      <c r="D3156" s="464"/>
      <c r="E3156" s="464"/>
      <c r="F3156" s="464"/>
      <c r="G3156" s="513"/>
      <c r="H3156" s="397"/>
      <c r="I3156" s="397"/>
      <c r="J3156" s="750" t="e">
        <f t="shared" si="34"/>
        <v>#DIV/0!</v>
      </c>
      <c r="K3156" s="398"/>
      <c r="L3156" s="398"/>
      <c r="M3156" s="682"/>
      <c r="N3156" s="171"/>
      <c r="O3156" s="171"/>
      <c r="P3156" s="169"/>
      <c r="Q3156" s="171"/>
      <c r="R3156" s="171"/>
      <c r="S3156" s="171"/>
      <c r="T3156" s="171"/>
      <c r="U3156" s="171"/>
      <c r="V3156" s="171"/>
      <c r="W3156" s="171"/>
      <c r="X3156" s="171"/>
      <c r="Y3156" s="171"/>
      <c r="Z3156" s="171"/>
      <c r="AA3156" s="171"/>
    </row>
    <row r="3157" spans="1:27" s="530" customFormat="1" hidden="1" x14ac:dyDescent="0.2">
      <c r="A3157" s="526"/>
      <c r="B3157" s="527"/>
      <c r="C3157" s="489"/>
      <c r="D3157" s="464"/>
      <c r="E3157" s="464"/>
      <c r="F3157" s="464"/>
      <c r="G3157" s="513"/>
      <c r="H3157" s="397"/>
      <c r="I3157" s="397"/>
      <c r="J3157" s="750" t="e">
        <f t="shared" si="34"/>
        <v>#DIV/0!</v>
      </c>
      <c r="K3157" s="398"/>
      <c r="L3157" s="398"/>
      <c r="M3157" s="682"/>
      <c r="N3157" s="171"/>
      <c r="O3157" s="171"/>
      <c r="P3157" s="169"/>
      <c r="Q3157" s="171"/>
      <c r="R3157" s="171"/>
      <c r="S3157" s="171"/>
      <c r="T3157" s="171"/>
      <c r="U3157" s="171"/>
      <c r="V3157" s="171"/>
      <c r="W3157" s="171"/>
      <c r="X3157" s="171"/>
      <c r="Y3157" s="171"/>
      <c r="Z3157" s="171"/>
      <c r="AA3157" s="171"/>
    </row>
    <row r="3158" spans="1:27" s="530" customFormat="1" hidden="1" x14ac:dyDescent="0.2">
      <c r="A3158" s="526"/>
      <c r="B3158" s="527"/>
      <c r="C3158" s="489"/>
      <c r="D3158" s="464"/>
      <c r="E3158" s="464"/>
      <c r="F3158" s="464"/>
      <c r="G3158" s="513"/>
      <c r="H3158" s="397"/>
      <c r="I3158" s="397"/>
      <c r="J3158" s="750" t="e">
        <f t="shared" si="34"/>
        <v>#DIV/0!</v>
      </c>
      <c r="K3158" s="398"/>
      <c r="L3158" s="398"/>
      <c r="M3158" s="682"/>
      <c r="N3158" s="171"/>
      <c r="O3158" s="171"/>
      <c r="P3158" s="169"/>
      <c r="Q3158" s="171"/>
      <c r="R3158" s="171"/>
      <c r="S3158" s="171"/>
      <c r="T3158" s="171"/>
      <c r="U3158" s="171"/>
      <c r="V3158" s="171"/>
      <c r="W3158" s="171"/>
      <c r="X3158" s="171"/>
      <c r="Y3158" s="171"/>
      <c r="Z3158" s="171"/>
      <c r="AA3158" s="171"/>
    </row>
    <row r="3159" spans="1:27" s="530" customFormat="1" hidden="1" x14ac:dyDescent="0.2">
      <c r="A3159" s="526"/>
      <c r="B3159" s="527"/>
      <c r="C3159" s="489"/>
      <c r="D3159" s="464"/>
      <c r="E3159" s="464"/>
      <c r="F3159" s="464"/>
      <c r="G3159" s="513"/>
      <c r="H3159" s="397"/>
      <c r="I3159" s="397"/>
      <c r="J3159" s="750" t="e">
        <f t="shared" si="34"/>
        <v>#DIV/0!</v>
      </c>
      <c r="K3159" s="398"/>
      <c r="L3159" s="398"/>
      <c r="M3159" s="682"/>
      <c r="N3159" s="171"/>
      <c r="O3159" s="171"/>
      <c r="P3159" s="169"/>
      <c r="Q3159" s="171"/>
      <c r="R3159" s="171"/>
      <c r="S3159" s="171"/>
      <c r="T3159" s="171"/>
      <c r="U3159" s="171"/>
      <c r="V3159" s="171"/>
      <c r="W3159" s="171"/>
      <c r="X3159" s="171"/>
      <c r="Y3159" s="171"/>
      <c r="Z3159" s="171"/>
      <c r="AA3159" s="171"/>
    </row>
    <row r="3160" spans="1:27" s="530" customFormat="1" hidden="1" x14ac:dyDescent="0.2">
      <c r="A3160" s="526"/>
      <c r="B3160" s="527"/>
      <c r="C3160" s="489"/>
      <c r="D3160" s="464"/>
      <c r="E3160" s="464"/>
      <c r="F3160" s="464"/>
      <c r="G3160" s="513"/>
      <c r="H3160" s="397"/>
      <c r="I3160" s="397"/>
      <c r="J3160" s="750" t="e">
        <f t="shared" si="34"/>
        <v>#DIV/0!</v>
      </c>
      <c r="K3160" s="398"/>
      <c r="L3160" s="398"/>
      <c r="M3160" s="682"/>
      <c r="N3160" s="171"/>
      <c r="O3160" s="171"/>
      <c r="P3160" s="169"/>
      <c r="Q3160" s="171"/>
      <c r="R3160" s="171"/>
      <c r="S3160" s="171"/>
      <c r="T3160" s="171"/>
      <c r="U3160" s="171"/>
      <c r="V3160" s="171"/>
      <c r="W3160" s="171"/>
      <c r="X3160" s="171"/>
      <c r="Y3160" s="171"/>
      <c r="Z3160" s="171"/>
      <c r="AA3160" s="171"/>
    </row>
    <row r="3161" spans="1:27" s="530" customFormat="1" hidden="1" x14ac:dyDescent="0.2">
      <c r="A3161" s="526"/>
      <c r="B3161" s="527"/>
      <c r="C3161" s="489"/>
      <c r="D3161" s="464"/>
      <c r="E3161" s="464"/>
      <c r="F3161" s="464"/>
      <c r="G3161" s="513"/>
      <c r="H3161" s="397"/>
      <c r="I3161" s="397"/>
      <c r="J3161" s="750" t="e">
        <f t="shared" si="34"/>
        <v>#DIV/0!</v>
      </c>
      <c r="K3161" s="398"/>
      <c r="L3161" s="398"/>
      <c r="M3161" s="682"/>
      <c r="N3161" s="171"/>
      <c r="O3161" s="171"/>
      <c r="P3161" s="169"/>
      <c r="Q3161" s="171"/>
      <c r="R3161" s="171"/>
      <c r="S3161" s="171"/>
      <c r="T3161" s="171"/>
      <c r="U3161" s="171"/>
      <c r="V3161" s="171"/>
      <c r="W3161" s="171"/>
      <c r="X3161" s="171"/>
      <c r="Y3161" s="171"/>
      <c r="Z3161" s="171"/>
      <c r="AA3161" s="171"/>
    </row>
    <row r="3162" spans="1:27" s="530" customFormat="1" hidden="1" x14ac:dyDescent="0.2">
      <c r="A3162" s="526"/>
      <c r="B3162" s="527"/>
      <c r="C3162" s="489"/>
      <c r="D3162" s="464"/>
      <c r="E3162" s="464"/>
      <c r="F3162" s="464"/>
      <c r="G3162" s="513"/>
      <c r="H3162" s="397"/>
      <c r="I3162" s="397"/>
      <c r="J3162" s="750" t="e">
        <f t="shared" si="34"/>
        <v>#DIV/0!</v>
      </c>
      <c r="K3162" s="398"/>
      <c r="L3162" s="398"/>
      <c r="M3162" s="682"/>
      <c r="N3162" s="171"/>
      <c r="O3162" s="171"/>
      <c r="P3162" s="169"/>
      <c r="Q3162" s="171"/>
      <c r="R3162" s="171"/>
      <c r="S3162" s="171"/>
      <c r="T3162" s="171"/>
      <c r="U3162" s="171"/>
      <c r="V3162" s="171"/>
      <c r="W3162" s="171"/>
      <c r="X3162" s="171"/>
      <c r="Y3162" s="171"/>
      <c r="Z3162" s="171"/>
      <c r="AA3162" s="171"/>
    </row>
    <row r="3163" spans="1:27" s="530" customFormat="1" hidden="1" x14ac:dyDescent="0.2">
      <c r="A3163" s="526"/>
      <c r="B3163" s="527"/>
      <c r="C3163" s="489"/>
      <c r="D3163" s="464"/>
      <c r="E3163" s="464"/>
      <c r="F3163" s="464"/>
      <c r="G3163" s="513"/>
      <c r="H3163" s="397"/>
      <c r="I3163" s="397"/>
      <c r="J3163" s="750" t="e">
        <f t="shared" si="34"/>
        <v>#DIV/0!</v>
      </c>
      <c r="K3163" s="398"/>
      <c r="L3163" s="398"/>
      <c r="M3163" s="682"/>
      <c r="N3163" s="171"/>
      <c r="O3163" s="171"/>
      <c r="P3163" s="169"/>
      <c r="Q3163" s="171"/>
      <c r="R3163" s="171"/>
      <c r="S3163" s="171"/>
      <c r="T3163" s="171"/>
      <c r="U3163" s="171"/>
      <c r="V3163" s="171"/>
      <c r="W3163" s="171"/>
      <c r="X3163" s="171"/>
      <c r="Y3163" s="171"/>
      <c r="Z3163" s="171"/>
      <c r="AA3163" s="171"/>
    </row>
    <row r="3164" spans="1:27" s="530" customFormat="1" hidden="1" x14ac:dyDescent="0.2">
      <c r="A3164" s="526"/>
      <c r="B3164" s="527"/>
      <c r="C3164" s="489"/>
      <c r="D3164" s="464"/>
      <c r="E3164" s="464"/>
      <c r="F3164" s="464"/>
      <c r="G3164" s="513"/>
      <c r="H3164" s="397"/>
      <c r="I3164" s="397"/>
      <c r="J3164" s="750" t="e">
        <f t="shared" si="34"/>
        <v>#DIV/0!</v>
      </c>
      <c r="K3164" s="398"/>
      <c r="L3164" s="398"/>
      <c r="M3164" s="682"/>
      <c r="N3164" s="171"/>
      <c r="O3164" s="171"/>
      <c r="P3164" s="169"/>
      <c r="Q3164" s="171"/>
      <c r="R3164" s="171"/>
      <c r="S3164" s="171"/>
      <c r="T3164" s="171"/>
      <c r="U3164" s="171"/>
      <c r="V3164" s="171"/>
      <c r="W3164" s="171"/>
      <c r="X3164" s="171"/>
      <c r="Y3164" s="171"/>
      <c r="Z3164" s="171"/>
      <c r="AA3164" s="171"/>
    </row>
    <row r="3165" spans="1:27" s="530" customFormat="1" hidden="1" x14ac:dyDescent="0.2">
      <c r="A3165" s="526"/>
      <c r="B3165" s="527"/>
      <c r="C3165" s="489"/>
      <c r="D3165" s="464"/>
      <c r="E3165" s="464"/>
      <c r="F3165" s="464"/>
      <c r="G3165" s="513"/>
      <c r="H3165" s="397"/>
      <c r="I3165" s="397"/>
      <c r="J3165" s="750" t="e">
        <f t="shared" si="34"/>
        <v>#DIV/0!</v>
      </c>
      <c r="K3165" s="398"/>
      <c r="L3165" s="398"/>
      <c r="M3165" s="682"/>
      <c r="N3165" s="171"/>
      <c r="O3165" s="171"/>
      <c r="P3165" s="169"/>
      <c r="Q3165" s="171"/>
      <c r="R3165" s="171"/>
      <c r="S3165" s="171"/>
      <c r="T3165" s="171"/>
      <c r="U3165" s="171"/>
      <c r="V3165" s="171"/>
      <c r="W3165" s="171"/>
      <c r="X3165" s="171"/>
      <c r="Y3165" s="171"/>
      <c r="Z3165" s="171"/>
      <c r="AA3165" s="171"/>
    </row>
    <row r="3166" spans="1:27" s="530" customFormat="1" hidden="1" x14ac:dyDescent="0.2">
      <c r="A3166" s="526"/>
      <c r="B3166" s="527"/>
      <c r="C3166" s="489"/>
      <c r="D3166" s="464"/>
      <c r="E3166" s="464"/>
      <c r="F3166" s="464"/>
      <c r="G3166" s="513"/>
      <c r="H3166" s="397"/>
      <c r="I3166" s="397"/>
      <c r="J3166" s="750" t="e">
        <f t="shared" si="34"/>
        <v>#DIV/0!</v>
      </c>
      <c r="K3166" s="398"/>
      <c r="L3166" s="398"/>
      <c r="M3166" s="682"/>
      <c r="N3166" s="171"/>
      <c r="O3166" s="171"/>
      <c r="P3166" s="169"/>
      <c r="Q3166" s="171"/>
      <c r="R3166" s="171"/>
      <c r="S3166" s="171"/>
      <c r="T3166" s="171"/>
      <c r="U3166" s="171"/>
      <c r="V3166" s="171"/>
      <c r="W3166" s="171"/>
      <c r="X3166" s="171"/>
      <c r="Y3166" s="171"/>
      <c r="Z3166" s="171"/>
      <c r="AA3166" s="171"/>
    </row>
    <row r="3167" spans="1:27" s="530" customFormat="1" hidden="1" x14ac:dyDescent="0.2">
      <c r="A3167" s="526"/>
      <c r="B3167" s="527"/>
      <c r="C3167" s="489"/>
      <c r="D3167" s="464"/>
      <c r="E3167" s="464"/>
      <c r="F3167" s="464"/>
      <c r="G3167" s="513"/>
      <c r="H3167" s="397"/>
      <c r="I3167" s="397"/>
      <c r="J3167" s="750" t="e">
        <f t="shared" si="34"/>
        <v>#DIV/0!</v>
      </c>
      <c r="K3167" s="398"/>
      <c r="L3167" s="398"/>
      <c r="M3167" s="682"/>
      <c r="N3167" s="171"/>
      <c r="O3167" s="171"/>
      <c r="P3167" s="169"/>
      <c r="Q3167" s="171"/>
      <c r="R3167" s="171"/>
      <c r="S3167" s="171"/>
      <c r="T3167" s="171"/>
      <c r="U3167" s="171"/>
      <c r="V3167" s="171"/>
      <c r="W3167" s="171"/>
      <c r="X3167" s="171"/>
      <c r="Y3167" s="171"/>
      <c r="Z3167" s="171"/>
      <c r="AA3167" s="171"/>
    </row>
    <row r="3168" spans="1:27" s="530" customFormat="1" hidden="1" x14ac:dyDescent="0.2">
      <c r="A3168" s="526"/>
      <c r="B3168" s="527"/>
      <c r="C3168" s="489"/>
      <c r="D3168" s="464"/>
      <c r="E3168" s="464"/>
      <c r="F3168" s="464"/>
      <c r="G3168" s="513"/>
      <c r="H3168" s="397"/>
      <c r="I3168" s="397"/>
      <c r="J3168" s="750" t="e">
        <f t="shared" si="34"/>
        <v>#DIV/0!</v>
      </c>
      <c r="K3168" s="398"/>
      <c r="L3168" s="398"/>
      <c r="M3168" s="682"/>
      <c r="N3168" s="171"/>
      <c r="O3168" s="171"/>
      <c r="P3168" s="169"/>
      <c r="Q3168" s="171"/>
      <c r="R3168" s="171"/>
      <c r="S3168" s="171"/>
      <c r="T3168" s="171"/>
      <c r="U3168" s="171"/>
      <c r="V3168" s="171"/>
      <c r="W3168" s="171"/>
      <c r="X3168" s="171"/>
      <c r="Y3168" s="171"/>
      <c r="Z3168" s="171"/>
      <c r="AA3168" s="171"/>
    </row>
    <row r="3169" spans="1:27" s="530" customFormat="1" hidden="1" x14ac:dyDescent="0.2">
      <c r="A3169" s="526"/>
      <c r="B3169" s="527"/>
      <c r="C3169" s="489"/>
      <c r="D3169" s="464"/>
      <c r="E3169" s="464"/>
      <c r="F3169" s="464"/>
      <c r="G3169" s="513"/>
      <c r="H3169" s="397"/>
      <c r="I3169" s="397"/>
      <c r="J3169" s="750" t="e">
        <f t="shared" si="34"/>
        <v>#DIV/0!</v>
      </c>
      <c r="K3169" s="398"/>
      <c r="L3169" s="398"/>
      <c r="M3169" s="682"/>
      <c r="N3169" s="171"/>
      <c r="O3169" s="171"/>
      <c r="P3169" s="169"/>
      <c r="Q3169" s="171"/>
      <c r="R3169" s="171"/>
      <c r="S3169" s="171"/>
      <c r="T3169" s="171"/>
      <c r="U3169" s="171"/>
      <c r="V3169" s="171"/>
      <c r="W3169" s="171"/>
      <c r="X3169" s="171"/>
      <c r="Y3169" s="171"/>
      <c r="Z3169" s="171"/>
      <c r="AA3169" s="171"/>
    </row>
    <row r="3170" spans="1:27" s="530" customFormat="1" hidden="1" x14ac:dyDescent="0.2">
      <c r="A3170" s="526"/>
      <c r="B3170" s="527"/>
      <c r="C3170" s="489"/>
      <c r="D3170" s="464"/>
      <c r="E3170" s="464"/>
      <c r="F3170" s="464"/>
      <c r="G3170" s="513"/>
      <c r="H3170" s="397"/>
      <c r="I3170" s="397"/>
      <c r="J3170" s="750" t="e">
        <f t="shared" si="34"/>
        <v>#DIV/0!</v>
      </c>
      <c r="K3170" s="398"/>
      <c r="L3170" s="398"/>
      <c r="M3170" s="682"/>
      <c r="N3170" s="171"/>
      <c r="O3170" s="171"/>
      <c r="P3170" s="169"/>
      <c r="Q3170" s="171"/>
      <c r="R3170" s="171"/>
      <c r="S3170" s="171"/>
      <c r="T3170" s="171"/>
      <c r="U3170" s="171"/>
      <c r="V3170" s="171"/>
      <c r="W3170" s="171"/>
      <c r="X3170" s="171"/>
      <c r="Y3170" s="171"/>
      <c r="Z3170" s="171"/>
      <c r="AA3170" s="171"/>
    </row>
    <row r="3171" spans="1:27" s="530" customFormat="1" hidden="1" x14ac:dyDescent="0.2">
      <c r="A3171" s="526"/>
      <c r="B3171" s="527"/>
      <c r="C3171" s="489"/>
      <c r="D3171" s="464"/>
      <c r="E3171" s="464"/>
      <c r="F3171" s="464"/>
      <c r="G3171" s="513"/>
      <c r="H3171" s="397"/>
      <c r="I3171" s="397"/>
      <c r="J3171" s="750" t="e">
        <f t="shared" si="34"/>
        <v>#DIV/0!</v>
      </c>
      <c r="K3171" s="398"/>
      <c r="L3171" s="398"/>
      <c r="M3171" s="682"/>
      <c r="N3171" s="171"/>
      <c r="O3171" s="171"/>
      <c r="P3171" s="169"/>
      <c r="Q3171" s="171"/>
      <c r="R3171" s="171"/>
      <c r="S3171" s="171"/>
      <c r="T3171" s="171"/>
      <c r="U3171" s="171"/>
      <c r="V3171" s="171"/>
      <c r="W3171" s="171"/>
      <c r="X3171" s="171"/>
      <c r="Y3171" s="171"/>
      <c r="Z3171" s="171"/>
      <c r="AA3171" s="171"/>
    </row>
    <row r="3172" spans="1:27" s="530" customFormat="1" hidden="1" x14ac:dyDescent="0.2">
      <c r="A3172" s="526"/>
      <c r="B3172" s="527"/>
      <c r="C3172" s="489"/>
      <c r="D3172" s="464"/>
      <c r="E3172" s="464"/>
      <c r="F3172" s="464"/>
      <c r="G3172" s="513"/>
      <c r="H3172" s="397"/>
      <c r="I3172" s="397"/>
      <c r="J3172" s="750" t="e">
        <f t="shared" si="34"/>
        <v>#DIV/0!</v>
      </c>
      <c r="K3172" s="398"/>
      <c r="L3172" s="398"/>
      <c r="M3172" s="682"/>
      <c r="N3172" s="171"/>
      <c r="O3172" s="171"/>
      <c r="P3172" s="169"/>
      <c r="Q3172" s="171"/>
      <c r="R3172" s="171"/>
      <c r="S3172" s="171"/>
      <c r="T3172" s="171"/>
      <c r="U3172" s="171"/>
      <c r="V3172" s="171"/>
      <c r="W3172" s="171"/>
      <c r="X3172" s="171"/>
      <c r="Y3172" s="171"/>
      <c r="Z3172" s="171"/>
      <c r="AA3172" s="171"/>
    </row>
    <row r="3173" spans="1:27" s="530" customFormat="1" hidden="1" x14ac:dyDescent="0.2">
      <c r="A3173" s="526"/>
      <c r="B3173" s="527"/>
      <c r="C3173" s="489"/>
      <c r="D3173" s="464"/>
      <c r="E3173" s="464"/>
      <c r="F3173" s="464"/>
      <c r="G3173" s="513"/>
      <c r="H3173" s="397"/>
      <c r="I3173" s="397"/>
      <c r="J3173" s="750" t="e">
        <f t="shared" si="34"/>
        <v>#DIV/0!</v>
      </c>
      <c r="K3173" s="398"/>
      <c r="L3173" s="398"/>
      <c r="M3173" s="682"/>
      <c r="N3173" s="171"/>
      <c r="O3173" s="171"/>
      <c r="P3173" s="169"/>
      <c r="Q3173" s="171"/>
      <c r="R3173" s="171"/>
      <c r="S3173" s="171"/>
      <c r="T3173" s="171"/>
      <c r="U3173" s="171"/>
      <c r="V3173" s="171"/>
      <c r="W3173" s="171"/>
      <c r="X3173" s="171"/>
      <c r="Y3173" s="171"/>
      <c r="Z3173" s="171"/>
      <c r="AA3173" s="171"/>
    </row>
    <row r="3174" spans="1:27" s="530" customFormat="1" hidden="1" x14ac:dyDescent="0.2">
      <c r="A3174" s="526"/>
      <c r="B3174" s="527"/>
      <c r="C3174" s="489"/>
      <c r="D3174" s="464"/>
      <c r="E3174" s="464"/>
      <c r="F3174" s="464"/>
      <c r="G3174" s="513"/>
      <c r="H3174" s="397"/>
      <c r="I3174" s="397"/>
      <c r="J3174" s="750" t="e">
        <f t="shared" si="34"/>
        <v>#DIV/0!</v>
      </c>
      <c r="K3174" s="398"/>
      <c r="L3174" s="398"/>
      <c r="M3174" s="682"/>
      <c r="N3174" s="171"/>
      <c r="O3174" s="171"/>
      <c r="P3174" s="169"/>
      <c r="Q3174" s="171"/>
      <c r="R3174" s="171"/>
      <c r="S3174" s="171"/>
      <c r="T3174" s="171"/>
      <c r="U3174" s="171"/>
      <c r="V3174" s="171"/>
      <c r="W3174" s="171"/>
      <c r="X3174" s="171"/>
      <c r="Y3174" s="171"/>
      <c r="Z3174" s="171"/>
      <c r="AA3174" s="171"/>
    </row>
    <row r="3175" spans="1:27" s="530" customFormat="1" hidden="1" x14ac:dyDescent="0.2">
      <c r="A3175" s="526"/>
      <c r="B3175" s="527"/>
      <c r="C3175" s="489"/>
      <c r="D3175" s="464"/>
      <c r="E3175" s="464"/>
      <c r="F3175" s="464"/>
      <c r="G3175" s="513"/>
      <c r="H3175" s="397"/>
      <c r="I3175" s="397"/>
      <c r="J3175" s="750" t="e">
        <f t="shared" si="34"/>
        <v>#DIV/0!</v>
      </c>
      <c r="K3175" s="398"/>
      <c r="L3175" s="398"/>
      <c r="M3175" s="682"/>
      <c r="N3175" s="171"/>
      <c r="O3175" s="171"/>
      <c r="P3175" s="169"/>
      <c r="Q3175" s="171"/>
      <c r="R3175" s="171"/>
      <c r="S3175" s="171"/>
      <c r="T3175" s="171"/>
      <c r="U3175" s="171"/>
      <c r="V3175" s="171"/>
      <c r="W3175" s="171"/>
      <c r="X3175" s="171"/>
      <c r="Y3175" s="171"/>
      <c r="Z3175" s="171"/>
      <c r="AA3175" s="171"/>
    </row>
    <row r="3176" spans="1:27" s="530" customFormat="1" hidden="1" x14ac:dyDescent="0.2">
      <c r="A3176" s="526"/>
      <c r="B3176" s="527"/>
      <c r="C3176" s="489"/>
      <c r="D3176" s="464"/>
      <c r="E3176" s="464"/>
      <c r="F3176" s="464"/>
      <c r="G3176" s="513"/>
      <c r="H3176" s="397"/>
      <c r="I3176" s="397"/>
      <c r="J3176" s="750" t="e">
        <f t="shared" si="34"/>
        <v>#DIV/0!</v>
      </c>
      <c r="K3176" s="398"/>
      <c r="L3176" s="398"/>
      <c r="M3176" s="682"/>
      <c r="N3176" s="171"/>
      <c r="O3176" s="171"/>
      <c r="P3176" s="169"/>
      <c r="Q3176" s="171"/>
      <c r="R3176" s="171"/>
      <c r="S3176" s="171"/>
      <c r="T3176" s="171"/>
      <c r="U3176" s="171"/>
      <c r="V3176" s="171"/>
      <c r="W3176" s="171"/>
      <c r="X3176" s="171"/>
      <c r="Y3176" s="171"/>
      <c r="Z3176" s="171"/>
      <c r="AA3176" s="171"/>
    </row>
    <row r="3177" spans="1:27" s="530" customFormat="1" hidden="1" x14ac:dyDescent="0.2">
      <c r="A3177" s="526"/>
      <c r="B3177" s="527"/>
      <c r="C3177" s="489"/>
      <c r="D3177" s="464"/>
      <c r="E3177" s="464"/>
      <c r="F3177" s="464"/>
      <c r="G3177" s="513"/>
      <c r="H3177" s="397"/>
      <c r="I3177" s="397"/>
      <c r="J3177" s="750" t="e">
        <f t="shared" si="34"/>
        <v>#DIV/0!</v>
      </c>
      <c r="K3177" s="398"/>
      <c r="L3177" s="398"/>
      <c r="M3177" s="682"/>
      <c r="N3177" s="171"/>
      <c r="O3177" s="171"/>
      <c r="P3177" s="169"/>
      <c r="Q3177" s="171"/>
      <c r="R3177" s="171"/>
      <c r="S3177" s="171"/>
      <c r="T3177" s="171"/>
      <c r="U3177" s="171"/>
      <c r="V3177" s="171"/>
      <c r="W3177" s="171"/>
      <c r="X3177" s="171"/>
      <c r="Y3177" s="171"/>
      <c r="Z3177" s="171"/>
      <c r="AA3177" s="171"/>
    </row>
    <row r="3178" spans="1:27" s="530" customFormat="1" hidden="1" x14ac:dyDescent="0.2">
      <c r="A3178" s="526"/>
      <c r="B3178" s="527"/>
      <c r="C3178" s="489"/>
      <c r="D3178" s="464"/>
      <c r="E3178" s="464"/>
      <c r="F3178" s="464"/>
      <c r="G3178" s="513"/>
      <c r="H3178" s="397"/>
      <c r="I3178" s="397"/>
      <c r="J3178" s="750" t="e">
        <f t="shared" si="34"/>
        <v>#DIV/0!</v>
      </c>
      <c r="K3178" s="398"/>
      <c r="L3178" s="398"/>
      <c r="M3178" s="682"/>
      <c r="N3178" s="171"/>
      <c r="O3178" s="171"/>
      <c r="P3178" s="169"/>
      <c r="Q3178" s="171"/>
      <c r="R3178" s="171"/>
      <c r="S3178" s="171"/>
      <c r="T3178" s="171"/>
      <c r="U3178" s="171"/>
      <c r="V3178" s="171"/>
      <c r="W3178" s="171"/>
      <c r="X3178" s="171"/>
      <c r="Y3178" s="171"/>
      <c r="Z3178" s="171"/>
      <c r="AA3178" s="171"/>
    </row>
    <row r="3179" spans="1:27" s="530" customFormat="1" hidden="1" x14ac:dyDescent="0.2">
      <c r="A3179" s="526"/>
      <c r="B3179" s="527"/>
      <c r="C3179" s="489"/>
      <c r="D3179" s="464"/>
      <c r="E3179" s="464"/>
      <c r="F3179" s="464"/>
      <c r="G3179" s="513"/>
      <c r="H3179" s="397"/>
      <c r="I3179" s="397"/>
      <c r="J3179" s="750" t="e">
        <f t="shared" si="34"/>
        <v>#DIV/0!</v>
      </c>
      <c r="K3179" s="398"/>
      <c r="L3179" s="398"/>
      <c r="M3179" s="682"/>
      <c r="N3179" s="171"/>
      <c r="O3179" s="171"/>
      <c r="P3179" s="169"/>
      <c r="Q3179" s="171"/>
      <c r="R3179" s="171"/>
      <c r="S3179" s="171"/>
      <c r="T3179" s="171"/>
      <c r="U3179" s="171"/>
      <c r="V3179" s="171"/>
      <c r="W3179" s="171"/>
      <c r="X3179" s="171"/>
      <c r="Y3179" s="171"/>
      <c r="Z3179" s="171"/>
      <c r="AA3179" s="171"/>
    </row>
    <row r="3180" spans="1:27" s="530" customFormat="1" hidden="1" x14ac:dyDescent="0.2">
      <c r="A3180" s="526"/>
      <c r="B3180" s="527"/>
      <c r="C3180" s="489"/>
      <c r="D3180" s="464"/>
      <c r="E3180" s="464"/>
      <c r="F3180" s="464"/>
      <c r="G3180" s="513"/>
      <c r="H3180" s="397"/>
      <c r="I3180" s="397"/>
      <c r="J3180" s="750" t="e">
        <f t="shared" si="34"/>
        <v>#DIV/0!</v>
      </c>
      <c r="K3180" s="398"/>
      <c r="L3180" s="398"/>
      <c r="M3180" s="682"/>
      <c r="N3180" s="171"/>
      <c r="O3180" s="171"/>
      <c r="P3180" s="169"/>
      <c r="Q3180" s="171"/>
      <c r="R3180" s="171"/>
      <c r="S3180" s="171"/>
      <c r="T3180" s="171"/>
      <c r="U3180" s="171"/>
      <c r="V3180" s="171"/>
      <c r="W3180" s="171"/>
      <c r="X3180" s="171"/>
      <c r="Y3180" s="171"/>
      <c r="Z3180" s="171"/>
      <c r="AA3180" s="171"/>
    </row>
    <row r="3181" spans="1:27" s="530" customFormat="1" hidden="1" x14ac:dyDescent="0.2">
      <c r="A3181" s="526"/>
      <c r="B3181" s="527"/>
      <c r="C3181" s="489"/>
      <c r="D3181" s="464"/>
      <c r="E3181" s="464"/>
      <c r="F3181" s="464"/>
      <c r="G3181" s="513"/>
      <c r="H3181" s="397"/>
      <c r="I3181" s="397"/>
      <c r="J3181" s="750" t="e">
        <f t="shared" si="34"/>
        <v>#DIV/0!</v>
      </c>
      <c r="K3181" s="398"/>
      <c r="L3181" s="398"/>
      <c r="M3181" s="682"/>
      <c r="N3181" s="171"/>
      <c r="O3181" s="171"/>
      <c r="P3181" s="169"/>
      <c r="Q3181" s="171"/>
      <c r="R3181" s="171"/>
      <c r="S3181" s="171"/>
      <c r="T3181" s="171"/>
      <c r="U3181" s="171"/>
      <c r="V3181" s="171"/>
      <c r="W3181" s="171"/>
      <c r="X3181" s="171"/>
      <c r="Y3181" s="171"/>
      <c r="Z3181" s="171"/>
      <c r="AA3181" s="171"/>
    </row>
    <row r="3182" spans="1:27" s="530" customFormat="1" hidden="1" x14ac:dyDescent="0.2">
      <c r="A3182" s="526"/>
      <c r="B3182" s="527"/>
      <c r="C3182" s="489"/>
      <c r="D3182" s="464"/>
      <c r="E3182" s="464"/>
      <c r="F3182" s="464"/>
      <c r="G3182" s="513"/>
      <c r="H3182" s="397"/>
      <c r="I3182" s="397"/>
      <c r="J3182" s="750" t="e">
        <f t="shared" si="34"/>
        <v>#DIV/0!</v>
      </c>
      <c r="K3182" s="398"/>
      <c r="L3182" s="398"/>
      <c r="M3182" s="682"/>
      <c r="N3182" s="171"/>
      <c r="O3182" s="171"/>
      <c r="P3182" s="169"/>
      <c r="Q3182" s="171"/>
      <c r="R3182" s="171"/>
      <c r="S3182" s="171"/>
      <c r="T3182" s="171"/>
      <c r="U3182" s="171"/>
      <c r="V3182" s="171"/>
      <c r="W3182" s="171"/>
      <c r="X3182" s="171"/>
      <c r="Y3182" s="171"/>
      <c r="Z3182" s="171"/>
      <c r="AA3182" s="171"/>
    </row>
    <row r="3183" spans="1:27" s="530" customFormat="1" hidden="1" x14ac:dyDescent="0.2">
      <c r="A3183" s="526"/>
      <c r="B3183" s="527"/>
      <c r="C3183" s="489"/>
      <c r="D3183" s="464"/>
      <c r="E3183" s="464"/>
      <c r="F3183" s="464"/>
      <c r="G3183" s="513"/>
      <c r="H3183" s="397"/>
      <c r="I3183" s="397"/>
      <c r="J3183" s="750" t="e">
        <f t="shared" si="34"/>
        <v>#DIV/0!</v>
      </c>
      <c r="K3183" s="398"/>
      <c r="L3183" s="398"/>
      <c r="M3183" s="682"/>
      <c r="N3183" s="171"/>
      <c r="O3183" s="171"/>
      <c r="P3183" s="169"/>
      <c r="Q3183" s="171"/>
      <c r="R3183" s="171"/>
      <c r="S3183" s="171"/>
      <c r="T3183" s="171"/>
      <c r="U3183" s="171"/>
      <c r="V3183" s="171"/>
      <c r="W3183" s="171"/>
      <c r="X3183" s="171"/>
      <c r="Y3183" s="171"/>
      <c r="Z3183" s="171"/>
      <c r="AA3183" s="171"/>
    </row>
    <row r="3184" spans="1:27" s="530" customFormat="1" hidden="1" x14ac:dyDescent="0.2">
      <c r="A3184" s="526"/>
      <c r="B3184" s="527"/>
      <c r="C3184" s="489"/>
      <c r="D3184" s="464"/>
      <c r="E3184" s="464"/>
      <c r="F3184" s="464"/>
      <c r="G3184" s="513"/>
      <c r="H3184" s="397"/>
      <c r="I3184" s="397"/>
      <c r="J3184" s="750" t="e">
        <f t="shared" si="34"/>
        <v>#DIV/0!</v>
      </c>
      <c r="K3184" s="398"/>
      <c r="L3184" s="398"/>
      <c r="M3184" s="682"/>
      <c r="N3184" s="171"/>
      <c r="O3184" s="171"/>
      <c r="P3184" s="169"/>
      <c r="Q3184" s="171"/>
      <c r="R3184" s="171"/>
      <c r="S3184" s="171"/>
      <c r="T3184" s="171"/>
      <c r="U3184" s="171"/>
      <c r="V3184" s="171"/>
      <c r="W3184" s="171"/>
      <c r="X3184" s="171"/>
      <c r="Y3184" s="171"/>
      <c r="Z3184" s="171"/>
      <c r="AA3184" s="171"/>
    </row>
    <row r="3185" spans="1:27" s="530" customFormat="1" hidden="1" x14ac:dyDescent="0.2">
      <c r="A3185" s="526"/>
      <c r="B3185" s="527"/>
      <c r="C3185" s="489"/>
      <c r="D3185" s="464"/>
      <c r="E3185" s="464"/>
      <c r="F3185" s="464"/>
      <c r="G3185" s="513"/>
      <c r="H3185" s="397"/>
      <c r="I3185" s="397"/>
      <c r="J3185" s="750" t="e">
        <f t="shared" si="34"/>
        <v>#DIV/0!</v>
      </c>
      <c r="K3185" s="398"/>
      <c r="L3185" s="398"/>
      <c r="M3185" s="682"/>
      <c r="N3185" s="171"/>
      <c r="O3185" s="171"/>
      <c r="P3185" s="169"/>
      <c r="Q3185" s="171"/>
      <c r="R3185" s="171"/>
      <c r="S3185" s="171"/>
      <c r="T3185" s="171"/>
      <c r="U3185" s="171"/>
      <c r="V3185" s="171"/>
      <c r="W3185" s="171"/>
      <c r="X3185" s="171"/>
      <c r="Y3185" s="171"/>
      <c r="Z3185" s="171"/>
      <c r="AA3185" s="171"/>
    </row>
    <row r="3186" spans="1:27" s="530" customFormat="1" hidden="1" x14ac:dyDescent="0.2">
      <c r="A3186" s="526"/>
      <c r="B3186" s="527"/>
      <c r="C3186" s="489"/>
      <c r="D3186" s="464"/>
      <c r="E3186" s="464"/>
      <c r="F3186" s="464"/>
      <c r="G3186" s="513"/>
      <c r="H3186" s="397"/>
      <c r="I3186" s="397"/>
      <c r="J3186" s="750" t="e">
        <f t="shared" si="34"/>
        <v>#DIV/0!</v>
      </c>
      <c r="K3186" s="398"/>
      <c r="L3186" s="398"/>
      <c r="M3186" s="682"/>
      <c r="N3186" s="171"/>
      <c r="O3186" s="171"/>
      <c r="P3186" s="169"/>
      <c r="Q3186" s="171"/>
      <c r="R3186" s="171"/>
      <c r="S3186" s="171"/>
      <c r="T3186" s="171"/>
      <c r="U3186" s="171"/>
      <c r="V3186" s="171"/>
      <c r="W3186" s="171"/>
      <c r="X3186" s="171"/>
      <c r="Y3186" s="171"/>
      <c r="Z3186" s="171"/>
      <c r="AA3186" s="171"/>
    </row>
    <row r="3187" spans="1:27" s="530" customFormat="1" hidden="1" x14ac:dyDescent="0.2">
      <c r="A3187" s="526"/>
      <c r="B3187" s="527"/>
      <c r="C3187" s="489"/>
      <c r="D3187" s="464"/>
      <c r="E3187" s="464"/>
      <c r="F3187" s="464"/>
      <c r="G3187" s="513"/>
      <c r="H3187" s="397"/>
      <c r="I3187" s="397"/>
      <c r="J3187" s="750" t="e">
        <f t="shared" si="34"/>
        <v>#DIV/0!</v>
      </c>
      <c r="K3187" s="398"/>
      <c r="L3187" s="398"/>
      <c r="M3187" s="682"/>
      <c r="N3187" s="171"/>
      <c r="O3187" s="171"/>
      <c r="P3187" s="169"/>
      <c r="Q3187" s="171"/>
      <c r="R3187" s="171"/>
      <c r="S3187" s="171"/>
      <c r="T3187" s="171"/>
      <c r="U3187" s="171"/>
      <c r="V3187" s="171"/>
      <c r="W3187" s="171"/>
      <c r="X3187" s="171"/>
      <c r="Y3187" s="171"/>
      <c r="Z3187" s="171"/>
      <c r="AA3187" s="171"/>
    </row>
    <row r="3188" spans="1:27" s="530" customFormat="1" hidden="1" x14ac:dyDescent="0.2">
      <c r="A3188" s="526"/>
      <c r="B3188" s="527"/>
      <c r="C3188" s="489"/>
      <c r="D3188" s="464"/>
      <c r="E3188" s="464"/>
      <c r="F3188" s="464"/>
      <c r="G3188" s="513"/>
      <c r="H3188" s="397"/>
      <c r="I3188" s="397"/>
      <c r="J3188" s="750" t="e">
        <f t="shared" si="34"/>
        <v>#DIV/0!</v>
      </c>
      <c r="K3188" s="398"/>
      <c r="L3188" s="398"/>
      <c r="M3188" s="682"/>
      <c r="N3188" s="171"/>
      <c r="O3188" s="171"/>
      <c r="P3188" s="169"/>
      <c r="Q3188" s="171"/>
      <c r="R3188" s="171"/>
      <c r="S3188" s="171"/>
      <c r="T3188" s="171"/>
      <c r="U3188" s="171"/>
      <c r="V3188" s="171"/>
      <c r="W3188" s="171"/>
      <c r="X3188" s="171"/>
      <c r="Y3188" s="171"/>
      <c r="Z3188" s="171"/>
      <c r="AA3188" s="171"/>
    </row>
    <row r="3189" spans="1:27" s="530" customFormat="1" hidden="1" x14ac:dyDescent="0.2">
      <c r="A3189" s="526"/>
      <c r="B3189" s="527"/>
      <c r="C3189" s="489"/>
      <c r="D3189" s="464"/>
      <c r="E3189" s="464"/>
      <c r="F3189" s="464"/>
      <c r="G3189" s="513"/>
      <c r="H3189" s="397"/>
      <c r="I3189" s="397"/>
      <c r="J3189" s="750" t="e">
        <f t="shared" si="34"/>
        <v>#DIV/0!</v>
      </c>
      <c r="K3189" s="398"/>
      <c r="L3189" s="398"/>
      <c r="M3189" s="682"/>
      <c r="N3189" s="171"/>
      <c r="O3189" s="171"/>
      <c r="P3189" s="169"/>
      <c r="Q3189" s="171"/>
      <c r="R3189" s="171"/>
      <c r="S3189" s="171"/>
      <c r="T3189" s="171"/>
      <c r="U3189" s="171"/>
      <c r="V3189" s="171"/>
      <c r="W3189" s="171"/>
      <c r="X3189" s="171"/>
      <c r="Y3189" s="171"/>
      <c r="Z3189" s="171"/>
      <c r="AA3189" s="171"/>
    </row>
    <row r="3190" spans="1:27" s="530" customFormat="1" hidden="1" x14ac:dyDescent="0.2">
      <c r="A3190" s="526"/>
      <c r="B3190" s="527"/>
      <c r="C3190" s="489"/>
      <c r="D3190" s="464"/>
      <c r="E3190" s="464"/>
      <c r="F3190" s="464"/>
      <c r="G3190" s="513"/>
      <c r="H3190" s="397"/>
      <c r="I3190" s="397"/>
      <c r="J3190" s="750" t="e">
        <f t="shared" si="34"/>
        <v>#DIV/0!</v>
      </c>
      <c r="K3190" s="398"/>
      <c r="L3190" s="398"/>
      <c r="M3190" s="682"/>
      <c r="N3190" s="171"/>
      <c r="O3190" s="171"/>
      <c r="P3190" s="169"/>
      <c r="Q3190" s="171"/>
      <c r="R3190" s="171"/>
      <c r="S3190" s="171"/>
      <c r="T3190" s="171"/>
      <c r="U3190" s="171"/>
      <c r="V3190" s="171"/>
      <c r="W3190" s="171"/>
      <c r="X3190" s="171"/>
      <c r="Y3190" s="171"/>
      <c r="Z3190" s="171"/>
      <c r="AA3190" s="171"/>
    </row>
    <row r="3191" spans="1:27" s="530" customFormat="1" hidden="1" x14ac:dyDescent="0.2">
      <c r="A3191" s="526"/>
      <c r="B3191" s="527"/>
      <c r="C3191" s="489"/>
      <c r="D3191" s="464"/>
      <c r="E3191" s="464"/>
      <c r="F3191" s="464"/>
      <c r="G3191" s="513"/>
      <c r="H3191" s="397"/>
      <c r="I3191" s="397"/>
      <c r="J3191" s="750" t="e">
        <f t="shared" si="34"/>
        <v>#DIV/0!</v>
      </c>
      <c r="K3191" s="398"/>
      <c r="L3191" s="398"/>
      <c r="M3191" s="682"/>
      <c r="N3191" s="171"/>
      <c r="O3191" s="171"/>
      <c r="P3191" s="169"/>
      <c r="Q3191" s="171"/>
      <c r="R3191" s="171"/>
      <c r="S3191" s="171"/>
      <c r="T3191" s="171"/>
      <c r="U3191" s="171"/>
      <c r="V3191" s="171"/>
      <c r="W3191" s="171"/>
      <c r="X3191" s="171"/>
      <c r="Y3191" s="171"/>
      <c r="Z3191" s="171"/>
      <c r="AA3191" s="171"/>
    </row>
    <row r="3192" spans="1:27" s="530" customFormat="1" hidden="1" x14ac:dyDescent="0.2">
      <c r="A3192" s="526"/>
      <c r="B3192" s="527"/>
      <c r="C3192" s="489"/>
      <c r="D3192" s="464"/>
      <c r="E3192" s="464"/>
      <c r="F3192" s="464"/>
      <c r="G3192" s="513"/>
      <c r="H3192" s="397"/>
      <c r="I3192" s="397"/>
      <c r="J3192" s="750" t="e">
        <f t="shared" si="34"/>
        <v>#DIV/0!</v>
      </c>
      <c r="K3192" s="398"/>
      <c r="L3192" s="398"/>
      <c r="M3192" s="682"/>
      <c r="N3192" s="171"/>
      <c r="O3192" s="171"/>
      <c r="P3192" s="169"/>
      <c r="Q3192" s="171"/>
      <c r="R3192" s="171"/>
      <c r="S3192" s="171"/>
      <c r="T3192" s="171"/>
      <c r="U3192" s="171"/>
      <c r="V3192" s="171"/>
      <c r="W3192" s="171"/>
      <c r="X3192" s="171"/>
      <c r="Y3192" s="171"/>
      <c r="Z3192" s="171"/>
      <c r="AA3192" s="171"/>
    </row>
    <row r="3193" spans="1:27" s="530" customFormat="1" hidden="1" x14ac:dyDescent="0.2">
      <c r="A3193" s="526"/>
      <c r="B3193" s="527"/>
      <c r="C3193" s="489"/>
      <c r="D3193" s="464"/>
      <c r="E3193" s="464"/>
      <c r="F3193" s="464"/>
      <c r="G3193" s="513"/>
      <c r="H3193" s="397"/>
      <c r="I3193" s="397"/>
      <c r="J3193" s="750" t="e">
        <f t="shared" si="34"/>
        <v>#DIV/0!</v>
      </c>
      <c r="K3193" s="398"/>
      <c r="L3193" s="398"/>
      <c r="M3193" s="682"/>
      <c r="N3193" s="171"/>
      <c r="O3193" s="171"/>
      <c r="P3193" s="169"/>
      <c r="Q3193" s="171"/>
      <c r="R3193" s="171"/>
      <c r="S3193" s="171"/>
      <c r="T3193" s="171"/>
      <c r="U3193" s="171"/>
      <c r="V3193" s="171"/>
      <c r="W3193" s="171"/>
      <c r="X3193" s="171"/>
      <c r="Y3193" s="171"/>
      <c r="Z3193" s="171"/>
      <c r="AA3193" s="171"/>
    </row>
    <row r="3194" spans="1:27" s="530" customFormat="1" hidden="1" x14ac:dyDescent="0.2">
      <c r="A3194" s="526"/>
      <c r="B3194" s="527"/>
      <c r="C3194" s="489"/>
      <c r="D3194" s="464"/>
      <c r="E3194" s="464"/>
      <c r="F3194" s="464"/>
      <c r="G3194" s="513"/>
      <c r="H3194" s="397"/>
      <c r="I3194" s="397"/>
      <c r="J3194" s="750" t="e">
        <f t="shared" si="34"/>
        <v>#DIV/0!</v>
      </c>
      <c r="K3194" s="398"/>
      <c r="L3194" s="398"/>
      <c r="M3194" s="682"/>
      <c r="N3194" s="171"/>
      <c r="O3194" s="171"/>
      <c r="P3194" s="169"/>
      <c r="Q3194" s="171"/>
      <c r="R3194" s="171"/>
      <c r="S3194" s="171"/>
      <c r="T3194" s="171"/>
      <c r="U3194" s="171"/>
      <c r="V3194" s="171"/>
      <c r="W3194" s="171"/>
      <c r="X3194" s="171"/>
      <c r="Y3194" s="171"/>
      <c r="Z3194" s="171"/>
      <c r="AA3194" s="171"/>
    </row>
    <row r="3195" spans="1:27" s="530" customFormat="1" hidden="1" x14ac:dyDescent="0.2">
      <c r="A3195" s="526"/>
      <c r="B3195" s="527"/>
      <c r="C3195" s="489"/>
      <c r="D3195" s="464"/>
      <c r="E3195" s="464"/>
      <c r="F3195" s="464"/>
      <c r="G3195" s="513"/>
      <c r="H3195" s="397"/>
      <c r="I3195" s="397"/>
      <c r="J3195" s="750" t="e">
        <f t="shared" si="34"/>
        <v>#DIV/0!</v>
      </c>
      <c r="K3195" s="398"/>
      <c r="L3195" s="398"/>
      <c r="M3195" s="682"/>
      <c r="N3195" s="171"/>
      <c r="O3195" s="171"/>
      <c r="P3195" s="169"/>
      <c r="Q3195" s="171"/>
      <c r="R3195" s="171"/>
      <c r="S3195" s="171"/>
      <c r="T3195" s="171"/>
      <c r="U3195" s="171"/>
      <c r="V3195" s="171"/>
      <c r="W3195" s="171"/>
      <c r="X3195" s="171"/>
      <c r="Y3195" s="171"/>
      <c r="Z3195" s="171"/>
      <c r="AA3195" s="171"/>
    </row>
    <row r="3196" spans="1:27" s="530" customFormat="1" hidden="1" x14ac:dyDescent="0.2">
      <c r="A3196" s="526"/>
      <c r="B3196" s="527"/>
      <c r="C3196" s="489"/>
      <c r="D3196" s="464"/>
      <c r="E3196" s="464"/>
      <c r="F3196" s="464"/>
      <c r="G3196" s="513"/>
      <c r="H3196" s="397"/>
      <c r="I3196" s="397"/>
      <c r="J3196" s="750" t="e">
        <f t="shared" si="34"/>
        <v>#DIV/0!</v>
      </c>
      <c r="K3196" s="398"/>
      <c r="L3196" s="398"/>
      <c r="M3196" s="682"/>
      <c r="N3196" s="171"/>
      <c r="O3196" s="171"/>
      <c r="P3196" s="169"/>
      <c r="Q3196" s="171"/>
      <c r="R3196" s="171"/>
      <c r="S3196" s="171"/>
      <c r="T3196" s="171"/>
      <c r="U3196" s="171"/>
      <c r="V3196" s="171"/>
      <c r="W3196" s="171"/>
      <c r="X3196" s="171"/>
      <c r="Y3196" s="171"/>
      <c r="Z3196" s="171"/>
      <c r="AA3196" s="171"/>
    </row>
    <row r="3197" spans="1:27" s="530" customFormat="1" hidden="1" x14ac:dyDescent="0.2">
      <c r="A3197" s="526"/>
      <c r="B3197" s="527"/>
      <c r="C3197" s="489"/>
      <c r="D3197" s="464"/>
      <c r="E3197" s="464"/>
      <c r="F3197" s="464"/>
      <c r="G3197" s="513"/>
      <c r="H3197" s="397"/>
      <c r="I3197" s="397"/>
      <c r="J3197" s="750" t="e">
        <f t="shared" si="34"/>
        <v>#DIV/0!</v>
      </c>
      <c r="K3197" s="398"/>
      <c r="L3197" s="398"/>
      <c r="M3197" s="682"/>
      <c r="N3197" s="171"/>
      <c r="O3197" s="171"/>
      <c r="P3197" s="169"/>
      <c r="Q3197" s="171"/>
      <c r="R3197" s="171"/>
      <c r="S3197" s="171"/>
      <c r="T3197" s="171"/>
      <c r="U3197" s="171"/>
      <c r="V3197" s="171"/>
      <c r="W3197" s="171"/>
      <c r="X3197" s="171"/>
      <c r="Y3197" s="171"/>
      <c r="Z3197" s="171"/>
      <c r="AA3197" s="171"/>
    </row>
    <row r="3198" spans="1:27" s="530" customFormat="1" hidden="1" x14ac:dyDescent="0.2">
      <c r="A3198" s="526"/>
      <c r="B3198" s="527"/>
      <c r="C3198" s="489"/>
      <c r="D3198" s="464"/>
      <c r="E3198" s="464"/>
      <c r="F3198" s="464"/>
      <c r="G3198" s="513"/>
      <c r="H3198" s="397"/>
      <c r="I3198" s="397"/>
      <c r="J3198" s="750" t="e">
        <f t="shared" si="34"/>
        <v>#DIV/0!</v>
      </c>
      <c r="K3198" s="398"/>
      <c r="L3198" s="398"/>
      <c r="M3198" s="682"/>
      <c r="N3198" s="171"/>
      <c r="O3198" s="171"/>
      <c r="P3198" s="169"/>
      <c r="Q3198" s="171"/>
      <c r="R3198" s="171"/>
      <c r="S3198" s="171"/>
      <c r="T3198" s="171"/>
      <c r="U3198" s="171"/>
      <c r="V3198" s="171"/>
      <c r="W3198" s="171"/>
      <c r="X3198" s="171"/>
      <c r="Y3198" s="171"/>
      <c r="Z3198" s="171"/>
      <c r="AA3198" s="171"/>
    </row>
    <row r="3199" spans="1:27" s="530" customFormat="1" hidden="1" x14ac:dyDescent="0.2">
      <c r="A3199" s="526"/>
      <c r="B3199" s="527"/>
      <c r="C3199" s="489"/>
      <c r="D3199" s="464"/>
      <c r="E3199" s="464"/>
      <c r="F3199" s="464"/>
      <c r="G3199" s="513"/>
      <c r="H3199" s="397"/>
      <c r="I3199" s="397"/>
      <c r="J3199" s="750" t="e">
        <f t="shared" si="34"/>
        <v>#DIV/0!</v>
      </c>
      <c r="K3199" s="398"/>
      <c r="L3199" s="398"/>
      <c r="M3199" s="682"/>
      <c r="N3199" s="171"/>
      <c r="O3199" s="171"/>
      <c r="P3199" s="169"/>
      <c r="Q3199" s="171"/>
      <c r="R3199" s="171"/>
      <c r="S3199" s="171"/>
      <c r="T3199" s="171"/>
      <c r="U3199" s="171"/>
      <c r="V3199" s="171"/>
      <c r="W3199" s="171"/>
      <c r="X3199" s="171"/>
      <c r="Y3199" s="171"/>
      <c r="Z3199" s="171"/>
      <c r="AA3199" s="171"/>
    </row>
    <row r="3200" spans="1:27" s="530" customFormat="1" hidden="1" x14ac:dyDescent="0.2">
      <c r="A3200" s="526"/>
      <c r="B3200" s="527"/>
      <c r="C3200" s="489"/>
      <c r="D3200" s="464"/>
      <c r="E3200" s="464"/>
      <c r="F3200" s="464"/>
      <c r="G3200" s="513"/>
      <c r="H3200" s="397"/>
      <c r="I3200" s="397"/>
      <c r="J3200" s="750" t="e">
        <f t="shared" si="34"/>
        <v>#DIV/0!</v>
      </c>
      <c r="K3200" s="398"/>
      <c r="L3200" s="398"/>
      <c r="M3200" s="682"/>
      <c r="N3200" s="171"/>
      <c r="O3200" s="171"/>
      <c r="P3200" s="169"/>
      <c r="Q3200" s="171"/>
      <c r="R3200" s="171"/>
      <c r="S3200" s="171"/>
      <c r="T3200" s="171"/>
      <c r="U3200" s="171"/>
      <c r="V3200" s="171"/>
      <c r="W3200" s="171"/>
      <c r="X3200" s="171"/>
      <c r="Y3200" s="171"/>
      <c r="Z3200" s="171"/>
      <c r="AA3200" s="171"/>
    </row>
    <row r="3201" spans="1:27" s="530" customFormat="1" hidden="1" x14ac:dyDescent="0.2">
      <c r="A3201" s="526"/>
      <c r="B3201" s="527"/>
      <c r="C3201" s="489"/>
      <c r="D3201" s="464"/>
      <c r="E3201" s="464"/>
      <c r="F3201" s="464"/>
      <c r="G3201" s="513"/>
      <c r="H3201" s="397"/>
      <c r="I3201" s="397"/>
      <c r="J3201" s="750" t="e">
        <f t="shared" si="34"/>
        <v>#DIV/0!</v>
      </c>
      <c r="K3201" s="398"/>
      <c r="L3201" s="398"/>
      <c r="M3201" s="682"/>
      <c r="N3201" s="171"/>
      <c r="O3201" s="171"/>
      <c r="P3201" s="169"/>
      <c r="Q3201" s="171"/>
      <c r="R3201" s="171"/>
      <c r="S3201" s="171"/>
      <c r="T3201" s="171"/>
      <c r="U3201" s="171"/>
      <c r="V3201" s="171"/>
      <c r="W3201" s="171"/>
      <c r="X3201" s="171"/>
      <c r="Y3201" s="171"/>
      <c r="Z3201" s="171"/>
      <c r="AA3201" s="171"/>
    </row>
    <row r="3202" spans="1:27" s="530" customFormat="1" hidden="1" x14ac:dyDescent="0.2">
      <c r="A3202" s="526"/>
      <c r="B3202" s="527"/>
      <c r="C3202" s="489"/>
      <c r="D3202" s="464"/>
      <c r="E3202" s="464"/>
      <c r="F3202" s="464"/>
      <c r="G3202" s="513"/>
      <c r="H3202" s="397"/>
      <c r="I3202" s="397"/>
      <c r="J3202" s="750" t="e">
        <f t="shared" si="34"/>
        <v>#DIV/0!</v>
      </c>
      <c r="K3202" s="398"/>
      <c r="L3202" s="398"/>
      <c r="M3202" s="682"/>
      <c r="N3202" s="171"/>
      <c r="O3202" s="171"/>
      <c r="P3202" s="169"/>
      <c r="Q3202" s="171"/>
      <c r="R3202" s="171"/>
      <c r="S3202" s="171"/>
      <c r="T3202" s="171"/>
      <c r="U3202" s="171"/>
      <c r="V3202" s="171"/>
      <c r="W3202" s="171"/>
      <c r="X3202" s="171"/>
      <c r="Y3202" s="171"/>
      <c r="Z3202" s="171"/>
      <c r="AA3202" s="171"/>
    </row>
    <row r="3203" spans="1:27" s="530" customFormat="1" hidden="1" x14ac:dyDescent="0.2">
      <c r="A3203" s="526"/>
      <c r="B3203" s="527"/>
      <c r="C3203" s="489"/>
      <c r="D3203" s="464"/>
      <c r="E3203" s="464"/>
      <c r="F3203" s="464"/>
      <c r="G3203" s="513"/>
      <c r="H3203" s="397"/>
      <c r="I3203" s="397"/>
      <c r="J3203" s="750" t="e">
        <f t="shared" si="34"/>
        <v>#DIV/0!</v>
      </c>
      <c r="K3203" s="398"/>
      <c r="L3203" s="398"/>
      <c r="M3203" s="682"/>
      <c r="N3203" s="171"/>
      <c r="O3203" s="171"/>
      <c r="P3203" s="169"/>
      <c r="Q3203" s="171"/>
      <c r="R3203" s="171"/>
      <c r="S3203" s="171"/>
      <c r="T3203" s="171"/>
      <c r="U3203" s="171"/>
      <c r="V3203" s="171"/>
      <c r="W3203" s="171"/>
      <c r="X3203" s="171"/>
      <c r="Y3203" s="171"/>
      <c r="Z3203" s="171"/>
      <c r="AA3203" s="171"/>
    </row>
    <row r="3204" spans="1:27" s="530" customFormat="1" hidden="1" x14ac:dyDescent="0.2">
      <c r="A3204" s="526"/>
      <c r="B3204" s="527"/>
      <c r="C3204" s="489"/>
      <c r="D3204" s="464"/>
      <c r="E3204" s="464"/>
      <c r="F3204" s="464"/>
      <c r="G3204" s="513"/>
      <c r="H3204" s="397"/>
      <c r="I3204" s="397"/>
      <c r="J3204" s="750" t="e">
        <f t="shared" si="34"/>
        <v>#DIV/0!</v>
      </c>
      <c r="K3204" s="398"/>
      <c r="L3204" s="398"/>
      <c r="M3204" s="682"/>
      <c r="N3204" s="171"/>
      <c r="O3204" s="171"/>
      <c r="P3204" s="169"/>
      <c r="Q3204" s="171"/>
      <c r="R3204" s="171"/>
      <c r="S3204" s="171"/>
      <c r="T3204" s="171"/>
      <c r="U3204" s="171"/>
      <c r="V3204" s="171"/>
      <c r="W3204" s="171"/>
      <c r="X3204" s="171"/>
      <c r="Y3204" s="171"/>
      <c r="Z3204" s="171"/>
      <c r="AA3204" s="171"/>
    </row>
    <row r="3205" spans="1:27" s="530" customFormat="1" hidden="1" x14ac:dyDescent="0.2">
      <c r="A3205" s="526"/>
      <c r="B3205" s="527"/>
      <c r="C3205" s="489"/>
      <c r="D3205" s="464"/>
      <c r="E3205" s="464"/>
      <c r="F3205" s="464"/>
      <c r="G3205" s="513"/>
      <c r="H3205" s="397"/>
      <c r="I3205" s="397"/>
      <c r="J3205" s="750" t="e">
        <f t="shared" si="34"/>
        <v>#DIV/0!</v>
      </c>
      <c r="K3205" s="398"/>
      <c r="L3205" s="398"/>
      <c r="M3205" s="682"/>
      <c r="N3205" s="171"/>
      <c r="O3205" s="171"/>
      <c r="P3205" s="169"/>
      <c r="Q3205" s="171"/>
      <c r="R3205" s="171"/>
      <c r="S3205" s="171"/>
      <c r="T3205" s="171"/>
      <c r="U3205" s="171"/>
      <c r="V3205" s="171"/>
      <c r="W3205" s="171"/>
      <c r="X3205" s="171"/>
      <c r="Y3205" s="171"/>
      <c r="Z3205" s="171"/>
      <c r="AA3205" s="171"/>
    </row>
    <row r="3206" spans="1:27" s="530" customFormat="1" hidden="1" x14ac:dyDescent="0.2">
      <c r="A3206" s="526"/>
      <c r="B3206" s="527"/>
      <c r="C3206" s="489"/>
      <c r="D3206" s="464"/>
      <c r="E3206" s="464"/>
      <c r="F3206" s="464"/>
      <c r="G3206" s="513"/>
      <c r="H3206" s="397"/>
      <c r="I3206" s="397"/>
      <c r="J3206" s="750" t="e">
        <f t="shared" si="34"/>
        <v>#DIV/0!</v>
      </c>
      <c r="K3206" s="398"/>
      <c r="L3206" s="398"/>
      <c r="M3206" s="682"/>
      <c r="N3206" s="171"/>
      <c r="O3206" s="171"/>
      <c r="P3206" s="169"/>
      <c r="Q3206" s="171"/>
      <c r="R3206" s="171"/>
      <c r="S3206" s="171"/>
      <c r="T3206" s="171"/>
      <c r="U3206" s="171"/>
      <c r="V3206" s="171"/>
      <c r="W3206" s="171"/>
      <c r="X3206" s="171"/>
      <c r="Y3206" s="171"/>
      <c r="Z3206" s="171"/>
      <c r="AA3206" s="171"/>
    </row>
    <row r="3207" spans="1:27" s="530" customFormat="1" hidden="1" x14ac:dyDescent="0.2">
      <c r="A3207" s="526"/>
      <c r="B3207" s="527"/>
      <c r="C3207" s="489"/>
      <c r="D3207" s="464"/>
      <c r="E3207" s="464"/>
      <c r="F3207" s="464"/>
      <c r="G3207" s="513"/>
      <c r="H3207" s="397"/>
      <c r="I3207" s="397"/>
      <c r="J3207" s="750" t="e">
        <f t="shared" si="34"/>
        <v>#DIV/0!</v>
      </c>
      <c r="K3207" s="398"/>
      <c r="L3207" s="398"/>
      <c r="M3207" s="682"/>
      <c r="N3207" s="171"/>
      <c r="O3207" s="171"/>
      <c r="P3207" s="169"/>
      <c r="Q3207" s="171"/>
      <c r="R3207" s="171"/>
      <c r="S3207" s="171"/>
      <c r="T3207" s="171"/>
      <c r="U3207" s="171"/>
      <c r="V3207" s="171"/>
      <c r="W3207" s="171"/>
      <c r="X3207" s="171"/>
      <c r="Y3207" s="171"/>
      <c r="Z3207" s="171"/>
      <c r="AA3207" s="171"/>
    </row>
    <row r="3208" spans="1:27" s="530" customFormat="1" hidden="1" x14ac:dyDescent="0.2">
      <c r="A3208" s="526"/>
      <c r="B3208" s="527"/>
      <c r="C3208" s="489"/>
      <c r="D3208" s="464"/>
      <c r="E3208" s="464"/>
      <c r="F3208" s="464"/>
      <c r="G3208" s="513"/>
      <c r="H3208" s="397"/>
      <c r="I3208" s="397"/>
      <c r="J3208" s="750" t="e">
        <f t="shared" si="34"/>
        <v>#DIV/0!</v>
      </c>
      <c r="K3208" s="398"/>
      <c r="L3208" s="398"/>
      <c r="M3208" s="682"/>
      <c r="N3208" s="171"/>
      <c r="O3208" s="171"/>
      <c r="P3208" s="169"/>
      <c r="Q3208" s="171"/>
      <c r="R3208" s="171"/>
      <c r="S3208" s="171"/>
      <c r="T3208" s="171"/>
      <c r="U3208" s="171"/>
      <c r="V3208" s="171"/>
      <c r="W3208" s="171"/>
      <c r="X3208" s="171"/>
      <c r="Y3208" s="171"/>
      <c r="Z3208" s="171"/>
      <c r="AA3208" s="171"/>
    </row>
    <row r="3209" spans="1:27" s="530" customFormat="1" hidden="1" x14ac:dyDescent="0.2">
      <c r="A3209" s="526"/>
      <c r="B3209" s="527"/>
      <c r="C3209" s="489"/>
      <c r="D3209" s="464"/>
      <c r="E3209" s="464"/>
      <c r="F3209" s="464"/>
      <c r="G3209" s="513"/>
      <c r="H3209" s="397"/>
      <c r="I3209" s="397"/>
      <c r="J3209" s="750" t="e">
        <f t="shared" si="34"/>
        <v>#DIV/0!</v>
      </c>
      <c r="K3209" s="398"/>
      <c r="L3209" s="398"/>
      <c r="M3209" s="682"/>
      <c r="N3209" s="171"/>
      <c r="O3209" s="171"/>
      <c r="P3209" s="169"/>
      <c r="Q3209" s="171"/>
      <c r="R3209" s="171"/>
      <c r="S3209" s="171"/>
      <c r="T3209" s="171"/>
      <c r="U3209" s="171"/>
      <c r="V3209" s="171"/>
      <c r="W3209" s="171"/>
      <c r="X3209" s="171"/>
      <c r="Y3209" s="171"/>
      <c r="Z3209" s="171"/>
      <c r="AA3209" s="171"/>
    </row>
    <row r="3210" spans="1:27" s="530" customFormat="1" hidden="1" x14ac:dyDescent="0.2">
      <c r="A3210" s="526"/>
      <c r="B3210" s="527"/>
      <c r="C3210" s="489"/>
      <c r="D3210" s="464"/>
      <c r="E3210" s="464"/>
      <c r="F3210" s="464"/>
      <c r="G3210" s="513"/>
      <c r="H3210" s="397"/>
      <c r="I3210" s="397"/>
      <c r="J3210" s="750" t="e">
        <f t="shared" si="34"/>
        <v>#DIV/0!</v>
      </c>
      <c r="K3210" s="398"/>
      <c r="L3210" s="398"/>
      <c r="M3210" s="682"/>
      <c r="N3210" s="171"/>
      <c r="O3210" s="171"/>
      <c r="P3210" s="169"/>
      <c r="Q3210" s="171"/>
      <c r="R3210" s="171"/>
      <c r="S3210" s="171"/>
      <c r="T3210" s="171"/>
      <c r="U3210" s="171"/>
      <c r="V3210" s="171"/>
      <c r="W3210" s="171"/>
      <c r="X3210" s="171"/>
      <c r="Y3210" s="171"/>
      <c r="Z3210" s="171"/>
      <c r="AA3210" s="171"/>
    </row>
    <row r="3211" spans="1:27" s="530" customFormat="1" hidden="1" x14ac:dyDescent="0.2">
      <c r="A3211" s="526"/>
      <c r="B3211" s="527"/>
      <c r="C3211" s="489"/>
      <c r="D3211" s="464"/>
      <c r="E3211" s="464"/>
      <c r="F3211" s="464"/>
      <c r="G3211" s="513"/>
      <c r="H3211" s="397"/>
      <c r="I3211" s="397"/>
      <c r="J3211" s="750" t="e">
        <f t="shared" si="34"/>
        <v>#DIV/0!</v>
      </c>
      <c r="K3211" s="398"/>
      <c r="L3211" s="398"/>
      <c r="M3211" s="682"/>
      <c r="N3211" s="171"/>
      <c r="O3211" s="171"/>
      <c r="P3211" s="169"/>
      <c r="Q3211" s="171"/>
      <c r="R3211" s="171"/>
      <c r="S3211" s="171"/>
      <c r="T3211" s="171"/>
      <c r="U3211" s="171"/>
      <c r="V3211" s="171"/>
      <c r="W3211" s="171"/>
      <c r="X3211" s="171"/>
      <c r="Y3211" s="171"/>
      <c r="Z3211" s="171"/>
      <c r="AA3211" s="171"/>
    </row>
    <row r="3212" spans="1:27" s="530" customFormat="1" hidden="1" x14ac:dyDescent="0.2">
      <c r="A3212" s="526"/>
      <c r="B3212" s="527"/>
      <c r="C3212" s="489"/>
      <c r="D3212" s="464"/>
      <c r="E3212" s="464"/>
      <c r="F3212" s="464"/>
      <c r="G3212" s="513"/>
      <c r="H3212" s="397"/>
      <c r="I3212" s="397"/>
      <c r="J3212" s="750" t="e">
        <f t="shared" si="34"/>
        <v>#DIV/0!</v>
      </c>
      <c r="K3212" s="398"/>
      <c r="L3212" s="398"/>
      <c r="M3212" s="682"/>
      <c r="N3212" s="171"/>
      <c r="O3212" s="171"/>
      <c r="P3212" s="169"/>
      <c r="Q3212" s="171"/>
      <c r="R3212" s="171"/>
      <c r="S3212" s="171"/>
      <c r="T3212" s="171"/>
      <c r="U3212" s="171"/>
      <c r="V3212" s="171"/>
      <c r="W3212" s="171"/>
      <c r="X3212" s="171"/>
      <c r="Y3212" s="171"/>
      <c r="Z3212" s="171"/>
      <c r="AA3212" s="171"/>
    </row>
    <row r="3213" spans="1:27" s="530" customFormat="1" hidden="1" x14ac:dyDescent="0.2">
      <c r="A3213" s="526"/>
      <c r="B3213" s="527"/>
      <c r="C3213" s="489"/>
      <c r="D3213" s="464"/>
      <c r="E3213" s="464"/>
      <c r="F3213" s="464"/>
      <c r="G3213" s="513"/>
      <c r="H3213" s="397"/>
      <c r="I3213" s="397"/>
      <c r="J3213" s="750" t="e">
        <f t="shared" ref="J3213:J3276" si="35">SUM(I3213/H3213)*100</f>
        <v>#DIV/0!</v>
      </c>
      <c r="K3213" s="398"/>
      <c r="L3213" s="398"/>
      <c r="M3213" s="682"/>
      <c r="N3213" s="171"/>
      <c r="O3213" s="171"/>
      <c r="P3213" s="169"/>
      <c r="Q3213" s="171"/>
      <c r="R3213" s="171"/>
      <c r="S3213" s="171"/>
      <c r="T3213" s="171"/>
      <c r="U3213" s="171"/>
      <c r="V3213" s="171"/>
      <c r="W3213" s="171"/>
      <c r="X3213" s="171"/>
      <c r="Y3213" s="171"/>
      <c r="Z3213" s="171"/>
      <c r="AA3213" s="171"/>
    </row>
    <row r="3214" spans="1:27" s="530" customFormat="1" hidden="1" x14ac:dyDescent="0.2">
      <c r="A3214" s="526"/>
      <c r="B3214" s="527"/>
      <c r="C3214" s="489"/>
      <c r="D3214" s="464"/>
      <c r="E3214" s="464"/>
      <c r="F3214" s="464"/>
      <c r="G3214" s="513"/>
      <c r="H3214" s="397"/>
      <c r="I3214" s="397"/>
      <c r="J3214" s="750" t="e">
        <f t="shared" si="35"/>
        <v>#DIV/0!</v>
      </c>
      <c r="K3214" s="398"/>
      <c r="L3214" s="398"/>
      <c r="M3214" s="682"/>
      <c r="N3214" s="171"/>
      <c r="O3214" s="171"/>
      <c r="P3214" s="169"/>
      <c r="Q3214" s="171"/>
      <c r="R3214" s="171"/>
      <c r="S3214" s="171"/>
      <c r="T3214" s="171"/>
      <c r="U3214" s="171"/>
      <c r="V3214" s="171"/>
      <c r="W3214" s="171"/>
      <c r="X3214" s="171"/>
      <c r="Y3214" s="171"/>
      <c r="Z3214" s="171"/>
      <c r="AA3214" s="171"/>
    </row>
    <row r="3215" spans="1:27" s="530" customFormat="1" hidden="1" x14ac:dyDescent="0.2">
      <c r="A3215" s="526"/>
      <c r="B3215" s="527"/>
      <c r="C3215" s="489"/>
      <c r="D3215" s="464"/>
      <c r="E3215" s="464"/>
      <c r="F3215" s="464"/>
      <c r="G3215" s="513"/>
      <c r="H3215" s="397"/>
      <c r="I3215" s="397"/>
      <c r="J3215" s="750" t="e">
        <f t="shared" si="35"/>
        <v>#DIV/0!</v>
      </c>
      <c r="K3215" s="398"/>
      <c r="L3215" s="398"/>
      <c r="M3215" s="682"/>
      <c r="N3215" s="171"/>
      <c r="O3215" s="171"/>
      <c r="P3215" s="169"/>
      <c r="Q3215" s="171"/>
      <c r="R3215" s="171"/>
      <c r="S3215" s="171"/>
      <c r="T3215" s="171"/>
      <c r="U3215" s="171"/>
      <c r="V3215" s="171"/>
      <c r="W3215" s="171"/>
      <c r="X3215" s="171"/>
      <c r="Y3215" s="171"/>
      <c r="Z3215" s="171"/>
      <c r="AA3215" s="171"/>
    </row>
    <row r="3216" spans="1:27" s="530" customFormat="1" hidden="1" x14ac:dyDescent="0.2">
      <c r="A3216" s="526"/>
      <c r="B3216" s="527"/>
      <c r="C3216" s="489"/>
      <c r="D3216" s="464"/>
      <c r="E3216" s="464"/>
      <c r="F3216" s="464"/>
      <c r="G3216" s="513"/>
      <c r="H3216" s="397"/>
      <c r="I3216" s="397"/>
      <c r="J3216" s="750" t="e">
        <f t="shared" si="35"/>
        <v>#DIV/0!</v>
      </c>
      <c r="K3216" s="398"/>
      <c r="L3216" s="398"/>
      <c r="M3216" s="682"/>
      <c r="N3216" s="171"/>
      <c r="O3216" s="171"/>
      <c r="P3216" s="169"/>
      <c r="Q3216" s="171"/>
      <c r="R3216" s="171"/>
      <c r="S3216" s="171"/>
      <c r="T3216" s="171"/>
      <c r="U3216" s="171"/>
      <c r="V3216" s="171"/>
      <c r="W3216" s="171"/>
      <c r="X3216" s="171"/>
      <c r="Y3216" s="171"/>
      <c r="Z3216" s="171"/>
      <c r="AA3216" s="171"/>
    </row>
    <row r="3217" spans="1:27" s="530" customFormat="1" hidden="1" x14ac:dyDescent="0.2">
      <c r="A3217" s="526"/>
      <c r="B3217" s="527"/>
      <c r="C3217" s="489"/>
      <c r="D3217" s="464"/>
      <c r="E3217" s="464"/>
      <c r="F3217" s="464"/>
      <c r="G3217" s="513"/>
      <c r="H3217" s="397"/>
      <c r="I3217" s="397"/>
      <c r="J3217" s="750" t="e">
        <f t="shared" si="35"/>
        <v>#DIV/0!</v>
      </c>
      <c r="K3217" s="398"/>
      <c r="L3217" s="398"/>
      <c r="M3217" s="682"/>
      <c r="N3217" s="171"/>
      <c r="O3217" s="171"/>
      <c r="P3217" s="169"/>
      <c r="Q3217" s="171"/>
      <c r="R3217" s="171"/>
      <c r="S3217" s="171"/>
      <c r="T3217" s="171"/>
      <c r="U3217" s="171"/>
      <c r="V3217" s="171"/>
      <c r="W3217" s="171"/>
      <c r="X3217" s="171"/>
      <c r="Y3217" s="171"/>
      <c r="Z3217" s="171"/>
      <c r="AA3217" s="171"/>
    </row>
    <row r="3218" spans="1:27" s="530" customFormat="1" hidden="1" x14ac:dyDescent="0.2">
      <c r="A3218" s="526"/>
      <c r="B3218" s="527"/>
      <c r="C3218" s="489"/>
      <c r="D3218" s="464"/>
      <c r="E3218" s="464"/>
      <c r="F3218" s="464"/>
      <c r="G3218" s="513"/>
      <c r="H3218" s="397"/>
      <c r="I3218" s="397"/>
      <c r="J3218" s="750" t="e">
        <f t="shared" si="35"/>
        <v>#DIV/0!</v>
      </c>
      <c r="K3218" s="398"/>
      <c r="L3218" s="398"/>
      <c r="M3218" s="682"/>
      <c r="N3218" s="171"/>
      <c r="O3218" s="171"/>
      <c r="P3218" s="169"/>
      <c r="Q3218" s="171"/>
      <c r="R3218" s="171"/>
      <c r="S3218" s="171"/>
      <c r="T3218" s="171"/>
      <c r="U3218" s="171"/>
      <c r="V3218" s="171"/>
      <c r="W3218" s="171"/>
      <c r="X3218" s="171"/>
      <c r="Y3218" s="171"/>
      <c r="Z3218" s="171"/>
      <c r="AA3218" s="171"/>
    </row>
    <row r="3219" spans="1:27" s="530" customFormat="1" hidden="1" x14ac:dyDescent="0.2">
      <c r="A3219" s="526"/>
      <c r="B3219" s="527"/>
      <c r="C3219" s="489"/>
      <c r="D3219" s="464"/>
      <c r="E3219" s="464"/>
      <c r="F3219" s="464"/>
      <c r="G3219" s="513"/>
      <c r="H3219" s="397"/>
      <c r="I3219" s="397"/>
      <c r="J3219" s="750" t="e">
        <f t="shared" si="35"/>
        <v>#DIV/0!</v>
      </c>
      <c r="K3219" s="398"/>
      <c r="L3219" s="398"/>
      <c r="M3219" s="682"/>
      <c r="N3219" s="171"/>
      <c r="O3219" s="171"/>
      <c r="P3219" s="169"/>
      <c r="Q3219" s="171"/>
      <c r="R3219" s="171"/>
      <c r="S3219" s="171"/>
      <c r="T3219" s="171"/>
      <c r="U3219" s="171"/>
      <c r="V3219" s="171"/>
      <c r="W3219" s="171"/>
      <c r="X3219" s="171"/>
      <c r="Y3219" s="171"/>
      <c r="Z3219" s="171"/>
      <c r="AA3219" s="171"/>
    </row>
    <row r="3220" spans="1:27" s="530" customFormat="1" hidden="1" x14ac:dyDescent="0.2">
      <c r="A3220" s="526"/>
      <c r="B3220" s="527"/>
      <c r="C3220" s="489"/>
      <c r="D3220" s="464"/>
      <c r="E3220" s="464"/>
      <c r="F3220" s="464"/>
      <c r="G3220" s="513"/>
      <c r="H3220" s="397"/>
      <c r="I3220" s="397"/>
      <c r="J3220" s="750" t="e">
        <f t="shared" si="35"/>
        <v>#DIV/0!</v>
      </c>
      <c r="K3220" s="398"/>
      <c r="L3220" s="398"/>
      <c r="M3220" s="682"/>
      <c r="N3220" s="171"/>
      <c r="O3220" s="171"/>
      <c r="P3220" s="169"/>
      <c r="Q3220" s="171"/>
      <c r="R3220" s="171"/>
      <c r="S3220" s="171"/>
      <c r="T3220" s="171"/>
      <c r="U3220" s="171"/>
      <c r="V3220" s="171"/>
      <c r="W3220" s="171"/>
      <c r="X3220" s="171"/>
      <c r="Y3220" s="171"/>
      <c r="Z3220" s="171"/>
      <c r="AA3220" s="171"/>
    </row>
    <row r="3221" spans="1:27" s="530" customFormat="1" hidden="1" x14ac:dyDescent="0.2">
      <c r="A3221" s="526"/>
      <c r="B3221" s="527"/>
      <c r="C3221" s="489"/>
      <c r="D3221" s="464"/>
      <c r="E3221" s="464"/>
      <c r="F3221" s="464"/>
      <c r="G3221" s="513"/>
      <c r="H3221" s="397"/>
      <c r="I3221" s="397"/>
      <c r="J3221" s="750" t="e">
        <f t="shared" si="35"/>
        <v>#DIV/0!</v>
      </c>
      <c r="K3221" s="398"/>
      <c r="L3221" s="398"/>
      <c r="M3221" s="682"/>
      <c r="N3221" s="171"/>
      <c r="O3221" s="171"/>
      <c r="P3221" s="169"/>
      <c r="Q3221" s="171"/>
      <c r="R3221" s="171"/>
      <c r="S3221" s="171"/>
      <c r="T3221" s="171"/>
      <c r="U3221" s="171"/>
      <c r="V3221" s="171"/>
      <c r="W3221" s="171"/>
      <c r="X3221" s="171"/>
      <c r="Y3221" s="171"/>
      <c r="Z3221" s="171"/>
      <c r="AA3221" s="171"/>
    </row>
    <row r="3222" spans="1:27" s="530" customFormat="1" hidden="1" x14ac:dyDescent="0.2">
      <c r="A3222" s="526"/>
      <c r="B3222" s="527"/>
      <c r="C3222" s="489"/>
      <c r="D3222" s="464"/>
      <c r="E3222" s="464"/>
      <c r="F3222" s="464"/>
      <c r="G3222" s="513"/>
      <c r="H3222" s="397"/>
      <c r="I3222" s="397"/>
      <c r="J3222" s="750" t="e">
        <f t="shared" si="35"/>
        <v>#DIV/0!</v>
      </c>
      <c r="K3222" s="398"/>
      <c r="L3222" s="398"/>
      <c r="M3222" s="682"/>
      <c r="N3222" s="171"/>
      <c r="O3222" s="171"/>
      <c r="P3222" s="169"/>
      <c r="Q3222" s="171"/>
      <c r="R3222" s="171"/>
      <c r="S3222" s="171"/>
      <c r="T3222" s="171"/>
      <c r="U3222" s="171"/>
      <c r="V3222" s="171"/>
      <c r="W3222" s="171"/>
      <c r="X3222" s="171"/>
      <c r="Y3222" s="171"/>
      <c r="Z3222" s="171"/>
      <c r="AA3222" s="171"/>
    </row>
    <row r="3223" spans="1:27" s="530" customFormat="1" hidden="1" x14ac:dyDescent="0.2">
      <c r="A3223" s="526"/>
      <c r="B3223" s="527"/>
      <c r="C3223" s="489"/>
      <c r="D3223" s="464"/>
      <c r="E3223" s="464"/>
      <c r="F3223" s="464"/>
      <c r="G3223" s="513"/>
      <c r="H3223" s="397"/>
      <c r="I3223" s="397"/>
      <c r="J3223" s="750" t="e">
        <f t="shared" si="35"/>
        <v>#DIV/0!</v>
      </c>
      <c r="K3223" s="398"/>
      <c r="L3223" s="398"/>
      <c r="M3223" s="682"/>
      <c r="N3223" s="171"/>
      <c r="O3223" s="171"/>
      <c r="P3223" s="169"/>
      <c r="Q3223" s="171"/>
      <c r="R3223" s="171"/>
      <c r="S3223" s="171"/>
      <c r="T3223" s="171"/>
      <c r="U3223" s="171"/>
      <c r="V3223" s="171"/>
      <c r="W3223" s="171"/>
      <c r="X3223" s="171"/>
      <c r="Y3223" s="171"/>
      <c r="Z3223" s="171"/>
      <c r="AA3223" s="171"/>
    </row>
    <row r="3224" spans="1:27" s="530" customFormat="1" hidden="1" x14ac:dyDescent="0.2">
      <c r="A3224" s="526"/>
      <c r="B3224" s="527"/>
      <c r="C3224" s="489"/>
      <c r="D3224" s="464"/>
      <c r="E3224" s="464"/>
      <c r="F3224" s="464"/>
      <c r="G3224" s="513"/>
      <c r="H3224" s="397"/>
      <c r="I3224" s="397"/>
      <c r="J3224" s="750" t="e">
        <f t="shared" si="35"/>
        <v>#DIV/0!</v>
      </c>
      <c r="K3224" s="398"/>
      <c r="L3224" s="398"/>
      <c r="M3224" s="682"/>
      <c r="N3224" s="171"/>
      <c r="O3224" s="171"/>
      <c r="P3224" s="169"/>
      <c r="Q3224" s="171"/>
      <c r="R3224" s="171"/>
      <c r="S3224" s="171"/>
      <c r="T3224" s="171"/>
      <c r="U3224" s="171"/>
      <c r="V3224" s="171"/>
      <c r="W3224" s="171"/>
      <c r="X3224" s="171"/>
      <c r="Y3224" s="171"/>
      <c r="Z3224" s="171"/>
      <c r="AA3224" s="171"/>
    </row>
    <row r="3225" spans="1:27" s="530" customFormat="1" hidden="1" x14ac:dyDescent="0.2">
      <c r="A3225" s="526"/>
      <c r="B3225" s="527"/>
      <c r="C3225" s="489"/>
      <c r="D3225" s="464"/>
      <c r="E3225" s="464"/>
      <c r="F3225" s="464"/>
      <c r="G3225" s="513"/>
      <c r="H3225" s="397"/>
      <c r="I3225" s="397"/>
      <c r="J3225" s="750" t="e">
        <f t="shared" si="35"/>
        <v>#DIV/0!</v>
      </c>
      <c r="K3225" s="398"/>
      <c r="L3225" s="398"/>
      <c r="M3225" s="682"/>
      <c r="N3225" s="171"/>
      <c r="O3225" s="171"/>
      <c r="P3225" s="169"/>
      <c r="Q3225" s="171"/>
      <c r="R3225" s="171"/>
      <c r="S3225" s="171"/>
      <c r="T3225" s="171"/>
      <c r="U3225" s="171"/>
      <c r="V3225" s="171"/>
      <c r="W3225" s="171"/>
      <c r="X3225" s="171"/>
      <c r="Y3225" s="171"/>
      <c r="Z3225" s="171"/>
      <c r="AA3225" s="171"/>
    </row>
    <row r="3226" spans="1:27" s="530" customFormat="1" hidden="1" x14ac:dyDescent="0.2">
      <c r="A3226" s="526"/>
      <c r="B3226" s="527"/>
      <c r="C3226" s="489"/>
      <c r="D3226" s="464"/>
      <c r="E3226" s="464"/>
      <c r="F3226" s="464"/>
      <c r="G3226" s="513"/>
      <c r="H3226" s="397"/>
      <c r="I3226" s="397"/>
      <c r="J3226" s="750" t="e">
        <f t="shared" si="35"/>
        <v>#DIV/0!</v>
      </c>
      <c r="K3226" s="398"/>
      <c r="L3226" s="398"/>
      <c r="M3226" s="682"/>
      <c r="N3226" s="171"/>
      <c r="O3226" s="171"/>
      <c r="P3226" s="169"/>
      <c r="Q3226" s="171"/>
      <c r="R3226" s="171"/>
      <c r="S3226" s="171"/>
      <c r="T3226" s="171"/>
      <c r="U3226" s="171"/>
      <c r="V3226" s="171"/>
      <c r="W3226" s="171"/>
      <c r="X3226" s="171"/>
      <c r="Y3226" s="171"/>
      <c r="Z3226" s="171"/>
      <c r="AA3226" s="171"/>
    </row>
    <row r="3227" spans="1:27" s="530" customFormat="1" hidden="1" x14ac:dyDescent="0.2">
      <c r="A3227" s="526"/>
      <c r="B3227" s="527"/>
      <c r="C3227" s="489"/>
      <c r="D3227" s="464"/>
      <c r="E3227" s="464"/>
      <c r="F3227" s="464"/>
      <c r="G3227" s="513"/>
      <c r="H3227" s="397"/>
      <c r="I3227" s="397"/>
      <c r="J3227" s="750" t="e">
        <f t="shared" si="35"/>
        <v>#DIV/0!</v>
      </c>
      <c r="K3227" s="398"/>
      <c r="L3227" s="398"/>
      <c r="M3227" s="682"/>
      <c r="N3227" s="171"/>
      <c r="O3227" s="171"/>
      <c r="P3227" s="169"/>
      <c r="Q3227" s="171"/>
      <c r="R3227" s="171"/>
      <c r="S3227" s="171"/>
      <c r="T3227" s="171"/>
      <c r="U3227" s="171"/>
      <c r="V3227" s="171"/>
      <c r="W3227" s="171"/>
      <c r="X3227" s="171"/>
      <c r="Y3227" s="171"/>
      <c r="Z3227" s="171"/>
      <c r="AA3227" s="171"/>
    </row>
    <row r="3228" spans="1:27" s="530" customFormat="1" hidden="1" x14ac:dyDescent="0.2">
      <c r="A3228" s="526"/>
      <c r="B3228" s="527"/>
      <c r="C3228" s="489"/>
      <c r="D3228" s="464"/>
      <c r="E3228" s="464"/>
      <c r="F3228" s="464"/>
      <c r="G3228" s="513"/>
      <c r="H3228" s="397"/>
      <c r="I3228" s="397"/>
      <c r="J3228" s="750" t="e">
        <f t="shared" si="35"/>
        <v>#DIV/0!</v>
      </c>
      <c r="K3228" s="398"/>
      <c r="L3228" s="398"/>
      <c r="M3228" s="682"/>
      <c r="N3228" s="171"/>
      <c r="O3228" s="171"/>
      <c r="P3228" s="169"/>
      <c r="Q3228" s="171"/>
      <c r="R3228" s="171"/>
      <c r="S3228" s="171"/>
      <c r="T3228" s="171"/>
      <c r="U3228" s="171"/>
      <c r="V3228" s="171"/>
      <c r="W3228" s="171"/>
      <c r="X3228" s="171"/>
      <c r="Y3228" s="171"/>
      <c r="Z3228" s="171"/>
      <c r="AA3228" s="171"/>
    </row>
    <row r="3229" spans="1:27" s="530" customFormat="1" hidden="1" x14ac:dyDescent="0.2">
      <c r="A3229" s="526"/>
      <c r="B3229" s="527"/>
      <c r="C3229" s="489"/>
      <c r="D3229" s="464"/>
      <c r="E3229" s="464"/>
      <c r="F3229" s="464"/>
      <c r="G3229" s="513"/>
      <c r="H3229" s="397"/>
      <c r="I3229" s="397"/>
      <c r="J3229" s="750" t="e">
        <f t="shared" si="35"/>
        <v>#DIV/0!</v>
      </c>
      <c r="K3229" s="398"/>
      <c r="L3229" s="398"/>
      <c r="M3229" s="682"/>
      <c r="N3229" s="171"/>
      <c r="O3229" s="171"/>
      <c r="P3229" s="169"/>
      <c r="Q3229" s="171"/>
      <c r="R3229" s="171"/>
      <c r="S3229" s="171"/>
      <c r="T3229" s="171"/>
      <c r="U3229" s="171"/>
      <c r="V3229" s="171"/>
      <c r="W3229" s="171"/>
      <c r="X3229" s="171"/>
      <c r="Y3229" s="171"/>
      <c r="Z3229" s="171"/>
      <c r="AA3229" s="171"/>
    </row>
    <row r="3230" spans="1:27" s="530" customFormat="1" hidden="1" x14ac:dyDescent="0.2">
      <c r="A3230" s="526"/>
      <c r="B3230" s="527"/>
      <c r="C3230" s="489"/>
      <c r="D3230" s="464"/>
      <c r="E3230" s="464"/>
      <c r="F3230" s="464"/>
      <c r="G3230" s="513"/>
      <c r="H3230" s="397"/>
      <c r="I3230" s="397"/>
      <c r="J3230" s="750" t="e">
        <f t="shared" si="35"/>
        <v>#DIV/0!</v>
      </c>
      <c r="K3230" s="398"/>
      <c r="L3230" s="398"/>
      <c r="M3230" s="682"/>
      <c r="N3230" s="171"/>
      <c r="O3230" s="171"/>
      <c r="P3230" s="169"/>
      <c r="Q3230" s="171"/>
      <c r="R3230" s="171"/>
      <c r="S3230" s="171"/>
      <c r="T3230" s="171"/>
      <c r="U3230" s="171"/>
      <c r="V3230" s="171"/>
      <c r="W3230" s="171"/>
      <c r="X3230" s="171"/>
      <c r="Y3230" s="171"/>
      <c r="Z3230" s="171"/>
      <c r="AA3230" s="171"/>
    </row>
    <row r="3231" spans="1:27" s="530" customFormat="1" hidden="1" x14ac:dyDescent="0.2">
      <c r="A3231" s="526"/>
      <c r="B3231" s="527"/>
      <c r="C3231" s="489"/>
      <c r="D3231" s="464"/>
      <c r="E3231" s="464"/>
      <c r="F3231" s="464"/>
      <c r="G3231" s="513"/>
      <c r="H3231" s="397"/>
      <c r="I3231" s="397"/>
      <c r="J3231" s="750" t="e">
        <f t="shared" si="35"/>
        <v>#DIV/0!</v>
      </c>
      <c r="K3231" s="398"/>
      <c r="L3231" s="398"/>
      <c r="M3231" s="682"/>
      <c r="N3231" s="171"/>
      <c r="O3231" s="171"/>
      <c r="P3231" s="169"/>
      <c r="Q3231" s="171"/>
      <c r="R3231" s="171"/>
      <c r="S3231" s="171"/>
      <c r="T3231" s="171"/>
      <c r="U3231" s="171"/>
      <c r="V3231" s="171"/>
      <c r="W3231" s="171"/>
      <c r="X3231" s="171"/>
      <c r="Y3231" s="171"/>
      <c r="Z3231" s="171"/>
      <c r="AA3231" s="171"/>
    </row>
    <row r="3232" spans="1:27" s="530" customFormat="1" hidden="1" x14ac:dyDescent="0.2">
      <c r="A3232" s="526"/>
      <c r="B3232" s="527"/>
      <c r="C3232" s="489"/>
      <c r="D3232" s="464"/>
      <c r="E3232" s="464"/>
      <c r="F3232" s="464"/>
      <c r="G3232" s="513"/>
      <c r="H3232" s="397"/>
      <c r="I3232" s="397"/>
      <c r="J3232" s="750" t="e">
        <f t="shared" si="35"/>
        <v>#DIV/0!</v>
      </c>
      <c r="K3232" s="398"/>
      <c r="L3232" s="398"/>
      <c r="M3232" s="682"/>
      <c r="N3232" s="171"/>
      <c r="O3232" s="171"/>
      <c r="P3232" s="169"/>
      <c r="Q3232" s="171"/>
      <c r="R3232" s="171"/>
      <c r="S3232" s="171"/>
      <c r="T3232" s="171"/>
      <c r="U3232" s="171"/>
      <c r="V3232" s="171"/>
      <c r="W3232" s="171"/>
      <c r="X3232" s="171"/>
      <c r="Y3232" s="171"/>
      <c r="Z3232" s="171"/>
      <c r="AA3232" s="171"/>
    </row>
    <row r="3233" spans="1:27" s="530" customFormat="1" hidden="1" x14ac:dyDescent="0.2">
      <c r="A3233" s="526"/>
      <c r="B3233" s="527"/>
      <c r="C3233" s="489"/>
      <c r="D3233" s="464"/>
      <c r="E3233" s="464"/>
      <c r="F3233" s="464"/>
      <c r="G3233" s="513"/>
      <c r="H3233" s="397"/>
      <c r="I3233" s="397"/>
      <c r="J3233" s="750" t="e">
        <f t="shared" si="35"/>
        <v>#DIV/0!</v>
      </c>
      <c r="K3233" s="398"/>
      <c r="L3233" s="398"/>
      <c r="M3233" s="682"/>
      <c r="N3233" s="171"/>
      <c r="O3233" s="171"/>
      <c r="P3233" s="169"/>
      <c r="Q3233" s="171"/>
      <c r="R3233" s="171"/>
      <c r="S3233" s="171"/>
      <c r="T3233" s="171"/>
      <c r="U3233" s="171"/>
      <c r="V3233" s="171"/>
      <c r="W3233" s="171"/>
      <c r="X3233" s="171"/>
      <c r="Y3233" s="171"/>
      <c r="Z3233" s="171"/>
      <c r="AA3233" s="171"/>
    </row>
    <row r="3234" spans="1:27" s="530" customFormat="1" hidden="1" x14ac:dyDescent="0.2">
      <c r="A3234" s="526"/>
      <c r="B3234" s="527"/>
      <c r="C3234" s="489"/>
      <c r="D3234" s="464"/>
      <c r="E3234" s="464"/>
      <c r="F3234" s="464"/>
      <c r="G3234" s="513"/>
      <c r="H3234" s="397"/>
      <c r="I3234" s="397"/>
      <c r="J3234" s="750" t="e">
        <f t="shared" si="35"/>
        <v>#DIV/0!</v>
      </c>
      <c r="K3234" s="398"/>
      <c r="L3234" s="398"/>
      <c r="M3234" s="682"/>
      <c r="N3234" s="171"/>
      <c r="O3234" s="171"/>
      <c r="P3234" s="169"/>
      <c r="Q3234" s="171"/>
      <c r="R3234" s="171"/>
      <c r="S3234" s="171"/>
      <c r="T3234" s="171"/>
      <c r="U3234" s="171"/>
      <c r="V3234" s="171"/>
      <c r="W3234" s="171"/>
      <c r="X3234" s="171"/>
      <c r="Y3234" s="171"/>
      <c r="Z3234" s="171"/>
      <c r="AA3234" s="171"/>
    </row>
    <row r="3235" spans="1:27" s="530" customFormat="1" hidden="1" x14ac:dyDescent="0.2">
      <c r="A3235" s="526"/>
      <c r="B3235" s="527"/>
      <c r="C3235" s="489"/>
      <c r="D3235" s="464"/>
      <c r="E3235" s="464"/>
      <c r="F3235" s="464"/>
      <c r="G3235" s="513"/>
      <c r="H3235" s="397"/>
      <c r="I3235" s="397"/>
      <c r="J3235" s="750" t="e">
        <f t="shared" si="35"/>
        <v>#DIV/0!</v>
      </c>
      <c r="K3235" s="398"/>
      <c r="L3235" s="398"/>
      <c r="M3235" s="682"/>
      <c r="N3235" s="171"/>
      <c r="O3235" s="171"/>
      <c r="P3235" s="169"/>
      <c r="Q3235" s="171"/>
      <c r="R3235" s="171"/>
      <c r="S3235" s="171"/>
      <c r="T3235" s="171"/>
      <c r="U3235" s="171"/>
      <c r="V3235" s="171"/>
      <c r="W3235" s="171"/>
      <c r="X3235" s="171"/>
      <c r="Y3235" s="171"/>
      <c r="Z3235" s="171"/>
      <c r="AA3235" s="171"/>
    </row>
    <row r="3236" spans="1:27" s="530" customFormat="1" hidden="1" x14ac:dyDescent="0.2">
      <c r="A3236" s="526"/>
      <c r="B3236" s="527"/>
      <c r="C3236" s="489"/>
      <c r="D3236" s="464"/>
      <c r="E3236" s="464"/>
      <c r="F3236" s="464"/>
      <c r="G3236" s="513"/>
      <c r="H3236" s="397"/>
      <c r="I3236" s="397"/>
      <c r="J3236" s="750" t="e">
        <f t="shared" si="35"/>
        <v>#DIV/0!</v>
      </c>
      <c r="K3236" s="398"/>
      <c r="L3236" s="398"/>
      <c r="M3236" s="682"/>
      <c r="N3236" s="171"/>
      <c r="O3236" s="171"/>
      <c r="P3236" s="169"/>
      <c r="Q3236" s="171"/>
      <c r="R3236" s="171"/>
      <c r="S3236" s="171"/>
      <c r="T3236" s="171"/>
      <c r="U3236" s="171"/>
      <c r="V3236" s="171"/>
      <c r="W3236" s="171"/>
      <c r="X3236" s="171"/>
      <c r="Y3236" s="171"/>
      <c r="Z3236" s="171"/>
      <c r="AA3236" s="171"/>
    </row>
    <row r="3237" spans="1:27" s="530" customFormat="1" hidden="1" x14ac:dyDescent="0.2">
      <c r="A3237" s="526"/>
      <c r="B3237" s="527"/>
      <c r="C3237" s="489"/>
      <c r="D3237" s="464"/>
      <c r="E3237" s="464"/>
      <c r="F3237" s="464"/>
      <c r="G3237" s="513"/>
      <c r="H3237" s="397"/>
      <c r="I3237" s="397"/>
      <c r="J3237" s="750" t="e">
        <f t="shared" si="35"/>
        <v>#DIV/0!</v>
      </c>
      <c r="K3237" s="398"/>
      <c r="L3237" s="398"/>
      <c r="M3237" s="682"/>
      <c r="N3237" s="171"/>
      <c r="O3237" s="171"/>
      <c r="P3237" s="169"/>
      <c r="Q3237" s="171"/>
      <c r="R3237" s="171"/>
      <c r="S3237" s="171"/>
      <c r="T3237" s="171"/>
      <c r="U3237" s="171"/>
      <c r="V3237" s="171"/>
      <c r="W3237" s="171"/>
      <c r="X3237" s="171"/>
      <c r="Y3237" s="171"/>
      <c r="Z3237" s="171"/>
      <c r="AA3237" s="171"/>
    </row>
    <row r="3238" spans="1:27" s="530" customFormat="1" hidden="1" x14ac:dyDescent="0.2">
      <c r="A3238" s="526"/>
      <c r="B3238" s="527"/>
      <c r="C3238" s="489"/>
      <c r="D3238" s="464"/>
      <c r="E3238" s="464"/>
      <c r="F3238" s="464"/>
      <c r="G3238" s="513"/>
      <c r="H3238" s="397"/>
      <c r="I3238" s="397"/>
      <c r="J3238" s="750" t="e">
        <f t="shared" si="35"/>
        <v>#DIV/0!</v>
      </c>
      <c r="K3238" s="398"/>
      <c r="L3238" s="398"/>
      <c r="M3238" s="682"/>
      <c r="N3238" s="171"/>
      <c r="O3238" s="171"/>
      <c r="P3238" s="169"/>
      <c r="Q3238" s="171"/>
      <c r="R3238" s="171"/>
      <c r="S3238" s="171"/>
      <c r="T3238" s="171"/>
      <c r="U3238" s="171"/>
      <c r="V3238" s="171"/>
      <c r="W3238" s="171"/>
      <c r="X3238" s="171"/>
      <c r="Y3238" s="171"/>
      <c r="Z3238" s="171"/>
      <c r="AA3238" s="171"/>
    </row>
    <row r="3239" spans="1:27" s="530" customFormat="1" hidden="1" x14ac:dyDescent="0.2">
      <c r="A3239" s="526"/>
      <c r="B3239" s="527"/>
      <c r="C3239" s="489"/>
      <c r="D3239" s="464"/>
      <c r="E3239" s="464"/>
      <c r="F3239" s="464"/>
      <c r="G3239" s="513"/>
      <c r="H3239" s="397"/>
      <c r="I3239" s="397"/>
      <c r="J3239" s="750" t="e">
        <f t="shared" si="35"/>
        <v>#DIV/0!</v>
      </c>
      <c r="K3239" s="398"/>
      <c r="L3239" s="398"/>
      <c r="M3239" s="682"/>
      <c r="N3239" s="171"/>
      <c r="O3239" s="171"/>
      <c r="P3239" s="169"/>
      <c r="Q3239" s="171"/>
      <c r="R3239" s="171"/>
      <c r="S3239" s="171"/>
      <c r="T3239" s="171"/>
      <c r="U3239" s="171"/>
      <c r="V3239" s="171"/>
      <c r="W3239" s="171"/>
      <c r="X3239" s="171"/>
      <c r="Y3239" s="171"/>
      <c r="Z3239" s="171"/>
      <c r="AA3239" s="171"/>
    </row>
    <row r="3240" spans="1:27" s="530" customFormat="1" hidden="1" x14ac:dyDescent="0.2">
      <c r="A3240" s="526"/>
      <c r="B3240" s="527"/>
      <c r="C3240" s="489"/>
      <c r="D3240" s="464"/>
      <c r="E3240" s="464"/>
      <c r="F3240" s="464"/>
      <c r="G3240" s="513"/>
      <c r="H3240" s="397"/>
      <c r="I3240" s="397"/>
      <c r="J3240" s="750" t="e">
        <f t="shared" si="35"/>
        <v>#DIV/0!</v>
      </c>
      <c r="K3240" s="398"/>
      <c r="L3240" s="398"/>
      <c r="M3240" s="682"/>
      <c r="N3240" s="171"/>
      <c r="O3240" s="171"/>
      <c r="P3240" s="169"/>
      <c r="Q3240" s="171"/>
      <c r="R3240" s="171"/>
      <c r="S3240" s="171"/>
      <c r="T3240" s="171"/>
      <c r="U3240" s="171"/>
      <c r="V3240" s="171"/>
      <c r="W3240" s="171"/>
      <c r="X3240" s="171"/>
      <c r="Y3240" s="171"/>
      <c r="Z3240" s="171"/>
      <c r="AA3240" s="171"/>
    </row>
    <row r="3241" spans="1:27" s="530" customFormat="1" hidden="1" x14ac:dyDescent="0.2">
      <c r="A3241" s="526"/>
      <c r="B3241" s="527"/>
      <c r="C3241" s="489"/>
      <c r="D3241" s="464"/>
      <c r="E3241" s="464"/>
      <c r="F3241" s="464"/>
      <c r="G3241" s="513"/>
      <c r="H3241" s="397"/>
      <c r="I3241" s="397"/>
      <c r="J3241" s="750" t="e">
        <f t="shared" si="35"/>
        <v>#DIV/0!</v>
      </c>
      <c r="K3241" s="398"/>
      <c r="L3241" s="398"/>
      <c r="M3241" s="682"/>
      <c r="N3241" s="171"/>
      <c r="O3241" s="171"/>
      <c r="P3241" s="169"/>
      <c r="Q3241" s="171"/>
      <c r="R3241" s="171"/>
      <c r="S3241" s="171"/>
      <c r="T3241" s="171"/>
      <c r="U3241" s="171"/>
      <c r="V3241" s="171"/>
      <c r="W3241" s="171"/>
      <c r="X3241" s="171"/>
      <c r="Y3241" s="171"/>
      <c r="Z3241" s="171"/>
      <c r="AA3241" s="171"/>
    </row>
    <row r="3242" spans="1:27" s="530" customFormat="1" hidden="1" x14ac:dyDescent="0.2">
      <c r="A3242" s="526"/>
      <c r="B3242" s="527"/>
      <c r="C3242" s="489"/>
      <c r="D3242" s="464"/>
      <c r="E3242" s="464"/>
      <c r="F3242" s="464"/>
      <c r="G3242" s="513"/>
      <c r="H3242" s="397"/>
      <c r="I3242" s="397"/>
      <c r="J3242" s="750" t="e">
        <f t="shared" si="35"/>
        <v>#DIV/0!</v>
      </c>
      <c r="K3242" s="398"/>
      <c r="L3242" s="398"/>
      <c r="M3242" s="682"/>
      <c r="N3242" s="171"/>
      <c r="O3242" s="171"/>
      <c r="P3242" s="169"/>
      <c r="Q3242" s="171"/>
      <c r="R3242" s="171"/>
      <c r="S3242" s="171"/>
      <c r="T3242" s="171"/>
      <c r="U3242" s="171"/>
      <c r="V3242" s="171"/>
      <c r="W3242" s="171"/>
      <c r="X3242" s="171"/>
      <c r="Y3242" s="171"/>
      <c r="Z3242" s="171"/>
      <c r="AA3242" s="171"/>
    </row>
    <row r="3243" spans="1:27" s="530" customFormat="1" hidden="1" x14ac:dyDescent="0.2">
      <c r="A3243" s="526"/>
      <c r="B3243" s="527"/>
      <c r="C3243" s="489"/>
      <c r="D3243" s="464"/>
      <c r="E3243" s="464"/>
      <c r="F3243" s="464"/>
      <c r="G3243" s="513"/>
      <c r="H3243" s="397"/>
      <c r="I3243" s="397"/>
      <c r="J3243" s="750" t="e">
        <f t="shared" si="35"/>
        <v>#DIV/0!</v>
      </c>
      <c r="K3243" s="398"/>
      <c r="L3243" s="398"/>
      <c r="M3243" s="682"/>
      <c r="N3243" s="171"/>
      <c r="O3243" s="171"/>
      <c r="P3243" s="169"/>
      <c r="Q3243" s="171"/>
      <c r="R3243" s="171"/>
      <c r="S3243" s="171"/>
      <c r="T3243" s="171"/>
      <c r="U3243" s="171"/>
      <c r="V3243" s="171"/>
      <c r="W3243" s="171"/>
      <c r="X3243" s="171"/>
      <c r="Y3243" s="171"/>
      <c r="Z3243" s="171"/>
      <c r="AA3243" s="171"/>
    </row>
    <row r="3244" spans="1:27" s="530" customFormat="1" hidden="1" x14ac:dyDescent="0.2">
      <c r="A3244" s="526"/>
      <c r="B3244" s="527"/>
      <c r="C3244" s="489"/>
      <c r="D3244" s="464"/>
      <c r="E3244" s="464"/>
      <c r="F3244" s="464"/>
      <c r="G3244" s="513"/>
      <c r="H3244" s="397"/>
      <c r="I3244" s="397"/>
      <c r="J3244" s="750" t="e">
        <f t="shared" si="35"/>
        <v>#DIV/0!</v>
      </c>
      <c r="K3244" s="398"/>
      <c r="L3244" s="398"/>
      <c r="M3244" s="682"/>
      <c r="N3244" s="171"/>
      <c r="O3244" s="171"/>
      <c r="P3244" s="169"/>
      <c r="Q3244" s="171"/>
      <c r="R3244" s="171"/>
      <c r="S3244" s="171"/>
      <c r="T3244" s="171"/>
      <c r="U3244" s="171"/>
      <c r="V3244" s="171"/>
      <c r="W3244" s="171"/>
      <c r="X3244" s="171"/>
      <c r="Y3244" s="171"/>
      <c r="Z3244" s="171"/>
      <c r="AA3244" s="171"/>
    </row>
    <row r="3245" spans="1:27" s="530" customFormat="1" hidden="1" x14ac:dyDescent="0.2">
      <c r="A3245" s="526"/>
      <c r="B3245" s="527"/>
      <c r="C3245" s="489"/>
      <c r="D3245" s="464"/>
      <c r="E3245" s="464"/>
      <c r="F3245" s="464"/>
      <c r="G3245" s="513"/>
      <c r="H3245" s="397"/>
      <c r="I3245" s="397"/>
      <c r="J3245" s="750" t="e">
        <f t="shared" si="35"/>
        <v>#DIV/0!</v>
      </c>
      <c r="K3245" s="398"/>
      <c r="L3245" s="398"/>
      <c r="M3245" s="682"/>
      <c r="N3245" s="171"/>
      <c r="O3245" s="171"/>
      <c r="P3245" s="169"/>
      <c r="Q3245" s="171"/>
      <c r="R3245" s="171"/>
      <c r="S3245" s="171"/>
      <c r="T3245" s="171"/>
      <c r="U3245" s="171"/>
      <c r="V3245" s="171"/>
      <c r="W3245" s="171"/>
      <c r="X3245" s="171"/>
      <c r="Y3245" s="171"/>
      <c r="Z3245" s="171"/>
      <c r="AA3245" s="171"/>
    </row>
    <row r="3246" spans="1:27" s="530" customFormat="1" hidden="1" x14ac:dyDescent="0.2">
      <c r="A3246" s="526"/>
      <c r="B3246" s="527"/>
      <c r="C3246" s="489"/>
      <c r="D3246" s="464"/>
      <c r="E3246" s="464"/>
      <c r="F3246" s="464"/>
      <c r="G3246" s="513"/>
      <c r="H3246" s="397"/>
      <c r="I3246" s="397"/>
      <c r="J3246" s="750" t="e">
        <f t="shared" si="35"/>
        <v>#DIV/0!</v>
      </c>
      <c r="K3246" s="398"/>
      <c r="L3246" s="398"/>
      <c r="M3246" s="682"/>
      <c r="N3246" s="171"/>
      <c r="O3246" s="171"/>
      <c r="P3246" s="169"/>
      <c r="Q3246" s="171"/>
      <c r="R3246" s="171"/>
      <c r="S3246" s="171"/>
      <c r="T3246" s="171"/>
      <c r="U3246" s="171"/>
      <c r="V3246" s="171"/>
      <c r="W3246" s="171"/>
      <c r="X3246" s="171"/>
      <c r="Y3246" s="171"/>
      <c r="Z3246" s="171"/>
      <c r="AA3246" s="171"/>
    </row>
    <row r="3247" spans="1:27" s="530" customFormat="1" hidden="1" x14ac:dyDescent="0.2">
      <c r="A3247" s="526"/>
      <c r="B3247" s="527"/>
      <c r="C3247" s="489"/>
      <c r="D3247" s="464"/>
      <c r="E3247" s="464"/>
      <c r="F3247" s="464"/>
      <c r="G3247" s="513"/>
      <c r="H3247" s="397"/>
      <c r="I3247" s="397"/>
      <c r="J3247" s="750" t="e">
        <f t="shared" si="35"/>
        <v>#DIV/0!</v>
      </c>
      <c r="K3247" s="398"/>
      <c r="L3247" s="398"/>
      <c r="M3247" s="682"/>
      <c r="N3247" s="171"/>
      <c r="O3247" s="171"/>
      <c r="P3247" s="169"/>
      <c r="Q3247" s="171"/>
      <c r="R3247" s="171"/>
      <c r="S3247" s="171"/>
      <c r="T3247" s="171"/>
      <c r="U3247" s="171"/>
      <c r="V3247" s="171"/>
      <c r="W3247" s="171"/>
      <c r="X3247" s="171"/>
      <c r="Y3247" s="171"/>
      <c r="Z3247" s="171"/>
      <c r="AA3247" s="171"/>
    </row>
    <row r="3248" spans="1:27" s="530" customFormat="1" hidden="1" x14ac:dyDescent="0.2">
      <c r="A3248" s="526"/>
      <c r="B3248" s="527"/>
      <c r="C3248" s="489"/>
      <c r="D3248" s="464"/>
      <c r="E3248" s="464"/>
      <c r="F3248" s="464"/>
      <c r="G3248" s="513"/>
      <c r="H3248" s="397"/>
      <c r="I3248" s="397"/>
      <c r="J3248" s="750" t="e">
        <f t="shared" si="35"/>
        <v>#DIV/0!</v>
      </c>
      <c r="K3248" s="398"/>
      <c r="L3248" s="398"/>
      <c r="M3248" s="682"/>
      <c r="N3248" s="171"/>
      <c r="O3248" s="171"/>
      <c r="P3248" s="169"/>
      <c r="Q3248" s="171"/>
      <c r="R3248" s="171"/>
      <c r="S3248" s="171"/>
      <c r="T3248" s="171"/>
      <c r="U3248" s="171"/>
      <c r="V3248" s="171"/>
      <c r="W3248" s="171"/>
      <c r="X3248" s="171"/>
      <c r="Y3248" s="171"/>
      <c r="Z3248" s="171"/>
      <c r="AA3248" s="171"/>
    </row>
    <row r="3249" spans="1:27" s="530" customFormat="1" hidden="1" x14ac:dyDescent="0.2">
      <c r="A3249" s="526"/>
      <c r="B3249" s="527"/>
      <c r="C3249" s="489"/>
      <c r="D3249" s="464"/>
      <c r="E3249" s="464"/>
      <c r="F3249" s="464"/>
      <c r="G3249" s="513"/>
      <c r="H3249" s="397"/>
      <c r="I3249" s="397"/>
      <c r="J3249" s="750" t="e">
        <f t="shared" si="35"/>
        <v>#DIV/0!</v>
      </c>
      <c r="K3249" s="398"/>
      <c r="L3249" s="398"/>
      <c r="M3249" s="682"/>
      <c r="N3249" s="171"/>
      <c r="O3249" s="171"/>
      <c r="P3249" s="169"/>
      <c r="Q3249" s="171"/>
      <c r="R3249" s="171"/>
      <c r="S3249" s="171"/>
      <c r="T3249" s="171"/>
      <c r="U3249" s="171"/>
      <c r="V3249" s="171"/>
      <c r="W3249" s="171"/>
      <c r="X3249" s="171"/>
      <c r="Y3249" s="171"/>
      <c r="Z3249" s="171"/>
      <c r="AA3249" s="171"/>
    </row>
    <row r="3250" spans="1:27" s="530" customFormat="1" hidden="1" x14ac:dyDescent="0.2">
      <c r="A3250" s="526"/>
      <c r="B3250" s="527"/>
      <c r="C3250" s="489"/>
      <c r="D3250" s="464"/>
      <c r="E3250" s="464"/>
      <c r="F3250" s="464"/>
      <c r="G3250" s="513"/>
      <c r="H3250" s="397"/>
      <c r="I3250" s="397"/>
      <c r="J3250" s="750" t="e">
        <f t="shared" si="35"/>
        <v>#DIV/0!</v>
      </c>
      <c r="K3250" s="398"/>
      <c r="L3250" s="398"/>
      <c r="M3250" s="682"/>
      <c r="N3250" s="171"/>
      <c r="O3250" s="171"/>
      <c r="P3250" s="169"/>
      <c r="Q3250" s="171"/>
      <c r="R3250" s="171"/>
      <c r="S3250" s="171"/>
      <c r="T3250" s="171"/>
      <c r="U3250" s="171"/>
      <c r="V3250" s="171"/>
      <c r="W3250" s="171"/>
      <c r="X3250" s="171"/>
      <c r="Y3250" s="171"/>
      <c r="Z3250" s="171"/>
      <c r="AA3250" s="171"/>
    </row>
    <row r="3251" spans="1:27" s="530" customFormat="1" hidden="1" x14ac:dyDescent="0.2">
      <c r="A3251" s="526"/>
      <c r="B3251" s="527"/>
      <c r="C3251" s="489"/>
      <c r="D3251" s="464"/>
      <c r="E3251" s="464"/>
      <c r="F3251" s="464"/>
      <c r="G3251" s="513"/>
      <c r="H3251" s="397"/>
      <c r="I3251" s="397"/>
      <c r="J3251" s="750" t="e">
        <f t="shared" si="35"/>
        <v>#DIV/0!</v>
      </c>
      <c r="K3251" s="398"/>
      <c r="L3251" s="398"/>
      <c r="M3251" s="682"/>
      <c r="N3251" s="171"/>
      <c r="O3251" s="171"/>
      <c r="P3251" s="169"/>
      <c r="Q3251" s="171"/>
      <c r="R3251" s="171"/>
      <c r="S3251" s="171"/>
      <c r="T3251" s="171"/>
      <c r="U3251" s="171"/>
      <c r="V3251" s="171"/>
      <c r="W3251" s="171"/>
      <c r="X3251" s="171"/>
      <c r="Y3251" s="171"/>
      <c r="Z3251" s="171"/>
      <c r="AA3251" s="171"/>
    </row>
    <row r="3252" spans="1:27" s="530" customFormat="1" hidden="1" x14ac:dyDescent="0.2">
      <c r="A3252" s="526"/>
      <c r="B3252" s="527"/>
      <c r="C3252" s="489"/>
      <c r="D3252" s="464"/>
      <c r="E3252" s="464"/>
      <c r="F3252" s="464"/>
      <c r="G3252" s="513"/>
      <c r="H3252" s="397"/>
      <c r="I3252" s="397"/>
      <c r="J3252" s="750" t="e">
        <f t="shared" si="35"/>
        <v>#DIV/0!</v>
      </c>
      <c r="K3252" s="398"/>
      <c r="L3252" s="398"/>
      <c r="M3252" s="682"/>
      <c r="N3252" s="171"/>
      <c r="O3252" s="171"/>
      <c r="P3252" s="169"/>
      <c r="Q3252" s="171"/>
      <c r="R3252" s="171"/>
      <c r="S3252" s="171"/>
      <c r="T3252" s="171"/>
      <c r="U3252" s="171"/>
      <c r="V3252" s="171"/>
      <c r="W3252" s="171"/>
      <c r="X3252" s="171"/>
      <c r="Y3252" s="171"/>
      <c r="Z3252" s="171"/>
      <c r="AA3252" s="171"/>
    </row>
    <row r="3253" spans="1:27" s="530" customFormat="1" hidden="1" x14ac:dyDescent="0.2">
      <c r="A3253" s="526"/>
      <c r="B3253" s="527"/>
      <c r="C3253" s="489"/>
      <c r="D3253" s="464"/>
      <c r="E3253" s="464"/>
      <c r="F3253" s="464"/>
      <c r="G3253" s="513"/>
      <c r="H3253" s="397"/>
      <c r="I3253" s="397"/>
      <c r="J3253" s="750" t="e">
        <f t="shared" si="35"/>
        <v>#DIV/0!</v>
      </c>
      <c r="K3253" s="398"/>
      <c r="L3253" s="398"/>
      <c r="M3253" s="682"/>
      <c r="N3253" s="171"/>
      <c r="O3253" s="171"/>
      <c r="P3253" s="169"/>
      <c r="Q3253" s="171"/>
      <c r="R3253" s="171"/>
      <c r="S3253" s="171"/>
      <c r="T3253" s="171"/>
      <c r="U3253" s="171"/>
      <c r="V3253" s="171"/>
      <c r="W3253" s="171"/>
      <c r="X3253" s="171"/>
      <c r="Y3253" s="171"/>
      <c r="Z3253" s="171"/>
      <c r="AA3253" s="171"/>
    </row>
    <row r="3254" spans="1:27" s="530" customFormat="1" hidden="1" x14ac:dyDescent="0.2">
      <c r="A3254" s="526"/>
      <c r="B3254" s="527"/>
      <c r="C3254" s="489"/>
      <c r="D3254" s="464"/>
      <c r="E3254" s="464"/>
      <c r="F3254" s="464"/>
      <c r="G3254" s="513"/>
      <c r="H3254" s="397"/>
      <c r="I3254" s="397"/>
      <c r="J3254" s="750" t="e">
        <f t="shared" si="35"/>
        <v>#DIV/0!</v>
      </c>
      <c r="K3254" s="398"/>
      <c r="L3254" s="398"/>
      <c r="M3254" s="682"/>
      <c r="N3254" s="171"/>
      <c r="O3254" s="171"/>
      <c r="P3254" s="169"/>
      <c r="Q3254" s="171"/>
      <c r="R3254" s="171"/>
      <c r="S3254" s="171"/>
      <c r="T3254" s="171"/>
      <c r="U3254" s="171"/>
      <c r="V3254" s="171"/>
      <c r="W3254" s="171"/>
      <c r="X3254" s="171"/>
      <c r="Y3254" s="171"/>
      <c r="Z3254" s="171"/>
      <c r="AA3254" s="171"/>
    </row>
    <row r="3255" spans="1:27" s="530" customFormat="1" hidden="1" x14ac:dyDescent="0.2">
      <c r="A3255" s="526"/>
      <c r="B3255" s="527"/>
      <c r="C3255" s="489"/>
      <c r="D3255" s="464"/>
      <c r="E3255" s="464"/>
      <c r="F3255" s="464"/>
      <c r="G3255" s="513"/>
      <c r="H3255" s="397"/>
      <c r="I3255" s="397"/>
      <c r="J3255" s="750" t="e">
        <f t="shared" si="35"/>
        <v>#DIV/0!</v>
      </c>
      <c r="K3255" s="398"/>
      <c r="L3255" s="398"/>
      <c r="M3255" s="682"/>
      <c r="N3255" s="171"/>
      <c r="O3255" s="171"/>
      <c r="P3255" s="169"/>
      <c r="Q3255" s="171"/>
      <c r="R3255" s="171"/>
      <c r="S3255" s="171"/>
      <c r="T3255" s="171"/>
      <c r="U3255" s="171"/>
      <c r="V3255" s="171"/>
      <c r="W3255" s="171"/>
      <c r="X3255" s="171"/>
      <c r="Y3255" s="171"/>
      <c r="Z3255" s="171"/>
      <c r="AA3255" s="171"/>
    </row>
    <row r="3256" spans="1:27" s="530" customFormat="1" hidden="1" x14ac:dyDescent="0.2">
      <c r="A3256" s="526"/>
      <c r="B3256" s="527"/>
      <c r="C3256" s="489"/>
      <c r="D3256" s="464"/>
      <c r="E3256" s="464"/>
      <c r="F3256" s="464"/>
      <c r="G3256" s="513"/>
      <c r="H3256" s="397"/>
      <c r="I3256" s="397"/>
      <c r="J3256" s="750" t="e">
        <f t="shared" si="35"/>
        <v>#DIV/0!</v>
      </c>
      <c r="K3256" s="398"/>
      <c r="L3256" s="398"/>
      <c r="M3256" s="682"/>
      <c r="N3256" s="171"/>
      <c r="O3256" s="171"/>
      <c r="P3256" s="169"/>
      <c r="Q3256" s="171"/>
      <c r="R3256" s="171"/>
      <c r="S3256" s="171"/>
      <c r="T3256" s="171"/>
      <c r="U3256" s="171"/>
      <c r="V3256" s="171"/>
      <c r="W3256" s="171"/>
      <c r="X3256" s="171"/>
      <c r="Y3256" s="171"/>
      <c r="Z3256" s="171"/>
      <c r="AA3256" s="171"/>
    </row>
    <row r="3257" spans="1:27" s="530" customFormat="1" hidden="1" x14ac:dyDescent="0.2">
      <c r="A3257" s="526"/>
      <c r="B3257" s="527"/>
      <c r="C3257" s="489"/>
      <c r="D3257" s="464"/>
      <c r="E3257" s="464"/>
      <c r="F3257" s="464"/>
      <c r="G3257" s="513"/>
      <c r="H3257" s="397"/>
      <c r="I3257" s="397"/>
      <c r="J3257" s="750" t="e">
        <f t="shared" si="35"/>
        <v>#DIV/0!</v>
      </c>
      <c r="K3257" s="398"/>
      <c r="L3257" s="398"/>
      <c r="M3257" s="682"/>
      <c r="N3257" s="171"/>
      <c r="O3257" s="171"/>
      <c r="P3257" s="169"/>
      <c r="Q3257" s="171"/>
      <c r="R3257" s="171"/>
      <c r="S3257" s="171"/>
      <c r="T3257" s="171"/>
      <c r="U3257" s="171"/>
      <c r="V3257" s="171"/>
      <c r="W3257" s="171"/>
      <c r="X3257" s="171"/>
      <c r="Y3257" s="171"/>
      <c r="Z3257" s="171"/>
      <c r="AA3257" s="171"/>
    </row>
    <row r="3258" spans="1:27" s="530" customFormat="1" hidden="1" x14ac:dyDescent="0.2">
      <c r="A3258" s="526"/>
      <c r="B3258" s="527"/>
      <c r="C3258" s="489"/>
      <c r="D3258" s="464"/>
      <c r="E3258" s="464"/>
      <c r="F3258" s="464"/>
      <c r="G3258" s="513"/>
      <c r="H3258" s="397"/>
      <c r="I3258" s="397"/>
      <c r="J3258" s="750" t="e">
        <f t="shared" si="35"/>
        <v>#DIV/0!</v>
      </c>
      <c r="K3258" s="398"/>
      <c r="L3258" s="398"/>
      <c r="M3258" s="682"/>
      <c r="N3258" s="171"/>
      <c r="O3258" s="171"/>
      <c r="P3258" s="169"/>
      <c r="Q3258" s="171"/>
      <c r="R3258" s="171"/>
      <c r="S3258" s="171"/>
      <c r="T3258" s="171"/>
      <c r="U3258" s="171"/>
      <c r="V3258" s="171"/>
      <c r="W3258" s="171"/>
      <c r="X3258" s="171"/>
      <c r="Y3258" s="171"/>
      <c r="Z3258" s="171"/>
      <c r="AA3258" s="171"/>
    </row>
    <row r="3259" spans="1:27" s="530" customFormat="1" hidden="1" x14ac:dyDescent="0.2">
      <c r="A3259" s="526"/>
      <c r="B3259" s="527"/>
      <c r="C3259" s="489"/>
      <c r="D3259" s="464"/>
      <c r="E3259" s="464"/>
      <c r="F3259" s="464"/>
      <c r="G3259" s="513"/>
      <c r="H3259" s="397"/>
      <c r="I3259" s="397"/>
      <c r="J3259" s="750" t="e">
        <f t="shared" si="35"/>
        <v>#DIV/0!</v>
      </c>
      <c r="K3259" s="398"/>
      <c r="L3259" s="398"/>
      <c r="M3259" s="682"/>
      <c r="N3259" s="171"/>
      <c r="O3259" s="171"/>
      <c r="P3259" s="169"/>
      <c r="Q3259" s="171"/>
      <c r="R3259" s="171"/>
      <c r="S3259" s="171"/>
      <c r="T3259" s="171"/>
      <c r="U3259" s="171"/>
      <c r="V3259" s="171"/>
      <c r="W3259" s="171"/>
      <c r="X3259" s="171"/>
      <c r="Y3259" s="171"/>
      <c r="Z3259" s="171"/>
      <c r="AA3259" s="171"/>
    </row>
    <row r="3260" spans="1:27" s="530" customFormat="1" hidden="1" x14ac:dyDescent="0.2">
      <c r="A3260" s="526"/>
      <c r="B3260" s="527"/>
      <c r="C3260" s="489"/>
      <c r="D3260" s="464"/>
      <c r="E3260" s="464"/>
      <c r="F3260" s="464"/>
      <c r="G3260" s="513"/>
      <c r="H3260" s="397"/>
      <c r="I3260" s="397"/>
      <c r="J3260" s="750" t="e">
        <f t="shared" si="35"/>
        <v>#DIV/0!</v>
      </c>
      <c r="K3260" s="398"/>
      <c r="L3260" s="398"/>
      <c r="M3260" s="682"/>
      <c r="N3260" s="171"/>
      <c r="O3260" s="171"/>
      <c r="P3260" s="169"/>
      <c r="Q3260" s="171"/>
      <c r="R3260" s="171"/>
      <c r="S3260" s="171"/>
      <c r="T3260" s="171"/>
      <c r="U3260" s="171"/>
      <c r="V3260" s="171"/>
      <c r="W3260" s="171"/>
      <c r="X3260" s="171"/>
      <c r="Y3260" s="171"/>
      <c r="Z3260" s="171"/>
      <c r="AA3260" s="171"/>
    </row>
    <row r="3261" spans="1:27" s="530" customFormat="1" hidden="1" x14ac:dyDescent="0.2">
      <c r="A3261" s="526"/>
      <c r="B3261" s="527"/>
      <c r="C3261" s="489"/>
      <c r="D3261" s="464"/>
      <c r="E3261" s="464"/>
      <c r="F3261" s="464"/>
      <c r="G3261" s="513"/>
      <c r="H3261" s="397"/>
      <c r="I3261" s="397"/>
      <c r="J3261" s="750" t="e">
        <f t="shared" si="35"/>
        <v>#DIV/0!</v>
      </c>
      <c r="K3261" s="398"/>
      <c r="L3261" s="398"/>
      <c r="M3261" s="682"/>
      <c r="N3261" s="171"/>
      <c r="O3261" s="171"/>
      <c r="P3261" s="169"/>
      <c r="Q3261" s="171"/>
      <c r="R3261" s="171"/>
      <c r="S3261" s="171"/>
      <c r="T3261" s="171"/>
      <c r="U3261" s="171"/>
      <c r="V3261" s="171"/>
      <c r="W3261" s="171"/>
      <c r="X3261" s="171"/>
      <c r="Y3261" s="171"/>
      <c r="Z3261" s="171"/>
      <c r="AA3261" s="171"/>
    </row>
    <row r="3262" spans="1:27" s="530" customFormat="1" hidden="1" x14ac:dyDescent="0.2">
      <c r="A3262" s="526"/>
      <c r="B3262" s="527"/>
      <c r="C3262" s="489"/>
      <c r="D3262" s="464"/>
      <c r="E3262" s="464"/>
      <c r="F3262" s="464"/>
      <c r="G3262" s="513"/>
      <c r="H3262" s="397"/>
      <c r="I3262" s="397"/>
      <c r="J3262" s="750" t="e">
        <f t="shared" si="35"/>
        <v>#DIV/0!</v>
      </c>
      <c r="K3262" s="398"/>
      <c r="L3262" s="398"/>
      <c r="M3262" s="682"/>
      <c r="N3262" s="171"/>
      <c r="O3262" s="171"/>
      <c r="P3262" s="169"/>
      <c r="Q3262" s="171"/>
      <c r="R3262" s="171"/>
      <c r="S3262" s="171"/>
      <c r="T3262" s="171"/>
      <c r="U3262" s="171"/>
      <c r="V3262" s="171"/>
      <c r="W3262" s="171"/>
      <c r="X3262" s="171"/>
      <c r="Y3262" s="171"/>
      <c r="Z3262" s="171"/>
      <c r="AA3262" s="171"/>
    </row>
    <row r="3263" spans="1:27" s="530" customFormat="1" hidden="1" x14ac:dyDescent="0.2">
      <c r="A3263" s="526"/>
      <c r="B3263" s="527"/>
      <c r="C3263" s="489"/>
      <c r="D3263" s="464"/>
      <c r="E3263" s="464"/>
      <c r="F3263" s="464"/>
      <c r="G3263" s="513"/>
      <c r="H3263" s="397"/>
      <c r="I3263" s="397"/>
      <c r="J3263" s="750" t="e">
        <f t="shared" si="35"/>
        <v>#DIV/0!</v>
      </c>
      <c r="K3263" s="398"/>
      <c r="L3263" s="398"/>
      <c r="M3263" s="682"/>
      <c r="N3263" s="171"/>
      <c r="O3263" s="171"/>
      <c r="P3263" s="169"/>
      <c r="Q3263" s="171"/>
      <c r="R3263" s="171"/>
      <c r="S3263" s="171"/>
      <c r="T3263" s="171"/>
      <c r="U3263" s="171"/>
      <c r="V3263" s="171"/>
      <c r="W3263" s="171"/>
      <c r="X3263" s="171"/>
      <c r="Y3263" s="171"/>
      <c r="Z3263" s="171"/>
      <c r="AA3263" s="171"/>
    </row>
    <row r="3264" spans="1:27" s="530" customFormat="1" hidden="1" x14ac:dyDescent="0.2">
      <c r="A3264" s="526"/>
      <c r="B3264" s="527"/>
      <c r="C3264" s="489"/>
      <c r="D3264" s="464"/>
      <c r="E3264" s="464"/>
      <c r="F3264" s="464"/>
      <c r="G3264" s="513"/>
      <c r="H3264" s="397"/>
      <c r="I3264" s="397"/>
      <c r="J3264" s="750" t="e">
        <f t="shared" si="35"/>
        <v>#DIV/0!</v>
      </c>
      <c r="K3264" s="398"/>
      <c r="L3264" s="398"/>
      <c r="M3264" s="682"/>
      <c r="N3264" s="171"/>
      <c r="O3264" s="171"/>
      <c r="P3264" s="169"/>
      <c r="Q3264" s="171"/>
      <c r="R3264" s="171"/>
      <c r="S3264" s="171"/>
      <c r="T3264" s="171"/>
      <c r="U3264" s="171"/>
      <c r="V3264" s="171"/>
      <c r="W3264" s="171"/>
      <c r="X3264" s="171"/>
      <c r="Y3264" s="171"/>
      <c r="Z3264" s="171"/>
      <c r="AA3264" s="171"/>
    </row>
    <row r="3265" spans="1:27" s="530" customFormat="1" hidden="1" x14ac:dyDescent="0.2">
      <c r="A3265" s="526"/>
      <c r="B3265" s="527"/>
      <c r="C3265" s="489"/>
      <c r="D3265" s="464"/>
      <c r="E3265" s="464"/>
      <c r="F3265" s="464"/>
      <c r="G3265" s="513"/>
      <c r="H3265" s="397"/>
      <c r="I3265" s="397"/>
      <c r="J3265" s="750" t="e">
        <f t="shared" si="35"/>
        <v>#DIV/0!</v>
      </c>
      <c r="K3265" s="398"/>
      <c r="L3265" s="398"/>
      <c r="M3265" s="682"/>
      <c r="N3265" s="171"/>
      <c r="O3265" s="171"/>
      <c r="P3265" s="169"/>
      <c r="Q3265" s="171"/>
      <c r="R3265" s="171"/>
      <c r="S3265" s="171"/>
      <c r="T3265" s="171"/>
      <c r="U3265" s="171"/>
      <c r="V3265" s="171"/>
      <c r="W3265" s="171"/>
      <c r="X3265" s="171"/>
      <c r="Y3265" s="171"/>
      <c r="Z3265" s="171"/>
      <c r="AA3265" s="171"/>
    </row>
    <row r="3266" spans="1:27" s="530" customFormat="1" hidden="1" x14ac:dyDescent="0.2">
      <c r="A3266" s="526"/>
      <c r="B3266" s="527"/>
      <c r="C3266" s="489"/>
      <c r="D3266" s="464"/>
      <c r="E3266" s="464"/>
      <c r="F3266" s="464"/>
      <c r="G3266" s="513"/>
      <c r="H3266" s="397"/>
      <c r="I3266" s="397"/>
      <c r="J3266" s="750" t="e">
        <f t="shared" si="35"/>
        <v>#DIV/0!</v>
      </c>
      <c r="K3266" s="398"/>
      <c r="L3266" s="398"/>
      <c r="M3266" s="682"/>
      <c r="N3266" s="171"/>
      <c r="O3266" s="171"/>
      <c r="P3266" s="169"/>
      <c r="Q3266" s="171"/>
      <c r="R3266" s="171"/>
      <c r="S3266" s="171"/>
      <c r="T3266" s="171"/>
      <c r="U3266" s="171"/>
      <c r="V3266" s="171"/>
      <c r="W3266" s="171"/>
      <c r="X3266" s="171"/>
      <c r="Y3266" s="171"/>
      <c r="Z3266" s="171"/>
      <c r="AA3266" s="171"/>
    </row>
    <row r="3267" spans="1:27" s="530" customFormat="1" hidden="1" x14ac:dyDescent="0.2">
      <c r="A3267" s="526"/>
      <c r="B3267" s="527"/>
      <c r="C3267" s="489"/>
      <c r="D3267" s="464"/>
      <c r="E3267" s="464"/>
      <c r="F3267" s="464"/>
      <c r="G3267" s="513"/>
      <c r="H3267" s="397"/>
      <c r="I3267" s="397"/>
      <c r="J3267" s="750" t="e">
        <f t="shared" si="35"/>
        <v>#DIV/0!</v>
      </c>
      <c r="K3267" s="398"/>
      <c r="L3267" s="398"/>
      <c r="M3267" s="682"/>
      <c r="N3267" s="171"/>
      <c r="O3267" s="171"/>
      <c r="P3267" s="169"/>
      <c r="Q3267" s="171"/>
      <c r="R3267" s="171"/>
      <c r="S3267" s="171"/>
      <c r="T3267" s="171"/>
      <c r="U3267" s="171"/>
      <c r="V3267" s="171"/>
      <c r="W3267" s="171"/>
      <c r="X3267" s="171"/>
      <c r="Y3267" s="171"/>
      <c r="Z3267" s="171"/>
      <c r="AA3267" s="171"/>
    </row>
    <row r="3268" spans="1:27" s="530" customFormat="1" hidden="1" x14ac:dyDescent="0.2">
      <c r="A3268" s="526"/>
      <c r="B3268" s="527"/>
      <c r="C3268" s="489"/>
      <c r="D3268" s="464"/>
      <c r="E3268" s="464"/>
      <c r="F3268" s="464"/>
      <c r="G3268" s="513"/>
      <c r="H3268" s="397"/>
      <c r="I3268" s="397"/>
      <c r="J3268" s="750" t="e">
        <f t="shared" si="35"/>
        <v>#DIV/0!</v>
      </c>
      <c r="K3268" s="398"/>
      <c r="L3268" s="398"/>
      <c r="M3268" s="682"/>
      <c r="N3268" s="171"/>
      <c r="O3268" s="171"/>
      <c r="P3268" s="169"/>
      <c r="Q3268" s="171"/>
      <c r="R3268" s="171"/>
      <c r="S3268" s="171"/>
      <c r="T3268" s="171"/>
      <c r="U3268" s="171"/>
      <c r="V3268" s="171"/>
      <c r="W3268" s="171"/>
      <c r="X3268" s="171"/>
      <c r="Y3268" s="171"/>
      <c r="Z3268" s="171"/>
      <c r="AA3268" s="171"/>
    </row>
    <row r="3269" spans="1:27" s="530" customFormat="1" hidden="1" x14ac:dyDescent="0.2">
      <c r="A3269" s="526"/>
      <c r="B3269" s="527"/>
      <c r="C3269" s="489"/>
      <c r="D3269" s="464"/>
      <c r="E3269" s="464"/>
      <c r="F3269" s="464"/>
      <c r="G3269" s="513"/>
      <c r="H3269" s="397"/>
      <c r="I3269" s="397"/>
      <c r="J3269" s="750" t="e">
        <f t="shared" si="35"/>
        <v>#DIV/0!</v>
      </c>
      <c r="K3269" s="398"/>
      <c r="L3269" s="398"/>
      <c r="M3269" s="682"/>
      <c r="N3269" s="171"/>
      <c r="O3269" s="171"/>
      <c r="P3269" s="169"/>
      <c r="Q3269" s="171"/>
      <c r="R3269" s="171"/>
      <c r="S3269" s="171"/>
      <c r="T3269" s="171"/>
      <c r="U3269" s="171"/>
      <c r="V3269" s="171"/>
      <c r="W3269" s="171"/>
      <c r="X3269" s="171"/>
      <c r="Y3269" s="171"/>
      <c r="Z3269" s="171"/>
      <c r="AA3269" s="171"/>
    </row>
    <row r="3270" spans="1:27" s="530" customFormat="1" hidden="1" x14ac:dyDescent="0.2">
      <c r="A3270" s="526"/>
      <c r="B3270" s="527"/>
      <c r="C3270" s="489"/>
      <c r="D3270" s="464"/>
      <c r="E3270" s="464"/>
      <c r="F3270" s="464"/>
      <c r="G3270" s="513"/>
      <c r="H3270" s="397"/>
      <c r="I3270" s="397"/>
      <c r="J3270" s="750" t="e">
        <f t="shared" si="35"/>
        <v>#DIV/0!</v>
      </c>
      <c r="K3270" s="398"/>
      <c r="L3270" s="398"/>
      <c r="M3270" s="682"/>
      <c r="N3270" s="171"/>
      <c r="O3270" s="171"/>
      <c r="P3270" s="169"/>
      <c r="Q3270" s="171"/>
      <c r="R3270" s="171"/>
      <c r="S3270" s="171"/>
      <c r="T3270" s="171"/>
      <c r="U3270" s="171"/>
      <c r="V3270" s="171"/>
      <c r="W3270" s="171"/>
      <c r="X3270" s="171"/>
      <c r="Y3270" s="171"/>
      <c r="Z3270" s="171"/>
      <c r="AA3270" s="171"/>
    </row>
    <row r="3271" spans="1:27" s="530" customFormat="1" hidden="1" x14ac:dyDescent="0.2">
      <c r="A3271" s="526"/>
      <c r="B3271" s="527"/>
      <c r="C3271" s="489"/>
      <c r="D3271" s="464"/>
      <c r="E3271" s="464"/>
      <c r="F3271" s="464"/>
      <c r="G3271" s="513"/>
      <c r="H3271" s="397"/>
      <c r="I3271" s="397"/>
      <c r="J3271" s="750" t="e">
        <f t="shared" si="35"/>
        <v>#DIV/0!</v>
      </c>
      <c r="K3271" s="398"/>
      <c r="L3271" s="398"/>
      <c r="M3271" s="682"/>
      <c r="N3271" s="171"/>
      <c r="O3271" s="171"/>
      <c r="P3271" s="169"/>
      <c r="Q3271" s="171"/>
      <c r="R3271" s="171"/>
      <c r="S3271" s="171"/>
      <c r="T3271" s="171"/>
      <c r="U3271" s="171"/>
      <c r="V3271" s="171"/>
      <c r="W3271" s="171"/>
      <c r="X3271" s="171"/>
      <c r="Y3271" s="171"/>
      <c r="Z3271" s="171"/>
      <c r="AA3271" s="171"/>
    </row>
    <row r="3272" spans="1:27" s="530" customFormat="1" hidden="1" x14ac:dyDescent="0.2">
      <c r="A3272" s="526"/>
      <c r="B3272" s="527"/>
      <c r="C3272" s="489"/>
      <c r="D3272" s="464"/>
      <c r="E3272" s="464"/>
      <c r="F3272" s="464"/>
      <c r="G3272" s="513"/>
      <c r="H3272" s="397"/>
      <c r="I3272" s="397"/>
      <c r="J3272" s="750" t="e">
        <f t="shared" si="35"/>
        <v>#DIV/0!</v>
      </c>
      <c r="K3272" s="398"/>
      <c r="L3272" s="398"/>
      <c r="M3272" s="682"/>
      <c r="N3272" s="171"/>
      <c r="O3272" s="171"/>
      <c r="P3272" s="169"/>
      <c r="Q3272" s="171"/>
      <c r="R3272" s="171"/>
      <c r="S3272" s="171"/>
      <c r="T3272" s="171"/>
      <c r="U3272" s="171"/>
      <c r="V3272" s="171"/>
      <c r="W3272" s="171"/>
      <c r="X3272" s="171"/>
      <c r="Y3272" s="171"/>
      <c r="Z3272" s="171"/>
      <c r="AA3272" s="171"/>
    </row>
    <row r="3273" spans="1:27" s="530" customFormat="1" hidden="1" x14ac:dyDescent="0.2">
      <c r="A3273" s="526"/>
      <c r="B3273" s="527"/>
      <c r="C3273" s="489"/>
      <c r="D3273" s="464"/>
      <c r="E3273" s="464"/>
      <c r="F3273" s="464"/>
      <c r="G3273" s="513"/>
      <c r="H3273" s="397"/>
      <c r="I3273" s="397"/>
      <c r="J3273" s="750" t="e">
        <f t="shared" si="35"/>
        <v>#DIV/0!</v>
      </c>
      <c r="K3273" s="398"/>
      <c r="L3273" s="398"/>
      <c r="M3273" s="682"/>
      <c r="N3273" s="171"/>
      <c r="O3273" s="171"/>
      <c r="P3273" s="169"/>
      <c r="Q3273" s="171"/>
      <c r="R3273" s="171"/>
      <c r="S3273" s="171"/>
      <c r="T3273" s="171"/>
      <c r="U3273" s="171"/>
      <c r="V3273" s="171"/>
      <c r="W3273" s="171"/>
      <c r="X3273" s="171"/>
      <c r="Y3273" s="171"/>
      <c r="Z3273" s="171"/>
      <c r="AA3273" s="171"/>
    </row>
    <row r="3274" spans="1:27" s="530" customFormat="1" hidden="1" x14ac:dyDescent="0.2">
      <c r="A3274" s="526"/>
      <c r="B3274" s="527"/>
      <c r="C3274" s="489"/>
      <c r="D3274" s="464"/>
      <c r="E3274" s="464"/>
      <c r="F3274" s="464"/>
      <c r="G3274" s="513"/>
      <c r="H3274" s="397"/>
      <c r="I3274" s="397"/>
      <c r="J3274" s="750" t="e">
        <f t="shared" si="35"/>
        <v>#DIV/0!</v>
      </c>
      <c r="K3274" s="398"/>
      <c r="L3274" s="398"/>
      <c r="M3274" s="682"/>
      <c r="N3274" s="171"/>
      <c r="O3274" s="171"/>
      <c r="P3274" s="169"/>
      <c r="Q3274" s="171"/>
      <c r="R3274" s="171"/>
      <c r="S3274" s="171"/>
      <c r="T3274" s="171"/>
      <c r="U3274" s="171"/>
      <c r="V3274" s="171"/>
      <c r="W3274" s="171"/>
      <c r="X3274" s="171"/>
      <c r="Y3274" s="171"/>
      <c r="Z3274" s="171"/>
      <c r="AA3274" s="171"/>
    </row>
    <row r="3275" spans="1:27" s="530" customFormat="1" hidden="1" x14ac:dyDescent="0.2">
      <c r="A3275" s="526"/>
      <c r="B3275" s="527"/>
      <c r="C3275" s="489"/>
      <c r="D3275" s="464"/>
      <c r="E3275" s="464"/>
      <c r="F3275" s="464"/>
      <c r="G3275" s="513"/>
      <c r="H3275" s="397"/>
      <c r="I3275" s="397"/>
      <c r="J3275" s="750" t="e">
        <f t="shared" si="35"/>
        <v>#DIV/0!</v>
      </c>
      <c r="K3275" s="398"/>
      <c r="L3275" s="398"/>
      <c r="M3275" s="682"/>
      <c r="N3275" s="171"/>
      <c r="O3275" s="171"/>
      <c r="P3275" s="169"/>
      <c r="Q3275" s="171"/>
      <c r="R3275" s="171"/>
      <c r="S3275" s="171"/>
      <c r="T3275" s="171"/>
      <c r="U3275" s="171"/>
      <c r="V3275" s="171"/>
      <c r="W3275" s="171"/>
      <c r="X3275" s="171"/>
      <c r="Y3275" s="171"/>
      <c r="Z3275" s="171"/>
      <c r="AA3275" s="171"/>
    </row>
    <row r="3276" spans="1:27" s="530" customFormat="1" hidden="1" x14ac:dyDescent="0.2">
      <c r="A3276" s="526"/>
      <c r="B3276" s="527"/>
      <c r="C3276" s="489"/>
      <c r="D3276" s="464"/>
      <c r="E3276" s="464"/>
      <c r="F3276" s="464"/>
      <c r="G3276" s="513"/>
      <c r="H3276" s="397"/>
      <c r="I3276" s="397"/>
      <c r="J3276" s="750" t="e">
        <f t="shared" si="35"/>
        <v>#DIV/0!</v>
      </c>
      <c r="K3276" s="398"/>
      <c r="L3276" s="398"/>
      <c r="M3276" s="682"/>
      <c r="N3276" s="171"/>
      <c r="O3276" s="171"/>
      <c r="P3276" s="169"/>
      <c r="Q3276" s="171"/>
      <c r="R3276" s="171"/>
      <c r="S3276" s="171"/>
      <c r="T3276" s="171"/>
      <c r="U3276" s="171"/>
      <c r="V3276" s="171"/>
      <c r="W3276" s="171"/>
      <c r="X3276" s="171"/>
      <c r="Y3276" s="171"/>
      <c r="Z3276" s="171"/>
      <c r="AA3276" s="171"/>
    </row>
    <row r="3277" spans="1:27" s="530" customFormat="1" ht="19.5" hidden="1" customHeight="1" x14ac:dyDescent="0.2">
      <c r="A3277" s="526"/>
      <c r="B3277" s="527"/>
      <c r="C3277" s="489"/>
      <c r="D3277" s="464"/>
      <c r="E3277" s="464"/>
      <c r="F3277" s="464"/>
      <c r="G3277" s="513"/>
      <c r="H3277" s="397"/>
      <c r="I3277" s="397"/>
      <c r="J3277" s="750" t="e">
        <f t="shared" ref="J3277:J3340" si="36">SUM(I3277/H3277)*100</f>
        <v>#DIV/0!</v>
      </c>
      <c r="K3277" s="398"/>
      <c r="L3277" s="398"/>
      <c r="M3277" s="682"/>
      <c r="N3277" s="171"/>
      <c r="O3277" s="171"/>
      <c r="P3277" s="169"/>
      <c r="Q3277" s="171"/>
      <c r="R3277" s="171"/>
      <c r="S3277" s="171"/>
      <c r="T3277" s="171"/>
      <c r="U3277" s="171"/>
      <c r="V3277" s="171"/>
      <c r="W3277" s="171"/>
      <c r="X3277" s="171"/>
      <c r="Y3277" s="171"/>
      <c r="Z3277" s="171"/>
      <c r="AA3277" s="171"/>
    </row>
    <row r="3278" spans="1:27" s="530" customFormat="1" hidden="1" x14ac:dyDescent="0.2">
      <c r="A3278" s="526"/>
      <c r="B3278" s="527"/>
      <c r="C3278" s="489"/>
      <c r="D3278" s="464"/>
      <c r="E3278" s="464"/>
      <c r="F3278" s="464"/>
      <c r="G3278" s="513"/>
      <c r="H3278" s="397"/>
      <c r="I3278" s="397"/>
      <c r="J3278" s="750" t="e">
        <f t="shared" si="36"/>
        <v>#DIV/0!</v>
      </c>
      <c r="K3278" s="398"/>
      <c r="L3278" s="398"/>
      <c r="M3278" s="682"/>
      <c r="N3278" s="171"/>
      <c r="O3278" s="171"/>
      <c r="P3278" s="169"/>
      <c r="Q3278" s="171"/>
      <c r="R3278" s="171"/>
      <c r="S3278" s="171"/>
      <c r="T3278" s="171"/>
      <c r="U3278" s="171"/>
      <c r="V3278" s="171"/>
      <c r="W3278" s="171"/>
      <c r="X3278" s="171"/>
      <c r="Y3278" s="171"/>
      <c r="Z3278" s="171"/>
      <c r="AA3278" s="171"/>
    </row>
    <row r="3279" spans="1:27" s="530" customFormat="1" hidden="1" x14ac:dyDescent="0.2">
      <c r="A3279" s="526"/>
      <c r="B3279" s="527"/>
      <c r="C3279" s="489"/>
      <c r="D3279" s="464"/>
      <c r="E3279" s="464"/>
      <c r="F3279" s="464"/>
      <c r="G3279" s="513"/>
      <c r="H3279" s="397"/>
      <c r="I3279" s="397"/>
      <c r="J3279" s="750" t="e">
        <f t="shared" si="36"/>
        <v>#DIV/0!</v>
      </c>
      <c r="K3279" s="398"/>
      <c r="L3279" s="398"/>
      <c r="M3279" s="682"/>
      <c r="N3279" s="171"/>
      <c r="O3279" s="171"/>
      <c r="P3279" s="169"/>
      <c r="Q3279" s="171"/>
      <c r="R3279" s="171"/>
      <c r="S3279" s="171"/>
      <c r="T3279" s="171"/>
      <c r="U3279" s="171"/>
      <c r="V3279" s="171"/>
      <c r="W3279" s="171"/>
      <c r="X3279" s="171"/>
      <c r="Y3279" s="171"/>
      <c r="Z3279" s="171"/>
      <c r="AA3279" s="171"/>
    </row>
    <row r="3280" spans="1:27" s="530" customFormat="1" ht="8.25" hidden="1" customHeight="1" x14ac:dyDescent="0.2">
      <c r="A3280" s="526"/>
      <c r="B3280" s="527"/>
      <c r="C3280" s="489"/>
      <c r="D3280" s="464"/>
      <c r="E3280" s="464"/>
      <c r="F3280" s="464"/>
      <c r="G3280" s="513"/>
      <c r="H3280" s="397"/>
      <c r="I3280" s="397"/>
      <c r="J3280" s="750" t="e">
        <f t="shared" si="36"/>
        <v>#DIV/0!</v>
      </c>
      <c r="K3280" s="398"/>
      <c r="L3280" s="398"/>
      <c r="M3280" s="682"/>
      <c r="N3280" s="171"/>
      <c r="O3280" s="171"/>
      <c r="P3280" s="169"/>
      <c r="Q3280" s="171"/>
      <c r="R3280" s="171"/>
      <c r="S3280" s="171"/>
      <c r="T3280" s="171"/>
      <c r="U3280" s="171"/>
      <c r="V3280" s="171"/>
      <c r="W3280" s="171"/>
      <c r="X3280" s="171"/>
      <c r="Y3280" s="171"/>
      <c r="Z3280" s="171"/>
      <c r="AA3280" s="171"/>
    </row>
    <row r="3281" spans="1:27" s="530" customFormat="1" ht="31.5" customHeight="1" x14ac:dyDescent="0.2">
      <c r="A3281" s="526"/>
      <c r="B3281" s="527"/>
      <c r="C3281" s="542" t="s">
        <v>4633</v>
      </c>
      <c r="D3281" s="173"/>
      <c r="E3281" s="173"/>
      <c r="F3281" s="502"/>
      <c r="G3281" s="510" t="s">
        <v>5197</v>
      </c>
      <c r="H3281" s="397"/>
      <c r="I3281" s="397"/>
      <c r="J3281" s="750"/>
      <c r="K3281" s="398"/>
      <c r="L3281" s="398"/>
      <c r="M3281" s="682"/>
      <c r="N3281" s="171"/>
      <c r="O3281" s="171"/>
      <c r="P3281" s="169"/>
      <c r="Q3281" s="171"/>
      <c r="R3281" s="171"/>
      <c r="S3281" s="171"/>
      <c r="T3281" s="171"/>
      <c r="U3281" s="171"/>
      <c r="V3281" s="171"/>
      <c r="W3281" s="171"/>
      <c r="X3281" s="171"/>
      <c r="Y3281" s="171"/>
      <c r="Z3281" s="171"/>
      <c r="AA3281" s="171"/>
    </row>
    <row r="3282" spans="1:27" s="530" customFormat="1" x14ac:dyDescent="0.2">
      <c r="A3282" s="526"/>
      <c r="B3282" s="527"/>
      <c r="C3282" s="489"/>
      <c r="D3282" s="492">
        <v>620</v>
      </c>
      <c r="E3282" s="492"/>
      <c r="F3282" s="492"/>
      <c r="G3282" s="514" t="s">
        <v>182</v>
      </c>
      <c r="H3282" s="397"/>
      <c r="I3282" s="397"/>
      <c r="J3282" s="750"/>
      <c r="K3282" s="398"/>
      <c r="L3282" s="398"/>
      <c r="M3282" s="682"/>
      <c r="N3282" s="171"/>
      <c r="O3282" s="171"/>
      <c r="P3282" s="169"/>
      <c r="Q3282" s="171"/>
      <c r="R3282" s="171"/>
      <c r="S3282" s="171"/>
      <c r="T3282" s="171"/>
      <c r="U3282" s="171"/>
      <c r="V3282" s="171"/>
      <c r="W3282" s="171"/>
      <c r="X3282" s="171"/>
      <c r="Y3282" s="171"/>
      <c r="Z3282" s="171"/>
      <c r="AA3282" s="171"/>
    </row>
    <row r="3283" spans="1:27" s="530" customFormat="1" hidden="1" x14ac:dyDescent="0.2">
      <c r="A3283" s="526"/>
      <c r="B3283" s="527"/>
      <c r="C3283" s="465"/>
      <c r="D3283" s="464"/>
      <c r="E3283" s="464"/>
      <c r="F3283" s="494">
        <v>411</v>
      </c>
      <c r="G3283" s="495" t="s">
        <v>4167</v>
      </c>
      <c r="H3283" s="397"/>
      <c r="I3283" s="397"/>
      <c r="J3283" s="750" t="e">
        <f t="shared" si="36"/>
        <v>#DIV/0!</v>
      </c>
      <c r="K3283" s="398"/>
      <c r="L3283" s="398"/>
      <c r="M3283" s="682"/>
      <c r="N3283" s="171"/>
      <c r="O3283" s="171"/>
      <c r="P3283" s="169"/>
      <c r="Q3283" s="171"/>
      <c r="R3283" s="171"/>
      <c r="S3283" s="171"/>
      <c r="T3283" s="171"/>
      <c r="U3283" s="171"/>
      <c r="V3283" s="171"/>
      <c r="W3283" s="171"/>
      <c r="X3283" s="171"/>
      <c r="Y3283" s="171"/>
      <c r="Z3283" s="171"/>
      <c r="AA3283" s="171"/>
    </row>
    <row r="3284" spans="1:27" s="530" customFormat="1" hidden="1" x14ac:dyDescent="0.2">
      <c r="A3284" s="526"/>
      <c r="B3284" s="527"/>
      <c r="C3284" s="465"/>
      <c r="D3284" s="464"/>
      <c r="E3284" s="464"/>
      <c r="F3284" s="494">
        <v>412</v>
      </c>
      <c r="G3284" s="496" t="s">
        <v>3764</v>
      </c>
      <c r="H3284" s="397"/>
      <c r="I3284" s="397"/>
      <c r="J3284" s="750" t="e">
        <f t="shared" si="36"/>
        <v>#DIV/0!</v>
      </c>
      <c r="K3284" s="398"/>
      <c r="L3284" s="398"/>
      <c r="M3284" s="682"/>
      <c r="N3284" s="171"/>
      <c r="O3284" s="171"/>
      <c r="P3284" s="169"/>
      <c r="Q3284" s="171"/>
      <c r="R3284" s="171"/>
      <c r="S3284" s="171"/>
      <c r="T3284" s="171"/>
      <c r="U3284" s="171"/>
      <c r="V3284" s="171"/>
      <c r="W3284" s="171"/>
      <c r="X3284" s="171"/>
      <c r="Y3284" s="171"/>
      <c r="Z3284" s="171"/>
      <c r="AA3284" s="171"/>
    </row>
    <row r="3285" spans="1:27" s="530" customFormat="1" hidden="1" x14ac:dyDescent="0.2">
      <c r="A3285" s="526"/>
      <c r="B3285" s="527"/>
      <c r="C3285" s="465"/>
      <c r="D3285" s="464"/>
      <c r="E3285" s="464"/>
      <c r="F3285" s="494">
        <v>413</v>
      </c>
      <c r="G3285" s="495" t="s">
        <v>4168</v>
      </c>
      <c r="H3285" s="397"/>
      <c r="I3285" s="397"/>
      <c r="J3285" s="750" t="e">
        <f t="shared" si="36"/>
        <v>#DIV/0!</v>
      </c>
      <c r="K3285" s="398"/>
      <c r="L3285" s="398"/>
      <c r="M3285" s="682"/>
      <c r="N3285" s="171"/>
      <c r="O3285" s="171"/>
      <c r="P3285" s="169"/>
      <c r="Q3285" s="171"/>
      <c r="R3285" s="171"/>
      <c r="S3285" s="171"/>
      <c r="T3285" s="171"/>
      <c r="U3285" s="171"/>
      <c r="V3285" s="171"/>
      <c r="W3285" s="171"/>
      <c r="X3285" s="171"/>
      <c r="Y3285" s="171"/>
      <c r="Z3285" s="171"/>
      <c r="AA3285" s="171"/>
    </row>
    <row r="3286" spans="1:27" s="530" customFormat="1" hidden="1" x14ac:dyDescent="0.2">
      <c r="A3286" s="526"/>
      <c r="B3286" s="527"/>
      <c r="C3286" s="465"/>
      <c r="D3286" s="464"/>
      <c r="E3286" s="464"/>
      <c r="F3286" s="494">
        <v>414</v>
      </c>
      <c r="G3286" s="495" t="s">
        <v>3767</v>
      </c>
      <c r="H3286" s="397"/>
      <c r="I3286" s="397"/>
      <c r="J3286" s="750" t="e">
        <f t="shared" si="36"/>
        <v>#DIV/0!</v>
      </c>
      <c r="K3286" s="398"/>
      <c r="L3286" s="398"/>
      <c r="M3286" s="682"/>
      <c r="N3286" s="171"/>
      <c r="O3286" s="171"/>
      <c r="P3286" s="169"/>
      <c r="Q3286" s="171"/>
      <c r="R3286" s="171"/>
      <c r="S3286" s="171"/>
      <c r="T3286" s="171"/>
      <c r="U3286" s="171"/>
      <c r="V3286" s="171"/>
      <c r="W3286" s="171"/>
      <c r="X3286" s="171"/>
      <c r="Y3286" s="171"/>
      <c r="Z3286" s="171"/>
      <c r="AA3286" s="171"/>
    </row>
    <row r="3287" spans="1:27" s="530" customFormat="1" hidden="1" x14ac:dyDescent="0.2">
      <c r="A3287" s="526"/>
      <c r="B3287" s="527"/>
      <c r="C3287" s="465"/>
      <c r="D3287" s="464"/>
      <c r="E3287" s="464"/>
      <c r="F3287" s="494">
        <v>415</v>
      </c>
      <c r="G3287" s="495" t="s">
        <v>4177</v>
      </c>
      <c r="H3287" s="397"/>
      <c r="I3287" s="397"/>
      <c r="J3287" s="750" t="e">
        <f t="shared" si="36"/>
        <v>#DIV/0!</v>
      </c>
      <c r="K3287" s="398"/>
      <c r="L3287" s="398"/>
      <c r="M3287" s="682"/>
      <c r="N3287" s="171"/>
      <c r="O3287" s="171"/>
      <c r="P3287" s="169"/>
      <c r="Q3287" s="171"/>
      <c r="R3287" s="171"/>
      <c r="S3287" s="171"/>
      <c r="T3287" s="171"/>
      <c r="U3287" s="171"/>
      <c r="V3287" s="171"/>
      <c r="W3287" s="171"/>
      <c r="X3287" s="171"/>
      <c r="Y3287" s="171"/>
      <c r="Z3287" s="171"/>
      <c r="AA3287" s="171"/>
    </row>
    <row r="3288" spans="1:27" s="530" customFormat="1" ht="25.5" hidden="1" x14ac:dyDescent="0.2">
      <c r="A3288" s="526"/>
      <c r="B3288" s="527"/>
      <c r="C3288" s="465"/>
      <c r="D3288" s="464"/>
      <c r="E3288" s="464"/>
      <c r="F3288" s="494">
        <v>416</v>
      </c>
      <c r="G3288" s="495" t="s">
        <v>4178</v>
      </c>
      <c r="H3288" s="397"/>
      <c r="I3288" s="397"/>
      <c r="J3288" s="750" t="e">
        <f t="shared" si="36"/>
        <v>#DIV/0!</v>
      </c>
      <c r="K3288" s="398"/>
      <c r="L3288" s="398"/>
      <c r="M3288" s="682"/>
      <c r="N3288" s="171"/>
      <c r="O3288" s="171"/>
      <c r="P3288" s="169"/>
      <c r="Q3288" s="171"/>
      <c r="R3288" s="171"/>
      <c r="S3288" s="171"/>
      <c r="T3288" s="171"/>
      <c r="U3288" s="171"/>
      <c r="V3288" s="171"/>
      <c r="W3288" s="171"/>
      <c r="X3288" s="171"/>
      <c r="Y3288" s="171"/>
      <c r="Z3288" s="171"/>
      <c r="AA3288" s="171"/>
    </row>
    <row r="3289" spans="1:27" s="530" customFormat="1" hidden="1" x14ac:dyDescent="0.2">
      <c r="A3289" s="526"/>
      <c r="B3289" s="527"/>
      <c r="C3289" s="465"/>
      <c r="D3289" s="464"/>
      <c r="E3289" s="464"/>
      <c r="F3289" s="494">
        <v>417</v>
      </c>
      <c r="G3289" s="495" t="s">
        <v>4179</v>
      </c>
      <c r="H3289" s="397"/>
      <c r="I3289" s="397"/>
      <c r="J3289" s="750" t="e">
        <f t="shared" si="36"/>
        <v>#DIV/0!</v>
      </c>
      <c r="K3289" s="398"/>
      <c r="L3289" s="398"/>
      <c r="M3289" s="682"/>
      <c r="N3289" s="171"/>
      <c r="O3289" s="171"/>
      <c r="P3289" s="169"/>
      <c r="Q3289" s="171"/>
      <c r="R3289" s="171"/>
      <c r="S3289" s="171"/>
      <c r="T3289" s="171"/>
      <c r="U3289" s="171"/>
      <c r="V3289" s="171"/>
      <c r="W3289" s="171"/>
      <c r="X3289" s="171"/>
      <c r="Y3289" s="171"/>
      <c r="Z3289" s="171"/>
      <c r="AA3289" s="171"/>
    </row>
    <row r="3290" spans="1:27" s="530" customFormat="1" hidden="1" x14ac:dyDescent="0.2">
      <c r="A3290" s="526"/>
      <c r="B3290" s="527"/>
      <c r="C3290" s="465"/>
      <c r="D3290" s="464"/>
      <c r="E3290" s="464"/>
      <c r="F3290" s="494">
        <v>418</v>
      </c>
      <c r="G3290" s="495" t="s">
        <v>3773</v>
      </c>
      <c r="H3290" s="397"/>
      <c r="I3290" s="397"/>
      <c r="J3290" s="750" t="e">
        <f t="shared" si="36"/>
        <v>#DIV/0!</v>
      </c>
      <c r="K3290" s="398"/>
      <c r="L3290" s="398"/>
      <c r="M3290" s="682"/>
      <c r="N3290" s="171"/>
      <c r="O3290" s="171"/>
      <c r="P3290" s="169"/>
      <c r="Q3290" s="171"/>
      <c r="R3290" s="171"/>
      <c r="S3290" s="171"/>
      <c r="T3290" s="171"/>
      <c r="U3290" s="171"/>
      <c r="V3290" s="171"/>
      <c r="W3290" s="171"/>
      <c r="X3290" s="171"/>
      <c r="Y3290" s="171"/>
      <c r="Z3290" s="171"/>
      <c r="AA3290" s="171"/>
    </row>
    <row r="3291" spans="1:27" s="530" customFormat="1" hidden="1" x14ac:dyDescent="0.2">
      <c r="A3291" s="526"/>
      <c r="B3291" s="527"/>
      <c r="C3291" s="465"/>
      <c r="D3291" s="464"/>
      <c r="E3291" s="464"/>
      <c r="F3291" s="494">
        <v>421</v>
      </c>
      <c r="G3291" s="495" t="s">
        <v>3777</v>
      </c>
      <c r="H3291" s="397"/>
      <c r="I3291" s="397"/>
      <c r="J3291" s="750" t="e">
        <f t="shared" si="36"/>
        <v>#DIV/0!</v>
      </c>
      <c r="K3291" s="398"/>
      <c r="L3291" s="398"/>
      <c r="M3291" s="682"/>
      <c r="N3291" s="171"/>
      <c r="O3291" s="171"/>
      <c r="P3291" s="169"/>
      <c r="Q3291" s="171"/>
      <c r="R3291" s="171"/>
      <c r="S3291" s="171"/>
      <c r="T3291" s="171"/>
      <c r="U3291" s="171"/>
      <c r="V3291" s="171"/>
      <c r="W3291" s="171"/>
      <c r="X3291" s="171"/>
      <c r="Y3291" s="171"/>
      <c r="Z3291" s="171"/>
      <c r="AA3291" s="171"/>
    </row>
    <row r="3292" spans="1:27" s="530" customFormat="1" hidden="1" x14ac:dyDescent="0.2">
      <c r="A3292" s="526"/>
      <c r="B3292" s="527"/>
      <c r="C3292" s="465"/>
      <c r="D3292" s="464"/>
      <c r="E3292" s="464"/>
      <c r="F3292" s="494">
        <v>422</v>
      </c>
      <c r="G3292" s="495" t="s">
        <v>3778</v>
      </c>
      <c r="H3292" s="397"/>
      <c r="I3292" s="397"/>
      <c r="J3292" s="750" t="e">
        <f t="shared" si="36"/>
        <v>#DIV/0!</v>
      </c>
      <c r="K3292" s="398"/>
      <c r="L3292" s="398"/>
      <c r="M3292" s="682"/>
      <c r="N3292" s="171"/>
      <c r="O3292" s="171"/>
      <c r="P3292" s="169"/>
      <c r="Q3292" s="171"/>
      <c r="R3292" s="171"/>
      <c r="S3292" s="171"/>
      <c r="T3292" s="171"/>
      <c r="U3292" s="171"/>
      <c r="V3292" s="171"/>
      <c r="W3292" s="171"/>
      <c r="X3292" s="171"/>
      <c r="Y3292" s="171"/>
      <c r="Z3292" s="171"/>
      <c r="AA3292" s="171"/>
    </row>
    <row r="3293" spans="1:27" s="530" customFormat="1" hidden="1" x14ac:dyDescent="0.2">
      <c r="A3293" s="526"/>
      <c r="B3293" s="527"/>
      <c r="C3293" s="465"/>
      <c r="D3293" s="464"/>
      <c r="E3293" s="464"/>
      <c r="F3293" s="494">
        <v>423</v>
      </c>
      <c r="G3293" s="495" t="s">
        <v>3779</v>
      </c>
      <c r="H3293" s="397"/>
      <c r="I3293" s="397"/>
      <c r="J3293" s="750" t="e">
        <f t="shared" si="36"/>
        <v>#DIV/0!</v>
      </c>
      <c r="K3293" s="398"/>
      <c r="L3293" s="398"/>
      <c r="M3293" s="682"/>
      <c r="N3293" s="171"/>
      <c r="O3293" s="171"/>
      <c r="P3293" s="169"/>
      <c r="Q3293" s="171"/>
      <c r="R3293" s="171"/>
      <c r="S3293" s="171"/>
      <c r="T3293" s="171"/>
      <c r="U3293" s="171"/>
      <c r="V3293" s="171"/>
      <c r="W3293" s="171"/>
      <c r="X3293" s="171"/>
      <c r="Y3293" s="171"/>
      <c r="Z3293" s="171"/>
      <c r="AA3293" s="171"/>
    </row>
    <row r="3294" spans="1:27" s="530" customFormat="1" hidden="1" x14ac:dyDescent="0.2">
      <c r="A3294" s="526"/>
      <c r="B3294" s="527"/>
      <c r="C3294" s="465"/>
      <c r="D3294" s="464"/>
      <c r="E3294" s="464"/>
      <c r="F3294" s="494">
        <v>424</v>
      </c>
      <c r="G3294" s="495" t="s">
        <v>3781</v>
      </c>
      <c r="H3294" s="397"/>
      <c r="I3294" s="397"/>
      <c r="J3294" s="750" t="e">
        <f t="shared" si="36"/>
        <v>#DIV/0!</v>
      </c>
      <c r="K3294" s="398"/>
      <c r="L3294" s="398"/>
      <c r="M3294" s="682"/>
      <c r="N3294" s="171"/>
      <c r="O3294" s="171"/>
      <c r="P3294" s="169"/>
      <c r="Q3294" s="171"/>
      <c r="R3294" s="171"/>
      <c r="S3294" s="171"/>
      <c r="T3294" s="171"/>
      <c r="U3294" s="171"/>
      <c r="V3294" s="171"/>
      <c r="W3294" s="171"/>
      <c r="X3294" s="171"/>
      <c r="Y3294" s="171"/>
      <c r="Z3294" s="171"/>
      <c r="AA3294" s="171"/>
    </row>
    <row r="3295" spans="1:27" s="530" customFormat="1" hidden="1" x14ac:dyDescent="0.2">
      <c r="A3295" s="526"/>
      <c r="B3295" s="527"/>
      <c r="C3295" s="465"/>
      <c r="D3295" s="464"/>
      <c r="E3295" s="464"/>
      <c r="F3295" s="494">
        <v>425</v>
      </c>
      <c r="G3295" s="495" t="s">
        <v>4180</v>
      </c>
      <c r="H3295" s="397"/>
      <c r="I3295" s="397"/>
      <c r="J3295" s="750" t="e">
        <f t="shared" si="36"/>
        <v>#DIV/0!</v>
      </c>
      <c r="K3295" s="398"/>
      <c r="L3295" s="398"/>
      <c r="M3295" s="682"/>
      <c r="N3295" s="171"/>
      <c r="O3295" s="171"/>
      <c r="P3295" s="169"/>
      <c r="Q3295" s="171"/>
      <c r="R3295" s="171"/>
      <c r="S3295" s="171"/>
      <c r="T3295" s="171"/>
      <c r="U3295" s="171"/>
      <c r="V3295" s="171"/>
      <c r="W3295" s="171"/>
      <c r="X3295" s="171"/>
      <c r="Y3295" s="171"/>
      <c r="Z3295" s="171"/>
      <c r="AA3295" s="171"/>
    </row>
    <row r="3296" spans="1:27" s="530" customFormat="1" hidden="1" x14ac:dyDescent="0.2">
      <c r="A3296" s="526"/>
      <c r="B3296" s="527"/>
      <c r="C3296" s="465"/>
      <c r="D3296" s="464"/>
      <c r="E3296" s="464"/>
      <c r="F3296" s="494">
        <v>426</v>
      </c>
      <c r="G3296" s="495" t="s">
        <v>3785</v>
      </c>
      <c r="H3296" s="397"/>
      <c r="I3296" s="397"/>
      <c r="J3296" s="750" t="e">
        <f t="shared" si="36"/>
        <v>#DIV/0!</v>
      </c>
      <c r="K3296" s="398"/>
      <c r="L3296" s="398"/>
      <c r="M3296" s="682"/>
      <c r="N3296" s="171"/>
      <c r="O3296" s="171"/>
      <c r="P3296" s="169"/>
      <c r="Q3296" s="171"/>
      <c r="R3296" s="171"/>
      <c r="S3296" s="171"/>
      <c r="T3296" s="171"/>
      <c r="U3296" s="171"/>
      <c r="V3296" s="171"/>
      <c r="W3296" s="171"/>
      <c r="X3296" s="171"/>
      <c r="Y3296" s="171"/>
      <c r="Z3296" s="171"/>
      <c r="AA3296" s="171"/>
    </row>
    <row r="3297" spans="1:27" s="530" customFormat="1" hidden="1" x14ac:dyDescent="0.2">
      <c r="A3297" s="526"/>
      <c r="B3297" s="527"/>
      <c r="C3297" s="465"/>
      <c r="D3297" s="464"/>
      <c r="E3297" s="464"/>
      <c r="F3297" s="494">
        <v>431</v>
      </c>
      <c r="G3297" s="495" t="s">
        <v>4181</v>
      </c>
      <c r="H3297" s="397"/>
      <c r="I3297" s="397"/>
      <c r="J3297" s="750" t="e">
        <f t="shared" si="36"/>
        <v>#DIV/0!</v>
      </c>
      <c r="K3297" s="398"/>
      <c r="L3297" s="398"/>
      <c r="M3297" s="682"/>
      <c r="N3297" s="171"/>
      <c r="O3297" s="171"/>
      <c r="P3297" s="169"/>
      <c r="Q3297" s="171"/>
      <c r="R3297" s="171"/>
      <c r="S3297" s="171"/>
      <c r="T3297" s="171"/>
      <c r="U3297" s="171"/>
      <c r="V3297" s="171"/>
      <c r="W3297" s="171"/>
      <c r="X3297" s="171"/>
      <c r="Y3297" s="171"/>
      <c r="Z3297" s="171"/>
      <c r="AA3297" s="171"/>
    </row>
    <row r="3298" spans="1:27" s="530" customFormat="1" hidden="1" x14ac:dyDescent="0.2">
      <c r="A3298" s="526"/>
      <c r="B3298" s="527"/>
      <c r="C3298" s="465"/>
      <c r="D3298" s="464"/>
      <c r="E3298" s="464"/>
      <c r="F3298" s="494">
        <v>432</v>
      </c>
      <c r="G3298" s="495" t="s">
        <v>4182</v>
      </c>
      <c r="H3298" s="397"/>
      <c r="I3298" s="397"/>
      <c r="J3298" s="750" t="e">
        <f t="shared" si="36"/>
        <v>#DIV/0!</v>
      </c>
      <c r="K3298" s="398"/>
      <c r="L3298" s="398"/>
      <c r="M3298" s="682"/>
      <c r="N3298" s="171"/>
      <c r="O3298" s="171"/>
      <c r="P3298" s="169"/>
      <c r="Q3298" s="171"/>
      <c r="R3298" s="171"/>
      <c r="S3298" s="171"/>
      <c r="T3298" s="171"/>
      <c r="U3298" s="171"/>
      <c r="V3298" s="171"/>
      <c r="W3298" s="171"/>
      <c r="X3298" s="171"/>
      <c r="Y3298" s="171"/>
      <c r="Z3298" s="171"/>
      <c r="AA3298" s="171"/>
    </row>
    <row r="3299" spans="1:27" s="530" customFormat="1" hidden="1" x14ac:dyDescent="0.2">
      <c r="A3299" s="526"/>
      <c r="B3299" s="527"/>
      <c r="C3299" s="465"/>
      <c r="D3299" s="464"/>
      <c r="E3299" s="464"/>
      <c r="F3299" s="494">
        <v>433</v>
      </c>
      <c r="G3299" s="495" t="s">
        <v>4183</v>
      </c>
      <c r="H3299" s="397"/>
      <c r="I3299" s="397"/>
      <c r="J3299" s="750" t="e">
        <f t="shared" si="36"/>
        <v>#DIV/0!</v>
      </c>
      <c r="K3299" s="398"/>
      <c r="L3299" s="398"/>
      <c r="M3299" s="682"/>
      <c r="N3299" s="171"/>
      <c r="O3299" s="171"/>
      <c r="P3299" s="169"/>
      <c r="Q3299" s="171"/>
      <c r="R3299" s="171"/>
      <c r="S3299" s="171"/>
      <c r="T3299" s="171"/>
      <c r="U3299" s="171"/>
      <c r="V3299" s="171"/>
      <c r="W3299" s="171"/>
      <c r="X3299" s="171"/>
      <c r="Y3299" s="171"/>
      <c r="Z3299" s="171"/>
      <c r="AA3299" s="171"/>
    </row>
    <row r="3300" spans="1:27" s="530" customFormat="1" hidden="1" x14ac:dyDescent="0.2">
      <c r="A3300" s="526"/>
      <c r="B3300" s="527"/>
      <c r="C3300" s="465"/>
      <c r="D3300" s="464"/>
      <c r="E3300" s="464"/>
      <c r="F3300" s="494">
        <v>434</v>
      </c>
      <c r="G3300" s="495" t="s">
        <v>4184</v>
      </c>
      <c r="H3300" s="397"/>
      <c r="I3300" s="397"/>
      <c r="J3300" s="750" t="e">
        <f t="shared" si="36"/>
        <v>#DIV/0!</v>
      </c>
      <c r="K3300" s="398"/>
      <c r="L3300" s="398"/>
      <c r="M3300" s="682"/>
      <c r="N3300" s="171"/>
      <c r="O3300" s="171"/>
      <c r="P3300" s="169"/>
      <c r="Q3300" s="171"/>
      <c r="R3300" s="171"/>
      <c r="S3300" s="171"/>
      <c r="T3300" s="171"/>
      <c r="U3300" s="171"/>
      <c r="V3300" s="171"/>
      <c r="W3300" s="171"/>
      <c r="X3300" s="171"/>
      <c r="Y3300" s="171"/>
      <c r="Z3300" s="171"/>
      <c r="AA3300" s="171"/>
    </row>
    <row r="3301" spans="1:27" s="530" customFormat="1" hidden="1" x14ac:dyDescent="0.2">
      <c r="A3301" s="526"/>
      <c r="B3301" s="527"/>
      <c r="C3301" s="465"/>
      <c r="D3301" s="464"/>
      <c r="E3301" s="464"/>
      <c r="F3301" s="494">
        <v>435</v>
      </c>
      <c r="G3301" s="495" t="s">
        <v>3792</v>
      </c>
      <c r="H3301" s="397"/>
      <c r="I3301" s="397"/>
      <c r="J3301" s="750" t="e">
        <f t="shared" si="36"/>
        <v>#DIV/0!</v>
      </c>
      <c r="K3301" s="398"/>
      <c r="L3301" s="398"/>
      <c r="M3301" s="682"/>
      <c r="N3301" s="171"/>
      <c r="O3301" s="171"/>
      <c r="P3301" s="169"/>
      <c r="Q3301" s="171"/>
      <c r="R3301" s="171"/>
      <c r="S3301" s="171"/>
      <c r="T3301" s="171"/>
      <c r="U3301" s="171"/>
      <c r="V3301" s="171"/>
      <c r="W3301" s="171"/>
      <c r="X3301" s="171"/>
      <c r="Y3301" s="171"/>
      <c r="Z3301" s="171"/>
      <c r="AA3301" s="171"/>
    </row>
    <row r="3302" spans="1:27" s="530" customFormat="1" hidden="1" x14ac:dyDescent="0.2">
      <c r="A3302" s="526"/>
      <c r="B3302" s="527"/>
      <c r="C3302" s="465"/>
      <c r="D3302" s="464"/>
      <c r="E3302" s="464"/>
      <c r="F3302" s="494">
        <v>441</v>
      </c>
      <c r="G3302" s="495" t="s">
        <v>4185</v>
      </c>
      <c r="H3302" s="397"/>
      <c r="I3302" s="397"/>
      <c r="J3302" s="750" t="e">
        <f t="shared" si="36"/>
        <v>#DIV/0!</v>
      </c>
      <c r="K3302" s="398"/>
      <c r="L3302" s="398"/>
      <c r="M3302" s="682"/>
      <c r="N3302" s="171"/>
      <c r="O3302" s="171"/>
      <c r="P3302" s="169"/>
      <c r="Q3302" s="171"/>
      <c r="R3302" s="171"/>
      <c r="S3302" s="171"/>
      <c r="T3302" s="171"/>
      <c r="U3302" s="171"/>
      <c r="V3302" s="171"/>
      <c r="W3302" s="171"/>
      <c r="X3302" s="171"/>
      <c r="Y3302" s="171"/>
      <c r="Z3302" s="171"/>
      <c r="AA3302" s="171"/>
    </row>
    <row r="3303" spans="1:27" s="530" customFormat="1" hidden="1" x14ac:dyDescent="0.2">
      <c r="A3303" s="526"/>
      <c r="B3303" s="527"/>
      <c r="C3303" s="465"/>
      <c r="D3303" s="464"/>
      <c r="E3303" s="464"/>
      <c r="F3303" s="494">
        <v>442</v>
      </c>
      <c r="G3303" s="495" t="s">
        <v>4186</v>
      </c>
      <c r="H3303" s="397"/>
      <c r="I3303" s="397"/>
      <c r="J3303" s="750" t="e">
        <f t="shared" si="36"/>
        <v>#DIV/0!</v>
      </c>
      <c r="K3303" s="398"/>
      <c r="L3303" s="398"/>
      <c r="M3303" s="682"/>
      <c r="N3303" s="171"/>
      <c r="O3303" s="171"/>
      <c r="P3303" s="169"/>
      <c r="Q3303" s="171"/>
      <c r="R3303" s="171"/>
      <c r="S3303" s="171"/>
      <c r="T3303" s="171"/>
      <c r="U3303" s="171"/>
      <c r="V3303" s="171"/>
      <c r="W3303" s="171"/>
      <c r="X3303" s="171"/>
      <c r="Y3303" s="171"/>
      <c r="Z3303" s="171"/>
      <c r="AA3303" s="171"/>
    </row>
    <row r="3304" spans="1:27" s="530" customFormat="1" hidden="1" x14ac:dyDescent="0.2">
      <c r="A3304" s="526"/>
      <c r="B3304" s="527"/>
      <c r="C3304" s="465"/>
      <c r="D3304" s="464"/>
      <c r="E3304" s="464"/>
      <c r="F3304" s="494">
        <v>443</v>
      </c>
      <c r="G3304" s="495" t="s">
        <v>3797</v>
      </c>
      <c r="H3304" s="397"/>
      <c r="I3304" s="397"/>
      <c r="J3304" s="750" t="e">
        <f t="shared" si="36"/>
        <v>#DIV/0!</v>
      </c>
      <c r="K3304" s="398"/>
      <c r="L3304" s="398"/>
      <c r="M3304" s="682"/>
      <c r="N3304" s="171"/>
      <c r="O3304" s="171"/>
      <c r="P3304" s="169"/>
      <c r="Q3304" s="171"/>
      <c r="R3304" s="171"/>
      <c r="S3304" s="171"/>
      <c r="T3304" s="171"/>
      <c r="U3304" s="171"/>
      <c r="V3304" s="171"/>
      <c r="W3304" s="171"/>
      <c r="X3304" s="171"/>
      <c r="Y3304" s="171"/>
      <c r="Z3304" s="171"/>
      <c r="AA3304" s="171"/>
    </row>
    <row r="3305" spans="1:27" s="530" customFormat="1" hidden="1" x14ac:dyDescent="0.2">
      <c r="A3305" s="526"/>
      <c r="B3305" s="527"/>
      <c r="C3305" s="465"/>
      <c r="D3305" s="464"/>
      <c r="E3305" s="464"/>
      <c r="F3305" s="494">
        <v>444</v>
      </c>
      <c r="G3305" s="495" t="s">
        <v>3798</v>
      </c>
      <c r="H3305" s="397"/>
      <c r="I3305" s="397"/>
      <c r="J3305" s="750" t="e">
        <f t="shared" si="36"/>
        <v>#DIV/0!</v>
      </c>
      <c r="K3305" s="398"/>
      <c r="L3305" s="398"/>
      <c r="M3305" s="682"/>
      <c r="N3305" s="171"/>
      <c r="O3305" s="171"/>
      <c r="P3305" s="169"/>
      <c r="Q3305" s="171"/>
      <c r="R3305" s="171"/>
      <c r="S3305" s="171"/>
      <c r="T3305" s="171"/>
      <c r="U3305" s="171"/>
      <c r="V3305" s="171"/>
      <c r="W3305" s="171"/>
      <c r="X3305" s="171"/>
      <c r="Y3305" s="171"/>
      <c r="Z3305" s="171"/>
      <c r="AA3305" s="171"/>
    </row>
    <row r="3306" spans="1:27" s="530" customFormat="1" ht="25.5" hidden="1" x14ac:dyDescent="0.2">
      <c r="A3306" s="526"/>
      <c r="B3306" s="527"/>
      <c r="C3306" s="465"/>
      <c r="D3306" s="464"/>
      <c r="E3306" s="464"/>
      <c r="F3306" s="494">
        <v>4511</v>
      </c>
      <c r="G3306" s="466" t="s">
        <v>1692</v>
      </c>
      <c r="H3306" s="397"/>
      <c r="I3306" s="397"/>
      <c r="J3306" s="750" t="e">
        <f t="shared" si="36"/>
        <v>#DIV/0!</v>
      </c>
      <c r="K3306" s="398"/>
      <c r="L3306" s="398"/>
      <c r="M3306" s="682"/>
      <c r="N3306" s="171"/>
      <c r="O3306" s="171"/>
      <c r="P3306" s="169"/>
      <c r="Q3306" s="171"/>
      <c r="R3306" s="171"/>
      <c r="S3306" s="171"/>
      <c r="T3306" s="171"/>
      <c r="U3306" s="171"/>
      <c r="V3306" s="171"/>
      <c r="W3306" s="171"/>
      <c r="X3306" s="171"/>
      <c r="Y3306" s="171"/>
      <c r="Z3306" s="171"/>
      <c r="AA3306" s="171"/>
    </row>
    <row r="3307" spans="1:27" s="530" customFormat="1" ht="25.5" hidden="1" x14ac:dyDescent="0.2">
      <c r="A3307" s="526"/>
      <c r="B3307" s="527"/>
      <c r="C3307" s="465"/>
      <c r="D3307" s="464"/>
      <c r="E3307" s="464"/>
      <c r="F3307" s="494">
        <v>4512</v>
      </c>
      <c r="G3307" s="466" t="s">
        <v>1701</v>
      </c>
      <c r="H3307" s="397"/>
      <c r="I3307" s="397"/>
      <c r="J3307" s="750" t="e">
        <f t="shared" si="36"/>
        <v>#DIV/0!</v>
      </c>
      <c r="K3307" s="398"/>
      <c r="L3307" s="398"/>
      <c r="M3307" s="682"/>
      <c r="N3307" s="171"/>
      <c r="O3307" s="171"/>
      <c r="P3307" s="169"/>
      <c r="Q3307" s="171"/>
      <c r="R3307" s="171"/>
      <c r="S3307" s="171"/>
      <c r="T3307" s="171"/>
      <c r="U3307" s="171"/>
      <c r="V3307" s="171"/>
      <c r="W3307" s="171"/>
      <c r="X3307" s="171"/>
      <c r="Y3307" s="171"/>
      <c r="Z3307" s="171"/>
      <c r="AA3307" s="171"/>
    </row>
    <row r="3308" spans="1:27" s="530" customFormat="1" ht="25.5" hidden="1" x14ac:dyDescent="0.2">
      <c r="A3308" s="526"/>
      <c r="B3308" s="527"/>
      <c r="C3308" s="465"/>
      <c r="D3308" s="464"/>
      <c r="E3308" s="464"/>
      <c r="F3308" s="494">
        <v>452</v>
      </c>
      <c r="G3308" s="495" t="s">
        <v>4187</v>
      </c>
      <c r="H3308" s="397"/>
      <c r="I3308" s="397"/>
      <c r="J3308" s="750" t="e">
        <f t="shared" si="36"/>
        <v>#DIV/0!</v>
      </c>
      <c r="K3308" s="398"/>
      <c r="L3308" s="398"/>
      <c r="M3308" s="682"/>
      <c r="N3308" s="171"/>
      <c r="O3308" s="171"/>
      <c r="P3308" s="169"/>
      <c r="Q3308" s="171"/>
      <c r="R3308" s="171"/>
      <c r="S3308" s="171"/>
      <c r="T3308" s="171"/>
      <c r="U3308" s="171"/>
      <c r="V3308" s="171"/>
      <c r="W3308" s="171"/>
      <c r="X3308" s="171"/>
      <c r="Y3308" s="171"/>
      <c r="Z3308" s="171"/>
      <c r="AA3308" s="171"/>
    </row>
    <row r="3309" spans="1:27" s="530" customFormat="1" ht="25.5" hidden="1" x14ac:dyDescent="0.2">
      <c r="A3309" s="526"/>
      <c r="B3309" s="527"/>
      <c r="C3309" s="465"/>
      <c r="D3309" s="464"/>
      <c r="E3309" s="464"/>
      <c r="F3309" s="494">
        <v>453</v>
      </c>
      <c r="G3309" s="495" t="s">
        <v>4188</v>
      </c>
      <c r="H3309" s="397"/>
      <c r="I3309" s="397"/>
      <c r="J3309" s="750" t="e">
        <f t="shared" si="36"/>
        <v>#DIV/0!</v>
      </c>
      <c r="K3309" s="398"/>
      <c r="L3309" s="398"/>
      <c r="M3309" s="682"/>
      <c r="N3309" s="171"/>
      <c r="O3309" s="171"/>
      <c r="P3309" s="169"/>
      <c r="Q3309" s="171"/>
      <c r="R3309" s="171"/>
      <c r="S3309" s="171"/>
      <c r="T3309" s="171"/>
      <c r="U3309" s="171"/>
      <c r="V3309" s="171"/>
      <c r="W3309" s="171"/>
      <c r="X3309" s="171"/>
      <c r="Y3309" s="171"/>
      <c r="Z3309" s="171"/>
      <c r="AA3309" s="171"/>
    </row>
    <row r="3310" spans="1:27" s="530" customFormat="1" hidden="1" x14ac:dyDescent="0.2">
      <c r="A3310" s="526"/>
      <c r="B3310" s="527"/>
      <c r="C3310" s="465"/>
      <c r="D3310" s="464"/>
      <c r="E3310" s="464"/>
      <c r="F3310" s="494">
        <v>454</v>
      </c>
      <c r="G3310" s="495" t="s">
        <v>3803</v>
      </c>
      <c r="H3310" s="397"/>
      <c r="I3310" s="397"/>
      <c r="J3310" s="750" t="e">
        <f t="shared" si="36"/>
        <v>#DIV/0!</v>
      </c>
      <c r="K3310" s="398"/>
      <c r="L3310" s="398"/>
      <c r="M3310" s="682"/>
      <c r="N3310" s="171"/>
      <c r="O3310" s="171"/>
      <c r="P3310" s="169"/>
      <c r="Q3310" s="171"/>
      <c r="R3310" s="171"/>
      <c r="S3310" s="171"/>
      <c r="T3310" s="171"/>
      <c r="U3310" s="171"/>
      <c r="V3310" s="171"/>
      <c r="W3310" s="171"/>
      <c r="X3310" s="171"/>
      <c r="Y3310" s="171"/>
      <c r="Z3310" s="171"/>
      <c r="AA3310" s="171"/>
    </row>
    <row r="3311" spans="1:27" s="530" customFormat="1" hidden="1" x14ac:dyDescent="0.2">
      <c r="A3311" s="526"/>
      <c r="B3311" s="527"/>
      <c r="C3311" s="465"/>
      <c r="D3311" s="464"/>
      <c r="E3311" s="464"/>
      <c r="F3311" s="494">
        <v>461</v>
      </c>
      <c r="G3311" s="495" t="s">
        <v>4169</v>
      </c>
      <c r="H3311" s="397"/>
      <c r="I3311" s="397"/>
      <c r="J3311" s="750" t="e">
        <f t="shared" si="36"/>
        <v>#DIV/0!</v>
      </c>
      <c r="K3311" s="398"/>
      <c r="L3311" s="398"/>
      <c r="M3311" s="682"/>
      <c r="N3311" s="171"/>
      <c r="O3311" s="171"/>
      <c r="P3311" s="169"/>
      <c r="Q3311" s="171"/>
      <c r="R3311" s="171"/>
      <c r="S3311" s="171"/>
      <c r="T3311" s="171"/>
      <c r="U3311" s="171"/>
      <c r="V3311" s="171"/>
      <c r="W3311" s="171"/>
      <c r="X3311" s="171"/>
      <c r="Y3311" s="171"/>
      <c r="Z3311" s="171"/>
      <c r="AA3311" s="171"/>
    </row>
    <row r="3312" spans="1:27" s="530" customFormat="1" ht="25.5" hidden="1" x14ac:dyDescent="0.2">
      <c r="A3312" s="526"/>
      <c r="B3312" s="527"/>
      <c r="C3312" s="465"/>
      <c r="D3312" s="464"/>
      <c r="E3312" s="464"/>
      <c r="F3312" s="494">
        <v>462</v>
      </c>
      <c r="G3312" s="495" t="s">
        <v>3806</v>
      </c>
      <c r="H3312" s="397"/>
      <c r="I3312" s="397"/>
      <c r="J3312" s="750" t="e">
        <f t="shared" si="36"/>
        <v>#DIV/0!</v>
      </c>
      <c r="K3312" s="398"/>
      <c r="L3312" s="398"/>
      <c r="M3312" s="682"/>
      <c r="N3312" s="171"/>
      <c r="O3312" s="171"/>
      <c r="P3312" s="169"/>
      <c r="Q3312" s="171"/>
      <c r="R3312" s="171"/>
      <c r="S3312" s="171"/>
      <c r="T3312" s="171"/>
      <c r="U3312" s="171"/>
      <c r="V3312" s="171"/>
      <c r="W3312" s="171"/>
      <c r="X3312" s="171"/>
      <c r="Y3312" s="171"/>
      <c r="Z3312" s="171"/>
      <c r="AA3312" s="171"/>
    </row>
    <row r="3313" spans="1:27" s="530" customFormat="1" hidden="1" x14ac:dyDescent="0.2">
      <c r="A3313" s="526"/>
      <c r="B3313" s="527"/>
      <c r="C3313" s="465"/>
      <c r="D3313" s="464"/>
      <c r="E3313" s="464"/>
      <c r="F3313" s="494">
        <v>4631</v>
      </c>
      <c r="G3313" s="495" t="s">
        <v>3807</v>
      </c>
      <c r="H3313" s="397"/>
      <c r="I3313" s="397"/>
      <c r="J3313" s="750" t="e">
        <f t="shared" si="36"/>
        <v>#DIV/0!</v>
      </c>
      <c r="K3313" s="398"/>
      <c r="L3313" s="398"/>
      <c r="M3313" s="682"/>
      <c r="N3313" s="171"/>
      <c r="O3313" s="171"/>
      <c r="P3313" s="169"/>
      <c r="Q3313" s="171"/>
      <c r="R3313" s="171"/>
      <c r="S3313" s="171"/>
      <c r="T3313" s="171"/>
      <c r="U3313" s="171"/>
      <c r="V3313" s="171"/>
      <c r="W3313" s="171"/>
      <c r="X3313" s="171"/>
      <c r="Y3313" s="171"/>
      <c r="Z3313" s="171"/>
      <c r="AA3313" s="171"/>
    </row>
    <row r="3314" spans="1:27" s="530" customFormat="1" hidden="1" x14ac:dyDescent="0.2">
      <c r="A3314" s="526"/>
      <c r="B3314" s="527"/>
      <c r="C3314" s="465"/>
      <c r="D3314" s="464"/>
      <c r="E3314" s="464"/>
      <c r="F3314" s="494">
        <v>4632</v>
      </c>
      <c r="G3314" s="495" t="s">
        <v>3808</v>
      </c>
      <c r="H3314" s="397"/>
      <c r="I3314" s="397"/>
      <c r="J3314" s="750" t="e">
        <f t="shared" si="36"/>
        <v>#DIV/0!</v>
      </c>
      <c r="K3314" s="398"/>
      <c r="L3314" s="398"/>
      <c r="M3314" s="682"/>
      <c r="N3314" s="171"/>
      <c r="O3314" s="171"/>
      <c r="P3314" s="169"/>
      <c r="Q3314" s="171"/>
      <c r="R3314" s="171"/>
      <c r="S3314" s="171"/>
      <c r="T3314" s="171"/>
      <c r="U3314" s="171"/>
      <c r="V3314" s="171"/>
      <c r="W3314" s="171"/>
      <c r="X3314" s="171"/>
      <c r="Y3314" s="171"/>
      <c r="Z3314" s="171"/>
      <c r="AA3314" s="171"/>
    </row>
    <row r="3315" spans="1:27" s="530" customFormat="1" ht="25.5" hidden="1" x14ac:dyDescent="0.2">
      <c r="A3315" s="526"/>
      <c r="B3315" s="527"/>
      <c r="C3315" s="465"/>
      <c r="D3315" s="464"/>
      <c r="E3315" s="464"/>
      <c r="F3315" s="494">
        <v>464</v>
      </c>
      <c r="G3315" s="495" t="s">
        <v>3809</v>
      </c>
      <c r="H3315" s="397"/>
      <c r="I3315" s="397"/>
      <c r="J3315" s="750" t="e">
        <f t="shared" si="36"/>
        <v>#DIV/0!</v>
      </c>
      <c r="K3315" s="398"/>
      <c r="L3315" s="398"/>
      <c r="M3315" s="682"/>
      <c r="N3315" s="171"/>
      <c r="O3315" s="171"/>
      <c r="P3315" s="169"/>
      <c r="Q3315" s="171"/>
      <c r="R3315" s="171"/>
      <c r="S3315" s="171"/>
      <c r="T3315" s="171"/>
      <c r="U3315" s="171"/>
      <c r="V3315" s="171"/>
      <c r="W3315" s="171"/>
      <c r="X3315" s="171"/>
      <c r="Y3315" s="171"/>
      <c r="Z3315" s="171"/>
      <c r="AA3315" s="171"/>
    </row>
    <row r="3316" spans="1:27" s="530" customFormat="1" hidden="1" x14ac:dyDescent="0.2">
      <c r="A3316" s="526"/>
      <c r="B3316" s="527"/>
      <c r="C3316" s="465"/>
      <c r="D3316" s="464"/>
      <c r="E3316" s="464"/>
      <c r="F3316" s="494">
        <v>465</v>
      </c>
      <c r="G3316" s="495" t="s">
        <v>4170</v>
      </c>
      <c r="H3316" s="397"/>
      <c r="I3316" s="397"/>
      <c r="J3316" s="750" t="e">
        <f t="shared" si="36"/>
        <v>#DIV/0!</v>
      </c>
      <c r="K3316" s="398"/>
      <c r="L3316" s="398"/>
      <c r="M3316" s="682"/>
      <c r="N3316" s="171"/>
      <c r="O3316" s="171"/>
      <c r="P3316" s="169"/>
      <c r="Q3316" s="171"/>
      <c r="R3316" s="171"/>
      <c r="S3316" s="171"/>
      <c r="T3316" s="171"/>
      <c r="U3316" s="171"/>
      <c r="V3316" s="171"/>
      <c r="W3316" s="171"/>
      <c r="X3316" s="171"/>
      <c r="Y3316" s="171"/>
      <c r="Z3316" s="171"/>
      <c r="AA3316" s="171"/>
    </row>
    <row r="3317" spans="1:27" s="530" customFormat="1" hidden="1" x14ac:dyDescent="0.2">
      <c r="A3317" s="526"/>
      <c r="B3317" s="527"/>
      <c r="C3317" s="465"/>
      <c r="D3317" s="464"/>
      <c r="E3317" s="464"/>
      <c r="F3317" s="494">
        <v>472</v>
      </c>
      <c r="G3317" s="495" t="s">
        <v>3813</v>
      </c>
      <c r="H3317" s="397"/>
      <c r="I3317" s="397"/>
      <c r="J3317" s="750" t="e">
        <f t="shared" si="36"/>
        <v>#DIV/0!</v>
      </c>
      <c r="K3317" s="398"/>
      <c r="L3317" s="398"/>
      <c r="M3317" s="682"/>
      <c r="N3317" s="171"/>
      <c r="O3317" s="171"/>
      <c r="P3317" s="169"/>
      <c r="Q3317" s="171"/>
      <c r="R3317" s="171"/>
      <c r="S3317" s="171"/>
      <c r="T3317" s="171"/>
      <c r="U3317" s="171"/>
      <c r="V3317" s="171"/>
      <c r="W3317" s="171"/>
      <c r="X3317" s="171"/>
      <c r="Y3317" s="171"/>
      <c r="Z3317" s="171"/>
      <c r="AA3317" s="171"/>
    </row>
    <row r="3318" spans="1:27" s="530" customFormat="1" hidden="1" x14ac:dyDescent="0.2">
      <c r="A3318" s="526"/>
      <c r="B3318" s="527"/>
      <c r="C3318" s="465"/>
      <c r="D3318" s="464"/>
      <c r="E3318" s="464"/>
      <c r="F3318" s="494">
        <v>481</v>
      </c>
      <c r="G3318" s="495" t="s">
        <v>4189</v>
      </c>
      <c r="H3318" s="397"/>
      <c r="I3318" s="397"/>
      <c r="J3318" s="750" t="e">
        <f t="shared" si="36"/>
        <v>#DIV/0!</v>
      </c>
      <c r="K3318" s="398"/>
      <c r="L3318" s="398"/>
      <c r="M3318" s="682"/>
      <c r="N3318" s="171"/>
      <c r="O3318" s="171"/>
      <c r="P3318" s="169"/>
      <c r="Q3318" s="171"/>
      <c r="R3318" s="171"/>
      <c r="S3318" s="171"/>
      <c r="T3318" s="171"/>
      <c r="U3318" s="171"/>
      <c r="V3318" s="171"/>
      <c r="W3318" s="171"/>
      <c r="X3318" s="171"/>
      <c r="Y3318" s="171"/>
      <c r="Z3318" s="171"/>
      <c r="AA3318" s="171"/>
    </row>
    <row r="3319" spans="1:27" s="530" customFormat="1" hidden="1" x14ac:dyDescent="0.2">
      <c r="A3319" s="526"/>
      <c r="B3319" s="527"/>
      <c r="C3319" s="465"/>
      <c r="D3319" s="464"/>
      <c r="E3319" s="464"/>
      <c r="F3319" s="494">
        <v>482</v>
      </c>
      <c r="G3319" s="495" t="s">
        <v>4190</v>
      </c>
      <c r="H3319" s="397"/>
      <c r="I3319" s="397"/>
      <c r="J3319" s="750" t="e">
        <f t="shared" si="36"/>
        <v>#DIV/0!</v>
      </c>
      <c r="K3319" s="398"/>
      <c r="L3319" s="398"/>
      <c r="M3319" s="682"/>
      <c r="N3319" s="171"/>
      <c r="O3319" s="171"/>
      <c r="P3319" s="169"/>
      <c r="Q3319" s="171"/>
      <c r="R3319" s="171"/>
      <c r="S3319" s="171"/>
      <c r="T3319" s="171"/>
      <c r="U3319" s="171"/>
      <c r="V3319" s="171"/>
      <c r="W3319" s="171"/>
      <c r="X3319" s="171"/>
      <c r="Y3319" s="171"/>
      <c r="Z3319" s="171"/>
      <c r="AA3319" s="171"/>
    </row>
    <row r="3320" spans="1:27" s="530" customFormat="1" hidden="1" x14ac:dyDescent="0.2">
      <c r="A3320" s="526"/>
      <c r="B3320" s="527"/>
      <c r="C3320" s="465"/>
      <c r="D3320" s="464"/>
      <c r="E3320" s="464"/>
      <c r="F3320" s="494">
        <v>483</v>
      </c>
      <c r="G3320" s="497" t="s">
        <v>4191</v>
      </c>
      <c r="H3320" s="397"/>
      <c r="I3320" s="397"/>
      <c r="J3320" s="750" t="e">
        <f t="shared" si="36"/>
        <v>#DIV/0!</v>
      </c>
      <c r="K3320" s="398"/>
      <c r="L3320" s="398"/>
      <c r="M3320" s="682"/>
      <c r="N3320" s="171"/>
      <c r="O3320" s="171"/>
      <c r="P3320" s="169"/>
      <c r="Q3320" s="171"/>
      <c r="R3320" s="171"/>
      <c r="S3320" s="171"/>
      <c r="T3320" s="171"/>
      <c r="U3320" s="171"/>
      <c r="V3320" s="171"/>
      <c r="W3320" s="171"/>
      <c r="X3320" s="171"/>
      <c r="Y3320" s="171"/>
      <c r="Z3320" s="171"/>
      <c r="AA3320" s="171"/>
    </row>
    <row r="3321" spans="1:27" s="530" customFormat="1" ht="38.25" hidden="1" x14ac:dyDescent="0.2">
      <c r="A3321" s="526"/>
      <c r="B3321" s="527"/>
      <c r="C3321" s="465"/>
      <c r="D3321" s="464"/>
      <c r="E3321" s="464"/>
      <c r="F3321" s="494">
        <v>484</v>
      </c>
      <c r="G3321" s="495" t="s">
        <v>4192</v>
      </c>
      <c r="H3321" s="397"/>
      <c r="I3321" s="397"/>
      <c r="J3321" s="750" t="e">
        <f t="shared" si="36"/>
        <v>#DIV/0!</v>
      </c>
      <c r="K3321" s="398"/>
      <c r="L3321" s="398"/>
      <c r="M3321" s="682"/>
      <c r="N3321" s="171"/>
      <c r="O3321" s="171"/>
      <c r="P3321" s="169"/>
      <c r="Q3321" s="171"/>
      <c r="R3321" s="171"/>
      <c r="S3321" s="171"/>
      <c r="T3321" s="171"/>
      <c r="U3321" s="171"/>
      <c r="V3321" s="171"/>
      <c r="W3321" s="171"/>
      <c r="X3321" s="171"/>
      <c r="Y3321" s="171"/>
      <c r="Z3321" s="171"/>
      <c r="AA3321" s="171"/>
    </row>
    <row r="3322" spans="1:27" s="530" customFormat="1" ht="25.5" hidden="1" x14ac:dyDescent="0.2">
      <c r="A3322" s="526"/>
      <c r="B3322" s="527"/>
      <c r="C3322" s="465"/>
      <c r="D3322" s="464"/>
      <c r="E3322" s="464"/>
      <c r="F3322" s="494">
        <v>485</v>
      </c>
      <c r="G3322" s="495" t="s">
        <v>4193</v>
      </c>
      <c r="H3322" s="397"/>
      <c r="I3322" s="397"/>
      <c r="J3322" s="750" t="e">
        <f t="shared" si="36"/>
        <v>#DIV/0!</v>
      </c>
      <c r="K3322" s="398"/>
      <c r="L3322" s="398"/>
      <c r="M3322" s="682"/>
      <c r="N3322" s="171"/>
      <c r="O3322" s="171"/>
      <c r="P3322" s="169"/>
      <c r="Q3322" s="171"/>
      <c r="R3322" s="171"/>
      <c r="S3322" s="171"/>
      <c r="T3322" s="171"/>
      <c r="U3322" s="171"/>
      <c r="V3322" s="171"/>
      <c r="W3322" s="171"/>
      <c r="X3322" s="171"/>
      <c r="Y3322" s="171"/>
      <c r="Z3322" s="171"/>
      <c r="AA3322" s="171"/>
    </row>
    <row r="3323" spans="1:27" s="530" customFormat="1" ht="25.5" hidden="1" x14ac:dyDescent="0.2">
      <c r="A3323" s="526"/>
      <c r="B3323" s="527"/>
      <c r="C3323" s="465"/>
      <c r="D3323" s="464"/>
      <c r="E3323" s="464"/>
      <c r="F3323" s="494">
        <v>489</v>
      </c>
      <c r="G3323" s="495" t="s">
        <v>3821</v>
      </c>
      <c r="H3323" s="397"/>
      <c r="I3323" s="397"/>
      <c r="J3323" s="750" t="e">
        <f t="shared" si="36"/>
        <v>#DIV/0!</v>
      </c>
      <c r="K3323" s="398"/>
      <c r="L3323" s="398"/>
      <c r="M3323" s="682"/>
      <c r="N3323" s="171"/>
      <c r="O3323" s="171"/>
      <c r="P3323" s="169"/>
      <c r="Q3323" s="171"/>
      <c r="R3323" s="171"/>
      <c r="S3323" s="171"/>
      <c r="T3323" s="171"/>
      <c r="U3323" s="171"/>
      <c r="V3323" s="171"/>
      <c r="W3323" s="171"/>
      <c r="X3323" s="171"/>
      <c r="Y3323" s="171"/>
      <c r="Z3323" s="171"/>
      <c r="AA3323" s="171"/>
    </row>
    <row r="3324" spans="1:27" s="530" customFormat="1" ht="25.5" hidden="1" x14ac:dyDescent="0.2">
      <c r="A3324" s="526"/>
      <c r="B3324" s="527"/>
      <c r="C3324" s="465"/>
      <c r="D3324" s="464"/>
      <c r="E3324" s="464"/>
      <c r="F3324" s="494">
        <v>494</v>
      </c>
      <c r="G3324" s="495" t="s">
        <v>4171</v>
      </c>
      <c r="H3324" s="397"/>
      <c r="I3324" s="397"/>
      <c r="J3324" s="750" t="e">
        <f t="shared" si="36"/>
        <v>#DIV/0!</v>
      </c>
      <c r="K3324" s="398"/>
      <c r="L3324" s="398"/>
      <c r="M3324" s="682"/>
      <c r="N3324" s="171"/>
      <c r="O3324" s="171"/>
      <c r="P3324" s="169"/>
      <c r="Q3324" s="171"/>
      <c r="R3324" s="171"/>
      <c r="S3324" s="171"/>
      <c r="T3324" s="171"/>
      <c r="U3324" s="171"/>
      <c r="V3324" s="171"/>
      <c r="W3324" s="171"/>
      <c r="X3324" s="171"/>
      <c r="Y3324" s="171"/>
      <c r="Z3324" s="171"/>
      <c r="AA3324" s="171"/>
    </row>
    <row r="3325" spans="1:27" s="530" customFormat="1" ht="25.5" hidden="1" x14ac:dyDescent="0.2">
      <c r="A3325" s="526"/>
      <c r="B3325" s="527"/>
      <c r="C3325" s="465"/>
      <c r="D3325" s="464"/>
      <c r="E3325" s="464"/>
      <c r="F3325" s="494">
        <v>495</v>
      </c>
      <c r="G3325" s="495" t="s">
        <v>4172</v>
      </c>
      <c r="H3325" s="397"/>
      <c r="I3325" s="397"/>
      <c r="J3325" s="750" t="e">
        <f t="shared" si="36"/>
        <v>#DIV/0!</v>
      </c>
      <c r="K3325" s="398"/>
      <c r="L3325" s="398"/>
      <c r="M3325" s="682"/>
      <c r="N3325" s="171"/>
      <c r="O3325" s="171"/>
      <c r="P3325" s="169"/>
      <c r="Q3325" s="171"/>
      <c r="R3325" s="171"/>
      <c r="S3325" s="171"/>
      <c r="T3325" s="171"/>
      <c r="U3325" s="171"/>
      <c r="V3325" s="171"/>
      <c r="W3325" s="171"/>
      <c r="X3325" s="171"/>
      <c r="Y3325" s="171"/>
      <c r="Z3325" s="171"/>
      <c r="AA3325" s="171"/>
    </row>
    <row r="3326" spans="1:27" s="530" customFormat="1" ht="38.25" hidden="1" x14ac:dyDescent="0.2">
      <c r="A3326" s="526"/>
      <c r="B3326" s="527"/>
      <c r="C3326" s="465"/>
      <c r="D3326" s="464"/>
      <c r="E3326" s="464"/>
      <c r="F3326" s="494">
        <v>496</v>
      </c>
      <c r="G3326" s="495" t="s">
        <v>4173</v>
      </c>
      <c r="H3326" s="397"/>
      <c r="I3326" s="397"/>
      <c r="J3326" s="750" t="e">
        <f t="shared" si="36"/>
        <v>#DIV/0!</v>
      </c>
      <c r="K3326" s="398"/>
      <c r="L3326" s="398"/>
      <c r="M3326" s="682"/>
      <c r="N3326" s="171"/>
      <c r="O3326" s="171"/>
      <c r="P3326" s="169"/>
      <c r="Q3326" s="171"/>
      <c r="R3326" s="171"/>
      <c r="S3326" s="171"/>
      <c r="T3326" s="171"/>
      <c r="U3326" s="171"/>
      <c r="V3326" s="171"/>
      <c r="W3326" s="171"/>
      <c r="X3326" s="171"/>
      <c r="Y3326" s="171"/>
      <c r="Z3326" s="171"/>
      <c r="AA3326" s="171"/>
    </row>
    <row r="3327" spans="1:27" s="530" customFormat="1" ht="25.5" hidden="1" x14ac:dyDescent="0.2">
      <c r="A3327" s="526"/>
      <c r="B3327" s="527"/>
      <c r="C3327" s="465"/>
      <c r="D3327" s="464"/>
      <c r="E3327" s="464"/>
      <c r="F3327" s="494">
        <v>499</v>
      </c>
      <c r="G3327" s="495" t="s">
        <v>4174</v>
      </c>
      <c r="H3327" s="397"/>
      <c r="I3327" s="397"/>
      <c r="J3327" s="750" t="e">
        <f t="shared" si="36"/>
        <v>#DIV/0!</v>
      </c>
      <c r="K3327" s="398"/>
      <c r="L3327" s="398"/>
      <c r="M3327" s="682"/>
      <c r="N3327" s="171"/>
      <c r="O3327" s="171"/>
      <c r="P3327" s="169"/>
      <c r="Q3327" s="171"/>
      <c r="R3327" s="171"/>
      <c r="S3327" s="171"/>
      <c r="T3327" s="171"/>
      <c r="U3327" s="171"/>
      <c r="V3327" s="171"/>
      <c r="W3327" s="171"/>
      <c r="X3327" s="171"/>
      <c r="Y3327" s="171"/>
      <c r="Z3327" s="171"/>
      <c r="AA3327" s="171"/>
    </row>
    <row r="3328" spans="1:27" s="530" customFormat="1" ht="13.5" thickBot="1" x14ac:dyDescent="0.25">
      <c r="A3328" s="526"/>
      <c r="B3328" s="527"/>
      <c r="C3328" s="465"/>
      <c r="D3328" s="464"/>
      <c r="E3328" s="464">
        <v>40</v>
      </c>
      <c r="F3328" s="494">
        <v>511</v>
      </c>
      <c r="G3328" s="497" t="s">
        <v>4194</v>
      </c>
      <c r="H3328" s="397">
        <v>2700000</v>
      </c>
      <c r="I3328" s="397">
        <v>2699963.16</v>
      </c>
      <c r="J3328" s="750">
        <f t="shared" si="36"/>
        <v>99.998635555555566</v>
      </c>
      <c r="K3328" s="398"/>
      <c r="L3328" s="398"/>
      <c r="M3328" s="682"/>
      <c r="N3328" s="171"/>
      <c r="O3328" s="171"/>
      <c r="P3328" s="169"/>
      <c r="Q3328" s="171"/>
      <c r="R3328" s="171"/>
      <c r="S3328" s="171"/>
      <c r="T3328" s="171"/>
      <c r="U3328" s="171"/>
      <c r="V3328" s="171"/>
      <c r="W3328" s="171"/>
      <c r="X3328" s="171"/>
      <c r="Y3328" s="171"/>
      <c r="Z3328" s="171"/>
      <c r="AA3328" s="171"/>
    </row>
    <row r="3329" spans="1:27" s="530" customFormat="1" ht="13.5" hidden="1" thickBot="1" x14ac:dyDescent="0.25">
      <c r="A3329" s="526"/>
      <c r="B3329" s="527"/>
      <c r="C3329" s="465"/>
      <c r="D3329" s="464"/>
      <c r="E3329" s="464"/>
      <c r="F3329" s="494">
        <v>512</v>
      </c>
      <c r="G3329" s="497" t="s">
        <v>4195</v>
      </c>
      <c r="H3329" s="397"/>
      <c r="I3329" s="397"/>
      <c r="J3329" s="750" t="e">
        <f t="shared" si="36"/>
        <v>#DIV/0!</v>
      </c>
      <c r="K3329" s="398"/>
      <c r="L3329" s="398"/>
      <c r="M3329" s="682"/>
      <c r="N3329" s="171"/>
      <c r="O3329" s="171"/>
      <c r="P3329" s="169"/>
      <c r="Q3329" s="171"/>
      <c r="R3329" s="171"/>
      <c r="S3329" s="171"/>
      <c r="T3329" s="171"/>
      <c r="U3329" s="171"/>
      <c r="V3329" s="171"/>
      <c r="W3329" s="171"/>
      <c r="X3329" s="171"/>
      <c r="Y3329" s="171"/>
      <c r="Z3329" s="171"/>
      <c r="AA3329" s="171"/>
    </row>
    <row r="3330" spans="1:27" s="530" customFormat="1" ht="13.5" hidden="1" thickBot="1" x14ac:dyDescent="0.25">
      <c r="A3330" s="526"/>
      <c r="B3330" s="527"/>
      <c r="C3330" s="465"/>
      <c r="D3330" s="464"/>
      <c r="E3330" s="464"/>
      <c r="F3330" s="494">
        <v>513</v>
      </c>
      <c r="G3330" s="497" t="s">
        <v>4196</v>
      </c>
      <c r="H3330" s="397"/>
      <c r="I3330" s="397"/>
      <c r="J3330" s="750" t="e">
        <f t="shared" si="36"/>
        <v>#DIV/0!</v>
      </c>
      <c r="K3330" s="398"/>
      <c r="L3330" s="398"/>
      <c r="M3330" s="682"/>
      <c r="N3330" s="171"/>
      <c r="O3330" s="171"/>
      <c r="P3330" s="169"/>
      <c r="Q3330" s="171"/>
      <c r="R3330" s="171"/>
      <c r="S3330" s="171"/>
      <c r="T3330" s="171"/>
      <c r="U3330" s="171"/>
      <c r="V3330" s="171"/>
      <c r="W3330" s="171"/>
      <c r="X3330" s="171"/>
      <c r="Y3330" s="171"/>
      <c r="Z3330" s="171"/>
      <c r="AA3330" s="171"/>
    </row>
    <row r="3331" spans="1:27" s="530" customFormat="1" ht="13.5" hidden="1" thickBot="1" x14ac:dyDescent="0.25">
      <c r="A3331" s="526"/>
      <c r="B3331" s="527"/>
      <c r="C3331" s="465"/>
      <c r="D3331" s="464"/>
      <c r="E3331" s="464"/>
      <c r="F3331" s="494">
        <v>514</v>
      </c>
      <c r="G3331" s="495" t="s">
        <v>4197</v>
      </c>
      <c r="H3331" s="397"/>
      <c r="I3331" s="397"/>
      <c r="J3331" s="750" t="e">
        <f t="shared" si="36"/>
        <v>#DIV/0!</v>
      </c>
      <c r="K3331" s="398"/>
      <c r="L3331" s="398"/>
      <c r="M3331" s="682"/>
      <c r="N3331" s="171"/>
      <c r="O3331" s="171"/>
      <c r="P3331" s="169"/>
      <c r="Q3331" s="171"/>
      <c r="R3331" s="171"/>
      <c r="S3331" s="171"/>
      <c r="T3331" s="171"/>
      <c r="U3331" s="171"/>
      <c r="V3331" s="171"/>
      <c r="W3331" s="171"/>
      <c r="X3331" s="171"/>
      <c r="Y3331" s="171"/>
      <c r="Z3331" s="171"/>
      <c r="AA3331" s="171"/>
    </row>
    <row r="3332" spans="1:27" s="530" customFormat="1" ht="13.5" hidden="1" thickBot="1" x14ac:dyDescent="0.25">
      <c r="A3332" s="526"/>
      <c r="B3332" s="527"/>
      <c r="C3332" s="465"/>
      <c r="D3332" s="464"/>
      <c r="E3332" s="464"/>
      <c r="F3332" s="494">
        <v>515</v>
      </c>
      <c r="G3332" s="495" t="s">
        <v>3832</v>
      </c>
      <c r="H3332" s="397"/>
      <c r="I3332" s="397"/>
      <c r="J3332" s="750" t="e">
        <f t="shared" si="36"/>
        <v>#DIV/0!</v>
      </c>
      <c r="K3332" s="398"/>
      <c r="L3332" s="398"/>
      <c r="M3332" s="682"/>
      <c r="N3332" s="171"/>
      <c r="O3332" s="171"/>
      <c r="P3332" s="169"/>
      <c r="Q3332" s="171"/>
      <c r="R3332" s="171"/>
      <c r="S3332" s="171"/>
      <c r="T3332" s="171"/>
      <c r="U3332" s="171"/>
      <c r="V3332" s="171"/>
      <c r="W3332" s="171"/>
      <c r="X3332" s="171"/>
      <c r="Y3332" s="171"/>
      <c r="Z3332" s="171"/>
      <c r="AA3332" s="171"/>
    </row>
    <row r="3333" spans="1:27" s="530" customFormat="1" ht="13.5" hidden="1" thickBot="1" x14ac:dyDescent="0.25">
      <c r="A3333" s="526"/>
      <c r="B3333" s="527"/>
      <c r="C3333" s="465"/>
      <c r="D3333" s="464"/>
      <c r="E3333" s="464"/>
      <c r="F3333" s="494">
        <v>521</v>
      </c>
      <c r="G3333" s="495" t="s">
        <v>4198</v>
      </c>
      <c r="H3333" s="397"/>
      <c r="I3333" s="397"/>
      <c r="J3333" s="750" t="e">
        <f t="shared" si="36"/>
        <v>#DIV/0!</v>
      </c>
      <c r="K3333" s="398"/>
      <c r="L3333" s="398"/>
      <c r="M3333" s="682"/>
      <c r="N3333" s="171"/>
      <c r="O3333" s="171"/>
      <c r="P3333" s="169"/>
      <c r="Q3333" s="171"/>
      <c r="R3333" s="171"/>
      <c r="S3333" s="171"/>
      <c r="T3333" s="171"/>
      <c r="U3333" s="171"/>
      <c r="V3333" s="171"/>
      <c r="W3333" s="171"/>
      <c r="X3333" s="171"/>
      <c r="Y3333" s="171"/>
      <c r="Z3333" s="171"/>
      <c r="AA3333" s="171"/>
    </row>
    <row r="3334" spans="1:27" s="530" customFormat="1" ht="13.5" hidden="1" thickBot="1" x14ac:dyDescent="0.25">
      <c r="A3334" s="526"/>
      <c r="B3334" s="527"/>
      <c r="C3334" s="465"/>
      <c r="D3334" s="464"/>
      <c r="E3334" s="464"/>
      <c r="F3334" s="494">
        <v>522</v>
      </c>
      <c r="G3334" s="495" t="s">
        <v>4199</v>
      </c>
      <c r="H3334" s="397"/>
      <c r="I3334" s="397"/>
      <c r="J3334" s="750" t="e">
        <f t="shared" si="36"/>
        <v>#DIV/0!</v>
      </c>
      <c r="K3334" s="398"/>
      <c r="L3334" s="398"/>
      <c r="M3334" s="682"/>
      <c r="N3334" s="171"/>
      <c r="O3334" s="171"/>
      <c r="P3334" s="169"/>
      <c r="Q3334" s="171"/>
      <c r="R3334" s="171"/>
      <c r="S3334" s="171"/>
      <c r="T3334" s="171"/>
      <c r="U3334" s="171"/>
      <c r="V3334" s="171"/>
      <c r="W3334" s="171"/>
      <c r="X3334" s="171"/>
      <c r="Y3334" s="171"/>
      <c r="Z3334" s="171"/>
      <c r="AA3334" s="171"/>
    </row>
    <row r="3335" spans="1:27" s="530" customFormat="1" ht="13.5" hidden="1" thickBot="1" x14ac:dyDescent="0.25">
      <c r="A3335" s="526"/>
      <c r="B3335" s="527"/>
      <c r="C3335" s="465"/>
      <c r="D3335" s="464"/>
      <c r="E3335" s="464"/>
      <c r="F3335" s="494">
        <v>523</v>
      </c>
      <c r="G3335" s="495" t="s">
        <v>3837</v>
      </c>
      <c r="H3335" s="397"/>
      <c r="I3335" s="397"/>
      <c r="J3335" s="750" t="e">
        <f t="shared" si="36"/>
        <v>#DIV/0!</v>
      </c>
      <c r="K3335" s="398"/>
      <c r="L3335" s="398"/>
      <c r="M3335" s="682"/>
      <c r="N3335" s="171"/>
      <c r="O3335" s="171"/>
      <c r="P3335" s="169"/>
      <c r="Q3335" s="171"/>
      <c r="R3335" s="171"/>
      <c r="S3335" s="171"/>
      <c r="T3335" s="171"/>
      <c r="U3335" s="171"/>
      <c r="V3335" s="171"/>
      <c r="W3335" s="171"/>
      <c r="X3335" s="171"/>
      <c r="Y3335" s="171"/>
      <c r="Z3335" s="171"/>
      <c r="AA3335" s="171"/>
    </row>
    <row r="3336" spans="1:27" s="530" customFormat="1" ht="13.5" hidden="1" thickBot="1" x14ac:dyDescent="0.25">
      <c r="A3336" s="526"/>
      <c r="B3336" s="527"/>
      <c r="C3336" s="465"/>
      <c r="D3336" s="464"/>
      <c r="E3336" s="464"/>
      <c r="F3336" s="494">
        <v>531</v>
      </c>
      <c r="G3336" s="496" t="s">
        <v>4175</v>
      </c>
      <c r="H3336" s="397"/>
      <c r="I3336" s="397"/>
      <c r="J3336" s="750" t="e">
        <f t="shared" si="36"/>
        <v>#DIV/0!</v>
      </c>
      <c r="K3336" s="398"/>
      <c r="L3336" s="398"/>
      <c r="M3336" s="682"/>
      <c r="N3336" s="171"/>
      <c r="O3336" s="171"/>
      <c r="P3336" s="169"/>
      <c r="Q3336" s="171"/>
      <c r="R3336" s="171"/>
      <c r="S3336" s="171"/>
      <c r="T3336" s="171"/>
      <c r="U3336" s="171"/>
      <c r="V3336" s="171"/>
      <c r="W3336" s="171"/>
      <c r="X3336" s="171"/>
      <c r="Y3336" s="171"/>
      <c r="Z3336" s="171"/>
      <c r="AA3336" s="171"/>
    </row>
    <row r="3337" spans="1:27" s="530" customFormat="1" ht="13.5" hidden="1" thickBot="1" x14ac:dyDescent="0.25">
      <c r="A3337" s="526"/>
      <c r="B3337" s="527"/>
      <c r="C3337" s="465"/>
      <c r="D3337" s="464"/>
      <c r="E3337" s="464"/>
      <c r="F3337" s="494">
        <v>541</v>
      </c>
      <c r="G3337" s="495" t="s">
        <v>4200</v>
      </c>
      <c r="H3337" s="397"/>
      <c r="I3337" s="397"/>
      <c r="J3337" s="750" t="e">
        <f t="shared" si="36"/>
        <v>#DIV/0!</v>
      </c>
      <c r="K3337" s="398"/>
      <c r="L3337" s="398"/>
      <c r="M3337" s="682"/>
      <c r="N3337" s="171"/>
      <c r="O3337" s="171"/>
      <c r="P3337" s="169"/>
      <c r="Q3337" s="171"/>
      <c r="R3337" s="171"/>
      <c r="S3337" s="171"/>
      <c r="T3337" s="171"/>
      <c r="U3337" s="171"/>
      <c r="V3337" s="171"/>
      <c r="W3337" s="171"/>
      <c r="X3337" s="171"/>
      <c r="Y3337" s="171"/>
      <c r="Z3337" s="171"/>
      <c r="AA3337" s="171"/>
    </row>
    <row r="3338" spans="1:27" s="530" customFormat="1" ht="13.5" hidden="1" thickBot="1" x14ac:dyDescent="0.25">
      <c r="A3338" s="526"/>
      <c r="B3338" s="527"/>
      <c r="C3338" s="465"/>
      <c r="D3338" s="464"/>
      <c r="E3338" s="464"/>
      <c r="F3338" s="494">
        <v>542</v>
      </c>
      <c r="G3338" s="495" t="s">
        <v>4201</v>
      </c>
      <c r="H3338" s="397"/>
      <c r="I3338" s="397"/>
      <c r="J3338" s="750" t="e">
        <f t="shared" si="36"/>
        <v>#DIV/0!</v>
      </c>
      <c r="K3338" s="398"/>
      <c r="L3338" s="398"/>
      <c r="M3338" s="682"/>
      <c r="N3338" s="171"/>
      <c r="O3338" s="171"/>
      <c r="P3338" s="169"/>
      <c r="Q3338" s="171"/>
      <c r="R3338" s="171"/>
      <c r="S3338" s="171"/>
      <c r="T3338" s="171"/>
      <c r="U3338" s="171"/>
      <c r="V3338" s="171"/>
      <c r="W3338" s="171"/>
      <c r="X3338" s="171"/>
      <c r="Y3338" s="171"/>
      <c r="Z3338" s="171"/>
      <c r="AA3338" s="171"/>
    </row>
    <row r="3339" spans="1:27" s="530" customFormat="1" ht="13.5" hidden="1" thickBot="1" x14ac:dyDescent="0.25">
      <c r="A3339" s="526"/>
      <c r="B3339" s="527"/>
      <c r="C3339" s="465"/>
      <c r="D3339" s="464"/>
      <c r="E3339" s="464"/>
      <c r="F3339" s="494">
        <v>543</v>
      </c>
      <c r="G3339" s="495" t="s">
        <v>3842</v>
      </c>
      <c r="H3339" s="397"/>
      <c r="I3339" s="397"/>
      <c r="J3339" s="750" t="e">
        <f t="shared" si="36"/>
        <v>#DIV/0!</v>
      </c>
      <c r="K3339" s="398"/>
      <c r="L3339" s="398"/>
      <c r="M3339" s="682"/>
      <c r="N3339" s="171"/>
      <c r="O3339" s="171"/>
      <c r="P3339" s="169"/>
      <c r="Q3339" s="171"/>
      <c r="R3339" s="171"/>
      <c r="S3339" s="171"/>
      <c r="T3339" s="171"/>
      <c r="U3339" s="171"/>
      <c r="V3339" s="171"/>
      <c r="W3339" s="171"/>
      <c r="X3339" s="171"/>
      <c r="Y3339" s="171"/>
      <c r="Z3339" s="171"/>
      <c r="AA3339" s="171"/>
    </row>
    <row r="3340" spans="1:27" s="530" customFormat="1" ht="39" hidden="1" thickBot="1" x14ac:dyDescent="0.25">
      <c r="A3340" s="526"/>
      <c r="B3340" s="527"/>
      <c r="C3340" s="465"/>
      <c r="D3340" s="464"/>
      <c r="E3340" s="464"/>
      <c r="F3340" s="494">
        <v>551</v>
      </c>
      <c r="G3340" s="495" t="s">
        <v>4176</v>
      </c>
      <c r="H3340" s="397"/>
      <c r="I3340" s="397"/>
      <c r="J3340" s="750" t="e">
        <f t="shared" si="36"/>
        <v>#DIV/0!</v>
      </c>
      <c r="K3340" s="398"/>
      <c r="L3340" s="398"/>
      <c r="M3340" s="682"/>
      <c r="N3340" s="171"/>
      <c r="O3340" s="171"/>
      <c r="P3340" s="169"/>
      <c r="Q3340" s="171"/>
      <c r="R3340" s="171"/>
      <c r="S3340" s="171"/>
      <c r="T3340" s="171"/>
      <c r="U3340" s="171"/>
      <c r="V3340" s="171"/>
      <c r="W3340" s="171"/>
      <c r="X3340" s="171"/>
      <c r="Y3340" s="171"/>
      <c r="Z3340" s="171"/>
      <c r="AA3340" s="171"/>
    </row>
    <row r="3341" spans="1:27" s="530" customFormat="1" ht="13.5" hidden="1" thickBot="1" x14ac:dyDescent="0.25">
      <c r="A3341" s="526"/>
      <c r="B3341" s="527"/>
      <c r="C3341" s="465"/>
      <c r="D3341" s="464"/>
      <c r="E3341" s="464"/>
      <c r="F3341" s="498">
        <v>611</v>
      </c>
      <c r="G3341" s="499" t="s">
        <v>3848</v>
      </c>
      <c r="H3341" s="397"/>
      <c r="I3341" s="397"/>
      <c r="J3341" s="750" t="e">
        <f t="shared" ref="J3341:J3404" si="37">SUM(I3341/H3341)*100</f>
        <v>#DIV/0!</v>
      </c>
      <c r="K3341" s="398"/>
      <c r="L3341" s="398"/>
      <c r="M3341" s="682"/>
      <c r="N3341" s="171"/>
      <c r="O3341" s="171"/>
      <c r="P3341" s="169"/>
      <c r="Q3341" s="171"/>
      <c r="R3341" s="171"/>
      <c r="S3341" s="171"/>
      <c r="T3341" s="171"/>
      <c r="U3341" s="171"/>
      <c r="V3341" s="171"/>
      <c r="W3341" s="171"/>
      <c r="X3341" s="171"/>
      <c r="Y3341" s="171"/>
      <c r="Z3341" s="171"/>
      <c r="AA3341" s="171"/>
    </row>
    <row r="3342" spans="1:27" s="530" customFormat="1" ht="13.5" hidden="1" thickBot="1" x14ac:dyDescent="0.25">
      <c r="A3342" s="526"/>
      <c r="B3342" s="527"/>
      <c r="C3342" s="465"/>
      <c r="D3342" s="464"/>
      <c r="E3342" s="464"/>
      <c r="F3342" s="498">
        <v>620</v>
      </c>
      <c r="G3342" s="499" t="s">
        <v>88</v>
      </c>
      <c r="H3342" s="397"/>
      <c r="I3342" s="397"/>
      <c r="J3342" s="750" t="e">
        <f t="shared" si="37"/>
        <v>#DIV/0!</v>
      </c>
      <c r="K3342" s="398"/>
      <c r="L3342" s="398"/>
      <c r="M3342" s="682"/>
      <c r="N3342" s="171"/>
      <c r="O3342" s="171"/>
      <c r="P3342" s="169"/>
      <c r="Q3342" s="171"/>
      <c r="R3342" s="171"/>
      <c r="S3342" s="171"/>
      <c r="T3342" s="171"/>
      <c r="U3342" s="171"/>
      <c r="V3342" s="171"/>
      <c r="W3342" s="171"/>
      <c r="X3342" s="171"/>
      <c r="Y3342" s="171"/>
      <c r="Z3342" s="171"/>
      <c r="AA3342" s="171"/>
    </row>
    <row r="3343" spans="1:27" s="530" customFormat="1" x14ac:dyDescent="0.2">
      <c r="A3343" s="526"/>
      <c r="B3343" s="527"/>
      <c r="C3343" s="465"/>
      <c r="D3343" s="464"/>
      <c r="E3343" s="500"/>
      <c r="F3343" s="498"/>
      <c r="G3343" s="501" t="s">
        <v>4344</v>
      </c>
      <c r="H3343" s="400"/>
      <c r="I3343" s="400"/>
      <c r="J3343" s="750"/>
      <c r="K3343" s="401"/>
      <c r="L3343" s="402"/>
      <c r="M3343" s="682"/>
      <c r="N3343" s="171"/>
      <c r="O3343" s="171"/>
      <c r="P3343" s="169"/>
      <c r="Q3343" s="171"/>
      <c r="R3343" s="171"/>
      <c r="S3343" s="171"/>
      <c r="T3343" s="171"/>
      <c r="U3343" s="171"/>
      <c r="V3343" s="171"/>
      <c r="W3343" s="171"/>
      <c r="X3343" s="171"/>
      <c r="Y3343" s="171"/>
      <c r="Z3343" s="171"/>
      <c r="AA3343" s="171"/>
    </row>
    <row r="3344" spans="1:27" s="530" customFormat="1" ht="13.5" thickBot="1" x14ac:dyDescent="0.25">
      <c r="A3344" s="526"/>
      <c r="B3344" s="527"/>
      <c r="C3344" s="465"/>
      <c r="D3344" s="464"/>
      <c r="E3344" s="502"/>
      <c r="F3344" s="503" t="s">
        <v>234</v>
      </c>
      <c r="G3344" s="504" t="s">
        <v>235</v>
      </c>
      <c r="H3344" s="403">
        <f>SUM(H3328)</f>
        <v>2700000</v>
      </c>
      <c r="I3344" s="403">
        <f>SUM(I3328)</f>
        <v>2699963.16</v>
      </c>
      <c r="J3344" s="750">
        <f t="shared" si="37"/>
        <v>99.998635555555566</v>
      </c>
      <c r="K3344" s="404"/>
      <c r="L3344" s="404"/>
      <c r="M3344" s="682"/>
      <c r="N3344" s="171"/>
      <c r="O3344" s="171"/>
      <c r="P3344" s="169"/>
      <c r="Q3344" s="171"/>
      <c r="R3344" s="171"/>
      <c r="S3344" s="171"/>
      <c r="T3344" s="171"/>
      <c r="U3344" s="171"/>
      <c r="V3344" s="171"/>
      <c r="W3344" s="171"/>
      <c r="X3344" s="171"/>
      <c r="Y3344" s="171"/>
      <c r="Z3344" s="171"/>
      <c r="AA3344" s="171"/>
    </row>
    <row r="3345" spans="1:27" s="530" customFormat="1" ht="13.5" hidden="1" thickBot="1" x14ac:dyDescent="0.25">
      <c r="A3345" s="526"/>
      <c r="B3345" s="527"/>
      <c r="C3345" s="465"/>
      <c r="D3345" s="464"/>
      <c r="E3345" s="464"/>
      <c r="F3345" s="503" t="s">
        <v>236</v>
      </c>
      <c r="G3345" s="504" t="s">
        <v>237</v>
      </c>
      <c r="H3345" s="397"/>
      <c r="I3345" s="397"/>
      <c r="J3345" s="750" t="e">
        <f t="shared" si="37"/>
        <v>#DIV/0!</v>
      </c>
      <c r="K3345" s="398"/>
      <c r="L3345" s="404"/>
      <c r="M3345" s="682"/>
      <c r="N3345" s="171"/>
      <c r="O3345" s="171"/>
      <c r="P3345" s="169"/>
      <c r="Q3345" s="171"/>
      <c r="R3345" s="171"/>
      <c r="S3345" s="171"/>
      <c r="T3345" s="171"/>
      <c r="U3345" s="171"/>
      <c r="V3345" s="171"/>
      <c r="W3345" s="171"/>
      <c r="X3345" s="171"/>
      <c r="Y3345" s="171"/>
      <c r="Z3345" s="171"/>
      <c r="AA3345" s="171"/>
    </row>
    <row r="3346" spans="1:27" s="530" customFormat="1" ht="13.5" hidden="1" thickBot="1" x14ac:dyDescent="0.25">
      <c r="A3346" s="526"/>
      <c r="B3346" s="527"/>
      <c r="C3346" s="465"/>
      <c r="D3346" s="464"/>
      <c r="E3346" s="464"/>
      <c r="F3346" s="503" t="s">
        <v>238</v>
      </c>
      <c r="G3346" s="504" t="s">
        <v>239</v>
      </c>
      <c r="H3346" s="397"/>
      <c r="I3346" s="397"/>
      <c r="J3346" s="750" t="e">
        <f t="shared" si="37"/>
        <v>#DIV/0!</v>
      </c>
      <c r="K3346" s="398"/>
      <c r="L3346" s="404"/>
      <c r="M3346" s="682"/>
      <c r="N3346" s="171"/>
      <c r="O3346" s="171"/>
      <c r="P3346" s="169"/>
      <c r="Q3346" s="171"/>
      <c r="R3346" s="171"/>
      <c r="S3346" s="171"/>
      <c r="T3346" s="171"/>
      <c r="U3346" s="171"/>
      <c r="V3346" s="171"/>
      <c r="W3346" s="171"/>
      <c r="X3346" s="171"/>
      <c r="Y3346" s="171"/>
      <c r="Z3346" s="171"/>
      <c r="AA3346" s="171"/>
    </row>
    <row r="3347" spans="1:27" s="530" customFormat="1" ht="13.5" hidden="1" thickBot="1" x14ac:dyDescent="0.25">
      <c r="A3347" s="526"/>
      <c r="B3347" s="527"/>
      <c r="C3347" s="465"/>
      <c r="D3347" s="464"/>
      <c r="E3347" s="464"/>
      <c r="F3347" s="503" t="s">
        <v>240</v>
      </c>
      <c r="G3347" s="504" t="s">
        <v>241</v>
      </c>
      <c r="H3347" s="397"/>
      <c r="I3347" s="397"/>
      <c r="J3347" s="750" t="e">
        <f t="shared" si="37"/>
        <v>#DIV/0!</v>
      </c>
      <c r="K3347" s="398"/>
      <c r="L3347" s="404"/>
      <c r="M3347" s="682"/>
      <c r="N3347" s="171"/>
      <c r="O3347" s="171"/>
      <c r="P3347" s="169"/>
      <c r="Q3347" s="171"/>
      <c r="R3347" s="171"/>
      <c r="S3347" s="171"/>
      <c r="T3347" s="171"/>
      <c r="U3347" s="171"/>
      <c r="V3347" s="171"/>
      <c r="W3347" s="171"/>
      <c r="X3347" s="171"/>
      <c r="Y3347" s="171"/>
      <c r="Z3347" s="171"/>
      <c r="AA3347" s="171"/>
    </row>
    <row r="3348" spans="1:27" s="530" customFormat="1" ht="13.5" hidden="1" thickBot="1" x14ac:dyDescent="0.25">
      <c r="A3348" s="526"/>
      <c r="B3348" s="527"/>
      <c r="C3348" s="465"/>
      <c r="D3348" s="464"/>
      <c r="E3348" s="464"/>
      <c r="F3348" s="503" t="s">
        <v>242</v>
      </c>
      <c r="G3348" s="504" t="s">
        <v>243</v>
      </c>
      <c r="H3348" s="397"/>
      <c r="I3348" s="397"/>
      <c r="J3348" s="750" t="e">
        <f t="shared" si="37"/>
        <v>#DIV/0!</v>
      </c>
      <c r="K3348" s="398"/>
      <c r="L3348" s="404"/>
      <c r="M3348" s="682"/>
      <c r="N3348" s="171"/>
      <c r="O3348" s="171"/>
      <c r="P3348" s="169"/>
      <c r="Q3348" s="171"/>
      <c r="R3348" s="171"/>
      <c r="S3348" s="171"/>
      <c r="T3348" s="171"/>
      <c r="U3348" s="171"/>
      <c r="V3348" s="171"/>
      <c r="W3348" s="171"/>
      <c r="X3348" s="171"/>
      <c r="Y3348" s="171"/>
      <c r="Z3348" s="171"/>
      <c r="AA3348" s="171"/>
    </row>
    <row r="3349" spans="1:27" s="530" customFormat="1" ht="13.5" hidden="1" thickBot="1" x14ac:dyDescent="0.25">
      <c r="A3349" s="526"/>
      <c r="B3349" s="527"/>
      <c r="C3349" s="465"/>
      <c r="D3349" s="464"/>
      <c r="E3349" s="464"/>
      <c r="F3349" s="503" t="s">
        <v>244</v>
      </c>
      <c r="G3349" s="504" t="s">
        <v>245</v>
      </c>
      <c r="H3349" s="397"/>
      <c r="I3349" s="397"/>
      <c r="J3349" s="750" t="e">
        <f t="shared" si="37"/>
        <v>#DIV/0!</v>
      </c>
      <c r="K3349" s="398"/>
      <c r="L3349" s="404"/>
      <c r="M3349" s="682"/>
      <c r="N3349" s="171"/>
      <c r="O3349" s="171"/>
      <c r="P3349" s="169"/>
      <c r="Q3349" s="171"/>
      <c r="R3349" s="171"/>
      <c r="S3349" s="171"/>
      <c r="T3349" s="171"/>
      <c r="U3349" s="171"/>
      <c r="V3349" s="171"/>
      <c r="W3349" s="171"/>
      <c r="X3349" s="171"/>
      <c r="Y3349" s="171"/>
      <c r="Z3349" s="171"/>
      <c r="AA3349" s="171"/>
    </row>
    <row r="3350" spans="1:27" s="530" customFormat="1" ht="13.5" hidden="1" thickBot="1" x14ac:dyDescent="0.25">
      <c r="A3350" s="526"/>
      <c r="B3350" s="527"/>
      <c r="C3350" s="465"/>
      <c r="D3350" s="464"/>
      <c r="E3350" s="464"/>
      <c r="F3350" s="503" t="s">
        <v>246</v>
      </c>
      <c r="G3350" s="504" t="s">
        <v>247</v>
      </c>
      <c r="H3350" s="397"/>
      <c r="I3350" s="397"/>
      <c r="J3350" s="750" t="e">
        <f t="shared" si="37"/>
        <v>#DIV/0!</v>
      </c>
      <c r="K3350" s="398"/>
      <c r="L3350" s="404"/>
      <c r="M3350" s="682"/>
      <c r="N3350" s="171"/>
      <c r="O3350" s="171"/>
      <c r="P3350" s="169"/>
      <c r="Q3350" s="171"/>
      <c r="R3350" s="171"/>
      <c r="S3350" s="171"/>
      <c r="T3350" s="171"/>
      <c r="U3350" s="171"/>
      <c r="V3350" s="171"/>
      <c r="W3350" s="171"/>
      <c r="X3350" s="171"/>
      <c r="Y3350" s="171"/>
      <c r="Z3350" s="171"/>
      <c r="AA3350" s="171"/>
    </row>
    <row r="3351" spans="1:27" s="530" customFormat="1" ht="26.25" hidden="1" thickBot="1" x14ac:dyDescent="0.25">
      <c r="A3351" s="526"/>
      <c r="B3351" s="527"/>
      <c r="C3351" s="465"/>
      <c r="D3351" s="464"/>
      <c r="E3351" s="464"/>
      <c r="F3351" s="503" t="s">
        <v>248</v>
      </c>
      <c r="G3351" s="504" t="s">
        <v>249</v>
      </c>
      <c r="H3351" s="397"/>
      <c r="I3351" s="397"/>
      <c r="J3351" s="750" t="e">
        <f t="shared" si="37"/>
        <v>#DIV/0!</v>
      </c>
      <c r="K3351" s="398"/>
      <c r="L3351" s="404"/>
      <c r="M3351" s="682"/>
      <c r="N3351" s="171"/>
      <c r="O3351" s="171"/>
      <c r="P3351" s="169"/>
      <c r="Q3351" s="171"/>
      <c r="R3351" s="171"/>
      <c r="S3351" s="171"/>
      <c r="T3351" s="171"/>
      <c r="U3351" s="171"/>
      <c r="V3351" s="171"/>
      <c r="W3351" s="171"/>
      <c r="X3351" s="171"/>
      <c r="Y3351" s="171"/>
      <c r="Z3351" s="171"/>
      <c r="AA3351" s="171"/>
    </row>
    <row r="3352" spans="1:27" s="530" customFormat="1" ht="13.5" hidden="1" thickBot="1" x14ac:dyDescent="0.25">
      <c r="A3352" s="464"/>
      <c r="B3352" s="464"/>
      <c r="C3352" s="465"/>
      <c r="D3352" s="464"/>
      <c r="E3352" s="464"/>
      <c r="F3352" s="503" t="s">
        <v>250</v>
      </c>
      <c r="G3352" s="504" t="s">
        <v>57</v>
      </c>
      <c r="H3352" s="397"/>
      <c r="I3352" s="397"/>
      <c r="J3352" s="750" t="e">
        <f t="shared" si="37"/>
        <v>#DIV/0!</v>
      </c>
      <c r="K3352" s="398"/>
      <c r="L3352" s="404"/>
      <c r="M3352" s="682"/>
      <c r="N3352" s="171"/>
      <c r="O3352" s="171"/>
      <c r="P3352" s="169"/>
      <c r="Q3352" s="171"/>
      <c r="R3352" s="171"/>
      <c r="S3352" s="171"/>
      <c r="T3352" s="171"/>
      <c r="U3352" s="171"/>
      <c r="V3352" s="171"/>
      <c r="W3352" s="171"/>
      <c r="X3352" s="171"/>
      <c r="Y3352" s="171"/>
      <c r="Z3352" s="171"/>
      <c r="AA3352" s="171"/>
    </row>
    <row r="3353" spans="1:27" s="530" customFormat="1" ht="13.5" hidden="1" thickBot="1" x14ac:dyDescent="0.25">
      <c r="A3353" s="464"/>
      <c r="B3353" s="464"/>
      <c r="C3353" s="465"/>
      <c r="D3353" s="464"/>
      <c r="E3353" s="464"/>
      <c r="F3353" s="503" t="s">
        <v>251</v>
      </c>
      <c r="G3353" s="504" t="s">
        <v>252</v>
      </c>
      <c r="H3353" s="397"/>
      <c r="I3353" s="397"/>
      <c r="J3353" s="750" t="e">
        <f t="shared" si="37"/>
        <v>#DIV/0!</v>
      </c>
      <c r="K3353" s="398"/>
      <c r="L3353" s="404"/>
      <c r="M3353" s="682"/>
      <c r="N3353" s="171"/>
      <c r="O3353" s="171"/>
      <c r="P3353" s="169"/>
      <c r="Q3353" s="171"/>
      <c r="R3353" s="171"/>
      <c r="S3353" s="171"/>
      <c r="T3353" s="171"/>
      <c r="U3353" s="171"/>
      <c r="V3353" s="171"/>
      <c r="W3353" s="171"/>
      <c r="X3353" s="171"/>
      <c r="Y3353" s="171"/>
      <c r="Z3353" s="171"/>
      <c r="AA3353" s="171"/>
    </row>
    <row r="3354" spans="1:27" s="530" customFormat="1" ht="13.5" hidden="1" thickBot="1" x14ac:dyDescent="0.25">
      <c r="A3354" s="464"/>
      <c r="B3354" s="464"/>
      <c r="C3354" s="465"/>
      <c r="D3354" s="464"/>
      <c r="E3354" s="464"/>
      <c r="F3354" s="503" t="s">
        <v>253</v>
      </c>
      <c r="G3354" s="504" t="s">
        <v>254</v>
      </c>
      <c r="H3354" s="397"/>
      <c r="I3354" s="397"/>
      <c r="J3354" s="750" t="e">
        <f t="shared" si="37"/>
        <v>#DIV/0!</v>
      </c>
      <c r="K3354" s="398"/>
      <c r="L3354" s="404"/>
      <c r="M3354" s="682"/>
      <c r="N3354" s="171"/>
      <c r="O3354" s="171"/>
      <c r="P3354" s="169"/>
      <c r="Q3354" s="171"/>
      <c r="R3354" s="171"/>
      <c r="S3354" s="171"/>
      <c r="T3354" s="171"/>
      <c r="U3354" s="171"/>
      <c r="V3354" s="171"/>
      <c r="W3354" s="171"/>
      <c r="X3354" s="171"/>
      <c r="Y3354" s="171"/>
      <c r="Z3354" s="171"/>
      <c r="AA3354" s="171"/>
    </row>
    <row r="3355" spans="1:27" s="530" customFormat="1" ht="26.25" hidden="1" thickBot="1" x14ac:dyDescent="0.25">
      <c r="A3355" s="464"/>
      <c r="B3355" s="464"/>
      <c r="C3355" s="465"/>
      <c r="D3355" s="464"/>
      <c r="E3355" s="464"/>
      <c r="F3355" s="503" t="s">
        <v>255</v>
      </c>
      <c r="G3355" s="504" t="s">
        <v>256</v>
      </c>
      <c r="H3355" s="397"/>
      <c r="I3355" s="397"/>
      <c r="J3355" s="750" t="e">
        <f t="shared" si="37"/>
        <v>#DIV/0!</v>
      </c>
      <c r="K3355" s="398"/>
      <c r="L3355" s="404"/>
      <c r="M3355" s="682"/>
      <c r="N3355" s="171"/>
      <c r="O3355" s="171"/>
      <c r="P3355" s="169"/>
      <c r="Q3355" s="171"/>
      <c r="R3355" s="171"/>
      <c r="S3355" s="171"/>
      <c r="T3355" s="171"/>
      <c r="U3355" s="171"/>
      <c r="V3355" s="171"/>
      <c r="W3355" s="171"/>
      <c r="X3355" s="171"/>
      <c r="Y3355" s="171"/>
      <c r="Z3355" s="171"/>
      <c r="AA3355" s="171"/>
    </row>
    <row r="3356" spans="1:27" s="530" customFormat="1" ht="26.25" hidden="1" thickBot="1" x14ac:dyDescent="0.25">
      <c r="A3356" s="464"/>
      <c r="B3356" s="464"/>
      <c r="C3356" s="465"/>
      <c r="D3356" s="464"/>
      <c r="E3356" s="464"/>
      <c r="F3356" s="503" t="s">
        <v>257</v>
      </c>
      <c r="G3356" s="504" t="s">
        <v>258</v>
      </c>
      <c r="H3356" s="397"/>
      <c r="I3356" s="397"/>
      <c r="J3356" s="750" t="e">
        <f t="shared" si="37"/>
        <v>#DIV/0!</v>
      </c>
      <c r="K3356" s="398"/>
      <c r="L3356" s="404"/>
      <c r="M3356" s="682"/>
      <c r="N3356" s="171"/>
      <c r="O3356" s="171"/>
      <c r="P3356" s="169"/>
      <c r="Q3356" s="171"/>
      <c r="R3356" s="171"/>
      <c r="S3356" s="171"/>
      <c r="T3356" s="171"/>
      <c r="U3356" s="171"/>
      <c r="V3356" s="171"/>
      <c r="W3356" s="171"/>
      <c r="X3356" s="171"/>
      <c r="Y3356" s="171"/>
      <c r="Z3356" s="171"/>
      <c r="AA3356" s="171"/>
    </row>
    <row r="3357" spans="1:27" s="530" customFormat="1" ht="26.25" hidden="1" thickBot="1" x14ac:dyDescent="0.25">
      <c r="A3357" s="464"/>
      <c r="B3357" s="464"/>
      <c r="C3357" s="465"/>
      <c r="D3357" s="464"/>
      <c r="E3357" s="464"/>
      <c r="F3357" s="503" t="s">
        <v>259</v>
      </c>
      <c r="G3357" s="504" t="s">
        <v>260</v>
      </c>
      <c r="H3357" s="397"/>
      <c r="I3357" s="397"/>
      <c r="J3357" s="750" t="e">
        <f t="shared" si="37"/>
        <v>#DIV/0!</v>
      </c>
      <c r="K3357" s="398"/>
      <c r="L3357" s="404"/>
      <c r="M3357" s="682"/>
      <c r="N3357" s="171"/>
      <c r="O3357" s="171"/>
      <c r="P3357" s="169"/>
      <c r="Q3357" s="171"/>
      <c r="R3357" s="171"/>
      <c r="S3357" s="171"/>
      <c r="T3357" s="171"/>
      <c r="U3357" s="171"/>
      <c r="V3357" s="171"/>
      <c r="W3357" s="171"/>
      <c r="X3357" s="171"/>
      <c r="Y3357" s="171"/>
      <c r="Z3357" s="171"/>
      <c r="AA3357" s="171"/>
    </row>
    <row r="3358" spans="1:27" s="530" customFormat="1" ht="26.25" hidden="1" thickBot="1" x14ac:dyDescent="0.25">
      <c r="A3358" s="464"/>
      <c r="B3358" s="464"/>
      <c r="C3358" s="465"/>
      <c r="D3358" s="464"/>
      <c r="E3358" s="464"/>
      <c r="F3358" s="503" t="s">
        <v>261</v>
      </c>
      <c r="G3358" s="504" t="s">
        <v>262</v>
      </c>
      <c r="H3358" s="397"/>
      <c r="I3358" s="397"/>
      <c r="J3358" s="750" t="e">
        <f t="shared" si="37"/>
        <v>#DIV/0!</v>
      </c>
      <c r="K3358" s="398"/>
      <c r="L3358" s="404"/>
      <c r="M3358" s="682"/>
      <c r="N3358" s="171"/>
      <c r="O3358" s="171"/>
      <c r="P3358" s="169"/>
      <c r="Q3358" s="171"/>
      <c r="R3358" s="171"/>
      <c r="S3358" s="171"/>
      <c r="T3358" s="171"/>
      <c r="U3358" s="171"/>
      <c r="V3358" s="171"/>
      <c r="W3358" s="171"/>
      <c r="X3358" s="171"/>
      <c r="Y3358" s="171"/>
      <c r="Z3358" s="171"/>
      <c r="AA3358" s="171"/>
    </row>
    <row r="3359" spans="1:27" s="530" customFormat="1" ht="13.5" hidden="1" thickBot="1" x14ac:dyDescent="0.25">
      <c r="A3359" s="464"/>
      <c r="B3359" s="464"/>
      <c r="C3359" s="465"/>
      <c r="D3359" s="464"/>
      <c r="E3359" s="464"/>
      <c r="F3359" s="503" t="s">
        <v>263</v>
      </c>
      <c r="G3359" s="504" t="s">
        <v>264</v>
      </c>
      <c r="H3359" s="403"/>
      <c r="I3359" s="403"/>
      <c r="J3359" s="750" t="e">
        <f t="shared" si="37"/>
        <v>#DIV/0!</v>
      </c>
      <c r="K3359" s="404"/>
      <c r="L3359" s="404"/>
      <c r="M3359" s="682"/>
      <c r="N3359" s="171"/>
      <c r="O3359" s="171"/>
      <c r="P3359" s="169"/>
      <c r="Q3359" s="171"/>
      <c r="R3359" s="171"/>
      <c r="S3359" s="171"/>
      <c r="T3359" s="171"/>
      <c r="U3359" s="171"/>
      <c r="V3359" s="171"/>
      <c r="W3359" s="171"/>
      <c r="X3359" s="171"/>
      <c r="Y3359" s="171"/>
      <c r="Z3359" s="171"/>
      <c r="AA3359" s="171"/>
    </row>
    <row r="3360" spans="1:27" s="530" customFormat="1" ht="13.5" thickBot="1" x14ac:dyDescent="0.25">
      <c r="A3360" s="464"/>
      <c r="B3360" s="464"/>
      <c r="C3360" s="465"/>
      <c r="D3360" s="464"/>
      <c r="E3360" s="464"/>
      <c r="F3360" s="464"/>
      <c r="G3360" s="505" t="s">
        <v>4345</v>
      </c>
      <c r="H3360" s="405">
        <f>SUM(H3344:H3359)</f>
        <v>2700000</v>
      </c>
      <c r="I3360" s="405">
        <f>SUM(I3344)</f>
        <v>2699963.16</v>
      </c>
      <c r="J3360" s="750">
        <f t="shared" si="37"/>
        <v>99.998635555555566</v>
      </c>
      <c r="K3360" s="406">
        <f>SUM(K3345:K3359)</f>
        <v>0</v>
      </c>
      <c r="L3360" s="406"/>
      <c r="M3360" s="682"/>
      <c r="N3360" s="171"/>
      <c r="O3360" s="171"/>
      <c r="P3360" s="169"/>
      <c r="Q3360" s="171"/>
      <c r="R3360" s="171"/>
      <c r="S3360" s="171"/>
      <c r="T3360" s="171"/>
      <c r="U3360" s="171"/>
      <c r="V3360" s="171"/>
      <c r="W3360" s="171"/>
      <c r="X3360" s="171"/>
      <c r="Y3360" s="171"/>
      <c r="Z3360" s="171"/>
      <c r="AA3360" s="171"/>
    </row>
    <row r="3361" spans="1:27" s="530" customFormat="1" x14ac:dyDescent="0.2">
      <c r="A3361" s="464"/>
      <c r="B3361" s="464"/>
      <c r="C3361" s="465"/>
      <c r="D3361" s="464"/>
      <c r="E3361" s="464"/>
      <c r="F3361" s="464"/>
      <c r="G3361" s="510" t="s">
        <v>5199</v>
      </c>
      <c r="H3361" s="411"/>
      <c r="I3361" s="411"/>
      <c r="J3361" s="750"/>
      <c r="K3361" s="412"/>
      <c r="L3361" s="412"/>
      <c r="M3361" s="682"/>
      <c r="N3361" s="171"/>
      <c r="O3361" s="171"/>
      <c r="P3361" s="169"/>
      <c r="Q3361" s="171"/>
      <c r="R3361" s="171"/>
      <c r="S3361" s="171"/>
      <c r="T3361" s="171"/>
      <c r="U3361" s="171"/>
      <c r="V3361" s="171"/>
      <c r="W3361" s="171"/>
      <c r="X3361" s="171"/>
      <c r="Y3361" s="171"/>
      <c r="Z3361" s="171"/>
      <c r="AA3361" s="171"/>
    </row>
    <row r="3362" spans="1:27" s="530" customFormat="1" ht="13.5" thickBot="1" x14ac:dyDescent="0.25">
      <c r="A3362" s="464"/>
      <c r="B3362" s="464"/>
      <c r="C3362" s="465"/>
      <c r="D3362" s="464"/>
      <c r="E3362" s="464"/>
      <c r="F3362" s="464" t="s">
        <v>234</v>
      </c>
      <c r="G3362" s="564" t="s">
        <v>235</v>
      </c>
      <c r="H3362" s="429">
        <f>SUM(H3360)</f>
        <v>2700000</v>
      </c>
      <c r="I3362" s="429">
        <f>SUM(I3360)</f>
        <v>2699963.16</v>
      </c>
      <c r="J3362" s="750">
        <f t="shared" si="37"/>
        <v>99.998635555555566</v>
      </c>
      <c r="K3362" s="430"/>
      <c r="L3362" s="431"/>
      <c r="M3362" s="682"/>
      <c r="N3362" s="171"/>
      <c r="O3362" s="171"/>
      <c r="P3362" s="169"/>
      <c r="Q3362" s="171"/>
      <c r="R3362" s="171"/>
      <c r="S3362" s="171"/>
      <c r="T3362" s="171"/>
      <c r="U3362" s="171"/>
      <c r="V3362" s="171"/>
      <c r="W3362" s="171"/>
      <c r="X3362" s="171"/>
      <c r="Y3362" s="171"/>
      <c r="Z3362" s="171"/>
      <c r="AA3362" s="171"/>
    </row>
    <row r="3363" spans="1:27" s="530" customFormat="1" hidden="1" x14ac:dyDescent="0.2">
      <c r="A3363" s="464"/>
      <c r="B3363" s="464"/>
      <c r="C3363" s="465"/>
      <c r="D3363" s="464"/>
      <c r="E3363" s="464"/>
      <c r="F3363" s="464" t="s">
        <v>236</v>
      </c>
      <c r="G3363" s="510" t="s">
        <v>237</v>
      </c>
      <c r="H3363" s="411"/>
      <c r="I3363" s="411"/>
      <c r="J3363" s="750" t="e">
        <f t="shared" si="37"/>
        <v>#DIV/0!</v>
      </c>
      <c r="K3363" s="412"/>
      <c r="L3363" s="412"/>
      <c r="M3363" s="682"/>
      <c r="N3363" s="171"/>
      <c r="O3363" s="171"/>
      <c r="P3363" s="169"/>
      <c r="Q3363" s="171"/>
      <c r="R3363" s="171"/>
      <c r="S3363" s="171"/>
      <c r="T3363" s="171"/>
      <c r="U3363" s="171"/>
      <c r="V3363" s="171"/>
      <c r="W3363" s="171"/>
      <c r="X3363" s="171"/>
      <c r="Y3363" s="171"/>
      <c r="Z3363" s="171"/>
      <c r="AA3363" s="171"/>
    </row>
    <row r="3364" spans="1:27" s="530" customFormat="1" hidden="1" x14ac:dyDescent="0.2">
      <c r="A3364" s="464"/>
      <c r="B3364" s="464"/>
      <c r="C3364" s="465"/>
      <c r="D3364" s="464"/>
      <c r="E3364" s="464"/>
      <c r="F3364" s="464" t="s">
        <v>238</v>
      </c>
      <c r="G3364" s="510" t="s">
        <v>239</v>
      </c>
      <c r="H3364" s="411"/>
      <c r="I3364" s="411"/>
      <c r="J3364" s="750" t="e">
        <f t="shared" si="37"/>
        <v>#DIV/0!</v>
      </c>
      <c r="K3364" s="412"/>
      <c r="L3364" s="412"/>
      <c r="M3364" s="682"/>
      <c r="N3364" s="171"/>
      <c r="O3364" s="171"/>
      <c r="P3364" s="169"/>
      <c r="Q3364" s="171"/>
      <c r="R3364" s="171"/>
      <c r="S3364" s="171"/>
      <c r="T3364" s="171"/>
      <c r="U3364" s="171"/>
      <c r="V3364" s="171"/>
      <c r="W3364" s="171"/>
      <c r="X3364" s="171"/>
      <c r="Y3364" s="171"/>
      <c r="Z3364" s="171"/>
      <c r="AA3364" s="171"/>
    </row>
    <row r="3365" spans="1:27" s="530" customFormat="1" hidden="1" x14ac:dyDescent="0.2">
      <c r="A3365" s="464"/>
      <c r="B3365" s="464"/>
      <c r="C3365" s="465"/>
      <c r="D3365" s="464"/>
      <c r="E3365" s="464"/>
      <c r="F3365" s="464" t="s">
        <v>240</v>
      </c>
      <c r="G3365" s="510" t="s">
        <v>241</v>
      </c>
      <c r="H3365" s="411"/>
      <c r="I3365" s="411"/>
      <c r="J3365" s="750" t="e">
        <f t="shared" si="37"/>
        <v>#DIV/0!</v>
      </c>
      <c r="K3365" s="412"/>
      <c r="L3365" s="412"/>
      <c r="M3365" s="682"/>
      <c r="N3365" s="171"/>
      <c r="O3365" s="171"/>
      <c r="P3365" s="169"/>
      <c r="Q3365" s="171"/>
      <c r="R3365" s="171"/>
      <c r="S3365" s="171"/>
      <c r="T3365" s="171"/>
      <c r="U3365" s="171"/>
      <c r="V3365" s="171"/>
      <c r="W3365" s="171"/>
      <c r="X3365" s="171"/>
      <c r="Y3365" s="171"/>
      <c r="Z3365" s="171"/>
      <c r="AA3365" s="171"/>
    </row>
    <row r="3366" spans="1:27" s="530" customFormat="1" hidden="1" x14ac:dyDescent="0.2">
      <c r="A3366" s="464"/>
      <c r="B3366" s="464"/>
      <c r="C3366" s="465"/>
      <c r="D3366" s="464"/>
      <c r="E3366" s="464"/>
      <c r="F3366" s="464" t="s">
        <v>242</v>
      </c>
      <c r="G3366" s="510" t="s">
        <v>243</v>
      </c>
      <c r="H3366" s="411"/>
      <c r="I3366" s="411"/>
      <c r="J3366" s="750" t="e">
        <f t="shared" si="37"/>
        <v>#DIV/0!</v>
      </c>
      <c r="K3366" s="412"/>
      <c r="L3366" s="412"/>
      <c r="M3366" s="682"/>
      <c r="N3366" s="171"/>
      <c r="O3366" s="171"/>
      <c r="P3366" s="169"/>
      <c r="Q3366" s="171"/>
      <c r="R3366" s="171"/>
      <c r="S3366" s="171"/>
      <c r="T3366" s="171"/>
      <c r="U3366" s="171"/>
      <c r="V3366" s="171"/>
      <c r="W3366" s="171"/>
      <c r="X3366" s="171"/>
      <c r="Y3366" s="171"/>
      <c r="Z3366" s="171"/>
      <c r="AA3366" s="171"/>
    </row>
    <row r="3367" spans="1:27" s="530" customFormat="1" hidden="1" x14ac:dyDescent="0.2">
      <c r="A3367" s="464"/>
      <c r="B3367" s="464"/>
      <c r="C3367" s="465"/>
      <c r="D3367" s="464"/>
      <c r="E3367" s="464"/>
      <c r="F3367" s="464" t="s">
        <v>244</v>
      </c>
      <c r="G3367" s="510" t="s">
        <v>245</v>
      </c>
      <c r="H3367" s="411"/>
      <c r="I3367" s="411"/>
      <c r="J3367" s="750" t="e">
        <f t="shared" si="37"/>
        <v>#DIV/0!</v>
      </c>
      <c r="K3367" s="412"/>
      <c r="L3367" s="412"/>
      <c r="M3367" s="682"/>
      <c r="N3367" s="171"/>
      <c r="O3367" s="171"/>
      <c r="P3367" s="169"/>
      <c r="Q3367" s="171"/>
      <c r="R3367" s="171"/>
      <c r="S3367" s="171"/>
      <c r="T3367" s="171"/>
      <c r="U3367" s="171"/>
      <c r="V3367" s="171"/>
      <c r="W3367" s="171"/>
      <c r="X3367" s="171"/>
      <c r="Y3367" s="171"/>
      <c r="Z3367" s="171"/>
      <c r="AA3367" s="171"/>
    </row>
    <row r="3368" spans="1:27" s="530" customFormat="1" hidden="1" x14ac:dyDescent="0.2">
      <c r="A3368" s="464"/>
      <c r="B3368" s="464"/>
      <c r="C3368" s="465"/>
      <c r="D3368" s="464"/>
      <c r="E3368" s="464"/>
      <c r="F3368" s="464" t="s">
        <v>246</v>
      </c>
      <c r="G3368" s="510" t="s">
        <v>247</v>
      </c>
      <c r="H3368" s="411"/>
      <c r="I3368" s="411"/>
      <c r="J3368" s="750" t="e">
        <f t="shared" si="37"/>
        <v>#DIV/0!</v>
      </c>
      <c r="K3368" s="412"/>
      <c r="L3368" s="412"/>
      <c r="M3368" s="682"/>
      <c r="N3368" s="171"/>
      <c r="O3368" s="171"/>
      <c r="P3368" s="169"/>
      <c r="Q3368" s="171"/>
      <c r="R3368" s="171"/>
      <c r="S3368" s="171"/>
      <c r="T3368" s="171"/>
      <c r="U3368" s="171"/>
      <c r="V3368" s="171"/>
      <c r="W3368" s="171"/>
      <c r="X3368" s="171"/>
      <c r="Y3368" s="171"/>
      <c r="Z3368" s="171"/>
      <c r="AA3368" s="171"/>
    </row>
    <row r="3369" spans="1:27" s="530" customFormat="1" ht="25.5" hidden="1" x14ac:dyDescent="0.2">
      <c r="A3369" s="464"/>
      <c r="B3369" s="464"/>
      <c r="C3369" s="465"/>
      <c r="D3369" s="464"/>
      <c r="E3369" s="464"/>
      <c r="F3369" s="464" t="s">
        <v>248</v>
      </c>
      <c r="G3369" s="510" t="s">
        <v>249</v>
      </c>
      <c r="H3369" s="411"/>
      <c r="I3369" s="411"/>
      <c r="J3369" s="750" t="e">
        <f t="shared" si="37"/>
        <v>#DIV/0!</v>
      </c>
      <c r="K3369" s="412"/>
      <c r="L3369" s="412"/>
      <c r="M3369" s="682"/>
      <c r="N3369" s="171"/>
      <c r="O3369" s="171"/>
      <c r="P3369" s="169"/>
      <c r="Q3369" s="171"/>
      <c r="R3369" s="171"/>
      <c r="S3369" s="171"/>
      <c r="T3369" s="171"/>
      <c r="U3369" s="171"/>
      <c r="V3369" s="171"/>
      <c r="W3369" s="171"/>
      <c r="X3369" s="171"/>
      <c r="Y3369" s="171"/>
      <c r="Z3369" s="171"/>
      <c r="AA3369" s="171"/>
    </row>
    <row r="3370" spans="1:27" s="530" customFormat="1" hidden="1" x14ac:dyDescent="0.2">
      <c r="A3370" s="464"/>
      <c r="B3370" s="464"/>
      <c r="C3370" s="465"/>
      <c r="D3370" s="464"/>
      <c r="E3370" s="464"/>
      <c r="F3370" s="464" t="s">
        <v>250</v>
      </c>
      <c r="G3370" s="510" t="s">
        <v>57</v>
      </c>
      <c r="H3370" s="411"/>
      <c r="I3370" s="411"/>
      <c r="J3370" s="750" t="e">
        <f t="shared" si="37"/>
        <v>#DIV/0!</v>
      </c>
      <c r="K3370" s="412"/>
      <c r="L3370" s="412"/>
      <c r="M3370" s="682"/>
      <c r="N3370" s="171"/>
      <c r="O3370" s="171"/>
      <c r="P3370" s="169"/>
      <c r="Q3370" s="171"/>
      <c r="R3370" s="171"/>
      <c r="S3370" s="171"/>
      <c r="T3370" s="171"/>
      <c r="U3370" s="171"/>
      <c r="V3370" s="171"/>
      <c r="W3370" s="171"/>
      <c r="X3370" s="171"/>
      <c r="Y3370" s="171"/>
      <c r="Z3370" s="171"/>
      <c r="AA3370" s="171"/>
    </row>
    <row r="3371" spans="1:27" s="530" customFormat="1" hidden="1" x14ac:dyDescent="0.2">
      <c r="A3371" s="464"/>
      <c r="B3371" s="464"/>
      <c r="C3371" s="465"/>
      <c r="D3371" s="464"/>
      <c r="E3371" s="464"/>
      <c r="F3371" s="464" t="s">
        <v>251</v>
      </c>
      <c r="G3371" s="510" t="s">
        <v>252</v>
      </c>
      <c r="H3371" s="411"/>
      <c r="I3371" s="411"/>
      <c r="J3371" s="750" t="e">
        <f t="shared" si="37"/>
        <v>#DIV/0!</v>
      </c>
      <c r="K3371" s="412"/>
      <c r="L3371" s="412"/>
      <c r="M3371" s="682"/>
      <c r="N3371" s="171"/>
      <c r="O3371" s="171"/>
      <c r="P3371" s="169"/>
      <c r="Q3371" s="171"/>
      <c r="R3371" s="171"/>
      <c r="S3371" s="171"/>
      <c r="T3371" s="171"/>
      <c r="U3371" s="171"/>
      <c r="V3371" s="171"/>
      <c r="W3371" s="171"/>
      <c r="X3371" s="171"/>
      <c r="Y3371" s="171"/>
      <c r="Z3371" s="171"/>
      <c r="AA3371" s="171"/>
    </row>
    <row r="3372" spans="1:27" s="530" customFormat="1" hidden="1" x14ac:dyDescent="0.2">
      <c r="A3372" s="464"/>
      <c r="B3372" s="464"/>
      <c r="C3372" s="465"/>
      <c r="D3372" s="464"/>
      <c r="E3372" s="464"/>
      <c r="F3372" s="464" t="s">
        <v>253</v>
      </c>
      <c r="G3372" s="510" t="s">
        <v>254</v>
      </c>
      <c r="H3372" s="411"/>
      <c r="I3372" s="411"/>
      <c r="J3372" s="750" t="e">
        <f t="shared" si="37"/>
        <v>#DIV/0!</v>
      </c>
      <c r="K3372" s="412"/>
      <c r="L3372" s="412"/>
      <c r="M3372" s="682"/>
      <c r="N3372" s="171"/>
      <c r="O3372" s="171"/>
      <c r="P3372" s="169"/>
      <c r="Q3372" s="171"/>
      <c r="R3372" s="171"/>
      <c r="S3372" s="171"/>
      <c r="T3372" s="171"/>
      <c r="U3372" s="171"/>
      <c r="V3372" s="171"/>
      <c r="W3372" s="171"/>
      <c r="X3372" s="171"/>
      <c r="Y3372" s="171"/>
      <c r="Z3372" s="171"/>
      <c r="AA3372" s="171"/>
    </row>
    <row r="3373" spans="1:27" s="530" customFormat="1" ht="25.5" hidden="1" x14ac:dyDescent="0.2">
      <c r="A3373" s="464"/>
      <c r="B3373" s="464"/>
      <c r="C3373" s="465"/>
      <c r="D3373" s="464"/>
      <c r="E3373" s="464"/>
      <c r="F3373" s="464" t="s">
        <v>255</v>
      </c>
      <c r="G3373" s="510" t="s">
        <v>256</v>
      </c>
      <c r="H3373" s="411"/>
      <c r="I3373" s="411"/>
      <c r="J3373" s="750" t="e">
        <f t="shared" si="37"/>
        <v>#DIV/0!</v>
      </c>
      <c r="K3373" s="412"/>
      <c r="L3373" s="412"/>
      <c r="M3373" s="682"/>
      <c r="N3373" s="171"/>
      <c r="O3373" s="171"/>
      <c r="P3373" s="169"/>
      <c r="Q3373" s="171"/>
      <c r="R3373" s="171"/>
      <c r="S3373" s="171"/>
      <c r="T3373" s="171"/>
      <c r="U3373" s="171"/>
      <c r="V3373" s="171"/>
      <c r="W3373" s="171"/>
      <c r="X3373" s="171"/>
      <c r="Y3373" s="171"/>
      <c r="Z3373" s="171"/>
      <c r="AA3373" s="171"/>
    </row>
    <row r="3374" spans="1:27" s="530" customFormat="1" ht="25.5" hidden="1" x14ac:dyDescent="0.2">
      <c r="A3374" s="464"/>
      <c r="B3374" s="464"/>
      <c r="C3374" s="465"/>
      <c r="D3374" s="464"/>
      <c r="E3374" s="464"/>
      <c r="F3374" s="464" t="s">
        <v>257</v>
      </c>
      <c r="G3374" s="510" t="s">
        <v>258</v>
      </c>
      <c r="H3374" s="411"/>
      <c r="I3374" s="411"/>
      <c r="J3374" s="750" t="e">
        <f t="shared" si="37"/>
        <v>#DIV/0!</v>
      </c>
      <c r="K3374" s="412"/>
      <c r="L3374" s="412"/>
      <c r="M3374" s="682"/>
      <c r="N3374" s="171"/>
      <c r="O3374" s="171"/>
      <c r="P3374" s="169"/>
      <c r="Q3374" s="171"/>
      <c r="R3374" s="171"/>
      <c r="S3374" s="171"/>
      <c r="T3374" s="171"/>
      <c r="U3374" s="171"/>
      <c r="V3374" s="171"/>
      <c r="W3374" s="171"/>
      <c r="X3374" s="171"/>
      <c r="Y3374" s="171"/>
      <c r="Z3374" s="171"/>
      <c r="AA3374" s="171"/>
    </row>
    <row r="3375" spans="1:27" s="530" customFormat="1" ht="25.5" hidden="1" x14ac:dyDescent="0.2">
      <c r="A3375" s="464"/>
      <c r="B3375" s="464"/>
      <c r="C3375" s="465"/>
      <c r="D3375" s="464"/>
      <c r="E3375" s="464"/>
      <c r="F3375" s="464" t="s">
        <v>259</v>
      </c>
      <c r="G3375" s="510" t="s">
        <v>260</v>
      </c>
      <c r="H3375" s="411"/>
      <c r="I3375" s="411"/>
      <c r="J3375" s="750" t="e">
        <f t="shared" si="37"/>
        <v>#DIV/0!</v>
      </c>
      <c r="K3375" s="412"/>
      <c r="L3375" s="412"/>
      <c r="M3375" s="682"/>
      <c r="N3375" s="171"/>
      <c r="O3375" s="171"/>
      <c r="P3375" s="169"/>
      <c r="Q3375" s="171"/>
      <c r="R3375" s="171"/>
      <c r="S3375" s="171"/>
      <c r="T3375" s="171"/>
      <c r="U3375" s="171"/>
      <c r="V3375" s="171"/>
      <c r="W3375" s="171"/>
      <c r="X3375" s="171"/>
      <c r="Y3375" s="171"/>
      <c r="Z3375" s="171"/>
      <c r="AA3375" s="171"/>
    </row>
    <row r="3376" spans="1:27" s="530" customFormat="1" ht="25.5" hidden="1" x14ac:dyDescent="0.2">
      <c r="A3376" s="464"/>
      <c r="B3376" s="464"/>
      <c r="C3376" s="465"/>
      <c r="D3376" s="464"/>
      <c r="E3376" s="464"/>
      <c r="F3376" s="464" t="s">
        <v>261</v>
      </c>
      <c r="G3376" s="510" t="s">
        <v>262</v>
      </c>
      <c r="H3376" s="411"/>
      <c r="I3376" s="411"/>
      <c r="J3376" s="750" t="e">
        <f t="shared" si="37"/>
        <v>#DIV/0!</v>
      </c>
      <c r="K3376" s="412"/>
      <c r="L3376" s="412"/>
      <c r="M3376" s="682"/>
      <c r="N3376" s="171"/>
      <c r="O3376" s="171"/>
      <c r="P3376" s="169"/>
      <c r="Q3376" s="171"/>
      <c r="R3376" s="171"/>
      <c r="S3376" s="171"/>
      <c r="T3376" s="171"/>
      <c r="U3376" s="171"/>
      <c r="V3376" s="171"/>
      <c r="W3376" s="171"/>
      <c r="X3376" s="171"/>
      <c r="Y3376" s="171"/>
      <c r="Z3376" s="171"/>
      <c r="AA3376" s="171"/>
    </row>
    <row r="3377" spans="1:27" s="530" customFormat="1" hidden="1" x14ac:dyDescent="0.2">
      <c r="A3377" s="464"/>
      <c r="B3377" s="464"/>
      <c r="C3377" s="465"/>
      <c r="D3377" s="464"/>
      <c r="E3377" s="464"/>
      <c r="F3377" s="464" t="s">
        <v>263</v>
      </c>
      <c r="G3377" s="510" t="s">
        <v>264</v>
      </c>
      <c r="H3377" s="411"/>
      <c r="I3377" s="411"/>
      <c r="J3377" s="750" t="e">
        <f t="shared" si="37"/>
        <v>#DIV/0!</v>
      </c>
      <c r="K3377" s="412"/>
      <c r="L3377" s="412"/>
      <c r="M3377" s="682"/>
      <c r="N3377" s="171"/>
      <c r="O3377" s="171"/>
      <c r="P3377" s="169"/>
      <c r="Q3377" s="171"/>
      <c r="R3377" s="171"/>
      <c r="S3377" s="171"/>
      <c r="T3377" s="171"/>
      <c r="U3377" s="171"/>
      <c r="V3377" s="171"/>
      <c r="W3377" s="171"/>
      <c r="X3377" s="171"/>
      <c r="Y3377" s="171"/>
      <c r="Z3377" s="171"/>
      <c r="AA3377" s="171"/>
    </row>
    <row r="3378" spans="1:27" s="530" customFormat="1" ht="13.5" thickBot="1" x14ac:dyDescent="0.25">
      <c r="A3378" s="464"/>
      <c r="B3378" s="464"/>
      <c r="C3378" s="465"/>
      <c r="D3378" s="464"/>
      <c r="E3378" s="464"/>
      <c r="F3378" s="464"/>
      <c r="G3378" s="565" t="s">
        <v>5200</v>
      </c>
      <c r="H3378" s="432">
        <f>SUM(H3362:H3377)</f>
        <v>2700000</v>
      </c>
      <c r="I3378" s="432">
        <f>SUM(I3362)</f>
        <v>2699963.16</v>
      </c>
      <c r="J3378" s="750">
        <f t="shared" si="37"/>
        <v>99.998635555555566</v>
      </c>
      <c r="K3378" s="430">
        <f>SUM(K3363:K3377)</f>
        <v>0</v>
      </c>
      <c r="L3378" s="430"/>
      <c r="M3378" s="682"/>
      <c r="N3378" s="171"/>
      <c r="O3378" s="171"/>
      <c r="P3378" s="169"/>
      <c r="Q3378" s="171"/>
      <c r="R3378" s="171"/>
      <c r="S3378" s="171"/>
      <c r="T3378" s="171"/>
      <c r="U3378" s="171"/>
      <c r="V3378" s="171"/>
      <c r="W3378" s="171"/>
      <c r="X3378" s="171"/>
      <c r="Y3378" s="171"/>
      <c r="Z3378" s="171"/>
      <c r="AA3378" s="171"/>
    </row>
    <row r="3379" spans="1:27" s="530" customFormat="1" ht="3" customHeight="1" x14ac:dyDescent="0.2">
      <c r="A3379" s="464"/>
      <c r="B3379" s="464"/>
      <c r="C3379" s="465"/>
      <c r="D3379" s="464"/>
      <c r="E3379" s="464"/>
      <c r="F3379" s="464"/>
      <c r="G3379" s="510"/>
      <c r="H3379" s="411"/>
      <c r="I3379" s="411"/>
      <c r="J3379" s="750" t="e">
        <f t="shared" si="37"/>
        <v>#DIV/0!</v>
      </c>
      <c r="K3379" s="412"/>
      <c r="L3379" s="412"/>
      <c r="M3379" s="682"/>
      <c r="N3379" s="171"/>
      <c r="O3379" s="171"/>
      <c r="P3379" s="169"/>
      <c r="Q3379" s="171"/>
      <c r="R3379" s="171"/>
      <c r="S3379" s="171"/>
      <c r="T3379" s="171"/>
      <c r="U3379" s="171"/>
      <c r="V3379" s="171"/>
      <c r="W3379" s="171"/>
      <c r="X3379" s="171"/>
      <c r="Y3379" s="171"/>
      <c r="Z3379" s="171"/>
      <c r="AA3379" s="171"/>
    </row>
    <row r="3380" spans="1:27" s="530" customFormat="1" hidden="1" x14ac:dyDescent="0.2">
      <c r="A3380" s="464"/>
      <c r="B3380" s="464"/>
      <c r="C3380" s="465"/>
      <c r="D3380" s="464"/>
      <c r="E3380" s="464"/>
      <c r="F3380" s="464"/>
      <c r="G3380" s="510"/>
      <c r="H3380" s="411"/>
      <c r="I3380" s="411"/>
      <c r="J3380" s="750" t="e">
        <f t="shared" si="37"/>
        <v>#DIV/0!</v>
      </c>
      <c r="K3380" s="412"/>
      <c r="L3380" s="412"/>
      <c r="M3380" s="682"/>
      <c r="N3380" s="171"/>
      <c r="O3380" s="171"/>
      <c r="P3380" s="169"/>
      <c r="Q3380" s="171"/>
      <c r="R3380" s="171"/>
      <c r="S3380" s="171"/>
      <c r="T3380" s="171"/>
      <c r="U3380" s="171"/>
      <c r="V3380" s="171"/>
      <c r="W3380" s="171"/>
      <c r="X3380" s="171"/>
      <c r="Y3380" s="171"/>
      <c r="Z3380" s="171"/>
      <c r="AA3380" s="171"/>
    </row>
    <row r="3381" spans="1:27" s="530" customFormat="1" hidden="1" x14ac:dyDescent="0.2">
      <c r="A3381" s="464"/>
      <c r="B3381" s="464"/>
      <c r="C3381" s="465"/>
      <c r="D3381" s="464"/>
      <c r="E3381" s="464"/>
      <c r="F3381" s="464"/>
      <c r="G3381" s="510"/>
      <c r="H3381" s="411"/>
      <c r="I3381" s="411"/>
      <c r="J3381" s="750" t="e">
        <f t="shared" si="37"/>
        <v>#DIV/0!</v>
      </c>
      <c r="K3381" s="412"/>
      <c r="L3381" s="412"/>
      <c r="M3381" s="682"/>
      <c r="N3381" s="171"/>
      <c r="O3381" s="171"/>
      <c r="P3381" s="169"/>
      <c r="Q3381" s="171"/>
      <c r="R3381" s="171"/>
      <c r="S3381" s="171"/>
      <c r="T3381" s="171"/>
      <c r="U3381" s="171"/>
      <c r="V3381" s="171"/>
      <c r="W3381" s="171"/>
      <c r="X3381" s="171"/>
      <c r="Y3381" s="171"/>
      <c r="Z3381" s="171"/>
      <c r="AA3381" s="171"/>
    </row>
    <row r="3382" spans="1:27" s="530" customFormat="1" hidden="1" x14ac:dyDescent="0.2">
      <c r="A3382" s="464"/>
      <c r="B3382" s="464"/>
      <c r="C3382" s="465"/>
      <c r="D3382" s="464"/>
      <c r="E3382" s="464"/>
      <c r="F3382" s="464"/>
      <c r="G3382" s="510"/>
      <c r="H3382" s="411"/>
      <c r="I3382" s="411"/>
      <c r="J3382" s="750" t="e">
        <f t="shared" si="37"/>
        <v>#DIV/0!</v>
      </c>
      <c r="K3382" s="412"/>
      <c r="L3382" s="412"/>
      <c r="M3382" s="682"/>
      <c r="N3382" s="171"/>
      <c r="O3382" s="171"/>
      <c r="P3382" s="169"/>
      <c r="Q3382" s="171"/>
      <c r="R3382" s="171"/>
      <c r="S3382" s="171"/>
      <c r="T3382" s="171"/>
      <c r="U3382" s="171"/>
      <c r="V3382" s="171"/>
      <c r="W3382" s="171"/>
      <c r="X3382" s="171"/>
      <c r="Y3382" s="171"/>
      <c r="Z3382" s="171"/>
      <c r="AA3382" s="171"/>
    </row>
    <row r="3383" spans="1:27" s="530" customFormat="1" hidden="1" x14ac:dyDescent="0.2">
      <c r="A3383" s="464"/>
      <c r="B3383" s="464"/>
      <c r="C3383" s="465"/>
      <c r="D3383" s="464"/>
      <c r="E3383" s="464"/>
      <c r="F3383" s="464"/>
      <c r="G3383" s="510"/>
      <c r="H3383" s="411"/>
      <c r="I3383" s="411"/>
      <c r="J3383" s="750" t="e">
        <f t="shared" si="37"/>
        <v>#DIV/0!</v>
      </c>
      <c r="K3383" s="412"/>
      <c r="L3383" s="412"/>
      <c r="M3383" s="682"/>
      <c r="N3383" s="171"/>
      <c r="O3383" s="171"/>
      <c r="P3383" s="169"/>
      <c r="Q3383" s="171"/>
      <c r="R3383" s="171"/>
      <c r="S3383" s="171"/>
      <c r="T3383" s="171"/>
      <c r="U3383" s="171"/>
      <c r="V3383" s="171"/>
      <c r="W3383" s="171"/>
      <c r="X3383" s="171"/>
      <c r="Y3383" s="171"/>
      <c r="Z3383" s="171"/>
      <c r="AA3383" s="171"/>
    </row>
    <row r="3384" spans="1:27" s="530" customFormat="1" hidden="1" x14ac:dyDescent="0.2">
      <c r="A3384" s="464"/>
      <c r="B3384" s="464"/>
      <c r="C3384" s="465"/>
      <c r="D3384" s="464"/>
      <c r="E3384" s="464"/>
      <c r="F3384" s="464"/>
      <c r="G3384" s="510"/>
      <c r="H3384" s="411"/>
      <c r="I3384" s="411"/>
      <c r="J3384" s="750" t="e">
        <f t="shared" si="37"/>
        <v>#DIV/0!</v>
      </c>
      <c r="K3384" s="412"/>
      <c r="L3384" s="412"/>
      <c r="M3384" s="682"/>
      <c r="N3384" s="171"/>
      <c r="O3384" s="171"/>
      <c r="P3384" s="169"/>
      <c r="Q3384" s="171"/>
      <c r="R3384" s="171"/>
      <c r="S3384" s="171"/>
      <c r="T3384" s="171"/>
      <c r="U3384" s="171"/>
      <c r="V3384" s="171"/>
      <c r="W3384" s="171"/>
      <c r="X3384" s="171"/>
      <c r="Y3384" s="171"/>
      <c r="Z3384" s="171"/>
      <c r="AA3384" s="171"/>
    </row>
    <row r="3385" spans="1:27" s="530" customFormat="1" hidden="1" x14ac:dyDescent="0.2">
      <c r="A3385" s="464"/>
      <c r="B3385" s="464"/>
      <c r="C3385" s="465"/>
      <c r="D3385" s="464"/>
      <c r="E3385" s="464"/>
      <c r="F3385" s="464"/>
      <c r="G3385" s="510"/>
      <c r="H3385" s="411"/>
      <c r="I3385" s="411"/>
      <c r="J3385" s="750" t="e">
        <f t="shared" si="37"/>
        <v>#DIV/0!</v>
      </c>
      <c r="K3385" s="412"/>
      <c r="L3385" s="412"/>
      <c r="M3385" s="682"/>
      <c r="N3385" s="171"/>
      <c r="O3385" s="171"/>
      <c r="P3385" s="169"/>
      <c r="Q3385" s="171"/>
      <c r="R3385" s="171"/>
      <c r="S3385" s="171"/>
      <c r="T3385" s="171"/>
      <c r="U3385" s="171"/>
      <c r="V3385" s="171"/>
      <c r="W3385" s="171"/>
      <c r="X3385" s="171"/>
      <c r="Y3385" s="171"/>
      <c r="Z3385" s="171"/>
      <c r="AA3385" s="171"/>
    </row>
    <row r="3386" spans="1:27" s="530" customFormat="1" hidden="1" x14ac:dyDescent="0.2">
      <c r="A3386" s="464"/>
      <c r="B3386" s="464"/>
      <c r="C3386" s="465"/>
      <c r="D3386" s="464"/>
      <c r="E3386" s="464"/>
      <c r="F3386" s="464"/>
      <c r="G3386" s="510"/>
      <c r="H3386" s="411"/>
      <c r="I3386" s="411"/>
      <c r="J3386" s="750" t="e">
        <f t="shared" si="37"/>
        <v>#DIV/0!</v>
      </c>
      <c r="K3386" s="412"/>
      <c r="L3386" s="412"/>
      <c r="M3386" s="682"/>
      <c r="N3386" s="171"/>
      <c r="O3386" s="171"/>
      <c r="P3386" s="169"/>
      <c r="Q3386" s="171"/>
      <c r="R3386" s="171"/>
      <c r="S3386" s="171"/>
      <c r="T3386" s="171"/>
      <c r="U3386" s="171"/>
      <c r="V3386" s="171"/>
      <c r="W3386" s="171"/>
      <c r="X3386" s="171"/>
      <c r="Y3386" s="171"/>
      <c r="Z3386" s="171"/>
      <c r="AA3386" s="171"/>
    </row>
    <row r="3387" spans="1:27" s="530" customFormat="1" hidden="1" x14ac:dyDescent="0.2">
      <c r="A3387" s="464"/>
      <c r="B3387" s="464"/>
      <c r="C3387" s="465"/>
      <c r="D3387" s="464"/>
      <c r="E3387" s="464"/>
      <c r="F3387" s="464"/>
      <c r="G3387" s="510"/>
      <c r="H3387" s="411"/>
      <c r="I3387" s="411"/>
      <c r="J3387" s="750" t="e">
        <f t="shared" si="37"/>
        <v>#DIV/0!</v>
      </c>
      <c r="K3387" s="412"/>
      <c r="L3387" s="412"/>
      <c r="M3387" s="682"/>
      <c r="N3387" s="171"/>
      <c r="O3387" s="171"/>
      <c r="P3387" s="169"/>
      <c r="Q3387" s="171"/>
      <c r="R3387" s="171"/>
      <c r="S3387" s="171"/>
      <c r="T3387" s="171"/>
      <c r="U3387" s="171"/>
      <c r="V3387" s="171"/>
      <c r="W3387" s="171"/>
      <c r="X3387" s="171"/>
      <c r="Y3387" s="171"/>
      <c r="Z3387" s="171"/>
      <c r="AA3387" s="171"/>
    </row>
    <row r="3388" spans="1:27" s="530" customFormat="1" hidden="1" x14ac:dyDescent="0.2">
      <c r="A3388" s="464"/>
      <c r="B3388" s="464"/>
      <c r="C3388" s="465"/>
      <c r="D3388" s="464"/>
      <c r="E3388" s="464"/>
      <c r="F3388" s="464"/>
      <c r="G3388" s="510"/>
      <c r="H3388" s="411"/>
      <c r="I3388" s="411"/>
      <c r="J3388" s="750" t="e">
        <f t="shared" si="37"/>
        <v>#DIV/0!</v>
      </c>
      <c r="K3388" s="412"/>
      <c r="L3388" s="412"/>
      <c r="M3388" s="682"/>
      <c r="N3388" s="171"/>
      <c r="O3388" s="171"/>
      <c r="P3388" s="169"/>
      <c r="Q3388" s="171"/>
      <c r="R3388" s="171"/>
      <c r="S3388" s="171"/>
      <c r="T3388" s="171"/>
      <c r="U3388" s="171"/>
      <c r="V3388" s="171"/>
      <c r="W3388" s="171"/>
      <c r="X3388" s="171"/>
      <c r="Y3388" s="171"/>
      <c r="Z3388" s="171"/>
      <c r="AA3388" s="171"/>
    </row>
    <row r="3389" spans="1:27" s="530" customFormat="1" hidden="1" x14ac:dyDescent="0.2">
      <c r="A3389" s="464"/>
      <c r="B3389" s="464"/>
      <c r="C3389" s="465"/>
      <c r="D3389" s="464"/>
      <c r="E3389" s="464"/>
      <c r="F3389" s="464"/>
      <c r="G3389" s="510"/>
      <c r="H3389" s="411"/>
      <c r="I3389" s="411"/>
      <c r="J3389" s="750" t="e">
        <f t="shared" si="37"/>
        <v>#DIV/0!</v>
      </c>
      <c r="K3389" s="412"/>
      <c r="L3389" s="412"/>
      <c r="M3389" s="682"/>
      <c r="N3389" s="171"/>
      <c r="O3389" s="171"/>
      <c r="P3389" s="169"/>
      <c r="Q3389" s="171"/>
      <c r="R3389" s="171"/>
      <c r="S3389" s="171"/>
      <c r="T3389" s="171"/>
      <c r="U3389" s="171"/>
      <c r="V3389" s="171"/>
      <c r="W3389" s="171"/>
      <c r="X3389" s="171"/>
      <c r="Y3389" s="171"/>
      <c r="Z3389" s="171"/>
      <c r="AA3389" s="171"/>
    </row>
    <row r="3390" spans="1:27" s="530" customFormat="1" hidden="1" x14ac:dyDescent="0.2">
      <c r="A3390" s="464"/>
      <c r="B3390" s="464"/>
      <c r="C3390" s="465"/>
      <c r="D3390" s="464"/>
      <c r="E3390" s="464"/>
      <c r="F3390" s="464"/>
      <c r="G3390" s="510"/>
      <c r="H3390" s="411"/>
      <c r="I3390" s="411"/>
      <c r="J3390" s="750" t="e">
        <f t="shared" si="37"/>
        <v>#DIV/0!</v>
      </c>
      <c r="K3390" s="412"/>
      <c r="L3390" s="412"/>
      <c r="M3390" s="682"/>
      <c r="N3390" s="171"/>
      <c r="O3390" s="171"/>
      <c r="P3390" s="169"/>
      <c r="Q3390" s="171"/>
      <c r="R3390" s="171"/>
      <c r="S3390" s="171"/>
      <c r="T3390" s="171"/>
      <c r="U3390" s="171"/>
      <c r="V3390" s="171"/>
      <c r="W3390" s="171"/>
      <c r="X3390" s="171"/>
      <c r="Y3390" s="171"/>
      <c r="Z3390" s="171"/>
      <c r="AA3390" s="171"/>
    </row>
    <row r="3391" spans="1:27" s="530" customFormat="1" hidden="1" x14ac:dyDescent="0.2">
      <c r="A3391" s="464"/>
      <c r="B3391" s="464"/>
      <c r="C3391" s="465"/>
      <c r="D3391" s="464"/>
      <c r="E3391" s="464"/>
      <c r="F3391" s="464"/>
      <c r="G3391" s="510"/>
      <c r="H3391" s="411"/>
      <c r="I3391" s="411"/>
      <c r="J3391" s="750" t="e">
        <f t="shared" si="37"/>
        <v>#DIV/0!</v>
      </c>
      <c r="K3391" s="412"/>
      <c r="L3391" s="412"/>
      <c r="M3391" s="682"/>
      <c r="N3391" s="171"/>
      <c r="O3391" s="171"/>
      <c r="P3391" s="169"/>
      <c r="Q3391" s="171"/>
      <c r="R3391" s="171"/>
      <c r="S3391" s="171"/>
      <c r="T3391" s="171"/>
      <c r="U3391" s="171"/>
      <c r="V3391" s="171"/>
      <c r="W3391" s="171"/>
      <c r="X3391" s="171"/>
      <c r="Y3391" s="171"/>
      <c r="Z3391" s="171"/>
      <c r="AA3391" s="171"/>
    </row>
    <row r="3392" spans="1:27" s="530" customFormat="1" hidden="1" x14ac:dyDescent="0.2">
      <c r="A3392" s="526"/>
      <c r="B3392" s="527"/>
      <c r="C3392" s="465"/>
      <c r="D3392" s="464"/>
      <c r="E3392" s="464"/>
      <c r="F3392" s="464"/>
      <c r="G3392" s="510"/>
      <c r="H3392" s="411"/>
      <c r="I3392" s="411"/>
      <c r="J3392" s="750" t="e">
        <f t="shared" si="37"/>
        <v>#DIV/0!</v>
      </c>
      <c r="K3392" s="412"/>
      <c r="L3392" s="412"/>
      <c r="M3392" s="682"/>
      <c r="N3392" s="171"/>
      <c r="O3392" s="171"/>
      <c r="P3392" s="169"/>
      <c r="Q3392" s="171"/>
      <c r="R3392" s="171"/>
      <c r="S3392" s="171"/>
      <c r="T3392" s="171"/>
      <c r="U3392" s="171"/>
      <c r="V3392" s="171"/>
      <c r="W3392" s="171"/>
      <c r="X3392" s="171"/>
      <c r="Y3392" s="171"/>
      <c r="Z3392" s="171"/>
      <c r="AA3392" s="171"/>
    </row>
    <row r="3393" spans="1:27" s="530" customFormat="1" hidden="1" x14ac:dyDescent="0.2">
      <c r="A3393" s="526"/>
      <c r="B3393" s="527"/>
      <c r="C3393" s="489" t="s">
        <v>3576</v>
      </c>
      <c r="D3393" s="464"/>
      <c r="E3393" s="464"/>
      <c r="F3393" s="464"/>
      <c r="G3393" s="513" t="s">
        <v>4306</v>
      </c>
      <c r="H3393" s="397"/>
      <c r="I3393" s="397"/>
      <c r="J3393" s="750" t="e">
        <f t="shared" si="37"/>
        <v>#DIV/0!</v>
      </c>
      <c r="K3393" s="398"/>
      <c r="L3393" s="398"/>
      <c r="M3393" s="682"/>
      <c r="N3393" s="171"/>
      <c r="O3393" s="171"/>
      <c r="P3393" s="169"/>
      <c r="Q3393" s="171"/>
      <c r="R3393" s="171"/>
      <c r="S3393" s="171"/>
      <c r="T3393" s="171"/>
      <c r="U3393" s="171"/>
      <c r="V3393" s="171"/>
      <c r="W3393" s="171"/>
      <c r="X3393" s="171"/>
      <c r="Y3393" s="171"/>
      <c r="Z3393" s="171"/>
      <c r="AA3393" s="171"/>
    </row>
    <row r="3394" spans="1:27" s="530" customFormat="1" ht="18" customHeight="1" x14ac:dyDescent="0.2">
      <c r="A3394" s="526"/>
      <c r="B3394" s="527"/>
      <c r="C3394" s="542" t="s">
        <v>4634</v>
      </c>
      <c r="D3394" s="173"/>
      <c r="E3394" s="173"/>
      <c r="F3394" s="502"/>
      <c r="G3394" s="510" t="s">
        <v>5198</v>
      </c>
      <c r="H3394" s="397"/>
      <c r="I3394" s="397"/>
      <c r="J3394" s="750"/>
      <c r="K3394" s="398"/>
      <c r="L3394" s="398"/>
      <c r="M3394" s="682"/>
      <c r="N3394" s="171"/>
      <c r="O3394" s="171"/>
      <c r="P3394" s="169"/>
      <c r="Q3394" s="171"/>
      <c r="R3394" s="171"/>
      <c r="S3394" s="171"/>
      <c r="T3394" s="171"/>
      <c r="U3394" s="171"/>
      <c r="V3394" s="171"/>
      <c r="W3394" s="171"/>
      <c r="X3394" s="171"/>
      <c r="Y3394" s="171"/>
      <c r="Z3394" s="171"/>
      <c r="AA3394" s="171"/>
    </row>
    <row r="3395" spans="1:27" s="530" customFormat="1" x14ac:dyDescent="0.2">
      <c r="A3395" s="526"/>
      <c r="B3395" s="527"/>
      <c r="C3395" s="489"/>
      <c r="D3395" s="492">
        <v>620</v>
      </c>
      <c r="E3395" s="492"/>
      <c r="F3395" s="492"/>
      <c r="G3395" s="514" t="s">
        <v>182</v>
      </c>
      <c r="H3395" s="397"/>
      <c r="I3395" s="397"/>
      <c r="J3395" s="750"/>
      <c r="K3395" s="398"/>
      <c r="L3395" s="398"/>
      <c r="M3395" s="682"/>
      <c r="N3395" s="171"/>
      <c r="O3395" s="171"/>
      <c r="P3395" s="169"/>
      <c r="Q3395" s="171"/>
      <c r="R3395" s="171"/>
      <c r="S3395" s="171"/>
      <c r="T3395" s="171"/>
      <c r="U3395" s="171"/>
      <c r="V3395" s="171"/>
      <c r="W3395" s="171"/>
      <c r="X3395" s="171"/>
      <c r="Y3395" s="171"/>
      <c r="Z3395" s="171"/>
      <c r="AA3395" s="171"/>
    </row>
    <row r="3396" spans="1:27" s="530" customFormat="1" hidden="1" x14ac:dyDescent="0.2">
      <c r="A3396" s="526"/>
      <c r="B3396" s="527"/>
      <c r="C3396" s="465"/>
      <c r="D3396" s="464"/>
      <c r="E3396" s="464"/>
      <c r="F3396" s="494">
        <v>411</v>
      </c>
      <c r="G3396" s="495" t="s">
        <v>4167</v>
      </c>
      <c r="H3396" s="397"/>
      <c r="I3396" s="397"/>
      <c r="J3396" s="750" t="e">
        <f t="shared" si="37"/>
        <v>#DIV/0!</v>
      </c>
      <c r="K3396" s="398"/>
      <c r="L3396" s="398"/>
      <c r="M3396" s="682"/>
      <c r="N3396" s="171"/>
      <c r="O3396" s="171"/>
      <c r="P3396" s="169"/>
      <c r="Q3396" s="171"/>
      <c r="R3396" s="171"/>
      <c r="S3396" s="171"/>
      <c r="T3396" s="171"/>
      <c r="U3396" s="171"/>
      <c r="V3396" s="171"/>
      <c r="W3396" s="171"/>
      <c r="X3396" s="171"/>
      <c r="Y3396" s="171"/>
      <c r="Z3396" s="171"/>
      <c r="AA3396" s="171"/>
    </row>
    <row r="3397" spans="1:27" s="530" customFormat="1" hidden="1" x14ac:dyDescent="0.2">
      <c r="A3397" s="526"/>
      <c r="B3397" s="527"/>
      <c r="C3397" s="465"/>
      <c r="D3397" s="464"/>
      <c r="E3397" s="464"/>
      <c r="F3397" s="494">
        <v>412</v>
      </c>
      <c r="G3397" s="496" t="s">
        <v>3764</v>
      </c>
      <c r="H3397" s="397"/>
      <c r="I3397" s="397"/>
      <c r="J3397" s="750" t="e">
        <f t="shared" si="37"/>
        <v>#DIV/0!</v>
      </c>
      <c r="K3397" s="398"/>
      <c r="L3397" s="398"/>
      <c r="M3397" s="682"/>
      <c r="N3397" s="171"/>
      <c r="O3397" s="171"/>
      <c r="P3397" s="169"/>
      <c r="Q3397" s="171"/>
      <c r="R3397" s="171"/>
      <c r="S3397" s="171"/>
      <c r="T3397" s="171"/>
      <c r="U3397" s="171"/>
      <c r="V3397" s="171"/>
      <c r="W3397" s="171"/>
      <c r="X3397" s="171"/>
      <c r="Y3397" s="171"/>
      <c r="Z3397" s="171"/>
      <c r="AA3397" s="171"/>
    </row>
    <row r="3398" spans="1:27" s="530" customFormat="1" hidden="1" x14ac:dyDescent="0.2">
      <c r="A3398" s="526"/>
      <c r="B3398" s="527"/>
      <c r="C3398" s="465"/>
      <c r="D3398" s="464"/>
      <c r="E3398" s="464"/>
      <c r="F3398" s="494">
        <v>413</v>
      </c>
      <c r="G3398" s="495" t="s">
        <v>4168</v>
      </c>
      <c r="H3398" s="397"/>
      <c r="I3398" s="397"/>
      <c r="J3398" s="750" t="e">
        <f t="shared" si="37"/>
        <v>#DIV/0!</v>
      </c>
      <c r="K3398" s="398"/>
      <c r="L3398" s="398"/>
      <c r="M3398" s="682"/>
      <c r="N3398" s="171"/>
      <c r="O3398" s="171"/>
      <c r="P3398" s="169"/>
      <c r="Q3398" s="171"/>
      <c r="R3398" s="171"/>
      <c r="S3398" s="171"/>
      <c r="T3398" s="171"/>
      <c r="U3398" s="171"/>
      <c r="V3398" s="171"/>
      <c r="W3398" s="171"/>
      <c r="X3398" s="171"/>
      <c r="Y3398" s="171"/>
      <c r="Z3398" s="171"/>
      <c r="AA3398" s="171"/>
    </row>
    <row r="3399" spans="1:27" s="530" customFormat="1" hidden="1" x14ac:dyDescent="0.2">
      <c r="A3399" s="526"/>
      <c r="B3399" s="527"/>
      <c r="C3399" s="465"/>
      <c r="D3399" s="464"/>
      <c r="E3399" s="464"/>
      <c r="F3399" s="494">
        <v>414</v>
      </c>
      <c r="G3399" s="495" t="s">
        <v>3767</v>
      </c>
      <c r="H3399" s="397"/>
      <c r="I3399" s="397"/>
      <c r="J3399" s="750" t="e">
        <f t="shared" si="37"/>
        <v>#DIV/0!</v>
      </c>
      <c r="K3399" s="398"/>
      <c r="L3399" s="398"/>
      <c r="M3399" s="682"/>
      <c r="N3399" s="171"/>
      <c r="O3399" s="171"/>
      <c r="P3399" s="169"/>
      <c r="Q3399" s="171"/>
      <c r="R3399" s="171"/>
      <c r="S3399" s="171"/>
      <c r="T3399" s="171"/>
      <c r="U3399" s="171"/>
      <c r="V3399" s="171"/>
      <c r="W3399" s="171"/>
      <c r="X3399" s="171"/>
      <c r="Y3399" s="171"/>
      <c r="Z3399" s="171"/>
      <c r="AA3399" s="171"/>
    </row>
    <row r="3400" spans="1:27" s="530" customFormat="1" hidden="1" x14ac:dyDescent="0.2">
      <c r="A3400" s="526"/>
      <c r="B3400" s="527"/>
      <c r="C3400" s="465"/>
      <c r="D3400" s="464"/>
      <c r="E3400" s="464"/>
      <c r="F3400" s="494">
        <v>415</v>
      </c>
      <c r="G3400" s="495" t="s">
        <v>4177</v>
      </c>
      <c r="H3400" s="397"/>
      <c r="I3400" s="397"/>
      <c r="J3400" s="750" t="e">
        <f t="shared" si="37"/>
        <v>#DIV/0!</v>
      </c>
      <c r="K3400" s="398"/>
      <c r="L3400" s="398"/>
      <c r="M3400" s="682"/>
      <c r="N3400" s="171"/>
      <c r="O3400" s="171"/>
      <c r="P3400" s="169"/>
      <c r="Q3400" s="171"/>
      <c r="R3400" s="171"/>
      <c r="S3400" s="171"/>
      <c r="T3400" s="171"/>
      <c r="U3400" s="171"/>
      <c r="V3400" s="171"/>
      <c r="W3400" s="171"/>
      <c r="X3400" s="171"/>
      <c r="Y3400" s="171"/>
      <c r="Z3400" s="171"/>
      <c r="AA3400" s="171"/>
    </row>
    <row r="3401" spans="1:27" s="530" customFormat="1" ht="25.5" hidden="1" x14ac:dyDescent="0.2">
      <c r="A3401" s="526"/>
      <c r="B3401" s="527"/>
      <c r="C3401" s="465"/>
      <c r="D3401" s="464"/>
      <c r="E3401" s="464"/>
      <c r="F3401" s="494">
        <v>416</v>
      </c>
      <c r="G3401" s="495" t="s">
        <v>4178</v>
      </c>
      <c r="H3401" s="397"/>
      <c r="I3401" s="397"/>
      <c r="J3401" s="750" t="e">
        <f t="shared" si="37"/>
        <v>#DIV/0!</v>
      </c>
      <c r="K3401" s="398"/>
      <c r="L3401" s="398"/>
      <c r="M3401" s="682"/>
      <c r="N3401" s="171"/>
      <c r="O3401" s="171"/>
      <c r="P3401" s="169"/>
      <c r="Q3401" s="171"/>
      <c r="R3401" s="171"/>
      <c r="S3401" s="171"/>
      <c r="T3401" s="171"/>
      <c r="U3401" s="171"/>
      <c r="V3401" s="171"/>
      <c r="W3401" s="171"/>
      <c r="X3401" s="171"/>
      <c r="Y3401" s="171"/>
      <c r="Z3401" s="171"/>
      <c r="AA3401" s="171"/>
    </row>
    <row r="3402" spans="1:27" s="530" customFormat="1" hidden="1" x14ac:dyDescent="0.2">
      <c r="A3402" s="526"/>
      <c r="B3402" s="527"/>
      <c r="C3402" s="465"/>
      <c r="D3402" s="464"/>
      <c r="E3402" s="464"/>
      <c r="F3402" s="494">
        <v>417</v>
      </c>
      <c r="G3402" s="495" t="s">
        <v>4179</v>
      </c>
      <c r="H3402" s="397"/>
      <c r="I3402" s="397"/>
      <c r="J3402" s="750" t="e">
        <f t="shared" si="37"/>
        <v>#DIV/0!</v>
      </c>
      <c r="K3402" s="398"/>
      <c r="L3402" s="398"/>
      <c r="M3402" s="682"/>
      <c r="N3402" s="171"/>
      <c r="O3402" s="171"/>
      <c r="P3402" s="169"/>
      <c r="Q3402" s="171"/>
      <c r="R3402" s="171"/>
      <c r="S3402" s="171"/>
      <c r="T3402" s="171"/>
      <c r="U3402" s="171"/>
      <c r="V3402" s="171"/>
      <c r="W3402" s="171"/>
      <c r="X3402" s="171"/>
      <c r="Y3402" s="171"/>
      <c r="Z3402" s="171"/>
      <c r="AA3402" s="171"/>
    </row>
    <row r="3403" spans="1:27" s="530" customFormat="1" hidden="1" x14ac:dyDescent="0.2">
      <c r="A3403" s="526"/>
      <c r="B3403" s="527"/>
      <c r="C3403" s="465"/>
      <c r="D3403" s="464"/>
      <c r="E3403" s="464"/>
      <c r="F3403" s="494">
        <v>418</v>
      </c>
      <c r="G3403" s="495" t="s">
        <v>3773</v>
      </c>
      <c r="H3403" s="397"/>
      <c r="I3403" s="397"/>
      <c r="J3403" s="750" t="e">
        <f t="shared" si="37"/>
        <v>#DIV/0!</v>
      </c>
      <c r="K3403" s="398"/>
      <c r="L3403" s="398"/>
      <c r="M3403" s="682"/>
      <c r="N3403" s="171"/>
      <c r="O3403" s="171"/>
      <c r="P3403" s="169"/>
      <c r="Q3403" s="171"/>
      <c r="R3403" s="171"/>
      <c r="S3403" s="171"/>
      <c r="T3403" s="171"/>
      <c r="U3403" s="171"/>
      <c r="V3403" s="171"/>
      <c r="W3403" s="171"/>
      <c r="X3403" s="171"/>
      <c r="Y3403" s="171"/>
      <c r="Z3403" s="171"/>
      <c r="AA3403" s="171"/>
    </row>
    <row r="3404" spans="1:27" s="530" customFormat="1" hidden="1" x14ac:dyDescent="0.2">
      <c r="A3404" s="526"/>
      <c r="B3404" s="527"/>
      <c r="C3404" s="465"/>
      <c r="D3404" s="464"/>
      <c r="E3404" s="464"/>
      <c r="F3404" s="494">
        <v>421</v>
      </c>
      <c r="G3404" s="495" t="s">
        <v>3777</v>
      </c>
      <c r="H3404" s="397"/>
      <c r="I3404" s="397"/>
      <c r="J3404" s="750" t="e">
        <f t="shared" si="37"/>
        <v>#DIV/0!</v>
      </c>
      <c r="K3404" s="398"/>
      <c r="L3404" s="398"/>
      <c r="M3404" s="682"/>
      <c r="N3404" s="171"/>
      <c r="O3404" s="171"/>
      <c r="P3404" s="169"/>
      <c r="Q3404" s="171"/>
      <c r="R3404" s="171"/>
      <c r="S3404" s="171"/>
      <c r="T3404" s="171"/>
      <c r="U3404" s="171"/>
      <c r="V3404" s="171"/>
      <c r="W3404" s="171"/>
      <c r="X3404" s="171"/>
      <c r="Y3404" s="171"/>
      <c r="Z3404" s="171"/>
      <c r="AA3404" s="171"/>
    </row>
    <row r="3405" spans="1:27" s="530" customFormat="1" hidden="1" x14ac:dyDescent="0.2">
      <c r="A3405" s="526"/>
      <c r="B3405" s="527"/>
      <c r="C3405" s="465"/>
      <c r="D3405" s="464"/>
      <c r="E3405" s="464"/>
      <c r="F3405" s="494">
        <v>422</v>
      </c>
      <c r="G3405" s="495" t="s">
        <v>3778</v>
      </c>
      <c r="H3405" s="397"/>
      <c r="I3405" s="397"/>
      <c r="J3405" s="750" t="e">
        <f t="shared" ref="J3405:J3468" si="38">SUM(I3405/H3405)*100</f>
        <v>#DIV/0!</v>
      </c>
      <c r="K3405" s="398"/>
      <c r="L3405" s="398"/>
      <c r="M3405" s="682"/>
      <c r="N3405" s="171"/>
      <c r="O3405" s="171"/>
      <c r="P3405" s="169"/>
      <c r="Q3405" s="171"/>
      <c r="R3405" s="171"/>
      <c r="S3405" s="171"/>
      <c r="T3405" s="171"/>
      <c r="U3405" s="171"/>
      <c r="V3405" s="171"/>
      <c r="W3405" s="171"/>
      <c r="X3405" s="171"/>
      <c r="Y3405" s="171"/>
      <c r="Z3405" s="171"/>
      <c r="AA3405" s="171"/>
    </row>
    <row r="3406" spans="1:27" s="530" customFormat="1" hidden="1" x14ac:dyDescent="0.2">
      <c r="A3406" s="526"/>
      <c r="B3406" s="527"/>
      <c r="C3406" s="465"/>
      <c r="D3406" s="464"/>
      <c r="E3406" s="464"/>
      <c r="F3406" s="494">
        <v>423</v>
      </c>
      <c r="G3406" s="495" t="s">
        <v>3779</v>
      </c>
      <c r="H3406" s="397"/>
      <c r="I3406" s="397"/>
      <c r="J3406" s="750" t="e">
        <f t="shared" si="38"/>
        <v>#DIV/0!</v>
      </c>
      <c r="K3406" s="398"/>
      <c r="L3406" s="398"/>
      <c r="M3406" s="682"/>
      <c r="N3406" s="171"/>
      <c r="O3406" s="171"/>
      <c r="P3406" s="169"/>
      <c r="Q3406" s="171"/>
      <c r="R3406" s="171"/>
      <c r="S3406" s="171"/>
      <c r="T3406" s="171"/>
      <c r="U3406" s="171"/>
      <c r="V3406" s="171"/>
      <c r="W3406" s="171"/>
      <c r="X3406" s="171"/>
      <c r="Y3406" s="171"/>
      <c r="Z3406" s="171"/>
      <c r="AA3406" s="171"/>
    </row>
    <row r="3407" spans="1:27" s="530" customFormat="1" hidden="1" x14ac:dyDescent="0.2">
      <c r="A3407" s="526"/>
      <c r="B3407" s="527"/>
      <c r="C3407" s="465"/>
      <c r="D3407" s="464"/>
      <c r="E3407" s="464"/>
      <c r="F3407" s="494">
        <v>424</v>
      </c>
      <c r="G3407" s="495" t="s">
        <v>3781</v>
      </c>
      <c r="H3407" s="397"/>
      <c r="I3407" s="397"/>
      <c r="J3407" s="750" t="e">
        <f t="shared" si="38"/>
        <v>#DIV/0!</v>
      </c>
      <c r="K3407" s="398"/>
      <c r="L3407" s="398"/>
      <c r="M3407" s="682"/>
      <c r="N3407" s="171"/>
      <c r="O3407" s="171"/>
      <c r="P3407" s="169"/>
      <c r="Q3407" s="171"/>
      <c r="R3407" s="171"/>
      <c r="S3407" s="171"/>
      <c r="T3407" s="171"/>
      <c r="U3407" s="171"/>
      <c r="V3407" s="171"/>
      <c r="W3407" s="171"/>
      <c r="X3407" s="171"/>
      <c r="Y3407" s="171"/>
      <c r="Z3407" s="171"/>
      <c r="AA3407" s="171"/>
    </row>
    <row r="3408" spans="1:27" s="530" customFormat="1" hidden="1" x14ac:dyDescent="0.2">
      <c r="A3408" s="526"/>
      <c r="B3408" s="527"/>
      <c r="C3408" s="465"/>
      <c r="D3408" s="464"/>
      <c r="E3408" s="464"/>
      <c r="F3408" s="494">
        <v>425</v>
      </c>
      <c r="G3408" s="495" t="s">
        <v>4180</v>
      </c>
      <c r="H3408" s="397"/>
      <c r="I3408" s="397"/>
      <c r="J3408" s="750" t="e">
        <f t="shared" si="38"/>
        <v>#DIV/0!</v>
      </c>
      <c r="K3408" s="398"/>
      <c r="L3408" s="398"/>
      <c r="M3408" s="682"/>
      <c r="N3408" s="171"/>
      <c r="O3408" s="171"/>
      <c r="P3408" s="169"/>
      <c r="Q3408" s="171"/>
      <c r="R3408" s="171"/>
      <c r="S3408" s="171"/>
      <c r="T3408" s="171"/>
      <c r="U3408" s="171"/>
      <c r="V3408" s="171"/>
      <c r="W3408" s="171"/>
      <c r="X3408" s="171"/>
      <c r="Y3408" s="171"/>
      <c r="Z3408" s="171"/>
      <c r="AA3408" s="171"/>
    </row>
    <row r="3409" spans="1:27" s="530" customFormat="1" hidden="1" x14ac:dyDescent="0.2">
      <c r="A3409" s="526"/>
      <c r="B3409" s="527"/>
      <c r="C3409" s="465"/>
      <c r="D3409" s="464"/>
      <c r="E3409" s="464"/>
      <c r="F3409" s="494">
        <v>426</v>
      </c>
      <c r="G3409" s="495" t="s">
        <v>3785</v>
      </c>
      <c r="H3409" s="397"/>
      <c r="I3409" s="397"/>
      <c r="J3409" s="750" t="e">
        <f t="shared" si="38"/>
        <v>#DIV/0!</v>
      </c>
      <c r="K3409" s="398"/>
      <c r="L3409" s="398"/>
      <c r="M3409" s="682"/>
      <c r="N3409" s="171"/>
      <c r="O3409" s="171"/>
      <c r="P3409" s="169"/>
      <c r="Q3409" s="171"/>
      <c r="R3409" s="171"/>
      <c r="S3409" s="171"/>
      <c r="T3409" s="171"/>
      <c r="U3409" s="171"/>
      <c r="V3409" s="171"/>
      <c r="W3409" s="171"/>
      <c r="X3409" s="171"/>
      <c r="Y3409" s="171"/>
      <c r="Z3409" s="171"/>
      <c r="AA3409" s="171"/>
    </row>
    <row r="3410" spans="1:27" s="530" customFormat="1" hidden="1" x14ac:dyDescent="0.2">
      <c r="A3410" s="526"/>
      <c r="B3410" s="527"/>
      <c r="C3410" s="465"/>
      <c r="D3410" s="464"/>
      <c r="E3410" s="464"/>
      <c r="F3410" s="494">
        <v>431</v>
      </c>
      <c r="G3410" s="495" t="s">
        <v>4181</v>
      </c>
      <c r="H3410" s="397"/>
      <c r="I3410" s="397"/>
      <c r="J3410" s="750" t="e">
        <f t="shared" si="38"/>
        <v>#DIV/0!</v>
      </c>
      <c r="K3410" s="398"/>
      <c r="L3410" s="398"/>
      <c r="M3410" s="682"/>
      <c r="N3410" s="171"/>
      <c r="O3410" s="171"/>
      <c r="P3410" s="169"/>
      <c r="Q3410" s="171"/>
      <c r="R3410" s="171"/>
      <c r="S3410" s="171"/>
      <c r="T3410" s="171"/>
      <c r="U3410" s="171"/>
      <c r="V3410" s="171"/>
      <c r="W3410" s="171"/>
      <c r="X3410" s="171"/>
      <c r="Y3410" s="171"/>
      <c r="Z3410" s="171"/>
      <c r="AA3410" s="171"/>
    </row>
    <row r="3411" spans="1:27" s="530" customFormat="1" hidden="1" x14ac:dyDescent="0.2">
      <c r="A3411" s="526"/>
      <c r="B3411" s="527"/>
      <c r="C3411" s="465"/>
      <c r="D3411" s="464"/>
      <c r="E3411" s="464"/>
      <c r="F3411" s="494">
        <v>432</v>
      </c>
      <c r="G3411" s="495" t="s">
        <v>4182</v>
      </c>
      <c r="H3411" s="397"/>
      <c r="I3411" s="397"/>
      <c r="J3411" s="750" t="e">
        <f t="shared" si="38"/>
        <v>#DIV/0!</v>
      </c>
      <c r="K3411" s="398"/>
      <c r="L3411" s="398"/>
      <c r="M3411" s="682"/>
      <c r="N3411" s="171"/>
      <c r="O3411" s="171"/>
      <c r="P3411" s="169"/>
      <c r="Q3411" s="171"/>
      <c r="R3411" s="171"/>
      <c r="S3411" s="171"/>
      <c r="T3411" s="171"/>
      <c r="U3411" s="171"/>
      <c r="V3411" s="171"/>
      <c r="W3411" s="171"/>
      <c r="X3411" s="171"/>
      <c r="Y3411" s="171"/>
      <c r="Z3411" s="171"/>
      <c r="AA3411" s="171"/>
    </row>
    <row r="3412" spans="1:27" s="530" customFormat="1" hidden="1" x14ac:dyDescent="0.2">
      <c r="A3412" s="526"/>
      <c r="B3412" s="527"/>
      <c r="C3412" s="465"/>
      <c r="D3412" s="464"/>
      <c r="E3412" s="464"/>
      <c r="F3412" s="494">
        <v>433</v>
      </c>
      <c r="G3412" s="495" t="s">
        <v>4183</v>
      </c>
      <c r="H3412" s="397"/>
      <c r="I3412" s="397"/>
      <c r="J3412" s="750" t="e">
        <f t="shared" si="38"/>
        <v>#DIV/0!</v>
      </c>
      <c r="K3412" s="398"/>
      <c r="L3412" s="398"/>
      <c r="M3412" s="682"/>
      <c r="N3412" s="171"/>
      <c r="O3412" s="171"/>
      <c r="P3412" s="169"/>
      <c r="Q3412" s="171"/>
      <c r="R3412" s="171"/>
      <c r="S3412" s="171"/>
      <c r="T3412" s="171"/>
      <c r="U3412" s="171"/>
      <c r="V3412" s="171"/>
      <c r="W3412" s="171"/>
      <c r="X3412" s="171"/>
      <c r="Y3412" s="171"/>
      <c r="Z3412" s="171"/>
      <c r="AA3412" s="171"/>
    </row>
    <row r="3413" spans="1:27" s="530" customFormat="1" hidden="1" x14ac:dyDescent="0.2">
      <c r="A3413" s="526"/>
      <c r="B3413" s="527"/>
      <c r="C3413" s="465"/>
      <c r="D3413" s="464"/>
      <c r="E3413" s="464"/>
      <c r="F3413" s="494">
        <v>434</v>
      </c>
      <c r="G3413" s="495" t="s">
        <v>4184</v>
      </c>
      <c r="H3413" s="397"/>
      <c r="I3413" s="397"/>
      <c r="J3413" s="750" t="e">
        <f t="shared" si="38"/>
        <v>#DIV/0!</v>
      </c>
      <c r="K3413" s="398"/>
      <c r="L3413" s="398"/>
      <c r="M3413" s="682"/>
      <c r="N3413" s="171"/>
      <c r="O3413" s="171"/>
      <c r="P3413" s="169"/>
      <c r="Q3413" s="171"/>
      <c r="R3413" s="171"/>
      <c r="S3413" s="171"/>
      <c r="T3413" s="171"/>
      <c r="U3413" s="171"/>
      <c r="V3413" s="171"/>
      <c r="W3413" s="171"/>
      <c r="X3413" s="171"/>
      <c r="Y3413" s="171"/>
      <c r="Z3413" s="171"/>
      <c r="AA3413" s="171"/>
    </row>
    <row r="3414" spans="1:27" s="530" customFormat="1" hidden="1" x14ac:dyDescent="0.2">
      <c r="A3414" s="526"/>
      <c r="B3414" s="527"/>
      <c r="C3414" s="465"/>
      <c r="D3414" s="464"/>
      <c r="E3414" s="464"/>
      <c r="F3414" s="494">
        <v>435</v>
      </c>
      <c r="G3414" s="495" t="s">
        <v>3792</v>
      </c>
      <c r="H3414" s="397"/>
      <c r="I3414" s="397"/>
      <c r="J3414" s="750" t="e">
        <f t="shared" si="38"/>
        <v>#DIV/0!</v>
      </c>
      <c r="K3414" s="398"/>
      <c r="L3414" s="398"/>
      <c r="M3414" s="682"/>
      <c r="N3414" s="171"/>
      <c r="O3414" s="171"/>
      <c r="P3414" s="169"/>
      <c r="Q3414" s="171"/>
      <c r="R3414" s="171"/>
      <c r="S3414" s="171"/>
      <c r="T3414" s="171"/>
      <c r="U3414" s="171"/>
      <c r="V3414" s="171"/>
      <c r="W3414" s="171"/>
      <c r="X3414" s="171"/>
      <c r="Y3414" s="171"/>
      <c r="Z3414" s="171"/>
      <c r="AA3414" s="171"/>
    </row>
    <row r="3415" spans="1:27" s="530" customFormat="1" hidden="1" x14ac:dyDescent="0.2">
      <c r="A3415" s="526"/>
      <c r="B3415" s="527"/>
      <c r="C3415" s="465"/>
      <c r="D3415" s="464"/>
      <c r="E3415" s="464"/>
      <c r="F3415" s="494">
        <v>441</v>
      </c>
      <c r="G3415" s="495" t="s">
        <v>4185</v>
      </c>
      <c r="H3415" s="397"/>
      <c r="I3415" s="397"/>
      <c r="J3415" s="750" t="e">
        <f t="shared" si="38"/>
        <v>#DIV/0!</v>
      </c>
      <c r="K3415" s="398"/>
      <c r="L3415" s="398"/>
      <c r="M3415" s="682"/>
      <c r="N3415" s="171"/>
      <c r="O3415" s="171"/>
      <c r="P3415" s="169"/>
      <c r="Q3415" s="171"/>
      <c r="R3415" s="171"/>
      <c r="S3415" s="171"/>
      <c r="T3415" s="171"/>
      <c r="U3415" s="171"/>
      <c r="V3415" s="171"/>
      <c r="W3415" s="171"/>
      <c r="X3415" s="171"/>
      <c r="Y3415" s="171"/>
      <c r="Z3415" s="171"/>
      <c r="AA3415" s="171"/>
    </row>
    <row r="3416" spans="1:27" s="530" customFormat="1" hidden="1" x14ac:dyDescent="0.2">
      <c r="A3416" s="526"/>
      <c r="B3416" s="527"/>
      <c r="C3416" s="465"/>
      <c r="D3416" s="464"/>
      <c r="E3416" s="464"/>
      <c r="F3416" s="494">
        <v>442</v>
      </c>
      <c r="G3416" s="495" t="s">
        <v>4186</v>
      </c>
      <c r="H3416" s="397"/>
      <c r="I3416" s="397"/>
      <c r="J3416" s="750" t="e">
        <f t="shared" si="38"/>
        <v>#DIV/0!</v>
      </c>
      <c r="K3416" s="398"/>
      <c r="L3416" s="398"/>
      <c r="M3416" s="682"/>
      <c r="N3416" s="171"/>
      <c r="O3416" s="171"/>
      <c r="P3416" s="169"/>
      <c r="Q3416" s="171"/>
      <c r="R3416" s="171"/>
      <c r="S3416" s="171"/>
      <c r="T3416" s="171"/>
      <c r="U3416" s="171"/>
      <c r="V3416" s="171"/>
      <c r="W3416" s="171"/>
      <c r="X3416" s="171"/>
      <c r="Y3416" s="171"/>
      <c r="Z3416" s="171"/>
      <c r="AA3416" s="171"/>
    </row>
    <row r="3417" spans="1:27" s="530" customFormat="1" hidden="1" x14ac:dyDescent="0.2">
      <c r="A3417" s="526"/>
      <c r="B3417" s="527"/>
      <c r="C3417" s="465"/>
      <c r="D3417" s="464"/>
      <c r="E3417" s="464"/>
      <c r="F3417" s="494">
        <v>443</v>
      </c>
      <c r="G3417" s="495" t="s">
        <v>3797</v>
      </c>
      <c r="H3417" s="397"/>
      <c r="I3417" s="397"/>
      <c r="J3417" s="750" t="e">
        <f t="shared" si="38"/>
        <v>#DIV/0!</v>
      </c>
      <c r="K3417" s="398"/>
      <c r="L3417" s="398"/>
      <c r="M3417" s="682"/>
      <c r="N3417" s="171"/>
      <c r="O3417" s="171"/>
      <c r="P3417" s="169"/>
      <c r="Q3417" s="171"/>
      <c r="R3417" s="171"/>
      <c r="S3417" s="171"/>
      <c r="T3417" s="171"/>
      <c r="U3417" s="171"/>
      <c r="V3417" s="171"/>
      <c r="W3417" s="171"/>
      <c r="X3417" s="171"/>
      <c r="Y3417" s="171"/>
      <c r="Z3417" s="171"/>
      <c r="AA3417" s="171"/>
    </row>
    <row r="3418" spans="1:27" s="530" customFormat="1" hidden="1" x14ac:dyDescent="0.2">
      <c r="A3418" s="526"/>
      <c r="B3418" s="527"/>
      <c r="C3418" s="465"/>
      <c r="D3418" s="464"/>
      <c r="E3418" s="464"/>
      <c r="F3418" s="494">
        <v>444</v>
      </c>
      <c r="G3418" s="495" t="s">
        <v>3798</v>
      </c>
      <c r="H3418" s="397"/>
      <c r="I3418" s="397"/>
      <c r="J3418" s="750" t="e">
        <f t="shared" si="38"/>
        <v>#DIV/0!</v>
      </c>
      <c r="K3418" s="398"/>
      <c r="L3418" s="398"/>
      <c r="M3418" s="682"/>
      <c r="N3418" s="171"/>
      <c r="O3418" s="171"/>
      <c r="P3418" s="169"/>
      <c r="Q3418" s="171"/>
      <c r="R3418" s="171"/>
      <c r="S3418" s="171"/>
      <c r="T3418" s="171"/>
      <c r="U3418" s="171"/>
      <c r="V3418" s="171"/>
      <c r="W3418" s="171"/>
      <c r="X3418" s="171"/>
      <c r="Y3418" s="171"/>
      <c r="Z3418" s="171"/>
      <c r="AA3418" s="171"/>
    </row>
    <row r="3419" spans="1:27" s="530" customFormat="1" ht="25.5" hidden="1" x14ac:dyDescent="0.2">
      <c r="A3419" s="526"/>
      <c r="B3419" s="527"/>
      <c r="C3419" s="465"/>
      <c r="D3419" s="464"/>
      <c r="E3419" s="464"/>
      <c r="F3419" s="494">
        <v>4511</v>
      </c>
      <c r="G3419" s="466" t="s">
        <v>1692</v>
      </c>
      <c r="H3419" s="397"/>
      <c r="I3419" s="397"/>
      <c r="J3419" s="750" t="e">
        <f t="shared" si="38"/>
        <v>#DIV/0!</v>
      </c>
      <c r="K3419" s="398"/>
      <c r="L3419" s="398"/>
      <c r="M3419" s="682"/>
      <c r="N3419" s="171"/>
      <c r="O3419" s="171"/>
      <c r="P3419" s="169"/>
      <c r="Q3419" s="171"/>
      <c r="R3419" s="171"/>
      <c r="S3419" s="171"/>
      <c r="T3419" s="171"/>
      <c r="U3419" s="171"/>
      <c r="V3419" s="171"/>
      <c r="W3419" s="171"/>
      <c r="X3419" s="171"/>
      <c r="Y3419" s="171"/>
      <c r="Z3419" s="171"/>
      <c r="AA3419" s="171"/>
    </row>
    <row r="3420" spans="1:27" s="530" customFormat="1" ht="25.5" hidden="1" x14ac:dyDescent="0.2">
      <c r="A3420" s="526"/>
      <c r="B3420" s="527"/>
      <c r="C3420" s="465"/>
      <c r="D3420" s="464"/>
      <c r="E3420" s="464"/>
      <c r="F3420" s="494">
        <v>4512</v>
      </c>
      <c r="G3420" s="466" t="s">
        <v>1701</v>
      </c>
      <c r="H3420" s="397"/>
      <c r="I3420" s="397"/>
      <c r="J3420" s="750" t="e">
        <f t="shared" si="38"/>
        <v>#DIV/0!</v>
      </c>
      <c r="K3420" s="398"/>
      <c r="L3420" s="398"/>
      <c r="M3420" s="682"/>
      <c r="N3420" s="171"/>
      <c r="O3420" s="171"/>
      <c r="P3420" s="169"/>
      <c r="Q3420" s="171"/>
      <c r="R3420" s="171"/>
      <c r="S3420" s="171"/>
      <c r="T3420" s="171"/>
      <c r="U3420" s="171"/>
      <c r="V3420" s="171"/>
      <c r="W3420" s="171"/>
      <c r="X3420" s="171"/>
      <c r="Y3420" s="171"/>
      <c r="Z3420" s="171"/>
      <c r="AA3420" s="171"/>
    </row>
    <row r="3421" spans="1:27" s="530" customFormat="1" ht="25.5" hidden="1" x14ac:dyDescent="0.2">
      <c r="A3421" s="526"/>
      <c r="B3421" s="527"/>
      <c r="C3421" s="465"/>
      <c r="D3421" s="464"/>
      <c r="E3421" s="464"/>
      <c r="F3421" s="494">
        <v>452</v>
      </c>
      <c r="G3421" s="495" t="s">
        <v>4187</v>
      </c>
      <c r="H3421" s="397"/>
      <c r="I3421" s="397"/>
      <c r="J3421" s="750" t="e">
        <f t="shared" si="38"/>
        <v>#DIV/0!</v>
      </c>
      <c r="K3421" s="398"/>
      <c r="L3421" s="398"/>
      <c r="M3421" s="682"/>
      <c r="N3421" s="171"/>
      <c r="O3421" s="171"/>
      <c r="P3421" s="169"/>
      <c r="Q3421" s="171"/>
      <c r="R3421" s="171"/>
      <c r="S3421" s="171"/>
      <c r="T3421" s="171"/>
      <c r="U3421" s="171"/>
      <c r="V3421" s="171"/>
      <c r="W3421" s="171"/>
      <c r="X3421" s="171"/>
      <c r="Y3421" s="171"/>
      <c r="Z3421" s="171"/>
      <c r="AA3421" s="171"/>
    </row>
    <row r="3422" spans="1:27" s="530" customFormat="1" ht="25.5" hidden="1" x14ac:dyDescent="0.2">
      <c r="A3422" s="526"/>
      <c r="B3422" s="527"/>
      <c r="C3422" s="465"/>
      <c r="D3422" s="464"/>
      <c r="E3422" s="464"/>
      <c r="F3422" s="494">
        <v>453</v>
      </c>
      <c r="G3422" s="495" t="s">
        <v>4188</v>
      </c>
      <c r="H3422" s="397"/>
      <c r="I3422" s="397"/>
      <c r="J3422" s="750" t="e">
        <f t="shared" si="38"/>
        <v>#DIV/0!</v>
      </c>
      <c r="K3422" s="398"/>
      <c r="L3422" s="398"/>
      <c r="M3422" s="682"/>
      <c r="N3422" s="171"/>
      <c r="O3422" s="171"/>
      <c r="P3422" s="169"/>
      <c r="Q3422" s="171"/>
      <c r="R3422" s="171"/>
      <c r="S3422" s="171"/>
      <c r="T3422" s="171"/>
      <c r="U3422" s="171"/>
      <c r="V3422" s="171"/>
      <c r="W3422" s="171"/>
      <c r="X3422" s="171"/>
      <c r="Y3422" s="171"/>
      <c r="Z3422" s="171"/>
      <c r="AA3422" s="171"/>
    </row>
    <row r="3423" spans="1:27" s="530" customFormat="1" hidden="1" x14ac:dyDescent="0.2">
      <c r="A3423" s="526"/>
      <c r="B3423" s="527"/>
      <c r="C3423" s="465"/>
      <c r="D3423" s="464"/>
      <c r="E3423" s="464"/>
      <c r="F3423" s="494">
        <v>454</v>
      </c>
      <c r="G3423" s="495" t="s">
        <v>3803</v>
      </c>
      <c r="H3423" s="397"/>
      <c r="I3423" s="397"/>
      <c r="J3423" s="750" t="e">
        <f t="shared" si="38"/>
        <v>#DIV/0!</v>
      </c>
      <c r="K3423" s="398"/>
      <c r="L3423" s="398"/>
      <c r="M3423" s="682"/>
      <c r="N3423" s="171"/>
      <c r="O3423" s="171"/>
      <c r="P3423" s="169"/>
      <c r="Q3423" s="171"/>
      <c r="R3423" s="171"/>
      <c r="S3423" s="171"/>
      <c r="T3423" s="171"/>
      <c r="U3423" s="171"/>
      <c r="V3423" s="171"/>
      <c r="W3423" s="171"/>
      <c r="X3423" s="171"/>
      <c r="Y3423" s="171"/>
      <c r="Z3423" s="171"/>
      <c r="AA3423" s="171"/>
    </row>
    <row r="3424" spans="1:27" s="530" customFormat="1" hidden="1" x14ac:dyDescent="0.2">
      <c r="A3424" s="526"/>
      <c r="B3424" s="527"/>
      <c r="C3424" s="465"/>
      <c r="D3424" s="464"/>
      <c r="E3424" s="464"/>
      <c r="F3424" s="494">
        <v>461</v>
      </c>
      <c r="G3424" s="495" t="s">
        <v>4169</v>
      </c>
      <c r="H3424" s="397"/>
      <c r="I3424" s="397"/>
      <c r="J3424" s="750" t="e">
        <f t="shared" si="38"/>
        <v>#DIV/0!</v>
      </c>
      <c r="K3424" s="398"/>
      <c r="L3424" s="398"/>
      <c r="M3424" s="682"/>
      <c r="N3424" s="171"/>
      <c r="O3424" s="171"/>
      <c r="P3424" s="169"/>
      <c r="Q3424" s="171"/>
      <c r="R3424" s="171"/>
      <c r="S3424" s="171"/>
      <c r="T3424" s="171"/>
      <c r="U3424" s="171"/>
      <c r="V3424" s="171"/>
      <c r="W3424" s="171"/>
      <c r="X3424" s="171"/>
      <c r="Y3424" s="171"/>
      <c r="Z3424" s="171"/>
      <c r="AA3424" s="171"/>
    </row>
    <row r="3425" spans="1:27" s="530" customFormat="1" ht="25.5" hidden="1" x14ac:dyDescent="0.2">
      <c r="A3425" s="526"/>
      <c r="B3425" s="527"/>
      <c r="C3425" s="465"/>
      <c r="D3425" s="464"/>
      <c r="E3425" s="464"/>
      <c r="F3425" s="494">
        <v>462</v>
      </c>
      <c r="G3425" s="495" t="s">
        <v>3806</v>
      </c>
      <c r="H3425" s="397"/>
      <c r="I3425" s="397"/>
      <c r="J3425" s="750" t="e">
        <f t="shared" si="38"/>
        <v>#DIV/0!</v>
      </c>
      <c r="K3425" s="398"/>
      <c r="L3425" s="398"/>
      <c r="M3425" s="682"/>
      <c r="N3425" s="171"/>
      <c r="O3425" s="171"/>
      <c r="P3425" s="169"/>
      <c r="Q3425" s="171"/>
      <c r="R3425" s="171"/>
      <c r="S3425" s="171"/>
      <c r="T3425" s="171"/>
      <c r="U3425" s="171"/>
      <c r="V3425" s="171"/>
      <c r="W3425" s="171"/>
      <c r="X3425" s="171"/>
      <c r="Y3425" s="171"/>
      <c r="Z3425" s="171"/>
      <c r="AA3425" s="171"/>
    </row>
    <row r="3426" spans="1:27" s="530" customFormat="1" hidden="1" x14ac:dyDescent="0.2">
      <c r="A3426" s="526"/>
      <c r="B3426" s="527"/>
      <c r="C3426" s="465"/>
      <c r="D3426" s="464"/>
      <c r="E3426" s="464"/>
      <c r="F3426" s="494">
        <v>4631</v>
      </c>
      <c r="G3426" s="495" t="s">
        <v>3807</v>
      </c>
      <c r="H3426" s="397"/>
      <c r="I3426" s="397"/>
      <c r="J3426" s="750" t="e">
        <f t="shared" si="38"/>
        <v>#DIV/0!</v>
      </c>
      <c r="K3426" s="398"/>
      <c r="L3426" s="398"/>
      <c r="M3426" s="682"/>
      <c r="N3426" s="171"/>
      <c r="O3426" s="171"/>
      <c r="P3426" s="169"/>
      <c r="Q3426" s="171"/>
      <c r="R3426" s="171"/>
      <c r="S3426" s="171"/>
      <c r="T3426" s="171"/>
      <c r="U3426" s="171"/>
      <c r="V3426" s="171"/>
      <c r="W3426" s="171"/>
      <c r="X3426" s="171"/>
      <c r="Y3426" s="171"/>
      <c r="Z3426" s="171"/>
      <c r="AA3426" s="171"/>
    </row>
    <row r="3427" spans="1:27" s="530" customFormat="1" hidden="1" x14ac:dyDescent="0.2">
      <c r="A3427" s="526"/>
      <c r="B3427" s="527"/>
      <c r="C3427" s="465"/>
      <c r="D3427" s="464"/>
      <c r="E3427" s="464"/>
      <c r="F3427" s="494">
        <v>4632</v>
      </c>
      <c r="G3427" s="495" t="s">
        <v>3808</v>
      </c>
      <c r="H3427" s="397"/>
      <c r="I3427" s="397"/>
      <c r="J3427" s="750" t="e">
        <f t="shared" si="38"/>
        <v>#DIV/0!</v>
      </c>
      <c r="K3427" s="398"/>
      <c r="L3427" s="398"/>
      <c r="M3427" s="682"/>
      <c r="N3427" s="171"/>
      <c r="O3427" s="171"/>
      <c r="P3427" s="169"/>
      <c r="Q3427" s="171"/>
      <c r="R3427" s="171"/>
      <c r="S3427" s="171"/>
      <c r="T3427" s="171"/>
      <c r="U3427" s="171"/>
      <c r="V3427" s="171"/>
      <c r="W3427" s="171"/>
      <c r="X3427" s="171"/>
      <c r="Y3427" s="171"/>
      <c r="Z3427" s="171"/>
      <c r="AA3427" s="171"/>
    </row>
    <row r="3428" spans="1:27" s="530" customFormat="1" ht="25.5" hidden="1" x14ac:dyDescent="0.2">
      <c r="A3428" s="526"/>
      <c r="B3428" s="527"/>
      <c r="C3428" s="465"/>
      <c r="D3428" s="464"/>
      <c r="E3428" s="464"/>
      <c r="F3428" s="494">
        <v>464</v>
      </c>
      <c r="G3428" s="495" t="s">
        <v>3809</v>
      </c>
      <c r="H3428" s="397"/>
      <c r="I3428" s="397"/>
      <c r="J3428" s="750" t="e">
        <f t="shared" si="38"/>
        <v>#DIV/0!</v>
      </c>
      <c r="K3428" s="398"/>
      <c r="L3428" s="398"/>
      <c r="M3428" s="682"/>
      <c r="N3428" s="171"/>
      <c r="O3428" s="171"/>
      <c r="P3428" s="169"/>
      <c r="Q3428" s="171"/>
      <c r="R3428" s="171"/>
      <c r="S3428" s="171"/>
      <c r="T3428" s="171"/>
      <c r="U3428" s="171"/>
      <c r="V3428" s="171"/>
      <c r="W3428" s="171"/>
      <c r="X3428" s="171"/>
      <c r="Y3428" s="171"/>
      <c r="Z3428" s="171"/>
      <c r="AA3428" s="171"/>
    </row>
    <row r="3429" spans="1:27" s="530" customFormat="1" hidden="1" x14ac:dyDescent="0.2">
      <c r="A3429" s="526"/>
      <c r="B3429" s="527"/>
      <c r="C3429" s="465"/>
      <c r="D3429" s="464"/>
      <c r="E3429" s="464"/>
      <c r="F3429" s="494">
        <v>465</v>
      </c>
      <c r="G3429" s="495" t="s">
        <v>4170</v>
      </c>
      <c r="H3429" s="397"/>
      <c r="I3429" s="397"/>
      <c r="J3429" s="750" t="e">
        <f t="shared" si="38"/>
        <v>#DIV/0!</v>
      </c>
      <c r="K3429" s="398"/>
      <c r="L3429" s="398"/>
      <c r="M3429" s="682"/>
      <c r="N3429" s="171"/>
      <c r="O3429" s="171"/>
      <c r="P3429" s="169"/>
      <c r="Q3429" s="171"/>
      <c r="R3429" s="171"/>
      <c r="S3429" s="171"/>
      <c r="T3429" s="171"/>
      <c r="U3429" s="171"/>
      <c r="V3429" s="171"/>
      <c r="W3429" s="171"/>
      <c r="X3429" s="171"/>
      <c r="Y3429" s="171"/>
      <c r="Z3429" s="171"/>
      <c r="AA3429" s="171"/>
    </row>
    <row r="3430" spans="1:27" s="530" customFormat="1" hidden="1" x14ac:dyDescent="0.2">
      <c r="A3430" s="526"/>
      <c r="B3430" s="527"/>
      <c r="C3430" s="465"/>
      <c r="D3430" s="464"/>
      <c r="E3430" s="464"/>
      <c r="F3430" s="494">
        <v>472</v>
      </c>
      <c r="G3430" s="495" t="s">
        <v>3813</v>
      </c>
      <c r="H3430" s="397"/>
      <c r="I3430" s="397"/>
      <c r="J3430" s="750" t="e">
        <f t="shared" si="38"/>
        <v>#DIV/0!</v>
      </c>
      <c r="K3430" s="398"/>
      <c r="L3430" s="398"/>
      <c r="M3430" s="682"/>
      <c r="N3430" s="171"/>
      <c r="O3430" s="171"/>
      <c r="P3430" s="169"/>
      <c r="Q3430" s="171"/>
      <c r="R3430" s="171"/>
      <c r="S3430" s="171"/>
      <c r="T3430" s="171"/>
      <c r="U3430" s="171"/>
      <c r="V3430" s="171"/>
      <c r="W3430" s="171"/>
      <c r="X3430" s="171"/>
      <c r="Y3430" s="171"/>
      <c r="Z3430" s="171"/>
      <c r="AA3430" s="171"/>
    </row>
    <row r="3431" spans="1:27" s="530" customFormat="1" hidden="1" x14ac:dyDescent="0.2">
      <c r="A3431" s="526"/>
      <c r="B3431" s="527"/>
      <c r="C3431" s="465"/>
      <c r="D3431" s="464"/>
      <c r="E3431" s="464"/>
      <c r="F3431" s="494">
        <v>481</v>
      </c>
      <c r="G3431" s="495" t="s">
        <v>4189</v>
      </c>
      <c r="H3431" s="397"/>
      <c r="I3431" s="397"/>
      <c r="J3431" s="750" t="e">
        <f t="shared" si="38"/>
        <v>#DIV/0!</v>
      </c>
      <c r="K3431" s="398"/>
      <c r="L3431" s="398"/>
      <c r="M3431" s="682"/>
      <c r="N3431" s="171"/>
      <c r="O3431" s="171"/>
      <c r="P3431" s="169"/>
      <c r="Q3431" s="171"/>
      <c r="R3431" s="171"/>
      <c r="S3431" s="171"/>
      <c r="T3431" s="171"/>
      <c r="U3431" s="171"/>
      <c r="V3431" s="171"/>
      <c r="W3431" s="171"/>
      <c r="X3431" s="171"/>
      <c r="Y3431" s="171"/>
      <c r="Z3431" s="171"/>
      <c r="AA3431" s="171"/>
    </row>
    <row r="3432" spans="1:27" s="530" customFormat="1" hidden="1" x14ac:dyDescent="0.2">
      <c r="A3432" s="526"/>
      <c r="B3432" s="527"/>
      <c r="C3432" s="465"/>
      <c r="D3432" s="464"/>
      <c r="E3432" s="464"/>
      <c r="F3432" s="494">
        <v>482</v>
      </c>
      <c r="G3432" s="495" t="s">
        <v>4190</v>
      </c>
      <c r="H3432" s="397"/>
      <c r="I3432" s="397"/>
      <c r="J3432" s="750" t="e">
        <f t="shared" si="38"/>
        <v>#DIV/0!</v>
      </c>
      <c r="K3432" s="398"/>
      <c r="L3432" s="398"/>
      <c r="M3432" s="682"/>
      <c r="N3432" s="171"/>
      <c r="O3432" s="171"/>
      <c r="P3432" s="169"/>
      <c r="Q3432" s="171"/>
      <c r="R3432" s="171"/>
      <c r="S3432" s="171"/>
      <c r="T3432" s="171"/>
      <c r="U3432" s="171"/>
      <c r="V3432" s="171"/>
      <c r="W3432" s="171"/>
      <c r="X3432" s="171"/>
      <c r="Y3432" s="171"/>
      <c r="Z3432" s="171"/>
      <c r="AA3432" s="171"/>
    </row>
    <row r="3433" spans="1:27" s="530" customFormat="1" hidden="1" x14ac:dyDescent="0.2">
      <c r="A3433" s="526"/>
      <c r="B3433" s="527"/>
      <c r="C3433" s="465"/>
      <c r="D3433" s="464"/>
      <c r="E3433" s="464"/>
      <c r="F3433" s="494">
        <v>483</v>
      </c>
      <c r="G3433" s="497" t="s">
        <v>4191</v>
      </c>
      <c r="H3433" s="397"/>
      <c r="I3433" s="397"/>
      <c r="J3433" s="750" t="e">
        <f t="shared" si="38"/>
        <v>#DIV/0!</v>
      </c>
      <c r="K3433" s="398"/>
      <c r="L3433" s="398"/>
      <c r="M3433" s="682"/>
      <c r="N3433" s="171"/>
      <c r="O3433" s="171"/>
      <c r="P3433" s="169"/>
      <c r="Q3433" s="171"/>
      <c r="R3433" s="171"/>
      <c r="S3433" s="171"/>
      <c r="T3433" s="171"/>
      <c r="U3433" s="171"/>
      <c r="V3433" s="171"/>
      <c r="W3433" s="171"/>
      <c r="X3433" s="171"/>
      <c r="Y3433" s="171"/>
      <c r="Z3433" s="171"/>
      <c r="AA3433" s="171"/>
    </row>
    <row r="3434" spans="1:27" s="530" customFormat="1" ht="38.25" hidden="1" x14ac:dyDescent="0.2">
      <c r="A3434" s="526"/>
      <c r="B3434" s="527"/>
      <c r="C3434" s="465"/>
      <c r="D3434" s="464"/>
      <c r="E3434" s="464"/>
      <c r="F3434" s="494">
        <v>484</v>
      </c>
      <c r="G3434" s="495" t="s">
        <v>4192</v>
      </c>
      <c r="H3434" s="397"/>
      <c r="I3434" s="397"/>
      <c r="J3434" s="750" t="e">
        <f t="shared" si="38"/>
        <v>#DIV/0!</v>
      </c>
      <c r="K3434" s="398"/>
      <c r="L3434" s="398"/>
      <c r="M3434" s="682"/>
      <c r="N3434" s="171"/>
      <c r="O3434" s="171"/>
      <c r="P3434" s="169"/>
      <c r="Q3434" s="171"/>
      <c r="R3434" s="171"/>
      <c r="S3434" s="171"/>
      <c r="T3434" s="171"/>
      <c r="U3434" s="171"/>
      <c r="V3434" s="171"/>
      <c r="W3434" s="171"/>
      <c r="X3434" s="171"/>
      <c r="Y3434" s="171"/>
      <c r="Z3434" s="171"/>
      <c r="AA3434" s="171"/>
    </row>
    <row r="3435" spans="1:27" s="530" customFormat="1" ht="25.5" hidden="1" x14ac:dyDescent="0.2">
      <c r="A3435" s="526"/>
      <c r="B3435" s="527"/>
      <c r="C3435" s="465"/>
      <c r="D3435" s="464"/>
      <c r="E3435" s="464"/>
      <c r="F3435" s="494">
        <v>485</v>
      </c>
      <c r="G3435" s="495" t="s">
        <v>4193</v>
      </c>
      <c r="H3435" s="397"/>
      <c r="I3435" s="397"/>
      <c r="J3435" s="750" t="e">
        <f t="shared" si="38"/>
        <v>#DIV/0!</v>
      </c>
      <c r="K3435" s="398"/>
      <c r="L3435" s="398"/>
      <c r="M3435" s="682"/>
      <c r="N3435" s="171"/>
      <c r="O3435" s="171"/>
      <c r="P3435" s="169"/>
      <c r="Q3435" s="171"/>
      <c r="R3435" s="171"/>
      <c r="S3435" s="171"/>
      <c r="T3435" s="171"/>
      <c r="U3435" s="171"/>
      <c r="V3435" s="171"/>
      <c r="W3435" s="171"/>
      <c r="X3435" s="171"/>
      <c r="Y3435" s="171"/>
      <c r="Z3435" s="171"/>
      <c r="AA3435" s="171"/>
    </row>
    <row r="3436" spans="1:27" s="530" customFormat="1" ht="25.5" hidden="1" x14ac:dyDescent="0.2">
      <c r="A3436" s="526"/>
      <c r="B3436" s="527"/>
      <c r="C3436" s="465"/>
      <c r="D3436" s="464"/>
      <c r="E3436" s="464"/>
      <c r="F3436" s="494">
        <v>489</v>
      </c>
      <c r="G3436" s="495" t="s">
        <v>3821</v>
      </c>
      <c r="H3436" s="397"/>
      <c r="I3436" s="397"/>
      <c r="J3436" s="750" t="e">
        <f t="shared" si="38"/>
        <v>#DIV/0!</v>
      </c>
      <c r="K3436" s="398"/>
      <c r="L3436" s="398"/>
      <c r="M3436" s="682"/>
      <c r="N3436" s="171"/>
      <c r="O3436" s="171"/>
      <c r="P3436" s="169"/>
      <c r="Q3436" s="171"/>
      <c r="R3436" s="171"/>
      <c r="S3436" s="171"/>
      <c r="T3436" s="171"/>
      <c r="U3436" s="171"/>
      <c r="V3436" s="171"/>
      <c r="W3436" s="171"/>
      <c r="X3436" s="171"/>
      <c r="Y3436" s="171"/>
      <c r="Z3436" s="171"/>
      <c r="AA3436" s="171"/>
    </row>
    <row r="3437" spans="1:27" s="530" customFormat="1" ht="25.5" hidden="1" x14ac:dyDescent="0.2">
      <c r="A3437" s="526"/>
      <c r="B3437" s="527"/>
      <c r="C3437" s="465"/>
      <c r="D3437" s="464"/>
      <c r="E3437" s="464"/>
      <c r="F3437" s="494">
        <v>494</v>
      </c>
      <c r="G3437" s="495" t="s">
        <v>4171</v>
      </c>
      <c r="H3437" s="397"/>
      <c r="I3437" s="397"/>
      <c r="J3437" s="750" t="e">
        <f t="shared" si="38"/>
        <v>#DIV/0!</v>
      </c>
      <c r="K3437" s="398"/>
      <c r="L3437" s="398"/>
      <c r="M3437" s="682"/>
      <c r="N3437" s="171"/>
      <c r="O3437" s="171"/>
      <c r="P3437" s="169"/>
      <c r="Q3437" s="171"/>
      <c r="R3437" s="171"/>
      <c r="S3437" s="171"/>
      <c r="T3437" s="171"/>
      <c r="U3437" s="171"/>
      <c r="V3437" s="171"/>
      <c r="W3437" s="171"/>
      <c r="X3437" s="171"/>
      <c r="Y3437" s="171"/>
      <c r="Z3437" s="171"/>
      <c r="AA3437" s="171"/>
    </row>
    <row r="3438" spans="1:27" s="530" customFormat="1" ht="25.5" hidden="1" x14ac:dyDescent="0.2">
      <c r="A3438" s="526"/>
      <c r="B3438" s="527"/>
      <c r="C3438" s="465"/>
      <c r="D3438" s="464"/>
      <c r="E3438" s="464"/>
      <c r="F3438" s="494">
        <v>495</v>
      </c>
      <c r="G3438" s="495" t="s">
        <v>4172</v>
      </c>
      <c r="H3438" s="397"/>
      <c r="I3438" s="397"/>
      <c r="J3438" s="750" t="e">
        <f t="shared" si="38"/>
        <v>#DIV/0!</v>
      </c>
      <c r="K3438" s="398"/>
      <c r="L3438" s="398"/>
      <c r="M3438" s="682"/>
      <c r="N3438" s="171"/>
      <c r="O3438" s="171"/>
      <c r="P3438" s="169"/>
      <c r="Q3438" s="171"/>
      <c r="R3438" s="171"/>
      <c r="S3438" s="171"/>
      <c r="T3438" s="171"/>
      <c r="U3438" s="171"/>
      <c r="V3438" s="171"/>
      <c r="W3438" s="171"/>
      <c r="X3438" s="171"/>
      <c r="Y3438" s="171"/>
      <c r="Z3438" s="171"/>
      <c r="AA3438" s="171"/>
    </row>
    <row r="3439" spans="1:27" s="530" customFormat="1" ht="38.25" hidden="1" x14ac:dyDescent="0.2">
      <c r="A3439" s="526"/>
      <c r="B3439" s="527"/>
      <c r="C3439" s="465"/>
      <c r="D3439" s="464"/>
      <c r="E3439" s="464"/>
      <c r="F3439" s="494">
        <v>496</v>
      </c>
      <c r="G3439" s="495" t="s">
        <v>4173</v>
      </c>
      <c r="H3439" s="397"/>
      <c r="I3439" s="397"/>
      <c r="J3439" s="750" t="e">
        <f t="shared" si="38"/>
        <v>#DIV/0!</v>
      </c>
      <c r="K3439" s="398"/>
      <c r="L3439" s="398"/>
      <c r="M3439" s="682"/>
      <c r="N3439" s="171"/>
      <c r="O3439" s="171"/>
      <c r="P3439" s="169"/>
      <c r="Q3439" s="171"/>
      <c r="R3439" s="171"/>
      <c r="S3439" s="171"/>
      <c r="T3439" s="171"/>
      <c r="U3439" s="171"/>
      <c r="V3439" s="171"/>
      <c r="W3439" s="171"/>
      <c r="X3439" s="171"/>
      <c r="Y3439" s="171"/>
      <c r="Z3439" s="171"/>
      <c r="AA3439" s="171"/>
    </row>
    <row r="3440" spans="1:27" s="530" customFormat="1" ht="25.5" hidden="1" x14ac:dyDescent="0.2">
      <c r="A3440" s="526"/>
      <c r="B3440" s="527"/>
      <c r="C3440" s="465"/>
      <c r="D3440" s="464"/>
      <c r="E3440" s="464"/>
      <c r="F3440" s="494">
        <v>499</v>
      </c>
      <c r="G3440" s="495" t="s">
        <v>4174</v>
      </c>
      <c r="H3440" s="397"/>
      <c r="I3440" s="397"/>
      <c r="J3440" s="750" t="e">
        <f t="shared" si="38"/>
        <v>#DIV/0!</v>
      </c>
      <c r="K3440" s="398"/>
      <c r="L3440" s="398"/>
      <c r="M3440" s="682"/>
      <c r="N3440" s="171"/>
      <c r="O3440" s="171"/>
      <c r="P3440" s="169"/>
      <c r="Q3440" s="171"/>
      <c r="R3440" s="171"/>
      <c r="S3440" s="171"/>
      <c r="T3440" s="171"/>
      <c r="U3440" s="171"/>
      <c r="V3440" s="171"/>
      <c r="W3440" s="171"/>
      <c r="X3440" s="171"/>
      <c r="Y3440" s="171"/>
      <c r="Z3440" s="171"/>
      <c r="AA3440" s="171"/>
    </row>
    <row r="3441" spans="1:27" s="530" customFormat="1" ht="13.5" thickBot="1" x14ac:dyDescent="0.25">
      <c r="A3441" s="526"/>
      <c r="B3441" s="527"/>
      <c r="C3441" s="465"/>
      <c r="D3441" s="464"/>
      <c r="E3441" s="464">
        <v>41</v>
      </c>
      <c r="F3441" s="494">
        <v>511</v>
      </c>
      <c r="G3441" s="497" t="s">
        <v>4194</v>
      </c>
      <c r="H3441" s="397">
        <v>27700000</v>
      </c>
      <c r="I3441" s="397">
        <v>27503799.109999999</v>
      </c>
      <c r="J3441" s="750">
        <f t="shared" si="38"/>
        <v>99.291693537906127</v>
      </c>
      <c r="K3441" s="398"/>
      <c r="L3441" s="398"/>
      <c r="M3441" s="682"/>
      <c r="N3441" s="171"/>
      <c r="O3441" s="171"/>
      <c r="P3441" s="169"/>
      <c r="Q3441" s="171"/>
      <c r="R3441" s="171"/>
      <c r="S3441" s="171"/>
      <c r="T3441" s="171"/>
      <c r="U3441" s="171"/>
      <c r="V3441" s="171"/>
      <c r="W3441" s="171"/>
      <c r="X3441" s="171"/>
      <c r="Y3441" s="171"/>
      <c r="Z3441" s="171"/>
      <c r="AA3441" s="171"/>
    </row>
    <row r="3442" spans="1:27" s="530" customFormat="1" ht="13.5" hidden="1" thickBot="1" x14ac:dyDescent="0.25">
      <c r="A3442" s="526"/>
      <c r="B3442" s="527"/>
      <c r="C3442" s="465"/>
      <c r="D3442" s="464"/>
      <c r="E3442" s="464"/>
      <c r="F3442" s="494">
        <v>512</v>
      </c>
      <c r="G3442" s="497" t="s">
        <v>4195</v>
      </c>
      <c r="H3442" s="397"/>
      <c r="I3442" s="397"/>
      <c r="J3442" s="750" t="e">
        <f t="shared" si="38"/>
        <v>#DIV/0!</v>
      </c>
      <c r="K3442" s="398"/>
      <c r="L3442" s="398"/>
      <c r="M3442" s="682"/>
      <c r="N3442" s="171"/>
      <c r="O3442" s="171"/>
      <c r="P3442" s="169"/>
      <c r="Q3442" s="171"/>
      <c r="R3442" s="171"/>
      <c r="S3442" s="171"/>
      <c r="T3442" s="171"/>
      <c r="U3442" s="171"/>
      <c r="V3442" s="171"/>
      <c r="W3442" s="171"/>
      <c r="X3442" s="171"/>
      <c r="Y3442" s="171"/>
      <c r="Z3442" s="171"/>
      <c r="AA3442" s="171"/>
    </row>
    <row r="3443" spans="1:27" s="530" customFormat="1" ht="13.5" hidden="1" thickBot="1" x14ac:dyDescent="0.25">
      <c r="A3443" s="526"/>
      <c r="B3443" s="527"/>
      <c r="C3443" s="465"/>
      <c r="D3443" s="464"/>
      <c r="E3443" s="464"/>
      <c r="F3443" s="494">
        <v>513</v>
      </c>
      <c r="G3443" s="497" t="s">
        <v>4196</v>
      </c>
      <c r="H3443" s="397"/>
      <c r="I3443" s="397"/>
      <c r="J3443" s="750" t="e">
        <f t="shared" si="38"/>
        <v>#DIV/0!</v>
      </c>
      <c r="K3443" s="398"/>
      <c r="L3443" s="398"/>
      <c r="M3443" s="682"/>
      <c r="N3443" s="171"/>
      <c r="O3443" s="171"/>
      <c r="P3443" s="169"/>
      <c r="Q3443" s="171"/>
      <c r="R3443" s="171"/>
      <c r="S3443" s="171"/>
      <c r="T3443" s="171"/>
      <c r="U3443" s="171"/>
      <c r="V3443" s="171"/>
      <c r="W3443" s="171"/>
      <c r="X3443" s="171"/>
      <c r="Y3443" s="171"/>
      <c r="Z3443" s="171"/>
      <c r="AA3443" s="171"/>
    </row>
    <row r="3444" spans="1:27" s="530" customFormat="1" ht="13.5" hidden="1" thickBot="1" x14ac:dyDescent="0.25">
      <c r="A3444" s="526"/>
      <c r="B3444" s="527"/>
      <c r="C3444" s="465"/>
      <c r="D3444" s="464"/>
      <c r="E3444" s="464"/>
      <c r="F3444" s="494">
        <v>514</v>
      </c>
      <c r="G3444" s="495" t="s">
        <v>4197</v>
      </c>
      <c r="H3444" s="397"/>
      <c r="I3444" s="397"/>
      <c r="J3444" s="750" t="e">
        <f t="shared" si="38"/>
        <v>#DIV/0!</v>
      </c>
      <c r="K3444" s="398"/>
      <c r="L3444" s="398"/>
      <c r="M3444" s="682"/>
      <c r="N3444" s="171"/>
      <c r="O3444" s="171"/>
      <c r="P3444" s="169"/>
      <c r="Q3444" s="171"/>
      <c r="R3444" s="171"/>
      <c r="S3444" s="171"/>
      <c r="T3444" s="171"/>
      <c r="U3444" s="171"/>
      <c r="V3444" s="171"/>
      <c r="W3444" s="171"/>
      <c r="X3444" s="171"/>
      <c r="Y3444" s="171"/>
      <c r="Z3444" s="171"/>
      <c r="AA3444" s="171"/>
    </row>
    <row r="3445" spans="1:27" s="530" customFormat="1" ht="13.5" hidden="1" thickBot="1" x14ac:dyDescent="0.25">
      <c r="A3445" s="526"/>
      <c r="B3445" s="527"/>
      <c r="C3445" s="465"/>
      <c r="D3445" s="464"/>
      <c r="E3445" s="464"/>
      <c r="F3445" s="494">
        <v>515</v>
      </c>
      <c r="G3445" s="495" t="s">
        <v>3832</v>
      </c>
      <c r="H3445" s="397"/>
      <c r="I3445" s="397"/>
      <c r="J3445" s="750" t="e">
        <f t="shared" si="38"/>
        <v>#DIV/0!</v>
      </c>
      <c r="K3445" s="398"/>
      <c r="L3445" s="398"/>
      <c r="M3445" s="682"/>
      <c r="N3445" s="171"/>
      <c r="O3445" s="171"/>
      <c r="P3445" s="169"/>
      <c r="Q3445" s="171"/>
      <c r="R3445" s="171"/>
      <c r="S3445" s="171"/>
      <c r="T3445" s="171"/>
      <c r="U3445" s="171"/>
      <c r="V3445" s="171"/>
      <c r="W3445" s="171"/>
      <c r="X3445" s="171"/>
      <c r="Y3445" s="171"/>
      <c r="Z3445" s="171"/>
      <c r="AA3445" s="171"/>
    </row>
    <row r="3446" spans="1:27" s="530" customFormat="1" ht="13.5" hidden="1" thickBot="1" x14ac:dyDescent="0.25">
      <c r="A3446" s="526"/>
      <c r="B3446" s="527"/>
      <c r="C3446" s="465"/>
      <c r="D3446" s="464"/>
      <c r="E3446" s="464"/>
      <c r="F3446" s="494">
        <v>521</v>
      </c>
      <c r="G3446" s="495" t="s">
        <v>4198</v>
      </c>
      <c r="H3446" s="397"/>
      <c r="I3446" s="397"/>
      <c r="J3446" s="750" t="e">
        <f t="shared" si="38"/>
        <v>#DIV/0!</v>
      </c>
      <c r="K3446" s="398"/>
      <c r="L3446" s="398"/>
      <c r="M3446" s="682"/>
      <c r="N3446" s="171"/>
      <c r="O3446" s="171"/>
      <c r="P3446" s="169"/>
      <c r="Q3446" s="171"/>
      <c r="R3446" s="171"/>
      <c r="S3446" s="171"/>
      <c r="T3446" s="171"/>
      <c r="U3446" s="171"/>
      <c r="V3446" s="171"/>
      <c r="W3446" s="171"/>
      <c r="X3446" s="171"/>
      <c r="Y3446" s="171"/>
      <c r="Z3446" s="171"/>
      <c r="AA3446" s="171"/>
    </row>
    <row r="3447" spans="1:27" s="530" customFormat="1" ht="13.5" hidden="1" thickBot="1" x14ac:dyDescent="0.25">
      <c r="A3447" s="526"/>
      <c r="B3447" s="527"/>
      <c r="C3447" s="465"/>
      <c r="D3447" s="464"/>
      <c r="E3447" s="464"/>
      <c r="F3447" s="494">
        <v>522</v>
      </c>
      <c r="G3447" s="495" t="s">
        <v>4199</v>
      </c>
      <c r="H3447" s="397"/>
      <c r="I3447" s="397"/>
      <c r="J3447" s="750" t="e">
        <f t="shared" si="38"/>
        <v>#DIV/0!</v>
      </c>
      <c r="K3447" s="398"/>
      <c r="L3447" s="398"/>
      <c r="M3447" s="682"/>
      <c r="N3447" s="171"/>
      <c r="O3447" s="171"/>
      <c r="P3447" s="169"/>
      <c r="Q3447" s="171"/>
      <c r="R3447" s="171"/>
      <c r="S3447" s="171"/>
      <c r="T3447" s="171"/>
      <c r="U3447" s="171"/>
      <c r="V3447" s="171"/>
      <c r="W3447" s="171"/>
      <c r="X3447" s="171"/>
      <c r="Y3447" s="171"/>
      <c r="Z3447" s="171"/>
      <c r="AA3447" s="171"/>
    </row>
    <row r="3448" spans="1:27" s="530" customFormat="1" ht="13.5" hidden="1" thickBot="1" x14ac:dyDescent="0.25">
      <c r="A3448" s="526"/>
      <c r="B3448" s="527"/>
      <c r="C3448" s="465"/>
      <c r="D3448" s="464"/>
      <c r="E3448" s="464"/>
      <c r="F3448" s="494">
        <v>523</v>
      </c>
      <c r="G3448" s="495" t="s">
        <v>3837</v>
      </c>
      <c r="H3448" s="397"/>
      <c r="I3448" s="397"/>
      <c r="J3448" s="750" t="e">
        <f t="shared" si="38"/>
        <v>#DIV/0!</v>
      </c>
      <c r="K3448" s="398"/>
      <c r="L3448" s="398"/>
      <c r="M3448" s="682"/>
      <c r="N3448" s="171"/>
      <c r="O3448" s="171"/>
      <c r="P3448" s="169"/>
      <c r="Q3448" s="171"/>
      <c r="R3448" s="171"/>
      <c r="S3448" s="171"/>
      <c r="T3448" s="171"/>
      <c r="U3448" s="171"/>
      <c r="V3448" s="171"/>
      <c r="W3448" s="171"/>
      <c r="X3448" s="171"/>
      <c r="Y3448" s="171"/>
      <c r="Z3448" s="171"/>
      <c r="AA3448" s="171"/>
    </row>
    <row r="3449" spans="1:27" s="530" customFormat="1" ht="13.5" hidden="1" thickBot="1" x14ac:dyDescent="0.25">
      <c r="A3449" s="526"/>
      <c r="B3449" s="527"/>
      <c r="C3449" s="465"/>
      <c r="D3449" s="464"/>
      <c r="E3449" s="464"/>
      <c r="F3449" s="494">
        <v>531</v>
      </c>
      <c r="G3449" s="496" t="s">
        <v>4175</v>
      </c>
      <c r="H3449" s="397"/>
      <c r="I3449" s="397"/>
      <c r="J3449" s="750" t="e">
        <f t="shared" si="38"/>
        <v>#DIV/0!</v>
      </c>
      <c r="K3449" s="398"/>
      <c r="L3449" s="398"/>
      <c r="M3449" s="682"/>
      <c r="N3449" s="171"/>
      <c r="O3449" s="171"/>
      <c r="P3449" s="169"/>
      <c r="Q3449" s="171"/>
      <c r="R3449" s="171"/>
      <c r="S3449" s="171"/>
      <c r="T3449" s="171"/>
      <c r="U3449" s="171"/>
      <c r="V3449" s="171"/>
      <c r="W3449" s="171"/>
      <c r="X3449" s="171"/>
      <c r="Y3449" s="171"/>
      <c r="Z3449" s="171"/>
      <c r="AA3449" s="171"/>
    </row>
    <row r="3450" spans="1:27" s="530" customFormat="1" ht="13.5" hidden="1" thickBot="1" x14ac:dyDescent="0.25">
      <c r="A3450" s="526"/>
      <c r="B3450" s="527"/>
      <c r="C3450" s="465"/>
      <c r="D3450" s="464"/>
      <c r="E3450" s="464"/>
      <c r="F3450" s="494">
        <v>541</v>
      </c>
      <c r="G3450" s="495" t="s">
        <v>4200</v>
      </c>
      <c r="H3450" s="397"/>
      <c r="I3450" s="397"/>
      <c r="J3450" s="750" t="e">
        <f t="shared" si="38"/>
        <v>#DIV/0!</v>
      </c>
      <c r="K3450" s="398"/>
      <c r="L3450" s="398"/>
      <c r="M3450" s="682"/>
      <c r="N3450" s="171"/>
      <c r="O3450" s="171"/>
      <c r="P3450" s="169"/>
      <c r="Q3450" s="171"/>
      <c r="R3450" s="171"/>
      <c r="S3450" s="171"/>
      <c r="T3450" s="171"/>
      <c r="U3450" s="171"/>
      <c r="V3450" s="171"/>
      <c r="W3450" s="171"/>
      <c r="X3450" s="171"/>
      <c r="Y3450" s="171"/>
      <c r="Z3450" s="171"/>
      <c r="AA3450" s="171"/>
    </row>
    <row r="3451" spans="1:27" s="530" customFormat="1" ht="13.5" hidden="1" thickBot="1" x14ac:dyDescent="0.25">
      <c r="A3451" s="526"/>
      <c r="B3451" s="527"/>
      <c r="C3451" s="465"/>
      <c r="D3451" s="464"/>
      <c r="E3451" s="464"/>
      <c r="F3451" s="494">
        <v>542</v>
      </c>
      <c r="G3451" s="495" t="s">
        <v>4201</v>
      </c>
      <c r="H3451" s="397"/>
      <c r="I3451" s="397"/>
      <c r="J3451" s="750" t="e">
        <f t="shared" si="38"/>
        <v>#DIV/0!</v>
      </c>
      <c r="K3451" s="398"/>
      <c r="L3451" s="398"/>
      <c r="M3451" s="682"/>
      <c r="N3451" s="171"/>
      <c r="O3451" s="171"/>
      <c r="P3451" s="169"/>
      <c r="Q3451" s="171"/>
      <c r="R3451" s="171"/>
      <c r="S3451" s="171"/>
      <c r="T3451" s="171"/>
      <c r="U3451" s="171"/>
      <c r="V3451" s="171"/>
      <c r="W3451" s="171"/>
      <c r="X3451" s="171"/>
      <c r="Y3451" s="171"/>
      <c r="Z3451" s="171"/>
      <c r="AA3451" s="171"/>
    </row>
    <row r="3452" spans="1:27" s="530" customFormat="1" ht="13.5" hidden="1" thickBot="1" x14ac:dyDescent="0.25">
      <c r="A3452" s="526"/>
      <c r="B3452" s="527"/>
      <c r="C3452" s="465"/>
      <c r="D3452" s="464"/>
      <c r="E3452" s="464"/>
      <c r="F3452" s="494">
        <v>543</v>
      </c>
      <c r="G3452" s="495" t="s">
        <v>3842</v>
      </c>
      <c r="H3452" s="397"/>
      <c r="I3452" s="397"/>
      <c r="J3452" s="750" t="e">
        <f t="shared" si="38"/>
        <v>#DIV/0!</v>
      </c>
      <c r="K3452" s="398"/>
      <c r="L3452" s="398"/>
      <c r="M3452" s="682"/>
      <c r="N3452" s="171"/>
      <c r="O3452" s="171"/>
      <c r="P3452" s="169"/>
      <c r="Q3452" s="171"/>
      <c r="R3452" s="171"/>
      <c r="S3452" s="171"/>
      <c r="T3452" s="171"/>
      <c r="U3452" s="171"/>
      <c r="V3452" s="171"/>
      <c r="W3452" s="171"/>
      <c r="X3452" s="171"/>
      <c r="Y3452" s="171"/>
      <c r="Z3452" s="171"/>
      <c r="AA3452" s="171"/>
    </row>
    <row r="3453" spans="1:27" s="530" customFormat="1" ht="39" hidden="1" thickBot="1" x14ac:dyDescent="0.25">
      <c r="A3453" s="526"/>
      <c r="B3453" s="527"/>
      <c r="C3453" s="465"/>
      <c r="D3453" s="464"/>
      <c r="E3453" s="464"/>
      <c r="F3453" s="494">
        <v>551</v>
      </c>
      <c r="G3453" s="495" t="s">
        <v>4176</v>
      </c>
      <c r="H3453" s="397"/>
      <c r="I3453" s="397"/>
      <c r="J3453" s="750" t="e">
        <f t="shared" si="38"/>
        <v>#DIV/0!</v>
      </c>
      <c r="K3453" s="398"/>
      <c r="L3453" s="398"/>
      <c r="M3453" s="682"/>
      <c r="N3453" s="171"/>
      <c r="O3453" s="171"/>
      <c r="P3453" s="169"/>
      <c r="Q3453" s="171"/>
      <c r="R3453" s="171"/>
      <c r="S3453" s="171"/>
      <c r="T3453" s="171"/>
      <c r="U3453" s="171"/>
      <c r="V3453" s="171"/>
      <c r="W3453" s="171"/>
      <c r="X3453" s="171"/>
      <c r="Y3453" s="171"/>
      <c r="Z3453" s="171"/>
      <c r="AA3453" s="171"/>
    </row>
    <row r="3454" spans="1:27" s="530" customFormat="1" ht="13.5" hidden="1" thickBot="1" x14ac:dyDescent="0.25">
      <c r="A3454" s="526"/>
      <c r="B3454" s="527"/>
      <c r="C3454" s="465"/>
      <c r="D3454" s="464"/>
      <c r="E3454" s="464"/>
      <c r="F3454" s="498">
        <v>611</v>
      </c>
      <c r="G3454" s="499" t="s">
        <v>3848</v>
      </c>
      <c r="H3454" s="397"/>
      <c r="I3454" s="397"/>
      <c r="J3454" s="750" t="e">
        <f t="shared" si="38"/>
        <v>#DIV/0!</v>
      </c>
      <c r="K3454" s="398"/>
      <c r="L3454" s="398"/>
      <c r="M3454" s="682"/>
      <c r="N3454" s="171"/>
      <c r="O3454" s="171"/>
      <c r="P3454" s="169"/>
      <c r="Q3454" s="171"/>
      <c r="R3454" s="171"/>
      <c r="S3454" s="171"/>
      <c r="T3454" s="171"/>
      <c r="U3454" s="171"/>
      <c r="V3454" s="171"/>
      <c r="W3454" s="171"/>
      <c r="X3454" s="171"/>
      <c r="Y3454" s="171"/>
      <c r="Z3454" s="171"/>
      <c r="AA3454" s="171"/>
    </row>
    <row r="3455" spans="1:27" s="530" customFormat="1" ht="13.5" hidden="1" thickBot="1" x14ac:dyDescent="0.25">
      <c r="A3455" s="526"/>
      <c r="B3455" s="527"/>
      <c r="C3455" s="465"/>
      <c r="D3455" s="464"/>
      <c r="E3455" s="464"/>
      <c r="F3455" s="498">
        <v>620</v>
      </c>
      <c r="G3455" s="499" t="s">
        <v>88</v>
      </c>
      <c r="H3455" s="397"/>
      <c r="I3455" s="397"/>
      <c r="J3455" s="750" t="e">
        <f t="shared" si="38"/>
        <v>#DIV/0!</v>
      </c>
      <c r="K3455" s="398"/>
      <c r="L3455" s="398"/>
      <c r="M3455" s="682"/>
      <c r="N3455" s="171"/>
      <c r="O3455" s="171"/>
      <c r="P3455" s="169"/>
      <c r="Q3455" s="171"/>
      <c r="R3455" s="171"/>
      <c r="S3455" s="171"/>
      <c r="T3455" s="171"/>
      <c r="U3455" s="171"/>
      <c r="V3455" s="171"/>
      <c r="W3455" s="171"/>
      <c r="X3455" s="171"/>
      <c r="Y3455" s="171"/>
      <c r="Z3455" s="171"/>
      <c r="AA3455" s="171"/>
    </row>
    <row r="3456" spans="1:27" s="530" customFormat="1" x14ac:dyDescent="0.2">
      <c r="A3456" s="526"/>
      <c r="B3456" s="527"/>
      <c r="C3456" s="465"/>
      <c r="D3456" s="464"/>
      <c r="E3456" s="500"/>
      <c r="F3456" s="498"/>
      <c r="G3456" s="501" t="s">
        <v>4344</v>
      </c>
      <c r="H3456" s="400"/>
      <c r="I3456" s="400"/>
      <c r="J3456" s="750"/>
      <c r="K3456" s="401"/>
      <c r="L3456" s="402"/>
      <c r="M3456" s="682"/>
      <c r="N3456" s="171"/>
      <c r="O3456" s="171"/>
      <c r="P3456" s="169"/>
      <c r="Q3456" s="171"/>
      <c r="R3456" s="171"/>
      <c r="S3456" s="171"/>
      <c r="T3456" s="171"/>
      <c r="U3456" s="171"/>
      <c r="V3456" s="171"/>
      <c r="W3456" s="171"/>
      <c r="X3456" s="171"/>
      <c r="Y3456" s="171"/>
      <c r="Z3456" s="171"/>
      <c r="AA3456" s="171"/>
    </row>
    <row r="3457" spans="1:27" s="530" customFormat="1" ht="13.5" thickBot="1" x14ac:dyDescent="0.25">
      <c r="A3457" s="526"/>
      <c r="B3457" s="527"/>
      <c r="C3457" s="465"/>
      <c r="D3457" s="464"/>
      <c r="E3457" s="502"/>
      <c r="F3457" s="503" t="s">
        <v>234</v>
      </c>
      <c r="G3457" s="504" t="s">
        <v>235</v>
      </c>
      <c r="H3457" s="403">
        <f>SUM(H3396:H3455)</f>
        <v>27700000</v>
      </c>
      <c r="I3457" s="403">
        <f>SUM(I3441)</f>
        <v>27503799.109999999</v>
      </c>
      <c r="J3457" s="750">
        <f t="shared" si="38"/>
        <v>99.291693537906127</v>
      </c>
      <c r="K3457" s="404"/>
      <c r="L3457" s="404"/>
      <c r="M3457" s="682"/>
      <c r="N3457" s="171"/>
      <c r="O3457" s="171"/>
      <c r="P3457" s="169"/>
      <c r="Q3457" s="171"/>
      <c r="R3457" s="171"/>
      <c r="S3457" s="171"/>
      <c r="T3457" s="171"/>
      <c r="U3457" s="171"/>
      <c r="V3457" s="171"/>
      <c r="W3457" s="171"/>
      <c r="X3457" s="171"/>
      <c r="Y3457" s="171"/>
      <c r="Z3457" s="171"/>
      <c r="AA3457" s="171"/>
    </row>
    <row r="3458" spans="1:27" s="530" customFormat="1" ht="13.5" hidden="1" thickBot="1" x14ac:dyDescent="0.25">
      <c r="A3458" s="526"/>
      <c r="B3458" s="527"/>
      <c r="C3458" s="465"/>
      <c r="D3458" s="464"/>
      <c r="E3458" s="464"/>
      <c r="F3458" s="503" t="s">
        <v>236</v>
      </c>
      <c r="G3458" s="504" t="s">
        <v>237</v>
      </c>
      <c r="H3458" s="397"/>
      <c r="I3458" s="397"/>
      <c r="J3458" s="750" t="e">
        <f t="shared" si="38"/>
        <v>#DIV/0!</v>
      </c>
      <c r="K3458" s="398"/>
      <c r="L3458" s="404"/>
      <c r="M3458" s="682"/>
      <c r="N3458" s="171"/>
      <c r="O3458" s="171"/>
      <c r="P3458" s="169"/>
      <c r="Q3458" s="171"/>
      <c r="R3458" s="171"/>
      <c r="S3458" s="171"/>
      <c r="T3458" s="171"/>
      <c r="U3458" s="171"/>
      <c r="V3458" s="171"/>
      <c r="W3458" s="171"/>
      <c r="X3458" s="171"/>
      <c r="Y3458" s="171"/>
      <c r="Z3458" s="171"/>
      <c r="AA3458" s="171"/>
    </row>
    <row r="3459" spans="1:27" s="530" customFormat="1" ht="13.5" hidden="1" thickBot="1" x14ac:dyDescent="0.25">
      <c r="A3459" s="526"/>
      <c r="B3459" s="527"/>
      <c r="C3459" s="465"/>
      <c r="D3459" s="464"/>
      <c r="E3459" s="464"/>
      <c r="F3459" s="503" t="s">
        <v>238</v>
      </c>
      <c r="G3459" s="504" t="s">
        <v>239</v>
      </c>
      <c r="H3459" s="397"/>
      <c r="I3459" s="397"/>
      <c r="J3459" s="750" t="e">
        <f t="shared" si="38"/>
        <v>#DIV/0!</v>
      </c>
      <c r="K3459" s="398"/>
      <c r="L3459" s="404"/>
      <c r="M3459" s="682"/>
      <c r="N3459" s="171"/>
      <c r="O3459" s="171"/>
      <c r="P3459" s="169"/>
      <c r="Q3459" s="171"/>
      <c r="R3459" s="171"/>
      <c r="S3459" s="171"/>
      <c r="T3459" s="171"/>
      <c r="U3459" s="171"/>
      <c r="V3459" s="171"/>
      <c r="W3459" s="171"/>
      <c r="X3459" s="171"/>
      <c r="Y3459" s="171"/>
      <c r="Z3459" s="171"/>
      <c r="AA3459" s="171"/>
    </row>
    <row r="3460" spans="1:27" s="530" customFormat="1" ht="13.5" hidden="1" thickBot="1" x14ac:dyDescent="0.25">
      <c r="A3460" s="526"/>
      <c r="B3460" s="527"/>
      <c r="C3460" s="465"/>
      <c r="D3460" s="464"/>
      <c r="E3460" s="464"/>
      <c r="F3460" s="503" t="s">
        <v>240</v>
      </c>
      <c r="G3460" s="504" t="s">
        <v>241</v>
      </c>
      <c r="H3460" s="397"/>
      <c r="I3460" s="397"/>
      <c r="J3460" s="750" t="e">
        <f t="shared" si="38"/>
        <v>#DIV/0!</v>
      </c>
      <c r="K3460" s="398"/>
      <c r="L3460" s="404"/>
      <c r="M3460" s="682"/>
      <c r="N3460" s="171"/>
      <c r="O3460" s="171"/>
      <c r="P3460" s="169"/>
      <c r="Q3460" s="171"/>
      <c r="R3460" s="171"/>
      <c r="S3460" s="171"/>
      <c r="T3460" s="171"/>
      <c r="U3460" s="171"/>
      <c r="V3460" s="171"/>
      <c r="W3460" s="171"/>
      <c r="X3460" s="171"/>
      <c r="Y3460" s="171"/>
      <c r="Z3460" s="171"/>
      <c r="AA3460" s="171"/>
    </row>
    <row r="3461" spans="1:27" s="530" customFormat="1" ht="13.5" hidden="1" thickBot="1" x14ac:dyDescent="0.25">
      <c r="A3461" s="526"/>
      <c r="B3461" s="527"/>
      <c r="C3461" s="465"/>
      <c r="D3461" s="464"/>
      <c r="E3461" s="464"/>
      <c r="F3461" s="503" t="s">
        <v>242</v>
      </c>
      <c r="G3461" s="504" t="s">
        <v>243</v>
      </c>
      <c r="H3461" s="397"/>
      <c r="I3461" s="397"/>
      <c r="J3461" s="750" t="e">
        <f t="shared" si="38"/>
        <v>#DIV/0!</v>
      </c>
      <c r="K3461" s="398"/>
      <c r="L3461" s="404"/>
      <c r="M3461" s="682"/>
      <c r="N3461" s="171"/>
      <c r="O3461" s="171"/>
      <c r="P3461" s="169"/>
      <c r="Q3461" s="171"/>
      <c r="R3461" s="171"/>
      <c r="S3461" s="171"/>
      <c r="T3461" s="171"/>
      <c r="U3461" s="171"/>
      <c r="V3461" s="171"/>
      <c r="W3461" s="171"/>
      <c r="X3461" s="171"/>
      <c r="Y3461" s="171"/>
      <c r="Z3461" s="171"/>
      <c r="AA3461" s="171"/>
    </row>
    <row r="3462" spans="1:27" s="530" customFormat="1" ht="13.5" hidden="1" thickBot="1" x14ac:dyDescent="0.25">
      <c r="A3462" s="526"/>
      <c r="B3462" s="527"/>
      <c r="C3462" s="465"/>
      <c r="D3462" s="464"/>
      <c r="E3462" s="464"/>
      <c r="F3462" s="503" t="s">
        <v>244</v>
      </c>
      <c r="G3462" s="504" t="s">
        <v>245</v>
      </c>
      <c r="H3462" s="397"/>
      <c r="I3462" s="397"/>
      <c r="J3462" s="750" t="e">
        <f t="shared" si="38"/>
        <v>#DIV/0!</v>
      </c>
      <c r="K3462" s="398"/>
      <c r="L3462" s="404"/>
      <c r="M3462" s="682"/>
      <c r="N3462" s="171"/>
      <c r="O3462" s="171"/>
      <c r="P3462" s="169"/>
      <c r="Q3462" s="171"/>
      <c r="R3462" s="171"/>
      <c r="S3462" s="171"/>
      <c r="T3462" s="171"/>
      <c r="U3462" s="171"/>
      <c r="V3462" s="171"/>
      <c r="W3462" s="171"/>
      <c r="X3462" s="171"/>
      <c r="Y3462" s="171"/>
      <c r="Z3462" s="171"/>
      <c r="AA3462" s="171"/>
    </row>
    <row r="3463" spans="1:27" s="530" customFormat="1" ht="13.5" hidden="1" thickBot="1" x14ac:dyDescent="0.25">
      <c r="A3463" s="526"/>
      <c r="B3463" s="527"/>
      <c r="C3463" s="465"/>
      <c r="D3463" s="464"/>
      <c r="E3463" s="464"/>
      <c r="F3463" s="503" t="s">
        <v>246</v>
      </c>
      <c r="G3463" s="504" t="s">
        <v>247</v>
      </c>
      <c r="H3463" s="397"/>
      <c r="I3463" s="397"/>
      <c r="J3463" s="750" t="e">
        <f t="shared" si="38"/>
        <v>#DIV/0!</v>
      </c>
      <c r="K3463" s="398"/>
      <c r="L3463" s="404"/>
      <c r="M3463" s="682"/>
      <c r="N3463" s="171"/>
      <c r="O3463" s="171"/>
      <c r="P3463" s="169"/>
      <c r="Q3463" s="171"/>
      <c r="R3463" s="171"/>
      <c r="S3463" s="171"/>
      <c r="T3463" s="171"/>
      <c r="U3463" s="171"/>
      <c r="V3463" s="171"/>
      <c r="W3463" s="171"/>
      <c r="X3463" s="171"/>
      <c r="Y3463" s="171"/>
      <c r="Z3463" s="171"/>
      <c r="AA3463" s="171"/>
    </row>
    <row r="3464" spans="1:27" s="530" customFormat="1" ht="26.25" hidden="1" thickBot="1" x14ac:dyDescent="0.25">
      <c r="A3464" s="526"/>
      <c r="B3464" s="527"/>
      <c r="C3464" s="465"/>
      <c r="D3464" s="464"/>
      <c r="E3464" s="464"/>
      <c r="F3464" s="503" t="s">
        <v>248</v>
      </c>
      <c r="G3464" s="504" t="s">
        <v>249</v>
      </c>
      <c r="H3464" s="397"/>
      <c r="I3464" s="397"/>
      <c r="J3464" s="750" t="e">
        <f t="shared" si="38"/>
        <v>#DIV/0!</v>
      </c>
      <c r="K3464" s="398"/>
      <c r="L3464" s="404"/>
      <c r="M3464" s="682"/>
      <c r="N3464" s="171"/>
      <c r="O3464" s="171"/>
      <c r="P3464" s="169"/>
      <c r="Q3464" s="171"/>
      <c r="R3464" s="171"/>
      <c r="S3464" s="171"/>
      <c r="T3464" s="171"/>
      <c r="U3464" s="171"/>
      <c r="V3464" s="171"/>
      <c r="W3464" s="171"/>
      <c r="X3464" s="171"/>
      <c r="Y3464" s="171"/>
      <c r="Z3464" s="171"/>
      <c r="AA3464" s="171"/>
    </row>
    <row r="3465" spans="1:27" s="530" customFormat="1" ht="13.5" hidden="1" thickBot="1" x14ac:dyDescent="0.25">
      <c r="A3465" s="464"/>
      <c r="B3465" s="464"/>
      <c r="C3465" s="465"/>
      <c r="D3465" s="464"/>
      <c r="E3465" s="464"/>
      <c r="F3465" s="503" t="s">
        <v>250</v>
      </c>
      <c r="G3465" s="504" t="s">
        <v>57</v>
      </c>
      <c r="H3465" s="397"/>
      <c r="I3465" s="397"/>
      <c r="J3465" s="750" t="e">
        <f t="shared" si="38"/>
        <v>#DIV/0!</v>
      </c>
      <c r="K3465" s="398"/>
      <c r="L3465" s="404"/>
      <c r="M3465" s="682"/>
      <c r="N3465" s="171"/>
      <c r="O3465" s="171"/>
      <c r="P3465" s="169"/>
      <c r="Q3465" s="171"/>
      <c r="R3465" s="171"/>
      <c r="S3465" s="171"/>
      <c r="T3465" s="171"/>
      <c r="U3465" s="171"/>
      <c r="V3465" s="171"/>
      <c r="W3465" s="171"/>
      <c r="X3465" s="171"/>
      <c r="Y3465" s="171"/>
      <c r="Z3465" s="171"/>
      <c r="AA3465" s="171"/>
    </row>
    <row r="3466" spans="1:27" s="530" customFormat="1" ht="13.5" hidden="1" thickBot="1" x14ac:dyDescent="0.25">
      <c r="A3466" s="464"/>
      <c r="B3466" s="464"/>
      <c r="C3466" s="465"/>
      <c r="D3466" s="464"/>
      <c r="E3466" s="464"/>
      <c r="F3466" s="503" t="s">
        <v>251</v>
      </c>
      <c r="G3466" s="504" t="s">
        <v>252</v>
      </c>
      <c r="H3466" s="397"/>
      <c r="I3466" s="397"/>
      <c r="J3466" s="750" t="e">
        <f t="shared" si="38"/>
        <v>#DIV/0!</v>
      </c>
      <c r="K3466" s="398"/>
      <c r="L3466" s="404"/>
      <c r="M3466" s="682"/>
      <c r="N3466" s="171"/>
      <c r="O3466" s="171"/>
      <c r="P3466" s="169"/>
      <c r="Q3466" s="171"/>
      <c r="R3466" s="171"/>
      <c r="S3466" s="171"/>
      <c r="T3466" s="171"/>
      <c r="U3466" s="171"/>
      <c r="V3466" s="171"/>
      <c r="W3466" s="171"/>
      <c r="X3466" s="171"/>
      <c r="Y3466" s="171"/>
      <c r="Z3466" s="171"/>
      <c r="AA3466" s="171"/>
    </row>
    <row r="3467" spans="1:27" s="530" customFormat="1" ht="13.5" hidden="1" thickBot="1" x14ac:dyDescent="0.25">
      <c r="A3467" s="464"/>
      <c r="B3467" s="464"/>
      <c r="C3467" s="465"/>
      <c r="D3467" s="464"/>
      <c r="E3467" s="464"/>
      <c r="F3467" s="503" t="s">
        <v>253</v>
      </c>
      <c r="G3467" s="504" t="s">
        <v>254</v>
      </c>
      <c r="H3467" s="397"/>
      <c r="I3467" s="397"/>
      <c r="J3467" s="750" t="e">
        <f t="shared" si="38"/>
        <v>#DIV/0!</v>
      </c>
      <c r="K3467" s="398"/>
      <c r="L3467" s="404"/>
      <c r="M3467" s="682"/>
      <c r="N3467" s="171"/>
      <c r="O3467" s="171"/>
      <c r="P3467" s="169"/>
      <c r="Q3467" s="171"/>
      <c r="R3467" s="171"/>
      <c r="S3467" s="171"/>
      <c r="T3467" s="171"/>
      <c r="U3467" s="171"/>
      <c r="V3467" s="171"/>
      <c r="W3467" s="171"/>
      <c r="X3467" s="171"/>
      <c r="Y3467" s="171"/>
      <c r="Z3467" s="171"/>
      <c r="AA3467" s="171"/>
    </row>
    <row r="3468" spans="1:27" s="530" customFormat="1" ht="26.25" hidden="1" thickBot="1" x14ac:dyDescent="0.25">
      <c r="A3468" s="464"/>
      <c r="B3468" s="464"/>
      <c r="C3468" s="465"/>
      <c r="D3468" s="464"/>
      <c r="E3468" s="464"/>
      <c r="F3468" s="503" t="s">
        <v>255</v>
      </c>
      <c r="G3468" s="504" t="s">
        <v>256</v>
      </c>
      <c r="H3468" s="397"/>
      <c r="I3468" s="397"/>
      <c r="J3468" s="750" t="e">
        <f t="shared" si="38"/>
        <v>#DIV/0!</v>
      </c>
      <c r="K3468" s="398"/>
      <c r="L3468" s="404"/>
      <c r="M3468" s="682"/>
      <c r="N3468" s="171"/>
      <c r="O3468" s="171"/>
      <c r="P3468" s="169"/>
      <c r="Q3468" s="171"/>
      <c r="R3468" s="171"/>
      <c r="S3468" s="171"/>
      <c r="T3468" s="171"/>
      <c r="U3468" s="171"/>
      <c r="V3468" s="171"/>
      <c r="W3468" s="171"/>
      <c r="X3468" s="171"/>
      <c r="Y3468" s="171"/>
      <c r="Z3468" s="171"/>
      <c r="AA3468" s="171"/>
    </row>
    <row r="3469" spans="1:27" s="530" customFormat="1" ht="26.25" hidden="1" thickBot="1" x14ac:dyDescent="0.25">
      <c r="A3469" s="464"/>
      <c r="B3469" s="464"/>
      <c r="C3469" s="465"/>
      <c r="D3469" s="464"/>
      <c r="E3469" s="464"/>
      <c r="F3469" s="503" t="s">
        <v>257</v>
      </c>
      <c r="G3469" s="504" t="s">
        <v>258</v>
      </c>
      <c r="H3469" s="397"/>
      <c r="I3469" s="397"/>
      <c r="J3469" s="750" t="e">
        <f t="shared" ref="J3469:J3532" si="39">SUM(I3469/H3469)*100</f>
        <v>#DIV/0!</v>
      </c>
      <c r="K3469" s="398"/>
      <c r="L3469" s="404"/>
      <c r="M3469" s="682"/>
      <c r="N3469" s="171"/>
      <c r="O3469" s="171"/>
      <c r="P3469" s="169"/>
      <c r="Q3469" s="171"/>
      <c r="R3469" s="171"/>
      <c r="S3469" s="171"/>
      <c r="T3469" s="171"/>
      <c r="U3469" s="171"/>
      <c r="V3469" s="171"/>
      <c r="W3469" s="171"/>
      <c r="X3469" s="171"/>
      <c r="Y3469" s="171"/>
      <c r="Z3469" s="171"/>
      <c r="AA3469" s="171"/>
    </row>
    <row r="3470" spans="1:27" s="530" customFormat="1" ht="26.25" hidden="1" thickBot="1" x14ac:dyDescent="0.25">
      <c r="A3470" s="464"/>
      <c r="B3470" s="464"/>
      <c r="C3470" s="465"/>
      <c r="D3470" s="464"/>
      <c r="E3470" s="464"/>
      <c r="F3470" s="503" t="s">
        <v>259</v>
      </c>
      <c r="G3470" s="504" t="s">
        <v>260</v>
      </c>
      <c r="H3470" s="397"/>
      <c r="I3470" s="397"/>
      <c r="J3470" s="750" t="e">
        <f t="shared" si="39"/>
        <v>#DIV/0!</v>
      </c>
      <c r="K3470" s="398"/>
      <c r="L3470" s="404"/>
      <c r="M3470" s="682"/>
      <c r="N3470" s="171"/>
      <c r="O3470" s="171"/>
      <c r="P3470" s="169"/>
      <c r="Q3470" s="171"/>
      <c r="R3470" s="171"/>
      <c r="S3470" s="171"/>
      <c r="T3470" s="171"/>
      <c r="U3470" s="171"/>
      <c r="V3470" s="171"/>
      <c r="W3470" s="171"/>
      <c r="X3470" s="171"/>
      <c r="Y3470" s="171"/>
      <c r="Z3470" s="171"/>
      <c r="AA3470" s="171"/>
    </row>
    <row r="3471" spans="1:27" s="530" customFormat="1" ht="26.25" hidden="1" thickBot="1" x14ac:dyDescent="0.25">
      <c r="A3471" s="464"/>
      <c r="B3471" s="464"/>
      <c r="C3471" s="465"/>
      <c r="D3471" s="464"/>
      <c r="E3471" s="464"/>
      <c r="F3471" s="503" t="s">
        <v>261</v>
      </c>
      <c r="G3471" s="504" t="s">
        <v>262</v>
      </c>
      <c r="H3471" s="397"/>
      <c r="I3471" s="397"/>
      <c r="J3471" s="750" t="e">
        <f t="shared" si="39"/>
        <v>#DIV/0!</v>
      </c>
      <c r="K3471" s="398"/>
      <c r="L3471" s="404"/>
      <c r="M3471" s="682"/>
      <c r="N3471" s="171"/>
      <c r="O3471" s="171"/>
      <c r="P3471" s="169"/>
      <c r="Q3471" s="171"/>
      <c r="R3471" s="171"/>
      <c r="S3471" s="171"/>
      <c r="T3471" s="171"/>
      <c r="U3471" s="171"/>
      <c r="V3471" s="171"/>
      <c r="W3471" s="171"/>
      <c r="X3471" s="171"/>
      <c r="Y3471" s="171"/>
      <c r="Z3471" s="171"/>
      <c r="AA3471" s="171"/>
    </row>
    <row r="3472" spans="1:27" s="530" customFormat="1" ht="13.5" hidden="1" thickBot="1" x14ac:dyDescent="0.25">
      <c r="A3472" s="464"/>
      <c r="B3472" s="464"/>
      <c r="C3472" s="465"/>
      <c r="D3472" s="464"/>
      <c r="E3472" s="464"/>
      <c r="F3472" s="503" t="s">
        <v>263</v>
      </c>
      <c r="G3472" s="504" t="s">
        <v>264</v>
      </c>
      <c r="H3472" s="403"/>
      <c r="I3472" s="403"/>
      <c r="J3472" s="750" t="e">
        <f t="shared" si="39"/>
        <v>#DIV/0!</v>
      </c>
      <c r="K3472" s="404"/>
      <c r="L3472" s="404"/>
      <c r="M3472" s="682"/>
      <c r="N3472" s="171"/>
      <c r="O3472" s="171"/>
      <c r="P3472" s="169"/>
      <c r="Q3472" s="171"/>
      <c r="R3472" s="171"/>
      <c r="S3472" s="171"/>
      <c r="T3472" s="171"/>
      <c r="U3472" s="171"/>
      <c r="V3472" s="171"/>
      <c r="W3472" s="171"/>
      <c r="X3472" s="171"/>
      <c r="Y3472" s="171"/>
      <c r="Z3472" s="171"/>
      <c r="AA3472" s="171"/>
    </row>
    <row r="3473" spans="1:27" s="530" customFormat="1" ht="13.5" thickBot="1" x14ac:dyDescent="0.25">
      <c r="A3473" s="464"/>
      <c r="B3473" s="464"/>
      <c r="C3473" s="465"/>
      <c r="D3473" s="464"/>
      <c r="E3473" s="464"/>
      <c r="F3473" s="464"/>
      <c r="G3473" s="505" t="s">
        <v>4345</v>
      </c>
      <c r="H3473" s="405">
        <f>SUM(H3457:H3472)</f>
        <v>27700000</v>
      </c>
      <c r="I3473" s="405">
        <f>SUM(I3457)</f>
        <v>27503799.109999999</v>
      </c>
      <c r="J3473" s="750">
        <f t="shared" si="39"/>
        <v>99.291693537906127</v>
      </c>
      <c r="K3473" s="406">
        <f>SUM(K3458:K3472)</f>
        <v>0</v>
      </c>
      <c r="L3473" s="406"/>
      <c r="M3473" s="682"/>
      <c r="N3473" s="171"/>
      <c r="O3473" s="171"/>
      <c r="P3473" s="169"/>
      <c r="Q3473" s="171"/>
      <c r="R3473" s="171"/>
      <c r="S3473" s="171"/>
      <c r="T3473" s="171"/>
      <c r="U3473" s="171"/>
      <c r="V3473" s="171"/>
      <c r="W3473" s="171"/>
      <c r="X3473" s="171"/>
      <c r="Y3473" s="171"/>
      <c r="Z3473" s="171"/>
      <c r="AA3473" s="171"/>
    </row>
    <row r="3474" spans="1:27" s="530" customFormat="1" x14ac:dyDescent="0.2">
      <c r="A3474" s="464"/>
      <c r="B3474" s="464"/>
      <c r="C3474" s="465"/>
      <c r="D3474" s="464"/>
      <c r="E3474" s="464"/>
      <c r="F3474" s="464"/>
      <c r="G3474" s="510" t="s">
        <v>5201</v>
      </c>
      <c r="H3474" s="411"/>
      <c r="I3474" s="411"/>
      <c r="J3474" s="750"/>
      <c r="K3474" s="412"/>
      <c r="L3474" s="412"/>
      <c r="M3474" s="682"/>
      <c r="N3474" s="171"/>
      <c r="O3474" s="171"/>
      <c r="P3474" s="169"/>
      <c r="Q3474" s="171"/>
      <c r="R3474" s="171"/>
      <c r="S3474" s="171"/>
      <c r="T3474" s="171"/>
      <c r="U3474" s="171"/>
      <c r="V3474" s="171"/>
      <c r="W3474" s="171"/>
      <c r="X3474" s="171"/>
      <c r="Y3474" s="171"/>
      <c r="Z3474" s="171"/>
      <c r="AA3474" s="171"/>
    </row>
    <row r="3475" spans="1:27" s="530" customFormat="1" ht="13.5" thickBot="1" x14ac:dyDescent="0.25">
      <c r="A3475" s="464"/>
      <c r="B3475" s="464"/>
      <c r="C3475" s="465"/>
      <c r="D3475" s="464"/>
      <c r="E3475" s="464"/>
      <c r="F3475" s="464" t="s">
        <v>234</v>
      </c>
      <c r="G3475" s="564" t="s">
        <v>235</v>
      </c>
      <c r="H3475" s="429">
        <f>SUM(H3396:H3455)</f>
        <v>27700000</v>
      </c>
      <c r="I3475" s="429">
        <f>SUM(I3473)</f>
        <v>27503799.109999999</v>
      </c>
      <c r="J3475" s="750">
        <f t="shared" si="39"/>
        <v>99.291693537906127</v>
      </c>
      <c r="K3475" s="430"/>
      <c r="L3475" s="431"/>
      <c r="M3475" s="682"/>
      <c r="N3475" s="171"/>
      <c r="O3475" s="171"/>
      <c r="P3475" s="169"/>
      <c r="Q3475" s="171"/>
      <c r="R3475" s="171"/>
      <c r="S3475" s="171"/>
      <c r="T3475" s="171"/>
      <c r="U3475" s="171"/>
      <c r="V3475" s="171"/>
      <c r="W3475" s="171"/>
      <c r="X3475" s="171"/>
      <c r="Y3475" s="171"/>
      <c r="Z3475" s="171"/>
      <c r="AA3475" s="171"/>
    </row>
    <row r="3476" spans="1:27" s="530" customFormat="1" hidden="1" x14ac:dyDescent="0.2">
      <c r="A3476" s="464"/>
      <c r="B3476" s="464"/>
      <c r="C3476" s="465"/>
      <c r="D3476" s="464"/>
      <c r="E3476" s="464"/>
      <c r="F3476" s="464" t="s">
        <v>236</v>
      </c>
      <c r="G3476" s="510" t="s">
        <v>237</v>
      </c>
      <c r="H3476" s="411"/>
      <c r="I3476" s="411"/>
      <c r="J3476" s="750" t="e">
        <f t="shared" si="39"/>
        <v>#DIV/0!</v>
      </c>
      <c r="K3476" s="412"/>
      <c r="L3476" s="412"/>
      <c r="M3476" s="682"/>
      <c r="N3476" s="171"/>
      <c r="O3476" s="171"/>
      <c r="P3476" s="169"/>
      <c r="Q3476" s="171"/>
      <c r="R3476" s="171"/>
      <c r="S3476" s="171"/>
      <c r="T3476" s="171"/>
      <c r="U3476" s="171"/>
      <c r="V3476" s="171"/>
      <c r="W3476" s="171"/>
      <c r="X3476" s="171"/>
      <c r="Y3476" s="171"/>
      <c r="Z3476" s="171"/>
      <c r="AA3476" s="171"/>
    </row>
    <row r="3477" spans="1:27" s="530" customFormat="1" hidden="1" x14ac:dyDescent="0.2">
      <c r="A3477" s="464"/>
      <c r="B3477" s="464"/>
      <c r="C3477" s="465"/>
      <c r="D3477" s="464"/>
      <c r="E3477" s="464"/>
      <c r="F3477" s="464" t="s">
        <v>238</v>
      </c>
      <c r="G3477" s="510" t="s">
        <v>239</v>
      </c>
      <c r="H3477" s="411"/>
      <c r="I3477" s="411"/>
      <c r="J3477" s="750" t="e">
        <f t="shared" si="39"/>
        <v>#DIV/0!</v>
      </c>
      <c r="K3477" s="412"/>
      <c r="L3477" s="412"/>
      <c r="M3477" s="682"/>
      <c r="N3477" s="171"/>
      <c r="O3477" s="171"/>
      <c r="P3477" s="169"/>
      <c r="Q3477" s="171"/>
      <c r="R3477" s="171"/>
      <c r="S3477" s="171"/>
      <c r="T3477" s="171"/>
      <c r="U3477" s="171"/>
      <c r="V3477" s="171"/>
      <c r="W3477" s="171"/>
      <c r="X3477" s="171"/>
      <c r="Y3477" s="171"/>
      <c r="Z3477" s="171"/>
      <c r="AA3477" s="171"/>
    </row>
    <row r="3478" spans="1:27" s="530" customFormat="1" hidden="1" x14ac:dyDescent="0.2">
      <c r="A3478" s="464"/>
      <c r="B3478" s="464"/>
      <c r="C3478" s="465"/>
      <c r="D3478" s="464"/>
      <c r="E3478" s="464"/>
      <c r="F3478" s="464" t="s">
        <v>240</v>
      </c>
      <c r="G3478" s="510" t="s">
        <v>241</v>
      </c>
      <c r="H3478" s="411"/>
      <c r="I3478" s="411"/>
      <c r="J3478" s="750" t="e">
        <f t="shared" si="39"/>
        <v>#DIV/0!</v>
      </c>
      <c r="K3478" s="412"/>
      <c r="L3478" s="412"/>
      <c r="M3478" s="682"/>
      <c r="N3478" s="171"/>
      <c r="O3478" s="171"/>
      <c r="P3478" s="169"/>
      <c r="Q3478" s="171"/>
      <c r="R3478" s="171"/>
      <c r="S3478" s="171"/>
      <c r="T3478" s="171"/>
      <c r="U3478" s="171"/>
      <c r="V3478" s="171"/>
      <c r="W3478" s="171"/>
      <c r="X3478" s="171"/>
      <c r="Y3478" s="171"/>
      <c r="Z3478" s="171"/>
      <c r="AA3478" s="171"/>
    </row>
    <row r="3479" spans="1:27" s="530" customFormat="1" hidden="1" x14ac:dyDescent="0.2">
      <c r="A3479" s="464"/>
      <c r="B3479" s="464"/>
      <c r="C3479" s="465"/>
      <c r="D3479" s="464"/>
      <c r="E3479" s="464"/>
      <c r="F3479" s="464" t="s">
        <v>242</v>
      </c>
      <c r="G3479" s="510" t="s">
        <v>243</v>
      </c>
      <c r="H3479" s="411"/>
      <c r="I3479" s="411"/>
      <c r="J3479" s="750" t="e">
        <f t="shared" si="39"/>
        <v>#DIV/0!</v>
      </c>
      <c r="K3479" s="412"/>
      <c r="L3479" s="412"/>
      <c r="M3479" s="682"/>
      <c r="N3479" s="171"/>
      <c r="O3479" s="171"/>
      <c r="P3479" s="169"/>
      <c r="Q3479" s="171"/>
      <c r="R3479" s="171"/>
      <c r="S3479" s="171"/>
      <c r="T3479" s="171"/>
      <c r="U3479" s="171"/>
      <c r="V3479" s="171"/>
      <c r="W3479" s="171"/>
      <c r="X3479" s="171"/>
      <c r="Y3479" s="171"/>
      <c r="Z3479" s="171"/>
      <c r="AA3479" s="171"/>
    </row>
    <row r="3480" spans="1:27" s="530" customFormat="1" hidden="1" x14ac:dyDescent="0.2">
      <c r="A3480" s="464"/>
      <c r="B3480" s="464"/>
      <c r="C3480" s="465"/>
      <c r="D3480" s="464"/>
      <c r="E3480" s="464"/>
      <c r="F3480" s="464" t="s">
        <v>244</v>
      </c>
      <c r="G3480" s="510" t="s">
        <v>245</v>
      </c>
      <c r="H3480" s="411"/>
      <c r="I3480" s="411"/>
      <c r="J3480" s="750" t="e">
        <f t="shared" si="39"/>
        <v>#DIV/0!</v>
      </c>
      <c r="K3480" s="412"/>
      <c r="L3480" s="412"/>
      <c r="M3480" s="682"/>
      <c r="N3480" s="171"/>
      <c r="O3480" s="171"/>
      <c r="P3480" s="169"/>
      <c r="Q3480" s="171"/>
      <c r="R3480" s="171"/>
      <c r="S3480" s="171"/>
      <c r="T3480" s="171"/>
      <c r="U3480" s="171"/>
      <c r="V3480" s="171"/>
      <c r="W3480" s="171"/>
      <c r="X3480" s="171"/>
      <c r="Y3480" s="171"/>
      <c r="Z3480" s="171"/>
      <c r="AA3480" s="171"/>
    </row>
    <row r="3481" spans="1:27" s="530" customFormat="1" hidden="1" x14ac:dyDescent="0.2">
      <c r="A3481" s="464"/>
      <c r="B3481" s="464"/>
      <c r="C3481" s="465"/>
      <c r="D3481" s="464"/>
      <c r="E3481" s="464"/>
      <c r="F3481" s="464" t="s">
        <v>246</v>
      </c>
      <c r="G3481" s="510" t="s">
        <v>247</v>
      </c>
      <c r="H3481" s="411"/>
      <c r="I3481" s="411"/>
      <c r="J3481" s="750" t="e">
        <f t="shared" si="39"/>
        <v>#DIV/0!</v>
      </c>
      <c r="K3481" s="412"/>
      <c r="L3481" s="412"/>
      <c r="M3481" s="682"/>
      <c r="N3481" s="171"/>
      <c r="O3481" s="171"/>
      <c r="P3481" s="169"/>
      <c r="Q3481" s="171"/>
      <c r="R3481" s="171"/>
      <c r="S3481" s="171"/>
      <c r="T3481" s="171"/>
      <c r="U3481" s="171"/>
      <c r="V3481" s="171"/>
      <c r="W3481" s="171"/>
      <c r="X3481" s="171"/>
      <c r="Y3481" s="171"/>
      <c r="Z3481" s="171"/>
      <c r="AA3481" s="171"/>
    </row>
    <row r="3482" spans="1:27" s="530" customFormat="1" ht="25.5" hidden="1" x14ac:dyDescent="0.2">
      <c r="A3482" s="464"/>
      <c r="B3482" s="464"/>
      <c r="C3482" s="465"/>
      <c r="D3482" s="464"/>
      <c r="E3482" s="464"/>
      <c r="F3482" s="464" t="s">
        <v>248</v>
      </c>
      <c r="G3482" s="510" t="s">
        <v>249</v>
      </c>
      <c r="H3482" s="411"/>
      <c r="I3482" s="411"/>
      <c r="J3482" s="750" t="e">
        <f t="shared" si="39"/>
        <v>#DIV/0!</v>
      </c>
      <c r="K3482" s="412"/>
      <c r="L3482" s="412"/>
      <c r="M3482" s="682"/>
      <c r="N3482" s="171"/>
      <c r="O3482" s="171"/>
      <c r="P3482" s="169"/>
      <c r="Q3482" s="171"/>
      <c r="R3482" s="171"/>
      <c r="S3482" s="171"/>
      <c r="T3482" s="171"/>
      <c r="U3482" s="171"/>
      <c r="V3482" s="171"/>
      <c r="W3482" s="171"/>
      <c r="X3482" s="171"/>
      <c r="Y3482" s="171"/>
      <c r="Z3482" s="171"/>
      <c r="AA3482" s="171"/>
    </row>
    <row r="3483" spans="1:27" s="530" customFormat="1" hidden="1" x14ac:dyDescent="0.2">
      <c r="A3483" s="464"/>
      <c r="B3483" s="464"/>
      <c r="C3483" s="465"/>
      <c r="D3483" s="464"/>
      <c r="E3483" s="464"/>
      <c r="F3483" s="464" t="s">
        <v>250</v>
      </c>
      <c r="G3483" s="510" t="s">
        <v>57</v>
      </c>
      <c r="H3483" s="411"/>
      <c r="I3483" s="411"/>
      <c r="J3483" s="750" t="e">
        <f t="shared" si="39"/>
        <v>#DIV/0!</v>
      </c>
      <c r="K3483" s="412"/>
      <c r="L3483" s="412"/>
      <c r="M3483" s="682"/>
      <c r="N3483" s="171"/>
      <c r="O3483" s="171"/>
      <c r="P3483" s="169"/>
      <c r="Q3483" s="171"/>
      <c r="R3483" s="171"/>
      <c r="S3483" s="171"/>
      <c r="T3483" s="171"/>
      <c r="U3483" s="171"/>
      <c r="V3483" s="171"/>
      <c r="W3483" s="171"/>
      <c r="X3483" s="171"/>
      <c r="Y3483" s="171"/>
      <c r="Z3483" s="171"/>
      <c r="AA3483" s="171"/>
    </row>
    <row r="3484" spans="1:27" s="530" customFormat="1" hidden="1" x14ac:dyDescent="0.2">
      <c r="A3484" s="464"/>
      <c r="B3484" s="464"/>
      <c r="C3484" s="465"/>
      <c r="D3484" s="464"/>
      <c r="E3484" s="464"/>
      <c r="F3484" s="464" t="s">
        <v>251</v>
      </c>
      <c r="G3484" s="510" t="s">
        <v>252</v>
      </c>
      <c r="H3484" s="411"/>
      <c r="I3484" s="411"/>
      <c r="J3484" s="750" t="e">
        <f t="shared" si="39"/>
        <v>#DIV/0!</v>
      </c>
      <c r="K3484" s="412"/>
      <c r="L3484" s="412"/>
      <c r="M3484" s="682"/>
      <c r="N3484" s="171"/>
      <c r="O3484" s="171"/>
      <c r="P3484" s="169"/>
      <c r="Q3484" s="171"/>
      <c r="R3484" s="171"/>
      <c r="S3484" s="171"/>
      <c r="T3484" s="171"/>
      <c r="U3484" s="171"/>
      <c r="V3484" s="171"/>
      <c r="W3484" s="171"/>
      <c r="X3484" s="171"/>
      <c r="Y3484" s="171"/>
      <c r="Z3484" s="171"/>
      <c r="AA3484" s="171"/>
    </row>
    <row r="3485" spans="1:27" s="530" customFormat="1" hidden="1" x14ac:dyDescent="0.2">
      <c r="A3485" s="464"/>
      <c r="B3485" s="464"/>
      <c r="C3485" s="465"/>
      <c r="D3485" s="464"/>
      <c r="E3485" s="464"/>
      <c r="F3485" s="464" t="s">
        <v>253</v>
      </c>
      <c r="G3485" s="510" t="s">
        <v>254</v>
      </c>
      <c r="H3485" s="411"/>
      <c r="I3485" s="411"/>
      <c r="J3485" s="750" t="e">
        <f t="shared" si="39"/>
        <v>#DIV/0!</v>
      </c>
      <c r="K3485" s="412"/>
      <c r="L3485" s="412"/>
      <c r="M3485" s="682"/>
      <c r="N3485" s="171"/>
      <c r="O3485" s="171"/>
      <c r="P3485" s="169"/>
      <c r="Q3485" s="171"/>
      <c r="R3485" s="171"/>
      <c r="S3485" s="171"/>
      <c r="T3485" s="171"/>
      <c r="U3485" s="171"/>
      <c r="V3485" s="171"/>
      <c r="W3485" s="171"/>
      <c r="X3485" s="171"/>
      <c r="Y3485" s="171"/>
      <c r="Z3485" s="171"/>
      <c r="AA3485" s="171"/>
    </row>
    <row r="3486" spans="1:27" s="530" customFormat="1" ht="25.5" hidden="1" x14ac:dyDescent="0.2">
      <c r="A3486" s="464"/>
      <c r="B3486" s="464"/>
      <c r="C3486" s="465"/>
      <c r="D3486" s="464"/>
      <c r="E3486" s="464"/>
      <c r="F3486" s="464" t="s">
        <v>255</v>
      </c>
      <c r="G3486" s="510" t="s">
        <v>256</v>
      </c>
      <c r="H3486" s="411"/>
      <c r="I3486" s="411"/>
      <c r="J3486" s="750" t="e">
        <f t="shared" si="39"/>
        <v>#DIV/0!</v>
      </c>
      <c r="K3486" s="412"/>
      <c r="L3486" s="412"/>
      <c r="M3486" s="682"/>
      <c r="N3486" s="171"/>
      <c r="O3486" s="171"/>
      <c r="P3486" s="169"/>
      <c r="Q3486" s="171"/>
      <c r="R3486" s="171"/>
      <c r="S3486" s="171"/>
      <c r="T3486" s="171"/>
      <c r="U3486" s="171"/>
      <c r="V3486" s="171"/>
      <c r="W3486" s="171"/>
      <c r="X3486" s="171"/>
      <c r="Y3486" s="171"/>
      <c r="Z3486" s="171"/>
      <c r="AA3486" s="171"/>
    </row>
    <row r="3487" spans="1:27" s="530" customFormat="1" ht="25.5" hidden="1" x14ac:dyDescent="0.2">
      <c r="A3487" s="464"/>
      <c r="B3487" s="464"/>
      <c r="C3487" s="465"/>
      <c r="D3487" s="464"/>
      <c r="E3487" s="464"/>
      <c r="F3487" s="464" t="s">
        <v>257</v>
      </c>
      <c r="G3487" s="510" t="s">
        <v>258</v>
      </c>
      <c r="H3487" s="411"/>
      <c r="I3487" s="411"/>
      <c r="J3487" s="750" t="e">
        <f t="shared" si="39"/>
        <v>#DIV/0!</v>
      </c>
      <c r="K3487" s="412"/>
      <c r="L3487" s="412"/>
      <c r="M3487" s="682"/>
      <c r="N3487" s="171"/>
      <c r="O3487" s="171"/>
      <c r="P3487" s="169"/>
      <c r="Q3487" s="171"/>
      <c r="R3487" s="171"/>
      <c r="S3487" s="171"/>
      <c r="T3487" s="171"/>
      <c r="U3487" s="171"/>
      <c r="V3487" s="171"/>
      <c r="W3487" s="171"/>
      <c r="X3487" s="171"/>
      <c r="Y3487" s="171"/>
      <c r="Z3487" s="171"/>
      <c r="AA3487" s="171"/>
    </row>
    <row r="3488" spans="1:27" s="530" customFormat="1" ht="25.5" hidden="1" x14ac:dyDescent="0.2">
      <c r="A3488" s="464"/>
      <c r="B3488" s="464"/>
      <c r="C3488" s="465"/>
      <c r="D3488" s="464"/>
      <c r="E3488" s="464"/>
      <c r="F3488" s="464" t="s">
        <v>259</v>
      </c>
      <c r="G3488" s="510" t="s">
        <v>260</v>
      </c>
      <c r="H3488" s="411"/>
      <c r="I3488" s="411"/>
      <c r="J3488" s="750" t="e">
        <f t="shared" si="39"/>
        <v>#DIV/0!</v>
      </c>
      <c r="K3488" s="412"/>
      <c r="L3488" s="412"/>
      <c r="M3488" s="682"/>
      <c r="N3488" s="171"/>
      <c r="O3488" s="171"/>
      <c r="P3488" s="169"/>
      <c r="Q3488" s="171"/>
      <c r="R3488" s="171"/>
      <c r="S3488" s="171"/>
      <c r="T3488" s="171"/>
      <c r="U3488" s="171"/>
      <c r="V3488" s="171"/>
      <c r="W3488" s="171"/>
      <c r="X3488" s="171"/>
      <c r="Y3488" s="171"/>
      <c r="Z3488" s="171"/>
      <c r="AA3488" s="171"/>
    </row>
    <row r="3489" spans="1:27" s="530" customFormat="1" ht="25.5" hidden="1" x14ac:dyDescent="0.2">
      <c r="A3489" s="464"/>
      <c r="B3489" s="464"/>
      <c r="C3489" s="465"/>
      <c r="D3489" s="464"/>
      <c r="E3489" s="464"/>
      <c r="F3489" s="464" t="s">
        <v>261</v>
      </c>
      <c r="G3489" s="510" t="s">
        <v>262</v>
      </c>
      <c r="H3489" s="411"/>
      <c r="I3489" s="411"/>
      <c r="J3489" s="750" t="e">
        <f t="shared" si="39"/>
        <v>#DIV/0!</v>
      </c>
      <c r="K3489" s="412"/>
      <c r="L3489" s="412"/>
      <c r="M3489" s="682"/>
      <c r="N3489" s="171"/>
      <c r="O3489" s="171"/>
      <c r="P3489" s="169"/>
      <c r="Q3489" s="171"/>
      <c r="R3489" s="171"/>
      <c r="S3489" s="171"/>
      <c r="T3489" s="171"/>
      <c r="U3489" s="171"/>
      <c r="V3489" s="171"/>
      <c r="W3489" s="171"/>
      <c r="X3489" s="171"/>
      <c r="Y3489" s="171"/>
      <c r="Z3489" s="171"/>
      <c r="AA3489" s="171"/>
    </row>
    <row r="3490" spans="1:27" s="530" customFormat="1" hidden="1" x14ac:dyDescent="0.2">
      <c r="A3490" s="464"/>
      <c r="B3490" s="464"/>
      <c r="C3490" s="465"/>
      <c r="D3490" s="464"/>
      <c r="E3490" s="464"/>
      <c r="F3490" s="464" t="s">
        <v>263</v>
      </c>
      <c r="G3490" s="510" t="s">
        <v>264</v>
      </c>
      <c r="H3490" s="411"/>
      <c r="I3490" s="411"/>
      <c r="J3490" s="750" t="e">
        <f t="shared" si="39"/>
        <v>#DIV/0!</v>
      </c>
      <c r="K3490" s="412"/>
      <c r="L3490" s="412"/>
      <c r="M3490" s="682"/>
      <c r="N3490" s="171"/>
      <c r="O3490" s="171"/>
      <c r="P3490" s="169"/>
      <c r="Q3490" s="171"/>
      <c r="R3490" s="171"/>
      <c r="S3490" s="171"/>
      <c r="T3490" s="171"/>
      <c r="U3490" s="171"/>
      <c r="V3490" s="171"/>
      <c r="W3490" s="171"/>
      <c r="X3490" s="171"/>
      <c r="Y3490" s="171"/>
      <c r="Z3490" s="171"/>
      <c r="AA3490" s="171"/>
    </row>
    <row r="3491" spans="1:27" s="530" customFormat="1" ht="13.5" thickBot="1" x14ac:dyDescent="0.25">
      <c r="A3491" s="464"/>
      <c r="B3491" s="464"/>
      <c r="C3491" s="465"/>
      <c r="D3491" s="464"/>
      <c r="E3491" s="464"/>
      <c r="F3491" s="464"/>
      <c r="G3491" s="565" t="s">
        <v>5202</v>
      </c>
      <c r="H3491" s="432">
        <f>SUM(H3475:H3490)</f>
        <v>27700000</v>
      </c>
      <c r="I3491" s="432">
        <f>SUM(I3475)</f>
        <v>27503799.109999999</v>
      </c>
      <c r="J3491" s="750">
        <f t="shared" si="39"/>
        <v>99.291693537906127</v>
      </c>
      <c r="K3491" s="430">
        <f>SUM(K3476:K3490)</f>
        <v>0</v>
      </c>
      <c r="L3491" s="430"/>
      <c r="M3491" s="682"/>
      <c r="N3491" s="171"/>
      <c r="O3491" s="171"/>
      <c r="P3491" s="169"/>
      <c r="Q3491" s="171"/>
      <c r="R3491" s="171"/>
      <c r="S3491" s="171"/>
      <c r="T3491" s="171"/>
      <c r="U3491" s="171"/>
      <c r="V3491" s="171"/>
      <c r="W3491" s="171"/>
      <c r="X3491" s="171"/>
      <c r="Y3491" s="171"/>
      <c r="Z3491" s="171"/>
      <c r="AA3491" s="171"/>
    </row>
    <row r="3492" spans="1:27" s="530" customFormat="1" ht="3" customHeight="1" x14ac:dyDescent="0.2">
      <c r="A3492" s="526"/>
      <c r="B3492" s="527"/>
      <c r="C3492" s="465"/>
      <c r="D3492" s="464"/>
      <c r="E3492" s="464"/>
      <c r="F3492" s="464"/>
      <c r="G3492" s="510"/>
      <c r="H3492" s="411"/>
      <c r="I3492" s="411"/>
      <c r="J3492" s="750" t="e">
        <f t="shared" si="39"/>
        <v>#DIV/0!</v>
      </c>
      <c r="K3492" s="412"/>
      <c r="L3492" s="412"/>
      <c r="M3492" s="682"/>
      <c r="N3492" s="171"/>
      <c r="O3492" s="171"/>
      <c r="P3492" s="169"/>
      <c r="Q3492" s="171"/>
      <c r="R3492" s="171"/>
      <c r="S3492" s="171"/>
      <c r="T3492" s="171"/>
      <c r="U3492" s="171"/>
      <c r="V3492" s="171"/>
      <c r="W3492" s="171"/>
      <c r="X3492" s="171"/>
      <c r="Y3492" s="171"/>
      <c r="Z3492" s="171"/>
      <c r="AA3492" s="171"/>
    </row>
    <row r="3493" spans="1:27" s="530" customFormat="1" ht="26.25" customHeight="1" x14ac:dyDescent="0.2">
      <c r="A3493" s="526"/>
      <c r="B3493" s="527"/>
      <c r="C3493" s="542" t="s">
        <v>4635</v>
      </c>
      <c r="D3493" s="173"/>
      <c r="E3493" s="173"/>
      <c r="F3493" s="502"/>
      <c r="G3493" s="510" t="s">
        <v>5203</v>
      </c>
      <c r="H3493" s="397"/>
      <c r="I3493" s="397"/>
      <c r="J3493" s="750"/>
      <c r="K3493" s="398"/>
      <c r="L3493" s="398"/>
      <c r="M3493" s="682"/>
      <c r="N3493" s="171"/>
      <c r="O3493" s="171"/>
      <c r="P3493" s="169"/>
      <c r="Q3493" s="171"/>
      <c r="R3493" s="171"/>
      <c r="S3493" s="171"/>
      <c r="T3493" s="171"/>
      <c r="U3493" s="171"/>
      <c r="V3493" s="171"/>
      <c r="W3493" s="171"/>
      <c r="X3493" s="171"/>
      <c r="Y3493" s="171"/>
      <c r="Z3493" s="171"/>
      <c r="AA3493" s="171"/>
    </row>
    <row r="3494" spans="1:27" s="530" customFormat="1" ht="12" customHeight="1" x14ac:dyDescent="0.2">
      <c r="A3494" s="526"/>
      <c r="B3494" s="527"/>
      <c r="C3494" s="489"/>
      <c r="D3494" s="492">
        <v>620</v>
      </c>
      <c r="E3494" s="492"/>
      <c r="F3494" s="492"/>
      <c r="G3494" s="514" t="s">
        <v>182</v>
      </c>
      <c r="H3494" s="397"/>
      <c r="I3494" s="397"/>
      <c r="J3494" s="750"/>
      <c r="K3494" s="398"/>
      <c r="L3494" s="398"/>
      <c r="M3494" s="682"/>
      <c r="N3494" s="171"/>
      <c r="O3494" s="171"/>
      <c r="P3494" s="169"/>
      <c r="Q3494" s="171"/>
      <c r="R3494" s="171"/>
      <c r="S3494" s="171"/>
      <c r="T3494" s="171"/>
      <c r="U3494" s="171"/>
      <c r="V3494" s="171"/>
      <c r="W3494" s="171"/>
      <c r="X3494" s="171"/>
      <c r="Y3494" s="171"/>
      <c r="Z3494" s="171"/>
      <c r="AA3494" s="171"/>
    </row>
    <row r="3495" spans="1:27" s="530" customFormat="1" hidden="1" x14ac:dyDescent="0.2">
      <c r="A3495" s="526"/>
      <c r="B3495" s="527"/>
      <c r="C3495" s="465"/>
      <c r="D3495" s="464"/>
      <c r="E3495" s="464"/>
      <c r="F3495" s="494">
        <v>411</v>
      </c>
      <c r="G3495" s="495" t="s">
        <v>4167</v>
      </c>
      <c r="H3495" s="397"/>
      <c r="I3495" s="397"/>
      <c r="J3495" s="750" t="e">
        <f t="shared" si="39"/>
        <v>#DIV/0!</v>
      </c>
      <c r="K3495" s="398"/>
      <c r="L3495" s="398"/>
      <c r="M3495" s="682"/>
      <c r="N3495" s="171"/>
      <c r="O3495" s="171"/>
      <c r="P3495" s="169"/>
      <c r="Q3495" s="171"/>
      <c r="R3495" s="171"/>
      <c r="S3495" s="171"/>
      <c r="T3495" s="171"/>
      <c r="U3495" s="171"/>
      <c r="V3495" s="171"/>
      <c r="W3495" s="171"/>
      <c r="X3495" s="171"/>
      <c r="Y3495" s="171"/>
      <c r="Z3495" s="171"/>
      <c r="AA3495" s="171"/>
    </row>
    <row r="3496" spans="1:27" s="530" customFormat="1" hidden="1" x14ac:dyDescent="0.2">
      <c r="A3496" s="526"/>
      <c r="B3496" s="527"/>
      <c r="C3496" s="465"/>
      <c r="D3496" s="464"/>
      <c r="E3496" s="464"/>
      <c r="F3496" s="494">
        <v>412</v>
      </c>
      <c r="G3496" s="496" t="s">
        <v>3764</v>
      </c>
      <c r="H3496" s="397"/>
      <c r="I3496" s="397"/>
      <c r="J3496" s="750" t="e">
        <f t="shared" si="39"/>
        <v>#DIV/0!</v>
      </c>
      <c r="K3496" s="398"/>
      <c r="L3496" s="398"/>
      <c r="M3496" s="682"/>
      <c r="N3496" s="171"/>
      <c r="O3496" s="171"/>
      <c r="P3496" s="169"/>
      <c r="Q3496" s="171"/>
      <c r="R3496" s="171"/>
      <c r="S3496" s="171"/>
      <c r="T3496" s="171"/>
      <c r="U3496" s="171"/>
      <c r="V3496" s="171"/>
      <c r="W3496" s="171"/>
      <c r="X3496" s="171"/>
      <c r="Y3496" s="171"/>
      <c r="Z3496" s="171"/>
      <c r="AA3496" s="171"/>
    </row>
    <row r="3497" spans="1:27" s="530" customFormat="1" hidden="1" x14ac:dyDescent="0.2">
      <c r="A3497" s="526"/>
      <c r="B3497" s="527"/>
      <c r="C3497" s="465"/>
      <c r="D3497" s="464"/>
      <c r="E3497" s="464"/>
      <c r="F3497" s="494">
        <v>413</v>
      </c>
      <c r="G3497" s="495" t="s">
        <v>4168</v>
      </c>
      <c r="H3497" s="397"/>
      <c r="I3497" s="397"/>
      <c r="J3497" s="750" t="e">
        <f t="shared" si="39"/>
        <v>#DIV/0!</v>
      </c>
      <c r="K3497" s="398"/>
      <c r="L3497" s="398"/>
      <c r="M3497" s="682"/>
      <c r="N3497" s="171"/>
      <c r="O3497" s="171"/>
      <c r="P3497" s="169"/>
      <c r="Q3497" s="171"/>
      <c r="R3497" s="171"/>
      <c r="S3497" s="171"/>
      <c r="T3497" s="171"/>
      <c r="U3497" s="171"/>
      <c r="V3497" s="171"/>
      <c r="W3497" s="171"/>
      <c r="X3497" s="171"/>
      <c r="Y3497" s="171"/>
      <c r="Z3497" s="171"/>
      <c r="AA3497" s="171"/>
    </row>
    <row r="3498" spans="1:27" s="530" customFormat="1" hidden="1" x14ac:dyDescent="0.2">
      <c r="A3498" s="526"/>
      <c r="B3498" s="527"/>
      <c r="C3498" s="465"/>
      <c r="D3498" s="464"/>
      <c r="E3498" s="464"/>
      <c r="F3498" s="494">
        <v>414</v>
      </c>
      <c r="G3498" s="495" t="s">
        <v>3767</v>
      </c>
      <c r="H3498" s="397"/>
      <c r="I3498" s="397"/>
      <c r="J3498" s="750" t="e">
        <f t="shared" si="39"/>
        <v>#DIV/0!</v>
      </c>
      <c r="K3498" s="398"/>
      <c r="L3498" s="398"/>
      <c r="M3498" s="682"/>
      <c r="N3498" s="171"/>
      <c r="O3498" s="171"/>
      <c r="P3498" s="169"/>
      <c r="Q3498" s="171"/>
      <c r="R3498" s="171"/>
      <c r="S3498" s="171"/>
      <c r="T3498" s="171"/>
      <c r="U3498" s="171"/>
      <c r="V3498" s="171"/>
      <c r="W3498" s="171"/>
      <c r="X3498" s="171"/>
      <c r="Y3498" s="171"/>
      <c r="Z3498" s="171"/>
      <c r="AA3498" s="171"/>
    </row>
    <row r="3499" spans="1:27" s="530" customFormat="1" hidden="1" x14ac:dyDescent="0.2">
      <c r="A3499" s="526"/>
      <c r="B3499" s="527"/>
      <c r="C3499" s="465"/>
      <c r="D3499" s="464"/>
      <c r="E3499" s="464"/>
      <c r="F3499" s="494">
        <v>415</v>
      </c>
      <c r="G3499" s="495" t="s">
        <v>4177</v>
      </c>
      <c r="H3499" s="397"/>
      <c r="I3499" s="397"/>
      <c r="J3499" s="750" t="e">
        <f t="shared" si="39"/>
        <v>#DIV/0!</v>
      </c>
      <c r="K3499" s="398"/>
      <c r="L3499" s="398"/>
      <c r="M3499" s="682"/>
      <c r="N3499" s="171"/>
      <c r="O3499" s="171"/>
      <c r="P3499" s="169"/>
      <c r="Q3499" s="171"/>
      <c r="R3499" s="171"/>
      <c r="S3499" s="171"/>
      <c r="T3499" s="171"/>
      <c r="U3499" s="171"/>
      <c r="V3499" s="171"/>
      <c r="W3499" s="171"/>
      <c r="X3499" s="171"/>
      <c r="Y3499" s="171"/>
      <c r="Z3499" s="171"/>
      <c r="AA3499" s="171"/>
    </row>
    <row r="3500" spans="1:27" s="530" customFormat="1" ht="25.5" hidden="1" x14ac:dyDescent="0.2">
      <c r="A3500" s="526"/>
      <c r="B3500" s="527"/>
      <c r="C3500" s="465"/>
      <c r="D3500" s="464"/>
      <c r="E3500" s="464"/>
      <c r="F3500" s="494">
        <v>416</v>
      </c>
      <c r="G3500" s="495" t="s">
        <v>4178</v>
      </c>
      <c r="H3500" s="397"/>
      <c r="I3500" s="397"/>
      <c r="J3500" s="750" t="e">
        <f t="shared" si="39"/>
        <v>#DIV/0!</v>
      </c>
      <c r="K3500" s="398"/>
      <c r="L3500" s="398"/>
      <c r="M3500" s="682"/>
      <c r="N3500" s="171"/>
      <c r="O3500" s="171"/>
      <c r="P3500" s="169"/>
      <c r="Q3500" s="171"/>
      <c r="R3500" s="171"/>
      <c r="S3500" s="171"/>
      <c r="T3500" s="171"/>
      <c r="U3500" s="171"/>
      <c r="V3500" s="171"/>
      <c r="W3500" s="171"/>
      <c r="X3500" s="171"/>
      <c r="Y3500" s="171"/>
      <c r="Z3500" s="171"/>
      <c r="AA3500" s="171"/>
    </row>
    <row r="3501" spans="1:27" s="530" customFormat="1" hidden="1" x14ac:dyDescent="0.2">
      <c r="A3501" s="526"/>
      <c r="B3501" s="527"/>
      <c r="C3501" s="465"/>
      <c r="D3501" s="464"/>
      <c r="E3501" s="464"/>
      <c r="F3501" s="494">
        <v>417</v>
      </c>
      <c r="G3501" s="495" t="s">
        <v>4179</v>
      </c>
      <c r="H3501" s="397"/>
      <c r="I3501" s="397"/>
      <c r="J3501" s="750" t="e">
        <f t="shared" si="39"/>
        <v>#DIV/0!</v>
      </c>
      <c r="K3501" s="398"/>
      <c r="L3501" s="398"/>
      <c r="M3501" s="682"/>
      <c r="N3501" s="171"/>
      <c r="O3501" s="171"/>
      <c r="P3501" s="169"/>
      <c r="Q3501" s="171"/>
      <c r="R3501" s="171"/>
      <c r="S3501" s="171"/>
      <c r="T3501" s="171"/>
      <c r="U3501" s="171"/>
      <c r="V3501" s="171"/>
      <c r="W3501" s="171"/>
      <c r="X3501" s="171"/>
      <c r="Y3501" s="171"/>
      <c r="Z3501" s="171"/>
      <c r="AA3501" s="171"/>
    </row>
    <row r="3502" spans="1:27" s="530" customFormat="1" hidden="1" x14ac:dyDescent="0.2">
      <c r="A3502" s="526"/>
      <c r="B3502" s="527"/>
      <c r="C3502" s="465"/>
      <c r="D3502" s="464"/>
      <c r="E3502" s="464"/>
      <c r="F3502" s="494">
        <v>418</v>
      </c>
      <c r="G3502" s="495" t="s">
        <v>3773</v>
      </c>
      <c r="H3502" s="397"/>
      <c r="I3502" s="397"/>
      <c r="J3502" s="750" t="e">
        <f t="shared" si="39"/>
        <v>#DIV/0!</v>
      </c>
      <c r="K3502" s="398"/>
      <c r="L3502" s="398"/>
      <c r="M3502" s="682"/>
      <c r="N3502" s="171"/>
      <c r="O3502" s="171"/>
      <c r="P3502" s="169"/>
      <c r="Q3502" s="171"/>
      <c r="R3502" s="171"/>
      <c r="S3502" s="171"/>
      <c r="T3502" s="171"/>
      <c r="U3502" s="171"/>
      <c r="V3502" s="171"/>
      <c r="W3502" s="171"/>
      <c r="X3502" s="171"/>
      <c r="Y3502" s="171"/>
      <c r="Z3502" s="171"/>
      <c r="AA3502" s="171"/>
    </row>
    <row r="3503" spans="1:27" s="530" customFormat="1" hidden="1" x14ac:dyDescent="0.2">
      <c r="A3503" s="526"/>
      <c r="B3503" s="527"/>
      <c r="C3503" s="465"/>
      <c r="D3503" s="464"/>
      <c r="E3503" s="464"/>
      <c r="F3503" s="494">
        <v>421</v>
      </c>
      <c r="G3503" s="495" t="s">
        <v>3777</v>
      </c>
      <c r="H3503" s="397"/>
      <c r="I3503" s="397"/>
      <c r="J3503" s="750" t="e">
        <f t="shared" si="39"/>
        <v>#DIV/0!</v>
      </c>
      <c r="K3503" s="398"/>
      <c r="L3503" s="398"/>
      <c r="M3503" s="682"/>
      <c r="N3503" s="171"/>
      <c r="O3503" s="171"/>
      <c r="P3503" s="169"/>
      <c r="Q3503" s="171"/>
      <c r="R3503" s="171"/>
      <c r="S3503" s="171"/>
      <c r="T3503" s="171"/>
      <c r="U3503" s="171"/>
      <c r="V3503" s="171"/>
      <c r="W3503" s="171"/>
      <c r="X3503" s="171"/>
      <c r="Y3503" s="171"/>
      <c r="Z3503" s="171"/>
      <c r="AA3503" s="171"/>
    </row>
    <row r="3504" spans="1:27" s="530" customFormat="1" hidden="1" x14ac:dyDescent="0.2">
      <c r="A3504" s="526"/>
      <c r="B3504" s="527"/>
      <c r="C3504" s="465"/>
      <c r="D3504" s="464"/>
      <c r="E3504" s="464"/>
      <c r="F3504" s="494">
        <v>422</v>
      </c>
      <c r="G3504" s="495" t="s">
        <v>3778</v>
      </c>
      <c r="H3504" s="397"/>
      <c r="I3504" s="397"/>
      <c r="J3504" s="750" t="e">
        <f t="shared" si="39"/>
        <v>#DIV/0!</v>
      </c>
      <c r="K3504" s="398"/>
      <c r="L3504" s="398"/>
      <c r="M3504" s="682"/>
      <c r="N3504" s="171"/>
      <c r="O3504" s="171"/>
      <c r="P3504" s="169"/>
      <c r="Q3504" s="171"/>
      <c r="R3504" s="171"/>
      <c r="S3504" s="171"/>
      <c r="T3504" s="171"/>
      <c r="U3504" s="171"/>
      <c r="V3504" s="171"/>
      <c r="W3504" s="171"/>
      <c r="X3504" s="171"/>
      <c r="Y3504" s="171"/>
      <c r="Z3504" s="171"/>
      <c r="AA3504" s="171"/>
    </row>
    <row r="3505" spans="1:27" s="530" customFormat="1" hidden="1" x14ac:dyDescent="0.2">
      <c r="A3505" s="526"/>
      <c r="B3505" s="527"/>
      <c r="C3505" s="465"/>
      <c r="D3505" s="464"/>
      <c r="E3505" s="464"/>
      <c r="F3505" s="494">
        <v>423</v>
      </c>
      <c r="G3505" s="495" t="s">
        <v>3779</v>
      </c>
      <c r="H3505" s="397"/>
      <c r="I3505" s="397"/>
      <c r="J3505" s="750" t="e">
        <f t="shared" si="39"/>
        <v>#DIV/0!</v>
      </c>
      <c r="K3505" s="398"/>
      <c r="L3505" s="398"/>
      <c r="M3505" s="682"/>
      <c r="N3505" s="171"/>
      <c r="O3505" s="171"/>
      <c r="P3505" s="169"/>
      <c r="Q3505" s="171"/>
      <c r="R3505" s="171"/>
      <c r="S3505" s="171"/>
      <c r="T3505" s="171"/>
      <c r="U3505" s="171"/>
      <c r="V3505" s="171"/>
      <c r="W3505" s="171"/>
      <c r="X3505" s="171"/>
      <c r="Y3505" s="171"/>
      <c r="Z3505" s="171"/>
      <c r="AA3505" s="171"/>
    </row>
    <row r="3506" spans="1:27" s="530" customFormat="1" hidden="1" x14ac:dyDescent="0.2">
      <c r="A3506" s="526"/>
      <c r="B3506" s="527"/>
      <c r="C3506" s="465"/>
      <c r="D3506" s="464"/>
      <c r="E3506" s="464"/>
      <c r="F3506" s="494">
        <v>424</v>
      </c>
      <c r="G3506" s="495" t="s">
        <v>3781</v>
      </c>
      <c r="H3506" s="397"/>
      <c r="I3506" s="397"/>
      <c r="J3506" s="750" t="e">
        <f t="shared" si="39"/>
        <v>#DIV/0!</v>
      </c>
      <c r="K3506" s="398"/>
      <c r="L3506" s="398"/>
      <c r="M3506" s="682"/>
      <c r="N3506" s="171"/>
      <c r="O3506" s="171"/>
      <c r="P3506" s="169"/>
      <c r="Q3506" s="171"/>
      <c r="R3506" s="171"/>
      <c r="S3506" s="171"/>
      <c r="T3506" s="171"/>
      <c r="U3506" s="171"/>
      <c r="V3506" s="171"/>
      <c r="W3506" s="171"/>
      <c r="X3506" s="171"/>
      <c r="Y3506" s="171"/>
      <c r="Z3506" s="171"/>
      <c r="AA3506" s="171"/>
    </row>
    <row r="3507" spans="1:27" s="530" customFormat="1" hidden="1" x14ac:dyDescent="0.2">
      <c r="A3507" s="526"/>
      <c r="B3507" s="527"/>
      <c r="C3507" s="465"/>
      <c r="D3507" s="464"/>
      <c r="E3507" s="464"/>
      <c r="F3507" s="494">
        <v>425</v>
      </c>
      <c r="G3507" s="495" t="s">
        <v>4180</v>
      </c>
      <c r="H3507" s="397"/>
      <c r="I3507" s="397"/>
      <c r="J3507" s="750" t="e">
        <f t="shared" si="39"/>
        <v>#DIV/0!</v>
      </c>
      <c r="K3507" s="398"/>
      <c r="L3507" s="398"/>
      <c r="M3507" s="682"/>
      <c r="N3507" s="171"/>
      <c r="O3507" s="171"/>
      <c r="P3507" s="169"/>
      <c r="Q3507" s="171"/>
      <c r="R3507" s="171"/>
      <c r="S3507" s="171"/>
      <c r="T3507" s="171"/>
      <c r="U3507" s="171"/>
      <c r="V3507" s="171"/>
      <c r="W3507" s="171"/>
      <c r="X3507" s="171"/>
      <c r="Y3507" s="171"/>
      <c r="Z3507" s="171"/>
      <c r="AA3507" s="171"/>
    </row>
    <row r="3508" spans="1:27" s="530" customFormat="1" hidden="1" x14ac:dyDescent="0.2">
      <c r="A3508" s="526"/>
      <c r="B3508" s="527"/>
      <c r="C3508" s="465"/>
      <c r="D3508" s="464"/>
      <c r="E3508" s="464"/>
      <c r="F3508" s="494">
        <v>426</v>
      </c>
      <c r="G3508" s="495" t="s">
        <v>3785</v>
      </c>
      <c r="H3508" s="397"/>
      <c r="I3508" s="397"/>
      <c r="J3508" s="750" t="e">
        <f t="shared" si="39"/>
        <v>#DIV/0!</v>
      </c>
      <c r="K3508" s="398"/>
      <c r="L3508" s="398"/>
      <c r="M3508" s="682"/>
      <c r="N3508" s="171"/>
      <c r="O3508" s="171"/>
      <c r="P3508" s="169"/>
      <c r="Q3508" s="171"/>
      <c r="R3508" s="171"/>
      <c r="S3508" s="171"/>
      <c r="T3508" s="171"/>
      <c r="U3508" s="171"/>
      <c r="V3508" s="171"/>
      <c r="W3508" s="171"/>
      <c r="X3508" s="171"/>
      <c r="Y3508" s="171"/>
      <c r="Z3508" s="171"/>
      <c r="AA3508" s="171"/>
    </row>
    <row r="3509" spans="1:27" s="530" customFormat="1" hidden="1" x14ac:dyDescent="0.2">
      <c r="A3509" s="526"/>
      <c r="B3509" s="527"/>
      <c r="C3509" s="465"/>
      <c r="D3509" s="464"/>
      <c r="E3509" s="464"/>
      <c r="F3509" s="494">
        <v>431</v>
      </c>
      <c r="G3509" s="495" t="s">
        <v>4181</v>
      </c>
      <c r="H3509" s="397"/>
      <c r="I3509" s="397"/>
      <c r="J3509" s="750" t="e">
        <f t="shared" si="39"/>
        <v>#DIV/0!</v>
      </c>
      <c r="K3509" s="398"/>
      <c r="L3509" s="398"/>
      <c r="M3509" s="682"/>
      <c r="N3509" s="171"/>
      <c r="O3509" s="171"/>
      <c r="P3509" s="169"/>
      <c r="Q3509" s="171"/>
      <c r="R3509" s="171"/>
      <c r="S3509" s="171"/>
      <c r="T3509" s="171"/>
      <c r="U3509" s="171"/>
      <c r="V3509" s="171"/>
      <c r="W3509" s="171"/>
      <c r="X3509" s="171"/>
      <c r="Y3509" s="171"/>
      <c r="Z3509" s="171"/>
      <c r="AA3509" s="171"/>
    </row>
    <row r="3510" spans="1:27" s="530" customFormat="1" hidden="1" x14ac:dyDescent="0.2">
      <c r="A3510" s="526"/>
      <c r="B3510" s="527"/>
      <c r="C3510" s="465"/>
      <c r="D3510" s="464"/>
      <c r="E3510" s="464"/>
      <c r="F3510" s="494">
        <v>432</v>
      </c>
      <c r="G3510" s="495" t="s">
        <v>4182</v>
      </c>
      <c r="H3510" s="397"/>
      <c r="I3510" s="397"/>
      <c r="J3510" s="750" t="e">
        <f t="shared" si="39"/>
        <v>#DIV/0!</v>
      </c>
      <c r="K3510" s="398"/>
      <c r="L3510" s="398"/>
      <c r="M3510" s="682"/>
      <c r="N3510" s="171"/>
      <c r="O3510" s="171"/>
      <c r="P3510" s="169"/>
      <c r="Q3510" s="171"/>
      <c r="R3510" s="171"/>
      <c r="S3510" s="171"/>
      <c r="T3510" s="171"/>
      <c r="U3510" s="171"/>
      <c r="V3510" s="171"/>
      <c r="W3510" s="171"/>
      <c r="X3510" s="171"/>
      <c r="Y3510" s="171"/>
      <c r="Z3510" s="171"/>
      <c r="AA3510" s="171"/>
    </row>
    <row r="3511" spans="1:27" s="530" customFormat="1" hidden="1" x14ac:dyDescent="0.2">
      <c r="A3511" s="526"/>
      <c r="B3511" s="527"/>
      <c r="C3511" s="465"/>
      <c r="D3511" s="464"/>
      <c r="E3511" s="464"/>
      <c r="F3511" s="494">
        <v>433</v>
      </c>
      <c r="G3511" s="495" t="s">
        <v>4183</v>
      </c>
      <c r="H3511" s="397"/>
      <c r="I3511" s="397"/>
      <c r="J3511" s="750" t="e">
        <f t="shared" si="39"/>
        <v>#DIV/0!</v>
      </c>
      <c r="K3511" s="398"/>
      <c r="L3511" s="398"/>
      <c r="M3511" s="682"/>
      <c r="N3511" s="171"/>
      <c r="O3511" s="171"/>
      <c r="P3511" s="169"/>
      <c r="Q3511" s="171"/>
      <c r="R3511" s="171"/>
      <c r="S3511" s="171"/>
      <c r="T3511" s="171"/>
      <c r="U3511" s="171"/>
      <c r="V3511" s="171"/>
      <c r="W3511" s="171"/>
      <c r="X3511" s="171"/>
      <c r="Y3511" s="171"/>
      <c r="Z3511" s="171"/>
      <c r="AA3511" s="171"/>
    </row>
    <row r="3512" spans="1:27" s="530" customFormat="1" hidden="1" x14ac:dyDescent="0.2">
      <c r="A3512" s="526"/>
      <c r="B3512" s="527"/>
      <c r="C3512" s="465"/>
      <c r="D3512" s="464"/>
      <c r="E3512" s="464"/>
      <c r="F3512" s="494">
        <v>434</v>
      </c>
      <c r="G3512" s="495" t="s">
        <v>4184</v>
      </c>
      <c r="H3512" s="397"/>
      <c r="I3512" s="397"/>
      <c r="J3512" s="750" t="e">
        <f t="shared" si="39"/>
        <v>#DIV/0!</v>
      </c>
      <c r="K3512" s="398"/>
      <c r="L3512" s="398"/>
      <c r="M3512" s="682"/>
      <c r="N3512" s="171"/>
      <c r="O3512" s="171"/>
      <c r="P3512" s="169"/>
      <c r="Q3512" s="171"/>
      <c r="R3512" s="171"/>
      <c r="S3512" s="171"/>
      <c r="T3512" s="171"/>
      <c r="U3512" s="171"/>
      <c r="V3512" s="171"/>
      <c r="W3512" s="171"/>
      <c r="X3512" s="171"/>
      <c r="Y3512" s="171"/>
      <c r="Z3512" s="171"/>
      <c r="AA3512" s="171"/>
    </row>
    <row r="3513" spans="1:27" s="530" customFormat="1" hidden="1" x14ac:dyDescent="0.2">
      <c r="A3513" s="526"/>
      <c r="B3513" s="527"/>
      <c r="C3513" s="465"/>
      <c r="D3513" s="464"/>
      <c r="E3513" s="464"/>
      <c r="F3513" s="494">
        <v>435</v>
      </c>
      <c r="G3513" s="495" t="s">
        <v>3792</v>
      </c>
      <c r="H3513" s="397"/>
      <c r="I3513" s="397"/>
      <c r="J3513" s="750" t="e">
        <f t="shared" si="39"/>
        <v>#DIV/0!</v>
      </c>
      <c r="K3513" s="398"/>
      <c r="L3513" s="398"/>
      <c r="M3513" s="682"/>
      <c r="N3513" s="171"/>
      <c r="O3513" s="171"/>
      <c r="P3513" s="169"/>
      <c r="Q3513" s="171"/>
      <c r="R3513" s="171"/>
      <c r="S3513" s="171"/>
      <c r="T3513" s="171"/>
      <c r="U3513" s="171"/>
      <c r="V3513" s="171"/>
      <c r="W3513" s="171"/>
      <c r="X3513" s="171"/>
      <c r="Y3513" s="171"/>
      <c r="Z3513" s="171"/>
      <c r="AA3513" s="171"/>
    </row>
    <row r="3514" spans="1:27" s="530" customFormat="1" hidden="1" x14ac:dyDescent="0.2">
      <c r="A3514" s="526"/>
      <c r="B3514" s="527"/>
      <c r="C3514" s="465"/>
      <c r="D3514" s="464"/>
      <c r="E3514" s="464"/>
      <c r="F3514" s="494">
        <v>441</v>
      </c>
      <c r="G3514" s="495" t="s">
        <v>4185</v>
      </c>
      <c r="H3514" s="397"/>
      <c r="I3514" s="397"/>
      <c r="J3514" s="750" t="e">
        <f t="shared" si="39"/>
        <v>#DIV/0!</v>
      </c>
      <c r="K3514" s="398"/>
      <c r="L3514" s="398"/>
      <c r="M3514" s="682"/>
      <c r="N3514" s="171"/>
      <c r="O3514" s="171"/>
      <c r="P3514" s="169"/>
      <c r="Q3514" s="171"/>
      <c r="R3514" s="171"/>
      <c r="S3514" s="171"/>
      <c r="T3514" s="171"/>
      <c r="U3514" s="171"/>
      <c r="V3514" s="171"/>
      <c r="W3514" s="171"/>
      <c r="X3514" s="171"/>
      <c r="Y3514" s="171"/>
      <c r="Z3514" s="171"/>
      <c r="AA3514" s="171"/>
    </row>
    <row r="3515" spans="1:27" s="530" customFormat="1" hidden="1" x14ac:dyDescent="0.2">
      <c r="A3515" s="526"/>
      <c r="B3515" s="527"/>
      <c r="C3515" s="465"/>
      <c r="D3515" s="464"/>
      <c r="E3515" s="464"/>
      <c r="F3515" s="494">
        <v>442</v>
      </c>
      <c r="G3515" s="495" t="s">
        <v>4186</v>
      </c>
      <c r="H3515" s="397"/>
      <c r="I3515" s="397"/>
      <c r="J3515" s="750" t="e">
        <f t="shared" si="39"/>
        <v>#DIV/0!</v>
      </c>
      <c r="K3515" s="398"/>
      <c r="L3515" s="398"/>
      <c r="M3515" s="682"/>
      <c r="N3515" s="171"/>
      <c r="O3515" s="171"/>
      <c r="P3515" s="169"/>
      <c r="Q3515" s="171"/>
      <c r="R3515" s="171"/>
      <c r="S3515" s="171"/>
      <c r="T3515" s="171"/>
      <c r="U3515" s="171"/>
      <c r="V3515" s="171"/>
      <c r="W3515" s="171"/>
      <c r="X3515" s="171"/>
      <c r="Y3515" s="171"/>
      <c r="Z3515" s="171"/>
      <c r="AA3515" s="171"/>
    </row>
    <row r="3516" spans="1:27" s="530" customFormat="1" hidden="1" x14ac:dyDescent="0.2">
      <c r="A3516" s="526"/>
      <c r="B3516" s="527"/>
      <c r="C3516" s="465"/>
      <c r="D3516" s="464"/>
      <c r="E3516" s="464"/>
      <c r="F3516" s="494">
        <v>443</v>
      </c>
      <c r="G3516" s="495" t="s">
        <v>3797</v>
      </c>
      <c r="H3516" s="397"/>
      <c r="I3516" s="397"/>
      <c r="J3516" s="750" t="e">
        <f t="shared" si="39"/>
        <v>#DIV/0!</v>
      </c>
      <c r="K3516" s="398"/>
      <c r="L3516" s="398"/>
      <c r="M3516" s="682"/>
      <c r="N3516" s="171"/>
      <c r="O3516" s="171"/>
      <c r="P3516" s="169"/>
      <c r="Q3516" s="171"/>
      <c r="R3516" s="171"/>
      <c r="S3516" s="171"/>
      <c r="T3516" s="171"/>
      <c r="U3516" s="171"/>
      <c r="V3516" s="171"/>
      <c r="W3516" s="171"/>
      <c r="X3516" s="171"/>
      <c r="Y3516" s="171"/>
      <c r="Z3516" s="171"/>
      <c r="AA3516" s="171"/>
    </row>
    <row r="3517" spans="1:27" s="530" customFormat="1" hidden="1" x14ac:dyDescent="0.2">
      <c r="A3517" s="526"/>
      <c r="B3517" s="527"/>
      <c r="C3517" s="465"/>
      <c r="D3517" s="464"/>
      <c r="E3517" s="464"/>
      <c r="F3517" s="494">
        <v>444</v>
      </c>
      <c r="G3517" s="495" t="s">
        <v>3798</v>
      </c>
      <c r="H3517" s="397"/>
      <c r="I3517" s="397"/>
      <c r="J3517" s="750" t="e">
        <f t="shared" si="39"/>
        <v>#DIV/0!</v>
      </c>
      <c r="K3517" s="398"/>
      <c r="L3517" s="398"/>
      <c r="M3517" s="682"/>
      <c r="N3517" s="171"/>
      <c r="O3517" s="171"/>
      <c r="P3517" s="169"/>
      <c r="Q3517" s="171"/>
      <c r="R3517" s="171"/>
      <c r="S3517" s="171"/>
      <c r="T3517" s="171"/>
      <c r="U3517" s="171"/>
      <c r="V3517" s="171"/>
      <c r="W3517" s="171"/>
      <c r="X3517" s="171"/>
      <c r="Y3517" s="171"/>
      <c r="Z3517" s="171"/>
      <c r="AA3517" s="171"/>
    </row>
    <row r="3518" spans="1:27" s="530" customFormat="1" ht="25.5" hidden="1" x14ac:dyDescent="0.2">
      <c r="A3518" s="526"/>
      <c r="B3518" s="527"/>
      <c r="C3518" s="465"/>
      <c r="D3518" s="464"/>
      <c r="E3518" s="464"/>
      <c r="F3518" s="494">
        <v>4511</v>
      </c>
      <c r="G3518" s="466" t="s">
        <v>1692</v>
      </c>
      <c r="H3518" s="397"/>
      <c r="I3518" s="397"/>
      <c r="J3518" s="750" t="e">
        <f t="shared" si="39"/>
        <v>#DIV/0!</v>
      </c>
      <c r="K3518" s="398"/>
      <c r="L3518" s="398"/>
      <c r="M3518" s="682"/>
      <c r="N3518" s="171"/>
      <c r="O3518" s="171"/>
      <c r="P3518" s="169"/>
      <c r="Q3518" s="171"/>
      <c r="R3518" s="171"/>
      <c r="S3518" s="171"/>
      <c r="T3518" s="171"/>
      <c r="U3518" s="171"/>
      <c r="V3518" s="171"/>
      <c r="W3518" s="171"/>
      <c r="X3518" s="171"/>
      <c r="Y3518" s="171"/>
      <c r="Z3518" s="171"/>
      <c r="AA3518" s="171"/>
    </row>
    <row r="3519" spans="1:27" s="530" customFormat="1" ht="25.5" hidden="1" x14ac:dyDescent="0.2">
      <c r="A3519" s="526"/>
      <c r="B3519" s="527"/>
      <c r="C3519" s="465"/>
      <c r="D3519" s="464"/>
      <c r="E3519" s="464"/>
      <c r="F3519" s="494">
        <v>4512</v>
      </c>
      <c r="G3519" s="466" t="s">
        <v>1701</v>
      </c>
      <c r="H3519" s="397"/>
      <c r="I3519" s="397"/>
      <c r="J3519" s="750" t="e">
        <f t="shared" si="39"/>
        <v>#DIV/0!</v>
      </c>
      <c r="K3519" s="398"/>
      <c r="L3519" s="398"/>
      <c r="M3519" s="682"/>
      <c r="N3519" s="171"/>
      <c r="O3519" s="171"/>
      <c r="P3519" s="169"/>
      <c r="Q3519" s="171"/>
      <c r="R3519" s="171"/>
      <c r="S3519" s="171"/>
      <c r="T3519" s="171"/>
      <c r="U3519" s="171"/>
      <c r="V3519" s="171"/>
      <c r="W3519" s="171"/>
      <c r="X3519" s="171"/>
      <c r="Y3519" s="171"/>
      <c r="Z3519" s="171"/>
      <c r="AA3519" s="171"/>
    </row>
    <row r="3520" spans="1:27" s="530" customFormat="1" ht="25.5" hidden="1" x14ac:dyDescent="0.2">
      <c r="A3520" s="526"/>
      <c r="B3520" s="527"/>
      <c r="C3520" s="465"/>
      <c r="D3520" s="464"/>
      <c r="E3520" s="464"/>
      <c r="F3520" s="494">
        <v>452</v>
      </c>
      <c r="G3520" s="495" t="s">
        <v>4187</v>
      </c>
      <c r="H3520" s="397"/>
      <c r="I3520" s="397"/>
      <c r="J3520" s="750" t="e">
        <f t="shared" si="39"/>
        <v>#DIV/0!</v>
      </c>
      <c r="K3520" s="398"/>
      <c r="L3520" s="398"/>
      <c r="M3520" s="682"/>
      <c r="N3520" s="171"/>
      <c r="O3520" s="171"/>
      <c r="P3520" s="169"/>
      <c r="Q3520" s="171"/>
      <c r="R3520" s="171"/>
      <c r="S3520" s="171"/>
      <c r="T3520" s="171"/>
      <c r="U3520" s="171"/>
      <c r="V3520" s="171"/>
      <c r="W3520" s="171"/>
      <c r="X3520" s="171"/>
      <c r="Y3520" s="171"/>
      <c r="Z3520" s="171"/>
      <c r="AA3520" s="171"/>
    </row>
    <row r="3521" spans="1:27" s="530" customFormat="1" ht="25.5" hidden="1" x14ac:dyDescent="0.2">
      <c r="A3521" s="526"/>
      <c r="B3521" s="527"/>
      <c r="C3521" s="465"/>
      <c r="D3521" s="464"/>
      <c r="E3521" s="464"/>
      <c r="F3521" s="494">
        <v>453</v>
      </c>
      <c r="G3521" s="495" t="s">
        <v>4188</v>
      </c>
      <c r="H3521" s="397"/>
      <c r="I3521" s="397"/>
      <c r="J3521" s="750" t="e">
        <f t="shared" si="39"/>
        <v>#DIV/0!</v>
      </c>
      <c r="K3521" s="398"/>
      <c r="L3521" s="398"/>
      <c r="M3521" s="682"/>
      <c r="N3521" s="171"/>
      <c r="O3521" s="171"/>
      <c r="P3521" s="169"/>
      <c r="Q3521" s="171"/>
      <c r="R3521" s="171"/>
      <c r="S3521" s="171"/>
      <c r="T3521" s="171"/>
      <c r="U3521" s="171"/>
      <c r="V3521" s="171"/>
      <c r="W3521" s="171"/>
      <c r="X3521" s="171"/>
      <c r="Y3521" s="171"/>
      <c r="Z3521" s="171"/>
      <c r="AA3521" s="171"/>
    </row>
    <row r="3522" spans="1:27" s="530" customFormat="1" hidden="1" x14ac:dyDescent="0.2">
      <c r="A3522" s="526"/>
      <c r="B3522" s="527"/>
      <c r="C3522" s="465"/>
      <c r="D3522" s="464"/>
      <c r="E3522" s="464"/>
      <c r="F3522" s="494">
        <v>454</v>
      </c>
      <c r="G3522" s="495" t="s">
        <v>3803</v>
      </c>
      <c r="H3522" s="397"/>
      <c r="I3522" s="397"/>
      <c r="J3522" s="750" t="e">
        <f t="shared" si="39"/>
        <v>#DIV/0!</v>
      </c>
      <c r="K3522" s="398"/>
      <c r="L3522" s="398"/>
      <c r="M3522" s="682"/>
      <c r="N3522" s="171"/>
      <c r="O3522" s="171"/>
      <c r="P3522" s="169"/>
      <c r="Q3522" s="171"/>
      <c r="R3522" s="171"/>
      <c r="S3522" s="171"/>
      <c r="T3522" s="171"/>
      <c r="U3522" s="171"/>
      <c r="V3522" s="171"/>
      <c r="W3522" s="171"/>
      <c r="X3522" s="171"/>
      <c r="Y3522" s="171"/>
      <c r="Z3522" s="171"/>
      <c r="AA3522" s="171"/>
    </row>
    <row r="3523" spans="1:27" s="530" customFormat="1" hidden="1" x14ac:dyDescent="0.2">
      <c r="A3523" s="526"/>
      <c r="B3523" s="527"/>
      <c r="C3523" s="465"/>
      <c r="D3523" s="464"/>
      <c r="E3523" s="464"/>
      <c r="F3523" s="494">
        <v>461</v>
      </c>
      <c r="G3523" s="495" t="s">
        <v>4169</v>
      </c>
      <c r="H3523" s="397"/>
      <c r="I3523" s="397"/>
      <c r="J3523" s="750" t="e">
        <f t="shared" si="39"/>
        <v>#DIV/0!</v>
      </c>
      <c r="K3523" s="398"/>
      <c r="L3523" s="398"/>
      <c r="M3523" s="682"/>
      <c r="N3523" s="171"/>
      <c r="O3523" s="171"/>
      <c r="P3523" s="169"/>
      <c r="Q3523" s="171"/>
      <c r="R3523" s="171"/>
      <c r="S3523" s="171"/>
      <c r="T3523" s="171"/>
      <c r="U3523" s="171"/>
      <c r="V3523" s="171"/>
      <c r="W3523" s="171"/>
      <c r="X3523" s="171"/>
      <c r="Y3523" s="171"/>
      <c r="Z3523" s="171"/>
      <c r="AA3523" s="171"/>
    </row>
    <row r="3524" spans="1:27" s="530" customFormat="1" ht="25.5" hidden="1" x14ac:dyDescent="0.2">
      <c r="A3524" s="526"/>
      <c r="B3524" s="527"/>
      <c r="C3524" s="465"/>
      <c r="D3524" s="464"/>
      <c r="E3524" s="464"/>
      <c r="F3524" s="494">
        <v>462</v>
      </c>
      <c r="G3524" s="495" t="s">
        <v>3806</v>
      </c>
      <c r="H3524" s="397"/>
      <c r="I3524" s="397"/>
      <c r="J3524" s="750" t="e">
        <f t="shared" si="39"/>
        <v>#DIV/0!</v>
      </c>
      <c r="K3524" s="398"/>
      <c r="L3524" s="398"/>
      <c r="M3524" s="682"/>
      <c r="N3524" s="171"/>
      <c r="O3524" s="171"/>
      <c r="P3524" s="169"/>
      <c r="Q3524" s="171"/>
      <c r="R3524" s="171"/>
      <c r="S3524" s="171"/>
      <c r="T3524" s="171"/>
      <c r="U3524" s="171"/>
      <c r="V3524" s="171"/>
      <c r="W3524" s="171"/>
      <c r="X3524" s="171"/>
      <c r="Y3524" s="171"/>
      <c r="Z3524" s="171"/>
      <c r="AA3524" s="171"/>
    </row>
    <row r="3525" spans="1:27" s="530" customFormat="1" hidden="1" x14ac:dyDescent="0.2">
      <c r="A3525" s="526"/>
      <c r="B3525" s="527"/>
      <c r="C3525" s="465"/>
      <c r="D3525" s="464"/>
      <c r="E3525" s="464"/>
      <c r="F3525" s="494">
        <v>4631</v>
      </c>
      <c r="G3525" s="495" t="s">
        <v>3807</v>
      </c>
      <c r="H3525" s="397"/>
      <c r="I3525" s="397"/>
      <c r="J3525" s="750" t="e">
        <f t="shared" si="39"/>
        <v>#DIV/0!</v>
      </c>
      <c r="K3525" s="398"/>
      <c r="L3525" s="398"/>
      <c r="M3525" s="682"/>
      <c r="N3525" s="171"/>
      <c r="O3525" s="171"/>
      <c r="P3525" s="169"/>
      <c r="Q3525" s="171"/>
      <c r="R3525" s="171"/>
      <c r="S3525" s="171"/>
      <c r="T3525" s="171"/>
      <c r="U3525" s="171"/>
      <c r="V3525" s="171"/>
      <c r="W3525" s="171"/>
      <c r="X3525" s="171"/>
      <c r="Y3525" s="171"/>
      <c r="Z3525" s="171"/>
      <c r="AA3525" s="171"/>
    </row>
    <row r="3526" spans="1:27" s="530" customFormat="1" hidden="1" x14ac:dyDescent="0.2">
      <c r="A3526" s="526"/>
      <c r="B3526" s="527"/>
      <c r="C3526" s="465"/>
      <c r="D3526" s="464"/>
      <c r="E3526" s="464"/>
      <c r="F3526" s="494">
        <v>4632</v>
      </c>
      <c r="G3526" s="495" t="s">
        <v>3808</v>
      </c>
      <c r="H3526" s="397"/>
      <c r="I3526" s="397"/>
      <c r="J3526" s="750" t="e">
        <f t="shared" si="39"/>
        <v>#DIV/0!</v>
      </c>
      <c r="K3526" s="398"/>
      <c r="L3526" s="398"/>
      <c r="M3526" s="682"/>
      <c r="N3526" s="171"/>
      <c r="O3526" s="171"/>
      <c r="P3526" s="169"/>
      <c r="Q3526" s="171"/>
      <c r="R3526" s="171"/>
      <c r="S3526" s="171"/>
      <c r="T3526" s="171"/>
      <c r="U3526" s="171"/>
      <c r="V3526" s="171"/>
      <c r="W3526" s="171"/>
      <c r="X3526" s="171"/>
      <c r="Y3526" s="171"/>
      <c r="Z3526" s="171"/>
      <c r="AA3526" s="171"/>
    </row>
    <row r="3527" spans="1:27" s="530" customFormat="1" ht="25.5" hidden="1" x14ac:dyDescent="0.2">
      <c r="A3527" s="526"/>
      <c r="B3527" s="527"/>
      <c r="C3527" s="465"/>
      <c r="D3527" s="464"/>
      <c r="E3527" s="464"/>
      <c r="F3527" s="494">
        <v>464</v>
      </c>
      <c r="G3527" s="495" t="s">
        <v>3809</v>
      </c>
      <c r="H3527" s="397"/>
      <c r="I3527" s="397"/>
      <c r="J3527" s="750" t="e">
        <f t="shared" si="39"/>
        <v>#DIV/0!</v>
      </c>
      <c r="K3527" s="398"/>
      <c r="L3527" s="398"/>
      <c r="M3527" s="682"/>
      <c r="N3527" s="171"/>
      <c r="O3527" s="171"/>
      <c r="P3527" s="169"/>
      <c r="Q3527" s="171"/>
      <c r="R3527" s="171"/>
      <c r="S3527" s="171"/>
      <c r="T3527" s="171"/>
      <c r="U3527" s="171"/>
      <c r="V3527" s="171"/>
      <c r="W3527" s="171"/>
      <c r="X3527" s="171"/>
      <c r="Y3527" s="171"/>
      <c r="Z3527" s="171"/>
      <c r="AA3527" s="171"/>
    </row>
    <row r="3528" spans="1:27" s="530" customFormat="1" hidden="1" x14ac:dyDescent="0.2">
      <c r="A3528" s="526"/>
      <c r="B3528" s="527"/>
      <c r="C3528" s="465"/>
      <c r="D3528" s="464"/>
      <c r="E3528" s="464"/>
      <c r="F3528" s="494">
        <v>465</v>
      </c>
      <c r="G3528" s="495" t="s">
        <v>4170</v>
      </c>
      <c r="H3528" s="397"/>
      <c r="I3528" s="397"/>
      <c r="J3528" s="750" t="e">
        <f t="shared" si="39"/>
        <v>#DIV/0!</v>
      </c>
      <c r="K3528" s="398"/>
      <c r="L3528" s="398"/>
      <c r="M3528" s="682"/>
      <c r="N3528" s="171"/>
      <c r="O3528" s="171"/>
      <c r="P3528" s="169"/>
      <c r="Q3528" s="171"/>
      <c r="R3528" s="171"/>
      <c r="S3528" s="171"/>
      <c r="T3528" s="171"/>
      <c r="U3528" s="171"/>
      <c r="V3528" s="171"/>
      <c r="W3528" s="171"/>
      <c r="X3528" s="171"/>
      <c r="Y3528" s="171"/>
      <c r="Z3528" s="171"/>
      <c r="AA3528" s="171"/>
    </row>
    <row r="3529" spans="1:27" s="530" customFormat="1" hidden="1" x14ac:dyDescent="0.2">
      <c r="A3529" s="526"/>
      <c r="B3529" s="527"/>
      <c r="C3529" s="465"/>
      <c r="D3529" s="464"/>
      <c r="E3529" s="464"/>
      <c r="F3529" s="494">
        <v>472</v>
      </c>
      <c r="G3529" s="495" t="s">
        <v>3813</v>
      </c>
      <c r="H3529" s="397"/>
      <c r="I3529" s="397"/>
      <c r="J3529" s="750" t="e">
        <f t="shared" si="39"/>
        <v>#DIV/0!</v>
      </c>
      <c r="K3529" s="398"/>
      <c r="L3529" s="398"/>
      <c r="M3529" s="682"/>
      <c r="N3529" s="171"/>
      <c r="O3529" s="171"/>
      <c r="P3529" s="169"/>
      <c r="Q3529" s="171"/>
      <c r="R3529" s="171"/>
      <c r="S3529" s="171"/>
      <c r="T3529" s="171"/>
      <c r="U3529" s="171"/>
      <c r="V3529" s="171"/>
      <c r="W3529" s="171"/>
      <c r="X3529" s="171"/>
      <c r="Y3529" s="171"/>
      <c r="Z3529" s="171"/>
      <c r="AA3529" s="171"/>
    </row>
    <row r="3530" spans="1:27" s="530" customFormat="1" hidden="1" x14ac:dyDescent="0.2">
      <c r="A3530" s="526"/>
      <c r="B3530" s="527"/>
      <c r="C3530" s="465"/>
      <c r="D3530" s="464"/>
      <c r="E3530" s="464"/>
      <c r="F3530" s="494">
        <v>481</v>
      </c>
      <c r="G3530" s="495" t="s">
        <v>4189</v>
      </c>
      <c r="H3530" s="397"/>
      <c r="I3530" s="397"/>
      <c r="J3530" s="750" t="e">
        <f t="shared" si="39"/>
        <v>#DIV/0!</v>
      </c>
      <c r="K3530" s="398"/>
      <c r="L3530" s="398"/>
      <c r="M3530" s="682"/>
      <c r="N3530" s="171"/>
      <c r="O3530" s="171"/>
      <c r="P3530" s="169"/>
      <c r="Q3530" s="171"/>
      <c r="R3530" s="171"/>
      <c r="S3530" s="171"/>
      <c r="T3530" s="171"/>
      <c r="U3530" s="171"/>
      <c r="V3530" s="171"/>
      <c r="W3530" s="171"/>
      <c r="X3530" s="171"/>
      <c r="Y3530" s="171"/>
      <c r="Z3530" s="171"/>
      <c r="AA3530" s="171"/>
    </row>
    <row r="3531" spans="1:27" s="530" customFormat="1" hidden="1" x14ac:dyDescent="0.2">
      <c r="A3531" s="526"/>
      <c r="B3531" s="527"/>
      <c r="C3531" s="465"/>
      <c r="D3531" s="464"/>
      <c r="E3531" s="464"/>
      <c r="F3531" s="494">
        <v>482</v>
      </c>
      <c r="G3531" s="495" t="s">
        <v>4190</v>
      </c>
      <c r="H3531" s="397"/>
      <c r="I3531" s="397"/>
      <c r="J3531" s="750" t="e">
        <f t="shared" si="39"/>
        <v>#DIV/0!</v>
      </c>
      <c r="K3531" s="398"/>
      <c r="L3531" s="398"/>
      <c r="M3531" s="682"/>
      <c r="N3531" s="171"/>
      <c r="O3531" s="171"/>
      <c r="P3531" s="169"/>
      <c r="Q3531" s="171"/>
      <c r="R3531" s="171"/>
      <c r="S3531" s="171"/>
      <c r="T3531" s="171"/>
      <c r="U3531" s="171"/>
      <c r="V3531" s="171"/>
      <c r="W3531" s="171"/>
      <c r="X3531" s="171"/>
      <c r="Y3531" s="171"/>
      <c r="Z3531" s="171"/>
      <c r="AA3531" s="171"/>
    </row>
    <row r="3532" spans="1:27" s="530" customFormat="1" hidden="1" x14ac:dyDescent="0.2">
      <c r="A3532" s="526"/>
      <c r="B3532" s="527"/>
      <c r="C3532" s="465"/>
      <c r="D3532" s="464"/>
      <c r="E3532" s="464"/>
      <c r="F3532" s="494">
        <v>483</v>
      </c>
      <c r="G3532" s="497" t="s">
        <v>4191</v>
      </c>
      <c r="H3532" s="397"/>
      <c r="I3532" s="397"/>
      <c r="J3532" s="750" t="e">
        <f t="shared" si="39"/>
        <v>#DIV/0!</v>
      </c>
      <c r="K3532" s="398"/>
      <c r="L3532" s="398"/>
      <c r="M3532" s="682"/>
      <c r="N3532" s="171"/>
      <c r="O3532" s="171"/>
      <c r="P3532" s="169"/>
      <c r="Q3532" s="171"/>
      <c r="R3532" s="171"/>
      <c r="S3532" s="171"/>
      <c r="T3532" s="171"/>
      <c r="U3532" s="171"/>
      <c r="V3532" s="171"/>
      <c r="W3532" s="171"/>
      <c r="X3532" s="171"/>
      <c r="Y3532" s="171"/>
      <c r="Z3532" s="171"/>
      <c r="AA3532" s="171"/>
    </row>
    <row r="3533" spans="1:27" s="530" customFormat="1" ht="38.25" hidden="1" x14ac:dyDescent="0.2">
      <c r="A3533" s="526"/>
      <c r="B3533" s="527"/>
      <c r="C3533" s="465"/>
      <c r="D3533" s="464"/>
      <c r="E3533" s="464"/>
      <c r="F3533" s="494">
        <v>484</v>
      </c>
      <c r="G3533" s="495" t="s">
        <v>4192</v>
      </c>
      <c r="H3533" s="397"/>
      <c r="I3533" s="397"/>
      <c r="J3533" s="750" t="e">
        <f t="shared" ref="J3533:J3590" si="40">SUM(I3533/H3533)*100</f>
        <v>#DIV/0!</v>
      </c>
      <c r="K3533" s="398"/>
      <c r="L3533" s="398"/>
      <c r="M3533" s="682"/>
      <c r="N3533" s="171"/>
      <c r="O3533" s="171"/>
      <c r="P3533" s="169"/>
      <c r="Q3533" s="171"/>
      <c r="R3533" s="171"/>
      <c r="S3533" s="171"/>
      <c r="T3533" s="171"/>
      <c r="U3533" s="171"/>
      <c r="V3533" s="171"/>
      <c r="W3533" s="171"/>
      <c r="X3533" s="171"/>
      <c r="Y3533" s="171"/>
      <c r="Z3533" s="171"/>
      <c r="AA3533" s="171"/>
    </row>
    <row r="3534" spans="1:27" s="530" customFormat="1" ht="25.5" hidden="1" x14ac:dyDescent="0.2">
      <c r="A3534" s="526"/>
      <c r="B3534" s="527"/>
      <c r="C3534" s="465"/>
      <c r="D3534" s="464"/>
      <c r="E3534" s="464"/>
      <c r="F3534" s="494">
        <v>485</v>
      </c>
      <c r="G3534" s="495" t="s">
        <v>4193</v>
      </c>
      <c r="H3534" s="397"/>
      <c r="I3534" s="397"/>
      <c r="J3534" s="750" t="e">
        <f t="shared" si="40"/>
        <v>#DIV/0!</v>
      </c>
      <c r="K3534" s="398"/>
      <c r="L3534" s="398"/>
      <c r="M3534" s="682"/>
      <c r="N3534" s="171"/>
      <c r="O3534" s="171"/>
      <c r="P3534" s="169"/>
      <c r="Q3534" s="171"/>
      <c r="R3534" s="171"/>
      <c r="S3534" s="171"/>
      <c r="T3534" s="171"/>
      <c r="U3534" s="171"/>
      <c r="V3534" s="171"/>
      <c r="W3534" s="171"/>
      <c r="X3534" s="171"/>
      <c r="Y3534" s="171"/>
      <c r="Z3534" s="171"/>
      <c r="AA3534" s="171"/>
    </row>
    <row r="3535" spans="1:27" s="530" customFormat="1" ht="25.5" hidden="1" x14ac:dyDescent="0.2">
      <c r="A3535" s="526"/>
      <c r="B3535" s="527"/>
      <c r="C3535" s="465"/>
      <c r="D3535" s="464"/>
      <c r="E3535" s="464"/>
      <c r="F3535" s="494">
        <v>489</v>
      </c>
      <c r="G3535" s="495" t="s">
        <v>3821</v>
      </c>
      <c r="H3535" s="397"/>
      <c r="I3535" s="397"/>
      <c r="J3535" s="750" t="e">
        <f t="shared" si="40"/>
        <v>#DIV/0!</v>
      </c>
      <c r="K3535" s="398"/>
      <c r="L3535" s="398"/>
      <c r="M3535" s="682"/>
      <c r="N3535" s="171"/>
      <c r="O3535" s="171"/>
      <c r="P3535" s="169"/>
      <c r="Q3535" s="171"/>
      <c r="R3535" s="171"/>
      <c r="S3535" s="171"/>
      <c r="T3535" s="171"/>
      <c r="U3535" s="171"/>
      <c r="V3535" s="171"/>
      <c r="W3535" s="171"/>
      <c r="X3535" s="171"/>
      <c r="Y3535" s="171"/>
      <c r="Z3535" s="171"/>
      <c r="AA3535" s="171"/>
    </row>
    <row r="3536" spans="1:27" s="530" customFormat="1" ht="25.5" hidden="1" x14ac:dyDescent="0.2">
      <c r="A3536" s="526"/>
      <c r="B3536" s="527"/>
      <c r="C3536" s="465"/>
      <c r="D3536" s="464"/>
      <c r="E3536" s="464"/>
      <c r="F3536" s="494">
        <v>494</v>
      </c>
      <c r="G3536" s="495" t="s">
        <v>4171</v>
      </c>
      <c r="H3536" s="397"/>
      <c r="I3536" s="397"/>
      <c r="J3536" s="750" t="e">
        <f t="shared" si="40"/>
        <v>#DIV/0!</v>
      </c>
      <c r="K3536" s="398"/>
      <c r="L3536" s="398"/>
      <c r="M3536" s="682"/>
      <c r="N3536" s="171"/>
      <c r="O3536" s="171"/>
      <c r="P3536" s="169"/>
      <c r="Q3536" s="171"/>
      <c r="R3536" s="171"/>
      <c r="S3536" s="171"/>
      <c r="T3536" s="171"/>
      <c r="U3536" s="171"/>
      <c r="V3536" s="171"/>
      <c r="W3536" s="171"/>
      <c r="X3536" s="171"/>
      <c r="Y3536" s="171"/>
      <c r="Z3536" s="171"/>
      <c r="AA3536" s="171"/>
    </row>
    <row r="3537" spans="1:27" s="530" customFormat="1" ht="25.5" hidden="1" x14ac:dyDescent="0.2">
      <c r="A3537" s="526"/>
      <c r="B3537" s="527"/>
      <c r="C3537" s="465"/>
      <c r="D3537" s="464"/>
      <c r="E3537" s="464"/>
      <c r="F3537" s="494">
        <v>495</v>
      </c>
      <c r="G3537" s="495" t="s">
        <v>4172</v>
      </c>
      <c r="H3537" s="397"/>
      <c r="I3537" s="397"/>
      <c r="J3537" s="750" t="e">
        <f t="shared" si="40"/>
        <v>#DIV/0!</v>
      </c>
      <c r="K3537" s="398"/>
      <c r="L3537" s="398"/>
      <c r="M3537" s="682"/>
      <c r="N3537" s="171"/>
      <c r="O3537" s="171"/>
      <c r="P3537" s="169"/>
      <c r="Q3537" s="171"/>
      <c r="R3537" s="171"/>
      <c r="S3537" s="171"/>
      <c r="T3537" s="171"/>
      <c r="U3537" s="171"/>
      <c r="V3537" s="171"/>
      <c r="W3537" s="171"/>
      <c r="X3537" s="171"/>
      <c r="Y3537" s="171"/>
      <c r="Z3537" s="171"/>
      <c r="AA3537" s="171"/>
    </row>
    <row r="3538" spans="1:27" s="530" customFormat="1" ht="38.25" hidden="1" x14ac:dyDescent="0.2">
      <c r="A3538" s="526"/>
      <c r="B3538" s="527"/>
      <c r="C3538" s="465"/>
      <c r="D3538" s="464"/>
      <c r="E3538" s="464"/>
      <c r="F3538" s="494">
        <v>496</v>
      </c>
      <c r="G3538" s="495" t="s">
        <v>4173</v>
      </c>
      <c r="H3538" s="397"/>
      <c r="I3538" s="397"/>
      <c r="J3538" s="750" t="e">
        <f t="shared" si="40"/>
        <v>#DIV/0!</v>
      </c>
      <c r="K3538" s="398"/>
      <c r="L3538" s="398"/>
      <c r="M3538" s="682"/>
      <c r="N3538" s="171"/>
      <c r="O3538" s="171"/>
      <c r="P3538" s="169"/>
      <c r="Q3538" s="171"/>
      <c r="R3538" s="171"/>
      <c r="S3538" s="171"/>
      <c r="T3538" s="171"/>
      <c r="U3538" s="171"/>
      <c r="V3538" s="171"/>
      <c r="W3538" s="171"/>
      <c r="X3538" s="171"/>
      <c r="Y3538" s="171"/>
      <c r="Z3538" s="171"/>
      <c r="AA3538" s="171"/>
    </row>
    <row r="3539" spans="1:27" s="530" customFormat="1" ht="25.5" hidden="1" x14ac:dyDescent="0.2">
      <c r="A3539" s="526"/>
      <c r="B3539" s="527"/>
      <c r="C3539" s="465"/>
      <c r="D3539" s="464"/>
      <c r="E3539" s="464"/>
      <c r="F3539" s="494">
        <v>499</v>
      </c>
      <c r="G3539" s="495" t="s">
        <v>4174</v>
      </c>
      <c r="H3539" s="397"/>
      <c r="I3539" s="397"/>
      <c r="J3539" s="750" t="e">
        <f t="shared" si="40"/>
        <v>#DIV/0!</v>
      </c>
      <c r="K3539" s="398"/>
      <c r="L3539" s="398"/>
      <c r="M3539" s="682"/>
      <c r="N3539" s="171"/>
      <c r="O3539" s="171"/>
      <c r="P3539" s="169"/>
      <c r="Q3539" s="171"/>
      <c r="R3539" s="171"/>
      <c r="S3539" s="171"/>
      <c r="T3539" s="171"/>
      <c r="U3539" s="171"/>
      <c r="V3539" s="171"/>
      <c r="W3539" s="171"/>
      <c r="X3539" s="171"/>
      <c r="Y3539" s="171"/>
      <c r="Z3539" s="171"/>
      <c r="AA3539" s="171"/>
    </row>
    <row r="3540" spans="1:27" s="530" customFormat="1" ht="13.5" thickBot="1" x14ac:dyDescent="0.25">
      <c r="A3540" s="526"/>
      <c r="B3540" s="527"/>
      <c r="C3540" s="465"/>
      <c r="D3540" s="464"/>
      <c r="E3540" s="464">
        <v>42</v>
      </c>
      <c r="F3540" s="494">
        <v>511</v>
      </c>
      <c r="G3540" s="497" t="s">
        <v>4194</v>
      </c>
      <c r="H3540" s="397">
        <v>2500000</v>
      </c>
      <c r="I3540" s="397">
        <v>2350440.5299999998</v>
      </c>
      <c r="J3540" s="750">
        <f t="shared" si="40"/>
        <v>94.017621199999994</v>
      </c>
      <c r="K3540" s="398"/>
      <c r="L3540" s="398"/>
      <c r="M3540" s="682"/>
      <c r="N3540" s="171"/>
      <c r="O3540" s="171"/>
      <c r="P3540" s="169"/>
      <c r="Q3540" s="171"/>
      <c r="R3540" s="171"/>
      <c r="S3540" s="171"/>
      <c r="T3540" s="171"/>
      <c r="U3540" s="171"/>
      <c r="V3540" s="171"/>
      <c r="W3540" s="171"/>
      <c r="X3540" s="171"/>
      <c r="Y3540" s="171"/>
      <c r="Z3540" s="171"/>
      <c r="AA3540" s="171"/>
    </row>
    <row r="3541" spans="1:27" s="530" customFormat="1" ht="13.5" hidden="1" thickBot="1" x14ac:dyDescent="0.25">
      <c r="A3541" s="526"/>
      <c r="B3541" s="527"/>
      <c r="C3541" s="465"/>
      <c r="D3541" s="464"/>
      <c r="E3541" s="464"/>
      <c r="F3541" s="494">
        <v>512</v>
      </c>
      <c r="G3541" s="497" t="s">
        <v>4195</v>
      </c>
      <c r="H3541" s="397"/>
      <c r="I3541" s="397"/>
      <c r="J3541" s="750" t="e">
        <f t="shared" si="40"/>
        <v>#DIV/0!</v>
      </c>
      <c r="K3541" s="398"/>
      <c r="L3541" s="398"/>
      <c r="M3541" s="682"/>
      <c r="N3541" s="171"/>
      <c r="O3541" s="171"/>
      <c r="P3541" s="169"/>
      <c r="Q3541" s="171"/>
      <c r="R3541" s="171"/>
      <c r="S3541" s="171"/>
      <c r="T3541" s="171"/>
      <c r="U3541" s="171"/>
      <c r="V3541" s="171"/>
      <c r="W3541" s="171"/>
      <c r="X3541" s="171"/>
      <c r="Y3541" s="171"/>
      <c r="Z3541" s="171"/>
      <c r="AA3541" s="171"/>
    </row>
    <row r="3542" spans="1:27" s="530" customFormat="1" ht="13.5" hidden="1" thickBot="1" x14ac:dyDescent="0.25">
      <c r="A3542" s="526"/>
      <c r="B3542" s="527"/>
      <c r="C3542" s="465"/>
      <c r="D3542" s="464"/>
      <c r="E3542" s="464"/>
      <c r="F3542" s="494">
        <v>513</v>
      </c>
      <c r="G3542" s="497" t="s">
        <v>4196</v>
      </c>
      <c r="H3542" s="397"/>
      <c r="I3542" s="397"/>
      <c r="J3542" s="750" t="e">
        <f t="shared" si="40"/>
        <v>#DIV/0!</v>
      </c>
      <c r="K3542" s="398"/>
      <c r="L3542" s="398"/>
      <c r="M3542" s="682"/>
      <c r="N3542" s="171"/>
      <c r="O3542" s="171"/>
      <c r="P3542" s="169"/>
      <c r="Q3542" s="171"/>
      <c r="R3542" s="171"/>
      <c r="S3542" s="171"/>
      <c r="T3542" s="171"/>
      <c r="U3542" s="171"/>
      <c r="V3542" s="171"/>
      <c r="W3542" s="171"/>
      <c r="X3542" s="171"/>
      <c r="Y3542" s="171"/>
      <c r="Z3542" s="171"/>
      <c r="AA3542" s="171"/>
    </row>
    <row r="3543" spans="1:27" s="530" customFormat="1" ht="13.5" hidden="1" thickBot="1" x14ac:dyDescent="0.25">
      <c r="A3543" s="526"/>
      <c r="B3543" s="527"/>
      <c r="C3543" s="465"/>
      <c r="D3543" s="464"/>
      <c r="E3543" s="464"/>
      <c r="F3543" s="494">
        <v>514</v>
      </c>
      <c r="G3543" s="495" t="s">
        <v>4197</v>
      </c>
      <c r="H3543" s="397"/>
      <c r="I3543" s="397"/>
      <c r="J3543" s="750" t="e">
        <f t="shared" si="40"/>
        <v>#DIV/0!</v>
      </c>
      <c r="K3543" s="398"/>
      <c r="L3543" s="398"/>
      <c r="M3543" s="682"/>
      <c r="N3543" s="171"/>
      <c r="O3543" s="171"/>
      <c r="P3543" s="169"/>
      <c r="Q3543" s="171"/>
      <c r="R3543" s="171"/>
      <c r="S3543" s="171"/>
      <c r="T3543" s="171"/>
      <c r="U3543" s="171"/>
      <c r="V3543" s="171"/>
      <c r="W3543" s="171"/>
      <c r="X3543" s="171"/>
      <c r="Y3543" s="171"/>
      <c r="Z3543" s="171"/>
      <c r="AA3543" s="171"/>
    </row>
    <row r="3544" spans="1:27" s="530" customFormat="1" ht="13.5" hidden="1" thickBot="1" x14ac:dyDescent="0.25">
      <c r="A3544" s="526"/>
      <c r="B3544" s="527"/>
      <c r="C3544" s="465"/>
      <c r="D3544" s="464"/>
      <c r="E3544" s="464"/>
      <c r="F3544" s="494">
        <v>515</v>
      </c>
      <c r="G3544" s="495" t="s">
        <v>3832</v>
      </c>
      <c r="H3544" s="397"/>
      <c r="I3544" s="397"/>
      <c r="J3544" s="750" t="e">
        <f t="shared" si="40"/>
        <v>#DIV/0!</v>
      </c>
      <c r="K3544" s="398"/>
      <c r="L3544" s="398"/>
      <c r="M3544" s="682"/>
      <c r="N3544" s="171"/>
      <c r="O3544" s="171"/>
      <c r="P3544" s="169"/>
      <c r="Q3544" s="171"/>
      <c r="R3544" s="171"/>
      <c r="S3544" s="171"/>
      <c r="T3544" s="171"/>
      <c r="U3544" s="171"/>
      <c r="V3544" s="171"/>
      <c r="W3544" s="171"/>
      <c r="X3544" s="171"/>
      <c r="Y3544" s="171"/>
      <c r="Z3544" s="171"/>
      <c r="AA3544" s="171"/>
    </row>
    <row r="3545" spans="1:27" s="530" customFormat="1" ht="13.5" hidden="1" thickBot="1" x14ac:dyDescent="0.25">
      <c r="A3545" s="526"/>
      <c r="B3545" s="527"/>
      <c r="C3545" s="465"/>
      <c r="D3545" s="464"/>
      <c r="E3545" s="464"/>
      <c r="F3545" s="494">
        <v>521</v>
      </c>
      <c r="G3545" s="495" t="s">
        <v>4198</v>
      </c>
      <c r="H3545" s="397"/>
      <c r="I3545" s="397"/>
      <c r="J3545" s="750" t="e">
        <f t="shared" si="40"/>
        <v>#DIV/0!</v>
      </c>
      <c r="K3545" s="398"/>
      <c r="L3545" s="398"/>
      <c r="M3545" s="682"/>
      <c r="N3545" s="171"/>
      <c r="O3545" s="171"/>
      <c r="P3545" s="169"/>
      <c r="Q3545" s="171"/>
      <c r="R3545" s="171"/>
      <c r="S3545" s="171"/>
      <c r="T3545" s="171"/>
      <c r="U3545" s="171"/>
      <c r="V3545" s="171"/>
      <c r="W3545" s="171"/>
      <c r="X3545" s="171"/>
      <c r="Y3545" s="171"/>
      <c r="Z3545" s="171"/>
      <c r="AA3545" s="171"/>
    </row>
    <row r="3546" spans="1:27" s="530" customFormat="1" ht="13.5" hidden="1" thickBot="1" x14ac:dyDescent="0.25">
      <c r="A3546" s="526"/>
      <c r="B3546" s="527"/>
      <c r="C3546" s="465"/>
      <c r="D3546" s="464"/>
      <c r="E3546" s="464"/>
      <c r="F3546" s="494">
        <v>522</v>
      </c>
      <c r="G3546" s="495" t="s">
        <v>4199</v>
      </c>
      <c r="H3546" s="397"/>
      <c r="I3546" s="397"/>
      <c r="J3546" s="750" t="e">
        <f t="shared" si="40"/>
        <v>#DIV/0!</v>
      </c>
      <c r="K3546" s="398"/>
      <c r="L3546" s="398"/>
      <c r="M3546" s="682"/>
      <c r="N3546" s="171"/>
      <c r="O3546" s="171"/>
      <c r="P3546" s="169"/>
      <c r="Q3546" s="171"/>
      <c r="R3546" s="171"/>
      <c r="S3546" s="171"/>
      <c r="T3546" s="171"/>
      <c r="U3546" s="171"/>
      <c r="V3546" s="171"/>
      <c r="W3546" s="171"/>
      <c r="X3546" s="171"/>
      <c r="Y3546" s="171"/>
      <c r="Z3546" s="171"/>
      <c r="AA3546" s="171"/>
    </row>
    <row r="3547" spans="1:27" s="530" customFormat="1" ht="13.5" hidden="1" thickBot="1" x14ac:dyDescent="0.25">
      <c r="A3547" s="526"/>
      <c r="B3547" s="527"/>
      <c r="C3547" s="465"/>
      <c r="D3547" s="464"/>
      <c r="E3547" s="464"/>
      <c r="F3547" s="494">
        <v>523</v>
      </c>
      <c r="G3547" s="495" t="s">
        <v>3837</v>
      </c>
      <c r="H3547" s="397"/>
      <c r="I3547" s="397"/>
      <c r="J3547" s="750" t="e">
        <f t="shared" si="40"/>
        <v>#DIV/0!</v>
      </c>
      <c r="K3547" s="398"/>
      <c r="L3547" s="398"/>
      <c r="M3547" s="682"/>
      <c r="N3547" s="171"/>
      <c r="O3547" s="171"/>
      <c r="P3547" s="169"/>
      <c r="Q3547" s="171"/>
      <c r="R3547" s="171"/>
      <c r="S3547" s="171"/>
      <c r="T3547" s="171"/>
      <c r="U3547" s="171"/>
      <c r="V3547" s="171"/>
      <c r="W3547" s="171"/>
      <c r="X3547" s="171"/>
      <c r="Y3547" s="171"/>
      <c r="Z3547" s="171"/>
      <c r="AA3547" s="171"/>
    </row>
    <row r="3548" spans="1:27" s="530" customFormat="1" ht="13.5" hidden="1" thickBot="1" x14ac:dyDescent="0.25">
      <c r="A3548" s="526"/>
      <c r="B3548" s="527"/>
      <c r="C3548" s="465"/>
      <c r="D3548" s="464"/>
      <c r="E3548" s="464"/>
      <c r="F3548" s="494">
        <v>531</v>
      </c>
      <c r="G3548" s="496" t="s">
        <v>4175</v>
      </c>
      <c r="H3548" s="397"/>
      <c r="I3548" s="397"/>
      <c r="J3548" s="750" t="e">
        <f t="shared" si="40"/>
        <v>#DIV/0!</v>
      </c>
      <c r="K3548" s="398"/>
      <c r="L3548" s="398"/>
      <c r="M3548" s="682"/>
      <c r="N3548" s="171"/>
      <c r="O3548" s="171"/>
      <c r="P3548" s="169"/>
      <c r="Q3548" s="171"/>
      <c r="R3548" s="171"/>
      <c r="S3548" s="171"/>
      <c r="T3548" s="171"/>
      <c r="U3548" s="171"/>
      <c r="V3548" s="171"/>
      <c r="W3548" s="171"/>
      <c r="X3548" s="171"/>
      <c r="Y3548" s="171"/>
      <c r="Z3548" s="171"/>
      <c r="AA3548" s="171"/>
    </row>
    <row r="3549" spans="1:27" s="530" customFormat="1" ht="13.5" hidden="1" thickBot="1" x14ac:dyDescent="0.25">
      <c r="A3549" s="526"/>
      <c r="B3549" s="527"/>
      <c r="C3549" s="465"/>
      <c r="D3549" s="464"/>
      <c r="E3549" s="464"/>
      <c r="F3549" s="494">
        <v>541</v>
      </c>
      <c r="G3549" s="495" t="s">
        <v>4200</v>
      </c>
      <c r="H3549" s="397"/>
      <c r="I3549" s="397"/>
      <c r="J3549" s="750" t="e">
        <f t="shared" si="40"/>
        <v>#DIV/0!</v>
      </c>
      <c r="K3549" s="398"/>
      <c r="L3549" s="398"/>
      <c r="M3549" s="682"/>
      <c r="N3549" s="171"/>
      <c r="O3549" s="171"/>
      <c r="P3549" s="169"/>
      <c r="Q3549" s="171"/>
      <c r="R3549" s="171"/>
      <c r="S3549" s="171"/>
      <c r="T3549" s="171"/>
      <c r="U3549" s="171"/>
      <c r="V3549" s="171"/>
      <c r="W3549" s="171"/>
      <c r="X3549" s="171"/>
      <c r="Y3549" s="171"/>
      <c r="Z3549" s="171"/>
      <c r="AA3549" s="171"/>
    </row>
    <row r="3550" spans="1:27" s="530" customFormat="1" ht="13.5" hidden="1" thickBot="1" x14ac:dyDescent="0.25">
      <c r="A3550" s="526"/>
      <c r="B3550" s="527"/>
      <c r="C3550" s="465"/>
      <c r="D3550" s="464"/>
      <c r="E3550" s="464"/>
      <c r="F3550" s="494">
        <v>542</v>
      </c>
      <c r="G3550" s="495" t="s">
        <v>4201</v>
      </c>
      <c r="H3550" s="397"/>
      <c r="I3550" s="397"/>
      <c r="J3550" s="750" t="e">
        <f t="shared" si="40"/>
        <v>#DIV/0!</v>
      </c>
      <c r="K3550" s="398"/>
      <c r="L3550" s="398"/>
      <c r="M3550" s="682"/>
      <c r="N3550" s="171"/>
      <c r="O3550" s="171"/>
      <c r="P3550" s="169"/>
      <c r="Q3550" s="171"/>
      <c r="R3550" s="171"/>
      <c r="S3550" s="171"/>
      <c r="T3550" s="171"/>
      <c r="U3550" s="171"/>
      <c r="V3550" s="171"/>
      <c r="W3550" s="171"/>
      <c r="X3550" s="171"/>
      <c r="Y3550" s="171"/>
      <c r="Z3550" s="171"/>
      <c r="AA3550" s="171"/>
    </row>
    <row r="3551" spans="1:27" s="530" customFormat="1" ht="13.5" hidden="1" thickBot="1" x14ac:dyDescent="0.25">
      <c r="A3551" s="526"/>
      <c r="B3551" s="527"/>
      <c r="C3551" s="465"/>
      <c r="D3551" s="464"/>
      <c r="E3551" s="464"/>
      <c r="F3551" s="494">
        <v>543</v>
      </c>
      <c r="G3551" s="495" t="s">
        <v>3842</v>
      </c>
      <c r="H3551" s="397"/>
      <c r="I3551" s="397"/>
      <c r="J3551" s="750" t="e">
        <f t="shared" si="40"/>
        <v>#DIV/0!</v>
      </c>
      <c r="K3551" s="398"/>
      <c r="L3551" s="398"/>
      <c r="M3551" s="682"/>
      <c r="N3551" s="171"/>
      <c r="O3551" s="171"/>
      <c r="P3551" s="169"/>
      <c r="Q3551" s="171"/>
      <c r="R3551" s="171"/>
      <c r="S3551" s="171"/>
      <c r="T3551" s="171"/>
      <c r="U3551" s="171"/>
      <c r="V3551" s="171"/>
      <c r="W3551" s="171"/>
      <c r="X3551" s="171"/>
      <c r="Y3551" s="171"/>
      <c r="Z3551" s="171"/>
      <c r="AA3551" s="171"/>
    </row>
    <row r="3552" spans="1:27" s="530" customFormat="1" ht="39" hidden="1" thickBot="1" x14ac:dyDescent="0.25">
      <c r="A3552" s="526"/>
      <c r="B3552" s="527"/>
      <c r="C3552" s="465"/>
      <c r="D3552" s="464"/>
      <c r="E3552" s="464"/>
      <c r="F3552" s="494">
        <v>551</v>
      </c>
      <c r="G3552" s="495" t="s">
        <v>4176</v>
      </c>
      <c r="H3552" s="397"/>
      <c r="I3552" s="397"/>
      <c r="J3552" s="750" t="e">
        <f t="shared" si="40"/>
        <v>#DIV/0!</v>
      </c>
      <c r="K3552" s="398"/>
      <c r="L3552" s="398"/>
      <c r="M3552" s="682"/>
      <c r="N3552" s="171"/>
      <c r="O3552" s="171"/>
      <c r="P3552" s="169"/>
      <c r="Q3552" s="171"/>
      <c r="R3552" s="171"/>
      <c r="S3552" s="171"/>
      <c r="T3552" s="171"/>
      <c r="U3552" s="171"/>
      <c r="V3552" s="171"/>
      <c r="W3552" s="171"/>
      <c r="X3552" s="171"/>
      <c r="Y3552" s="171"/>
      <c r="Z3552" s="171"/>
      <c r="AA3552" s="171"/>
    </row>
    <row r="3553" spans="1:27" s="530" customFormat="1" ht="13.5" hidden="1" thickBot="1" x14ac:dyDescent="0.25">
      <c r="A3553" s="526"/>
      <c r="B3553" s="527"/>
      <c r="C3553" s="465"/>
      <c r="D3553" s="464"/>
      <c r="E3553" s="464"/>
      <c r="F3553" s="498">
        <v>611</v>
      </c>
      <c r="G3553" s="499" t="s">
        <v>3848</v>
      </c>
      <c r="H3553" s="397"/>
      <c r="I3553" s="397"/>
      <c r="J3553" s="750" t="e">
        <f t="shared" si="40"/>
        <v>#DIV/0!</v>
      </c>
      <c r="K3553" s="398"/>
      <c r="L3553" s="398"/>
      <c r="M3553" s="682"/>
      <c r="N3553" s="171"/>
      <c r="O3553" s="171"/>
      <c r="P3553" s="169"/>
      <c r="Q3553" s="171"/>
      <c r="R3553" s="171"/>
      <c r="S3553" s="171"/>
      <c r="T3553" s="171"/>
      <c r="U3553" s="171"/>
      <c r="V3553" s="171"/>
      <c r="W3553" s="171"/>
      <c r="X3553" s="171"/>
      <c r="Y3553" s="171"/>
      <c r="Z3553" s="171"/>
      <c r="AA3553" s="171"/>
    </row>
    <row r="3554" spans="1:27" s="530" customFormat="1" ht="13.5" hidden="1" thickBot="1" x14ac:dyDescent="0.25">
      <c r="A3554" s="526"/>
      <c r="B3554" s="527"/>
      <c r="C3554" s="465"/>
      <c r="D3554" s="464"/>
      <c r="E3554" s="464"/>
      <c r="F3554" s="498">
        <v>620</v>
      </c>
      <c r="G3554" s="499" t="s">
        <v>88</v>
      </c>
      <c r="H3554" s="397"/>
      <c r="I3554" s="397"/>
      <c r="J3554" s="750" t="e">
        <f t="shared" si="40"/>
        <v>#DIV/0!</v>
      </c>
      <c r="K3554" s="398"/>
      <c r="L3554" s="398"/>
      <c r="M3554" s="682"/>
      <c r="N3554" s="171"/>
      <c r="O3554" s="171"/>
      <c r="P3554" s="169"/>
      <c r="Q3554" s="171"/>
      <c r="R3554" s="171"/>
      <c r="S3554" s="171"/>
      <c r="T3554" s="171"/>
      <c r="U3554" s="171"/>
      <c r="V3554" s="171"/>
      <c r="W3554" s="171"/>
      <c r="X3554" s="171"/>
      <c r="Y3554" s="171"/>
      <c r="Z3554" s="171"/>
      <c r="AA3554" s="171"/>
    </row>
    <row r="3555" spans="1:27" s="530" customFormat="1" x14ac:dyDescent="0.2">
      <c r="A3555" s="526"/>
      <c r="B3555" s="527"/>
      <c r="C3555" s="465"/>
      <c r="D3555" s="464"/>
      <c r="E3555" s="500"/>
      <c r="F3555" s="498"/>
      <c r="G3555" s="501" t="s">
        <v>4344</v>
      </c>
      <c r="H3555" s="400"/>
      <c r="I3555" s="400"/>
      <c r="J3555" s="750"/>
      <c r="K3555" s="401"/>
      <c r="L3555" s="402"/>
      <c r="M3555" s="682"/>
      <c r="N3555" s="171"/>
      <c r="O3555" s="171"/>
      <c r="P3555" s="169"/>
      <c r="Q3555" s="171"/>
      <c r="R3555" s="171"/>
      <c r="S3555" s="171"/>
      <c r="T3555" s="171"/>
      <c r="U3555" s="171"/>
      <c r="V3555" s="171"/>
      <c r="W3555" s="171"/>
      <c r="X3555" s="171"/>
      <c r="Y3555" s="171"/>
      <c r="Z3555" s="171"/>
      <c r="AA3555" s="171"/>
    </row>
    <row r="3556" spans="1:27" s="530" customFormat="1" ht="13.5" customHeight="1" thickBot="1" x14ac:dyDescent="0.25">
      <c r="A3556" s="526"/>
      <c r="B3556" s="527"/>
      <c r="C3556" s="465"/>
      <c r="D3556" s="464"/>
      <c r="E3556" s="502"/>
      <c r="F3556" s="503" t="s">
        <v>234</v>
      </c>
      <c r="G3556" s="504" t="s">
        <v>235</v>
      </c>
      <c r="H3556" s="403">
        <f>SUM(H3495:H3554)</f>
        <v>2500000</v>
      </c>
      <c r="I3556" s="403">
        <f>SUM(I3540)</f>
        <v>2350440.5299999998</v>
      </c>
      <c r="J3556" s="750">
        <f t="shared" si="40"/>
        <v>94.017621199999994</v>
      </c>
      <c r="K3556" s="404"/>
      <c r="L3556" s="404"/>
      <c r="M3556" s="682"/>
      <c r="N3556" s="171"/>
      <c r="O3556" s="171"/>
      <c r="P3556" s="169"/>
      <c r="Q3556" s="171"/>
      <c r="R3556" s="171"/>
      <c r="S3556" s="171"/>
      <c r="T3556" s="171"/>
      <c r="U3556" s="171"/>
      <c r="V3556" s="171"/>
      <c r="W3556" s="171"/>
      <c r="X3556" s="171"/>
      <c r="Y3556" s="171"/>
      <c r="Z3556" s="171"/>
      <c r="AA3556" s="171"/>
    </row>
    <row r="3557" spans="1:27" s="530" customFormat="1" ht="13.5" hidden="1" thickBot="1" x14ac:dyDescent="0.25">
      <c r="A3557" s="526"/>
      <c r="B3557" s="527"/>
      <c r="C3557" s="465"/>
      <c r="D3557" s="464"/>
      <c r="E3557" s="464"/>
      <c r="F3557" s="503" t="s">
        <v>236</v>
      </c>
      <c r="G3557" s="504" t="s">
        <v>237</v>
      </c>
      <c r="H3557" s="397"/>
      <c r="I3557" s="397"/>
      <c r="J3557" s="750" t="e">
        <f t="shared" si="40"/>
        <v>#DIV/0!</v>
      </c>
      <c r="K3557" s="398"/>
      <c r="L3557" s="404"/>
      <c r="M3557" s="682"/>
      <c r="N3557" s="171"/>
      <c r="O3557" s="171"/>
      <c r="P3557" s="169"/>
      <c r="Q3557" s="171"/>
      <c r="R3557" s="171"/>
      <c r="S3557" s="171"/>
      <c r="T3557" s="171"/>
      <c r="U3557" s="171"/>
      <c r="V3557" s="171"/>
      <c r="W3557" s="171"/>
      <c r="X3557" s="171"/>
      <c r="Y3557" s="171"/>
      <c r="Z3557" s="171"/>
      <c r="AA3557" s="171"/>
    </row>
    <row r="3558" spans="1:27" s="530" customFormat="1" ht="13.5" hidden="1" thickBot="1" x14ac:dyDescent="0.25">
      <c r="A3558" s="526"/>
      <c r="B3558" s="527"/>
      <c r="C3558" s="465"/>
      <c r="D3558" s="464"/>
      <c r="E3558" s="464"/>
      <c r="F3558" s="503" t="s">
        <v>238</v>
      </c>
      <c r="G3558" s="504" t="s">
        <v>239</v>
      </c>
      <c r="H3558" s="397"/>
      <c r="I3558" s="397"/>
      <c r="J3558" s="750" t="e">
        <f t="shared" si="40"/>
        <v>#DIV/0!</v>
      </c>
      <c r="K3558" s="398"/>
      <c r="L3558" s="404"/>
      <c r="M3558" s="682"/>
      <c r="N3558" s="171"/>
      <c r="O3558" s="171"/>
      <c r="P3558" s="169"/>
      <c r="Q3558" s="171"/>
      <c r="R3558" s="171"/>
      <c r="S3558" s="171"/>
      <c r="T3558" s="171"/>
      <c r="U3558" s="171"/>
      <c r="V3558" s="171"/>
      <c r="W3558" s="171"/>
      <c r="X3558" s="171"/>
      <c r="Y3558" s="171"/>
      <c r="Z3558" s="171"/>
      <c r="AA3558" s="171"/>
    </row>
    <row r="3559" spans="1:27" s="530" customFormat="1" ht="13.5" hidden="1" thickBot="1" x14ac:dyDescent="0.25">
      <c r="A3559" s="526"/>
      <c r="B3559" s="527"/>
      <c r="C3559" s="465"/>
      <c r="D3559" s="464"/>
      <c r="E3559" s="464"/>
      <c r="F3559" s="503" t="s">
        <v>240</v>
      </c>
      <c r="G3559" s="504" t="s">
        <v>241</v>
      </c>
      <c r="H3559" s="397"/>
      <c r="I3559" s="397"/>
      <c r="J3559" s="750" t="e">
        <f t="shared" si="40"/>
        <v>#DIV/0!</v>
      </c>
      <c r="K3559" s="398"/>
      <c r="L3559" s="404"/>
      <c r="M3559" s="682"/>
      <c r="N3559" s="171"/>
      <c r="O3559" s="171"/>
      <c r="P3559" s="169"/>
      <c r="Q3559" s="171"/>
      <c r="R3559" s="171"/>
      <c r="S3559" s="171"/>
      <c r="T3559" s="171"/>
      <c r="U3559" s="171"/>
      <c r="V3559" s="171"/>
      <c r="W3559" s="171"/>
      <c r="X3559" s="171"/>
      <c r="Y3559" s="171"/>
      <c r="Z3559" s="171"/>
      <c r="AA3559" s="171"/>
    </row>
    <row r="3560" spans="1:27" s="530" customFormat="1" ht="13.5" hidden="1" thickBot="1" x14ac:dyDescent="0.25">
      <c r="A3560" s="526"/>
      <c r="B3560" s="527"/>
      <c r="C3560" s="465"/>
      <c r="D3560" s="464"/>
      <c r="E3560" s="464"/>
      <c r="F3560" s="503" t="s">
        <v>242</v>
      </c>
      <c r="G3560" s="504" t="s">
        <v>243</v>
      </c>
      <c r="H3560" s="397"/>
      <c r="I3560" s="397"/>
      <c r="J3560" s="750" t="e">
        <f t="shared" si="40"/>
        <v>#DIV/0!</v>
      </c>
      <c r="K3560" s="398"/>
      <c r="L3560" s="404"/>
      <c r="M3560" s="682"/>
      <c r="N3560" s="171"/>
      <c r="O3560" s="171"/>
      <c r="P3560" s="169"/>
      <c r="Q3560" s="171"/>
      <c r="R3560" s="171"/>
      <c r="S3560" s="171"/>
      <c r="T3560" s="171"/>
      <c r="U3560" s="171"/>
      <c r="V3560" s="171"/>
      <c r="W3560" s="171"/>
      <c r="X3560" s="171"/>
      <c r="Y3560" s="171"/>
      <c r="Z3560" s="171"/>
      <c r="AA3560" s="171"/>
    </row>
    <row r="3561" spans="1:27" s="530" customFormat="1" ht="13.5" hidden="1" thickBot="1" x14ac:dyDescent="0.25">
      <c r="A3561" s="526"/>
      <c r="B3561" s="527"/>
      <c r="C3561" s="465"/>
      <c r="D3561" s="464"/>
      <c r="E3561" s="464"/>
      <c r="F3561" s="503" t="s">
        <v>244</v>
      </c>
      <c r="G3561" s="504" t="s">
        <v>245</v>
      </c>
      <c r="H3561" s="397"/>
      <c r="I3561" s="397"/>
      <c r="J3561" s="750" t="e">
        <f t="shared" si="40"/>
        <v>#DIV/0!</v>
      </c>
      <c r="K3561" s="398"/>
      <c r="L3561" s="404"/>
      <c r="M3561" s="682"/>
      <c r="N3561" s="171"/>
      <c r="O3561" s="171"/>
      <c r="P3561" s="169"/>
      <c r="Q3561" s="171"/>
      <c r="R3561" s="171"/>
      <c r="S3561" s="171"/>
      <c r="T3561" s="171"/>
      <c r="U3561" s="171"/>
      <c r="V3561" s="171"/>
      <c r="W3561" s="171"/>
      <c r="X3561" s="171"/>
      <c r="Y3561" s="171"/>
      <c r="Z3561" s="171"/>
      <c r="AA3561" s="171"/>
    </row>
    <row r="3562" spans="1:27" s="530" customFormat="1" ht="13.5" hidden="1" thickBot="1" x14ac:dyDescent="0.25">
      <c r="A3562" s="526"/>
      <c r="B3562" s="527"/>
      <c r="C3562" s="465"/>
      <c r="D3562" s="464"/>
      <c r="E3562" s="464"/>
      <c r="F3562" s="503" t="s">
        <v>246</v>
      </c>
      <c r="G3562" s="504" t="s">
        <v>247</v>
      </c>
      <c r="H3562" s="397"/>
      <c r="I3562" s="397"/>
      <c r="J3562" s="750" t="e">
        <f t="shared" si="40"/>
        <v>#DIV/0!</v>
      </c>
      <c r="K3562" s="398"/>
      <c r="L3562" s="404"/>
      <c r="M3562" s="682"/>
      <c r="N3562" s="171"/>
      <c r="O3562" s="171"/>
      <c r="P3562" s="169"/>
      <c r="Q3562" s="171"/>
      <c r="R3562" s="171"/>
      <c r="S3562" s="171"/>
      <c r="T3562" s="171"/>
      <c r="U3562" s="171"/>
      <c r="V3562" s="171"/>
      <c r="W3562" s="171"/>
      <c r="X3562" s="171"/>
      <c r="Y3562" s="171"/>
      <c r="Z3562" s="171"/>
      <c r="AA3562" s="171"/>
    </row>
    <row r="3563" spans="1:27" s="530" customFormat="1" ht="26.25" hidden="1" thickBot="1" x14ac:dyDescent="0.25">
      <c r="A3563" s="526"/>
      <c r="B3563" s="527"/>
      <c r="C3563" s="465"/>
      <c r="D3563" s="464"/>
      <c r="E3563" s="464"/>
      <c r="F3563" s="503" t="s">
        <v>248</v>
      </c>
      <c r="G3563" s="504" t="s">
        <v>249</v>
      </c>
      <c r="H3563" s="397"/>
      <c r="I3563" s="397"/>
      <c r="J3563" s="750" t="e">
        <f t="shared" si="40"/>
        <v>#DIV/0!</v>
      </c>
      <c r="K3563" s="398"/>
      <c r="L3563" s="404"/>
      <c r="M3563" s="682"/>
      <c r="N3563" s="171"/>
      <c r="O3563" s="171"/>
      <c r="P3563" s="169"/>
      <c r="Q3563" s="171"/>
      <c r="R3563" s="171"/>
      <c r="S3563" s="171"/>
      <c r="T3563" s="171"/>
      <c r="U3563" s="171"/>
      <c r="V3563" s="171"/>
      <c r="W3563" s="171"/>
      <c r="X3563" s="171"/>
      <c r="Y3563" s="171"/>
      <c r="Z3563" s="171"/>
      <c r="AA3563" s="171"/>
    </row>
    <row r="3564" spans="1:27" s="530" customFormat="1" ht="13.5" hidden="1" thickBot="1" x14ac:dyDescent="0.25">
      <c r="A3564" s="464"/>
      <c r="B3564" s="464"/>
      <c r="C3564" s="465"/>
      <c r="D3564" s="464"/>
      <c r="E3564" s="464"/>
      <c r="F3564" s="503" t="s">
        <v>250</v>
      </c>
      <c r="G3564" s="504" t="s">
        <v>57</v>
      </c>
      <c r="H3564" s="397"/>
      <c r="I3564" s="397"/>
      <c r="J3564" s="750" t="e">
        <f t="shared" si="40"/>
        <v>#DIV/0!</v>
      </c>
      <c r="K3564" s="398"/>
      <c r="L3564" s="404"/>
      <c r="M3564" s="682"/>
      <c r="N3564" s="171"/>
      <c r="O3564" s="171"/>
      <c r="P3564" s="169"/>
      <c r="Q3564" s="171"/>
      <c r="R3564" s="171"/>
      <c r="S3564" s="171"/>
      <c r="T3564" s="171"/>
      <c r="U3564" s="171"/>
      <c r="V3564" s="171"/>
      <c r="W3564" s="171"/>
      <c r="X3564" s="171"/>
      <c r="Y3564" s="171"/>
      <c r="Z3564" s="171"/>
      <c r="AA3564" s="171"/>
    </row>
    <row r="3565" spans="1:27" s="530" customFormat="1" ht="13.5" hidden="1" thickBot="1" x14ac:dyDescent="0.25">
      <c r="A3565" s="464"/>
      <c r="B3565" s="464"/>
      <c r="C3565" s="465"/>
      <c r="D3565" s="464"/>
      <c r="E3565" s="464"/>
      <c r="F3565" s="503" t="s">
        <v>251</v>
      </c>
      <c r="G3565" s="504" t="s">
        <v>252</v>
      </c>
      <c r="H3565" s="397"/>
      <c r="I3565" s="397"/>
      <c r="J3565" s="750" t="e">
        <f t="shared" si="40"/>
        <v>#DIV/0!</v>
      </c>
      <c r="K3565" s="398"/>
      <c r="L3565" s="404"/>
      <c r="M3565" s="682"/>
      <c r="N3565" s="171"/>
      <c r="O3565" s="171"/>
      <c r="P3565" s="169"/>
      <c r="Q3565" s="171"/>
      <c r="R3565" s="171"/>
      <c r="S3565" s="171"/>
      <c r="T3565" s="171"/>
      <c r="U3565" s="171"/>
      <c r="V3565" s="171"/>
      <c r="W3565" s="171"/>
      <c r="X3565" s="171"/>
      <c r="Y3565" s="171"/>
      <c r="Z3565" s="171"/>
      <c r="AA3565" s="171"/>
    </row>
    <row r="3566" spans="1:27" s="530" customFormat="1" ht="13.5" hidden="1" thickBot="1" x14ac:dyDescent="0.25">
      <c r="A3566" s="464"/>
      <c r="B3566" s="464"/>
      <c r="C3566" s="465"/>
      <c r="D3566" s="464"/>
      <c r="E3566" s="464"/>
      <c r="F3566" s="503" t="s">
        <v>253</v>
      </c>
      <c r="G3566" s="504" t="s">
        <v>254</v>
      </c>
      <c r="H3566" s="397"/>
      <c r="I3566" s="397"/>
      <c r="J3566" s="750" t="e">
        <f t="shared" si="40"/>
        <v>#DIV/0!</v>
      </c>
      <c r="K3566" s="398"/>
      <c r="L3566" s="404"/>
      <c r="M3566" s="682"/>
      <c r="N3566" s="171"/>
      <c r="O3566" s="171"/>
      <c r="P3566" s="169"/>
      <c r="Q3566" s="171"/>
      <c r="R3566" s="171"/>
      <c r="S3566" s="171"/>
      <c r="T3566" s="171"/>
      <c r="U3566" s="171"/>
      <c r="V3566" s="171"/>
      <c r="W3566" s="171"/>
      <c r="X3566" s="171"/>
      <c r="Y3566" s="171"/>
      <c r="Z3566" s="171"/>
      <c r="AA3566" s="171"/>
    </row>
    <row r="3567" spans="1:27" s="530" customFormat="1" ht="26.25" hidden="1" thickBot="1" x14ac:dyDescent="0.25">
      <c r="A3567" s="464"/>
      <c r="B3567" s="464"/>
      <c r="C3567" s="465"/>
      <c r="D3567" s="464"/>
      <c r="E3567" s="464"/>
      <c r="F3567" s="503" t="s">
        <v>255</v>
      </c>
      <c r="G3567" s="504" t="s">
        <v>256</v>
      </c>
      <c r="H3567" s="397"/>
      <c r="I3567" s="397"/>
      <c r="J3567" s="750" t="e">
        <f t="shared" si="40"/>
        <v>#DIV/0!</v>
      </c>
      <c r="K3567" s="398"/>
      <c r="L3567" s="404"/>
      <c r="M3567" s="682"/>
      <c r="N3567" s="171"/>
      <c r="O3567" s="171"/>
      <c r="P3567" s="169"/>
      <c r="Q3567" s="171"/>
      <c r="R3567" s="171"/>
      <c r="S3567" s="171"/>
      <c r="T3567" s="171"/>
      <c r="U3567" s="171"/>
      <c r="V3567" s="171"/>
      <c r="W3567" s="171"/>
      <c r="X3567" s="171"/>
      <c r="Y3567" s="171"/>
      <c r="Z3567" s="171"/>
      <c r="AA3567" s="171"/>
    </row>
    <row r="3568" spans="1:27" s="530" customFormat="1" ht="26.25" hidden="1" thickBot="1" x14ac:dyDescent="0.25">
      <c r="A3568" s="464"/>
      <c r="B3568" s="464"/>
      <c r="C3568" s="465"/>
      <c r="D3568" s="464"/>
      <c r="E3568" s="464"/>
      <c r="F3568" s="503" t="s">
        <v>257</v>
      </c>
      <c r="G3568" s="504" t="s">
        <v>258</v>
      </c>
      <c r="H3568" s="397"/>
      <c r="I3568" s="397"/>
      <c r="J3568" s="750" t="e">
        <f t="shared" si="40"/>
        <v>#DIV/0!</v>
      </c>
      <c r="K3568" s="398"/>
      <c r="L3568" s="404"/>
      <c r="M3568" s="682"/>
      <c r="N3568" s="171"/>
      <c r="O3568" s="171"/>
      <c r="P3568" s="169"/>
      <c r="Q3568" s="171"/>
      <c r="R3568" s="171"/>
      <c r="S3568" s="171"/>
      <c r="T3568" s="171"/>
      <c r="U3568" s="171"/>
      <c r="V3568" s="171"/>
      <c r="W3568" s="171"/>
      <c r="X3568" s="171"/>
      <c r="Y3568" s="171"/>
      <c r="Z3568" s="171"/>
      <c r="AA3568" s="171"/>
    </row>
    <row r="3569" spans="1:27" s="530" customFormat="1" ht="26.25" hidden="1" thickBot="1" x14ac:dyDescent="0.25">
      <c r="A3569" s="464"/>
      <c r="B3569" s="464"/>
      <c r="C3569" s="465"/>
      <c r="D3569" s="464"/>
      <c r="E3569" s="464"/>
      <c r="F3569" s="503" t="s">
        <v>259</v>
      </c>
      <c r="G3569" s="504" t="s">
        <v>260</v>
      </c>
      <c r="H3569" s="397"/>
      <c r="I3569" s="397"/>
      <c r="J3569" s="750" t="e">
        <f t="shared" si="40"/>
        <v>#DIV/0!</v>
      </c>
      <c r="K3569" s="398"/>
      <c r="L3569" s="404"/>
      <c r="M3569" s="682"/>
      <c r="N3569" s="171"/>
      <c r="O3569" s="171"/>
      <c r="P3569" s="169"/>
      <c r="Q3569" s="171"/>
      <c r="R3569" s="171"/>
      <c r="S3569" s="171"/>
      <c r="T3569" s="171"/>
      <c r="U3569" s="171"/>
      <c r="V3569" s="171"/>
      <c r="W3569" s="171"/>
      <c r="X3569" s="171"/>
      <c r="Y3569" s="171"/>
      <c r="Z3569" s="171"/>
      <c r="AA3569" s="171"/>
    </row>
    <row r="3570" spans="1:27" s="530" customFormat="1" ht="26.25" hidden="1" thickBot="1" x14ac:dyDescent="0.25">
      <c r="A3570" s="464"/>
      <c r="B3570" s="464"/>
      <c r="C3570" s="465"/>
      <c r="D3570" s="464"/>
      <c r="E3570" s="464"/>
      <c r="F3570" s="503" t="s">
        <v>261</v>
      </c>
      <c r="G3570" s="504" t="s">
        <v>262</v>
      </c>
      <c r="H3570" s="397"/>
      <c r="I3570" s="397"/>
      <c r="J3570" s="750" t="e">
        <f t="shared" si="40"/>
        <v>#DIV/0!</v>
      </c>
      <c r="K3570" s="398"/>
      <c r="L3570" s="404"/>
      <c r="M3570" s="682"/>
      <c r="N3570" s="171"/>
      <c r="O3570" s="171"/>
      <c r="P3570" s="169"/>
      <c r="Q3570" s="171"/>
      <c r="R3570" s="171"/>
      <c r="S3570" s="171"/>
      <c r="T3570" s="171"/>
      <c r="U3570" s="171"/>
      <c r="V3570" s="171"/>
      <c r="W3570" s="171"/>
      <c r="X3570" s="171"/>
      <c r="Y3570" s="171"/>
      <c r="Z3570" s="171"/>
      <c r="AA3570" s="171"/>
    </row>
    <row r="3571" spans="1:27" s="530" customFormat="1" ht="13.5" hidden="1" thickBot="1" x14ac:dyDescent="0.25">
      <c r="A3571" s="464"/>
      <c r="B3571" s="464"/>
      <c r="C3571" s="465"/>
      <c r="D3571" s="464"/>
      <c r="E3571" s="464"/>
      <c r="F3571" s="503" t="s">
        <v>263</v>
      </c>
      <c r="G3571" s="504" t="s">
        <v>264</v>
      </c>
      <c r="H3571" s="403"/>
      <c r="I3571" s="403"/>
      <c r="J3571" s="750" t="e">
        <f t="shared" si="40"/>
        <v>#DIV/0!</v>
      </c>
      <c r="K3571" s="404"/>
      <c r="L3571" s="404"/>
      <c r="M3571" s="682"/>
      <c r="N3571" s="171"/>
      <c r="O3571" s="171"/>
      <c r="P3571" s="169"/>
      <c r="Q3571" s="171"/>
      <c r="R3571" s="171"/>
      <c r="S3571" s="171"/>
      <c r="T3571" s="171"/>
      <c r="U3571" s="171"/>
      <c r="V3571" s="171"/>
      <c r="W3571" s="171"/>
      <c r="X3571" s="171"/>
      <c r="Y3571" s="171"/>
      <c r="Z3571" s="171"/>
      <c r="AA3571" s="171"/>
    </row>
    <row r="3572" spans="1:27" s="530" customFormat="1" ht="13.5" thickBot="1" x14ac:dyDescent="0.25">
      <c r="A3572" s="464"/>
      <c r="B3572" s="464"/>
      <c r="C3572" s="465"/>
      <c r="D3572" s="464"/>
      <c r="E3572" s="464"/>
      <c r="F3572" s="464"/>
      <c r="G3572" s="505" t="s">
        <v>4345</v>
      </c>
      <c r="H3572" s="405">
        <f>SUM(H3556:H3571)</f>
        <v>2500000</v>
      </c>
      <c r="I3572" s="405">
        <f>SUM(I3556)</f>
        <v>2350440.5299999998</v>
      </c>
      <c r="J3572" s="750">
        <f t="shared" si="40"/>
        <v>94.017621199999994</v>
      </c>
      <c r="K3572" s="406">
        <f>SUM(K3557:K3571)</f>
        <v>0</v>
      </c>
      <c r="L3572" s="406"/>
      <c r="M3572" s="682"/>
      <c r="N3572" s="171"/>
      <c r="O3572" s="171"/>
      <c r="P3572" s="169"/>
      <c r="Q3572" s="171"/>
      <c r="R3572" s="171"/>
      <c r="S3572" s="171"/>
      <c r="T3572" s="171"/>
      <c r="U3572" s="171"/>
      <c r="V3572" s="171"/>
      <c r="W3572" s="171"/>
      <c r="X3572" s="171"/>
      <c r="Y3572" s="171"/>
      <c r="Z3572" s="171"/>
      <c r="AA3572" s="171"/>
    </row>
    <row r="3573" spans="1:27" s="530" customFormat="1" x14ac:dyDescent="0.2">
      <c r="A3573" s="464"/>
      <c r="B3573" s="464"/>
      <c r="C3573" s="465"/>
      <c r="D3573" s="464"/>
      <c r="E3573" s="464"/>
      <c r="F3573" s="464"/>
      <c r="G3573" s="510" t="s">
        <v>5204</v>
      </c>
      <c r="H3573" s="411"/>
      <c r="I3573" s="411"/>
      <c r="J3573" s="750"/>
      <c r="K3573" s="412"/>
      <c r="L3573" s="412"/>
      <c r="M3573" s="682"/>
      <c r="N3573" s="171"/>
      <c r="O3573" s="171"/>
      <c r="P3573" s="169"/>
      <c r="Q3573" s="171"/>
      <c r="R3573" s="171"/>
      <c r="S3573" s="171"/>
      <c r="T3573" s="171"/>
      <c r="U3573" s="171"/>
      <c r="V3573" s="171"/>
      <c r="W3573" s="171"/>
      <c r="X3573" s="171"/>
      <c r="Y3573" s="171"/>
      <c r="Z3573" s="171"/>
      <c r="AA3573" s="171"/>
    </row>
    <row r="3574" spans="1:27" s="530" customFormat="1" ht="13.5" thickBot="1" x14ac:dyDescent="0.25">
      <c r="A3574" s="464"/>
      <c r="B3574" s="464"/>
      <c r="C3574" s="465"/>
      <c r="D3574" s="464"/>
      <c r="E3574" s="464"/>
      <c r="F3574" s="464" t="s">
        <v>234</v>
      </c>
      <c r="G3574" s="564" t="s">
        <v>235</v>
      </c>
      <c r="H3574" s="429">
        <f>SUM(H3495:H3554)</f>
        <v>2500000</v>
      </c>
      <c r="I3574" s="429">
        <f>SUM(I3572)</f>
        <v>2350440.5299999998</v>
      </c>
      <c r="J3574" s="750">
        <f t="shared" si="40"/>
        <v>94.017621199999994</v>
      </c>
      <c r="K3574" s="430"/>
      <c r="L3574" s="431"/>
      <c r="M3574" s="682"/>
      <c r="N3574" s="171"/>
      <c r="O3574" s="171"/>
      <c r="P3574" s="169"/>
      <c r="Q3574" s="171"/>
      <c r="R3574" s="171"/>
      <c r="S3574" s="171"/>
      <c r="T3574" s="171"/>
      <c r="U3574" s="171"/>
      <c r="V3574" s="171"/>
      <c r="W3574" s="171"/>
      <c r="X3574" s="171"/>
      <c r="Y3574" s="171"/>
      <c r="Z3574" s="171"/>
      <c r="AA3574" s="171"/>
    </row>
    <row r="3575" spans="1:27" s="530" customFormat="1" hidden="1" x14ac:dyDescent="0.2">
      <c r="A3575" s="464"/>
      <c r="B3575" s="464"/>
      <c r="C3575" s="465"/>
      <c r="D3575" s="464"/>
      <c r="E3575" s="464"/>
      <c r="F3575" s="464" t="s">
        <v>236</v>
      </c>
      <c r="G3575" s="510" t="s">
        <v>237</v>
      </c>
      <c r="H3575" s="411"/>
      <c r="I3575" s="411"/>
      <c r="J3575" s="750" t="e">
        <f t="shared" si="40"/>
        <v>#DIV/0!</v>
      </c>
      <c r="K3575" s="412"/>
      <c r="L3575" s="412"/>
      <c r="M3575" s="682"/>
      <c r="N3575" s="171"/>
      <c r="O3575" s="171"/>
      <c r="P3575" s="169"/>
      <c r="Q3575" s="171"/>
      <c r="R3575" s="171"/>
      <c r="S3575" s="171"/>
      <c r="T3575" s="171"/>
      <c r="U3575" s="171"/>
      <c r="V3575" s="171"/>
      <c r="W3575" s="171"/>
      <c r="X3575" s="171"/>
      <c r="Y3575" s="171"/>
      <c r="Z3575" s="171"/>
      <c r="AA3575" s="171"/>
    </row>
    <row r="3576" spans="1:27" s="530" customFormat="1" hidden="1" x14ac:dyDescent="0.2">
      <c r="A3576" s="464"/>
      <c r="B3576" s="464"/>
      <c r="C3576" s="465"/>
      <c r="D3576" s="464"/>
      <c r="E3576" s="464"/>
      <c r="F3576" s="464" t="s">
        <v>238</v>
      </c>
      <c r="G3576" s="510" t="s">
        <v>239</v>
      </c>
      <c r="H3576" s="411"/>
      <c r="I3576" s="411"/>
      <c r="J3576" s="750" t="e">
        <f t="shared" si="40"/>
        <v>#DIV/0!</v>
      </c>
      <c r="K3576" s="412"/>
      <c r="L3576" s="412"/>
      <c r="M3576" s="682"/>
      <c r="N3576" s="171"/>
      <c r="O3576" s="171"/>
      <c r="P3576" s="169"/>
      <c r="Q3576" s="171"/>
      <c r="R3576" s="171"/>
      <c r="S3576" s="171"/>
      <c r="T3576" s="171"/>
      <c r="U3576" s="171"/>
      <c r="V3576" s="171"/>
      <c r="W3576" s="171"/>
      <c r="X3576" s="171"/>
      <c r="Y3576" s="171"/>
      <c r="Z3576" s="171"/>
      <c r="AA3576" s="171"/>
    </row>
    <row r="3577" spans="1:27" s="530" customFormat="1" hidden="1" x14ac:dyDescent="0.2">
      <c r="A3577" s="464"/>
      <c r="B3577" s="464"/>
      <c r="C3577" s="465"/>
      <c r="D3577" s="464"/>
      <c r="E3577" s="464"/>
      <c r="F3577" s="464" t="s">
        <v>240</v>
      </c>
      <c r="G3577" s="510" t="s">
        <v>241</v>
      </c>
      <c r="H3577" s="411"/>
      <c r="I3577" s="411"/>
      <c r="J3577" s="750" t="e">
        <f t="shared" si="40"/>
        <v>#DIV/0!</v>
      </c>
      <c r="K3577" s="412"/>
      <c r="L3577" s="412"/>
      <c r="M3577" s="682"/>
      <c r="N3577" s="171"/>
      <c r="O3577" s="171"/>
      <c r="P3577" s="169"/>
      <c r="Q3577" s="171"/>
      <c r="R3577" s="171"/>
      <c r="S3577" s="171"/>
      <c r="T3577" s="171"/>
      <c r="U3577" s="171"/>
      <c r="V3577" s="171"/>
      <c r="W3577" s="171"/>
      <c r="X3577" s="171"/>
      <c r="Y3577" s="171"/>
      <c r="Z3577" s="171"/>
      <c r="AA3577" s="171"/>
    </row>
    <row r="3578" spans="1:27" s="530" customFormat="1" hidden="1" x14ac:dyDescent="0.2">
      <c r="A3578" s="464"/>
      <c r="B3578" s="464"/>
      <c r="C3578" s="465"/>
      <c r="D3578" s="464"/>
      <c r="E3578" s="464"/>
      <c r="F3578" s="464" t="s">
        <v>242</v>
      </c>
      <c r="G3578" s="510" t="s">
        <v>243</v>
      </c>
      <c r="H3578" s="411"/>
      <c r="I3578" s="411"/>
      <c r="J3578" s="750" t="e">
        <f t="shared" si="40"/>
        <v>#DIV/0!</v>
      </c>
      <c r="K3578" s="412"/>
      <c r="L3578" s="412"/>
      <c r="M3578" s="682"/>
      <c r="N3578" s="171"/>
      <c r="O3578" s="171"/>
      <c r="P3578" s="169"/>
      <c r="Q3578" s="171"/>
      <c r="R3578" s="171"/>
      <c r="S3578" s="171"/>
      <c r="T3578" s="171"/>
      <c r="U3578" s="171"/>
      <c r="V3578" s="171"/>
      <c r="W3578" s="171"/>
      <c r="X3578" s="171"/>
      <c r="Y3578" s="171"/>
      <c r="Z3578" s="171"/>
      <c r="AA3578" s="171"/>
    </row>
    <row r="3579" spans="1:27" s="530" customFormat="1" hidden="1" x14ac:dyDescent="0.2">
      <c r="A3579" s="464"/>
      <c r="B3579" s="464"/>
      <c r="C3579" s="465"/>
      <c r="D3579" s="464"/>
      <c r="E3579" s="464"/>
      <c r="F3579" s="464" t="s">
        <v>244</v>
      </c>
      <c r="G3579" s="510" t="s">
        <v>245</v>
      </c>
      <c r="H3579" s="411"/>
      <c r="I3579" s="411"/>
      <c r="J3579" s="750" t="e">
        <f t="shared" si="40"/>
        <v>#DIV/0!</v>
      </c>
      <c r="K3579" s="412"/>
      <c r="L3579" s="412"/>
      <c r="M3579" s="682"/>
      <c r="N3579" s="171"/>
      <c r="O3579" s="171"/>
      <c r="P3579" s="169"/>
      <c r="Q3579" s="171"/>
      <c r="R3579" s="171"/>
      <c r="S3579" s="171"/>
      <c r="T3579" s="171"/>
      <c r="U3579" s="171"/>
      <c r="V3579" s="171"/>
      <c r="W3579" s="171"/>
      <c r="X3579" s="171"/>
      <c r="Y3579" s="171"/>
      <c r="Z3579" s="171"/>
      <c r="AA3579" s="171"/>
    </row>
    <row r="3580" spans="1:27" s="530" customFormat="1" hidden="1" x14ac:dyDescent="0.2">
      <c r="A3580" s="464"/>
      <c r="B3580" s="464"/>
      <c r="C3580" s="465"/>
      <c r="D3580" s="464"/>
      <c r="E3580" s="464"/>
      <c r="F3580" s="464" t="s">
        <v>246</v>
      </c>
      <c r="G3580" s="510" t="s">
        <v>247</v>
      </c>
      <c r="H3580" s="411"/>
      <c r="I3580" s="411"/>
      <c r="J3580" s="750" t="e">
        <f t="shared" si="40"/>
        <v>#DIV/0!</v>
      </c>
      <c r="K3580" s="412"/>
      <c r="L3580" s="412"/>
      <c r="M3580" s="682"/>
      <c r="N3580" s="171"/>
      <c r="O3580" s="171"/>
      <c r="P3580" s="169"/>
      <c r="Q3580" s="171"/>
      <c r="R3580" s="171"/>
      <c r="S3580" s="171"/>
      <c r="T3580" s="171"/>
      <c r="U3580" s="171"/>
      <c r="V3580" s="171"/>
      <c r="W3580" s="171"/>
      <c r="X3580" s="171"/>
      <c r="Y3580" s="171"/>
      <c r="Z3580" s="171"/>
      <c r="AA3580" s="171"/>
    </row>
    <row r="3581" spans="1:27" s="530" customFormat="1" ht="25.5" hidden="1" x14ac:dyDescent="0.2">
      <c r="A3581" s="464"/>
      <c r="B3581" s="464"/>
      <c r="C3581" s="465"/>
      <c r="D3581" s="464"/>
      <c r="E3581" s="464"/>
      <c r="F3581" s="464" t="s">
        <v>248</v>
      </c>
      <c r="G3581" s="510" t="s">
        <v>249</v>
      </c>
      <c r="H3581" s="411"/>
      <c r="I3581" s="411"/>
      <c r="J3581" s="750" t="e">
        <f t="shared" si="40"/>
        <v>#DIV/0!</v>
      </c>
      <c r="K3581" s="412"/>
      <c r="L3581" s="412"/>
      <c r="M3581" s="682"/>
      <c r="N3581" s="171"/>
      <c r="O3581" s="171"/>
      <c r="P3581" s="169"/>
      <c r="Q3581" s="171"/>
      <c r="R3581" s="171"/>
      <c r="S3581" s="171"/>
      <c r="T3581" s="171"/>
      <c r="U3581" s="171"/>
      <c r="V3581" s="171"/>
      <c r="W3581" s="171"/>
      <c r="X3581" s="171"/>
      <c r="Y3581" s="171"/>
      <c r="Z3581" s="171"/>
      <c r="AA3581" s="171"/>
    </row>
    <row r="3582" spans="1:27" s="530" customFormat="1" hidden="1" x14ac:dyDescent="0.2">
      <c r="A3582" s="464"/>
      <c r="B3582" s="464"/>
      <c r="C3582" s="465"/>
      <c r="D3582" s="464"/>
      <c r="E3582" s="464"/>
      <c r="F3582" s="464" t="s">
        <v>250</v>
      </c>
      <c r="G3582" s="510" t="s">
        <v>57</v>
      </c>
      <c r="H3582" s="411"/>
      <c r="I3582" s="411"/>
      <c r="J3582" s="750" t="e">
        <f t="shared" si="40"/>
        <v>#DIV/0!</v>
      </c>
      <c r="K3582" s="412"/>
      <c r="L3582" s="412"/>
      <c r="M3582" s="682"/>
      <c r="N3582" s="171"/>
      <c r="O3582" s="171"/>
      <c r="P3582" s="169"/>
      <c r="Q3582" s="171"/>
      <c r="R3582" s="171"/>
      <c r="S3582" s="171"/>
      <c r="T3582" s="171"/>
      <c r="U3582" s="171"/>
      <c r="V3582" s="171"/>
      <c r="W3582" s="171"/>
      <c r="X3582" s="171"/>
      <c r="Y3582" s="171"/>
      <c r="Z3582" s="171"/>
      <c r="AA3582" s="171"/>
    </row>
    <row r="3583" spans="1:27" s="530" customFormat="1" hidden="1" x14ac:dyDescent="0.2">
      <c r="A3583" s="464"/>
      <c r="B3583" s="464"/>
      <c r="C3583" s="465"/>
      <c r="D3583" s="464"/>
      <c r="E3583" s="464"/>
      <c r="F3583" s="464" t="s">
        <v>251</v>
      </c>
      <c r="G3583" s="510" t="s">
        <v>252</v>
      </c>
      <c r="H3583" s="411"/>
      <c r="I3583" s="411"/>
      <c r="J3583" s="750" t="e">
        <f t="shared" si="40"/>
        <v>#DIV/0!</v>
      </c>
      <c r="K3583" s="412"/>
      <c r="L3583" s="412"/>
      <c r="M3583" s="682"/>
      <c r="N3583" s="171"/>
      <c r="O3583" s="171"/>
      <c r="P3583" s="169"/>
      <c r="Q3583" s="171"/>
      <c r="R3583" s="171"/>
      <c r="S3583" s="171"/>
      <c r="T3583" s="171"/>
      <c r="U3583" s="171"/>
      <c r="V3583" s="171"/>
      <c r="W3583" s="171"/>
      <c r="X3583" s="171"/>
      <c r="Y3583" s="171"/>
      <c r="Z3583" s="171"/>
      <c r="AA3583" s="171"/>
    </row>
    <row r="3584" spans="1:27" s="530" customFormat="1" hidden="1" x14ac:dyDescent="0.2">
      <c r="A3584" s="464"/>
      <c r="B3584" s="464"/>
      <c r="C3584" s="465"/>
      <c r="D3584" s="464"/>
      <c r="E3584" s="464"/>
      <c r="F3584" s="464" t="s">
        <v>253</v>
      </c>
      <c r="G3584" s="510" t="s">
        <v>254</v>
      </c>
      <c r="H3584" s="411"/>
      <c r="I3584" s="411"/>
      <c r="J3584" s="750" t="e">
        <f t="shared" si="40"/>
        <v>#DIV/0!</v>
      </c>
      <c r="K3584" s="412"/>
      <c r="L3584" s="412"/>
      <c r="M3584" s="682"/>
      <c r="N3584" s="171"/>
      <c r="O3584" s="171"/>
      <c r="P3584" s="169"/>
      <c r="Q3584" s="171"/>
      <c r="R3584" s="171"/>
      <c r="S3584" s="171"/>
      <c r="T3584" s="171"/>
      <c r="U3584" s="171"/>
      <c r="V3584" s="171"/>
      <c r="W3584" s="171"/>
      <c r="X3584" s="171"/>
      <c r="Y3584" s="171"/>
      <c r="Z3584" s="171"/>
      <c r="AA3584" s="171"/>
    </row>
    <row r="3585" spans="1:27" s="530" customFormat="1" ht="25.5" hidden="1" x14ac:dyDescent="0.2">
      <c r="A3585" s="464"/>
      <c r="B3585" s="464"/>
      <c r="C3585" s="465"/>
      <c r="D3585" s="464"/>
      <c r="E3585" s="464"/>
      <c r="F3585" s="464" t="s">
        <v>255</v>
      </c>
      <c r="G3585" s="510" t="s">
        <v>256</v>
      </c>
      <c r="H3585" s="411"/>
      <c r="I3585" s="411"/>
      <c r="J3585" s="750" t="e">
        <f t="shared" si="40"/>
        <v>#DIV/0!</v>
      </c>
      <c r="K3585" s="412"/>
      <c r="L3585" s="412"/>
      <c r="M3585" s="682"/>
      <c r="N3585" s="171"/>
      <c r="O3585" s="171"/>
      <c r="P3585" s="169"/>
      <c r="Q3585" s="171"/>
      <c r="R3585" s="171"/>
      <c r="S3585" s="171"/>
      <c r="T3585" s="171"/>
      <c r="U3585" s="171"/>
      <c r="V3585" s="171"/>
      <c r="W3585" s="171"/>
      <c r="X3585" s="171"/>
      <c r="Y3585" s="171"/>
      <c r="Z3585" s="171"/>
      <c r="AA3585" s="171"/>
    </row>
    <row r="3586" spans="1:27" s="530" customFormat="1" ht="25.5" hidden="1" x14ac:dyDescent="0.2">
      <c r="A3586" s="464"/>
      <c r="B3586" s="464"/>
      <c r="C3586" s="465"/>
      <c r="D3586" s="464"/>
      <c r="E3586" s="464"/>
      <c r="F3586" s="464" t="s">
        <v>257</v>
      </c>
      <c r="G3586" s="510" t="s">
        <v>258</v>
      </c>
      <c r="H3586" s="411"/>
      <c r="I3586" s="411"/>
      <c r="J3586" s="750" t="e">
        <f t="shared" si="40"/>
        <v>#DIV/0!</v>
      </c>
      <c r="K3586" s="412"/>
      <c r="L3586" s="412"/>
      <c r="M3586" s="682"/>
      <c r="N3586" s="171"/>
      <c r="O3586" s="171"/>
      <c r="P3586" s="169"/>
      <c r="Q3586" s="171"/>
      <c r="R3586" s="171"/>
      <c r="S3586" s="171"/>
      <c r="T3586" s="171"/>
      <c r="U3586" s="171"/>
      <c r="V3586" s="171"/>
      <c r="W3586" s="171"/>
      <c r="X3586" s="171"/>
      <c r="Y3586" s="171"/>
      <c r="Z3586" s="171"/>
      <c r="AA3586" s="171"/>
    </row>
    <row r="3587" spans="1:27" s="530" customFormat="1" ht="25.5" hidden="1" x14ac:dyDescent="0.2">
      <c r="A3587" s="464"/>
      <c r="B3587" s="464"/>
      <c r="C3587" s="465"/>
      <c r="D3587" s="464"/>
      <c r="E3587" s="464"/>
      <c r="F3587" s="464" t="s">
        <v>259</v>
      </c>
      <c r="G3587" s="510" t="s">
        <v>260</v>
      </c>
      <c r="H3587" s="411"/>
      <c r="I3587" s="411"/>
      <c r="J3587" s="750" t="e">
        <f t="shared" si="40"/>
        <v>#DIV/0!</v>
      </c>
      <c r="K3587" s="412"/>
      <c r="L3587" s="412"/>
      <c r="M3587" s="682"/>
      <c r="N3587" s="171"/>
      <c r="O3587" s="171"/>
      <c r="P3587" s="169"/>
      <c r="Q3587" s="171"/>
      <c r="R3587" s="171"/>
      <c r="S3587" s="171"/>
      <c r="T3587" s="171"/>
      <c r="U3587" s="171"/>
      <c r="V3587" s="171"/>
      <c r="W3587" s="171"/>
      <c r="X3587" s="171"/>
      <c r="Y3587" s="171"/>
      <c r="Z3587" s="171"/>
      <c r="AA3587" s="171"/>
    </row>
    <row r="3588" spans="1:27" s="530" customFormat="1" ht="25.5" hidden="1" x14ac:dyDescent="0.2">
      <c r="A3588" s="464"/>
      <c r="B3588" s="464"/>
      <c r="C3588" s="465"/>
      <c r="D3588" s="464"/>
      <c r="E3588" s="464"/>
      <c r="F3588" s="464" t="s">
        <v>261</v>
      </c>
      <c r="G3588" s="510" t="s">
        <v>262</v>
      </c>
      <c r="H3588" s="411"/>
      <c r="I3588" s="411"/>
      <c r="J3588" s="750" t="e">
        <f t="shared" si="40"/>
        <v>#DIV/0!</v>
      </c>
      <c r="K3588" s="412"/>
      <c r="L3588" s="412"/>
      <c r="M3588" s="682"/>
      <c r="N3588" s="171"/>
      <c r="O3588" s="171"/>
      <c r="P3588" s="169"/>
      <c r="Q3588" s="171"/>
      <c r="R3588" s="171"/>
      <c r="S3588" s="171"/>
      <c r="T3588" s="171"/>
      <c r="U3588" s="171"/>
      <c r="V3588" s="171"/>
      <c r="W3588" s="171"/>
      <c r="X3588" s="171"/>
      <c r="Y3588" s="171"/>
      <c r="Z3588" s="171"/>
      <c r="AA3588" s="171"/>
    </row>
    <row r="3589" spans="1:27" s="530" customFormat="1" hidden="1" x14ac:dyDescent="0.2">
      <c r="A3589" s="464"/>
      <c r="B3589" s="464"/>
      <c r="C3589" s="465"/>
      <c r="D3589" s="464"/>
      <c r="E3589" s="464"/>
      <c r="F3589" s="464" t="s">
        <v>263</v>
      </c>
      <c r="G3589" s="510" t="s">
        <v>264</v>
      </c>
      <c r="H3589" s="411"/>
      <c r="I3589" s="411"/>
      <c r="J3589" s="750" t="e">
        <f t="shared" si="40"/>
        <v>#DIV/0!</v>
      </c>
      <c r="K3589" s="412"/>
      <c r="L3589" s="412"/>
      <c r="M3589" s="682"/>
      <c r="N3589" s="171"/>
      <c r="O3589" s="171"/>
      <c r="P3589" s="169"/>
      <c r="Q3589" s="171"/>
      <c r="R3589" s="171"/>
      <c r="S3589" s="171"/>
      <c r="T3589" s="171"/>
      <c r="U3589" s="171"/>
      <c r="V3589" s="171"/>
      <c r="W3589" s="171"/>
      <c r="X3589" s="171"/>
      <c r="Y3589" s="171"/>
      <c r="Z3589" s="171"/>
      <c r="AA3589" s="171"/>
    </row>
    <row r="3590" spans="1:27" s="530" customFormat="1" ht="13.5" thickBot="1" x14ac:dyDescent="0.25">
      <c r="A3590" s="464"/>
      <c r="B3590" s="464"/>
      <c r="C3590" s="465"/>
      <c r="D3590" s="464"/>
      <c r="E3590" s="464"/>
      <c r="F3590" s="464"/>
      <c r="G3590" s="565" t="s">
        <v>5205</v>
      </c>
      <c r="H3590" s="432">
        <f>SUM(H3574:H3589)</f>
        <v>2500000</v>
      </c>
      <c r="I3590" s="432">
        <f>SUM(I3574)</f>
        <v>2350440.5299999998</v>
      </c>
      <c r="J3590" s="750">
        <f t="shared" si="40"/>
        <v>94.017621199999994</v>
      </c>
      <c r="K3590" s="430">
        <f>SUM(K3575:K3589)</f>
        <v>0</v>
      </c>
      <c r="L3590" s="430"/>
      <c r="M3590" s="682"/>
      <c r="N3590" s="171"/>
      <c r="O3590" s="171"/>
      <c r="P3590" s="169"/>
      <c r="Q3590" s="171"/>
      <c r="R3590" s="171"/>
      <c r="S3590" s="171"/>
      <c r="T3590" s="171"/>
      <c r="U3590" s="171"/>
      <c r="V3590" s="171"/>
      <c r="W3590" s="171"/>
      <c r="X3590" s="171"/>
      <c r="Y3590" s="171"/>
      <c r="Z3590" s="171"/>
      <c r="AA3590" s="171"/>
    </row>
    <row r="3591" spans="1:27" s="530" customFormat="1" ht="3" customHeight="1" x14ac:dyDescent="0.2">
      <c r="A3591" s="526"/>
      <c r="B3591" s="527"/>
      <c r="C3591" s="465"/>
      <c r="D3591" s="464"/>
      <c r="E3591" s="464"/>
      <c r="F3591" s="464"/>
      <c r="G3591" s="510"/>
      <c r="H3591" s="411"/>
      <c r="I3591" s="411"/>
      <c r="J3591" s="750"/>
      <c r="K3591" s="412"/>
      <c r="L3591" s="412"/>
      <c r="M3591" s="682"/>
      <c r="N3591" s="171"/>
      <c r="O3591" s="171"/>
      <c r="P3591" s="169"/>
      <c r="Q3591" s="171"/>
      <c r="R3591" s="171"/>
      <c r="S3591" s="171"/>
      <c r="T3591" s="171"/>
      <c r="U3591" s="171"/>
      <c r="V3591" s="171"/>
      <c r="W3591" s="171"/>
      <c r="X3591" s="171"/>
      <c r="Y3591" s="171"/>
      <c r="Z3591" s="171"/>
      <c r="AA3591" s="171"/>
    </row>
    <row r="3592" spans="1:27" s="530" customFormat="1" ht="12.75" customHeight="1" x14ac:dyDescent="0.2">
      <c r="A3592" s="526"/>
      <c r="B3592" s="527"/>
      <c r="C3592" s="542" t="s">
        <v>4636</v>
      </c>
      <c r="D3592" s="173"/>
      <c r="E3592" s="173"/>
      <c r="F3592" s="502"/>
      <c r="G3592" s="510" t="s">
        <v>5206</v>
      </c>
      <c r="H3592" s="397"/>
      <c r="I3592" s="397"/>
      <c r="J3592" s="750"/>
      <c r="K3592" s="398"/>
      <c r="L3592" s="398"/>
      <c r="M3592" s="682"/>
      <c r="N3592" s="171"/>
      <c r="O3592" s="171"/>
      <c r="P3592" s="169"/>
      <c r="Q3592" s="171"/>
      <c r="R3592" s="171"/>
      <c r="S3592" s="171"/>
      <c r="T3592" s="171"/>
      <c r="U3592" s="171"/>
      <c r="V3592" s="171"/>
      <c r="W3592" s="171"/>
      <c r="X3592" s="171"/>
      <c r="Y3592" s="171"/>
      <c r="Z3592" s="171"/>
      <c r="AA3592" s="171"/>
    </row>
    <row r="3593" spans="1:27" s="530" customFormat="1" ht="12" customHeight="1" x14ac:dyDescent="0.2">
      <c r="A3593" s="526"/>
      <c r="B3593" s="527"/>
      <c r="C3593" s="489"/>
      <c r="D3593" s="492">
        <v>620</v>
      </c>
      <c r="E3593" s="492"/>
      <c r="F3593" s="492"/>
      <c r="G3593" s="514" t="s">
        <v>182</v>
      </c>
      <c r="H3593" s="397"/>
      <c r="I3593" s="397"/>
      <c r="J3593" s="750"/>
      <c r="K3593" s="398"/>
      <c r="L3593" s="398"/>
      <c r="M3593" s="682"/>
      <c r="N3593" s="171"/>
      <c r="O3593" s="171"/>
      <c r="P3593" s="169"/>
      <c r="Q3593" s="171"/>
      <c r="R3593" s="171"/>
      <c r="S3593" s="171"/>
      <c r="T3593" s="171"/>
      <c r="U3593" s="171"/>
      <c r="V3593" s="171"/>
      <c r="W3593" s="171"/>
      <c r="X3593" s="171"/>
      <c r="Y3593" s="171"/>
      <c r="Z3593" s="171"/>
      <c r="AA3593" s="171"/>
    </row>
    <row r="3594" spans="1:27" s="530" customFormat="1" hidden="1" x14ac:dyDescent="0.2">
      <c r="A3594" s="526"/>
      <c r="B3594" s="527"/>
      <c r="C3594" s="465"/>
      <c r="D3594" s="464"/>
      <c r="E3594" s="464"/>
      <c r="F3594" s="494">
        <v>411</v>
      </c>
      <c r="G3594" s="495" t="s">
        <v>4167</v>
      </c>
      <c r="H3594" s="397"/>
      <c r="I3594" s="397"/>
      <c r="J3594" s="750"/>
      <c r="K3594" s="398"/>
      <c r="L3594" s="398"/>
      <c r="M3594" s="682"/>
      <c r="N3594" s="171"/>
      <c r="O3594" s="171"/>
      <c r="P3594" s="169"/>
      <c r="Q3594" s="171"/>
      <c r="R3594" s="171"/>
      <c r="S3594" s="171"/>
      <c r="T3594" s="171"/>
      <c r="U3594" s="171"/>
      <c r="V3594" s="171"/>
      <c r="W3594" s="171"/>
      <c r="X3594" s="171"/>
      <c r="Y3594" s="171"/>
      <c r="Z3594" s="171"/>
      <c r="AA3594" s="171"/>
    </row>
    <row r="3595" spans="1:27" s="530" customFormat="1" hidden="1" x14ac:dyDescent="0.2">
      <c r="A3595" s="526"/>
      <c r="B3595" s="527"/>
      <c r="C3595" s="465"/>
      <c r="D3595" s="464"/>
      <c r="E3595" s="464"/>
      <c r="F3595" s="494">
        <v>412</v>
      </c>
      <c r="G3595" s="496" t="s">
        <v>3764</v>
      </c>
      <c r="H3595" s="397"/>
      <c r="I3595" s="397"/>
      <c r="J3595" s="750"/>
      <c r="K3595" s="398"/>
      <c r="L3595" s="398"/>
      <c r="M3595" s="682"/>
      <c r="N3595" s="171"/>
      <c r="O3595" s="171"/>
      <c r="P3595" s="169"/>
      <c r="Q3595" s="171"/>
      <c r="R3595" s="171"/>
      <c r="S3595" s="171"/>
      <c r="T3595" s="171"/>
      <c r="U3595" s="171"/>
      <c r="V3595" s="171"/>
      <c r="W3595" s="171"/>
      <c r="X3595" s="171"/>
      <c r="Y3595" s="171"/>
      <c r="Z3595" s="171"/>
      <c r="AA3595" s="171"/>
    </row>
    <row r="3596" spans="1:27" s="530" customFormat="1" hidden="1" x14ac:dyDescent="0.2">
      <c r="A3596" s="526"/>
      <c r="B3596" s="527"/>
      <c r="C3596" s="465"/>
      <c r="D3596" s="464"/>
      <c r="E3596" s="464"/>
      <c r="F3596" s="494">
        <v>413</v>
      </c>
      <c r="G3596" s="495" t="s">
        <v>4168</v>
      </c>
      <c r="H3596" s="397"/>
      <c r="I3596" s="397"/>
      <c r="J3596" s="750"/>
      <c r="K3596" s="398"/>
      <c r="L3596" s="398"/>
      <c r="M3596" s="682"/>
      <c r="N3596" s="171"/>
      <c r="O3596" s="171"/>
      <c r="P3596" s="169"/>
      <c r="Q3596" s="171"/>
      <c r="R3596" s="171"/>
      <c r="S3596" s="171"/>
      <c r="T3596" s="171"/>
      <c r="U3596" s="171"/>
      <c r="V3596" s="171"/>
      <c r="W3596" s="171"/>
      <c r="X3596" s="171"/>
      <c r="Y3596" s="171"/>
      <c r="Z3596" s="171"/>
      <c r="AA3596" s="171"/>
    </row>
    <row r="3597" spans="1:27" s="530" customFormat="1" hidden="1" x14ac:dyDescent="0.2">
      <c r="A3597" s="526"/>
      <c r="B3597" s="527"/>
      <c r="C3597" s="465"/>
      <c r="D3597" s="464"/>
      <c r="E3597" s="464"/>
      <c r="F3597" s="494">
        <v>414</v>
      </c>
      <c r="G3597" s="495" t="s">
        <v>3767</v>
      </c>
      <c r="H3597" s="397"/>
      <c r="I3597" s="397"/>
      <c r="J3597" s="750"/>
      <c r="K3597" s="398"/>
      <c r="L3597" s="398"/>
      <c r="M3597" s="682"/>
      <c r="N3597" s="171"/>
      <c r="O3597" s="171"/>
      <c r="P3597" s="169"/>
      <c r="Q3597" s="171"/>
      <c r="R3597" s="171"/>
      <c r="S3597" s="171"/>
      <c r="T3597" s="171"/>
      <c r="U3597" s="171"/>
      <c r="V3597" s="171"/>
      <c r="W3597" s="171"/>
      <c r="X3597" s="171"/>
      <c r="Y3597" s="171"/>
      <c r="Z3597" s="171"/>
      <c r="AA3597" s="171"/>
    </row>
    <row r="3598" spans="1:27" s="530" customFormat="1" hidden="1" x14ac:dyDescent="0.2">
      <c r="A3598" s="526"/>
      <c r="B3598" s="527"/>
      <c r="C3598" s="465"/>
      <c r="D3598" s="464"/>
      <c r="E3598" s="464"/>
      <c r="F3598" s="494">
        <v>415</v>
      </c>
      <c r="G3598" s="495" t="s">
        <v>4177</v>
      </c>
      <c r="H3598" s="397"/>
      <c r="I3598" s="397"/>
      <c r="J3598" s="750"/>
      <c r="K3598" s="398"/>
      <c r="L3598" s="398"/>
      <c r="M3598" s="682"/>
      <c r="N3598" s="171"/>
      <c r="O3598" s="171"/>
      <c r="P3598" s="169"/>
      <c r="Q3598" s="171"/>
      <c r="R3598" s="171"/>
      <c r="S3598" s="171"/>
      <c r="T3598" s="171"/>
      <c r="U3598" s="171"/>
      <c r="V3598" s="171"/>
      <c r="W3598" s="171"/>
      <c r="X3598" s="171"/>
      <c r="Y3598" s="171"/>
      <c r="Z3598" s="171"/>
      <c r="AA3598" s="171"/>
    </row>
    <row r="3599" spans="1:27" s="530" customFormat="1" ht="25.5" hidden="1" x14ac:dyDescent="0.2">
      <c r="A3599" s="526"/>
      <c r="B3599" s="527"/>
      <c r="C3599" s="465"/>
      <c r="D3599" s="464"/>
      <c r="E3599" s="464"/>
      <c r="F3599" s="494">
        <v>416</v>
      </c>
      <c r="G3599" s="495" t="s">
        <v>4178</v>
      </c>
      <c r="H3599" s="397"/>
      <c r="I3599" s="397"/>
      <c r="J3599" s="750"/>
      <c r="K3599" s="398"/>
      <c r="L3599" s="398"/>
      <c r="M3599" s="682"/>
      <c r="N3599" s="171"/>
      <c r="O3599" s="171"/>
      <c r="P3599" s="169"/>
      <c r="Q3599" s="171"/>
      <c r="R3599" s="171"/>
      <c r="S3599" s="171"/>
      <c r="T3599" s="171"/>
      <c r="U3599" s="171"/>
      <c r="V3599" s="171"/>
      <c r="W3599" s="171"/>
      <c r="X3599" s="171"/>
      <c r="Y3599" s="171"/>
      <c r="Z3599" s="171"/>
      <c r="AA3599" s="171"/>
    </row>
    <row r="3600" spans="1:27" s="530" customFormat="1" hidden="1" x14ac:dyDescent="0.2">
      <c r="A3600" s="526"/>
      <c r="B3600" s="527"/>
      <c r="C3600" s="465"/>
      <c r="D3600" s="464"/>
      <c r="E3600" s="464"/>
      <c r="F3600" s="494">
        <v>417</v>
      </c>
      <c r="G3600" s="495" t="s">
        <v>4179</v>
      </c>
      <c r="H3600" s="397"/>
      <c r="I3600" s="397"/>
      <c r="J3600" s="750"/>
      <c r="K3600" s="398"/>
      <c r="L3600" s="398"/>
      <c r="M3600" s="682"/>
      <c r="N3600" s="171"/>
      <c r="O3600" s="171"/>
      <c r="P3600" s="169"/>
      <c r="Q3600" s="171"/>
      <c r="R3600" s="171"/>
      <c r="S3600" s="171"/>
      <c r="T3600" s="171"/>
      <c r="U3600" s="171"/>
      <c r="V3600" s="171"/>
      <c r="W3600" s="171"/>
      <c r="X3600" s="171"/>
      <c r="Y3600" s="171"/>
      <c r="Z3600" s="171"/>
      <c r="AA3600" s="171"/>
    </row>
    <row r="3601" spans="1:27" s="530" customFormat="1" hidden="1" x14ac:dyDescent="0.2">
      <c r="A3601" s="526"/>
      <c r="B3601" s="527"/>
      <c r="C3601" s="465"/>
      <c r="D3601" s="464"/>
      <c r="E3601" s="464"/>
      <c r="F3601" s="494">
        <v>418</v>
      </c>
      <c r="G3601" s="495" t="s">
        <v>3773</v>
      </c>
      <c r="H3601" s="397"/>
      <c r="I3601" s="397"/>
      <c r="J3601" s="750"/>
      <c r="K3601" s="398"/>
      <c r="L3601" s="398"/>
      <c r="M3601" s="682"/>
      <c r="N3601" s="171"/>
      <c r="O3601" s="171"/>
      <c r="P3601" s="169"/>
      <c r="Q3601" s="171"/>
      <c r="R3601" s="171"/>
      <c r="S3601" s="171"/>
      <c r="T3601" s="171"/>
      <c r="U3601" s="171"/>
      <c r="V3601" s="171"/>
      <c r="W3601" s="171"/>
      <c r="X3601" s="171"/>
      <c r="Y3601" s="171"/>
      <c r="Z3601" s="171"/>
      <c r="AA3601" s="171"/>
    </row>
    <row r="3602" spans="1:27" s="530" customFormat="1" hidden="1" x14ac:dyDescent="0.2">
      <c r="A3602" s="526"/>
      <c r="B3602" s="527"/>
      <c r="C3602" s="465"/>
      <c r="D3602" s="464"/>
      <c r="E3602" s="464"/>
      <c r="F3602" s="494">
        <v>421</v>
      </c>
      <c r="G3602" s="495" t="s">
        <v>3777</v>
      </c>
      <c r="H3602" s="397"/>
      <c r="I3602" s="397"/>
      <c r="J3602" s="750"/>
      <c r="K3602" s="398"/>
      <c r="L3602" s="398"/>
      <c r="M3602" s="682"/>
      <c r="N3602" s="171"/>
      <c r="O3602" s="171"/>
      <c r="P3602" s="169"/>
      <c r="Q3602" s="171"/>
      <c r="R3602" s="171"/>
      <c r="S3602" s="171"/>
      <c r="T3602" s="171"/>
      <c r="U3602" s="171"/>
      <c r="V3602" s="171"/>
      <c r="W3602" s="171"/>
      <c r="X3602" s="171"/>
      <c r="Y3602" s="171"/>
      <c r="Z3602" s="171"/>
      <c r="AA3602" s="171"/>
    </row>
    <row r="3603" spans="1:27" s="530" customFormat="1" hidden="1" x14ac:dyDescent="0.2">
      <c r="A3603" s="526"/>
      <c r="B3603" s="527"/>
      <c r="C3603" s="465"/>
      <c r="D3603" s="464"/>
      <c r="E3603" s="464"/>
      <c r="F3603" s="494">
        <v>422</v>
      </c>
      <c r="G3603" s="495" t="s">
        <v>3778</v>
      </c>
      <c r="H3603" s="397"/>
      <c r="I3603" s="397"/>
      <c r="J3603" s="750"/>
      <c r="K3603" s="398"/>
      <c r="L3603" s="398"/>
      <c r="M3603" s="682"/>
      <c r="N3603" s="171"/>
      <c r="O3603" s="171"/>
      <c r="P3603" s="169"/>
      <c r="Q3603" s="171"/>
      <c r="R3603" s="171"/>
      <c r="S3603" s="171"/>
      <c r="T3603" s="171"/>
      <c r="U3603" s="171"/>
      <c r="V3603" s="171"/>
      <c r="W3603" s="171"/>
      <c r="X3603" s="171"/>
      <c r="Y3603" s="171"/>
      <c r="Z3603" s="171"/>
      <c r="AA3603" s="171"/>
    </row>
    <row r="3604" spans="1:27" s="530" customFormat="1" hidden="1" x14ac:dyDescent="0.2">
      <c r="A3604" s="526"/>
      <c r="B3604" s="527"/>
      <c r="C3604" s="465"/>
      <c r="D3604" s="464"/>
      <c r="E3604" s="464"/>
      <c r="F3604" s="494">
        <v>423</v>
      </c>
      <c r="G3604" s="495" t="s">
        <v>3779</v>
      </c>
      <c r="H3604" s="397"/>
      <c r="I3604" s="397"/>
      <c r="J3604" s="750"/>
      <c r="K3604" s="398"/>
      <c r="L3604" s="398"/>
      <c r="M3604" s="682"/>
      <c r="N3604" s="171"/>
      <c r="O3604" s="171"/>
      <c r="P3604" s="169"/>
      <c r="Q3604" s="171"/>
      <c r="R3604" s="171"/>
      <c r="S3604" s="171"/>
      <c r="T3604" s="171"/>
      <c r="U3604" s="171"/>
      <c r="V3604" s="171"/>
      <c r="W3604" s="171"/>
      <c r="X3604" s="171"/>
      <c r="Y3604" s="171"/>
      <c r="Z3604" s="171"/>
      <c r="AA3604" s="171"/>
    </row>
    <row r="3605" spans="1:27" s="530" customFormat="1" hidden="1" x14ac:dyDescent="0.2">
      <c r="A3605" s="526"/>
      <c r="B3605" s="527"/>
      <c r="C3605" s="465"/>
      <c r="D3605" s="464"/>
      <c r="E3605" s="464"/>
      <c r="F3605" s="494">
        <v>424</v>
      </c>
      <c r="G3605" s="495" t="s">
        <v>3781</v>
      </c>
      <c r="H3605" s="397"/>
      <c r="I3605" s="397"/>
      <c r="J3605" s="750"/>
      <c r="K3605" s="398"/>
      <c r="L3605" s="398"/>
      <c r="M3605" s="682"/>
      <c r="N3605" s="171"/>
      <c r="O3605" s="171"/>
      <c r="P3605" s="169"/>
      <c r="Q3605" s="171"/>
      <c r="R3605" s="171"/>
      <c r="S3605" s="171"/>
      <c r="T3605" s="171"/>
      <c r="U3605" s="171"/>
      <c r="V3605" s="171"/>
      <c r="W3605" s="171"/>
      <c r="X3605" s="171"/>
      <c r="Y3605" s="171"/>
      <c r="Z3605" s="171"/>
      <c r="AA3605" s="171"/>
    </row>
    <row r="3606" spans="1:27" s="530" customFormat="1" hidden="1" x14ac:dyDescent="0.2">
      <c r="A3606" s="526"/>
      <c r="B3606" s="527"/>
      <c r="C3606" s="465"/>
      <c r="D3606" s="464"/>
      <c r="E3606" s="464"/>
      <c r="F3606" s="494">
        <v>425</v>
      </c>
      <c r="G3606" s="495" t="s">
        <v>4180</v>
      </c>
      <c r="H3606" s="397"/>
      <c r="I3606" s="397"/>
      <c r="J3606" s="750"/>
      <c r="K3606" s="398"/>
      <c r="L3606" s="398"/>
      <c r="M3606" s="682"/>
      <c r="N3606" s="171"/>
      <c r="O3606" s="171"/>
      <c r="P3606" s="169"/>
      <c r="Q3606" s="171"/>
      <c r="R3606" s="171"/>
      <c r="S3606" s="171"/>
      <c r="T3606" s="171"/>
      <c r="U3606" s="171"/>
      <c r="V3606" s="171"/>
      <c r="W3606" s="171"/>
      <c r="X3606" s="171"/>
      <c r="Y3606" s="171"/>
      <c r="Z3606" s="171"/>
      <c r="AA3606" s="171"/>
    </row>
    <row r="3607" spans="1:27" s="530" customFormat="1" hidden="1" x14ac:dyDescent="0.2">
      <c r="A3607" s="526"/>
      <c r="B3607" s="527"/>
      <c r="C3607" s="465"/>
      <c r="D3607" s="464"/>
      <c r="E3607" s="464"/>
      <c r="F3607" s="494">
        <v>426</v>
      </c>
      <c r="G3607" s="495" t="s">
        <v>3785</v>
      </c>
      <c r="H3607" s="397"/>
      <c r="I3607" s="397"/>
      <c r="J3607" s="750"/>
      <c r="K3607" s="398"/>
      <c r="L3607" s="398"/>
      <c r="M3607" s="682"/>
      <c r="N3607" s="171"/>
      <c r="O3607" s="171"/>
      <c r="P3607" s="169"/>
      <c r="Q3607" s="171"/>
      <c r="R3607" s="171"/>
      <c r="S3607" s="171"/>
      <c r="T3607" s="171"/>
      <c r="U3607" s="171"/>
      <c r="V3607" s="171"/>
      <c r="W3607" s="171"/>
      <c r="X3607" s="171"/>
      <c r="Y3607" s="171"/>
      <c r="Z3607" s="171"/>
      <c r="AA3607" s="171"/>
    </row>
    <row r="3608" spans="1:27" s="530" customFormat="1" hidden="1" x14ac:dyDescent="0.2">
      <c r="A3608" s="526"/>
      <c r="B3608" s="527"/>
      <c r="C3608" s="465"/>
      <c r="D3608" s="464"/>
      <c r="E3608" s="464"/>
      <c r="F3608" s="494">
        <v>431</v>
      </c>
      <c r="G3608" s="495" t="s">
        <v>4181</v>
      </c>
      <c r="H3608" s="397"/>
      <c r="I3608" s="397"/>
      <c r="J3608" s="750"/>
      <c r="K3608" s="398"/>
      <c r="L3608" s="398"/>
      <c r="M3608" s="682"/>
      <c r="N3608" s="171"/>
      <c r="O3608" s="171"/>
      <c r="P3608" s="169"/>
      <c r="Q3608" s="171"/>
      <c r="R3608" s="171"/>
      <c r="S3608" s="171"/>
      <c r="T3608" s="171"/>
      <c r="U3608" s="171"/>
      <c r="V3608" s="171"/>
      <c r="W3608" s="171"/>
      <c r="X3608" s="171"/>
      <c r="Y3608" s="171"/>
      <c r="Z3608" s="171"/>
      <c r="AA3608" s="171"/>
    </row>
    <row r="3609" spans="1:27" s="530" customFormat="1" hidden="1" x14ac:dyDescent="0.2">
      <c r="A3609" s="526"/>
      <c r="B3609" s="527"/>
      <c r="C3609" s="465"/>
      <c r="D3609" s="464"/>
      <c r="E3609" s="464"/>
      <c r="F3609" s="494">
        <v>432</v>
      </c>
      <c r="G3609" s="495" t="s">
        <v>4182</v>
      </c>
      <c r="H3609" s="397"/>
      <c r="I3609" s="397"/>
      <c r="J3609" s="750"/>
      <c r="K3609" s="398"/>
      <c r="L3609" s="398"/>
      <c r="M3609" s="682"/>
      <c r="N3609" s="171"/>
      <c r="O3609" s="171"/>
      <c r="P3609" s="169"/>
      <c r="Q3609" s="171"/>
      <c r="R3609" s="171"/>
      <c r="S3609" s="171"/>
      <c r="T3609" s="171"/>
      <c r="U3609" s="171"/>
      <c r="V3609" s="171"/>
      <c r="W3609" s="171"/>
      <c r="X3609" s="171"/>
      <c r="Y3609" s="171"/>
      <c r="Z3609" s="171"/>
      <c r="AA3609" s="171"/>
    </row>
    <row r="3610" spans="1:27" s="530" customFormat="1" hidden="1" x14ac:dyDescent="0.2">
      <c r="A3610" s="526"/>
      <c r="B3610" s="527"/>
      <c r="C3610" s="465"/>
      <c r="D3610" s="464"/>
      <c r="E3610" s="464"/>
      <c r="F3610" s="494">
        <v>433</v>
      </c>
      <c r="G3610" s="495" t="s">
        <v>4183</v>
      </c>
      <c r="H3610" s="397"/>
      <c r="I3610" s="397"/>
      <c r="J3610" s="750"/>
      <c r="K3610" s="398"/>
      <c r="L3610" s="398"/>
      <c r="M3610" s="682"/>
      <c r="N3610" s="171"/>
      <c r="O3610" s="171"/>
      <c r="P3610" s="169"/>
      <c r="Q3610" s="171"/>
      <c r="R3610" s="171"/>
      <c r="S3610" s="171"/>
      <c r="T3610" s="171"/>
      <c r="U3610" s="171"/>
      <c r="V3610" s="171"/>
      <c r="W3610" s="171"/>
      <c r="X3610" s="171"/>
      <c r="Y3610" s="171"/>
      <c r="Z3610" s="171"/>
      <c r="AA3610" s="171"/>
    </row>
    <row r="3611" spans="1:27" s="530" customFormat="1" hidden="1" x14ac:dyDescent="0.2">
      <c r="A3611" s="526"/>
      <c r="B3611" s="527"/>
      <c r="C3611" s="465"/>
      <c r="D3611" s="464"/>
      <c r="E3611" s="464"/>
      <c r="F3611" s="494">
        <v>434</v>
      </c>
      <c r="G3611" s="495" t="s">
        <v>4184</v>
      </c>
      <c r="H3611" s="397"/>
      <c r="I3611" s="397"/>
      <c r="J3611" s="750"/>
      <c r="K3611" s="398"/>
      <c r="L3611" s="398"/>
      <c r="M3611" s="682"/>
      <c r="N3611" s="171"/>
      <c r="O3611" s="171"/>
      <c r="P3611" s="169"/>
      <c r="Q3611" s="171"/>
      <c r="R3611" s="171"/>
      <c r="S3611" s="171"/>
      <c r="T3611" s="171"/>
      <c r="U3611" s="171"/>
      <c r="V3611" s="171"/>
      <c r="W3611" s="171"/>
      <c r="X3611" s="171"/>
      <c r="Y3611" s="171"/>
      <c r="Z3611" s="171"/>
      <c r="AA3611" s="171"/>
    </row>
    <row r="3612" spans="1:27" s="530" customFormat="1" hidden="1" x14ac:dyDescent="0.2">
      <c r="A3612" s="526"/>
      <c r="B3612" s="527"/>
      <c r="C3612" s="465"/>
      <c r="D3612" s="464"/>
      <c r="E3612" s="464"/>
      <c r="F3612" s="494">
        <v>435</v>
      </c>
      <c r="G3612" s="495" t="s">
        <v>3792</v>
      </c>
      <c r="H3612" s="397"/>
      <c r="I3612" s="397"/>
      <c r="J3612" s="750"/>
      <c r="K3612" s="398"/>
      <c r="L3612" s="398"/>
      <c r="M3612" s="682"/>
      <c r="N3612" s="171"/>
      <c r="O3612" s="171"/>
      <c r="P3612" s="169"/>
      <c r="Q3612" s="171"/>
      <c r="R3612" s="171"/>
      <c r="S3612" s="171"/>
      <c r="T3612" s="171"/>
      <c r="U3612" s="171"/>
      <c r="V3612" s="171"/>
      <c r="W3612" s="171"/>
      <c r="X3612" s="171"/>
      <c r="Y3612" s="171"/>
      <c r="Z3612" s="171"/>
      <c r="AA3612" s="171"/>
    </row>
    <row r="3613" spans="1:27" s="530" customFormat="1" hidden="1" x14ac:dyDescent="0.2">
      <c r="A3613" s="526"/>
      <c r="B3613" s="527"/>
      <c r="C3613" s="465"/>
      <c r="D3613" s="464"/>
      <c r="E3613" s="464"/>
      <c r="F3613" s="494">
        <v>441</v>
      </c>
      <c r="G3613" s="495" t="s">
        <v>4185</v>
      </c>
      <c r="H3613" s="397"/>
      <c r="I3613" s="397"/>
      <c r="J3613" s="750"/>
      <c r="K3613" s="398"/>
      <c r="L3613" s="398"/>
      <c r="M3613" s="682"/>
      <c r="N3613" s="171"/>
      <c r="O3613" s="171"/>
      <c r="P3613" s="169"/>
      <c r="Q3613" s="171"/>
      <c r="R3613" s="171"/>
      <c r="S3613" s="171"/>
      <c r="T3613" s="171"/>
      <c r="U3613" s="171"/>
      <c r="V3613" s="171"/>
      <c r="W3613" s="171"/>
      <c r="X3613" s="171"/>
      <c r="Y3613" s="171"/>
      <c r="Z3613" s="171"/>
      <c r="AA3613" s="171"/>
    </row>
    <row r="3614" spans="1:27" s="530" customFormat="1" hidden="1" x14ac:dyDescent="0.2">
      <c r="A3614" s="526"/>
      <c r="B3614" s="527"/>
      <c r="C3614" s="465"/>
      <c r="D3614" s="464"/>
      <c r="E3614" s="464"/>
      <c r="F3614" s="494">
        <v>442</v>
      </c>
      <c r="G3614" s="495" t="s">
        <v>4186</v>
      </c>
      <c r="H3614" s="397"/>
      <c r="I3614" s="397"/>
      <c r="J3614" s="750"/>
      <c r="K3614" s="398"/>
      <c r="L3614" s="398"/>
      <c r="M3614" s="682"/>
      <c r="N3614" s="171"/>
      <c r="O3614" s="171"/>
      <c r="P3614" s="169"/>
      <c r="Q3614" s="171"/>
      <c r="R3614" s="171"/>
      <c r="S3614" s="171"/>
      <c r="T3614" s="171"/>
      <c r="U3614" s="171"/>
      <c r="V3614" s="171"/>
      <c r="W3614" s="171"/>
      <c r="X3614" s="171"/>
      <c r="Y3614" s="171"/>
      <c r="Z3614" s="171"/>
      <c r="AA3614" s="171"/>
    </row>
    <row r="3615" spans="1:27" s="530" customFormat="1" hidden="1" x14ac:dyDescent="0.2">
      <c r="A3615" s="526"/>
      <c r="B3615" s="527"/>
      <c r="C3615" s="465"/>
      <c r="D3615" s="464"/>
      <c r="E3615" s="464"/>
      <c r="F3615" s="494">
        <v>443</v>
      </c>
      <c r="G3615" s="495" t="s">
        <v>3797</v>
      </c>
      <c r="H3615" s="397"/>
      <c r="I3615" s="397"/>
      <c r="J3615" s="750"/>
      <c r="K3615" s="398"/>
      <c r="L3615" s="398"/>
      <c r="M3615" s="682"/>
      <c r="N3615" s="171"/>
      <c r="O3615" s="171"/>
      <c r="P3615" s="169"/>
      <c r="Q3615" s="171"/>
      <c r="R3615" s="171"/>
      <c r="S3615" s="171"/>
      <c r="T3615" s="171"/>
      <c r="U3615" s="171"/>
      <c r="V3615" s="171"/>
      <c r="W3615" s="171"/>
      <c r="X3615" s="171"/>
      <c r="Y3615" s="171"/>
      <c r="Z3615" s="171"/>
      <c r="AA3615" s="171"/>
    </row>
    <row r="3616" spans="1:27" s="530" customFormat="1" hidden="1" x14ac:dyDescent="0.2">
      <c r="A3616" s="526"/>
      <c r="B3616" s="527"/>
      <c r="C3616" s="465"/>
      <c r="D3616" s="464"/>
      <c r="E3616" s="464"/>
      <c r="F3616" s="494">
        <v>444</v>
      </c>
      <c r="G3616" s="495" t="s">
        <v>3798</v>
      </c>
      <c r="H3616" s="397"/>
      <c r="I3616" s="397"/>
      <c r="J3616" s="750"/>
      <c r="K3616" s="398"/>
      <c r="L3616" s="398"/>
      <c r="M3616" s="682"/>
      <c r="N3616" s="171"/>
      <c r="O3616" s="171"/>
      <c r="P3616" s="169"/>
      <c r="Q3616" s="171"/>
      <c r="R3616" s="171"/>
      <c r="S3616" s="171"/>
      <c r="T3616" s="171"/>
      <c r="U3616" s="171"/>
      <c r="V3616" s="171"/>
      <c r="W3616" s="171"/>
      <c r="X3616" s="171"/>
      <c r="Y3616" s="171"/>
      <c r="Z3616" s="171"/>
      <c r="AA3616" s="171"/>
    </row>
    <row r="3617" spans="1:27" s="530" customFormat="1" ht="25.5" hidden="1" x14ac:dyDescent="0.2">
      <c r="A3617" s="526"/>
      <c r="B3617" s="527"/>
      <c r="C3617" s="465"/>
      <c r="D3617" s="464"/>
      <c r="E3617" s="464"/>
      <c r="F3617" s="494">
        <v>4511</v>
      </c>
      <c r="G3617" s="466" t="s">
        <v>1692</v>
      </c>
      <c r="H3617" s="397"/>
      <c r="I3617" s="397"/>
      <c r="J3617" s="750"/>
      <c r="K3617" s="398"/>
      <c r="L3617" s="398"/>
      <c r="M3617" s="682"/>
      <c r="N3617" s="171"/>
      <c r="O3617" s="171"/>
      <c r="P3617" s="169"/>
      <c r="Q3617" s="171"/>
      <c r="R3617" s="171"/>
      <c r="S3617" s="171"/>
      <c r="T3617" s="171"/>
      <c r="U3617" s="171"/>
      <c r="V3617" s="171"/>
      <c r="W3617" s="171"/>
      <c r="X3617" s="171"/>
      <c r="Y3617" s="171"/>
      <c r="Z3617" s="171"/>
      <c r="AA3617" s="171"/>
    </row>
    <row r="3618" spans="1:27" s="530" customFormat="1" ht="25.5" hidden="1" x14ac:dyDescent="0.2">
      <c r="A3618" s="526"/>
      <c r="B3618" s="527"/>
      <c r="C3618" s="465"/>
      <c r="D3618" s="464"/>
      <c r="E3618" s="464"/>
      <c r="F3618" s="494">
        <v>4512</v>
      </c>
      <c r="G3618" s="466" t="s">
        <v>1701</v>
      </c>
      <c r="H3618" s="397"/>
      <c r="I3618" s="397"/>
      <c r="J3618" s="750"/>
      <c r="K3618" s="398"/>
      <c r="L3618" s="398"/>
      <c r="M3618" s="682"/>
      <c r="N3618" s="171"/>
      <c r="O3618" s="171"/>
      <c r="P3618" s="169"/>
      <c r="Q3618" s="171"/>
      <c r="R3618" s="171"/>
      <c r="S3618" s="171"/>
      <c r="T3618" s="171"/>
      <c r="U3618" s="171"/>
      <c r="V3618" s="171"/>
      <c r="W3618" s="171"/>
      <c r="X3618" s="171"/>
      <c r="Y3618" s="171"/>
      <c r="Z3618" s="171"/>
      <c r="AA3618" s="171"/>
    </row>
    <row r="3619" spans="1:27" s="530" customFormat="1" ht="25.5" hidden="1" x14ac:dyDescent="0.2">
      <c r="A3619" s="526"/>
      <c r="B3619" s="527"/>
      <c r="C3619" s="465"/>
      <c r="D3619" s="464"/>
      <c r="E3619" s="464"/>
      <c r="F3619" s="494">
        <v>452</v>
      </c>
      <c r="G3619" s="495" t="s">
        <v>4187</v>
      </c>
      <c r="H3619" s="397"/>
      <c r="I3619" s="397"/>
      <c r="J3619" s="750"/>
      <c r="K3619" s="398"/>
      <c r="L3619" s="398"/>
      <c r="M3619" s="682"/>
      <c r="N3619" s="171"/>
      <c r="O3619" s="171"/>
      <c r="P3619" s="169"/>
      <c r="Q3619" s="171"/>
      <c r="R3619" s="171"/>
      <c r="S3619" s="171"/>
      <c r="T3619" s="171"/>
      <c r="U3619" s="171"/>
      <c r="V3619" s="171"/>
      <c r="W3619" s="171"/>
      <c r="X3619" s="171"/>
      <c r="Y3619" s="171"/>
      <c r="Z3619" s="171"/>
      <c r="AA3619" s="171"/>
    </row>
    <row r="3620" spans="1:27" s="530" customFormat="1" ht="25.5" hidden="1" x14ac:dyDescent="0.2">
      <c r="A3620" s="526"/>
      <c r="B3620" s="527"/>
      <c r="C3620" s="465"/>
      <c r="D3620" s="464"/>
      <c r="E3620" s="464"/>
      <c r="F3620" s="494">
        <v>453</v>
      </c>
      <c r="G3620" s="495" t="s">
        <v>4188</v>
      </c>
      <c r="H3620" s="397"/>
      <c r="I3620" s="397"/>
      <c r="J3620" s="750"/>
      <c r="K3620" s="398"/>
      <c r="L3620" s="398"/>
      <c r="M3620" s="682"/>
      <c r="N3620" s="171"/>
      <c r="O3620" s="171"/>
      <c r="P3620" s="169"/>
      <c r="Q3620" s="171"/>
      <c r="R3620" s="171"/>
      <c r="S3620" s="171"/>
      <c r="T3620" s="171"/>
      <c r="U3620" s="171"/>
      <c r="V3620" s="171"/>
      <c r="W3620" s="171"/>
      <c r="X3620" s="171"/>
      <c r="Y3620" s="171"/>
      <c r="Z3620" s="171"/>
      <c r="AA3620" s="171"/>
    </row>
    <row r="3621" spans="1:27" s="530" customFormat="1" hidden="1" x14ac:dyDescent="0.2">
      <c r="A3621" s="526"/>
      <c r="B3621" s="527"/>
      <c r="C3621" s="465"/>
      <c r="D3621" s="464"/>
      <c r="E3621" s="464"/>
      <c r="F3621" s="494">
        <v>454</v>
      </c>
      <c r="G3621" s="495" t="s">
        <v>3803</v>
      </c>
      <c r="H3621" s="397"/>
      <c r="I3621" s="397"/>
      <c r="J3621" s="750"/>
      <c r="K3621" s="398"/>
      <c r="L3621" s="398"/>
      <c r="M3621" s="682"/>
      <c r="N3621" s="171"/>
      <c r="O3621" s="171"/>
      <c r="P3621" s="169"/>
      <c r="Q3621" s="171"/>
      <c r="R3621" s="171"/>
      <c r="S3621" s="171"/>
      <c r="T3621" s="171"/>
      <c r="U3621" s="171"/>
      <c r="V3621" s="171"/>
      <c r="W3621" s="171"/>
      <c r="X3621" s="171"/>
      <c r="Y3621" s="171"/>
      <c r="Z3621" s="171"/>
      <c r="AA3621" s="171"/>
    </row>
    <row r="3622" spans="1:27" s="530" customFormat="1" hidden="1" x14ac:dyDescent="0.2">
      <c r="A3622" s="526"/>
      <c r="B3622" s="527"/>
      <c r="C3622" s="465"/>
      <c r="D3622" s="464"/>
      <c r="E3622" s="464"/>
      <c r="F3622" s="494">
        <v>461</v>
      </c>
      <c r="G3622" s="495" t="s">
        <v>4169</v>
      </c>
      <c r="H3622" s="397"/>
      <c r="I3622" s="397"/>
      <c r="J3622" s="750"/>
      <c r="K3622" s="398"/>
      <c r="L3622" s="398"/>
      <c r="M3622" s="682"/>
      <c r="N3622" s="171"/>
      <c r="O3622" s="171"/>
      <c r="P3622" s="169"/>
      <c r="Q3622" s="171"/>
      <c r="R3622" s="171"/>
      <c r="S3622" s="171"/>
      <c r="T3622" s="171"/>
      <c r="U3622" s="171"/>
      <c r="V3622" s="171"/>
      <c r="W3622" s="171"/>
      <c r="X3622" s="171"/>
      <c r="Y3622" s="171"/>
      <c r="Z3622" s="171"/>
      <c r="AA3622" s="171"/>
    </row>
    <row r="3623" spans="1:27" s="530" customFormat="1" ht="25.5" hidden="1" x14ac:dyDescent="0.2">
      <c r="A3623" s="526"/>
      <c r="B3623" s="527"/>
      <c r="C3623" s="465"/>
      <c r="D3623" s="464"/>
      <c r="E3623" s="464"/>
      <c r="F3623" s="494">
        <v>462</v>
      </c>
      <c r="G3623" s="495" t="s">
        <v>3806</v>
      </c>
      <c r="H3623" s="397"/>
      <c r="I3623" s="397"/>
      <c r="J3623" s="750"/>
      <c r="K3623" s="398"/>
      <c r="L3623" s="398"/>
      <c r="M3623" s="682"/>
      <c r="N3623" s="171"/>
      <c r="O3623" s="171"/>
      <c r="P3623" s="169"/>
      <c r="Q3623" s="171"/>
      <c r="R3623" s="171"/>
      <c r="S3623" s="171"/>
      <c r="T3623" s="171"/>
      <c r="U3623" s="171"/>
      <c r="V3623" s="171"/>
      <c r="W3623" s="171"/>
      <c r="X3623" s="171"/>
      <c r="Y3623" s="171"/>
      <c r="Z3623" s="171"/>
      <c r="AA3623" s="171"/>
    </row>
    <row r="3624" spans="1:27" s="530" customFormat="1" hidden="1" x14ac:dyDescent="0.2">
      <c r="A3624" s="526"/>
      <c r="B3624" s="527"/>
      <c r="C3624" s="465"/>
      <c r="D3624" s="464"/>
      <c r="E3624" s="464"/>
      <c r="F3624" s="494">
        <v>4631</v>
      </c>
      <c r="G3624" s="495" t="s">
        <v>3807</v>
      </c>
      <c r="H3624" s="397"/>
      <c r="I3624" s="397"/>
      <c r="J3624" s="750"/>
      <c r="K3624" s="398"/>
      <c r="L3624" s="398"/>
      <c r="M3624" s="682"/>
      <c r="N3624" s="171"/>
      <c r="O3624" s="171"/>
      <c r="P3624" s="169"/>
      <c r="Q3624" s="171"/>
      <c r="R3624" s="171"/>
      <c r="S3624" s="171"/>
      <c r="T3624" s="171"/>
      <c r="U3624" s="171"/>
      <c r="V3624" s="171"/>
      <c r="W3624" s="171"/>
      <c r="X3624" s="171"/>
      <c r="Y3624" s="171"/>
      <c r="Z3624" s="171"/>
      <c r="AA3624" s="171"/>
    </row>
    <row r="3625" spans="1:27" s="530" customFormat="1" hidden="1" x14ac:dyDescent="0.2">
      <c r="A3625" s="526"/>
      <c r="B3625" s="527"/>
      <c r="C3625" s="465"/>
      <c r="D3625" s="464"/>
      <c r="E3625" s="464"/>
      <c r="F3625" s="494">
        <v>4632</v>
      </c>
      <c r="G3625" s="495" t="s">
        <v>3808</v>
      </c>
      <c r="H3625" s="397"/>
      <c r="I3625" s="397"/>
      <c r="J3625" s="750"/>
      <c r="K3625" s="398"/>
      <c r="L3625" s="398"/>
      <c r="M3625" s="682"/>
      <c r="N3625" s="171"/>
      <c r="O3625" s="171"/>
      <c r="P3625" s="169"/>
      <c r="Q3625" s="171"/>
      <c r="R3625" s="171"/>
      <c r="S3625" s="171"/>
      <c r="T3625" s="171"/>
      <c r="U3625" s="171"/>
      <c r="V3625" s="171"/>
      <c r="W3625" s="171"/>
      <c r="X3625" s="171"/>
      <c r="Y3625" s="171"/>
      <c r="Z3625" s="171"/>
      <c r="AA3625" s="171"/>
    </row>
    <row r="3626" spans="1:27" s="530" customFormat="1" ht="25.5" hidden="1" x14ac:dyDescent="0.2">
      <c r="A3626" s="526"/>
      <c r="B3626" s="527"/>
      <c r="C3626" s="465"/>
      <c r="D3626" s="464"/>
      <c r="E3626" s="464"/>
      <c r="F3626" s="494">
        <v>464</v>
      </c>
      <c r="G3626" s="495" t="s">
        <v>3809</v>
      </c>
      <c r="H3626" s="397"/>
      <c r="I3626" s="397"/>
      <c r="J3626" s="750"/>
      <c r="K3626" s="398"/>
      <c r="L3626" s="398"/>
      <c r="M3626" s="682"/>
      <c r="N3626" s="171"/>
      <c r="O3626" s="171"/>
      <c r="P3626" s="169"/>
      <c r="Q3626" s="171"/>
      <c r="R3626" s="171"/>
      <c r="S3626" s="171"/>
      <c r="T3626" s="171"/>
      <c r="U3626" s="171"/>
      <c r="V3626" s="171"/>
      <c r="W3626" s="171"/>
      <c r="X3626" s="171"/>
      <c r="Y3626" s="171"/>
      <c r="Z3626" s="171"/>
      <c r="AA3626" s="171"/>
    </row>
    <row r="3627" spans="1:27" s="530" customFormat="1" hidden="1" x14ac:dyDescent="0.2">
      <c r="A3627" s="526"/>
      <c r="B3627" s="527"/>
      <c r="C3627" s="465"/>
      <c r="D3627" s="464"/>
      <c r="E3627" s="464"/>
      <c r="F3627" s="494">
        <v>465</v>
      </c>
      <c r="G3627" s="495" t="s">
        <v>4170</v>
      </c>
      <c r="H3627" s="397"/>
      <c r="I3627" s="397"/>
      <c r="J3627" s="750"/>
      <c r="K3627" s="398"/>
      <c r="L3627" s="398"/>
      <c r="M3627" s="682"/>
      <c r="N3627" s="171"/>
      <c r="O3627" s="171"/>
      <c r="P3627" s="169"/>
      <c r="Q3627" s="171"/>
      <c r="R3627" s="171"/>
      <c r="S3627" s="171"/>
      <c r="T3627" s="171"/>
      <c r="U3627" s="171"/>
      <c r="V3627" s="171"/>
      <c r="W3627" s="171"/>
      <c r="X3627" s="171"/>
      <c r="Y3627" s="171"/>
      <c r="Z3627" s="171"/>
      <c r="AA3627" s="171"/>
    </row>
    <row r="3628" spans="1:27" s="530" customFormat="1" hidden="1" x14ac:dyDescent="0.2">
      <c r="A3628" s="526"/>
      <c r="B3628" s="527"/>
      <c r="C3628" s="465"/>
      <c r="D3628" s="464"/>
      <c r="E3628" s="464"/>
      <c r="F3628" s="494">
        <v>472</v>
      </c>
      <c r="G3628" s="495" t="s">
        <v>3813</v>
      </c>
      <c r="H3628" s="397"/>
      <c r="I3628" s="397"/>
      <c r="J3628" s="750"/>
      <c r="K3628" s="398"/>
      <c r="L3628" s="398"/>
      <c r="M3628" s="682"/>
      <c r="N3628" s="171"/>
      <c r="O3628" s="171"/>
      <c r="P3628" s="169"/>
      <c r="Q3628" s="171"/>
      <c r="R3628" s="171"/>
      <c r="S3628" s="171"/>
      <c r="T3628" s="171"/>
      <c r="U3628" s="171"/>
      <c r="V3628" s="171"/>
      <c r="W3628" s="171"/>
      <c r="X3628" s="171"/>
      <c r="Y3628" s="171"/>
      <c r="Z3628" s="171"/>
      <c r="AA3628" s="171"/>
    </row>
    <row r="3629" spans="1:27" s="530" customFormat="1" hidden="1" x14ac:dyDescent="0.2">
      <c r="A3629" s="526"/>
      <c r="B3629" s="527"/>
      <c r="C3629" s="465"/>
      <c r="D3629" s="464"/>
      <c r="E3629" s="464"/>
      <c r="F3629" s="494">
        <v>481</v>
      </c>
      <c r="G3629" s="495" t="s">
        <v>4189</v>
      </c>
      <c r="H3629" s="397"/>
      <c r="I3629" s="397"/>
      <c r="J3629" s="750"/>
      <c r="K3629" s="398"/>
      <c r="L3629" s="398"/>
      <c r="M3629" s="682"/>
      <c r="N3629" s="171"/>
      <c r="O3629" s="171"/>
      <c r="P3629" s="169"/>
      <c r="Q3629" s="171"/>
      <c r="R3629" s="171"/>
      <c r="S3629" s="171"/>
      <c r="T3629" s="171"/>
      <c r="U3629" s="171"/>
      <c r="V3629" s="171"/>
      <c r="W3629" s="171"/>
      <c r="X3629" s="171"/>
      <c r="Y3629" s="171"/>
      <c r="Z3629" s="171"/>
      <c r="AA3629" s="171"/>
    </row>
    <row r="3630" spans="1:27" s="530" customFormat="1" hidden="1" x14ac:dyDescent="0.2">
      <c r="A3630" s="526"/>
      <c r="B3630" s="527"/>
      <c r="C3630" s="465"/>
      <c r="D3630" s="464"/>
      <c r="E3630" s="464"/>
      <c r="F3630" s="494">
        <v>482</v>
      </c>
      <c r="G3630" s="495" t="s">
        <v>4190</v>
      </c>
      <c r="H3630" s="397"/>
      <c r="I3630" s="397"/>
      <c r="J3630" s="750"/>
      <c r="K3630" s="398"/>
      <c r="L3630" s="398"/>
      <c r="M3630" s="682"/>
      <c r="N3630" s="171"/>
      <c r="O3630" s="171"/>
      <c r="P3630" s="169"/>
      <c r="Q3630" s="171"/>
      <c r="R3630" s="171"/>
      <c r="S3630" s="171"/>
      <c r="T3630" s="171"/>
      <c r="U3630" s="171"/>
      <c r="V3630" s="171"/>
      <c r="W3630" s="171"/>
      <c r="X3630" s="171"/>
      <c r="Y3630" s="171"/>
      <c r="Z3630" s="171"/>
      <c r="AA3630" s="171"/>
    </row>
    <row r="3631" spans="1:27" s="530" customFormat="1" hidden="1" x14ac:dyDescent="0.2">
      <c r="A3631" s="526"/>
      <c r="B3631" s="527"/>
      <c r="C3631" s="465"/>
      <c r="D3631" s="464"/>
      <c r="E3631" s="464"/>
      <c r="F3631" s="494">
        <v>483</v>
      </c>
      <c r="G3631" s="497" t="s">
        <v>4191</v>
      </c>
      <c r="H3631" s="397"/>
      <c r="I3631" s="397"/>
      <c r="J3631" s="750"/>
      <c r="K3631" s="398"/>
      <c r="L3631" s="398"/>
      <c r="M3631" s="682"/>
      <c r="N3631" s="171"/>
      <c r="O3631" s="171"/>
      <c r="P3631" s="169"/>
      <c r="Q3631" s="171"/>
      <c r="R3631" s="171"/>
      <c r="S3631" s="171"/>
      <c r="T3631" s="171"/>
      <c r="U3631" s="171"/>
      <c r="V3631" s="171"/>
      <c r="W3631" s="171"/>
      <c r="X3631" s="171"/>
      <c r="Y3631" s="171"/>
      <c r="Z3631" s="171"/>
      <c r="AA3631" s="171"/>
    </row>
    <row r="3632" spans="1:27" s="530" customFormat="1" ht="38.25" hidden="1" x14ac:dyDescent="0.2">
      <c r="A3632" s="526"/>
      <c r="B3632" s="527"/>
      <c r="C3632" s="465"/>
      <c r="D3632" s="464"/>
      <c r="E3632" s="464"/>
      <c r="F3632" s="494">
        <v>484</v>
      </c>
      <c r="G3632" s="495" t="s">
        <v>4192</v>
      </c>
      <c r="H3632" s="397"/>
      <c r="I3632" s="397"/>
      <c r="J3632" s="750"/>
      <c r="K3632" s="398"/>
      <c r="L3632" s="398"/>
      <c r="M3632" s="682"/>
      <c r="N3632" s="171"/>
      <c r="O3632" s="171"/>
      <c r="P3632" s="169"/>
      <c r="Q3632" s="171"/>
      <c r="R3632" s="171"/>
      <c r="S3632" s="171"/>
      <c r="T3632" s="171"/>
      <c r="U3632" s="171"/>
      <c r="V3632" s="171"/>
      <c r="W3632" s="171"/>
      <c r="X3632" s="171"/>
      <c r="Y3632" s="171"/>
      <c r="Z3632" s="171"/>
      <c r="AA3632" s="171"/>
    </row>
    <row r="3633" spans="1:27" s="530" customFormat="1" ht="25.5" hidden="1" x14ac:dyDescent="0.2">
      <c r="A3633" s="526"/>
      <c r="B3633" s="527"/>
      <c r="C3633" s="465"/>
      <c r="D3633" s="464"/>
      <c r="E3633" s="464"/>
      <c r="F3633" s="494">
        <v>485</v>
      </c>
      <c r="G3633" s="495" t="s">
        <v>4193</v>
      </c>
      <c r="H3633" s="397"/>
      <c r="I3633" s="397"/>
      <c r="J3633" s="750"/>
      <c r="K3633" s="398"/>
      <c r="L3633" s="398"/>
      <c r="M3633" s="682"/>
      <c r="N3633" s="171"/>
      <c r="O3633" s="171"/>
      <c r="P3633" s="169"/>
      <c r="Q3633" s="171"/>
      <c r="R3633" s="171"/>
      <c r="S3633" s="171"/>
      <c r="T3633" s="171"/>
      <c r="U3633" s="171"/>
      <c r="V3633" s="171"/>
      <c r="W3633" s="171"/>
      <c r="X3633" s="171"/>
      <c r="Y3633" s="171"/>
      <c r="Z3633" s="171"/>
      <c r="AA3633" s="171"/>
    </row>
    <row r="3634" spans="1:27" s="530" customFormat="1" ht="25.5" hidden="1" x14ac:dyDescent="0.2">
      <c r="A3634" s="526"/>
      <c r="B3634" s="527"/>
      <c r="C3634" s="465"/>
      <c r="D3634" s="464"/>
      <c r="E3634" s="464"/>
      <c r="F3634" s="494">
        <v>489</v>
      </c>
      <c r="G3634" s="495" t="s">
        <v>3821</v>
      </c>
      <c r="H3634" s="397"/>
      <c r="I3634" s="397"/>
      <c r="J3634" s="750"/>
      <c r="K3634" s="398"/>
      <c r="L3634" s="398"/>
      <c r="M3634" s="682"/>
      <c r="N3634" s="171"/>
      <c r="O3634" s="171"/>
      <c r="P3634" s="169"/>
      <c r="Q3634" s="171"/>
      <c r="R3634" s="171"/>
      <c r="S3634" s="171"/>
      <c r="T3634" s="171"/>
      <c r="U3634" s="171"/>
      <c r="V3634" s="171"/>
      <c r="W3634" s="171"/>
      <c r="X3634" s="171"/>
      <c r="Y3634" s="171"/>
      <c r="Z3634" s="171"/>
      <c r="AA3634" s="171"/>
    </row>
    <row r="3635" spans="1:27" s="530" customFormat="1" ht="25.5" hidden="1" x14ac:dyDescent="0.2">
      <c r="A3635" s="526"/>
      <c r="B3635" s="527"/>
      <c r="C3635" s="465"/>
      <c r="D3635" s="464"/>
      <c r="E3635" s="464"/>
      <c r="F3635" s="494">
        <v>494</v>
      </c>
      <c r="G3635" s="495" t="s">
        <v>4171</v>
      </c>
      <c r="H3635" s="397"/>
      <c r="I3635" s="397"/>
      <c r="J3635" s="750"/>
      <c r="K3635" s="398"/>
      <c r="L3635" s="398"/>
      <c r="M3635" s="682"/>
      <c r="N3635" s="171"/>
      <c r="O3635" s="171"/>
      <c r="P3635" s="169"/>
      <c r="Q3635" s="171"/>
      <c r="R3635" s="171"/>
      <c r="S3635" s="171"/>
      <c r="T3635" s="171"/>
      <c r="U3635" s="171"/>
      <c r="V3635" s="171"/>
      <c r="W3635" s="171"/>
      <c r="X3635" s="171"/>
      <c r="Y3635" s="171"/>
      <c r="Z3635" s="171"/>
      <c r="AA3635" s="171"/>
    </row>
    <row r="3636" spans="1:27" s="530" customFormat="1" ht="25.5" hidden="1" x14ac:dyDescent="0.2">
      <c r="A3636" s="526"/>
      <c r="B3636" s="527"/>
      <c r="C3636" s="465"/>
      <c r="D3636" s="464"/>
      <c r="E3636" s="464"/>
      <c r="F3636" s="494">
        <v>495</v>
      </c>
      <c r="G3636" s="495" t="s">
        <v>4172</v>
      </c>
      <c r="H3636" s="397"/>
      <c r="I3636" s="397"/>
      <c r="J3636" s="750"/>
      <c r="K3636" s="398"/>
      <c r="L3636" s="398"/>
      <c r="M3636" s="682"/>
      <c r="N3636" s="171"/>
      <c r="O3636" s="171"/>
      <c r="P3636" s="169"/>
      <c r="Q3636" s="171"/>
      <c r="R3636" s="171"/>
      <c r="S3636" s="171"/>
      <c r="T3636" s="171"/>
      <c r="U3636" s="171"/>
      <c r="V3636" s="171"/>
      <c r="W3636" s="171"/>
      <c r="X3636" s="171"/>
      <c r="Y3636" s="171"/>
      <c r="Z3636" s="171"/>
      <c r="AA3636" s="171"/>
    </row>
    <row r="3637" spans="1:27" s="530" customFormat="1" ht="38.25" hidden="1" x14ac:dyDescent="0.2">
      <c r="A3637" s="526"/>
      <c r="B3637" s="527"/>
      <c r="C3637" s="465"/>
      <c r="D3637" s="464"/>
      <c r="E3637" s="464"/>
      <c r="F3637" s="494">
        <v>496</v>
      </c>
      <c r="G3637" s="495" t="s">
        <v>4173</v>
      </c>
      <c r="H3637" s="397"/>
      <c r="I3637" s="397"/>
      <c r="J3637" s="750"/>
      <c r="K3637" s="398"/>
      <c r="L3637" s="398"/>
      <c r="M3637" s="682"/>
      <c r="N3637" s="171"/>
      <c r="O3637" s="171"/>
      <c r="P3637" s="169"/>
      <c r="Q3637" s="171"/>
      <c r="R3637" s="171"/>
      <c r="S3637" s="171"/>
      <c r="T3637" s="171"/>
      <c r="U3637" s="171"/>
      <c r="V3637" s="171"/>
      <c r="W3637" s="171"/>
      <c r="X3637" s="171"/>
      <c r="Y3637" s="171"/>
      <c r="Z3637" s="171"/>
      <c r="AA3637" s="171"/>
    </row>
    <row r="3638" spans="1:27" s="530" customFormat="1" ht="25.5" hidden="1" x14ac:dyDescent="0.2">
      <c r="A3638" s="526"/>
      <c r="B3638" s="527"/>
      <c r="C3638" s="465"/>
      <c r="D3638" s="464"/>
      <c r="E3638" s="464"/>
      <c r="F3638" s="494">
        <v>499</v>
      </c>
      <c r="G3638" s="495" t="s">
        <v>4174</v>
      </c>
      <c r="H3638" s="397"/>
      <c r="I3638" s="397"/>
      <c r="J3638" s="750"/>
      <c r="K3638" s="398"/>
      <c r="L3638" s="398"/>
      <c r="M3638" s="682"/>
      <c r="N3638" s="171"/>
      <c r="O3638" s="171"/>
      <c r="P3638" s="169"/>
      <c r="Q3638" s="171"/>
      <c r="R3638" s="171"/>
      <c r="S3638" s="171"/>
      <c r="T3638" s="171"/>
      <c r="U3638" s="171"/>
      <c r="V3638" s="171"/>
      <c r="W3638" s="171"/>
      <c r="X3638" s="171"/>
      <c r="Y3638" s="171"/>
      <c r="Z3638" s="171"/>
      <c r="AA3638" s="171"/>
    </row>
    <row r="3639" spans="1:27" s="530" customFormat="1" ht="13.5" thickBot="1" x14ac:dyDescent="0.25">
      <c r="A3639" s="526"/>
      <c r="B3639" s="527"/>
      <c r="C3639" s="465"/>
      <c r="D3639" s="464"/>
      <c r="E3639" s="464">
        <v>43</v>
      </c>
      <c r="F3639" s="494">
        <v>511</v>
      </c>
      <c r="G3639" s="560" t="s">
        <v>4194</v>
      </c>
      <c r="H3639" s="433">
        <v>0</v>
      </c>
      <c r="I3639" s="433">
        <v>0</v>
      </c>
      <c r="J3639" s="750"/>
      <c r="K3639" s="398"/>
      <c r="L3639" s="398"/>
      <c r="M3639" s="682"/>
      <c r="N3639" s="171"/>
      <c r="O3639" s="171"/>
      <c r="P3639" s="169"/>
      <c r="Q3639" s="171"/>
      <c r="R3639" s="171"/>
      <c r="S3639" s="171"/>
      <c r="T3639" s="171"/>
      <c r="U3639" s="171"/>
      <c r="V3639" s="171"/>
      <c r="W3639" s="171"/>
      <c r="X3639" s="171"/>
      <c r="Y3639" s="171"/>
      <c r="Z3639" s="171"/>
      <c r="AA3639" s="171"/>
    </row>
    <row r="3640" spans="1:27" s="530" customFormat="1" ht="13.5" hidden="1" thickBot="1" x14ac:dyDescent="0.25">
      <c r="A3640" s="526"/>
      <c r="B3640" s="527"/>
      <c r="C3640" s="465"/>
      <c r="D3640" s="464"/>
      <c r="E3640" s="464"/>
      <c r="F3640" s="494">
        <v>512</v>
      </c>
      <c r="G3640" s="497" t="s">
        <v>4195</v>
      </c>
      <c r="H3640" s="397"/>
      <c r="I3640" s="397"/>
      <c r="J3640" s="750"/>
      <c r="K3640" s="398"/>
      <c r="L3640" s="398"/>
      <c r="M3640" s="682"/>
      <c r="N3640" s="171"/>
      <c r="O3640" s="171"/>
      <c r="P3640" s="169"/>
      <c r="Q3640" s="171"/>
      <c r="R3640" s="171"/>
      <c r="S3640" s="171"/>
      <c r="T3640" s="171"/>
      <c r="U3640" s="171"/>
      <c r="V3640" s="171"/>
      <c r="W3640" s="171"/>
      <c r="X3640" s="171"/>
      <c r="Y3640" s="171"/>
      <c r="Z3640" s="171"/>
      <c r="AA3640" s="171"/>
    </row>
    <row r="3641" spans="1:27" s="530" customFormat="1" ht="13.5" hidden="1" thickBot="1" x14ac:dyDescent="0.25">
      <c r="A3641" s="526"/>
      <c r="B3641" s="527"/>
      <c r="C3641" s="465"/>
      <c r="D3641" s="464"/>
      <c r="E3641" s="464"/>
      <c r="F3641" s="494">
        <v>513</v>
      </c>
      <c r="G3641" s="497" t="s">
        <v>4196</v>
      </c>
      <c r="H3641" s="397"/>
      <c r="I3641" s="397"/>
      <c r="J3641" s="750"/>
      <c r="K3641" s="398"/>
      <c r="L3641" s="398"/>
      <c r="M3641" s="682"/>
      <c r="N3641" s="171"/>
      <c r="O3641" s="171"/>
      <c r="P3641" s="169"/>
      <c r="Q3641" s="171"/>
      <c r="R3641" s="171"/>
      <c r="S3641" s="171"/>
      <c r="T3641" s="171"/>
      <c r="U3641" s="171"/>
      <c r="V3641" s="171"/>
      <c r="W3641" s="171"/>
      <c r="X3641" s="171"/>
      <c r="Y3641" s="171"/>
      <c r="Z3641" s="171"/>
      <c r="AA3641" s="171"/>
    </row>
    <row r="3642" spans="1:27" s="530" customFormat="1" ht="13.5" hidden="1" thickBot="1" x14ac:dyDescent="0.25">
      <c r="A3642" s="526"/>
      <c r="B3642" s="527"/>
      <c r="C3642" s="465"/>
      <c r="D3642" s="464"/>
      <c r="E3642" s="464"/>
      <c r="F3642" s="494">
        <v>514</v>
      </c>
      <c r="G3642" s="495" t="s">
        <v>4197</v>
      </c>
      <c r="H3642" s="397"/>
      <c r="I3642" s="397"/>
      <c r="J3642" s="750"/>
      <c r="K3642" s="398"/>
      <c r="L3642" s="398"/>
      <c r="M3642" s="682"/>
      <c r="N3642" s="171"/>
      <c r="O3642" s="171"/>
      <c r="P3642" s="169"/>
      <c r="Q3642" s="171"/>
      <c r="R3642" s="171"/>
      <c r="S3642" s="171"/>
      <c r="T3642" s="171"/>
      <c r="U3642" s="171"/>
      <c r="V3642" s="171"/>
      <c r="W3642" s="171"/>
      <c r="X3642" s="171"/>
      <c r="Y3642" s="171"/>
      <c r="Z3642" s="171"/>
      <c r="AA3642" s="171"/>
    </row>
    <row r="3643" spans="1:27" s="530" customFormat="1" ht="13.5" hidden="1" thickBot="1" x14ac:dyDescent="0.25">
      <c r="A3643" s="526"/>
      <c r="B3643" s="527"/>
      <c r="C3643" s="465"/>
      <c r="D3643" s="464"/>
      <c r="E3643" s="464"/>
      <c r="F3643" s="494">
        <v>515</v>
      </c>
      <c r="G3643" s="495" t="s">
        <v>3832</v>
      </c>
      <c r="H3643" s="397"/>
      <c r="I3643" s="397"/>
      <c r="J3643" s="750"/>
      <c r="K3643" s="398"/>
      <c r="L3643" s="398"/>
      <c r="M3643" s="682"/>
      <c r="N3643" s="171"/>
      <c r="O3643" s="171"/>
      <c r="P3643" s="169"/>
      <c r="Q3643" s="171"/>
      <c r="R3643" s="171"/>
      <c r="S3643" s="171"/>
      <c r="T3643" s="171"/>
      <c r="U3643" s="171"/>
      <c r="V3643" s="171"/>
      <c r="W3643" s="171"/>
      <c r="X3643" s="171"/>
      <c r="Y3643" s="171"/>
      <c r="Z3643" s="171"/>
      <c r="AA3643" s="171"/>
    </row>
    <row r="3644" spans="1:27" s="530" customFormat="1" ht="13.5" hidden="1" thickBot="1" x14ac:dyDescent="0.25">
      <c r="A3644" s="526"/>
      <c r="B3644" s="527"/>
      <c r="C3644" s="465"/>
      <c r="D3644" s="464"/>
      <c r="E3644" s="464"/>
      <c r="F3644" s="494">
        <v>521</v>
      </c>
      <c r="G3644" s="495" t="s">
        <v>4198</v>
      </c>
      <c r="H3644" s="397"/>
      <c r="I3644" s="397"/>
      <c r="J3644" s="750"/>
      <c r="K3644" s="398"/>
      <c r="L3644" s="398"/>
      <c r="M3644" s="682"/>
      <c r="N3644" s="171"/>
      <c r="O3644" s="171"/>
      <c r="P3644" s="169"/>
      <c r="Q3644" s="171"/>
      <c r="R3644" s="171"/>
      <c r="S3644" s="171"/>
      <c r="T3644" s="171"/>
      <c r="U3644" s="171"/>
      <c r="V3644" s="171"/>
      <c r="W3644" s="171"/>
      <c r="X3644" s="171"/>
      <c r="Y3644" s="171"/>
      <c r="Z3644" s="171"/>
      <c r="AA3644" s="171"/>
    </row>
    <row r="3645" spans="1:27" s="530" customFormat="1" ht="13.5" hidden="1" thickBot="1" x14ac:dyDescent="0.25">
      <c r="A3645" s="526"/>
      <c r="B3645" s="527"/>
      <c r="C3645" s="465"/>
      <c r="D3645" s="464"/>
      <c r="E3645" s="464"/>
      <c r="F3645" s="494">
        <v>522</v>
      </c>
      <c r="G3645" s="495" t="s">
        <v>4199</v>
      </c>
      <c r="H3645" s="397"/>
      <c r="I3645" s="397"/>
      <c r="J3645" s="750"/>
      <c r="K3645" s="398"/>
      <c r="L3645" s="398"/>
      <c r="M3645" s="682"/>
      <c r="N3645" s="171"/>
      <c r="O3645" s="171"/>
      <c r="P3645" s="169"/>
      <c r="Q3645" s="171"/>
      <c r="R3645" s="171"/>
      <c r="S3645" s="171"/>
      <c r="T3645" s="171"/>
      <c r="U3645" s="171"/>
      <c r="V3645" s="171"/>
      <c r="W3645" s="171"/>
      <c r="X3645" s="171"/>
      <c r="Y3645" s="171"/>
      <c r="Z3645" s="171"/>
      <c r="AA3645" s="171"/>
    </row>
    <row r="3646" spans="1:27" s="530" customFormat="1" ht="13.5" hidden="1" thickBot="1" x14ac:dyDescent="0.25">
      <c r="A3646" s="526"/>
      <c r="B3646" s="527"/>
      <c r="C3646" s="465"/>
      <c r="D3646" s="464"/>
      <c r="E3646" s="464"/>
      <c r="F3646" s="494">
        <v>523</v>
      </c>
      <c r="G3646" s="495" t="s">
        <v>3837</v>
      </c>
      <c r="H3646" s="397"/>
      <c r="I3646" s="397"/>
      <c r="J3646" s="750"/>
      <c r="K3646" s="398"/>
      <c r="L3646" s="398"/>
      <c r="M3646" s="682"/>
      <c r="N3646" s="171"/>
      <c r="O3646" s="171"/>
      <c r="P3646" s="169"/>
      <c r="Q3646" s="171"/>
      <c r="R3646" s="171"/>
      <c r="S3646" s="171"/>
      <c r="T3646" s="171"/>
      <c r="U3646" s="171"/>
      <c r="V3646" s="171"/>
      <c r="W3646" s="171"/>
      <c r="X3646" s="171"/>
      <c r="Y3646" s="171"/>
      <c r="Z3646" s="171"/>
      <c r="AA3646" s="171"/>
    </row>
    <row r="3647" spans="1:27" s="530" customFormat="1" ht="13.5" hidden="1" thickBot="1" x14ac:dyDescent="0.25">
      <c r="A3647" s="526"/>
      <c r="B3647" s="527"/>
      <c r="C3647" s="465"/>
      <c r="D3647" s="464"/>
      <c r="E3647" s="464"/>
      <c r="F3647" s="494">
        <v>531</v>
      </c>
      <c r="G3647" s="496" t="s">
        <v>4175</v>
      </c>
      <c r="H3647" s="397"/>
      <c r="I3647" s="397"/>
      <c r="J3647" s="750"/>
      <c r="K3647" s="398"/>
      <c r="L3647" s="398"/>
      <c r="M3647" s="682"/>
      <c r="N3647" s="171"/>
      <c r="O3647" s="171"/>
      <c r="P3647" s="169"/>
      <c r="Q3647" s="171"/>
      <c r="R3647" s="171"/>
      <c r="S3647" s="171"/>
      <c r="T3647" s="171"/>
      <c r="U3647" s="171"/>
      <c r="V3647" s="171"/>
      <c r="W3647" s="171"/>
      <c r="X3647" s="171"/>
      <c r="Y3647" s="171"/>
      <c r="Z3647" s="171"/>
      <c r="AA3647" s="171"/>
    </row>
    <row r="3648" spans="1:27" s="530" customFormat="1" ht="13.5" hidden="1" thickBot="1" x14ac:dyDescent="0.25">
      <c r="A3648" s="526"/>
      <c r="B3648" s="527"/>
      <c r="C3648" s="465"/>
      <c r="D3648" s="464"/>
      <c r="E3648" s="464"/>
      <c r="F3648" s="494">
        <v>541</v>
      </c>
      <c r="G3648" s="495" t="s">
        <v>4200</v>
      </c>
      <c r="H3648" s="397"/>
      <c r="I3648" s="397"/>
      <c r="J3648" s="750"/>
      <c r="K3648" s="398"/>
      <c r="L3648" s="398"/>
      <c r="M3648" s="682"/>
      <c r="N3648" s="171"/>
      <c r="O3648" s="171"/>
      <c r="P3648" s="169"/>
      <c r="Q3648" s="171"/>
      <c r="R3648" s="171"/>
      <c r="S3648" s="171"/>
      <c r="T3648" s="171"/>
      <c r="U3648" s="171"/>
      <c r="V3648" s="171"/>
      <c r="W3648" s="171"/>
      <c r="X3648" s="171"/>
      <c r="Y3648" s="171"/>
      <c r="Z3648" s="171"/>
      <c r="AA3648" s="171"/>
    </row>
    <row r="3649" spans="1:27" s="530" customFormat="1" ht="13.5" hidden="1" thickBot="1" x14ac:dyDescent="0.25">
      <c r="A3649" s="526"/>
      <c r="B3649" s="527"/>
      <c r="C3649" s="465"/>
      <c r="D3649" s="464"/>
      <c r="E3649" s="464"/>
      <c r="F3649" s="494">
        <v>542</v>
      </c>
      <c r="G3649" s="495" t="s">
        <v>4201</v>
      </c>
      <c r="H3649" s="397"/>
      <c r="I3649" s="397"/>
      <c r="J3649" s="750"/>
      <c r="K3649" s="398"/>
      <c r="L3649" s="398"/>
      <c r="M3649" s="682"/>
      <c r="N3649" s="171"/>
      <c r="O3649" s="171"/>
      <c r="P3649" s="169"/>
      <c r="Q3649" s="171"/>
      <c r="R3649" s="171"/>
      <c r="S3649" s="171"/>
      <c r="T3649" s="171"/>
      <c r="U3649" s="171"/>
      <c r="V3649" s="171"/>
      <c r="W3649" s="171"/>
      <c r="X3649" s="171"/>
      <c r="Y3649" s="171"/>
      <c r="Z3649" s="171"/>
      <c r="AA3649" s="171"/>
    </row>
    <row r="3650" spans="1:27" s="530" customFormat="1" ht="13.5" hidden="1" thickBot="1" x14ac:dyDescent="0.25">
      <c r="A3650" s="526"/>
      <c r="B3650" s="527"/>
      <c r="C3650" s="465"/>
      <c r="D3650" s="464"/>
      <c r="E3650" s="464"/>
      <c r="F3650" s="494">
        <v>543</v>
      </c>
      <c r="G3650" s="495" t="s">
        <v>3842</v>
      </c>
      <c r="H3650" s="397"/>
      <c r="I3650" s="397"/>
      <c r="J3650" s="750"/>
      <c r="K3650" s="398"/>
      <c r="L3650" s="398"/>
      <c r="M3650" s="682"/>
      <c r="N3650" s="171"/>
      <c r="O3650" s="171"/>
      <c r="P3650" s="169"/>
      <c r="Q3650" s="171"/>
      <c r="R3650" s="171"/>
      <c r="S3650" s="171"/>
      <c r="T3650" s="171"/>
      <c r="U3650" s="171"/>
      <c r="V3650" s="171"/>
      <c r="W3650" s="171"/>
      <c r="X3650" s="171"/>
      <c r="Y3650" s="171"/>
      <c r="Z3650" s="171"/>
      <c r="AA3650" s="171"/>
    </row>
    <row r="3651" spans="1:27" s="530" customFormat="1" ht="39" hidden="1" thickBot="1" x14ac:dyDescent="0.25">
      <c r="A3651" s="526"/>
      <c r="B3651" s="527"/>
      <c r="C3651" s="465"/>
      <c r="D3651" s="464"/>
      <c r="E3651" s="464"/>
      <c r="F3651" s="494">
        <v>551</v>
      </c>
      <c r="G3651" s="495" t="s">
        <v>4176</v>
      </c>
      <c r="H3651" s="397"/>
      <c r="I3651" s="397"/>
      <c r="J3651" s="750"/>
      <c r="K3651" s="398"/>
      <c r="L3651" s="398"/>
      <c r="M3651" s="682"/>
      <c r="N3651" s="171"/>
      <c r="O3651" s="171"/>
      <c r="P3651" s="169"/>
      <c r="Q3651" s="171"/>
      <c r="R3651" s="171"/>
      <c r="S3651" s="171"/>
      <c r="T3651" s="171"/>
      <c r="U3651" s="171"/>
      <c r="V3651" s="171"/>
      <c r="W3651" s="171"/>
      <c r="X3651" s="171"/>
      <c r="Y3651" s="171"/>
      <c r="Z3651" s="171"/>
      <c r="AA3651" s="171"/>
    </row>
    <row r="3652" spans="1:27" s="530" customFormat="1" ht="13.5" hidden="1" thickBot="1" x14ac:dyDescent="0.25">
      <c r="A3652" s="526"/>
      <c r="B3652" s="527"/>
      <c r="C3652" s="465"/>
      <c r="D3652" s="464"/>
      <c r="E3652" s="464"/>
      <c r="F3652" s="498">
        <v>611</v>
      </c>
      <c r="G3652" s="499" t="s">
        <v>3848</v>
      </c>
      <c r="H3652" s="397"/>
      <c r="I3652" s="397"/>
      <c r="J3652" s="750"/>
      <c r="K3652" s="398"/>
      <c r="L3652" s="398"/>
      <c r="M3652" s="682"/>
      <c r="N3652" s="171"/>
      <c r="O3652" s="171"/>
      <c r="P3652" s="169"/>
      <c r="Q3652" s="171"/>
      <c r="R3652" s="171"/>
      <c r="S3652" s="171"/>
      <c r="T3652" s="171"/>
      <c r="U3652" s="171"/>
      <c r="V3652" s="171"/>
      <c r="W3652" s="171"/>
      <c r="X3652" s="171"/>
      <c r="Y3652" s="171"/>
      <c r="Z3652" s="171"/>
      <c r="AA3652" s="171"/>
    </row>
    <row r="3653" spans="1:27" s="530" customFormat="1" ht="13.5" hidden="1" thickBot="1" x14ac:dyDescent="0.25">
      <c r="A3653" s="526"/>
      <c r="B3653" s="527"/>
      <c r="C3653" s="465"/>
      <c r="D3653" s="464"/>
      <c r="E3653" s="464"/>
      <c r="F3653" s="498">
        <v>620</v>
      </c>
      <c r="G3653" s="499" t="s">
        <v>88</v>
      </c>
      <c r="H3653" s="397"/>
      <c r="I3653" s="397"/>
      <c r="J3653" s="750"/>
      <c r="K3653" s="398"/>
      <c r="L3653" s="398"/>
      <c r="M3653" s="682"/>
      <c r="N3653" s="171"/>
      <c r="O3653" s="171"/>
      <c r="P3653" s="169"/>
      <c r="Q3653" s="171"/>
      <c r="R3653" s="171"/>
      <c r="S3653" s="171"/>
      <c r="T3653" s="171"/>
      <c r="U3653" s="171"/>
      <c r="V3653" s="171"/>
      <c r="W3653" s="171"/>
      <c r="X3653" s="171"/>
      <c r="Y3653" s="171"/>
      <c r="Z3653" s="171"/>
      <c r="AA3653" s="171"/>
    </row>
    <row r="3654" spans="1:27" s="530" customFormat="1" x14ac:dyDescent="0.2">
      <c r="A3654" s="526"/>
      <c r="B3654" s="527"/>
      <c r="C3654" s="465"/>
      <c r="D3654" s="464"/>
      <c r="E3654" s="500"/>
      <c r="F3654" s="498"/>
      <c r="G3654" s="501" t="s">
        <v>4344</v>
      </c>
      <c r="H3654" s="400"/>
      <c r="I3654" s="400"/>
      <c r="J3654" s="750"/>
      <c r="K3654" s="401"/>
      <c r="L3654" s="402"/>
      <c r="M3654" s="682"/>
      <c r="N3654" s="171"/>
      <c r="O3654" s="171"/>
      <c r="P3654" s="169"/>
      <c r="Q3654" s="171"/>
      <c r="R3654" s="171"/>
      <c r="S3654" s="171"/>
      <c r="T3654" s="171"/>
      <c r="U3654" s="171"/>
      <c r="V3654" s="171"/>
      <c r="W3654" s="171"/>
      <c r="X3654" s="171"/>
      <c r="Y3654" s="171"/>
      <c r="Z3654" s="171"/>
      <c r="AA3654" s="171"/>
    </row>
    <row r="3655" spans="1:27" s="530" customFormat="1" ht="13.5" thickBot="1" x14ac:dyDescent="0.25">
      <c r="A3655" s="526"/>
      <c r="B3655" s="527"/>
      <c r="C3655" s="465"/>
      <c r="D3655" s="464"/>
      <c r="E3655" s="502"/>
      <c r="F3655" s="503" t="s">
        <v>234</v>
      </c>
      <c r="G3655" s="504" t="s">
        <v>235</v>
      </c>
      <c r="H3655" s="403">
        <f>SUM(H3594:H3653)</f>
        <v>0</v>
      </c>
      <c r="I3655" s="403">
        <v>0</v>
      </c>
      <c r="J3655" s="750"/>
      <c r="K3655" s="404"/>
      <c r="L3655" s="404"/>
      <c r="M3655" s="682"/>
      <c r="N3655" s="171"/>
      <c r="O3655" s="171"/>
      <c r="P3655" s="169"/>
      <c r="Q3655" s="171"/>
      <c r="R3655" s="171"/>
      <c r="S3655" s="171"/>
      <c r="T3655" s="171"/>
      <c r="U3655" s="171"/>
      <c r="V3655" s="171"/>
      <c r="W3655" s="171"/>
      <c r="X3655" s="171"/>
      <c r="Y3655" s="171"/>
      <c r="Z3655" s="171"/>
      <c r="AA3655" s="171"/>
    </row>
    <row r="3656" spans="1:27" s="530" customFormat="1" ht="13.5" hidden="1" thickBot="1" x14ac:dyDescent="0.25">
      <c r="A3656" s="526"/>
      <c r="B3656" s="527"/>
      <c r="C3656" s="465"/>
      <c r="D3656" s="464"/>
      <c r="E3656" s="464"/>
      <c r="F3656" s="503" t="s">
        <v>236</v>
      </c>
      <c r="G3656" s="504" t="s">
        <v>237</v>
      </c>
      <c r="H3656" s="397"/>
      <c r="I3656" s="397"/>
      <c r="J3656" s="750"/>
      <c r="K3656" s="398"/>
      <c r="L3656" s="404"/>
      <c r="M3656" s="682"/>
      <c r="N3656" s="171"/>
      <c r="O3656" s="171"/>
      <c r="P3656" s="169"/>
      <c r="Q3656" s="171"/>
      <c r="R3656" s="171"/>
      <c r="S3656" s="171"/>
      <c r="T3656" s="171"/>
      <c r="U3656" s="171"/>
      <c r="V3656" s="171"/>
      <c r="W3656" s="171"/>
      <c r="X3656" s="171"/>
      <c r="Y3656" s="171"/>
      <c r="Z3656" s="171"/>
      <c r="AA3656" s="171"/>
    </row>
    <row r="3657" spans="1:27" s="530" customFormat="1" ht="13.5" hidden="1" thickBot="1" x14ac:dyDescent="0.25">
      <c r="A3657" s="526"/>
      <c r="B3657" s="527"/>
      <c r="C3657" s="465"/>
      <c r="D3657" s="464"/>
      <c r="E3657" s="464"/>
      <c r="F3657" s="503" t="s">
        <v>238</v>
      </c>
      <c r="G3657" s="504" t="s">
        <v>239</v>
      </c>
      <c r="H3657" s="397"/>
      <c r="I3657" s="397"/>
      <c r="J3657" s="750"/>
      <c r="K3657" s="398"/>
      <c r="L3657" s="404"/>
      <c r="M3657" s="682"/>
      <c r="N3657" s="171"/>
      <c r="O3657" s="171"/>
      <c r="P3657" s="169"/>
      <c r="Q3657" s="171"/>
      <c r="R3657" s="171"/>
      <c r="S3657" s="171"/>
      <c r="T3657" s="171"/>
      <c r="U3657" s="171"/>
      <c r="V3657" s="171"/>
      <c r="W3657" s="171"/>
      <c r="X3657" s="171"/>
      <c r="Y3657" s="171"/>
      <c r="Z3657" s="171"/>
      <c r="AA3657" s="171"/>
    </row>
    <row r="3658" spans="1:27" s="530" customFormat="1" ht="13.5" hidden="1" thickBot="1" x14ac:dyDescent="0.25">
      <c r="A3658" s="526"/>
      <c r="B3658" s="527"/>
      <c r="C3658" s="465"/>
      <c r="D3658" s="464"/>
      <c r="E3658" s="464"/>
      <c r="F3658" s="503" t="s">
        <v>240</v>
      </c>
      <c r="G3658" s="504" t="s">
        <v>241</v>
      </c>
      <c r="H3658" s="397"/>
      <c r="I3658" s="397"/>
      <c r="J3658" s="750"/>
      <c r="K3658" s="398"/>
      <c r="L3658" s="404"/>
      <c r="M3658" s="682"/>
      <c r="N3658" s="171"/>
      <c r="O3658" s="171"/>
      <c r="P3658" s="169"/>
      <c r="Q3658" s="171"/>
      <c r="R3658" s="171"/>
      <c r="S3658" s="171"/>
      <c r="T3658" s="171"/>
      <c r="U3658" s="171"/>
      <c r="V3658" s="171"/>
      <c r="W3658" s="171"/>
      <c r="X3658" s="171"/>
      <c r="Y3658" s="171"/>
      <c r="Z3658" s="171"/>
      <c r="AA3658" s="171"/>
    </row>
    <row r="3659" spans="1:27" s="530" customFormat="1" ht="13.5" hidden="1" thickBot="1" x14ac:dyDescent="0.25">
      <c r="A3659" s="526"/>
      <c r="B3659" s="527"/>
      <c r="C3659" s="465"/>
      <c r="D3659" s="464"/>
      <c r="E3659" s="464"/>
      <c r="F3659" s="503" t="s">
        <v>242</v>
      </c>
      <c r="G3659" s="504" t="s">
        <v>243</v>
      </c>
      <c r="H3659" s="397"/>
      <c r="I3659" s="397"/>
      <c r="J3659" s="750"/>
      <c r="K3659" s="398"/>
      <c r="L3659" s="404"/>
      <c r="M3659" s="682"/>
      <c r="N3659" s="171"/>
      <c r="O3659" s="171"/>
      <c r="P3659" s="169"/>
      <c r="Q3659" s="171"/>
      <c r="R3659" s="171"/>
      <c r="S3659" s="171"/>
      <c r="T3659" s="171"/>
      <c r="U3659" s="171"/>
      <c r="V3659" s="171"/>
      <c r="W3659" s="171"/>
      <c r="X3659" s="171"/>
      <c r="Y3659" s="171"/>
      <c r="Z3659" s="171"/>
      <c r="AA3659" s="171"/>
    </row>
    <row r="3660" spans="1:27" s="530" customFormat="1" ht="13.5" hidden="1" thickBot="1" x14ac:dyDescent="0.25">
      <c r="A3660" s="526"/>
      <c r="B3660" s="527"/>
      <c r="C3660" s="465"/>
      <c r="D3660" s="464"/>
      <c r="E3660" s="464"/>
      <c r="F3660" s="503" t="s">
        <v>244</v>
      </c>
      <c r="G3660" s="504" t="s">
        <v>245</v>
      </c>
      <c r="H3660" s="397"/>
      <c r="I3660" s="397"/>
      <c r="J3660" s="750"/>
      <c r="K3660" s="398"/>
      <c r="L3660" s="404"/>
      <c r="M3660" s="682"/>
      <c r="N3660" s="171"/>
      <c r="O3660" s="171"/>
      <c r="P3660" s="169"/>
      <c r="Q3660" s="171"/>
      <c r="R3660" s="171"/>
      <c r="S3660" s="171"/>
      <c r="T3660" s="171"/>
      <c r="U3660" s="171"/>
      <c r="V3660" s="171"/>
      <c r="W3660" s="171"/>
      <c r="X3660" s="171"/>
      <c r="Y3660" s="171"/>
      <c r="Z3660" s="171"/>
      <c r="AA3660" s="171"/>
    </row>
    <row r="3661" spans="1:27" s="530" customFormat="1" ht="13.5" hidden="1" thickBot="1" x14ac:dyDescent="0.25">
      <c r="A3661" s="526"/>
      <c r="B3661" s="527"/>
      <c r="C3661" s="465"/>
      <c r="D3661" s="464"/>
      <c r="E3661" s="464"/>
      <c r="F3661" s="503" t="s">
        <v>246</v>
      </c>
      <c r="G3661" s="504" t="s">
        <v>247</v>
      </c>
      <c r="H3661" s="397"/>
      <c r="I3661" s="397"/>
      <c r="J3661" s="750"/>
      <c r="K3661" s="398"/>
      <c r="L3661" s="404"/>
      <c r="M3661" s="682"/>
      <c r="N3661" s="171"/>
      <c r="O3661" s="171"/>
      <c r="P3661" s="169"/>
      <c r="Q3661" s="171"/>
      <c r="R3661" s="171"/>
      <c r="S3661" s="171"/>
      <c r="T3661" s="171"/>
      <c r="U3661" s="171"/>
      <c r="V3661" s="171"/>
      <c r="W3661" s="171"/>
      <c r="X3661" s="171"/>
      <c r="Y3661" s="171"/>
      <c r="Z3661" s="171"/>
      <c r="AA3661" s="171"/>
    </row>
    <row r="3662" spans="1:27" s="530" customFormat="1" ht="26.25" hidden="1" thickBot="1" x14ac:dyDescent="0.25">
      <c r="A3662" s="526"/>
      <c r="B3662" s="527"/>
      <c r="C3662" s="465"/>
      <c r="D3662" s="464"/>
      <c r="E3662" s="464"/>
      <c r="F3662" s="503" t="s">
        <v>248</v>
      </c>
      <c r="G3662" s="504" t="s">
        <v>249</v>
      </c>
      <c r="H3662" s="397"/>
      <c r="I3662" s="397"/>
      <c r="J3662" s="750"/>
      <c r="K3662" s="398"/>
      <c r="L3662" s="404"/>
      <c r="M3662" s="682"/>
      <c r="N3662" s="171"/>
      <c r="O3662" s="171"/>
      <c r="P3662" s="169"/>
      <c r="Q3662" s="171"/>
      <c r="R3662" s="171"/>
      <c r="S3662" s="171"/>
      <c r="T3662" s="171"/>
      <c r="U3662" s="171"/>
      <c r="V3662" s="171"/>
      <c r="W3662" s="171"/>
      <c r="X3662" s="171"/>
      <c r="Y3662" s="171"/>
      <c r="Z3662" s="171"/>
      <c r="AA3662" s="171"/>
    </row>
    <row r="3663" spans="1:27" s="530" customFormat="1" ht="13.5" hidden="1" thickBot="1" x14ac:dyDescent="0.25">
      <c r="A3663" s="464"/>
      <c r="B3663" s="464"/>
      <c r="C3663" s="465"/>
      <c r="D3663" s="464"/>
      <c r="E3663" s="464"/>
      <c r="F3663" s="503" t="s">
        <v>250</v>
      </c>
      <c r="G3663" s="504" t="s">
        <v>57</v>
      </c>
      <c r="H3663" s="397"/>
      <c r="I3663" s="397"/>
      <c r="J3663" s="750"/>
      <c r="K3663" s="398"/>
      <c r="L3663" s="404"/>
      <c r="M3663" s="682"/>
      <c r="N3663" s="171"/>
      <c r="O3663" s="171"/>
      <c r="P3663" s="169"/>
      <c r="Q3663" s="171"/>
      <c r="R3663" s="171"/>
      <c r="S3663" s="171"/>
      <c r="T3663" s="171"/>
      <c r="U3663" s="171"/>
      <c r="V3663" s="171"/>
      <c r="W3663" s="171"/>
      <c r="X3663" s="171"/>
      <c r="Y3663" s="171"/>
      <c r="Z3663" s="171"/>
      <c r="AA3663" s="171"/>
    </row>
    <row r="3664" spans="1:27" s="530" customFormat="1" ht="13.5" hidden="1" thickBot="1" x14ac:dyDescent="0.25">
      <c r="A3664" s="464"/>
      <c r="B3664" s="464"/>
      <c r="C3664" s="465"/>
      <c r="D3664" s="464"/>
      <c r="E3664" s="464"/>
      <c r="F3664" s="503" t="s">
        <v>251</v>
      </c>
      <c r="G3664" s="504" t="s">
        <v>252</v>
      </c>
      <c r="H3664" s="397"/>
      <c r="I3664" s="397"/>
      <c r="J3664" s="750"/>
      <c r="K3664" s="398"/>
      <c r="L3664" s="404"/>
      <c r="M3664" s="682"/>
      <c r="N3664" s="171"/>
      <c r="O3664" s="171"/>
      <c r="P3664" s="169"/>
      <c r="Q3664" s="171"/>
      <c r="R3664" s="171"/>
      <c r="S3664" s="171"/>
      <c r="T3664" s="171"/>
      <c r="U3664" s="171"/>
      <c r="V3664" s="171"/>
      <c r="W3664" s="171"/>
      <c r="X3664" s="171"/>
      <c r="Y3664" s="171"/>
      <c r="Z3664" s="171"/>
      <c r="AA3664" s="171"/>
    </row>
    <row r="3665" spans="1:27" s="530" customFormat="1" ht="13.5" hidden="1" thickBot="1" x14ac:dyDescent="0.25">
      <c r="A3665" s="464"/>
      <c r="B3665" s="464"/>
      <c r="C3665" s="465"/>
      <c r="D3665" s="464"/>
      <c r="E3665" s="464"/>
      <c r="F3665" s="503" t="s">
        <v>253</v>
      </c>
      <c r="G3665" s="504" t="s">
        <v>254</v>
      </c>
      <c r="H3665" s="397"/>
      <c r="I3665" s="397"/>
      <c r="J3665" s="750"/>
      <c r="K3665" s="398"/>
      <c r="L3665" s="404"/>
      <c r="M3665" s="682"/>
      <c r="N3665" s="171"/>
      <c r="O3665" s="171"/>
      <c r="P3665" s="169"/>
      <c r="Q3665" s="171"/>
      <c r="R3665" s="171"/>
      <c r="S3665" s="171"/>
      <c r="T3665" s="171"/>
      <c r="U3665" s="171"/>
      <c r="V3665" s="171"/>
      <c r="W3665" s="171"/>
      <c r="X3665" s="171"/>
      <c r="Y3665" s="171"/>
      <c r="Z3665" s="171"/>
      <c r="AA3665" s="171"/>
    </row>
    <row r="3666" spans="1:27" s="530" customFormat="1" ht="26.25" hidden="1" thickBot="1" x14ac:dyDescent="0.25">
      <c r="A3666" s="464"/>
      <c r="B3666" s="464"/>
      <c r="C3666" s="465"/>
      <c r="D3666" s="464"/>
      <c r="E3666" s="464"/>
      <c r="F3666" s="503" t="s">
        <v>255</v>
      </c>
      <c r="G3666" s="504" t="s">
        <v>256</v>
      </c>
      <c r="H3666" s="397"/>
      <c r="I3666" s="397"/>
      <c r="J3666" s="750"/>
      <c r="K3666" s="398"/>
      <c r="L3666" s="404"/>
      <c r="M3666" s="682"/>
      <c r="N3666" s="171"/>
      <c r="O3666" s="171"/>
      <c r="P3666" s="169"/>
      <c r="Q3666" s="171"/>
      <c r="R3666" s="171"/>
      <c r="S3666" s="171"/>
      <c r="T3666" s="171"/>
      <c r="U3666" s="171"/>
      <c r="V3666" s="171"/>
      <c r="W3666" s="171"/>
      <c r="X3666" s="171"/>
      <c r="Y3666" s="171"/>
      <c r="Z3666" s="171"/>
      <c r="AA3666" s="171"/>
    </row>
    <row r="3667" spans="1:27" s="530" customFormat="1" ht="26.25" hidden="1" thickBot="1" x14ac:dyDescent="0.25">
      <c r="A3667" s="464"/>
      <c r="B3667" s="464"/>
      <c r="C3667" s="465"/>
      <c r="D3667" s="464"/>
      <c r="E3667" s="464"/>
      <c r="F3667" s="503" t="s">
        <v>257</v>
      </c>
      <c r="G3667" s="504" t="s">
        <v>258</v>
      </c>
      <c r="H3667" s="397"/>
      <c r="I3667" s="397"/>
      <c r="J3667" s="750"/>
      <c r="K3667" s="398"/>
      <c r="L3667" s="404"/>
      <c r="M3667" s="682"/>
      <c r="N3667" s="171"/>
      <c r="O3667" s="171"/>
      <c r="P3667" s="169"/>
      <c r="Q3667" s="171"/>
      <c r="R3667" s="171"/>
      <c r="S3667" s="171"/>
      <c r="T3667" s="171"/>
      <c r="U3667" s="171"/>
      <c r="V3667" s="171"/>
      <c r="W3667" s="171"/>
      <c r="X3667" s="171"/>
      <c r="Y3667" s="171"/>
      <c r="Z3667" s="171"/>
      <c r="AA3667" s="171"/>
    </row>
    <row r="3668" spans="1:27" s="530" customFormat="1" ht="26.25" hidden="1" thickBot="1" x14ac:dyDescent="0.25">
      <c r="A3668" s="464"/>
      <c r="B3668" s="464"/>
      <c r="C3668" s="465"/>
      <c r="D3668" s="464"/>
      <c r="E3668" s="464"/>
      <c r="F3668" s="503" t="s">
        <v>259</v>
      </c>
      <c r="G3668" s="504" t="s">
        <v>260</v>
      </c>
      <c r="H3668" s="397"/>
      <c r="I3668" s="397"/>
      <c r="J3668" s="750"/>
      <c r="K3668" s="398"/>
      <c r="L3668" s="404"/>
      <c r="M3668" s="682"/>
      <c r="N3668" s="171"/>
      <c r="O3668" s="171"/>
      <c r="P3668" s="169"/>
      <c r="Q3668" s="171"/>
      <c r="R3668" s="171"/>
      <c r="S3668" s="171"/>
      <c r="T3668" s="171"/>
      <c r="U3668" s="171"/>
      <c r="V3668" s="171"/>
      <c r="W3668" s="171"/>
      <c r="X3668" s="171"/>
      <c r="Y3668" s="171"/>
      <c r="Z3668" s="171"/>
      <c r="AA3668" s="171"/>
    </row>
    <row r="3669" spans="1:27" s="530" customFormat="1" ht="26.25" hidden="1" thickBot="1" x14ac:dyDescent="0.25">
      <c r="A3669" s="464"/>
      <c r="B3669" s="464"/>
      <c r="C3669" s="465"/>
      <c r="D3669" s="464"/>
      <c r="E3669" s="464"/>
      <c r="F3669" s="503" t="s">
        <v>261</v>
      </c>
      <c r="G3669" s="504" t="s">
        <v>262</v>
      </c>
      <c r="H3669" s="397"/>
      <c r="I3669" s="397"/>
      <c r="J3669" s="750"/>
      <c r="K3669" s="398"/>
      <c r="L3669" s="404"/>
      <c r="M3669" s="682"/>
      <c r="N3669" s="171"/>
      <c r="O3669" s="171"/>
      <c r="P3669" s="169"/>
      <c r="Q3669" s="171"/>
      <c r="R3669" s="171"/>
      <c r="S3669" s="171"/>
      <c r="T3669" s="171"/>
      <c r="U3669" s="171"/>
      <c r="V3669" s="171"/>
      <c r="W3669" s="171"/>
      <c r="X3669" s="171"/>
      <c r="Y3669" s="171"/>
      <c r="Z3669" s="171"/>
      <c r="AA3669" s="171"/>
    </row>
    <row r="3670" spans="1:27" s="530" customFormat="1" ht="13.5" hidden="1" thickBot="1" x14ac:dyDescent="0.25">
      <c r="A3670" s="464"/>
      <c r="B3670" s="464"/>
      <c r="C3670" s="465"/>
      <c r="D3670" s="464"/>
      <c r="E3670" s="464"/>
      <c r="F3670" s="503" t="s">
        <v>263</v>
      </c>
      <c r="G3670" s="504" t="s">
        <v>264</v>
      </c>
      <c r="H3670" s="403"/>
      <c r="I3670" s="403"/>
      <c r="J3670" s="750"/>
      <c r="K3670" s="404"/>
      <c r="L3670" s="404"/>
      <c r="M3670" s="682"/>
      <c r="N3670" s="171"/>
      <c r="O3670" s="171"/>
      <c r="P3670" s="169"/>
      <c r="Q3670" s="171"/>
      <c r="R3670" s="171"/>
      <c r="S3670" s="171"/>
      <c r="T3670" s="171"/>
      <c r="U3670" s="171"/>
      <c r="V3670" s="171"/>
      <c r="W3670" s="171"/>
      <c r="X3670" s="171"/>
      <c r="Y3670" s="171"/>
      <c r="Z3670" s="171"/>
      <c r="AA3670" s="171"/>
    </row>
    <row r="3671" spans="1:27" s="530" customFormat="1" ht="13.5" thickBot="1" x14ac:dyDescent="0.25">
      <c r="A3671" s="464"/>
      <c r="B3671" s="464"/>
      <c r="C3671" s="465"/>
      <c r="D3671" s="464"/>
      <c r="E3671" s="464"/>
      <c r="F3671" s="464"/>
      <c r="G3671" s="505" t="s">
        <v>4345</v>
      </c>
      <c r="H3671" s="405">
        <f>SUM(H3655:H3670)</f>
        <v>0</v>
      </c>
      <c r="I3671" s="405">
        <v>0</v>
      </c>
      <c r="J3671" s="750"/>
      <c r="K3671" s="406">
        <f>SUM(K3656:K3670)</f>
        <v>0</v>
      </c>
      <c r="L3671" s="406"/>
      <c r="M3671" s="682"/>
      <c r="N3671" s="171"/>
      <c r="O3671" s="171"/>
      <c r="P3671" s="169"/>
      <c r="Q3671" s="171"/>
      <c r="R3671" s="171"/>
      <c r="S3671" s="171"/>
      <c r="T3671" s="171"/>
      <c r="U3671" s="171"/>
      <c r="V3671" s="171"/>
      <c r="W3671" s="171"/>
      <c r="X3671" s="171"/>
      <c r="Y3671" s="171"/>
      <c r="Z3671" s="171"/>
      <c r="AA3671" s="171"/>
    </row>
    <row r="3672" spans="1:27" s="530" customFormat="1" x14ac:dyDescent="0.2">
      <c r="A3672" s="464"/>
      <c r="B3672" s="464"/>
      <c r="C3672" s="465"/>
      <c r="D3672" s="464"/>
      <c r="E3672" s="464"/>
      <c r="F3672" s="464"/>
      <c r="G3672" s="510" t="s">
        <v>5207</v>
      </c>
      <c r="H3672" s="411"/>
      <c r="I3672" s="411"/>
      <c r="J3672" s="750"/>
      <c r="K3672" s="412"/>
      <c r="L3672" s="412"/>
      <c r="M3672" s="682"/>
      <c r="N3672" s="171"/>
      <c r="O3672" s="171"/>
      <c r="P3672" s="169"/>
      <c r="Q3672" s="171"/>
      <c r="R3672" s="171"/>
      <c r="S3672" s="171"/>
      <c r="T3672" s="171"/>
      <c r="U3672" s="171"/>
      <c r="V3672" s="171"/>
      <c r="W3672" s="171"/>
      <c r="X3672" s="171"/>
      <c r="Y3672" s="171"/>
      <c r="Z3672" s="171"/>
      <c r="AA3672" s="171"/>
    </row>
    <row r="3673" spans="1:27" s="530" customFormat="1" ht="13.5" thickBot="1" x14ac:dyDescent="0.25">
      <c r="A3673" s="464"/>
      <c r="B3673" s="464"/>
      <c r="C3673" s="465"/>
      <c r="D3673" s="464"/>
      <c r="E3673" s="464"/>
      <c r="F3673" s="464" t="s">
        <v>234</v>
      </c>
      <c r="G3673" s="564" t="s">
        <v>235</v>
      </c>
      <c r="H3673" s="429">
        <f>SUM(H3594:H3653)</f>
        <v>0</v>
      </c>
      <c r="I3673" s="429">
        <v>0</v>
      </c>
      <c r="J3673" s="750"/>
      <c r="K3673" s="430"/>
      <c r="L3673" s="431"/>
      <c r="M3673" s="682"/>
      <c r="N3673" s="171"/>
      <c r="O3673" s="171"/>
      <c r="P3673" s="169"/>
      <c r="Q3673" s="171"/>
      <c r="R3673" s="171"/>
      <c r="S3673" s="171"/>
      <c r="T3673" s="171"/>
      <c r="U3673" s="171"/>
      <c r="V3673" s="171"/>
      <c r="W3673" s="171"/>
      <c r="X3673" s="171"/>
      <c r="Y3673" s="171"/>
      <c r="Z3673" s="171"/>
      <c r="AA3673" s="171"/>
    </row>
    <row r="3674" spans="1:27" s="530" customFormat="1" hidden="1" x14ac:dyDescent="0.2">
      <c r="A3674" s="464"/>
      <c r="B3674" s="464"/>
      <c r="C3674" s="465"/>
      <c r="D3674" s="464"/>
      <c r="E3674" s="464"/>
      <c r="F3674" s="464" t="s">
        <v>236</v>
      </c>
      <c r="G3674" s="510" t="s">
        <v>237</v>
      </c>
      <c r="H3674" s="411"/>
      <c r="I3674" s="411"/>
      <c r="J3674" s="750"/>
      <c r="K3674" s="412"/>
      <c r="L3674" s="412"/>
      <c r="M3674" s="682"/>
      <c r="N3674" s="171"/>
      <c r="O3674" s="171"/>
      <c r="P3674" s="169"/>
      <c r="Q3674" s="171"/>
      <c r="R3674" s="171"/>
      <c r="S3674" s="171"/>
      <c r="T3674" s="171"/>
      <c r="U3674" s="171"/>
      <c r="V3674" s="171"/>
      <c r="W3674" s="171"/>
      <c r="X3674" s="171"/>
      <c r="Y3674" s="171"/>
      <c r="Z3674" s="171"/>
      <c r="AA3674" s="171"/>
    </row>
    <row r="3675" spans="1:27" s="530" customFormat="1" hidden="1" x14ac:dyDescent="0.2">
      <c r="A3675" s="464"/>
      <c r="B3675" s="464"/>
      <c r="C3675" s="465"/>
      <c r="D3675" s="464"/>
      <c r="E3675" s="464"/>
      <c r="F3675" s="464" t="s">
        <v>238</v>
      </c>
      <c r="G3675" s="510" t="s">
        <v>239</v>
      </c>
      <c r="H3675" s="411"/>
      <c r="I3675" s="411"/>
      <c r="J3675" s="750"/>
      <c r="K3675" s="412"/>
      <c r="L3675" s="412"/>
      <c r="M3675" s="682"/>
      <c r="N3675" s="171"/>
      <c r="O3675" s="171"/>
      <c r="P3675" s="169"/>
      <c r="Q3675" s="171"/>
      <c r="R3675" s="171"/>
      <c r="S3675" s="171"/>
      <c r="T3675" s="171"/>
      <c r="U3675" s="171"/>
      <c r="V3675" s="171"/>
      <c r="W3675" s="171"/>
      <c r="X3675" s="171"/>
      <c r="Y3675" s="171"/>
      <c r="Z3675" s="171"/>
      <c r="AA3675" s="171"/>
    </row>
    <row r="3676" spans="1:27" s="530" customFormat="1" hidden="1" x14ac:dyDescent="0.2">
      <c r="A3676" s="464"/>
      <c r="B3676" s="464"/>
      <c r="C3676" s="465"/>
      <c r="D3676" s="464"/>
      <c r="E3676" s="464"/>
      <c r="F3676" s="464" t="s">
        <v>240</v>
      </c>
      <c r="G3676" s="510" t="s">
        <v>241</v>
      </c>
      <c r="H3676" s="411"/>
      <c r="I3676" s="411"/>
      <c r="J3676" s="750"/>
      <c r="K3676" s="412"/>
      <c r="L3676" s="412"/>
      <c r="M3676" s="682"/>
      <c r="N3676" s="171"/>
      <c r="O3676" s="171"/>
      <c r="P3676" s="169"/>
      <c r="Q3676" s="171"/>
      <c r="R3676" s="171"/>
      <c r="S3676" s="171"/>
      <c r="T3676" s="171"/>
      <c r="U3676" s="171"/>
      <c r="V3676" s="171"/>
      <c r="W3676" s="171"/>
      <c r="X3676" s="171"/>
      <c r="Y3676" s="171"/>
      <c r="Z3676" s="171"/>
      <c r="AA3676" s="171"/>
    </row>
    <row r="3677" spans="1:27" s="530" customFormat="1" hidden="1" x14ac:dyDescent="0.2">
      <c r="A3677" s="464"/>
      <c r="B3677" s="464"/>
      <c r="C3677" s="465"/>
      <c r="D3677" s="464"/>
      <c r="E3677" s="464"/>
      <c r="F3677" s="464" t="s">
        <v>242</v>
      </c>
      <c r="G3677" s="510" t="s">
        <v>243</v>
      </c>
      <c r="H3677" s="411"/>
      <c r="I3677" s="411"/>
      <c r="J3677" s="750"/>
      <c r="K3677" s="412"/>
      <c r="L3677" s="412"/>
      <c r="M3677" s="682"/>
      <c r="N3677" s="171"/>
      <c r="O3677" s="171"/>
      <c r="P3677" s="169"/>
      <c r="Q3677" s="171"/>
      <c r="R3677" s="171"/>
      <c r="S3677" s="171"/>
      <c r="T3677" s="171"/>
      <c r="U3677" s="171"/>
      <c r="V3677" s="171"/>
      <c r="W3677" s="171"/>
      <c r="X3677" s="171"/>
      <c r="Y3677" s="171"/>
      <c r="Z3677" s="171"/>
      <c r="AA3677" s="171"/>
    </row>
    <row r="3678" spans="1:27" s="530" customFormat="1" hidden="1" x14ac:dyDescent="0.2">
      <c r="A3678" s="464"/>
      <c r="B3678" s="464"/>
      <c r="C3678" s="465"/>
      <c r="D3678" s="464"/>
      <c r="E3678" s="464"/>
      <c r="F3678" s="464" t="s">
        <v>244</v>
      </c>
      <c r="G3678" s="510" t="s">
        <v>245</v>
      </c>
      <c r="H3678" s="411"/>
      <c r="I3678" s="411"/>
      <c r="J3678" s="750"/>
      <c r="K3678" s="412"/>
      <c r="L3678" s="412"/>
      <c r="M3678" s="682"/>
      <c r="N3678" s="171"/>
      <c r="O3678" s="171"/>
      <c r="P3678" s="169"/>
      <c r="Q3678" s="171"/>
      <c r="R3678" s="171"/>
      <c r="S3678" s="171"/>
      <c r="T3678" s="171"/>
      <c r="U3678" s="171"/>
      <c r="V3678" s="171"/>
      <c r="W3678" s="171"/>
      <c r="X3678" s="171"/>
      <c r="Y3678" s="171"/>
      <c r="Z3678" s="171"/>
      <c r="AA3678" s="171"/>
    </row>
    <row r="3679" spans="1:27" s="530" customFormat="1" hidden="1" x14ac:dyDescent="0.2">
      <c r="A3679" s="464"/>
      <c r="B3679" s="464"/>
      <c r="C3679" s="465"/>
      <c r="D3679" s="464"/>
      <c r="E3679" s="464"/>
      <c r="F3679" s="464" t="s">
        <v>246</v>
      </c>
      <c r="G3679" s="510" t="s">
        <v>247</v>
      </c>
      <c r="H3679" s="411"/>
      <c r="I3679" s="411"/>
      <c r="J3679" s="750"/>
      <c r="K3679" s="412"/>
      <c r="L3679" s="412"/>
      <c r="M3679" s="682"/>
      <c r="N3679" s="171"/>
      <c r="O3679" s="171"/>
      <c r="P3679" s="169"/>
      <c r="Q3679" s="171"/>
      <c r="R3679" s="171"/>
      <c r="S3679" s="171"/>
      <c r="T3679" s="171"/>
      <c r="U3679" s="171"/>
      <c r="V3679" s="171"/>
      <c r="W3679" s="171"/>
      <c r="X3679" s="171"/>
      <c r="Y3679" s="171"/>
      <c r="Z3679" s="171"/>
      <c r="AA3679" s="171"/>
    </row>
    <row r="3680" spans="1:27" s="530" customFormat="1" ht="25.5" hidden="1" x14ac:dyDescent="0.2">
      <c r="A3680" s="464"/>
      <c r="B3680" s="464"/>
      <c r="C3680" s="465"/>
      <c r="D3680" s="464"/>
      <c r="E3680" s="464"/>
      <c r="F3680" s="464" t="s">
        <v>248</v>
      </c>
      <c r="G3680" s="510" t="s">
        <v>249</v>
      </c>
      <c r="H3680" s="411"/>
      <c r="I3680" s="411"/>
      <c r="J3680" s="750"/>
      <c r="K3680" s="412"/>
      <c r="L3680" s="412"/>
      <c r="M3680" s="682"/>
      <c r="N3680" s="171"/>
      <c r="O3680" s="171"/>
      <c r="P3680" s="169"/>
      <c r="Q3680" s="171"/>
      <c r="R3680" s="171"/>
      <c r="S3680" s="171"/>
      <c r="T3680" s="171"/>
      <c r="U3680" s="171"/>
      <c r="V3680" s="171"/>
      <c r="W3680" s="171"/>
      <c r="X3680" s="171"/>
      <c r="Y3680" s="171"/>
      <c r="Z3680" s="171"/>
      <c r="AA3680" s="171"/>
    </row>
    <row r="3681" spans="1:27" s="530" customFormat="1" hidden="1" x14ac:dyDescent="0.2">
      <c r="A3681" s="464"/>
      <c r="B3681" s="464"/>
      <c r="C3681" s="465"/>
      <c r="D3681" s="464"/>
      <c r="E3681" s="464"/>
      <c r="F3681" s="464" t="s">
        <v>250</v>
      </c>
      <c r="G3681" s="510" t="s">
        <v>57</v>
      </c>
      <c r="H3681" s="411"/>
      <c r="I3681" s="411"/>
      <c r="J3681" s="750"/>
      <c r="K3681" s="412"/>
      <c r="L3681" s="412"/>
      <c r="M3681" s="682"/>
      <c r="N3681" s="171"/>
      <c r="O3681" s="171"/>
      <c r="P3681" s="169"/>
      <c r="Q3681" s="171"/>
      <c r="R3681" s="171"/>
      <c r="S3681" s="171"/>
      <c r="T3681" s="171"/>
      <c r="U3681" s="171"/>
      <c r="V3681" s="171"/>
      <c r="W3681" s="171"/>
      <c r="X3681" s="171"/>
      <c r="Y3681" s="171"/>
      <c r="Z3681" s="171"/>
      <c r="AA3681" s="171"/>
    </row>
    <row r="3682" spans="1:27" s="530" customFormat="1" hidden="1" x14ac:dyDescent="0.2">
      <c r="A3682" s="464"/>
      <c r="B3682" s="464"/>
      <c r="C3682" s="465"/>
      <c r="D3682" s="464"/>
      <c r="E3682" s="464"/>
      <c r="F3682" s="464" t="s">
        <v>251</v>
      </c>
      <c r="G3682" s="510" t="s">
        <v>252</v>
      </c>
      <c r="H3682" s="411"/>
      <c r="I3682" s="411"/>
      <c r="J3682" s="750"/>
      <c r="K3682" s="412"/>
      <c r="L3682" s="412"/>
      <c r="M3682" s="682"/>
      <c r="N3682" s="171"/>
      <c r="O3682" s="171"/>
      <c r="P3682" s="169"/>
      <c r="Q3682" s="171"/>
      <c r="R3682" s="171"/>
      <c r="S3682" s="171"/>
      <c r="T3682" s="171"/>
      <c r="U3682" s="171"/>
      <c r="V3682" s="171"/>
      <c r="W3682" s="171"/>
      <c r="X3682" s="171"/>
      <c r="Y3682" s="171"/>
      <c r="Z3682" s="171"/>
      <c r="AA3682" s="171"/>
    </row>
    <row r="3683" spans="1:27" s="530" customFormat="1" hidden="1" x14ac:dyDescent="0.2">
      <c r="A3683" s="464"/>
      <c r="B3683" s="464"/>
      <c r="C3683" s="465"/>
      <c r="D3683" s="464"/>
      <c r="E3683" s="464"/>
      <c r="F3683" s="464" t="s">
        <v>253</v>
      </c>
      <c r="G3683" s="510" t="s">
        <v>254</v>
      </c>
      <c r="H3683" s="411"/>
      <c r="I3683" s="411"/>
      <c r="J3683" s="750"/>
      <c r="K3683" s="412"/>
      <c r="L3683" s="412"/>
      <c r="M3683" s="682"/>
      <c r="N3683" s="171"/>
      <c r="O3683" s="171"/>
      <c r="P3683" s="169"/>
      <c r="Q3683" s="171"/>
      <c r="R3683" s="171"/>
      <c r="S3683" s="171"/>
      <c r="T3683" s="171"/>
      <c r="U3683" s="171"/>
      <c r="V3683" s="171"/>
      <c r="W3683" s="171"/>
      <c r="X3683" s="171"/>
      <c r="Y3683" s="171"/>
      <c r="Z3683" s="171"/>
      <c r="AA3683" s="171"/>
    </row>
    <row r="3684" spans="1:27" s="530" customFormat="1" ht="25.5" hidden="1" x14ac:dyDescent="0.2">
      <c r="A3684" s="464"/>
      <c r="B3684" s="464"/>
      <c r="C3684" s="465"/>
      <c r="D3684" s="464"/>
      <c r="E3684" s="464"/>
      <c r="F3684" s="464" t="s">
        <v>255</v>
      </c>
      <c r="G3684" s="510" t="s">
        <v>256</v>
      </c>
      <c r="H3684" s="411"/>
      <c r="I3684" s="411"/>
      <c r="J3684" s="750"/>
      <c r="K3684" s="412"/>
      <c r="L3684" s="412"/>
      <c r="M3684" s="682"/>
      <c r="N3684" s="171"/>
      <c r="O3684" s="171"/>
      <c r="P3684" s="169"/>
      <c r="Q3684" s="171"/>
      <c r="R3684" s="171"/>
      <c r="S3684" s="171"/>
      <c r="T3684" s="171"/>
      <c r="U3684" s="171"/>
      <c r="V3684" s="171"/>
      <c r="W3684" s="171"/>
      <c r="X3684" s="171"/>
      <c r="Y3684" s="171"/>
      <c r="Z3684" s="171"/>
      <c r="AA3684" s="171"/>
    </row>
    <row r="3685" spans="1:27" s="530" customFormat="1" ht="25.5" hidden="1" x14ac:dyDescent="0.2">
      <c r="A3685" s="464"/>
      <c r="B3685" s="464"/>
      <c r="C3685" s="465"/>
      <c r="D3685" s="464"/>
      <c r="E3685" s="464"/>
      <c r="F3685" s="464" t="s">
        <v>257</v>
      </c>
      <c r="G3685" s="510" t="s">
        <v>258</v>
      </c>
      <c r="H3685" s="411"/>
      <c r="I3685" s="411"/>
      <c r="J3685" s="750"/>
      <c r="K3685" s="412"/>
      <c r="L3685" s="412"/>
      <c r="M3685" s="682"/>
      <c r="N3685" s="171"/>
      <c r="O3685" s="171"/>
      <c r="P3685" s="169"/>
      <c r="Q3685" s="171"/>
      <c r="R3685" s="171"/>
      <c r="S3685" s="171"/>
      <c r="T3685" s="171"/>
      <c r="U3685" s="171"/>
      <c r="V3685" s="171"/>
      <c r="W3685" s="171"/>
      <c r="X3685" s="171"/>
      <c r="Y3685" s="171"/>
      <c r="Z3685" s="171"/>
      <c r="AA3685" s="171"/>
    </row>
    <row r="3686" spans="1:27" s="530" customFormat="1" ht="25.5" hidden="1" x14ac:dyDescent="0.2">
      <c r="A3686" s="464"/>
      <c r="B3686" s="464"/>
      <c r="C3686" s="465"/>
      <c r="D3686" s="464"/>
      <c r="E3686" s="464"/>
      <c r="F3686" s="464" t="s">
        <v>259</v>
      </c>
      <c r="G3686" s="510" t="s">
        <v>260</v>
      </c>
      <c r="H3686" s="411"/>
      <c r="I3686" s="411"/>
      <c r="J3686" s="750"/>
      <c r="K3686" s="412"/>
      <c r="L3686" s="412"/>
      <c r="M3686" s="682"/>
      <c r="N3686" s="171"/>
      <c r="O3686" s="171"/>
      <c r="P3686" s="169"/>
      <c r="Q3686" s="171"/>
      <c r="R3686" s="171"/>
      <c r="S3686" s="171"/>
      <c r="T3686" s="171"/>
      <c r="U3686" s="171"/>
      <c r="V3686" s="171"/>
      <c r="W3686" s="171"/>
      <c r="X3686" s="171"/>
      <c r="Y3686" s="171"/>
      <c r="Z3686" s="171"/>
      <c r="AA3686" s="171"/>
    </row>
    <row r="3687" spans="1:27" s="530" customFormat="1" ht="25.5" hidden="1" x14ac:dyDescent="0.2">
      <c r="A3687" s="464"/>
      <c r="B3687" s="464"/>
      <c r="C3687" s="465"/>
      <c r="D3687" s="464"/>
      <c r="E3687" s="464"/>
      <c r="F3687" s="464" t="s">
        <v>261</v>
      </c>
      <c r="G3687" s="510" t="s">
        <v>262</v>
      </c>
      <c r="H3687" s="411"/>
      <c r="I3687" s="411"/>
      <c r="J3687" s="750"/>
      <c r="K3687" s="412"/>
      <c r="L3687" s="412"/>
      <c r="M3687" s="682"/>
      <c r="N3687" s="171"/>
      <c r="O3687" s="171"/>
      <c r="P3687" s="169"/>
      <c r="Q3687" s="171"/>
      <c r="R3687" s="171"/>
      <c r="S3687" s="171"/>
      <c r="T3687" s="171"/>
      <c r="U3687" s="171"/>
      <c r="V3687" s="171"/>
      <c r="W3687" s="171"/>
      <c r="X3687" s="171"/>
      <c r="Y3687" s="171"/>
      <c r="Z3687" s="171"/>
      <c r="AA3687" s="171"/>
    </row>
    <row r="3688" spans="1:27" s="530" customFormat="1" hidden="1" x14ac:dyDescent="0.2">
      <c r="A3688" s="464"/>
      <c r="B3688" s="464"/>
      <c r="C3688" s="465"/>
      <c r="D3688" s="464"/>
      <c r="E3688" s="464"/>
      <c r="F3688" s="464" t="s">
        <v>263</v>
      </c>
      <c r="G3688" s="510" t="s">
        <v>264</v>
      </c>
      <c r="H3688" s="411"/>
      <c r="I3688" s="411"/>
      <c r="J3688" s="750"/>
      <c r="K3688" s="412"/>
      <c r="L3688" s="412"/>
      <c r="M3688" s="682"/>
      <c r="N3688" s="171"/>
      <c r="O3688" s="171"/>
      <c r="P3688" s="169"/>
      <c r="Q3688" s="171"/>
      <c r="R3688" s="171"/>
      <c r="S3688" s="171"/>
      <c r="T3688" s="171"/>
      <c r="U3688" s="171"/>
      <c r="V3688" s="171"/>
      <c r="W3688" s="171"/>
      <c r="X3688" s="171"/>
      <c r="Y3688" s="171"/>
      <c r="Z3688" s="171"/>
      <c r="AA3688" s="171"/>
    </row>
    <row r="3689" spans="1:27" s="530" customFormat="1" ht="13.5" customHeight="1" thickBot="1" x14ac:dyDescent="0.25">
      <c r="A3689" s="464"/>
      <c r="B3689" s="464"/>
      <c r="C3689" s="465"/>
      <c r="D3689" s="464"/>
      <c r="E3689" s="464"/>
      <c r="F3689" s="464"/>
      <c r="G3689" s="565" t="s">
        <v>5208</v>
      </c>
      <c r="H3689" s="432">
        <f>SUM(H3673:H3688)</f>
        <v>0</v>
      </c>
      <c r="I3689" s="432">
        <v>0</v>
      </c>
      <c r="J3689" s="750"/>
      <c r="K3689" s="430">
        <f>SUM(K3674:K3688)</f>
        <v>0</v>
      </c>
      <c r="L3689" s="430"/>
      <c r="M3689" s="682"/>
      <c r="N3689" s="171"/>
      <c r="O3689" s="171"/>
      <c r="P3689" s="169"/>
      <c r="Q3689" s="171"/>
      <c r="R3689" s="171"/>
      <c r="S3689" s="171"/>
      <c r="T3689" s="171"/>
      <c r="U3689" s="171"/>
      <c r="V3689" s="171"/>
      <c r="W3689" s="171"/>
      <c r="X3689" s="171"/>
      <c r="Y3689" s="171"/>
      <c r="Z3689" s="171"/>
      <c r="AA3689" s="171"/>
    </row>
    <row r="3690" spans="1:27" s="530" customFormat="1" ht="1.5" customHeight="1" x14ac:dyDescent="0.2">
      <c r="A3690" s="526"/>
      <c r="B3690" s="527"/>
      <c r="C3690" s="465"/>
      <c r="D3690" s="464"/>
      <c r="E3690" s="464"/>
      <c r="F3690" s="464"/>
      <c r="G3690" s="510"/>
      <c r="H3690" s="411"/>
      <c r="I3690" s="411"/>
      <c r="J3690" s="750"/>
      <c r="K3690" s="412"/>
      <c r="L3690" s="412"/>
      <c r="M3690" s="682"/>
      <c r="N3690" s="171"/>
      <c r="O3690" s="171"/>
      <c r="P3690" s="169"/>
      <c r="Q3690" s="171"/>
      <c r="R3690" s="171"/>
      <c r="S3690" s="171"/>
      <c r="T3690" s="171"/>
      <c r="U3690" s="171"/>
      <c r="V3690" s="171"/>
      <c r="W3690" s="171"/>
      <c r="X3690" s="171"/>
      <c r="Y3690" s="171"/>
      <c r="Z3690" s="171"/>
      <c r="AA3690" s="171"/>
    </row>
    <row r="3691" spans="1:27" s="530" customFormat="1" x14ac:dyDescent="0.2">
      <c r="A3691" s="526"/>
      <c r="B3691" s="527"/>
      <c r="C3691" s="542" t="s">
        <v>4637</v>
      </c>
      <c r="D3691" s="173"/>
      <c r="E3691" s="173"/>
      <c r="F3691" s="502"/>
      <c r="G3691" s="510" t="s">
        <v>5209</v>
      </c>
      <c r="H3691" s="397"/>
      <c r="I3691" s="397"/>
      <c r="J3691" s="750"/>
      <c r="K3691" s="398"/>
      <c r="L3691" s="398"/>
      <c r="M3691" s="682"/>
      <c r="N3691" s="171"/>
      <c r="O3691" s="171"/>
      <c r="P3691" s="169"/>
      <c r="Q3691" s="171"/>
      <c r="R3691" s="171"/>
      <c r="S3691" s="171"/>
      <c r="T3691" s="171"/>
      <c r="U3691" s="171"/>
      <c r="V3691" s="171"/>
      <c r="W3691" s="171"/>
      <c r="X3691" s="171"/>
      <c r="Y3691" s="171"/>
      <c r="Z3691" s="171"/>
      <c r="AA3691" s="171"/>
    </row>
    <row r="3692" spans="1:27" s="530" customFormat="1" x14ac:dyDescent="0.2">
      <c r="A3692" s="526"/>
      <c r="B3692" s="527"/>
      <c r="C3692" s="489"/>
      <c r="D3692" s="492">
        <v>620</v>
      </c>
      <c r="E3692" s="492"/>
      <c r="F3692" s="492"/>
      <c r="G3692" s="514" t="s">
        <v>182</v>
      </c>
      <c r="H3692" s="397"/>
      <c r="I3692" s="397"/>
      <c r="J3692" s="750"/>
      <c r="K3692" s="398"/>
      <c r="L3692" s="398"/>
      <c r="M3692" s="682"/>
      <c r="N3692" s="171"/>
      <c r="O3692" s="171"/>
      <c r="P3692" s="169"/>
      <c r="Q3692" s="171"/>
      <c r="R3692" s="171"/>
      <c r="S3692" s="171"/>
      <c r="T3692" s="171"/>
      <c r="U3692" s="171"/>
      <c r="V3692" s="171"/>
      <c r="W3692" s="171"/>
      <c r="X3692" s="171"/>
      <c r="Y3692" s="171"/>
      <c r="Z3692" s="171"/>
      <c r="AA3692" s="171"/>
    </row>
    <row r="3693" spans="1:27" s="530" customFormat="1" hidden="1" x14ac:dyDescent="0.2">
      <c r="A3693" s="526"/>
      <c r="B3693" s="527"/>
      <c r="C3693" s="465"/>
      <c r="D3693" s="464"/>
      <c r="E3693" s="464"/>
      <c r="F3693" s="494">
        <v>411</v>
      </c>
      <c r="G3693" s="495" t="s">
        <v>4167</v>
      </c>
      <c r="H3693" s="397"/>
      <c r="I3693" s="397"/>
      <c r="J3693" s="750" t="e">
        <f t="shared" ref="J3693:J3724" si="41">SUM(I3693/H3693)*100</f>
        <v>#DIV/0!</v>
      </c>
      <c r="K3693" s="398"/>
      <c r="L3693" s="398"/>
      <c r="M3693" s="682"/>
      <c r="N3693" s="171"/>
      <c r="O3693" s="171"/>
      <c r="P3693" s="169"/>
      <c r="Q3693" s="171"/>
      <c r="R3693" s="171"/>
      <c r="S3693" s="171"/>
      <c r="T3693" s="171"/>
      <c r="U3693" s="171"/>
      <c r="V3693" s="171"/>
      <c r="W3693" s="171"/>
      <c r="X3693" s="171"/>
      <c r="Y3693" s="171"/>
      <c r="Z3693" s="171"/>
      <c r="AA3693" s="171"/>
    </row>
    <row r="3694" spans="1:27" s="530" customFormat="1" hidden="1" x14ac:dyDescent="0.2">
      <c r="A3694" s="526"/>
      <c r="B3694" s="527"/>
      <c r="C3694" s="465"/>
      <c r="D3694" s="464"/>
      <c r="E3694" s="464"/>
      <c r="F3694" s="494">
        <v>412</v>
      </c>
      <c r="G3694" s="496" t="s">
        <v>3764</v>
      </c>
      <c r="H3694" s="397"/>
      <c r="I3694" s="397"/>
      <c r="J3694" s="750" t="e">
        <f t="shared" si="41"/>
        <v>#DIV/0!</v>
      </c>
      <c r="K3694" s="398"/>
      <c r="L3694" s="398"/>
      <c r="M3694" s="682"/>
      <c r="N3694" s="171"/>
      <c r="O3694" s="171"/>
      <c r="P3694" s="169"/>
      <c r="Q3694" s="171"/>
      <c r="R3694" s="171"/>
      <c r="S3694" s="171"/>
      <c r="T3694" s="171"/>
      <c r="U3694" s="171"/>
      <c r="V3694" s="171"/>
      <c r="W3694" s="171"/>
      <c r="X3694" s="171"/>
      <c r="Y3694" s="171"/>
      <c r="Z3694" s="171"/>
      <c r="AA3694" s="171"/>
    </row>
    <row r="3695" spans="1:27" s="530" customFormat="1" hidden="1" x14ac:dyDescent="0.2">
      <c r="A3695" s="526"/>
      <c r="B3695" s="527"/>
      <c r="C3695" s="465"/>
      <c r="D3695" s="464"/>
      <c r="E3695" s="464"/>
      <c r="F3695" s="494">
        <v>413</v>
      </c>
      <c r="G3695" s="495" t="s">
        <v>4168</v>
      </c>
      <c r="H3695" s="397"/>
      <c r="I3695" s="397"/>
      <c r="J3695" s="750" t="e">
        <f t="shared" si="41"/>
        <v>#DIV/0!</v>
      </c>
      <c r="K3695" s="398"/>
      <c r="L3695" s="398"/>
      <c r="M3695" s="682"/>
      <c r="N3695" s="171"/>
      <c r="O3695" s="171"/>
      <c r="P3695" s="169"/>
      <c r="Q3695" s="171"/>
      <c r="R3695" s="171"/>
      <c r="S3695" s="171"/>
      <c r="T3695" s="171"/>
      <c r="U3695" s="171"/>
      <c r="V3695" s="171"/>
      <c r="W3695" s="171"/>
      <c r="X3695" s="171"/>
      <c r="Y3695" s="171"/>
      <c r="Z3695" s="171"/>
      <c r="AA3695" s="171"/>
    </row>
    <row r="3696" spans="1:27" s="530" customFormat="1" hidden="1" x14ac:dyDescent="0.2">
      <c r="A3696" s="526"/>
      <c r="B3696" s="527"/>
      <c r="C3696" s="465"/>
      <c r="D3696" s="464"/>
      <c r="E3696" s="464"/>
      <c r="F3696" s="494">
        <v>414</v>
      </c>
      <c r="G3696" s="495" t="s">
        <v>3767</v>
      </c>
      <c r="H3696" s="397"/>
      <c r="I3696" s="397"/>
      <c r="J3696" s="750" t="e">
        <f t="shared" si="41"/>
        <v>#DIV/0!</v>
      </c>
      <c r="K3696" s="398"/>
      <c r="L3696" s="398"/>
      <c r="M3696" s="682"/>
      <c r="N3696" s="171"/>
      <c r="O3696" s="171"/>
      <c r="P3696" s="169"/>
      <c r="Q3696" s="171"/>
      <c r="R3696" s="171"/>
      <c r="S3696" s="171"/>
      <c r="T3696" s="171"/>
      <c r="U3696" s="171"/>
      <c r="V3696" s="171"/>
      <c r="W3696" s="171"/>
      <c r="X3696" s="171"/>
      <c r="Y3696" s="171"/>
      <c r="Z3696" s="171"/>
      <c r="AA3696" s="171"/>
    </row>
    <row r="3697" spans="1:27" s="530" customFormat="1" hidden="1" x14ac:dyDescent="0.2">
      <c r="A3697" s="526"/>
      <c r="B3697" s="527"/>
      <c r="C3697" s="465"/>
      <c r="D3697" s="464"/>
      <c r="E3697" s="464"/>
      <c r="F3697" s="494">
        <v>415</v>
      </c>
      <c r="G3697" s="495" t="s">
        <v>4177</v>
      </c>
      <c r="H3697" s="397"/>
      <c r="I3697" s="397"/>
      <c r="J3697" s="750" t="e">
        <f t="shared" si="41"/>
        <v>#DIV/0!</v>
      </c>
      <c r="K3697" s="398"/>
      <c r="L3697" s="398"/>
      <c r="M3697" s="682"/>
      <c r="N3697" s="171"/>
      <c r="O3697" s="171"/>
      <c r="P3697" s="169"/>
      <c r="Q3697" s="171"/>
      <c r="R3697" s="171"/>
      <c r="S3697" s="171"/>
      <c r="T3697" s="171"/>
      <c r="U3697" s="171"/>
      <c r="V3697" s="171"/>
      <c r="W3697" s="171"/>
      <c r="X3697" s="171"/>
      <c r="Y3697" s="171"/>
      <c r="Z3697" s="171"/>
      <c r="AA3697" s="171"/>
    </row>
    <row r="3698" spans="1:27" s="530" customFormat="1" ht="25.5" hidden="1" x14ac:dyDescent="0.2">
      <c r="A3698" s="526"/>
      <c r="B3698" s="527"/>
      <c r="C3698" s="465"/>
      <c r="D3698" s="464"/>
      <c r="E3698" s="464"/>
      <c r="F3698" s="494">
        <v>416</v>
      </c>
      <c r="G3698" s="495" t="s">
        <v>4178</v>
      </c>
      <c r="H3698" s="397"/>
      <c r="I3698" s="397"/>
      <c r="J3698" s="750" t="e">
        <f t="shared" si="41"/>
        <v>#DIV/0!</v>
      </c>
      <c r="K3698" s="398"/>
      <c r="L3698" s="398"/>
      <c r="M3698" s="682"/>
      <c r="N3698" s="171"/>
      <c r="O3698" s="171"/>
      <c r="P3698" s="169"/>
      <c r="Q3698" s="171"/>
      <c r="R3698" s="171"/>
      <c r="S3698" s="171"/>
      <c r="T3698" s="171"/>
      <c r="U3698" s="171"/>
      <c r="V3698" s="171"/>
      <c r="W3698" s="171"/>
      <c r="X3698" s="171"/>
      <c r="Y3698" s="171"/>
      <c r="Z3698" s="171"/>
      <c r="AA3698" s="171"/>
    </row>
    <row r="3699" spans="1:27" s="530" customFormat="1" hidden="1" x14ac:dyDescent="0.2">
      <c r="A3699" s="526"/>
      <c r="B3699" s="527"/>
      <c r="C3699" s="465"/>
      <c r="D3699" s="464"/>
      <c r="E3699" s="464"/>
      <c r="F3699" s="494">
        <v>417</v>
      </c>
      <c r="G3699" s="495" t="s">
        <v>4179</v>
      </c>
      <c r="H3699" s="397"/>
      <c r="I3699" s="397"/>
      <c r="J3699" s="750" t="e">
        <f t="shared" si="41"/>
        <v>#DIV/0!</v>
      </c>
      <c r="K3699" s="398"/>
      <c r="L3699" s="398"/>
      <c r="M3699" s="682"/>
      <c r="N3699" s="171"/>
      <c r="O3699" s="171"/>
      <c r="P3699" s="169"/>
      <c r="Q3699" s="171"/>
      <c r="R3699" s="171"/>
      <c r="S3699" s="171"/>
      <c r="T3699" s="171"/>
      <c r="U3699" s="171"/>
      <c r="V3699" s="171"/>
      <c r="W3699" s="171"/>
      <c r="X3699" s="171"/>
      <c r="Y3699" s="171"/>
      <c r="Z3699" s="171"/>
      <c r="AA3699" s="171"/>
    </row>
    <row r="3700" spans="1:27" s="530" customFormat="1" hidden="1" x14ac:dyDescent="0.2">
      <c r="A3700" s="526"/>
      <c r="B3700" s="527"/>
      <c r="C3700" s="465"/>
      <c r="D3700" s="464"/>
      <c r="E3700" s="464"/>
      <c r="F3700" s="494">
        <v>418</v>
      </c>
      <c r="G3700" s="495" t="s">
        <v>3773</v>
      </c>
      <c r="H3700" s="397"/>
      <c r="I3700" s="397"/>
      <c r="J3700" s="750" t="e">
        <f t="shared" si="41"/>
        <v>#DIV/0!</v>
      </c>
      <c r="K3700" s="398"/>
      <c r="L3700" s="398"/>
      <c r="M3700" s="682"/>
      <c r="N3700" s="171"/>
      <c r="O3700" s="171"/>
      <c r="P3700" s="169"/>
      <c r="Q3700" s="171"/>
      <c r="R3700" s="171"/>
      <c r="S3700" s="171"/>
      <c r="T3700" s="171"/>
      <c r="U3700" s="171"/>
      <c r="V3700" s="171"/>
      <c r="W3700" s="171"/>
      <c r="X3700" s="171"/>
      <c r="Y3700" s="171"/>
      <c r="Z3700" s="171"/>
      <c r="AA3700" s="171"/>
    </row>
    <row r="3701" spans="1:27" s="530" customFormat="1" hidden="1" x14ac:dyDescent="0.2">
      <c r="A3701" s="526"/>
      <c r="B3701" s="527"/>
      <c r="C3701" s="465"/>
      <c r="D3701" s="464"/>
      <c r="E3701" s="464"/>
      <c r="F3701" s="494">
        <v>421</v>
      </c>
      <c r="G3701" s="495" t="s">
        <v>3777</v>
      </c>
      <c r="H3701" s="397"/>
      <c r="I3701" s="397"/>
      <c r="J3701" s="750" t="e">
        <f t="shared" si="41"/>
        <v>#DIV/0!</v>
      </c>
      <c r="K3701" s="398"/>
      <c r="L3701" s="398"/>
      <c r="M3701" s="682"/>
      <c r="N3701" s="171"/>
      <c r="O3701" s="171"/>
      <c r="P3701" s="169"/>
      <c r="Q3701" s="171"/>
      <c r="R3701" s="171"/>
      <c r="S3701" s="171"/>
      <c r="T3701" s="171"/>
      <c r="U3701" s="171"/>
      <c r="V3701" s="171"/>
      <c r="W3701" s="171"/>
      <c r="X3701" s="171"/>
      <c r="Y3701" s="171"/>
      <c r="Z3701" s="171"/>
      <c r="AA3701" s="171"/>
    </row>
    <row r="3702" spans="1:27" s="530" customFormat="1" hidden="1" x14ac:dyDescent="0.2">
      <c r="A3702" s="526"/>
      <c r="B3702" s="527"/>
      <c r="C3702" s="465"/>
      <c r="D3702" s="464"/>
      <c r="E3702" s="464"/>
      <c r="F3702" s="494">
        <v>422</v>
      </c>
      <c r="G3702" s="495" t="s">
        <v>3778</v>
      </c>
      <c r="H3702" s="397"/>
      <c r="I3702" s="397"/>
      <c r="J3702" s="750" t="e">
        <f t="shared" si="41"/>
        <v>#DIV/0!</v>
      </c>
      <c r="K3702" s="398"/>
      <c r="L3702" s="398"/>
      <c r="M3702" s="682"/>
      <c r="N3702" s="171"/>
      <c r="O3702" s="171"/>
      <c r="P3702" s="169"/>
      <c r="Q3702" s="171"/>
      <c r="R3702" s="171"/>
      <c r="S3702" s="171"/>
      <c r="T3702" s="171"/>
      <c r="U3702" s="171"/>
      <c r="V3702" s="171"/>
      <c r="W3702" s="171"/>
      <c r="X3702" s="171"/>
      <c r="Y3702" s="171"/>
      <c r="Z3702" s="171"/>
      <c r="AA3702" s="171"/>
    </row>
    <row r="3703" spans="1:27" s="530" customFormat="1" hidden="1" x14ac:dyDescent="0.2">
      <c r="A3703" s="526"/>
      <c r="B3703" s="527"/>
      <c r="C3703" s="465"/>
      <c r="D3703" s="464"/>
      <c r="E3703" s="464"/>
      <c r="F3703" s="494">
        <v>423</v>
      </c>
      <c r="G3703" s="495" t="s">
        <v>3779</v>
      </c>
      <c r="H3703" s="397"/>
      <c r="I3703" s="397"/>
      <c r="J3703" s="750" t="e">
        <f t="shared" si="41"/>
        <v>#DIV/0!</v>
      </c>
      <c r="K3703" s="398"/>
      <c r="L3703" s="398"/>
      <c r="M3703" s="682"/>
      <c r="N3703" s="171"/>
      <c r="O3703" s="171"/>
      <c r="P3703" s="169"/>
      <c r="Q3703" s="171"/>
      <c r="R3703" s="171"/>
      <c r="S3703" s="171"/>
      <c r="T3703" s="171"/>
      <c r="U3703" s="171"/>
      <c r="V3703" s="171"/>
      <c r="W3703" s="171"/>
      <c r="X3703" s="171"/>
      <c r="Y3703" s="171"/>
      <c r="Z3703" s="171"/>
      <c r="AA3703" s="171"/>
    </row>
    <row r="3704" spans="1:27" s="530" customFormat="1" hidden="1" x14ac:dyDescent="0.2">
      <c r="A3704" s="526"/>
      <c r="B3704" s="527"/>
      <c r="C3704" s="465"/>
      <c r="D3704" s="464"/>
      <c r="E3704" s="464"/>
      <c r="F3704" s="494">
        <v>424</v>
      </c>
      <c r="G3704" s="495" t="s">
        <v>3781</v>
      </c>
      <c r="H3704" s="397"/>
      <c r="I3704" s="397"/>
      <c r="J3704" s="750" t="e">
        <f t="shared" si="41"/>
        <v>#DIV/0!</v>
      </c>
      <c r="K3704" s="398"/>
      <c r="L3704" s="398"/>
      <c r="M3704" s="682"/>
      <c r="N3704" s="171"/>
      <c r="O3704" s="171"/>
      <c r="P3704" s="169"/>
      <c r="Q3704" s="171"/>
      <c r="R3704" s="171"/>
      <c r="S3704" s="171"/>
      <c r="T3704" s="171"/>
      <c r="U3704" s="171"/>
      <c r="V3704" s="171"/>
      <c r="W3704" s="171"/>
      <c r="X3704" s="171"/>
      <c r="Y3704" s="171"/>
      <c r="Z3704" s="171"/>
      <c r="AA3704" s="171"/>
    </row>
    <row r="3705" spans="1:27" s="530" customFormat="1" hidden="1" x14ac:dyDescent="0.2">
      <c r="A3705" s="526"/>
      <c r="B3705" s="527"/>
      <c r="C3705" s="465"/>
      <c r="D3705" s="464"/>
      <c r="E3705" s="464"/>
      <c r="F3705" s="494">
        <v>425</v>
      </c>
      <c r="G3705" s="495" t="s">
        <v>4180</v>
      </c>
      <c r="H3705" s="397"/>
      <c r="I3705" s="397"/>
      <c r="J3705" s="750" t="e">
        <f t="shared" si="41"/>
        <v>#DIV/0!</v>
      </c>
      <c r="K3705" s="398"/>
      <c r="L3705" s="398"/>
      <c r="M3705" s="682"/>
      <c r="N3705" s="171"/>
      <c r="O3705" s="171"/>
      <c r="P3705" s="169"/>
      <c r="Q3705" s="171"/>
      <c r="R3705" s="171"/>
      <c r="S3705" s="171"/>
      <c r="T3705" s="171"/>
      <c r="U3705" s="171"/>
      <c r="V3705" s="171"/>
      <c r="W3705" s="171"/>
      <c r="X3705" s="171"/>
      <c r="Y3705" s="171"/>
      <c r="Z3705" s="171"/>
      <c r="AA3705" s="171"/>
    </row>
    <row r="3706" spans="1:27" s="530" customFormat="1" hidden="1" x14ac:dyDescent="0.2">
      <c r="A3706" s="526"/>
      <c r="B3706" s="527"/>
      <c r="C3706" s="465"/>
      <c r="D3706" s="464"/>
      <c r="E3706" s="464"/>
      <c r="F3706" s="494">
        <v>426</v>
      </c>
      <c r="G3706" s="495" t="s">
        <v>3785</v>
      </c>
      <c r="H3706" s="397"/>
      <c r="I3706" s="397"/>
      <c r="J3706" s="750" t="e">
        <f t="shared" si="41"/>
        <v>#DIV/0!</v>
      </c>
      <c r="K3706" s="398"/>
      <c r="L3706" s="398"/>
      <c r="M3706" s="682"/>
      <c r="N3706" s="171"/>
      <c r="O3706" s="171"/>
      <c r="P3706" s="169"/>
      <c r="Q3706" s="171"/>
      <c r="R3706" s="171"/>
      <c r="S3706" s="171"/>
      <c r="T3706" s="171"/>
      <c r="U3706" s="171"/>
      <c r="V3706" s="171"/>
      <c r="W3706" s="171"/>
      <c r="X3706" s="171"/>
      <c r="Y3706" s="171"/>
      <c r="Z3706" s="171"/>
      <c r="AA3706" s="171"/>
    </row>
    <row r="3707" spans="1:27" s="530" customFormat="1" hidden="1" x14ac:dyDescent="0.2">
      <c r="A3707" s="526"/>
      <c r="B3707" s="527"/>
      <c r="C3707" s="465"/>
      <c r="D3707" s="464"/>
      <c r="E3707" s="464"/>
      <c r="F3707" s="494">
        <v>431</v>
      </c>
      <c r="G3707" s="495" t="s">
        <v>4181</v>
      </c>
      <c r="H3707" s="397"/>
      <c r="I3707" s="397"/>
      <c r="J3707" s="750" t="e">
        <f t="shared" si="41"/>
        <v>#DIV/0!</v>
      </c>
      <c r="K3707" s="398"/>
      <c r="L3707" s="398"/>
      <c r="M3707" s="682"/>
      <c r="N3707" s="171"/>
      <c r="O3707" s="171"/>
      <c r="P3707" s="169"/>
      <c r="Q3707" s="171"/>
      <c r="R3707" s="171"/>
      <c r="S3707" s="171"/>
      <c r="T3707" s="171"/>
      <c r="U3707" s="171"/>
      <c r="V3707" s="171"/>
      <c r="W3707" s="171"/>
      <c r="X3707" s="171"/>
      <c r="Y3707" s="171"/>
      <c r="Z3707" s="171"/>
      <c r="AA3707" s="171"/>
    </row>
    <row r="3708" spans="1:27" s="530" customFormat="1" hidden="1" x14ac:dyDescent="0.2">
      <c r="A3708" s="526"/>
      <c r="B3708" s="527"/>
      <c r="C3708" s="465"/>
      <c r="D3708" s="464"/>
      <c r="E3708" s="464"/>
      <c r="F3708" s="494">
        <v>432</v>
      </c>
      <c r="G3708" s="495" t="s">
        <v>4182</v>
      </c>
      <c r="H3708" s="397"/>
      <c r="I3708" s="397"/>
      <c r="J3708" s="750" t="e">
        <f t="shared" si="41"/>
        <v>#DIV/0!</v>
      </c>
      <c r="K3708" s="398"/>
      <c r="L3708" s="398"/>
      <c r="M3708" s="682"/>
      <c r="N3708" s="171"/>
      <c r="O3708" s="171"/>
      <c r="P3708" s="169"/>
      <c r="Q3708" s="171"/>
      <c r="R3708" s="171"/>
      <c r="S3708" s="171"/>
      <c r="T3708" s="171"/>
      <c r="U3708" s="171"/>
      <c r="V3708" s="171"/>
      <c r="W3708" s="171"/>
      <c r="X3708" s="171"/>
      <c r="Y3708" s="171"/>
      <c r="Z3708" s="171"/>
      <c r="AA3708" s="171"/>
    </row>
    <row r="3709" spans="1:27" s="530" customFormat="1" hidden="1" x14ac:dyDescent="0.2">
      <c r="A3709" s="526"/>
      <c r="B3709" s="527"/>
      <c r="C3709" s="465"/>
      <c r="D3709" s="464"/>
      <c r="E3709" s="464"/>
      <c r="F3709" s="494">
        <v>433</v>
      </c>
      <c r="G3709" s="495" t="s">
        <v>4183</v>
      </c>
      <c r="H3709" s="397"/>
      <c r="I3709" s="397"/>
      <c r="J3709" s="750" t="e">
        <f t="shared" si="41"/>
        <v>#DIV/0!</v>
      </c>
      <c r="K3709" s="398"/>
      <c r="L3709" s="398"/>
      <c r="M3709" s="682"/>
      <c r="N3709" s="171"/>
      <c r="O3709" s="171"/>
      <c r="P3709" s="169"/>
      <c r="Q3709" s="171"/>
      <c r="R3709" s="171"/>
      <c r="S3709" s="171"/>
      <c r="T3709" s="171"/>
      <c r="U3709" s="171"/>
      <c r="V3709" s="171"/>
      <c r="W3709" s="171"/>
      <c r="X3709" s="171"/>
      <c r="Y3709" s="171"/>
      <c r="Z3709" s="171"/>
      <c r="AA3709" s="171"/>
    </row>
    <row r="3710" spans="1:27" s="530" customFormat="1" hidden="1" x14ac:dyDescent="0.2">
      <c r="A3710" s="526"/>
      <c r="B3710" s="527"/>
      <c r="C3710" s="465"/>
      <c r="D3710" s="464"/>
      <c r="E3710" s="464"/>
      <c r="F3710" s="494">
        <v>434</v>
      </c>
      <c r="G3710" s="495" t="s">
        <v>4184</v>
      </c>
      <c r="H3710" s="397"/>
      <c r="I3710" s="397"/>
      <c r="J3710" s="750" t="e">
        <f t="shared" si="41"/>
        <v>#DIV/0!</v>
      </c>
      <c r="K3710" s="398"/>
      <c r="L3710" s="398"/>
      <c r="M3710" s="682"/>
      <c r="N3710" s="171"/>
      <c r="O3710" s="171"/>
      <c r="P3710" s="169"/>
      <c r="Q3710" s="171"/>
      <c r="R3710" s="171"/>
      <c r="S3710" s="171"/>
      <c r="T3710" s="171"/>
      <c r="U3710" s="171"/>
      <c r="V3710" s="171"/>
      <c r="W3710" s="171"/>
      <c r="X3710" s="171"/>
      <c r="Y3710" s="171"/>
      <c r="Z3710" s="171"/>
      <c r="AA3710" s="171"/>
    </row>
    <row r="3711" spans="1:27" s="530" customFormat="1" hidden="1" x14ac:dyDescent="0.2">
      <c r="A3711" s="526"/>
      <c r="B3711" s="527"/>
      <c r="C3711" s="465"/>
      <c r="D3711" s="464"/>
      <c r="E3711" s="464"/>
      <c r="F3711" s="494">
        <v>435</v>
      </c>
      <c r="G3711" s="495" t="s">
        <v>3792</v>
      </c>
      <c r="H3711" s="397"/>
      <c r="I3711" s="397"/>
      <c r="J3711" s="750" t="e">
        <f t="shared" si="41"/>
        <v>#DIV/0!</v>
      </c>
      <c r="K3711" s="398"/>
      <c r="L3711" s="398"/>
      <c r="M3711" s="682"/>
      <c r="N3711" s="171"/>
      <c r="O3711" s="171"/>
      <c r="P3711" s="169"/>
      <c r="Q3711" s="171"/>
      <c r="R3711" s="171"/>
      <c r="S3711" s="171"/>
      <c r="T3711" s="171"/>
      <c r="U3711" s="171"/>
      <c r="V3711" s="171"/>
      <c r="W3711" s="171"/>
      <c r="X3711" s="171"/>
      <c r="Y3711" s="171"/>
      <c r="Z3711" s="171"/>
      <c r="AA3711" s="171"/>
    </row>
    <row r="3712" spans="1:27" s="530" customFormat="1" hidden="1" x14ac:dyDescent="0.2">
      <c r="A3712" s="526"/>
      <c r="B3712" s="527"/>
      <c r="C3712" s="465"/>
      <c r="D3712" s="464"/>
      <c r="E3712" s="464"/>
      <c r="F3712" s="494">
        <v>441</v>
      </c>
      <c r="G3712" s="495" t="s">
        <v>4185</v>
      </c>
      <c r="H3712" s="397"/>
      <c r="I3712" s="397"/>
      <c r="J3712" s="750" t="e">
        <f t="shared" si="41"/>
        <v>#DIV/0!</v>
      </c>
      <c r="K3712" s="398"/>
      <c r="L3712" s="398"/>
      <c r="M3712" s="682"/>
      <c r="N3712" s="171"/>
      <c r="O3712" s="171"/>
      <c r="P3712" s="169"/>
      <c r="Q3712" s="171"/>
      <c r="R3712" s="171"/>
      <c r="S3712" s="171"/>
      <c r="T3712" s="171"/>
      <c r="U3712" s="171"/>
      <c r="V3712" s="171"/>
      <c r="W3712" s="171"/>
      <c r="X3712" s="171"/>
      <c r="Y3712" s="171"/>
      <c r="Z3712" s="171"/>
      <c r="AA3712" s="171"/>
    </row>
    <row r="3713" spans="1:27" s="530" customFormat="1" hidden="1" x14ac:dyDescent="0.2">
      <c r="A3713" s="526"/>
      <c r="B3713" s="527"/>
      <c r="C3713" s="465"/>
      <c r="D3713" s="464"/>
      <c r="E3713" s="464"/>
      <c r="F3713" s="494">
        <v>442</v>
      </c>
      <c r="G3713" s="495" t="s">
        <v>4186</v>
      </c>
      <c r="H3713" s="397"/>
      <c r="I3713" s="397"/>
      <c r="J3713" s="750" t="e">
        <f t="shared" si="41"/>
        <v>#DIV/0!</v>
      </c>
      <c r="K3713" s="398"/>
      <c r="L3713" s="398"/>
      <c r="M3713" s="682"/>
      <c r="N3713" s="171"/>
      <c r="O3713" s="171"/>
      <c r="P3713" s="169"/>
      <c r="Q3713" s="171"/>
      <c r="R3713" s="171"/>
      <c r="S3713" s="171"/>
      <c r="T3713" s="171"/>
      <c r="U3713" s="171"/>
      <c r="V3713" s="171"/>
      <c r="W3713" s="171"/>
      <c r="X3713" s="171"/>
      <c r="Y3713" s="171"/>
      <c r="Z3713" s="171"/>
      <c r="AA3713" s="171"/>
    </row>
    <row r="3714" spans="1:27" s="530" customFormat="1" hidden="1" x14ac:dyDescent="0.2">
      <c r="A3714" s="526"/>
      <c r="B3714" s="527"/>
      <c r="C3714" s="465"/>
      <c r="D3714" s="464"/>
      <c r="E3714" s="464"/>
      <c r="F3714" s="494">
        <v>443</v>
      </c>
      <c r="G3714" s="495" t="s">
        <v>3797</v>
      </c>
      <c r="H3714" s="397"/>
      <c r="I3714" s="397"/>
      <c r="J3714" s="750" t="e">
        <f t="shared" si="41"/>
        <v>#DIV/0!</v>
      </c>
      <c r="K3714" s="398"/>
      <c r="L3714" s="398"/>
      <c r="M3714" s="682"/>
      <c r="N3714" s="171"/>
      <c r="O3714" s="171"/>
      <c r="P3714" s="169"/>
      <c r="Q3714" s="171"/>
      <c r="R3714" s="171"/>
      <c r="S3714" s="171"/>
      <c r="T3714" s="171"/>
      <c r="U3714" s="171"/>
      <c r="V3714" s="171"/>
      <c r="W3714" s="171"/>
      <c r="X3714" s="171"/>
      <c r="Y3714" s="171"/>
      <c r="Z3714" s="171"/>
      <c r="AA3714" s="171"/>
    </row>
    <row r="3715" spans="1:27" s="530" customFormat="1" hidden="1" x14ac:dyDescent="0.2">
      <c r="A3715" s="526"/>
      <c r="B3715" s="527"/>
      <c r="C3715" s="465"/>
      <c r="D3715" s="464"/>
      <c r="E3715" s="464"/>
      <c r="F3715" s="494">
        <v>444</v>
      </c>
      <c r="G3715" s="495" t="s">
        <v>3798</v>
      </c>
      <c r="H3715" s="397"/>
      <c r="I3715" s="397"/>
      <c r="J3715" s="750" t="e">
        <f t="shared" si="41"/>
        <v>#DIV/0!</v>
      </c>
      <c r="K3715" s="398"/>
      <c r="L3715" s="398"/>
      <c r="M3715" s="682"/>
      <c r="N3715" s="171"/>
      <c r="O3715" s="171"/>
      <c r="P3715" s="169"/>
      <c r="Q3715" s="171"/>
      <c r="R3715" s="171"/>
      <c r="S3715" s="171"/>
      <c r="T3715" s="171"/>
      <c r="U3715" s="171"/>
      <c r="V3715" s="171"/>
      <c r="W3715" s="171"/>
      <c r="X3715" s="171"/>
      <c r="Y3715" s="171"/>
      <c r="Z3715" s="171"/>
      <c r="AA3715" s="171"/>
    </row>
    <row r="3716" spans="1:27" s="530" customFormat="1" ht="25.5" hidden="1" x14ac:dyDescent="0.2">
      <c r="A3716" s="526"/>
      <c r="B3716" s="527"/>
      <c r="C3716" s="465"/>
      <c r="D3716" s="464"/>
      <c r="E3716" s="464"/>
      <c r="F3716" s="494">
        <v>4511</v>
      </c>
      <c r="G3716" s="466" t="s">
        <v>1692</v>
      </c>
      <c r="H3716" s="397"/>
      <c r="I3716" s="397"/>
      <c r="J3716" s="750" t="e">
        <f t="shared" si="41"/>
        <v>#DIV/0!</v>
      </c>
      <c r="K3716" s="398"/>
      <c r="L3716" s="398"/>
      <c r="M3716" s="682"/>
      <c r="N3716" s="171"/>
      <c r="O3716" s="171"/>
      <c r="P3716" s="169"/>
      <c r="Q3716" s="171"/>
      <c r="R3716" s="171"/>
      <c r="S3716" s="171"/>
      <c r="T3716" s="171"/>
      <c r="U3716" s="171"/>
      <c r="V3716" s="171"/>
      <c r="W3716" s="171"/>
      <c r="X3716" s="171"/>
      <c r="Y3716" s="171"/>
      <c r="Z3716" s="171"/>
      <c r="AA3716" s="171"/>
    </row>
    <row r="3717" spans="1:27" s="530" customFormat="1" ht="25.5" hidden="1" x14ac:dyDescent="0.2">
      <c r="A3717" s="526"/>
      <c r="B3717" s="527"/>
      <c r="C3717" s="465"/>
      <c r="D3717" s="464"/>
      <c r="E3717" s="464"/>
      <c r="F3717" s="494">
        <v>4512</v>
      </c>
      <c r="G3717" s="466" t="s">
        <v>1701</v>
      </c>
      <c r="H3717" s="397"/>
      <c r="I3717" s="397"/>
      <c r="J3717" s="750" t="e">
        <f t="shared" si="41"/>
        <v>#DIV/0!</v>
      </c>
      <c r="K3717" s="398"/>
      <c r="L3717" s="398"/>
      <c r="M3717" s="682"/>
      <c r="N3717" s="171"/>
      <c r="O3717" s="171"/>
      <c r="P3717" s="169"/>
      <c r="Q3717" s="171"/>
      <c r="R3717" s="171"/>
      <c r="S3717" s="171"/>
      <c r="T3717" s="171"/>
      <c r="U3717" s="171"/>
      <c r="V3717" s="171"/>
      <c r="W3717" s="171"/>
      <c r="X3717" s="171"/>
      <c r="Y3717" s="171"/>
      <c r="Z3717" s="171"/>
      <c r="AA3717" s="171"/>
    </row>
    <row r="3718" spans="1:27" s="530" customFormat="1" ht="25.5" hidden="1" x14ac:dyDescent="0.2">
      <c r="A3718" s="526"/>
      <c r="B3718" s="527"/>
      <c r="C3718" s="465"/>
      <c r="D3718" s="464"/>
      <c r="E3718" s="464"/>
      <c r="F3718" s="494">
        <v>452</v>
      </c>
      <c r="G3718" s="495" t="s">
        <v>4187</v>
      </c>
      <c r="H3718" s="397"/>
      <c r="I3718" s="397"/>
      <c r="J3718" s="750" t="e">
        <f t="shared" si="41"/>
        <v>#DIV/0!</v>
      </c>
      <c r="K3718" s="398"/>
      <c r="L3718" s="398"/>
      <c r="M3718" s="682"/>
      <c r="N3718" s="171"/>
      <c r="O3718" s="171"/>
      <c r="P3718" s="169"/>
      <c r="Q3718" s="171"/>
      <c r="R3718" s="171"/>
      <c r="S3718" s="171"/>
      <c r="T3718" s="171"/>
      <c r="U3718" s="171"/>
      <c r="V3718" s="171"/>
      <c r="W3718" s="171"/>
      <c r="X3718" s="171"/>
      <c r="Y3718" s="171"/>
      <c r="Z3718" s="171"/>
      <c r="AA3718" s="171"/>
    </row>
    <row r="3719" spans="1:27" s="530" customFormat="1" ht="25.5" hidden="1" x14ac:dyDescent="0.2">
      <c r="A3719" s="526"/>
      <c r="B3719" s="527"/>
      <c r="C3719" s="465"/>
      <c r="D3719" s="464"/>
      <c r="E3719" s="464"/>
      <c r="F3719" s="494">
        <v>453</v>
      </c>
      <c r="G3719" s="495" t="s">
        <v>4188</v>
      </c>
      <c r="H3719" s="397"/>
      <c r="I3719" s="397"/>
      <c r="J3719" s="750" t="e">
        <f t="shared" si="41"/>
        <v>#DIV/0!</v>
      </c>
      <c r="K3719" s="398"/>
      <c r="L3719" s="398"/>
      <c r="M3719" s="682"/>
      <c r="N3719" s="171"/>
      <c r="O3719" s="171"/>
      <c r="P3719" s="169"/>
      <c r="Q3719" s="171"/>
      <c r="R3719" s="171"/>
      <c r="S3719" s="171"/>
      <c r="T3719" s="171"/>
      <c r="U3719" s="171"/>
      <c r="V3719" s="171"/>
      <c r="W3719" s="171"/>
      <c r="X3719" s="171"/>
      <c r="Y3719" s="171"/>
      <c r="Z3719" s="171"/>
      <c r="AA3719" s="171"/>
    </row>
    <row r="3720" spans="1:27" s="530" customFormat="1" hidden="1" x14ac:dyDescent="0.2">
      <c r="A3720" s="526"/>
      <c r="B3720" s="527"/>
      <c r="C3720" s="465"/>
      <c r="D3720" s="464"/>
      <c r="E3720" s="464"/>
      <c r="F3720" s="494">
        <v>454</v>
      </c>
      <c r="G3720" s="495" t="s">
        <v>3803</v>
      </c>
      <c r="H3720" s="397"/>
      <c r="I3720" s="397"/>
      <c r="J3720" s="750" t="e">
        <f t="shared" si="41"/>
        <v>#DIV/0!</v>
      </c>
      <c r="K3720" s="398"/>
      <c r="L3720" s="398"/>
      <c r="M3720" s="682"/>
      <c r="N3720" s="171"/>
      <c r="O3720" s="171"/>
      <c r="P3720" s="169"/>
      <c r="Q3720" s="171"/>
      <c r="R3720" s="171"/>
      <c r="S3720" s="171"/>
      <c r="T3720" s="171"/>
      <c r="U3720" s="171"/>
      <c r="V3720" s="171"/>
      <c r="W3720" s="171"/>
      <c r="X3720" s="171"/>
      <c r="Y3720" s="171"/>
      <c r="Z3720" s="171"/>
      <c r="AA3720" s="171"/>
    </row>
    <row r="3721" spans="1:27" s="530" customFormat="1" hidden="1" x14ac:dyDescent="0.2">
      <c r="A3721" s="526"/>
      <c r="B3721" s="527"/>
      <c r="C3721" s="465"/>
      <c r="D3721" s="464"/>
      <c r="E3721" s="464"/>
      <c r="F3721" s="494">
        <v>461</v>
      </c>
      <c r="G3721" s="495" t="s">
        <v>4169</v>
      </c>
      <c r="H3721" s="397"/>
      <c r="I3721" s="397"/>
      <c r="J3721" s="750" t="e">
        <f t="shared" si="41"/>
        <v>#DIV/0!</v>
      </c>
      <c r="K3721" s="398"/>
      <c r="L3721" s="398"/>
      <c r="M3721" s="682"/>
      <c r="N3721" s="171"/>
      <c r="O3721" s="171"/>
      <c r="P3721" s="169"/>
      <c r="Q3721" s="171"/>
      <c r="R3721" s="171"/>
      <c r="S3721" s="171"/>
      <c r="T3721" s="171"/>
      <c r="U3721" s="171"/>
      <c r="V3721" s="171"/>
      <c r="W3721" s="171"/>
      <c r="X3721" s="171"/>
      <c r="Y3721" s="171"/>
      <c r="Z3721" s="171"/>
      <c r="AA3721" s="171"/>
    </row>
    <row r="3722" spans="1:27" s="530" customFormat="1" ht="25.5" hidden="1" x14ac:dyDescent="0.2">
      <c r="A3722" s="526"/>
      <c r="B3722" s="527"/>
      <c r="C3722" s="465"/>
      <c r="D3722" s="464"/>
      <c r="E3722" s="464"/>
      <c r="F3722" s="494">
        <v>462</v>
      </c>
      <c r="G3722" s="495" t="s">
        <v>3806</v>
      </c>
      <c r="H3722" s="397"/>
      <c r="I3722" s="397"/>
      <c r="J3722" s="750" t="e">
        <f t="shared" si="41"/>
        <v>#DIV/0!</v>
      </c>
      <c r="K3722" s="398"/>
      <c r="L3722" s="398"/>
      <c r="M3722" s="682"/>
      <c r="N3722" s="171"/>
      <c r="O3722" s="171"/>
      <c r="P3722" s="169"/>
      <c r="Q3722" s="171"/>
      <c r="R3722" s="171"/>
      <c r="S3722" s="171"/>
      <c r="T3722" s="171"/>
      <c r="U3722" s="171"/>
      <c r="V3722" s="171"/>
      <c r="W3722" s="171"/>
      <c r="X3722" s="171"/>
      <c r="Y3722" s="171"/>
      <c r="Z3722" s="171"/>
      <c r="AA3722" s="171"/>
    </row>
    <row r="3723" spans="1:27" s="530" customFormat="1" hidden="1" x14ac:dyDescent="0.2">
      <c r="A3723" s="526"/>
      <c r="B3723" s="527"/>
      <c r="C3723" s="465"/>
      <c r="D3723" s="464"/>
      <c r="E3723" s="464"/>
      <c r="F3723" s="494">
        <v>4631</v>
      </c>
      <c r="G3723" s="495" t="s">
        <v>3807</v>
      </c>
      <c r="H3723" s="397"/>
      <c r="I3723" s="397"/>
      <c r="J3723" s="750" t="e">
        <f t="shared" si="41"/>
        <v>#DIV/0!</v>
      </c>
      <c r="K3723" s="398"/>
      <c r="L3723" s="398"/>
      <c r="M3723" s="682"/>
      <c r="N3723" s="171"/>
      <c r="O3723" s="171"/>
      <c r="P3723" s="169"/>
      <c r="Q3723" s="171"/>
      <c r="R3723" s="171"/>
      <c r="S3723" s="171"/>
      <c r="T3723" s="171"/>
      <c r="U3723" s="171"/>
      <c r="V3723" s="171"/>
      <c r="W3723" s="171"/>
      <c r="X3723" s="171"/>
      <c r="Y3723" s="171"/>
      <c r="Z3723" s="171"/>
      <c r="AA3723" s="171"/>
    </row>
    <row r="3724" spans="1:27" s="530" customFormat="1" hidden="1" x14ac:dyDescent="0.2">
      <c r="A3724" s="526"/>
      <c r="B3724" s="527"/>
      <c r="C3724" s="465"/>
      <c r="D3724" s="464"/>
      <c r="E3724" s="464"/>
      <c r="F3724" s="494">
        <v>4632</v>
      </c>
      <c r="G3724" s="495" t="s">
        <v>3808</v>
      </c>
      <c r="H3724" s="397"/>
      <c r="I3724" s="397"/>
      <c r="J3724" s="750" t="e">
        <f t="shared" si="41"/>
        <v>#DIV/0!</v>
      </c>
      <c r="K3724" s="398"/>
      <c r="L3724" s="398"/>
      <c r="M3724" s="682"/>
      <c r="N3724" s="171"/>
      <c r="O3724" s="171"/>
      <c r="P3724" s="169"/>
      <c r="Q3724" s="171"/>
      <c r="R3724" s="171"/>
      <c r="S3724" s="171"/>
      <c r="T3724" s="171"/>
      <c r="U3724" s="171"/>
      <c r="V3724" s="171"/>
      <c r="W3724" s="171"/>
      <c r="X3724" s="171"/>
      <c r="Y3724" s="171"/>
      <c r="Z3724" s="171"/>
      <c r="AA3724" s="171"/>
    </row>
    <row r="3725" spans="1:27" s="530" customFormat="1" ht="25.5" hidden="1" x14ac:dyDescent="0.2">
      <c r="A3725" s="526"/>
      <c r="B3725" s="527"/>
      <c r="C3725" s="465"/>
      <c r="D3725" s="464"/>
      <c r="E3725" s="464"/>
      <c r="F3725" s="494">
        <v>464</v>
      </c>
      <c r="G3725" s="495" t="s">
        <v>3809</v>
      </c>
      <c r="H3725" s="397"/>
      <c r="I3725" s="397"/>
      <c r="J3725" s="750" t="e">
        <f t="shared" ref="J3725:J3788" si="42">SUM(I3725/H3725)*100</f>
        <v>#DIV/0!</v>
      </c>
      <c r="K3725" s="398"/>
      <c r="L3725" s="398"/>
      <c r="M3725" s="682"/>
      <c r="N3725" s="171"/>
      <c r="O3725" s="171"/>
      <c r="P3725" s="169"/>
      <c r="Q3725" s="171"/>
      <c r="R3725" s="171"/>
      <c r="S3725" s="171"/>
      <c r="T3725" s="171"/>
      <c r="U3725" s="171"/>
      <c r="V3725" s="171"/>
      <c r="W3725" s="171"/>
      <c r="X3725" s="171"/>
      <c r="Y3725" s="171"/>
      <c r="Z3725" s="171"/>
      <c r="AA3725" s="171"/>
    </row>
    <row r="3726" spans="1:27" s="530" customFormat="1" hidden="1" x14ac:dyDescent="0.2">
      <c r="A3726" s="526"/>
      <c r="B3726" s="527"/>
      <c r="C3726" s="465"/>
      <c r="D3726" s="464"/>
      <c r="E3726" s="464"/>
      <c r="F3726" s="494">
        <v>465</v>
      </c>
      <c r="G3726" s="495" t="s">
        <v>4170</v>
      </c>
      <c r="H3726" s="397"/>
      <c r="I3726" s="397"/>
      <c r="J3726" s="750" t="e">
        <f t="shared" si="42"/>
        <v>#DIV/0!</v>
      </c>
      <c r="K3726" s="398"/>
      <c r="L3726" s="398"/>
      <c r="M3726" s="682"/>
      <c r="N3726" s="171"/>
      <c r="O3726" s="171"/>
      <c r="P3726" s="169"/>
      <c r="Q3726" s="171"/>
      <c r="R3726" s="171"/>
      <c r="S3726" s="171"/>
      <c r="T3726" s="171"/>
      <c r="U3726" s="171"/>
      <c r="V3726" s="171"/>
      <c r="W3726" s="171"/>
      <c r="X3726" s="171"/>
      <c r="Y3726" s="171"/>
      <c r="Z3726" s="171"/>
      <c r="AA3726" s="171"/>
    </row>
    <row r="3727" spans="1:27" s="530" customFormat="1" hidden="1" x14ac:dyDescent="0.2">
      <c r="A3727" s="526"/>
      <c r="B3727" s="527"/>
      <c r="C3727" s="465"/>
      <c r="D3727" s="464"/>
      <c r="E3727" s="464"/>
      <c r="F3727" s="494">
        <v>472</v>
      </c>
      <c r="G3727" s="495" t="s">
        <v>3813</v>
      </c>
      <c r="H3727" s="397"/>
      <c r="I3727" s="397"/>
      <c r="J3727" s="750" t="e">
        <f t="shared" si="42"/>
        <v>#DIV/0!</v>
      </c>
      <c r="K3727" s="398"/>
      <c r="L3727" s="398"/>
      <c r="M3727" s="682"/>
      <c r="N3727" s="171"/>
      <c r="O3727" s="171"/>
      <c r="P3727" s="169"/>
      <c r="Q3727" s="171"/>
      <c r="R3727" s="171"/>
      <c r="S3727" s="171"/>
      <c r="T3727" s="171"/>
      <c r="U3727" s="171"/>
      <c r="V3727" s="171"/>
      <c r="W3727" s="171"/>
      <c r="X3727" s="171"/>
      <c r="Y3727" s="171"/>
      <c r="Z3727" s="171"/>
      <c r="AA3727" s="171"/>
    </row>
    <row r="3728" spans="1:27" s="530" customFormat="1" hidden="1" x14ac:dyDescent="0.2">
      <c r="A3728" s="526"/>
      <c r="B3728" s="527"/>
      <c r="C3728" s="465"/>
      <c r="D3728" s="464"/>
      <c r="E3728" s="464"/>
      <c r="F3728" s="494">
        <v>481</v>
      </c>
      <c r="G3728" s="495" t="s">
        <v>4189</v>
      </c>
      <c r="H3728" s="397"/>
      <c r="I3728" s="397"/>
      <c r="J3728" s="750" t="e">
        <f t="shared" si="42"/>
        <v>#DIV/0!</v>
      </c>
      <c r="K3728" s="398"/>
      <c r="L3728" s="398"/>
      <c r="M3728" s="682"/>
      <c r="N3728" s="171"/>
      <c r="O3728" s="171"/>
      <c r="P3728" s="169"/>
      <c r="Q3728" s="171"/>
      <c r="R3728" s="171"/>
      <c r="S3728" s="171"/>
      <c r="T3728" s="171"/>
      <c r="U3728" s="171"/>
      <c r="V3728" s="171"/>
      <c r="W3728" s="171"/>
      <c r="X3728" s="171"/>
      <c r="Y3728" s="171"/>
      <c r="Z3728" s="171"/>
      <c r="AA3728" s="171"/>
    </row>
    <row r="3729" spans="1:27" s="530" customFormat="1" hidden="1" x14ac:dyDescent="0.2">
      <c r="A3729" s="526"/>
      <c r="B3729" s="527"/>
      <c r="C3729" s="465"/>
      <c r="D3729" s="464"/>
      <c r="E3729" s="464"/>
      <c r="F3729" s="494">
        <v>482</v>
      </c>
      <c r="G3729" s="495" t="s">
        <v>4190</v>
      </c>
      <c r="H3729" s="397"/>
      <c r="I3729" s="397"/>
      <c r="J3729" s="750" t="e">
        <f t="shared" si="42"/>
        <v>#DIV/0!</v>
      </c>
      <c r="K3729" s="398"/>
      <c r="L3729" s="398"/>
      <c r="M3729" s="682"/>
      <c r="N3729" s="171"/>
      <c r="O3729" s="171"/>
      <c r="P3729" s="169"/>
      <c r="Q3729" s="171"/>
      <c r="R3729" s="171"/>
      <c r="S3729" s="171"/>
      <c r="T3729" s="171"/>
      <c r="U3729" s="171"/>
      <c r="V3729" s="171"/>
      <c r="W3729" s="171"/>
      <c r="X3729" s="171"/>
      <c r="Y3729" s="171"/>
      <c r="Z3729" s="171"/>
      <c r="AA3729" s="171"/>
    </row>
    <row r="3730" spans="1:27" s="530" customFormat="1" hidden="1" x14ac:dyDescent="0.2">
      <c r="A3730" s="526"/>
      <c r="B3730" s="527"/>
      <c r="C3730" s="465"/>
      <c r="D3730" s="464"/>
      <c r="E3730" s="464"/>
      <c r="F3730" s="494">
        <v>483</v>
      </c>
      <c r="G3730" s="497" t="s">
        <v>4191</v>
      </c>
      <c r="H3730" s="397"/>
      <c r="I3730" s="397"/>
      <c r="J3730" s="750" t="e">
        <f t="shared" si="42"/>
        <v>#DIV/0!</v>
      </c>
      <c r="K3730" s="398"/>
      <c r="L3730" s="398"/>
      <c r="M3730" s="682"/>
      <c r="N3730" s="171"/>
      <c r="O3730" s="171"/>
      <c r="P3730" s="169"/>
      <c r="Q3730" s="171"/>
      <c r="R3730" s="171"/>
      <c r="S3730" s="171"/>
      <c r="T3730" s="171"/>
      <c r="U3730" s="171"/>
      <c r="V3730" s="171"/>
      <c r="W3730" s="171"/>
      <c r="X3730" s="171"/>
      <c r="Y3730" s="171"/>
      <c r="Z3730" s="171"/>
      <c r="AA3730" s="171"/>
    </row>
    <row r="3731" spans="1:27" s="530" customFormat="1" ht="38.25" hidden="1" x14ac:dyDescent="0.2">
      <c r="A3731" s="526"/>
      <c r="B3731" s="527"/>
      <c r="C3731" s="465"/>
      <c r="D3731" s="464"/>
      <c r="E3731" s="464"/>
      <c r="F3731" s="494">
        <v>484</v>
      </c>
      <c r="G3731" s="495" t="s">
        <v>4192</v>
      </c>
      <c r="H3731" s="397"/>
      <c r="I3731" s="397"/>
      <c r="J3731" s="750" t="e">
        <f t="shared" si="42"/>
        <v>#DIV/0!</v>
      </c>
      <c r="K3731" s="398"/>
      <c r="L3731" s="398"/>
      <c r="M3731" s="682"/>
      <c r="N3731" s="171"/>
      <c r="O3731" s="171"/>
      <c r="P3731" s="169"/>
      <c r="Q3731" s="171"/>
      <c r="R3731" s="171"/>
      <c r="S3731" s="171"/>
      <c r="T3731" s="171"/>
      <c r="U3731" s="171"/>
      <c r="V3731" s="171"/>
      <c r="W3731" s="171"/>
      <c r="X3731" s="171"/>
      <c r="Y3731" s="171"/>
      <c r="Z3731" s="171"/>
      <c r="AA3731" s="171"/>
    </row>
    <row r="3732" spans="1:27" s="530" customFormat="1" ht="25.5" hidden="1" x14ac:dyDescent="0.2">
      <c r="A3732" s="526"/>
      <c r="B3732" s="527"/>
      <c r="C3732" s="465"/>
      <c r="D3732" s="464"/>
      <c r="E3732" s="464"/>
      <c r="F3732" s="494">
        <v>485</v>
      </c>
      <c r="G3732" s="495" t="s">
        <v>4193</v>
      </c>
      <c r="H3732" s="397"/>
      <c r="I3732" s="397"/>
      <c r="J3732" s="750" t="e">
        <f t="shared" si="42"/>
        <v>#DIV/0!</v>
      </c>
      <c r="K3732" s="398"/>
      <c r="L3732" s="398"/>
      <c r="M3732" s="682"/>
      <c r="N3732" s="171"/>
      <c r="O3732" s="171"/>
      <c r="P3732" s="169"/>
      <c r="Q3732" s="171"/>
      <c r="R3732" s="171"/>
      <c r="S3732" s="171"/>
      <c r="T3732" s="171"/>
      <c r="U3732" s="171"/>
      <c r="V3732" s="171"/>
      <c r="W3732" s="171"/>
      <c r="X3732" s="171"/>
      <c r="Y3732" s="171"/>
      <c r="Z3732" s="171"/>
      <c r="AA3732" s="171"/>
    </row>
    <row r="3733" spans="1:27" s="530" customFormat="1" ht="25.5" hidden="1" x14ac:dyDescent="0.2">
      <c r="A3733" s="526"/>
      <c r="B3733" s="527"/>
      <c r="C3733" s="465"/>
      <c r="D3733" s="464"/>
      <c r="E3733" s="464"/>
      <c r="F3733" s="494">
        <v>489</v>
      </c>
      <c r="G3733" s="495" t="s">
        <v>3821</v>
      </c>
      <c r="H3733" s="397"/>
      <c r="I3733" s="397"/>
      <c r="J3733" s="750" t="e">
        <f t="shared" si="42"/>
        <v>#DIV/0!</v>
      </c>
      <c r="K3733" s="398"/>
      <c r="L3733" s="398"/>
      <c r="M3733" s="682"/>
      <c r="N3733" s="171"/>
      <c r="O3733" s="171"/>
      <c r="P3733" s="169"/>
      <c r="Q3733" s="171"/>
      <c r="R3733" s="171"/>
      <c r="S3733" s="171"/>
      <c r="T3733" s="171"/>
      <c r="U3733" s="171"/>
      <c r="V3733" s="171"/>
      <c r="W3733" s="171"/>
      <c r="X3733" s="171"/>
      <c r="Y3733" s="171"/>
      <c r="Z3733" s="171"/>
      <c r="AA3733" s="171"/>
    </row>
    <row r="3734" spans="1:27" s="530" customFormat="1" ht="25.5" hidden="1" x14ac:dyDescent="0.2">
      <c r="A3734" s="526"/>
      <c r="B3734" s="527"/>
      <c r="C3734" s="465"/>
      <c r="D3734" s="464"/>
      <c r="E3734" s="464"/>
      <c r="F3734" s="494">
        <v>494</v>
      </c>
      <c r="G3734" s="495" t="s">
        <v>4171</v>
      </c>
      <c r="H3734" s="397"/>
      <c r="I3734" s="397"/>
      <c r="J3734" s="750" t="e">
        <f t="shared" si="42"/>
        <v>#DIV/0!</v>
      </c>
      <c r="K3734" s="398"/>
      <c r="L3734" s="398"/>
      <c r="M3734" s="682"/>
      <c r="N3734" s="171"/>
      <c r="O3734" s="171"/>
      <c r="P3734" s="169"/>
      <c r="Q3734" s="171"/>
      <c r="R3734" s="171"/>
      <c r="S3734" s="171"/>
      <c r="T3734" s="171"/>
      <c r="U3734" s="171"/>
      <c r="V3734" s="171"/>
      <c r="W3734" s="171"/>
      <c r="X3734" s="171"/>
      <c r="Y3734" s="171"/>
      <c r="Z3734" s="171"/>
      <c r="AA3734" s="171"/>
    </row>
    <row r="3735" spans="1:27" s="530" customFormat="1" ht="25.5" hidden="1" x14ac:dyDescent="0.2">
      <c r="A3735" s="526"/>
      <c r="B3735" s="527"/>
      <c r="C3735" s="465"/>
      <c r="D3735" s="464"/>
      <c r="E3735" s="464"/>
      <c r="F3735" s="494">
        <v>495</v>
      </c>
      <c r="G3735" s="495" t="s">
        <v>4172</v>
      </c>
      <c r="H3735" s="397"/>
      <c r="I3735" s="397"/>
      <c r="J3735" s="750" t="e">
        <f t="shared" si="42"/>
        <v>#DIV/0!</v>
      </c>
      <c r="K3735" s="398"/>
      <c r="L3735" s="398"/>
      <c r="M3735" s="682"/>
      <c r="N3735" s="171"/>
      <c r="O3735" s="171"/>
      <c r="P3735" s="169"/>
      <c r="Q3735" s="171"/>
      <c r="R3735" s="171"/>
      <c r="S3735" s="171"/>
      <c r="T3735" s="171"/>
      <c r="U3735" s="171"/>
      <c r="V3735" s="171"/>
      <c r="W3735" s="171"/>
      <c r="X3735" s="171"/>
      <c r="Y3735" s="171"/>
      <c r="Z3735" s="171"/>
      <c r="AA3735" s="171"/>
    </row>
    <row r="3736" spans="1:27" s="530" customFormat="1" ht="38.25" hidden="1" x14ac:dyDescent="0.2">
      <c r="A3736" s="526"/>
      <c r="B3736" s="527"/>
      <c r="C3736" s="465"/>
      <c r="D3736" s="464"/>
      <c r="E3736" s="464"/>
      <c r="F3736" s="494">
        <v>496</v>
      </c>
      <c r="G3736" s="495" t="s">
        <v>4173</v>
      </c>
      <c r="H3736" s="397"/>
      <c r="I3736" s="397"/>
      <c r="J3736" s="750" t="e">
        <f t="shared" si="42"/>
        <v>#DIV/0!</v>
      </c>
      <c r="K3736" s="398"/>
      <c r="L3736" s="398"/>
      <c r="M3736" s="682"/>
      <c r="N3736" s="171"/>
      <c r="O3736" s="171"/>
      <c r="P3736" s="169"/>
      <c r="Q3736" s="171"/>
      <c r="R3736" s="171"/>
      <c r="S3736" s="171"/>
      <c r="T3736" s="171"/>
      <c r="U3736" s="171"/>
      <c r="V3736" s="171"/>
      <c r="W3736" s="171"/>
      <c r="X3736" s="171"/>
      <c r="Y3736" s="171"/>
      <c r="Z3736" s="171"/>
      <c r="AA3736" s="171"/>
    </row>
    <row r="3737" spans="1:27" s="530" customFormat="1" ht="25.5" hidden="1" x14ac:dyDescent="0.2">
      <c r="A3737" s="526"/>
      <c r="B3737" s="527"/>
      <c r="C3737" s="465"/>
      <c r="D3737" s="464"/>
      <c r="E3737" s="464"/>
      <c r="F3737" s="494">
        <v>499</v>
      </c>
      <c r="G3737" s="495" t="s">
        <v>4174</v>
      </c>
      <c r="H3737" s="397"/>
      <c r="I3737" s="397"/>
      <c r="J3737" s="750" t="e">
        <f t="shared" si="42"/>
        <v>#DIV/0!</v>
      </c>
      <c r="K3737" s="398"/>
      <c r="L3737" s="398"/>
      <c r="M3737" s="682"/>
      <c r="N3737" s="171"/>
      <c r="O3737" s="171"/>
      <c r="P3737" s="169"/>
      <c r="Q3737" s="171"/>
      <c r="R3737" s="171"/>
      <c r="S3737" s="171"/>
      <c r="T3737" s="171"/>
      <c r="U3737" s="171"/>
      <c r="V3737" s="171"/>
      <c r="W3737" s="171"/>
      <c r="X3737" s="171"/>
      <c r="Y3737" s="171"/>
      <c r="Z3737" s="171"/>
      <c r="AA3737" s="171"/>
    </row>
    <row r="3738" spans="1:27" s="530" customFormat="1" ht="13.5" thickBot="1" x14ac:dyDescent="0.25">
      <c r="A3738" s="526"/>
      <c r="B3738" s="527"/>
      <c r="C3738" s="465"/>
      <c r="D3738" s="464"/>
      <c r="E3738" s="464">
        <v>44</v>
      </c>
      <c r="F3738" s="494">
        <v>511</v>
      </c>
      <c r="G3738" s="497" t="s">
        <v>4194</v>
      </c>
      <c r="H3738" s="397">
        <v>3400000</v>
      </c>
      <c r="I3738" s="397">
        <v>2282667.2000000002</v>
      </c>
      <c r="J3738" s="750">
        <f t="shared" si="42"/>
        <v>67.137270588235296</v>
      </c>
      <c r="K3738" s="398"/>
      <c r="L3738" s="398"/>
      <c r="M3738" s="682"/>
      <c r="N3738" s="171"/>
      <c r="O3738" s="171"/>
      <c r="P3738" s="169"/>
      <c r="Q3738" s="171"/>
      <c r="R3738" s="171"/>
      <c r="S3738" s="171"/>
      <c r="T3738" s="171"/>
      <c r="U3738" s="171"/>
      <c r="V3738" s="171"/>
      <c r="W3738" s="171"/>
      <c r="X3738" s="171"/>
      <c r="Y3738" s="171"/>
      <c r="Z3738" s="171"/>
      <c r="AA3738" s="171"/>
    </row>
    <row r="3739" spans="1:27" s="530" customFormat="1" ht="13.5" hidden="1" thickBot="1" x14ac:dyDescent="0.25">
      <c r="A3739" s="526"/>
      <c r="B3739" s="527"/>
      <c r="C3739" s="465"/>
      <c r="D3739" s="464"/>
      <c r="E3739" s="464"/>
      <c r="F3739" s="494">
        <v>512</v>
      </c>
      <c r="G3739" s="497" t="s">
        <v>4195</v>
      </c>
      <c r="H3739" s="397"/>
      <c r="I3739" s="397"/>
      <c r="J3739" s="750" t="e">
        <f t="shared" si="42"/>
        <v>#DIV/0!</v>
      </c>
      <c r="K3739" s="398"/>
      <c r="L3739" s="398"/>
      <c r="M3739" s="682"/>
      <c r="N3739" s="171"/>
      <c r="O3739" s="171"/>
      <c r="P3739" s="169"/>
      <c r="Q3739" s="171"/>
      <c r="R3739" s="171"/>
      <c r="S3739" s="171"/>
      <c r="T3739" s="171"/>
      <c r="U3739" s="171"/>
      <c r="V3739" s="171"/>
      <c r="W3739" s="171"/>
      <c r="X3739" s="171"/>
      <c r="Y3739" s="171"/>
      <c r="Z3739" s="171"/>
      <c r="AA3739" s="171"/>
    </row>
    <row r="3740" spans="1:27" s="530" customFormat="1" ht="13.5" hidden="1" thickBot="1" x14ac:dyDescent="0.25">
      <c r="A3740" s="526"/>
      <c r="B3740" s="527"/>
      <c r="C3740" s="465"/>
      <c r="D3740" s="464"/>
      <c r="E3740" s="464"/>
      <c r="F3740" s="494">
        <v>513</v>
      </c>
      <c r="G3740" s="497" t="s">
        <v>4196</v>
      </c>
      <c r="H3740" s="397"/>
      <c r="I3740" s="397"/>
      <c r="J3740" s="750" t="e">
        <f t="shared" si="42"/>
        <v>#DIV/0!</v>
      </c>
      <c r="K3740" s="398"/>
      <c r="L3740" s="398"/>
      <c r="M3740" s="682"/>
      <c r="N3740" s="171"/>
      <c r="O3740" s="171"/>
      <c r="P3740" s="169"/>
      <c r="Q3740" s="171"/>
      <c r="R3740" s="171"/>
      <c r="S3740" s="171"/>
      <c r="T3740" s="171"/>
      <c r="U3740" s="171"/>
      <c r="V3740" s="171"/>
      <c r="W3740" s="171"/>
      <c r="X3740" s="171"/>
      <c r="Y3740" s="171"/>
      <c r="Z3740" s="171"/>
      <c r="AA3740" s="171"/>
    </row>
    <row r="3741" spans="1:27" s="530" customFormat="1" ht="13.5" hidden="1" thickBot="1" x14ac:dyDescent="0.25">
      <c r="A3741" s="526"/>
      <c r="B3741" s="527"/>
      <c r="C3741" s="465"/>
      <c r="D3741" s="464"/>
      <c r="E3741" s="464"/>
      <c r="F3741" s="494">
        <v>514</v>
      </c>
      <c r="G3741" s="495" t="s">
        <v>4197</v>
      </c>
      <c r="H3741" s="397"/>
      <c r="I3741" s="397"/>
      <c r="J3741" s="750" t="e">
        <f t="shared" si="42"/>
        <v>#DIV/0!</v>
      </c>
      <c r="K3741" s="398"/>
      <c r="L3741" s="398"/>
      <c r="M3741" s="682"/>
      <c r="N3741" s="171"/>
      <c r="O3741" s="171"/>
      <c r="P3741" s="169"/>
      <c r="Q3741" s="171"/>
      <c r="R3741" s="171"/>
      <c r="S3741" s="171"/>
      <c r="T3741" s="171"/>
      <c r="U3741" s="171"/>
      <c r="V3741" s="171"/>
      <c r="W3741" s="171"/>
      <c r="X3741" s="171"/>
      <c r="Y3741" s="171"/>
      <c r="Z3741" s="171"/>
      <c r="AA3741" s="171"/>
    </row>
    <row r="3742" spans="1:27" s="530" customFormat="1" ht="13.5" hidden="1" thickBot="1" x14ac:dyDescent="0.25">
      <c r="A3742" s="526"/>
      <c r="B3742" s="527"/>
      <c r="C3742" s="465"/>
      <c r="D3742" s="464"/>
      <c r="E3742" s="464"/>
      <c r="F3742" s="494">
        <v>515</v>
      </c>
      <c r="G3742" s="495" t="s">
        <v>3832</v>
      </c>
      <c r="H3742" s="397"/>
      <c r="I3742" s="397"/>
      <c r="J3742" s="750" t="e">
        <f t="shared" si="42"/>
        <v>#DIV/0!</v>
      </c>
      <c r="K3742" s="398"/>
      <c r="L3742" s="398"/>
      <c r="M3742" s="682"/>
      <c r="N3742" s="171"/>
      <c r="O3742" s="171"/>
      <c r="P3742" s="169"/>
      <c r="Q3742" s="171"/>
      <c r="R3742" s="171"/>
      <c r="S3742" s="171"/>
      <c r="T3742" s="171"/>
      <c r="U3742" s="171"/>
      <c r="V3742" s="171"/>
      <c r="W3742" s="171"/>
      <c r="X3742" s="171"/>
      <c r="Y3742" s="171"/>
      <c r="Z3742" s="171"/>
      <c r="AA3742" s="171"/>
    </row>
    <row r="3743" spans="1:27" s="530" customFormat="1" ht="13.5" hidden="1" thickBot="1" x14ac:dyDescent="0.25">
      <c r="A3743" s="526"/>
      <c r="B3743" s="527"/>
      <c r="C3743" s="465"/>
      <c r="D3743" s="464"/>
      <c r="E3743" s="464"/>
      <c r="F3743" s="494">
        <v>521</v>
      </c>
      <c r="G3743" s="495" t="s">
        <v>4198</v>
      </c>
      <c r="H3743" s="397"/>
      <c r="I3743" s="397"/>
      <c r="J3743" s="750" t="e">
        <f t="shared" si="42"/>
        <v>#DIV/0!</v>
      </c>
      <c r="K3743" s="398"/>
      <c r="L3743" s="398"/>
      <c r="M3743" s="682"/>
      <c r="N3743" s="171"/>
      <c r="O3743" s="171"/>
      <c r="P3743" s="169"/>
      <c r="Q3743" s="171"/>
      <c r="R3743" s="171"/>
      <c r="S3743" s="171"/>
      <c r="T3743" s="171"/>
      <c r="U3743" s="171"/>
      <c r="V3743" s="171"/>
      <c r="W3743" s="171"/>
      <c r="X3743" s="171"/>
      <c r="Y3743" s="171"/>
      <c r="Z3743" s="171"/>
      <c r="AA3743" s="171"/>
    </row>
    <row r="3744" spans="1:27" s="530" customFormat="1" ht="13.5" hidden="1" thickBot="1" x14ac:dyDescent="0.25">
      <c r="A3744" s="526"/>
      <c r="B3744" s="527"/>
      <c r="C3744" s="465"/>
      <c r="D3744" s="464"/>
      <c r="E3744" s="464"/>
      <c r="F3744" s="494">
        <v>522</v>
      </c>
      <c r="G3744" s="495" t="s">
        <v>4199</v>
      </c>
      <c r="H3744" s="397"/>
      <c r="I3744" s="397"/>
      <c r="J3744" s="750" t="e">
        <f t="shared" si="42"/>
        <v>#DIV/0!</v>
      </c>
      <c r="K3744" s="398"/>
      <c r="L3744" s="398"/>
      <c r="M3744" s="682"/>
      <c r="N3744" s="171"/>
      <c r="O3744" s="171"/>
      <c r="P3744" s="169"/>
      <c r="Q3744" s="171"/>
      <c r="R3744" s="171"/>
      <c r="S3744" s="171"/>
      <c r="T3744" s="171"/>
      <c r="U3744" s="171"/>
      <c r="V3744" s="171"/>
      <c r="W3744" s="171"/>
      <c r="X3744" s="171"/>
      <c r="Y3744" s="171"/>
      <c r="Z3744" s="171"/>
      <c r="AA3744" s="171"/>
    </row>
    <row r="3745" spans="1:27" s="530" customFormat="1" ht="13.5" hidden="1" thickBot="1" x14ac:dyDescent="0.25">
      <c r="A3745" s="526"/>
      <c r="B3745" s="527"/>
      <c r="C3745" s="465"/>
      <c r="D3745" s="464"/>
      <c r="E3745" s="464"/>
      <c r="F3745" s="494">
        <v>523</v>
      </c>
      <c r="G3745" s="495" t="s">
        <v>3837</v>
      </c>
      <c r="H3745" s="397"/>
      <c r="I3745" s="397"/>
      <c r="J3745" s="750" t="e">
        <f t="shared" si="42"/>
        <v>#DIV/0!</v>
      </c>
      <c r="K3745" s="398"/>
      <c r="L3745" s="398"/>
      <c r="M3745" s="682"/>
      <c r="N3745" s="171"/>
      <c r="O3745" s="171"/>
      <c r="P3745" s="169"/>
      <c r="Q3745" s="171"/>
      <c r="R3745" s="171"/>
      <c r="S3745" s="171"/>
      <c r="T3745" s="171"/>
      <c r="U3745" s="171"/>
      <c r="V3745" s="171"/>
      <c r="W3745" s="171"/>
      <c r="X3745" s="171"/>
      <c r="Y3745" s="171"/>
      <c r="Z3745" s="171"/>
      <c r="AA3745" s="171"/>
    </row>
    <row r="3746" spans="1:27" s="530" customFormat="1" ht="13.5" hidden="1" thickBot="1" x14ac:dyDescent="0.25">
      <c r="A3746" s="526"/>
      <c r="B3746" s="527"/>
      <c r="C3746" s="465"/>
      <c r="D3746" s="464"/>
      <c r="E3746" s="464"/>
      <c r="F3746" s="494">
        <v>531</v>
      </c>
      <c r="G3746" s="496" t="s">
        <v>4175</v>
      </c>
      <c r="H3746" s="397"/>
      <c r="I3746" s="397"/>
      <c r="J3746" s="750" t="e">
        <f t="shared" si="42"/>
        <v>#DIV/0!</v>
      </c>
      <c r="K3746" s="398"/>
      <c r="L3746" s="398"/>
      <c r="M3746" s="682"/>
      <c r="N3746" s="171"/>
      <c r="O3746" s="171"/>
      <c r="P3746" s="169"/>
      <c r="Q3746" s="171"/>
      <c r="R3746" s="171"/>
      <c r="S3746" s="171"/>
      <c r="T3746" s="171"/>
      <c r="U3746" s="171"/>
      <c r="V3746" s="171"/>
      <c r="W3746" s="171"/>
      <c r="X3746" s="171"/>
      <c r="Y3746" s="171"/>
      <c r="Z3746" s="171"/>
      <c r="AA3746" s="171"/>
    </row>
    <row r="3747" spans="1:27" s="530" customFormat="1" ht="13.5" hidden="1" thickBot="1" x14ac:dyDescent="0.25">
      <c r="A3747" s="526"/>
      <c r="B3747" s="527"/>
      <c r="C3747" s="465"/>
      <c r="D3747" s="464"/>
      <c r="E3747" s="464"/>
      <c r="F3747" s="494">
        <v>541</v>
      </c>
      <c r="G3747" s="495" t="s">
        <v>4200</v>
      </c>
      <c r="H3747" s="397"/>
      <c r="I3747" s="397"/>
      <c r="J3747" s="750" t="e">
        <f t="shared" si="42"/>
        <v>#DIV/0!</v>
      </c>
      <c r="K3747" s="398"/>
      <c r="L3747" s="398"/>
      <c r="M3747" s="682"/>
      <c r="N3747" s="171"/>
      <c r="O3747" s="171"/>
      <c r="P3747" s="169"/>
      <c r="Q3747" s="171"/>
      <c r="R3747" s="171"/>
      <c r="S3747" s="171"/>
      <c r="T3747" s="171"/>
      <c r="U3747" s="171"/>
      <c r="V3747" s="171"/>
      <c r="W3747" s="171"/>
      <c r="X3747" s="171"/>
      <c r="Y3747" s="171"/>
      <c r="Z3747" s="171"/>
      <c r="AA3747" s="171"/>
    </row>
    <row r="3748" spans="1:27" s="530" customFormat="1" ht="13.5" hidden="1" thickBot="1" x14ac:dyDescent="0.25">
      <c r="A3748" s="526"/>
      <c r="B3748" s="527"/>
      <c r="C3748" s="465"/>
      <c r="D3748" s="464"/>
      <c r="E3748" s="464"/>
      <c r="F3748" s="494">
        <v>542</v>
      </c>
      <c r="G3748" s="495" t="s">
        <v>4201</v>
      </c>
      <c r="H3748" s="397"/>
      <c r="I3748" s="397"/>
      <c r="J3748" s="750" t="e">
        <f t="shared" si="42"/>
        <v>#DIV/0!</v>
      </c>
      <c r="K3748" s="398"/>
      <c r="L3748" s="398"/>
      <c r="M3748" s="682"/>
      <c r="N3748" s="171"/>
      <c r="O3748" s="171"/>
      <c r="P3748" s="169"/>
      <c r="Q3748" s="171"/>
      <c r="R3748" s="171"/>
      <c r="S3748" s="171"/>
      <c r="T3748" s="171"/>
      <c r="U3748" s="171"/>
      <c r="V3748" s="171"/>
      <c r="W3748" s="171"/>
      <c r="X3748" s="171"/>
      <c r="Y3748" s="171"/>
      <c r="Z3748" s="171"/>
      <c r="AA3748" s="171"/>
    </row>
    <row r="3749" spans="1:27" s="530" customFormat="1" ht="13.5" hidden="1" thickBot="1" x14ac:dyDescent="0.25">
      <c r="A3749" s="526"/>
      <c r="B3749" s="527"/>
      <c r="C3749" s="465"/>
      <c r="D3749" s="464"/>
      <c r="E3749" s="464"/>
      <c r="F3749" s="494">
        <v>543</v>
      </c>
      <c r="G3749" s="495" t="s">
        <v>3842</v>
      </c>
      <c r="H3749" s="397"/>
      <c r="I3749" s="397"/>
      <c r="J3749" s="750" t="e">
        <f t="shared" si="42"/>
        <v>#DIV/0!</v>
      </c>
      <c r="K3749" s="398"/>
      <c r="L3749" s="398"/>
      <c r="M3749" s="682"/>
      <c r="N3749" s="171"/>
      <c r="O3749" s="171"/>
      <c r="P3749" s="169"/>
      <c r="Q3749" s="171"/>
      <c r="R3749" s="171"/>
      <c r="S3749" s="171"/>
      <c r="T3749" s="171"/>
      <c r="U3749" s="171"/>
      <c r="V3749" s="171"/>
      <c r="W3749" s="171"/>
      <c r="X3749" s="171"/>
      <c r="Y3749" s="171"/>
      <c r="Z3749" s="171"/>
      <c r="AA3749" s="171"/>
    </row>
    <row r="3750" spans="1:27" s="530" customFormat="1" ht="39" hidden="1" thickBot="1" x14ac:dyDescent="0.25">
      <c r="A3750" s="526"/>
      <c r="B3750" s="527"/>
      <c r="C3750" s="465"/>
      <c r="D3750" s="464"/>
      <c r="E3750" s="464"/>
      <c r="F3750" s="494">
        <v>551</v>
      </c>
      <c r="G3750" s="495" t="s">
        <v>4176</v>
      </c>
      <c r="H3750" s="397"/>
      <c r="I3750" s="397"/>
      <c r="J3750" s="750" t="e">
        <f t="shared" si="42"/>
        <v>#DIV/0!</v>
      </c>
      <c r="K3750" s="398"/>
      <c r="L3750" s="398"/>
      <c r="M3750" s="682"/>
      <c r="N3750" s="171"/>
      <c r="O3750" s="171"/>
      <c r="P3750" s="169"/>
      <c r="Q3750" s="171"/>
      <c r="R3750" s="171"/>
      <c r="S3750" s="171"/>
      <c r="T3750" s="171"/>
      <c r="U3750" s="171"/>
      <c r="V3750" s="171"/>
      <c r="W3750" s="171"/>
      <c r="X3750" s="171"/>
      <c r="Y3750" s="171"/>
      <c r="Z3750" s="171"/>
      <c r="AA3750" s="171"/>
    </row>
    <row r="3751" spans="1:27" s="530" customFormat="1" ht="13.5" hidden="1" thickBot="1" x14ac:dyDescent="0.25">
      <c r="A3751" s="526"/>
      <c r="B3751" s="527"/>
      <c r="C3751" s="465"/>
      <c r="D3751" s="464"/>
      <c r="E3751" s="464"/>
      <c r="F3751" s="498">
        <v>611</v>
      </c>
      <c r="G3751" s="499" t="s">
        <v>3848</v>
      </c>
      <c r="H3751" s="397"/>
      <c r="I3751" s="397"/>
      <c r="J3751" s="750" t="e">
        <f t="shared" si="42"/>
        <v>#DIV/0!</v>
      </c>
      <c r="K3751" s="398"/>
      <c r="L3751" s="398"/>
      <c r="M3751" s="682"/>
      <c r="N3751" s="171"/>
      <c r="O3751" s="171"/>
      <c r="P3751" s="169"/>
      <c r="Q3751" s="171"/>
      <c r="R3751" s="171"/>
      <c r="S3751" s="171"/>
      <c r="T3751" s="171"/>
      <c r="U3751" s="171"/>
      <c r="V3751" s="171"/>
      <c r="W3751" s="171"/>
      <c r="X3751" s="171"/>
      <c r="Y3751" s="171"/>
      <c r="Z3751" s="171"/>
      <c r="AA3751" s="171"/>
    </row>
    <row r="3752" spans="1:27" s="530" customFormat="1" ht="13.5" hidden="1" thickBot="1" x14ac:dyDescent="0.25">
      <c r="A3752" s="526"/>
      <c r="B3752" s="527"/>
      <c r="C3752" s="465"/>
      <c r="D3752" s="464"/>
      <c r="E3752" s="464"/>
      <c r="F3752" s="498">
        <v>620</v>
      </c>
      <c r="G3752" s="499" t="s">
        <v>88</v>
      </c>
      <c r="H3752" s="397"/>
      <c r="I3752" s="397"/>
      <c r="J3752" s="750" t="e">
        <f t="shared" si="42"/>
        <v>#DIV/0!</v>
      </c>
      <c r="K3752" s="398"/>
      <c r="L3752" s="398"/>
      <c r="M3752" s="682"/>
      <c r="N3752" s="171"/>
      <c r="O3752" s="171"/>
      <c r="P3752" s="169"/>
      <c r="Q3752" s="171"/>
      <c r="R3752" s="171"/>
      <c r="S3752" s="171"/>
      <c r="T3752" s="171"/>
      <c r="U3752" s="171"/>
      <c r="V3752" s="171"/>
      <c r="W3752" s="171"/>
      <c r="X3752" s="171"/>
      <c r="Y3752" s="171"/>
      <c r="Z3752" s="171"/>
      <c r="AA3752" s="171"/>
    </row>
    <row r="3753" spans="1:27" s="530" customFormat="1" x14ac:dyDescent="0.2">
      <c r="A3753" s="526"/>
      <c r="B3753" s="527"/>
      <c r="C3753" s="465"/>
      <c r="D3753" s="464"/>
      <c r="E3753" s="500"/>
      <c r="F3753" s="498"/>
      <c r="G3753" s="501" t="s">
        <v>4344</v>
      </c>
      <c r="H3753" s="400"/>
      <c r="I3753" s="400"/>
      <c r="J3753" s="750"/>
      <c r="K3753" s="401"/>
      <c r="L3753" s="402"/>
      <c r="M3753" s="682"/>
      <c r="N3753" s="171"/>
      <c r="O3753" s="171"/>
      <c r="P3753" s="169"/>
      <c r="Q3753" s="171"/>
      <c r="R3753" s="171"/>
      <c r="S3753" s="171"/>
      <c r="T3753" s="171"/>
      <c r="U3753" s="171"/>
      <c r="V3753" s="171"/>
      <c r="W3753" s="171"/>
      <c r="X3753" s="171"/>
      <c r="Y3753" s="171"/>
      <c r="Z3753" s="171"/>
      <c r="AA3753" s="171"/>
    </row>
    <row r="3754" spans="1:27" s="530" customFormat="1" ht="13.5" thickBot="1" x14ac:dyDescent="0.25">
      <c r="A3754" s="526"/>
      <c r="B3754" s="527"/>
      <c r="C3754" s="465"/>
      <c r="D3754" s="464"/>
      <c r="E3754" s="502"/>
      <c r="F3754" s="503" t="s">
        <v>234</v>
      </c>
      <c r="G3754" s="504" t="s">
        <v>235</v>
      </c>
      <c r="H3754" s="403">
        <f>SUM(H3693:H3752)</f>
        <v>3400000</v>
      </c>
      <c r="I3754" s="403">
        <f>SUM(I3738)</f>
        <v>2282667.2000000002</v>
      </c>
      <c r="J3754" s="750">
        <f t="shared" si="42"/>
        <v>67.137270588235296</v>
      </c>
      <c r="K3754" s="404"/>
      <c r="L3754" s="404"/>
      <c r="M3754" s="682"/>
      <c r="N3754" s="171"/>
      <c r="O3754" s="171"/>
      <c r="P3754" s="169"/>
      <c r="Q3754" s="171"/>
      <c r="R3754" s="171"/>
      <c r="S3754" s="171"/>
      <c r="T3754" s="171"/>
      <c r="U3754" s="171"/>
      <c r="V3754" s="171"/>
      <c r="W3754" s="171"/>
      <c r="X3754" s="171"/>
      <c r="Y3754" s="171"/>
      <c r="Z3754" s="171"/>
      <c r="AA3754" s="171"/>
    </row>
    <row r="3755" spans="1:27" s="530" customFormat="1" ht="13.5" hidden="1" thickBot="1" x14ac:dyDescent="0.25">
      <c r="A3755" s="526"/>
      <c r="B3755" s="527"/>
      <c r="C3755" s="465"/>
      <c r="D3755" s="464"/>
      <c r="E3755" s="464"/>
      <c r="F3755" s="503" t="s">
        <v>236</v>
      </c>
      <c r="G3755" s="504" t="s">
        <v>237</v>
      </c>
      <c r="H3755" s="397"/>
      <c r="I3755" s="397"/>
      <c r="J3755" s="750" t="e">
        <f t="shared" si="42"/>
        <v>#DIV/0!</v>
      </c>
      <c r="K3755" s="398"/>
      <c r="L3755" s="404"/>
      <c r="M3755" s="682"/>
      <c r="N3755" s="171"/>
      <c r="O3755" s="171"/>
      <c r="P3755" s="169"/>
      <c r="Q3755" s="171"/>
      <c r="R3755" s="171"/>
      <c r="S3755" s="171"/>
      <c r="T3755" s="171"/>
      <c r="U3755" s="171"/>
      <c r="V3755" s="171"/>
      <c r="W3755" s="171"/>
      <c r="X3755" s="171"/>
      <c r="Y3755" s="171"/>
      <c r="Z3755" s="171"/>
      <c r="AA3755" s="171"/>
    </row>
    <row r="3756" spans="1:27" s="530" customFormat="1" ht="13.5" hidden="1" thickBot="1" x14ac:dyDescent="0.25">
      <c r="A3756" s="526"/>
      <c r="B3756" s="527"/>
      <c r="C3756" s="465"/>
      <c r="D3756" s="464"/>
      <c r="E3756" s="464"/>
      <c r="F3756" s="503" t="s">
        <v>238</v>
      </c>
      <c r="G3756" s="504" t="s">
        <v>239</v>
      </c>
      <c r="H3756" s="397"/>
      <c r="I3756" s="397"/>
      <c r="J3756" s="750" t="e">
        <f t="shared" si="42"/>
        <v>#DIV/0!</v>
      </c>
      <c r="K3756" s="398"/>
      <c r="L3756" s="404"/>
      <c r="M3756" s="682"/>
      <c r="N3756" s="171"/>
      <c r="O3756" s="171"/>
      <c r="P3756" s="169"/>
      <c r="Q3756" s="171"/>
      <c r="R3756" s="171"/>
      <c r="S3756" s="171"/>
      <c r="T3756" s="171"/>
      <c r="U3756" s="171"/>
      <c r="V3756" s="171"/>
      <c r="W3756" s="171"/>
      <c r="X3756" s="171"/>
      <c r="Y3756" s="171"/>
      <c r="Z3756" s="171"/>
      <c r="AA3756" s="171"/>
    </row>
    <row r="3757" spans="1:27" s="530" customFormat="1" ht="13.5" hidden="1" thickBot="1" x14ac:dyDescent="0.25">
      <c r="A3757" s="526"/>
      <c r="B3757" s="527"/>
      <c r="C3757" s="465"/>
      <c r="D3757" s="464"/>
      <c r="E3757" s="464"/>
      <c r="F3757" s="503" t="s">
        <v>240</v>
      </c>
      <c r="G3757" s="504" t="s">
        <v>241</v>
      </c>
      <c r="H3757" s="397"/>
      <c r="I3757" s="397"/>
      <c r="J3757" s="750" t="e">
        <f t="shared" si="42"/>
        <v>#DIV/0!</v>
      </c>
      <c r="K3757" s="398"/>
      <c r="L3757" s="404"/>
      <c r="M3757" s="682"/>
      <c r="N3757" s="171"/>
      <c r="O3757" s="171"/>
      <c r="P3757" s="169"/>
      <c r="Q3757" s="171"/>
      <c r="R3757" s="171"/>
      <c r="S3757" s="171"/>
      <c r="T3757" s="171"/>
      <c r="U3757" s="171"/>
      <c r="V3757" s="171"/>
      <c r="W3757" s="171"/>
      <c r="X3757" s="171"/>
      <c r="Y3757" s="171"/>
      <c r="Z3757" s="171"/>
      <c r="AA3757" s="171"/>
    </row>
    <row r="3758" spans="1:27" s="530" customFormat="1" ht="13.5" hidden="1" thickBot="1" x14ac:dyDescent="0.25">
      <c r="A3758" s="526"/>
      <c r="B3758" s="527"/>
      <c r="C3758" s="465"/>
      <c r="D3758" s="464"/>
      <c r="E3758" s="464"/>
      <c r="F3758" s="503" t="s">
        <v>242</v>
      </c>
      <c r="G3758" s="504" t="s">
        <v>243</v>
      </c>
      <c r="H3758" s="397"/>
      <c r="I3758" s="397"/>
      <c r="J3758" s="750" t="e">
        <f t="shared" si="42"/>
        <v>#DIV/0!</v>
      </c>
      <c r="K3758" s="398"/>
      <c r="L3758" s="404"/>
      <c r="M3758" s="682"/>
      <c r="N3758" s="171"/>
      <c r="O3758" s="171"/>
      <c r="P3758" s="169"/>
      <c r="Q3758" s="171"/>
      <c r="R3758" s="171"/>
      <c r="S3758" s="171"/>
      <c r="T3758" s="171"/>
      <c r="U3758" s="171"/>
      <c r="V3758" s="171"/>
      <c r="W3758" s="171"/>
      <c r="X3758" s="171"/>
      <c r="Y3758" s="171"/>
      <c r="Z3758" s="171"/>
      <c r="AA3758" s="171"/>
    </row>
    <row r="3759" spans="1:27" s="530" customFormat="1" ht="13.5" hidden="1" thickBot="1" x14ac:dyDescent="0.25">
      <c r="A3759" s="526"/>
      <c r="B3759" s="527"/>
      <c r="C3759" s="465"/>
      <c r="D3759" s="464"/>
      <c r="E3759" s="464"/>
      <c r="F3759" s="503" t="s">
        <v>244</v>
      </c>
      <c r="G3759" s="504" t="s">
        <v>245</v>
      </c>
      <c r="H3759" s="397"/>
      <c r="I3759" s="397"/>
      <c r="J3759" s="750" t="e">
        <f t="shared" si="42"/>
        <v>#DIV/0!</v>
      </c>
      <c r="K3759" s="398"/>
      <c r="L3759" s="404"/>
      <c r="M3759" s="682"/>
      <c r="N3759" s="171"/>
      <c r="O3759" s="171"/>
      <c r="P3759" s="169"/>
      <c r="Q3759" s="171"/>
      <c r="R3759" s="171"/>
      <c r="S3759" s="171"/>
      <c r="T3759" s="171"/>
      <c r="U3759" s="171"/>
      <c r="V3759" s="171"/>
      <c r="W3759" s="171"/>
      <c r="X3759" s="171"/>
      <c r="Y3759" s="171"/>
      <c r="Z3759" s="171"/>
      <c r="AA3759" s="171"/>
    </row>
    <row r="3760" spans="1:27" s="530" customFormat="1" ht="13.5" hidden="1" thickBot="1" x14ac:dyDescent="0.25">
      <c r="A3760" s="526"/>
      <c r="B3760" s="527"/>
      <c r="C3760" s="465"/>
      <c r="D3760" s="464"/>
      <c r="E3760" s="464"/>
      <c r="F3760" s="503" t="s">
        <v>246</v>
      </c>
      <c r="G3760" s="504" t="s">
        <v>247</v>
      </c>
      <c r="H3760" s="397"/>
      <c r="I3760" s="397"/>
      <c r="J3760" s="750" t="e">
        <f t="shared" si="42"/>
        <v>#DIV/0!</v>
      </c>
      <c r="K3760" s="398"/>
      <c r="L3760" s="404"/>
      <c r="M3760" s="682"/>
      <c r="N3760" s="171"/>
      <c r="O3760" s="171"/>
      <c r="P3760" s="169"/>
      <c r="Q3760" s="171"/>
      <c r="R3760" s="171"/>
      <c r="S3760" s="171"/>
      <c r="T3760" s="171"/>
      <c r="U3760" s="171"/>
      <c r="V3760" s="171"/>
      <c r="W3760" s="171"/>
      <c r="X3760" s="171"/>
      <c r="Y3760" s="171"/>
      <c r="Z3760" s="171"/>
      <c r="AA3760" s="171"/>
    </row>
    <row r="3761" spans="1:27" s="530" customFormat="1" ht="26.25" hidden="1" thickBot="1" x14ac:dyDescent="0.25">
      <c r="A3761" s="526"/>
      <c r="B3761" s="527"/>
      <c r="C3761" s="465"/>
      <c r="D3761" s="464"/>
      <c r="E3761" s="464"/>
      <c r="F3761" s="503" t="s">
        <v>248</v>
      </c>
      <c r="G3761" s="504" t="s">
        <v>249</v>
      </c>
      <c r="H3761" s="397"/>
      <c r="I3761" s="397"/>
      <c r="J3761" s="750" t="e">
        <f t="shared" si="42"/>
        <v>#DIV/0!</v>
      </c>
      <c r="K3761" s="398"/>
      <c r="L3761" s="404"/>
      <c r="M3761" s="682"/>
      <c r="N3761" s="171"/>
      <c r="O3761" s="171"/>
      <c r="P3761" s="169"/>
      <c r="Q3761" s="171"/>
      <c r="R3761" s="171"/>
      <c r="S3761" s="171"/>
      <c r="T3761" s="171"/>
      <c r="U3761" s="171"/>
      <c r="V3761" s="171"/>
      <c r="W3761" s="171"/>
      <c r="X3761" s="171"/>
      <c r="Y3761" s="171"/>
      <c r="Z3761" s="171"/>
      <c r="AA3761" s="171"/>
    </row>
    <row r="3762" spans="1:27" s="530" customFormat="1" ht="13.5" hidden="1" thickBot="1" x14ac:dyDescent="0.25">
      <c r="A3762" s="464"/>
      <c r="B3762" s="464"/>
      <c r="C3762" s="465"/>
      <c r="D3762" s="464"/>
      <c r="E3762" s="464"/>
      <c r="F3762" s="503" t="s">
        <v>250</v>
      </c>
      <c r="G3762" s="504" t="s">
        <v>57</v>
      </c>
      <c r="H3762" s="397"/>
      <c r="I3762" s="397"/>
      <c r="J3762" s="750" t="e">
        <f t="shared" si="42"/>
        <v>#DIV/0!</v>
      </c>
      <c r="K3762" s="398"/>
      <c r="L3762" s="404"/>
      <c r="M3762" s="682"/>
      <c r="N3762" s="171"/>
      <c r="O3762" s="171"/>
      <c r="P3762" s="169"/>
      <c r="Q3762" s="171"/>
      <c r="R3762" s="171"/>
      <c r="S3762" s="171"/>
      <c r="T3762" s="171"/>
      <c r="U3762" s="171"/>
      <c r="V3762" s="171"/>
      <c r="W3762" s="171"/>
      <c r="X3762" s="171"/>
      <c r="Y3762" s="171"/>
      <c r="Z3762" s="171"/>
      <c r="AA3762" s="171"/>
    </row>
    <row r="3763" spans="1:27" s="530" customFormat="1" ht="13.5" hidden="1" thickBot="1" x14ac:dyDescent="0.25">
      <c r="A3763" s="464"/>
      <c r="B3763" s="464"/>
      <c r="C3763" s="465"/>
      <c r="D3763" s="464"/>
      <c r="E3763" s="464"/>
      <c r="F3763" s="503" t="s">
        <v>251</v>
      </c>
      <c r="G3763" s="504" t="s">
        <v>252</v>
      </c>
      <c r="H3763" s="397"/>
      <c r="I3763" s="397"/>
      <c r="J3763" s="750" t="e">
        <f t="shared" si="42"/>
        <v>#DIV/0!</v>
      </c>
      <c r="K3763" s="398"/>
      <c r="L3763" s="404"/>
      <c r="M3763" s="682"/>
      <c r="N3763" s="171"/>
      <c r="O3763" s="171"/>
      <c r="P3763" s="169"/>
      <c r="Q3763" s="171"/>
      <c r="R3763" s="171"/>
      <c r="S3763" s="171"/>
      <c r="T3763" s="171"/>
      <c r="U3763" s="171"/>
      <c r="V3763" s="171"/>
      <c r="W3763" s="171"/>
      <c r="X3763" s="171"/>
      <c r="Y3763" s="171"/>
      <c r="Z3763" s="171"/>
      <c r="AA3763" s="171"/>
    </row>
    <row r="3764" spans="1:27" s="530" customFormat="1" ht="13.5" hidden="1" thickBot="1" x14ac:dyDescent="0.25">
      <c r="A3764" s="464"/>
      <c r="B3764" s="464"/>
      <c r="C3764" s="465"/>
      <c r="D3764" s="464"/>
      <c r="E3764" s="464"/>
      <c r="F3764" s="503" t="s">
        <v>253</v>
      </c>
      <c r="G3764" s="504" t="s">
        <v>254</v>
      </c>
      <c r="H3764" s="397"/>
      <c r="I3764" s="397"/>
      <c r="J3764" s="750" t="e">
        <f t="shared" si="42"/>
        <v>#DIV/0!</v>
      </c>
      <c r="K3764" s="398"/>
      <c r="L3764" s="404"/>
      <c r="M3764" s="682"/>
      <c r="N3764" s="171"/>
      <c r="O3764" s="171"/>
      <c r="P3764" s="169"/>
      <c r="Q3764" s="171"/>
      <c r="R3764" s="171"/>
      <c r="S3764" s="171"/>
      <c r="T3764" s="171"/>
      <c r="U3764" s="171"/>
      <c r="V3764" s="171"/>
      <c r="W3764" s="171"/>
      <c r="X3764" s="171"/>
      <c r="Y3764" s="171"/>
      <c r="Z3764" s="171"/>
      <c r="AA3764" s="171"/>
    </row>
    <row r="3765" spans="1:27" s="530" customFormat="1" ht="26.25" hidden="1" thickBot="1" x14ac:dyDescent="0.25">
      <c r="A3765" s="464"/>
      <c r="B3765" s="464"/>
      <c r="C3765" s="465"/>
      <c r="D3765" s="464"/>
      <c r="E3765" s="464"/>
      <c r="F3765" s="503" t="s">
        <v>255</v>
      </c>
      <c r="G3765" s="504" t="s">
        <v>256</v>
      </c>
      <c r="H3765" s="397"/>
      <c r="I3765" s="397"/>
      <c r="J3765" s="750" t="e">
        <f t="shared" si="42"/>
        <v>#DIV/0!</v>
      </c>
      <c r="K3765" s="398"/>
      <c r="L3765" s="404"/>
      <c r="M3765" s="682"/>
      <c r="N3765" s="171"/>
      <c r="O3765" s="171"/>
      <c r="P3765" s="169"/>
      <c r="Q3765" s="171"/>
      <c r="R3765" s="171"/>
      <c r="S3765" s="171"/>
      <c r="T3765" s="171"/>
      <c r="U3765" s="171"/>
      <c r="V3765" s="171"/>
      <c r="W3765" s="171"/>
      <c r="X3765" s="171"/>
      <c r="Y3765" s="171"/>
      <c r="Z3765" s="171"/>
      <c r="AA3765" s="171"/>
    </row>
    <row r="3766" spans="1:27" s="530" customFormat="1" ht="26.25" hidden="1" thickBot="1" x14ac:dyDescent="0.25">
      <c r="A3766" s="464"/>
      <c r="B3766" s="464"/>
      <c r="C3766" s="465"/>
      <c r="D3766" s="464"/>
      <c r="E3766" s="464"/>
      <c r="F3766" s="503" t="s">
        <v>257</v>
      </c>
      <c r="G3766" s="504" t="s">
        <v>258</v>
      </c>
      <c r="H3766" s="397"/>
      <c r="I3766" s="397"/>
      <c r="J3766" s="750" t="e">
        <f t="shared" si="42"/>
        <v>#DIV/0!</v>
      </c>
      <c r="K3766" s="398"/>
      <c r="L3766" s="404"/>
      <c r="M3766" s="682"/>
      <c r="N3766" s="171"/>
      <c r="O3766" s="171"/>
      <c r="P3766" s="169"/>
      <c r="Q3766" s="171"/>
      <c r="R3766" s="171"/>
      <c r="S3766" s="171"/>
      <c r="T3766" s="171"/>
      <c r="U3766" s="171"/>
      <c r="V3766" s="171"/>
      <c r="W3766" s="171"/>
      <c r="X3766" s="171"/>
      <c r="Y3766" s="171"/>
      <c r="Z3766" s="171"/>
      <c r="AA3766" s="171"/>
    </row>
    <row r="3767" spans="1:27" s="530" customFormat="1" ht="26.25" hidden="1" thickBot="1" x14ac:dyDescent="0.25">
      <c r="A3767" s="464"/>
      <c r="B3767" s="464"/>
      <c r="C3767" s="465"/>
      <c r="D3767" s="464"/>
      <c r="E3767" s="464"/>
      <c r="F3767" s="503" t="s">
        <v>259</v>
      </c>
      <c r="G3767" s="504" t="s">
        <v>260</v>
      </c>
      <c r="H3767" s="397"/>
      <c r="I3767" s="397"/>
      <c r="J3767" s="750" t="e">
        <f t="shared" si="42"/>
        <v>#DIV/0!</v>
      </c>
      <c r="K3767" s="398"/>
      <c r="L3767" s="404"/>
      <c r="M3767" s="682"/>
      <c r="N3767" s="171"/>
      <c r="O3767" s="171"/>
      <c r="P3767" s="169"/>
      <c r="Q3767" s="171"/>
      <c r="R3767" s="171"/>
      <c r="S3767" s="171"/>
      <c r="T3767" s="171"/>
      <c r="U3767" s="171"/>
      <c r="V3767" s="171"/>
      <c r="W3767" s="171"/>
      <c r="X3767" s="171"/>
      <c r="Y3767" s="171"/>
      <c r="Z3767" s="171"/>
      <c r="AA3767" s="171"/>
    </row>
    <row r="3768" spans="1:27" s="530" customFormat="1" ht="26.25" hidden="1" thickBot="1" x14ac:dyDescent="0.25">
      <c r="A3768" s="464"/>
      <c r="B3768" s="464"/>
      <c r="C3768" s="465"/>
      <c r="D3768" s="464"/>
      <c r="E3768" s="464"/>
      <c r="F3768" s="503" t="s">
        <v>261</v>
      </c>
      <c r="G3768" s="504" t="s">
        <v>262</v>
      </c>
      <c r="H3768" s="397"/>
      <c r="I3768" s="397"/>
      <c r="J3768" s="750" t="e">
        <f t="shared" si="42"/>
        <v>#DIV/0!</v>
      </c>
      <c r="K3768" s="398"/>
      <c r="L3768" s="404"/>
      <c r="M3768" s="682"/>
      <c r="N3768" s="171"/>
      <c r="O3768" s="171"/>
      <c r="P3768" s="169"/>
      <c r="Q3768" s="171"/>
      <c r="R3768" s="171"/>
      <c r="S3768" s="171"/>
      <c r="T3768" s="171"/>
      <c r="U3768" s="171"/>
      <c r="V3768" s="171"/>
      <c r="W3768" s="171"/>
      <c r="X3768" s="171"/>
      <c r="Y3768" s="171"/>
      <c r="Z3768" s="171"/>
      <c r="AA3768" s="171"/>
    </row>
    <row r="3769" spans="1:27" s="530" customFormat="1" ht="13.5" hidden="1" thickBot="1" x14ac:dyDescent="0.25">
      <c r="A3769" s="464"/>
      <c r="B3769" s="464"/>
      <c r="C3769" s="465"/>
      <c r="D3769" s="464"/>
      <c r="E3769" s="464"/>
      <c r="F3769" s="503" t="s">
        <v>263</v>
      </c>
      <c r="G3769" s="504" t="s">
        <v>264</v>
      </c>
      <c r="H3769" s="403"/>
      <c r="I3769" s="403"/>
      <c r="J3769" s="750" t="e">
        <f t="shared" si="42"/>
        <v>#DIV/0!</v>
      </c>
      <c r="K3769" s="404"/>
      <c r="L3769" s="404"/>
      <c r="M3769" s="682"/>
      <c r="N3769" s="171"/>
      <c r="O3769" s="171"/>
      <c r="P3769" s="169"/>
      <c r="Q3769" s="171"/>
      <c r="R3769" s="171"/>
      <c r="S3769" s="171"/>
      <c r="T3769" s="171"/>
      <c r="U3769" s="171"/>
      <c r="V3769" s="171"/>
      <c r="W3769" s="171"/>
      <c r="X3769" s="171"/>
      <c r="Y3769" s="171"/>
      <c r="Z3769" s="171"/>
      <c r="AA3769" s="171"/>
    </row>
    <row r="3770" spans="1:27" s="530" customFormat="1" ht="11.25" customHeight="1" thickBot="1" x14ac:dyDescent="0.25">
      <c r="A3770" s="464"/>
      <c r="B3770" s="464"/>
      <c r="C3770" s="465"/>
      <c r="D3770" s="464"/>
      <c r="E3770" s="464"/>
      <c r="F3770" s="464"/>
      <c r="G3770" s="505" t="s">
        <v>4345</v>
      </c>
      <c r="H3770" s="405">
        <f>SUM(H3754:H3769)</f>
        <v>3400000</v>
      </c>
      <c r="I3770" s="405">
        <f>SUM(I3738)</f>
        <v>2282667.2000000002</v>
      </c>
      <c r="J3770" s="750">
        <f t="shared" si="42"/>
        <v>67.137270588235296</v>
      </c>
      <c r="K3770" s="406">
        <f>SUM(K3755:K3769)</f>
        <v>0</v>
      </c>
      <c r="L3770" s="406"/>
      <c r="M3770" s="682"/>
      <c r="N3770" s="171"/>
      <c r="O3770" s="171"/>
      <c r="P3770" s="169"/>
      <c r="Q3770" s="171"/>
      <c r="R3770" s="171"/>
      <c r="S3770" s="171"/>
      <c r="T3770" s="171"/>
      <c r="U3770" s="171"/>
      <c r="V3770" s="171"/>
      <c r="W3770" s="171"/>
      <c r="X3770" s="171"/>
      <c r="Y3770" s="171"/>
      <c r="Z3770" s="171"/>
      <c r="AA3770" s="171"/>
    </row>
    <row r="3771" spans="1:27" s="530" customFormat="1" x14ac:dyDescent="0.2">
      <c r="A3771" s="464"/>
      <c r="B3771" s="464"/>
      <c r="C3771" s="465"/>
      <c r="D3771" s="464"/>
      <c r="E3771" s="464"/>
      <c r="F3771" s="464"/>
      <c r="G3771" s="510" t="s">
        <v>5210</v>
      </c>
      <c r="H3771" s="411"/>
      <c r="I3771" s="411"/>
      <c r="J3771" s="750"/>
      <c r="K3771" s="412"/>
      <c r="L3771" s="412"/>
      <c r="M3771" s="682"/>
      <c r="N3771" s="171"/>
      <c r="O3771" s="171"/>
      <c r="P3771" s="169"/>
      <c r="Q3771" s="171"/>
      <c r="R3771" s="171"/>
      <c r="S3771" s="171"/>
      <c r="T3771" s="171"/>
      <c r="U3771" s="171"/>
      <c r="V3771" s="171"/>
      <c r="W3771" s="171"/>
      <c r="X3771" s="171"/>
      <c r="Y3771" s="171"/>
      <c r="Z3771" s="171"/>
      <c r="AA3771" s="171"/>
    </row>
    <row r="3772" spans="1:27" s="530" customFormat="1" ht="13.5" thickBot="1" x14ac:dyDescent="0.25">
      <c r="A3772" s="464"/>
      <c r="B3772" s="464"/>
      <c r="C3772" s="465"/>
      <c r="D3772" s="464"/>
      <c r="E3772" s="464"/>
      <c r="F3772" s="464" t="s">
        <v>234</v>
      </c>
      <c r="G3772" s="564" t="s">
        <v>235</v>
      </c>
      <c r="H3772" s="429">
        <f>SUM(H3693:H3752)</f>
        <v>3400000</v>
      </c>
      <c r="I3772" s="429">
        <f>SUM(I3770)</f>
        <v>2282667.2000000002</v>
      </c>
      <c r="J3772" s="750">
        <f t="shared" si="42"/>
        <v>67.137270588235296</v>
      </c>
      <c r="K3772" s="430"/>
      <c r="L3772" s="431"/>
      <c r="M3772" s="682"/>
      <c r="N3772" s="171"/>
      <c r="O3772" s="171"/>
      <c r="P3772" s="169"/>
      <c r="Q3772" s="171"/>
      <c r="R3772" s="171"/>
      <c r="S3772" s="171"/>
      <c r="T3772" s="171"/>
      <c r="U3772" s="171"/>
      <c r="V3772" s="171"/>
      <c r="W3772" s="171"/>
      <c r="X3772" s="171"/>
      <c r="Y3772" s="171"/>
      <c r="Z3772" s="171"/>
      <c r="AA3772" s="171"/>
    </row>
    <row r="3773" spans="1:27" s="530" customFormat="1" hidden="1" x14ac:dyDescent="0.2">
      <c r="A3773" s="464"/>
      <c r="B3773" s="464"/>
      <c r="C3773" s="465"/>
      <c r="D3773" s="464"/>
      <c r="E3773" s="464"/>
      <c r="F3773" s="464" t="s">
        <v>236</v>
      </c>
      <c r="G3773" s="510" t="s">
        <v>237</v>
      </c>
      <c r="H3773" s="411"/>
      <c r="I3773" s="411"/>
      <c r="J3773" s="750" t="e">
        <f t="shared" si="42"/>
        <v>#DIV/0!</v>
      </c>
      <c r="K3773" s="412"/>
      <c r="L3773" s="412"/>
      <c r="M3773" s="682"/>
      <c r="N3773" s="171"/>
      <c r="O3773" s="171"/>
      <c r="P3773" s="169"/>
      <c r="Q3773" s="171"/>
      <c r="R3773" s="171"/>
      <c r="S3773" s="171"/>
      <c r="T3773" s="171"/>
      <c r="U3773" s="171"/>
      <c r="V3773" s="171"/>
      <c r="W3773" s="171"/>
      <c r="X3773" s="171"/>
      <c r="Y3773" s="171"/>
      <c r="Z3773" s="171"/>
      <c r="AA3773" s="171"/>
    </row>
    <row r="3774" spans="1:27" s="530" customFormat="1" hidden="1" x14ac:dyDescent="0.2">
      <c r="A3774" s="464"/>
      <c r="B3774" s="464"/>
      <c r="C3774" s="465"/>
      <c r="D3774" s="464"/>
      <c r="E3774" s="464"/>
      <c r="F3774" s="464" t="s">
        <v>238</v>
      </c>
      <c r="G3774" s="510" t="s">
        <v>239</v>
      </c>
      <c r="H3774" s="411"/>
      <c r="I3774" s="411"/>
      <c r="J3774" s="750" t="e">
        <f t="shared" si="42"/>
        <v>#DIV/0!</v>
      </c>
      <c r="K3774" s="412"/>
      <c r="L3774" s="412"/>
      <c r="M3774" s="682"/>
      <c r="N3774" s="171"/>
      <c r="O3774" s="171"/>
      <c r="P3774" s="169"/>
      <c r="Q3774" s="171"/>
      <c r="R3774" s="171"/>
      <c r="S3774" s="171"/>
      <c r="T3774" s="171"/>
      <c r="U3774" s="171"/>
      <c r="V3774" s="171"/>
      <c r="W3774" s="171"/>
      <c r="X3774" s="171"/>
      <c r="Y3774" s="171"/>
      <c r="Z3774" s="171"/>
      <c r="AA3774" s="171"/>
    </row>
    <row r="3775" spans="1:27" s="530" customFormat="1" hidden="1" x14ac:dyDescent="0.2">
      <c r="A3775" s="464"/>
      <c r="B3775" s="464"/>
      <c r="C3775" s="465"/>
      <c r="D3775" s="464"/>
      <c r="E3775" s="464"/>
      <c r="F3775" s="464" t="s">
        <v>240</v>
      </c>
      <c r="G3775" s="510" t="s">
        <v>241</v>
      </c>
      <c r="H3775" s="411"/>
      <c r="I3775" s="411"/>
      <c r="J3775" s="750" t="e">
        <f t="shared" si="42"/>
        <v>#DIV/0!</v>
      </c>
      <c r="K3775" s="412"/>
      <c r="L3775" s="412"/>
      <c r="M3775" s="682"/>
      <c r="N3775" s="171"/>
      <c r="O3775" s="171"/>
      <c r="P3775" s="169"/>
      <c r="Q3775" s="171"/>
      <c r="R3775" s="171"/>
      <c r="S3775" s="171"/>
      <c r="T3775" s="171"/>
      <c r="U3775" s="171"/>
      <c r="V3775" s="171"/>
      <c r="W3775" s="171"/>
      <c r="X3775" s="171"/>
      <c r="Y3775" s="171"/>
      <c r="Z3775" s="171"/>
      <c r="AA3775" s="171"/>
    </row>
    <row r="3776" spans="1:27" s="530" customFormat="1" hidden="1" x14ac:dyDescent="0.2">
      <c r="A3776" s="464"/>
      <c r="B3776" s="464"/>
      <c r="C3776" s="465"/>
      <c r="D3776" s="464"/>
      <c r="E3776" s="464"/>
      <c r="F3776" s="464" t="s">
        <v>242</v>
      </c>
      <c r="G3776" s="510" t="s">
        <v>243</v>
      </c>
      <c r="H3776" s="411"/>
      <c r="I3776" s="411"/>
      <c r="J3776" s="750" t="e">
        <f t="shared" si="42"/>
        <v>#DIV/0!</v>
      </c>
      <c r="K3776" s="412"/>
      <c r="L3776" s="412"/>
      <c r="M3776" s="682"/>
      <c r="N3776" s="171"/>
      <c r="O3776" s="171"/>
      <c r="P3776" s="169"/>
      <c r="Q3776" s="171"/>
      <c r="R3776" s="171"/>
      <c r="S3776" s="171"/>
      <c r="T3776" s="171"/>
      <c r="U3776" s="171"/>
      <c r="V3776" s="171"/>
      <c r="W3776" s="171"/>
      <c r="X3776" s="171"/>
      <c r="Y3776" s="171"/>
      <c r="Z3776" s="171"/>
      <c r="AA3776" s="171"/>
    </row>
    <row r="3777" spans="1:27" s="530" customFormat="1" hidden="1" x14ac:dyDescent="0.2">
      <c r="A3777" s="464"/>
      <c r="B3777" s="464"/>
      <c r="C3777" s="465"/>
      <c r="D3777" s="464"/>
      <c r="E3777" s="464"/>
      <c r="F3777" s="464" t="s">
        <v>244</v>
      </c>
      <c r="G3777" s="510" t="s">
        <v>245</v>
      </c>
      <c r="H3777" s="411"/>
      <c r="I3777" s="411"/>
      <c r="J3777" s="750" t="e">
        <f t="shared" si="42"/>
        <v>#DIV/0!</v>
      </c>
      <c r="K3777" s="412"/>
      <c r="L3777" s="412"/>
      <c r="M3777" s="682"/>
      <c r="N3777" s="171"/>
      <c r="O3777" s="171"/>
      <c r="P3777" s="169"/>
      <c r="Q3777" s="171"/>
      <c r="R3777" s="171"/>
      <c r="S3777" s="171"/>
      <c r="T3777" s="171"/>
      <c r="U3777" s="171"/>
      <c r="V3777" s="171"/>
      <c r="W3777" s="171"/>
      <c r="X3777" s="171"/>
      <c r="Y3777" s="171"/>
      <c r="Z3777" s="171"/>
      <c r="AA3777" s="171"/>
    </row>
    <row r="3778" spans="1:27" s="530" customFormat="1" hidden="1" x14ac:dyDescent="0.2">
      <c r="A3778" s="464"/>
      <c r="B3778" s="464"/>
      <c r="C3778" s="465"/>
      <c r="D3778" s="464"/>
      <c r="E3778" s="464"/>
      <c r="F3778" s="464" t="s">
        <v>246</v>
      </c>
      <c r="G3778" s="510" t="s">
        <v>247</v>
      </c>
      <c r="H3778" s="411"/>
      <c r="I3778" s="411"/>
      <c r="J3778" s="750" t="e">
        <f t="shared" si="42"/>
        <v>#DIV/0!</v>
      </c>
      <c r="K3778" s="412"/>
      <c r="L3778" s="412"/>
      <c r="M3778" s="682"/>
      <c r="N3778" s="171"/>
      <c r="O3778" s="171"/>
      <c r="P3778" s="169"/>
      <c r="Q3778" s="171"/>
      <c r="R3778" s="171"/>
      <c r="S3778" s="171"/>
      <c r="T3778" s="171"/>
      <c r="U3778" s="171"/>
      <c r="V3778" s="171"/>
      <c r="W3778" s="171"/>
      <c r="X3778" s="171"/>
      <c r="Y3778" s="171"/>
      <c r="Z3778" s="171"/>
      <c r="AA3778" s="171"/>
    </row>
    <row r="3779" spans="1:27" s="530" customFormat="1" ht="25.5" hidden="1" x14ac:dyDescent="0.2">
      <c r="A3779" s="464"/>
      <c r="B3779" s="464"/>
      <c r="C3779" s="465"/>
      <c r="D3779" s="464"/>
      <c r="E3779" s="464"/>
      <c r="F3779" s="464" t="s">
        <v>248</v>
      </c>
      <c r="G3779" s="510" t="s">
        <v>249</v>
      </c>
      <c r="H3779" s="411"/>
      <c r="I3779" s="411"/>
      <c r="J3779" s="750" t="e">
        <f t="shared" si="42"/>
        <v>#DIV/0!</v>
      </c>
      <c r="K3779" s="412"/>
      <c r="L3779" s="412"/>
      <c r="M3779" s="682"/>
      <c r="N3779" s="171"/>
      <c r="O3779" s="171"/>
      <c r="P3779" s="169"/>
      <c r="Q3779" s="171"/>
      <c r="R3779" s="171"/>
      <c r="S3779" s="171"/>
      <c r="T3779" s="171"/>
      <c r="U3779" s="171"/>
      <c r="V3779" s="171"/>
      <c r="W3779" s="171"/>
      <c r="X3779" s="171"/>
      <c r="Y3779" s="171"/>
      <c r="Z3779" s="171"/>
      <c r="AA3779" s="171"/>
    </row>
    <row r="3780" spans="1:27" s="530" customFormat="1" hidden="1" x14ac:dyDescent="0.2">
      <c r="A3780" s="464"/>
      <c r="B3780" s="464"/>
      <c r="C3780" s="465"/>
      <c r="D3780" s="464"/>
      <c r="E3780" s="464"/>
      <c r="F3780" s="464" t="s">
        <v>250</v>
      </c>
      <c r="G3780" s="510" t="s">
        <v>57</v>
      </c>
      <c r="H3780" s="411"/>
      <c r="I3780" s="411"/>
      <c r="J3780" s="750" t="e">
        <f t="shared" si="42"/>
        <v>#DIV/0!</v>
      </c>
      <c r="K3780" s="412"/>
      <c r="L3780" s="412"/>
      <c r="M3780" s="682"/>
      <c r="N3780" s="171"/>
      <c r="O3780" s="171"/>
      <c r="P3780" s="169"/>
      <c r="Q3780" s="171"/>
      <c r="R3780" s="171"/>
      <c r="S3780" s="171"/>
      <c r="T3780" s="171"/>
      <c r="U3780" s="171"/>
      <c r="V3780" s="171"/>
      <c r="W3780" s="171"/>
      <c r="X3780" s="171"/>
      <c r="Y3780" s="171"/>
      <c r="Z3780" s="171"/>
      <c r="AA3780" s="171"/>
    </row>
    <row r="3781" spans="1:27" s="530" customFormat="1" hidden="1" x14ac:dyDescent="0.2">
      <c r="A3781" s="464"/>
      <c r="B3781" s="464"/>
      <c r="C3781" s="465"/>
      <c r="D3781" s="464"/>
      <c r="E3781" s="464"/>
      <c r="F3781" s="464" t="s">
        <v>251</v>
      </c>
      <c r="G3781" s="510" t="s">
        <v>252</v>
      </c>
      <c r="H3781" s="411"/>
      <c r="I3781" s="411"/>
      <c r="J3781" s="750" t="e">
        <f t="shared" si="42"/>
        <v>#DIV/0!</v>
      </c>
      <c r="K3781" s="412"/>
      <c r="L3781" s="412"/>
      <c r="M3781" s="682"/>
      <c r="N3781" s="171"/>
      <c r="O3781" s="171"/>
      <c r="P3781" s="169"/>
      <c r="Q3781" s="171"/>
      <c r="R3781" s="171"/>
      <c r="S3781" s="171"/>
      <c r="T3781" s="171"/>
      <c r="U3781" s="171"/>
      <c r="V3781" s="171"/>
      <c r="W3781" s="171"/>
      <c r="X3781" s="171"/>
      <c r="Y3781" s="171"/>
      <c r="Z3781" s="171"/>
      <c r="AA3781" s="171"/>
    </row>
    <row r="3782" spans="1:27" s="530" customFormat="1" hidden="1" x14ac:dyDescent="0.2">
      <c r="A3782" s="464"/>
      <c r="B3782" s="464"/>
      <c r="C3782" s="465"/>
      <c r="D3782" s="464"/>
      <c r="E3782" s="464"/>
      <c r="F3782" s="464" t="s">
        <v>253</v>
      </c>
      <c r="G3782" s="510" t="s">
        <v>254</v>
      </c>
      <c r="H3782" s="411"/>
      <c r="I3782" s="411"/>
      <c r="J3782" s="750" t="e">
        <f t="shared" si="42"/>
        <v>#DIV/0!</v>
      </c>
      <c r="K3782" s="412"/>
      <c r="L3782" s="412"/>
      <c r="M3782" s="682"/>
      <c r="N3782" s="171"/>
      <c r="O3782" s="171"/>
      <c r="P3782" s="169"/>
      <c r="Q3782" s="171"/>
      <c r="R3782" s="171"/>
      <c r="S3782" s="171"/>
      <c r="T3782" s="171"/>
      <c r="U3782" s="171"/>
      <c r="V3782" s="171"/>
      <c r="W3782" s="171"/>
      <c r="X3782" s="171"/>
      <c r="Y3782" s="171"/>
      <c r="Z3782" s="171"/>
      <c r="AA3782" s="171"/>
    </row>
    <row r="3783" spans="1:27" s="530" customFormat="1" ht="25.5" hidden="1" x14ac:dyDescent="0.2">
      <c r="A3783" s="464"/>
      <c r="B3783" s="464"/>
      <c r="C3783" s="465"/>
      <c r="D3783" s="464"/>
      <c r="E3783" s="464"/>
      <c r="F3783" s="464" t="s">
        <v>255</v>
      </c>
      <c r="G3783" s="510" t="s">
        <v>256</v>
      </c>
      <c r="H3783" s="411"/>
      <c r="I3783" s="411"/>
      <c r="J3783" s="750" t="e">
        <f t="shared" si="42"/>
        <v>#DIV/0!</v>
      </c>
      <c r="K3783" s="412"/>
      <c r="L3783" s="412"/>
      <c r="M3783" s="682"/>
      <c r="N3783" s="171"/>
      <c r="O3783" s="171"/>
      <c r="P3783" s="169"/>
      <c r="Q3783" s="171"/>
      <c r="R3783" s="171"/>
      <c r="S3783" s="171"/>
      <c r="T3783" s="171"/>
      <c r="U3783" s="171"/>
      <c r="V3783" s="171"/>
      <c r="W3783" s="171"/>
      <c r="X3783" s="171"/>
      <c r="Y3783" s="171"/>
      <c r="Z3783" s="171"/>
      <c r="AA3783" s="171"/>
    </row>
    <row r="3784" spans="1:27" s="530" customFormat="1" ht="25.5" hidden="1" x14ac:dyDescent="0.2">
      <c r="A3784" s="464"/>
      <c r="B3784" s="464"/>
      <c r="C3784" s="465"/>
      <c r="D3784" s="464"/>
      <c r="E3784" s="464"/>
      <c r="F3784" s="464" t="s">
        <v>257</v>
      </c>
      <c r="G3784" s="510" t="s">
        <v>258</v>
      </c>
      <c r="H3784" s="411"/>
      <c r="I3784" s="411"/>
      <c r="J3784" s="750" t="e">
        <f t="shared" si="42"/>
        <v>#DIV/0!</v>
      </c>
      <c r="K3784" s="412"/>
      <c r="L3784" s="412"/>
      <c r="M3784" s="682"/>
      <c r="N3784" s="171"/>
      <c r="O3784" s="171"/>
      <c r="P3784" s="169"/>
      <c r="Q3784" s="171"/>
      <c r="R3784" s="171"/>
      <c r="S3784" s="171"/>
      <c r="T3784" s="171"/>
      <c r="U3784" s="171"/>
      <c r="V3784" s="171"/>
      <c r="W3784" s="171"/>
      <c r="X3784" s="171"/>
      <c r="Y3784" s="171"/>
      <c r="Z3784" s="171"/>
      <c r="AA3784" s="171"/>
    </row>
    <row r="3785" spans="1:27" s="530" customFormat="1" ht="25.5" hidden="1" x14ac:dyDescent="0.2">
      <c r="A3785" s="464"/>
      <c r="B3785" s="464"/>
      <c r="C3785" s="465"/>
      <c r="D3785" s="464"/>
      <c r="E3785" s="464"/>
      <c r="F3785" s="464" t="s">
        <v>259</v>
      </c>
      <c r="G3785" s="510" t="s">
        <v>260</v>
      </c>
      <c r="H3785" s="411"/>
      <c r="I3785" s="411"/>
      <c r="J3785" s="750" t="e">
        <f t="shared" si="42"/>
        <v>#DIV/0!</v>
      </c>
      <c r="K3785" s="412"/>
      <c r="L3785" s="412"/>
      <c r="M3785" s="682"/>
      <c r="N3785" s="171"/>
      <c r="O3785" s="171"/>
      <c r="P3785" s="169"/>
      <c r="Q3785" s="171"/>
      <c r="R3785" s="171"/>
      <c r="S3785" s="171"/>
      <c r="T3785" s="171"/>
      <c r="U3785" s="171"/>
      <c r="V3785" s="171"/>
      <c r="W3785" s="171"/>
      <c r="X3785" s="171"/>
      <c r="Y3785" s="171"/>
      <c r="Z3785" s="171"/>
      <c r="AA3785" s="171"/>
    </row>
    <row r="3786" spans="1:27" s="530" customFormat="1" ht="25.5" hidden="1" x14ac:dyDescent="0.2">
      <c r="A3786" s="464"/>
      <c r="B3786" s="464"/>
      <c r="C3786" s="465"/>
      <c r="D3786" s="464"/>
      <c r="E3786" s="464"/>
      <c r="F3786" s="464" t="s">
        <v>261</v>
      </c>
      <c r="G3786" s="510" t="s">
        <v>262</v>
      </c>
      <c r="H3786" s="411"/>
      <c r="I3786" s="411"/>
      <c r="J3786" s="750" t="e">
        <f t="shared" si="42"/>
        <v>#DIV/0!</v>
      </c>
      <c r="K3786" s="412"/>
      <c r="L3786" s="412"/>
      <c r="M3786" s="682"/>
      <c r="N3786" s="171"/>
      <c r="O3786" s="171"/>
      <c r="P3786" s="169"/>
      <c r="Q3786" s="171"/>
      <c r="R3786" s="171"/>
      <c r="S3786" s="171"/>
      <c r="T3786" s="171"/>
      <c r="U3786" s="171"/>
      <c r="V3786" s="171"/>
      <c r="W3786" s="171"/>
      <c r="X3786" s="171"/>
      <c r="Y3786" s="171"/>
      <c r="Z3786" s="171"/>
      <c r="AA3786" s="171"/>
    </row>
    <row r="3787" spans="1:27" s="530" customFormat="1" hidden="1" x14ac:dyDescent="0.2">
      <c r="A3787" s="464"/>
      <c r="B3787" s="464"/>
      <c r="C3787" s="465"/>
      <c r="D3787" s="464"/>
      <c r="E3787" s="464"/>
      <c r="F3787" s="464" t="s">
        <v>263</v>
      </c>
      <c r="G3787" s="510" t="s">
        <v>264</v>
      </c>
      <c r="H3787" s="411"/>
      <c r="I3787" s="411"/>
      <c r="J3787" s="750" t="e">
        <f t="shared" si="42"/>
        <v>#DIV/0!</v>
      </c>
      <c r="K3787" s="412"/>
      <c r="L3787" s="412"/>
      <c r="M3787" s="682"/>
      <c r="N3787" s="171"/>
      <c r="O3787" s="171"/>
      <c r="P3787" s="169"/>
      <c r="Q3787" s="171"/>
      <c r="R3787" s="171"/>
      <c r="S3787" s="171"/>
      <c r="T3787" s="171"/>
      <c r="U3787" s="171"/>
      <c r="V3787" s="171"/>
      <c r="W3787" s="171"/>
      <c r="X3787" s="171"/>
      <c r="Y3787" s="171"/>
      <c r="Z3787" s="171"/>
      <c r="AA3787" s="171"/>
    </row>
    <row r="3788" spans="1:27" s="530" customFormat="1" ht="15" customHeight="1" thickBot="1" x14ac:dyDescent="0.25">
      <c r="A3788" s="464"/>
      <c r="B3788" s="464"/>
      <c r="C3788" s="465"/>
      <c r="D3788" s="464"/>
      <c r="E3788" s="464"/>
      <c r="F3788" s="464"/>
      <c r="G3788" s="565" t="s">
        <v>5211</v>
      </c>
      <c r="H3788" s="432">
        <f>SUM(H3772:H3787)</f>
        <v>3400000</v>
      </c>
      <c r="I3788" s="432">
        <f>SUM(I3770)</f>
        <v>2282667.2000000002</v>
      </c>
      <c r="J3788" s="750">
        <f t="shared" si="42"/>
        <v>67.137270588235296</v>
      </c>
      <c r="K3788" s="430">
        <f>SUM(K3773:K3787)</f>
        <v>0</v>
      </c>
      <c r="L3788" s="430"/>
      <c r="M3788" s="682"/>
      <c r="N3788" s="171"/>
      <c r="O3788" s="171"/>
      <c r="P3788" s="169"/>
      <c r="Q3788" s="171"/>
      <c r="R3788" s="171"/>
      <c r="S3788" s="171"/>
      <c r="T3788" s="171"/>
      <c r="U3788" s="171"/>
      <c r="V3788" s="171"/>
      <c r="W3788" s="171"/>
      <c r="X3788" s="171"/>
      <c r="Y3788" s="171"/>
      <c r="Z3788" s="171"/>
      <c r="AA3788" s="171"/>
    </row>
    <row r="3789" spans="1:27" s="530" customFormat="1" ht="5.25" hidden="1" customHeight="1" x14ac:dyDescent="0.2">
      <c r="A3789" s="526"/>
      <c r="B3789" s="527"/>
      <c r="C3789" s="465"/>
      <c r="D3789" s="464"/>
      <c r="E3789" s="464"/>
      <c r="F3789" s="464"/>
      <c r="G3789" s="510"/>
      <c r="H3789" s="411"/>
      <c r="I3789" s="411"/>
      <c r="J3789" s="750" t="e">
        <f t="shared" ref="J3789:J3852" si="43">SUM(I3789/H3789)*100</f>
        <v>#DIV/0!</v>
      </c>
      <c r="K3789" s="412"/>
      <c r="L3789" s="412"/>
      <c r="M3789" s="682"/>
      <c r="N3789" s="171"/>
      <c r="O3789" s="171"/>
      <c r="P3789" s="169"/>
      <c r="Q3789" s="171"/>
      <c r="R3789" s="171"/>
      <c r="S3789" s="171"/>
      <c r="T3789" s="171"/>
      <c r="U3789" s="171"/>
      <c r="V3789" s="171"/>
      <c r="W3789" s="171"/>
      <c r="X3789" s="171"/>
      <c r="Y3789" s="171"/>
      <c r="Z3789" s="171"/>
      <c r="AA3789" s="171"/>
    </row>
    <row r="3790" spans="1:27" s="530" customFormat="1" hidden="1" x14ac:dyDescent="0.2">
      <c r="A3790" s="526"/>
      <c r="B3790" s="527"/>
      <c r="C3790" s="465"/>
      <c r="D3790" s="464"/>
      <c r="E3790" s="464"/>
      <c r="F3790" s="464"/>
      <c r="G3790" s="510"/>
      <c r="H3790" s="411"/>
      <c r="I3790" s="411"/>
      <c r="J3790" s="750" t="e">
        <f t="shared" si="43"/>
        <v>#DIV/0!</v>
      </c>
      <c r="K3790" s="412"/>
      <c r="L3790" s="412"/>
      <c r="M3790" s="682"/>
      <c r="N3790" s="171"/>
      <c r="O3790" s="171"/>
      <c r="P3790" s="169"/>
      <c r="Q3790" s="171"/>
      <c r="R3790" s="171"/>
      <c r="S3790" s="171"/>
      <c r="T3790" s="171"/>
      <c r="U3790" s="171"/>
      <c r="V3790" s="171"/>
      <c r="W3790" s="171"/>
      <c r="X3790" s="171"/>
      <c r="Y3790" s="171"/>
      <c r="Z3790" s="171"/>
      <c r="AA3790" s="171"/>
    </row>
    <row r="3791" spans="1:27" s="530" customFormat="1" x14ac:dyDescent="0.2">
      <c r="A3791" s="526"/>
      <c r="B3791" s="527"/>
      <c r="C3791" s="542" t="s">
        <v>4638</v>
      </c>
      <c r="D3791" s="173"/>
      <c r="E3791" s="173"/>
      <c r="F3791" s="502"/>
      <c r="G3791" s="510" t="s">
        <v>5212</v>
      </c>
      <c r="H3791" s="397"/>
      <c r="I3791" s="397"/>
      <c r="J3791" s="750"/>
      <c r="K3791" s="398"/>
      <c r="L3791" s="398"/>
      <c r="M3791" s="682"/>
      <c r="N3791" s="171"/>
      <c r="O3791" s="171"/>
      <c r="P3791" s="169"/>
      <c r="Q3791" s="171"/>
      <c r="R3791" s="171"/>
      <c r="S3791" s="171"/>
      <c r="T3791" s="171"/>
      <c r="U3791" s="171"/>
      <c r="V3791" s="171"/>
      <c r="W3791" s="171"/>
      <c r="X3791" s="171"/>
      <c r="Y3791" s="171"/>
      <c r="Z3791" s="171"/>
      <c r="AA3791" s="171"/>
    </row>
    <row r="3792" spans="1:27" s="530" customFormat="1" ht="13.5" customHeight="1" x14ac:dyDescent="0.2">
      <c r="A3792" s="526"/>
      <c r="B3792" s="527"/>
      <c r="C3792" s="489"/>
      <c r="D3792" s="492">
        <v>620</v>
      </c>
      <c r="E3792" s="492"/>
      <c r="F3792" s="492"/>
      <c r="G3792" s="514" t="s">
        <v>182</v>
      </c>
      <c r="H3792" s="397"/>
      <c r="I3792" s="397"/>
      <c r="J3792" s="750"/>
      <c r="K3792" s="398"/>
      <c r="L3792" s="398"/>
      <c r="M3792" s="682"/>
      <c r="N3792" s="171"/>
      <c r="O3792" s="171"/>
      <c r="P3792" s="169"/>
      <c r="Q3792" s="171"/>
      <c r="R3792" s="171"/>
      <c r="S3792" s="171"/>
      <c r="T3792" s="171"/>
      <c r="U3792" s="171"/>
      <c r="V3792" s="171"/>
      <c r="W3792" s="171"/>
      <c r="X3792" s="171"/>
      <c r="Y3792" s="171"/>
      <c r="Z3792" s="171"/>
      <c r="AA3792" s="171"/>
    </row>
    <row r="3793" spans="1:27" s="530" customFormat="1" hidden="1" x14ac:dyDescent="0.2">
      <c r="A3793" s="526"/>
      <c r="B3793" s="527"/>
      <c r="C3793" s="465"/>
      <c r="D3793" s="464"/>
      <c r="E3793" s="464"/>
      <c r="F3793" s="494">
        <v>411</v>
      </c>
      <c r="G3793" s="495" t="s">
        <v>4167</v>
      </c>
      <c r="H3793" s="397"/>
      <c r="I3793" s="397"/>
      <c r="J3793" s="750" t="e">
        <f t="shared" si="43"/>
        <v>#DIV/0!</v>
      </c>
      <c r="K3793" s="398"/>
      <c r="L3793" s="398"/>
      <c r="M3793" s="682"/>
      <c r="N3793" s="171"/>
      <c r="O3793" s="171"/>
      <c r="P3793" s="169"/>
      <c r="Q3793" s="171"/>
      <c r="R3793" s="171"/>
      <c r="S3793" s="171"/>
      <c r="T3793" s="171"/>
      <c r="U3793" s="171"/>
      <c r="V3793" s="171"/>
      <c r="W3793" s="171"/>
      <c r="X3793" s="171"/>
      <c r="Y3793" s="171"/>
      <c r="Z3793" s="171"/>
      <c r="AA3793" s="171"/>
    </row>
    <row r="3794" spans="1:27" s="530" customFormat="1" hidden="1" x14ac:dyDescent="0.2">
      <c r="A3794" s="526"/>
      <c r="B3794" s="527"/>
      <c r="C3794" s="465"/>
      <c r="D3794" s="464"/>
      <c r="E3794" s="464"/>
      <c r="F3794" s="494">
        <v>412</v>
      </c>
      <c r="G3794" s="496" t="s">
        <v>3764</v>
      </c>
      <c r="H3794" s="397"/>
      <c r="I3794" s="397"/>
      <c r="J3794" s="750" t="e">
        <f t="shared" si="43"/>
        <v>#DIV/0!</v>
      </c>
      <c r="K3794" s="398"/>
      <c r="L3794" s="398"/>
      <c r="M3794" s="682"/>
      <c r="N3794" s="171"/>
      <c r="O3794" s="171"/>
      <c r="P3794" s="169"/>
      <c r="Q3794" s="171"/>
      <c r="R3794" s="171"/>
      <c r="S3794" s="171"/>
      <c r="T3794" s="171"/>
      <c r="U3794" s="171"/>
      <c r="V3794" s="171"/>
      <c r="W3794" s="171"/>
      <c r="X3794" s="171"/>
      <c r="Y3794" s="171"/>
      <c r="Z3794" s="171"/>
      <c r="AA3794" s="171"/>
    </row>
    <row r="3795" spans="1:27" s="530" customFormat="1" hidden="1" x14ac:dyDescent="0.2">
      <c r="A3795" s="526"/>
      <c r="B3795" s="527"/>
      <c r="C3795" s="465"/>
      <c r="D3795" s="464"/>
      <c r="E3795" s="464"/>
      <c r="F3795" s="494">
        <v>413</v>
      </c>
      <c r="G3795" s="495" t="s">
        <v>4168</v>
      </c>
      <c r="H3795" s="397"/>
      <c r="I3795" s="397"/>
      <c r="J3795" s="750" t="e">
        <f t="shared" si="43"/>
        <v>#DIV/0!</v>
      </c>
      <c r="K3795" s="398"/>
      <c r="L3795" s="398"/>
      <c r="M3795" s="682"/>
      <c r="N3795" s="171"/>
      <c r="O3795" s="171"/>
      <c r="P3795" s="169"/>
      <c r="Q3795" s="171"/>
      <c r="R3795" s="171"/>
      <c r="S3795" s="171"/>
      <c r="T3795" s="171"/>
      <c r="U3795" s="171"/>
      <c r="V3795" s="171"/>
      <c r="W3795" s="171"/>
      <c r="X3795" s="171"/>
      <c r="Y3795" s="171"/>
      <c r="Z3795" s="171"/>
      <c r="AA3795" s="171"/>
    </row>
    <row r="3796" spans="1:27" s="530" customFormat="1" hidden="1" x14ac:dyDescent="0.2">
      <c r="A3796" s="526"/>
      <c r="B3796" s="527"/>
      <c r="C3796" s="465"/>
      <c r="D3796" s="464"/>
      <c r="E3796" s="464"/>
      <c r="F3796" s="494">
        <v>414</v>
      </c>
      <c r="G3796" s="495" t="s">
        <v>3767</v>
      </c>
      <c r="H3796" s="397"/>
      <c r="I3796" s="397"/>
      <c r="J3796" s="750" t="e">
        <f t="shared" si="43"/>
        <v>#DIV/0!</v>
      </c>
      <c r="K3796" s="398"/>
      <c r="L3796" s="398"/>
      <c r="M3796" s="682"/>
      <c r="N3796" s="171"/>
      <c r="O3796" s="171"/>
      <c r="P3796" s="169"/>
      <c r="Q3796" s="171"/>
      <c r="R3796" s="171"/>
      <c r="S3796" s="171"/>
      <c r="T3796" s="171"/>
      <c r="U3796" s="171"/>
      <c r="V3796" s="171"/>
      <c r="W3796" s="171"/>
      <c r="X3796" s="171"/>
      <c r="Y3796" s="171"/>
      <c r="Z3796" s="171"/>
      <c r="AA3796" s="171"/>
    </row>
    <row r="3797" spans="1:27" s="530" customFormat="1" hidden="1" x14ac:dyDescent="0.2">
      <c r="A3797" s="526"/>
      <c r="B3797" s="527"/>
      <c r="C3797" s="465"/>
      <c r="D3797" s="464"/>
      <c r="E3797" s="464"/>
      <c r="F3797" s="494">
        <v>415</v>
      </c>
      <c r="G3797" s="495" t="s">
        <v>4177</v>
      </c>
      <c r="H3797" s="397"/>
      <c r="I3797" s="397"/>
      <c r="J3797" s="750" t="e">
        <f t="shared" si="43"/>
        <v>#DIV/0!</v>
      </c>
      <c r="K3797" s="398"/>
      <c r="L3797" s="398"/>
      <c r="M3797" s="682"/>
      <c r="N3797" s="171"/>
      <c r="O3797" s="171"/>
      <c r="P3797" s="169"/>
      <c r="Q3797" s="171"/>
      <c r="R3797" s="171"/>
      <c r="S3797" s="171"/>
      <c r="T3797" s="171"/>
      <c r="U3797" s="171"/>
      <c r="V3797" s="171"/>
      <c r="W3797" s="171"/>
      <c r="X3797" s="171"/>
      <c r="Y3797" s="171"/>
      <c r="Z3797" s="171"/>
      <c r="AA3797" s="171"/>
    </row>
    <row r="3798" spans="1:27" s="530" customFormat="1" ht="25.5" hidden="1" x14ac:dyDescent="0.2">
      <c r="A3798" s="526"/>
      <c r="B3798" s="527"/>
      <c r="C3798" s="465"/>
      <c r="D3798" s="464"/>
      <c r="E3798" s="464"/>
      <c r="F3798" s="494">
        <v>416</v>
      </c>
      <c r="G3798" s="495" t="s">
        <v>4178</v>
      </c>
      <c r="H3798" s="397"/>
      <c r="I3798" s="397"/>
      <c r="J3798" s="750" t="e">
        <f t="shared" si="43"/>
        <v>#DIV/0!</v>
      </c>
      <c r="K3798" s="398"/>
      <c r="L3798" s="398"/>
      <c r="M3798" s="682"/>
      <c r="N3798" s="171"/>
      <c r="O3798" s="171"/>
      <c r="P3798" s="169"/>
      <c r="Q3798" s="171"/>
      <c r="R3798" s="171"/>
      <c r="S3798" s="171"/>
      <c r="T3798" s="171"/>
      <c r="U3798" s="171"/>
      <c r="V3798" s="171"/>
      <c r="W3798" s="171"/>
      <c r="X3798" s="171"/>
      <c r="Y3798" s="171"/>
      <c r="Z3798" s="171"/>
      <c r="AA3798" s="171"/>
    </row>
    <row r="3799" spans="1:27" s="530" customFormat="1" hidden="1" x14ac:dyDescent="0.2">
      <c r="A3799" s="526"/>
      <c r="B3799" s="527"/>
      <c r="C3799" s="465"/>
      <c r="D3799" s="464"/>
      <c r="E3799" s="464"/>
      <c r="F3799" s="494">
        <v>417</v>
      </c>
      <c r="G3799" s="495" t="s">
        <v>4179</v>
      </c>
      <c r="H3799" s="397"/>
      <c r="I3799" s="397"/>
      <c r="J3799" s="750" t="e">
        <f t="shared" si="43"/>
        <v>#DIV/0!</v>
      </c>
      <c r="K3799" s="398"/>
      <c r="L3799" s="398"/>
      <c r="M3799" s="682"/>
      <c r="N3799" s="171"/>
      <c r="O3799" s="171"/>
      <c r="P3799" s="169"/>
      <c r="Q3799" s="171"/>
      <c r="R3799" s="171"/>
      <c r="S3799" s="171"/>
      <c r="T3799" s="171"/>
      <c r="U3799" s="171"/>
      <c r="V3799" s="171"/>
      <c r="W3799" s="171"/>
      <c r="X3799" s="171"/>
      <c r="Y3799" s="171"/>
      <c r="Z3799" s="171"/>
      <c r="AA3799" s="171"/>
    </row>
    <row r="3800" spans="1:27" s="530" customFormat="1" hidden="1" x14ac:dyDescent="0.2">
      <c r="A3800" s="526"/>
      <c r="B3800" s="527"/>
      <c r="C3800" s="465"/>
      <c r="D3800" s="464"/>
      <c r="E3800" s="464"/>
      <c r="F3800" s="494">
        <v>418</v>
      </c>
      <c r="G3800" s="495" t="s">
        <v>3773</v>
      </c>
      <c r="H3800" s="397"/>
      <c r="I3800" s="397"/>
      <c r="J3800" s="750" t="e">
        <f t="shared" si="43"/>
        <v>#DIV/0!</v>
      </c>
      <c r="K3800" s="398"/>
      <c r="L3800" s="398"/>
      <c r="M3800" s="682"/>
      <c r="N3800" s="171"/>
      <c r="O3800" s="171"/>
      <c r="P3800" s="169"/>
      <c r="Q3800" s="171"/>
      <c r="R3800" s="171"/>
      <c r="S3800" s="171"/>
      <c r="T3800" s="171"/>
      <c r="U3800" s="171"/>
      <c r="V3800" s="171"/>
      <c r="W3800" s="171"/>
      <c r="X3800" s="171"/>
      <c r="Y3800" s="171"/>
      <c r="Z3800" s="171"/>
      <c r="AA3800" s="171"/>
    </row>
    <row r="3801" spans="1:27" s="530" customFormat="1" hidden="1" x14ac:dyDescent="0.2">
      <c r="A3801" s="526"/>
      <c r="B3801" s="527"/>
      <c r="C3801" s="465"/>
      <c r="D3801" s="464"/>
      <c r="E3801" s="464"/>
      <c r="F3801" s="494">
        <v>421</v>
      </c>
      <c r="G3801" s="495" t="s">
        <v>3777</v>
      </c>
      <c r="H3801" s="397"/>
      <c r="I3801" s="397"/>
      <c r="J3801" s="750" t="e">
        <f t="shared" si="43"/>
        <v>#DIV/0!</v>
      </c>
      <c r="K3801" s="398"/>
      <c r="L3801" s="398"/>
      <c r="M3801" s="682"/>
      <c r="N3801" s="171"/>
      <c r="O3801" s="171"/>
      <c r="P3801" s="169"/>
      <c r="Q3801" s="171"/>
      <c r="R3801" s="171"/>
      <c r="S3801" s="171"/>
      <c r="T3801" s="171"/>
      <c r="U3801" s="171"/>
      <c r="V3801" s="171"/>
      <c r="W3801" s="171"/>
      <c r="X3801" s="171"/>
      <c r="Y3801" s="171"/>
      <c r="Z3801" s="171"/>
      <c r="AA3801" s="171"/>
    </row>
    <row r="3802" spans="1:27" s="530" customFormat="1" hidden="1" x14ac:dyDescent="0.2">
      <c r="A3802" s="526"/>
      <c r="B3802" s="527"/>
      <c r="C3802" s="465"/>
      <c r="D3802" s="464"/>
      <c r="E3802" s="464"/>
      <c r="F3802" s="494">
        <v>422</v>
      </c>
      <c r="G3802" s="495" t="s">
        <v>3778</v>
      </c>
      <c r="H3802" s="397"/>
      <c r="I3802" s="397"/>
      <c r="J3802" s="750" t="e">
        <f t="shared" si="43"/>
        <v>#DIV/0!</v>
      </c>
      <c r="K3802" s="398"/>
      <c r="L3802" s="398"/>
      <c r="M3802" s="682"/>
      <c r="N3802" s="171"/>
      <c r="O3802" s="171"/>
      <c r="P3802" s="169"/>
      <c r="Q3802" s="171"/>
      <c r="R3802" s="171"/>
      <c r="S3802" s="171"/>
      <c r="T3802" s="171"/>
      <c r="U3802" s="171"/>
      <c r="V3802" s="171"/>
      <c r="W3802" s="171"/>
      <c r="X3802" s="171"/>
      <c r="Y3802" s="171"/>
      <c r="Z3802" s="171"/>
      <c r="AA3802" s="171"/>
    </row>
    <row r="3803" spans="1:27" s="530" customFormat="1" hidden="1" x14ac:dyDescent="0.2">
      <c r="A3803" s="526"/>
      <c r="B3803" s="527"/>
      <c r="C3803" s="465"/>
      <c r="D3803" s="464"/>
      <c r="E3803" s="464"/>
      <c r="F3803" s="494">
        <v>423</v>
      </c>
      <c r="G3803" s="495" t="s">
        <v>3779</v>
      </c>
      <c r="H3803" s="397"/>
      <c r="I3803" s="397"/>
      <c r="J3803" s="750" t="e">
        <f t="shared" si="43"/>
        <v>#DIV/0!</v>
      </c>
      <c r="K3803" s="398"/>
      <c r="L3803" s="398"/>
      <c r="M3803" s="682"/>
      <c r="N3803" s="171"/>
      <c r="O3803" s="171"/>
      <c r="P3803" s="169"/>
      <c r="Q3803" s="171"/>
      <c r="R3803" s="171"/>
      <c r="S3803" s="171"/>
      <c r="T3803" s="171"/>
      <c r="U3803" s="171"/>
      <c r="V3803" s="171"/>
      <c r="W3803" s="171"/>
      <c r="X3803" s="171"/>
      <c r="Y3803" s="171"/>
      <c r="Z3803" s="171"/>
      <c r="AA3803" s="171"/>
    </row>
    <row r="3804" spans="1:27" s="530" customFormat="1" hidden="1" x14ac:dyDescent="0.2">
      <c r="A3804" s="526"/>
      <c r="B3804" s="527"/>
      <c r="C3804" s="465"/>
      <c r="D3804" s="464"/>
      <c r="E3804" s="464"/>
      <c r="F3804" s="494">
        <v>424</v>
      </c>
      <c r="G3804" s="495" t="s">
        <v>3781</v>
      </c>
      <c r="H3804" s="397"/>
      <c r="I3804" s="397"/>
      <c r="J3804" s="750" t="e">
        <f t="shared" si="43"/>
        <v>#DIV/0!</v>
      </c>
      <c r="K3804" s="398"/>
      <c r="L3804" s="398"/>
      <c r="M3804" s="682"/>
      <c r="N3804" s="171"/>
      <c r="O3804" s="171"/>
      <c r="P3804" s="169"/>
      <c r="Q3804" s="171"/>
      <c r="R3804" s="171"/>
      <c r="S3804" s="171"/>
      <c r="T3804" s="171"/>
      <c r="U3804" s="171"/>
      <c r="V3804" s="171"/>
      <c r="W3804" s="171"/>
      <c r="X3804" s="171"/>
      <c r="Y3804" s="171"/>
      <c r="Z3804" s="171"/>
      <c r="AA3804" s="171"/>
    </row>
    <row r="3805" spans="1:27" s="530" customFormat="1" hidden="1" x14ac:dyDescent="0.2">
      <c r="A3805" s="526"/>
      <c r="B3805" s="527"/>
      <c r="C3805" s="465"/>
      <c r="D3805" s="464"/>
      <c r="E3805" s="464"/>
      <c r="F3805" s="494">
        <v>425</v>
      </c>
      <c r="G3805" s="495" t="s">
        <v>4180</v>
      </c>
      <c r="H3805" s="397"/>
      <c r="I3805" s="397"/>
      <c r="J3805" s="750" t="e">
        <f t="shared" si="43"/>
        <v>#DIV/0!</v>
      </c>
      <c r="K3805" s="398"/>
      <c r="L3805" s="398"/>
      <c r="M3805" s="682"/>
      <c r="N3805" s="171"/>
      <c r="O3805" s="171"/>
      <c r="P3805" s="169"/>
      <c r="Q3805" s="171"/>
      <c r="R3805" s="171"/>
      <c r="S3805" s="171"/>
      <c r="T3805" s="171"/>
      <c r="U3805" s="171"/>
      <c r="V3805" s="171"/>
      <c r="W3805" s="171"/>
      <c r="X3805" s="171"/>
      <c r="Y3805" s="171"/>
      <c r="Z3805" s="171"/>
      <c r="AA3805" s="171"/>
    </row>
    <row r="3806" spans="1:27" s="530" customFormat="1" hidden="1" x14ac:dyDescent="0.2">
      <c r="A3806" s="526"/>
      <c r="B3806" s="527"/>
      <c r="C3806" s="465"/>
      <c r="D3806" s="464"/>
      <c r="E3806" s="464"/>
      <c r="F3806" s="494">
        <v>426</v>
      </c>
      <c r="G3806" s="495" t="s">
        <v>3785</v>
      </c>
      <c r="H3806" s="397"/>
      <c r="I3806" s="397"/>
      <c r="J3806" s="750" t="e">
        <f t="shared" si="43"/>
        <v>#DIV/0!</v>
      </c>
      <c r="K3806" s="398"/>
      <c r="L3806" s="398"/>
      <c r="M3806" s="682"/>
      <c r="N3806" s="171"/>
      <c r="O3806" s="171"/>
      <c r="P3806" s="169"/>
      <c r="Q3806" s="171"/>
      <c r="R3806" s="171"/>
      <c r="S3806" s="171"/>
      <c r="T3806" s="171"/>
      <c r="U3806" s="171"/>
      <c r="V3806" s="171"/>
      <c r="W3806" s="171"/>
      <c r="X3806" s="171"/>
      <c r="Y3806" s="171"/>
      <c r="Z3806" s="171"/>
      <c r="AA3806" s="171"/>
    </row>
    <row r="3807" spans="1:27" s="530" customFormat="1" hidden="1" x14ac:dyDescent="0.2">
      <c r="A3807" s="526"/>
      <c r="B3807" s="527"/>
      <c r="C3807" s="465"/>
      <c r="D3807" s="464"/>
      <c r="E3807" s="464"/>
      <c r="F3807" s="494">
        <v>431</v>
      </c>
      <c r="G3807" s="495" t="s">
        <v>4181</v>
      </c>
      <c r="H3807" s="397"/>
      <c r="I3807" s="397"/>
      <c r="J3807" s="750" t="e">
        <f t="shared" si="43"/>
        <v>#DIV/0!</v>
      </c>
      <c r="K3807" s="398"/>
      <c r="L3807" s="398"/>
      <c r="M3807" s="682"/>
      <c r="N3807" s="171"/>
      <c r="O3807" s="171"/>
      <c r="P3807" s="169"/>
      <c r="Q3807" s="171"/>
      <c r="R3807" s="171"/>
      <c r="S3807" s="171"/>
      <c r="T3807" s="171"/>
      <c r="U3807" s="171"/>
      <c r="V3807" s="171"/>
      <c r="W3807" s="171"/>
      <c r="X3807" s="171"/>
      <c r="Y3807" s="171"/>
      <c r="Z3807" s="171"/>
      <c r="AA3807" s="171"/>
    </row>
    <row r="3808" spans="1:27" s="530" customFormat="1" hidden="1" x14ac:dyDescent="0.2">
      <c r="A3808" s="526"/>
      <c r="B3808" s="527"/>
      <c r="C3808" s="465"/>
      <c r="D3808" s="464"/>
      <c r="E3808" s="464"/>
      <c r="F3808" s="494">
        <v>432</v>
      </c>
      <c r="G3808" s="495" t="s">
        <v>4182</v>
      </c>
      <c r="H3808" s="397"/>
      <c r="I3808" s="397"/>
      <c r="J3808" s="750" t="e">
        <f t="shared" si="43"/>
        <v>#DIV/0!</v>
      </c>
      <c r="K3808" s="398"/>
      <c r="L3808" s="398"/>
      <c r="M3808" s="682"/>
      <c r="N3808" s="171"/>
      <c r="O3808" s="171"/>
      <c r="P3808" s="169"/>
      <c r="Q3808" s="171"/>
      <c r="R3808" s="171"/>
      <c r="S3808" s="171"/>
      <c r="T3808" s="171"/>
      <c r="U3808" s="171"/>
      <c r="V3808" s="171"/>
      <c r="W3808" s="171"/>
      <c r="X3808" s="171"/>
      <c r="Y3808" s="171"/>
      <c r="Z3808" s="171"/>
      <c r="AA3808" s="171"/>
    </row>
    <row r="3809" spans="1:27" s="530" customFormat="1" hidden="1" x14ac:dyDescent="0.2">
      <c r="A3809" s="526"/>
      <c r="B3809" s="527"/>
      <c r="C3809" s="465"/>
      <c r="D3809" s="464"/>
      <c r="E3809" s="464"/>
      <c r="F3809" s="494">
        <v>433</v>
      </c>
      <c r="G3809" s="495" t="s">
        <v>4183</v>
      </c>
      <c r="H3809" s="397"/>
      <c r="I3809" s="397"/>
      <c r="J3809" s="750" t="e">
        <f t="shared" si="43"/>
        <v>#DIV/0!</v>
      </c>
      <c r="K3809" s="398"/>
      <c r="L3809" s="398"/>
      <c r="M3809" s="682"/>
      <c r="N3809" s="171"/>
      <c r="O3809" s="171"/>
      <c r="P3809" s="169"/>
      <c r="Q3809" s="171"/>
      <c r="R3809" s="171"/>
      <c r="S3809" s="171"/>
      <c r="T3809" s="171"/>
      <c r="U3809" s="171"/>
      <c r="V3809" s="171"/>
      <c r="W3809" s="171"/>
      <c r="X3809" s="171"/>
      <c r="Y3809" s="171"/>
      <c r="Z3809" s="171"/>
      <c r="AA3809" s="171"/>
    </row>
    <row r="3810" spans="1:27" s="530" customFormat="1" hidden="1" x14ac:dyDescent="0.2">
      <c r="A3810" s="526"/>
      <c r="B3810" s="527"/>
      <c r="C3810" s="465"/>
      <c r="D3810" s="464"/>
      <c r="E3810" s="464"/>
      <c r="F3810" s="494">
        <v>434</v>
      </c>
      <c r="G3810" s="495" t="s">
        <v>4184</v>
      </c>
      <c r="H3810" s="397"/>
      <c r="I3810" s="397"/>
      <c r="J3810" s="750" t="e">
        <f t="shared" si="43"/>
        <v>#DIV/0!</v>
      </c>
      <c r="K3810" s="398"/>
      <c r="L3810" s="398"/>
      <c r="M3810" s="682"/>
      <c r="N3810" s="171"/>
      <c r="O3810" s="171"/>
      <c r="P3810" s="169"/>
      <c r="Q3810" s="171"/>
      <c r="R3810" s="171"/>
      <c r="S3810" s="171"/>
      <c r="T3810" s="171"/>
      <c r="U3810" s="171"/>
      <c r="V3810" s="171"/>
      <c r="W3810" s="171"/>
      <c r="X3810" s="171"/>
      <c r="Y3810" s="171"/>
      <c r="Z3810" s="171"/>
      <c r="AA3810" s="171"/>
    </row>
    <row r="3811" spans="1:27" s="530" customFormat="1" hidden="1" x14ac:dyDescent="0.2">
      <c r="A3811" s="526"/>
      <c r="B3811" s="527"/>
      <c r="C3811" s="465"/>
      <c r="D3811" s="464"/>
      <c r="E3811" s="464"/>
      <c r="F3811" s="494">
        <v>435</v>
      </c>
      <c r="G3811" s="495" t="s">
        <v>3792</v>
      </c>
      <c r="H3811" s="397"/>
      <c r="I3811" s="397"/>
      <c r="J3811" s="750" t="e">
        <f t="shared" si="43"/>
        <v>#DIV/0!</v>
      </c>
      <c r="K3811" s="398"/>
      <c r="L3811" s="398"/>
      <c r="M3811" s="682"/>
      <c r="N3811" s="171"/>
      <c r="O3811" s="171"/>
      <c r="P3811" s="169"/>
      <c r="Q3811" s="171"/>
      <c r="R3811" s="171"/>
      <c r="S3811" s="171"/>
      <c r="T3811" s="171"/>
      <c r="U3811" s="171"/>
      <c r="V3811" s="171"/>
      <c r="W3811" s="171"/>
      <c r="X3811" s="171"/>
      <c r="Y3811" s="171"/>
      <c r="Z3811" s="171"/>
      <c r="AA3811" s="171"/>
    </row>
    <row r="3812" spans="1:27" s="530" customFormat="1" hidden="1" x14ac:dyDescent="0.2">
      <c r="A3812" s="526"/>
      <c r="B3812" s="527"/>
      <c r="C3812" s="465"/>
      <c r="D3812" s="464"/>
      <c r="E3812" s="464"/>
      <c r="F3812" s="494">
        <v>441</v>
      </c>
      <c r="G3812" s="495" t="s">
        <v>4185</v>
      </c>
      <c r="H3812" s="397"/>
      <c r="I3812" s="397"/>
      <c r="J3812" s="750" t="e">
        <f t="shared" si="43"/>
        <v>#DIV/0!</v>
      </c>
      <c r="K3812" s="398"/>
      <c r="L3812" s="398"/>
      <c r="M3812" s="682"/>
      <c r="N3812" s="171"/>
      <c r="O3812" s="171"/>
      <c r="P3812" s="169"/>
      <c r="Q3812" s="171"/>
      <c r="R3812" s="171"/>
      <c r="S3812" s="171"/>
      <c r="T3812" s="171"/>
      <c r="U3812" s="171"/>
      <c r="V3812" s="171"/>
      <c r="W3812" s="171"/>
      <c r="X3812" s="171"/>
      <c r="Y3812" s="171"/>
      <c r="Z3812" s="171"/>
      <c r="AA3812" s="171"/>
    </row>
    <row r="3813" spans="1:27" s="530" customFormat="1" hidden="1" x14ac:dyDescent="0.2">
      <c r="A3813" s="526"/>
      <c r="B3813" s="527"/>
      <c r="C3813" s="465"/>
      <c r="D3813" s="464"/>
      <c r="E3813" s="464"/>
      <c r="F3813" s="494">
        <v>442</v>
      </c>
      <c r="G3813" s="495" t="s">
        <v>4186</v>
      </c>
      <c r="H3813" s="397"/>
      <c r="I3813" s="397"/>
      <c r="J3813" s="750" t="e">
        <f t="shared" si="43"/>
        <v>#DIV/0!</v>
      </c>
      <c r="K3813" s="398"/>
      <c r="L3813" s="398"/>
      <c r="M3813" s="682"/>
      <c r="N3813" s="171"/>
      <c r="O3813" s="171"/>
      <c r="P3813" s="169"/>
      <c r="Q3813" s="171"/>
      <c r="R3813" s="171"/>
      <c r="S3813" s="171"/>
      <c r="T3813" s="171"/>
      <c r="U3813" s="171"/>
      <c r="V3813" s="171"/>
      <c r="W3813" s="171"/>
      <c r="X3813" s="171"/>
      <c r="Y3813" s="171"/>
      <c r="Z3813" s="171"/>
      <c r="AA3813" s="171"/>
    </row>
    <row r="3814" spans="1:27" s="530" customFormat="1" hidden="1" x14ac:dyDescent="0.2">
      <c r="A3814" s="526"/>
      <c r="B3814" s="527"/>
      <c r="C3814" s="465"/>
      <c r="D3814" s="464"/>
      <c r="E3814" s="464"/>
      <c r="F3814" s="494">
        <v>443</v>
      </c>
      <c r="G3814" s="495" t="s">
        <v>3797</v>
      </c>
      <c r="H3814" s="397"/>
      <c r="I3814" s="397"/>
      <c r="J3814" s="750" t="e">
        <f t="shared" si="43"/>
        <v>#DIV/0!</v>
      </c>
      <c r="K3814" s="398"/>
      <c r="L3814" s="398"/>
      <c r="M3814" s="682"/>
      <c r="N3814" s="171"/>
      <c r="O3814" s="171"/>
      <c r="P3814" s="169"/>
      <c r="Q3814" s="171"/>
      <c r="R3814" s="171"/>
      <c r="S3814" s="171"/>
      <c r="T3814" s="171"/>
      <c r="U3814" s="171"/>
      <c r="V3814" s="171"/>
      <c r="W3814" s="171"/>
      <c r="X3814" s="171"/>
      <c r="Y3814" s="171"/>
      <c r="Z3814" s="171"/>
      <c r="AA3814" s="171"/>
    </row>
    <row r="3815" spans="1:27" s="530" customFormat="1" hidden="1" x14ac:dyDescent="0.2">
      <c r="A3815" s="526"/>
      <c r="B3815" s="527"/>
      <c r="C3815" s="465"/>
      <c r="D3815" s="464"/>
      <c r="E3815" s="464"/>
      <c r="F3815" s="494">
        <v>444</v>
      </c>
      <c r="G3815" s="495" t="s">
        <v>3798</v>
      </c>
      <c r="H3815" s="397"/>
      <c r="I3815" s="397"/>
      <c r="J3815" s="750" t="e">
        <f t="shared" si="43"/>
        <v>#DIV/0!</v>
      </c>
      <c r="K3815" s="398"/>
      <c r="L3815" s="398"/>
      <c r="M3815" s="682"/>
      <c r="N3815" s="171"/>
      <c r="O3815" s="171"/>
      <c r="P3815" s="169"/>
      <c r="Q3815" s="171"/>
      <c r="R3815" s="171"/>
      <c r="S3815" s="171"/>
      <c r="T3815" s="171"/>
      <c r="U3815" s="171"/>
      <c r="V3815" s="171"/>
      <c r="W3815" s="171"/>
      <c r="X3815" s="171"/>
      <c r="Y3815" s="171"/>
      <c r="Z3815" s="171"/>
      <c r="AA3815" s="171"/>
    </row>
    <row r="3816" spans="1:27" s="530" customFormat="1" ht="25.5" hidden="1" x14ac:dyDescent="0.2">
      <c r="A3816" s="526"/>
      <c r="B3816" s="527"/>
      <c r="C3816" s="465"/>
      <c r="D3816" s="464"/>
      <c r="E3816" s="464"/>
      <c r="F3816" s="494">
        <v>4511</v>
      </c>
      <c r="G3816" s="466" t="s">
        <v>1692</v>
      </c>
      <c r="H3816" s="397"/>
      <c r="I3816" s="397"/>
      <c r="J3816" s="750" t="e">
        <f t="shared" si="43"/>
        <v>#DIV/0!</v>
      </c>
      <c r="K3816" s="398"/>
      <c r="L3816" s="398"/>
      <c r="M3816" s="682"/>
      <c r="N3816" s="171"/>
      <c r="O3816" s="171"/>
      <c r="P3816" s="169"/>
      <c r="Q3816" s="171"/>
      <c r="R3816" s="171"/>
      <c r="S3816" s="171"/>
      <c r="T3816" s="171"/>
      <c r="U3816" s="171"/>
      <c r="V3816" s="171"/>
      <c r="W3816" s="171"/>
      <c r="X3816" s="171"/>
      <c r="Y3816" s="171"/>
      <c r="Z3816" s="171"/>
      <c r="AA3816" s="171"/>
    </row>
    <row r="3817" spans="1:27" s="530" customFormat="1" ht="25.5" hidden="1" x14ac:dyDescent="0.2">
      <c r="A3817" s="526"/>
      <c r="B3817" s="527"/>
      <c r="C3817" s="465"/>
      <c r="D3817" s="464"/>
      <c r="E3817" s="464"/>
      <c r="F3817" s="494">
        <v>4512</v>
      </c>
      <c r="G3817" s="466" t="s">
        <v>1701</v>
      </c>
      <c r="H3817" s="397"/>
      <c r="I3817" s="397"/>
      <c r="J3817" s="750" t="e">
        <f t="shared" si="43"/>
        <v>#DIV/0!</v>
      </c>
      <c r="K3817" s="398"/>
      <c r="L3817" s="398"/>
      <c r="M3817" s="682"/>
      <c r="N3817" s="171"/>
      <c r="O3817" s="171"/>
      <c r="P3817" s="169"/>
      <c r="Q3817" s="171"/>
      <c r="R3817" s="171"/>
      <c r="S3817" s="171"/>
      <c r="T3817" s="171"/>
      <c r="U3817" s="171"/>
      <c r="V3817" s="171"/>
      <c r="W3817" s="171"/>
      <c r="X3817" s="171"/>
      <c r="Y3817" s="171"/>
      <c r="Z3817" s="171"/>
      <c r="AA3817" s="171"/>
    </row>
    <row r="3818" spans="1:27" s="530" customFormat="1" ht="25.5" hidden="1" x14ac:dyDescent="0.2">
      <c r="A3818" s="526"/>
      <c r="B3818" s="527"/>
      <c r="C3818" s="465"/>
      <c r="D3818" s="464"/>
      <c r="E3818" s="464"/>
      <c r="F3818" s="494">
        <v>452</v>
      </c>
      <c r="G3818" s="495" t="s">
        <v>4187</v>
      </c>
      <c r="H3818" s="397"/>
      <c r="I3818" s="397"/>
      <c r="J3818" s="750" t="e">
        <f t="shared" si="43"/>
        <v>#DIV/0!</v>
      </c>
      <c r="K3818" s="398"/>
      <c r="L3818" s="398"/>
      <c r="M3818" s="682"/>
      <c r="N3818" s="171"/>
      <c r="O3818" s="171"/>
      <c r="P3818" s="169"/>
      <c r="Q3818" s="171"/>
      <c r="R3818" s="171"/>
      <c r="S3818" s="171"/>
      <c r="T3818" s="171"/>
      <c r="U3818" s="171"/>
      <c r="V3818" s="171"/>
      <c r="W3818" s="171"/>
      <c r="X3818" s="171"/>
      <c r="Y3818" s="171"/>
      <c r="Z3818" s="171"/>
      <c r="AA3818" s="171"/>
    </row>
    <row r="3819" spans="1:27" s="530" customFormat="1" ht="25.5" hidden="1" x14ac:dyDescent="0.2">
      <c r="A3819" s="526"/>
      <c r="B3819" s="527"/>
      <c r="C3819" s="465"/>
      <c r="D3819" s="464"/>
      <c r="E3819" s="464"/>
      <c r="F3819" s="494">
        <v>453</v>
      </c>
      <c r="G3819" s="495" t="s">
        <v>4188</v>
      </c>
      <c r="H3819" s="397"/>
      <c r="I3819" s="397"/>
      <c r="J3819" s="750" t="e">
        <f t="shared" si="43"/>
        <v>#DIV/0!</v>
      </c>
      <c r="K3819" s="398"/>
      <c r="L3819" s="398"/>
      <c r="M3819" s="682"/>
      <c r="N3819" s="171"/>
      <c r="O3819" s="171"/>
      <c r="P3819" s="169"/>
      <c r="Q3819" s="171"/>
      <c r="R3819" s="171"/>
      <c r="S3819" s="171"/>
      <c r="T3819" s="171"/>
      <c r="U3819" s="171"/>
      <c r="V3819" s="171"/>
      <c r="W3819" s="171"/>
      <c r="X3819" s="171"/>
      <c r="Y3819" s="171"/>
      <c r="Z3819" s="171"/>
      <c r="AA3819" s="171"/>
    </row>
    <row r="3820" spans="1:27" s="530" customFormat="1" hidden="1" x14ac:dyDescent="0.2">
      <c r="A3820" s="526"/>
      <c r="B3820" s="527"/>
      <c r="C3820" s="465"/>
      <c r="D3820" s="464"/>
      <c r="E3820" s="464"/>
      <c r="F3820" s="494">
        <v>454</v>
      </c>
      <c r="G3820" s="495" t="s">
        <v>3803</v>
      </c>
      <c r="H3820" s="397"/>
      <c r="I3820" s="397"/>
      <c r="J3820" s="750" t="e">
        <f t="shared" si="43"/>
        <v>#DIV/0!</v>
      </c>
      <c r="K3820" s="398"/>
      <c r="L3820" s="398"/>
      <c r="M3820" s="682"/>
      <c r="N3820" s="171"/>
      <c r="O3820" s="171"/>
      <c r="P3820" s="169"/>
      <c r="Q3820" s="171"/>
      <c r="R3820" s="171"/>
      <c r="S3820" s="171"/>
      <c r="T3820" s="171"/>
      <c r="U3820" s="171"/>
      <c r="V3820" s="171"/>
      <c r="W3820" s="171"/>
      <c r="X3820" s="171"/>
      <c r="Y3820" s="171"/>
      <c r="Z3820" s="171"/>
      <c r="AA3820" s="171"/>
    </row>
    <row r="3821" spans="1:27" s="530" customFormat="1" hidden="1" x14ac:dyDescent="0.2">
      <c r="A3821" s="526"/>
      <c r="B3821" s="527"/>
      <c r="C3821" s="465"/>
      <c r="D3821" s="464"/>
      <c r="E3821" s="464"/>
      <c r="F3821" s="494">
        <v>461</v>
      </c>
      <c r="G3821" s="495" t="s">
        <v>4169</v>
      </c>
      <c r="H3821" s="397"/>
      <c r="I3821" s="397"/>
      <c r="J3821" s="750" t="e">
        <f t="shared" si="43"/>
        <v>#DIV/0!</v>
      </c>
      <c r="K3821" s="398"/>
      <c r="L3821" s="398"/>
      <c r="M3821" s="682"/>
      <c r="N3821" s="171"/>
      <c r="O3821" s="171"/>
      <c r="P3821" s="169"/>
      <c r="Q3821" s="171"/>
      <c r="R3821" s="171"/>
      <c r="S3821" s="171"/>
      <c r="T3821" s="171"/>
      <c r="U3821" s="171"/>
      <c r="V3821" s="171"/>
      <c r="W3821" s="171"/>
      <c r="X3821" s="171"/>
      <c r="Y3821" s="171"/>
      <c r="Z3821" s="171"/>
      <c r="AA3821" s="171"/>
    </row>
    <row r="3822" spans="1:27" s="530" customFormat="1" ht="25.5" hidden="1" x14ac:dyDescent="0.2">
      <c r="A3822" s="526"/>
      <c r="B3822" s="527"/>
      <c r="C3822" s="465"/>
      <c r="D3822" s="464"/>
      <c r="E3822" s="464"/>
      <c r="F3822" s="494">
        <v>462</v>
      </c>
      <c r="G3822" s="495" t="s">
        <v>3806</v>
      </c>
      <c r="H3822" s="397"/>
      <c r="I3822" s="397"/>
      <c r="J3822" s="750" t="e">
        <f t="shared" si="43"/>
        <v>#DIV/0!</v>
      </c>
      <c r="K3822" s="398"/>
      <c r="L3822" s="398"/>
      <c r="M3822" s="682"/>
      <c r="N3822" s="171"/>
      <c r="O3822" s="171"/>
      <c r="P3822" s="169"/>
      <c r="Q3822" s="171"/>
      <c r="R3822" s="171"/>
      <c r="S3822" s="171"/>
      <c r="T3822" s="171"/>
      <c r="U3822" s="171"/>
      <c r="V3822" s="171"/>
      <c r="W3822" s="171"/>
      <c r="X3822" s="171"/>
      <c r="Y3822" s="171"/>
      <c r="Z3822" s="171"/>
      <c r="AA3822" s="171"/>
    </row>
    <row r="3823" spans="1:27" s="530" customFormat="1" hidden="1" x14ac:dyDescent="0.2">
      <c r="A3823" s="526"/>
      <c r="B3823" s="527"/>
      <c r="C3823" s="465"/>
      <c r="D3823" s="464"/>
      <c r="E3823" s="464"/>
      <c r="F3823" s="494">
        <v>4631</v>
      </c>
      <c r="G3823" s="495" t="s">
        <v>3807</v>
      </c>
      <c r="H3823" s="397"/>
      <c r="I3823" s="397"/>
      <c r="J3823" s="750" t="e">
        <f t="shared" si="43"/>
        <v>#DIV/0!</v>
      </c>
      <c r="K3823" s="398"/>
      <c r="L3823" s="398"/>
      <c r="M3823" s="682"/>
      <c r="N3823" s="171"/>
      <c r="O3823" s="171"/>
      <c r="P3823" s="169"/>
      <c r="Q3823" s="171"/>
      <c r="R3823" s="171"/>
      <c r="S3823" s="171"/>
      <c r="T3823" s="171"/>
      <c r="U3823" s="171"/>
      <c r="V3823" s="171"/>
      <c r="W3823" s="171"/>
      <c r="X3823" s="171"/>
      <c r="Y3823" s="171"/>
      <c r="Z3823" s="171"/>
      <c r="AA3823" s="171"/>
    </row>
    <row r="3824" spans="1:27" s="530" customFormat="1" hidden="1" x14ac:dyDescent="0.2">
      <c r="A3824" s="526"/>
      <c r="B3824" s="527"/>
      <c r="C3824" s="465"/>
      <c r="D3824" s="464"/>
      <c r="E3824" s="464"/>
      <c r="F3824" s="494">
        <v>4632</v>
      </c>
      <c r="G3824" s="495" t="s">
        <v>3808</v>
      </c>
      <c r="H3824" s="397"/>
      <c r="I3824" s="397"/>
      <c r="J3824" s="750" t="e">
        <f t="shared" si="43"/>
        <v>#DIV/0!</v>
      </c>
      <c r="K3824" s="398"/>
      <c r="L3824" s="398"/>
      <c r="M3824" s="682"/>
      <c r="N3824" s="171"/>
      <c r="O3824" s="171"/>
      <c r="P3824" s="169"/>
      <c r="Q3824" s="171"/>
      <c r="R3824" s="171"/>
      <c r="S3824" s="171"/>
      <c r="T3824" s="171"/>
      <c r="U3824" s="171"/>
      <c r="V3824" s="171"/>
      <c r="W3824" s="171"/>
      <c r="X3824" s="171"/>
      <c r="Y3824" s="171"/>
      <c r="Z3824" s="171"/>
      <c r="AA3824" s="171"/>
    </row>
    <row r="3825" spans="1:27" s="530" customFormat="1" ht="25.5" hidden="1" x14ac:dyDescent="0.2">
      <c r="A3825" s="526"/>
      <c r="B3825" s="527"/>
      <c r="C3825" s="465"/>
      <c r="D3825" s="464"/>
      <c r="E3825" s="464"/>
      <c r="F3825" s="494">
        <v>464</v>
      </c>
      <c r="G3825" s="495" t="s">
        <v>3809</v>
      </c>
      <c r="H3825" s="397"/>
      <c r="I3825" s="397"/>
      <c r="J3825" s="750" t="e">
        <f t="shared" si="43"/>
        <v>#DIV/0!</v>
      </c>
      <c r="K3825" s="398"/>
      <c r="L3825" s="398"/>
      <c r="M3825" s="682"/>
      <c r="N3825" s="171"/>
      <c r="O3825" s="171"/>
      <c r="P3825" s="169"/>
      <c r="Q3825" s="171"/>
      <c r="R3825" s="171"/>
      <c r="S3825" s="171"/>
      <c r="T3825" s="171"/>
      <c r="U3825" s="171"/>
      <c r="V3825" s="171"/>
      <c r="W3825" s="171"/>
      <c r="X3825" s="171"/>
      <c r="Y3825" s="171"/>
      <c r="Z3825" s="171"/>
      <c r="AA3825" s="171"/>
    </row>
    <row r="3826" spans="1:27" s="530" customFormat="1" hidden="1" x14ac:dyDescent="0.2">
      <c r="A3826" s="526"/>
      <c r="B3826" s="527"/>
      <c r="C3826" s="465"/>
      <c r="D3826" s="464"/>
      <c r="E3826" s="464"/>
      <c r="F3826" s="494">
        <v>465</v>
      </c>
      <c r="G3826" s="495" t="s">
        <v>4170</v>
      </c>
      <c r="H3826" s="397"/>
      <c r="I3826" s="397"/>
      <c r="J3826" s="750" t="e">
        <f t="shared" si="43"/>
        <v>#DIV/0!</v>
      </c>
      <c r="K3826" s="398"/>
      <c r="L3826" s="398"/>
      <c r="M3826" s="682"/>
      <c r="N3826" s="171"/>
      <c r="O3826" s="171"/>
      <c r="P3826" s="169"/>
      <c r="Q3826" s="171"/>
      <c r="R3826" s="171"/>
      <c r="S3826" s="171"/>
      <c r="T3826" s="171"/>
      <c r="U3826" s="171"/>
      <c r="V3826" s="171"/>
      <c r="W3826" s="171"/>
      <c r="X3826" s="171"/>
      <c r="Y3826" s="171"/>
      <c r="Z3826" s="171"/>
      <c r="AA3826" s="171"/>
    </row>
    <row r="3827" spans="1:27" s="530" customFormat="1" hidden="1" x14ac:dyDescent="0.2">
      <c r="A3827" s="526"/>
      <c r="B3827" s="527"/>
      <c r="C3827" s="465"/>
      <c r="D3827" s="464"/>
      <c r="E3827" s="464"/>
      <c r="F3827" s="494">
        <v>472</v>
      </c>
      <c r="G3827" s="495" t="s">
        <v>3813</v>
      </c>
      <c r="H3827" s="397"/>
      <c r="I3827" s="397"/>
      <c r="J3827" s="750" t="e">
        <f t="shared" si="43"/>
        <v>#DIV/0!</v>
      </c>
      <c r="K3827" s="398"/>
      <c r="L3827" s="398"/>
      <c r="M3827" s="682"/>
      <c r="N3827" s="171"/>
      <c r="O3827" s="171"/>
      <c r="P3827" s="169"/>
      <c r="Q3827" s="171"/>
      <c r="R3827" s="171"/>
      <c r="S3827" s="171"/>
      <c r="T3827" s="171"/>
      <c r="U3827" s="171"/>
      <c r="V3827" s="171"/>
      <c r="W3827" s="171"/>
      <c r="X3827" s="171"/>
      <c r="Y3827" s="171"/>
      <c r="Z3827" s="171"/>
      <c r="AA3827" s="171"/>
    </row>
    <row r="3828" spans="1:27" s="530" customFormat="1" hidden="1" x14ac:dyDescent="0.2">
      <c r="A3828" s="526"/>
      <c r="B3828" s="527"/>
      <c r="C3828" s="465"/>
      <c r="D3828" s="464"/>
      <c r="E3828" s="464"/>
      <c r="F3828" s="494">
        <v>481</v>
      </c>
      <c r="G3828" s="495" t="s">
        <v>4189</v>
      </c>
      <c r="H3828" s="397"/>
      <c r="I3828" s="397"/>
      <c r="J3828" s="750" t="e">
        <f t="shared" si="43"/>
        <v>#DIV/0!</v>
      </c>
      <c r="K3828" s="398"/>
      <c r="L3828" s="398"/>
      <c r="M3828" s="682"/>
      <c r="N3828" s="171"/>
      <c r="O3828" s="171"/>
      <c r="P3828" s="169"/>
      <c r="Q3828" s="171"/>
      <c r="R3828" s="171"/>
      <c r="S3828" s="171"/>
      <c r="T3828" s="171"/>
      <c r="U3828" s="171"/>
      <c r="V3828" s="171"/>
      <c r="W3828" s="171"/>
      <c r="X3828" s="171"/>
      <c r="Y3828" s="171"/>
      <c r="Z3828" s="171"/>
      <c r="AA3828" s="171"/>
    </row>
    <row r="3829" spans="1:27" s="530" customFormat="1" hidden="1" x14ac:dyDescent="0.2">
      <c r="A3829" s="526"/>
      <c r="B3829" s="527"/>
      <c r="C3829" s="465"/>
      <c r="D3829" s="464"/>
      <c r="E3829" s="464"/>
      <c r="F3829" s="494">
        <v>482</v>
      </c>
      <c r="G3829" s="495" t="s">
        <v>4190</v>
      </c>
      <c r="H3829" s="397"/>
      <c r="I3829" s="397"/>
      <c r="J3829" s="750" t="e">
        <f t="shared" si="43"/>
        <v>#DIV/0!</v>
      </c>
      <c r="K3829" s="398"/>
      <c r="L3829" s="398"/>
      <c r="M3829" s="682"/>
      <c r="N3829" s="171"/>
      <c r="O3829" s="171"/>
      <c r="P3829" s="169"/>
      <c r="Q3829" s="171"/>
      <c r="R3829" s="171"/>
      <c r="S3829" s="171"/>
      <c r="T3829" s="171"/>
      <c r="U3829" s="171"/>
      <c r="V3829" s="171"/>
      <c r="W3829" s="171"/>
      <c r="X3829" s="171"/>
      <c r="Y3829" s="171"/>
      <c r="Z3829" s="171"/>
      <c r="AA3829" s="171"/>
    </row>
    <row r="3830" spans="1:27" s="530" customFormat="1" hidden="1" x14ac:dyDescent="0.2">
      <c r="A3830" s="526"/>
      <c r="B3830" s="527"/>
      <c r="C3830" s="465"/>
      <c r="D3830" s="464"/>
      <c r="E3830" s="464"/>
      <c r="F3830" s="494">
        <v>483</v>
      </c>
      <c r="G3830" s="497" t="s">
        <v>4191</v>
      </c>
      <c r="H3830" s="397"/>
      <c r="I3830" s="397"/>
      <c r="J3830" s="750" t="e">
        <f t="shared" si="43"/>
        <v>#DIV/0!</v>
      </c>
      <c r="K3830" s="398"/>
      <c r="L3830" s="398"/>
      <c r="M3830" s="682"/>
      <c r="N3830" s="171"/>
      <c r="O3830" s="171"/>
      <c r="P3830" s="169"/>
      <c r="Q3830" s="171"/>
      <c r="R3830" s="171"/>
      <c r="S3830" s="171"/>
      <c r="T3830" s="171"/>
      <c r="U3830" s="171"/>
      <c r="V3830" s="171"/>
      <c r="W3830" s="171"/>
      <c r="X3830" s="171"/>
      <c r="Y3830" s="171"/>
      <c r="Z3830" s="171"/>
      <c r="AA3830" s="171"/>
    </row>
    <row r="3831" spans="1:27" s="530" customFormat="1" ht="38.25" hidden="1" x14ac:dyDescent="0.2">
      <c r="A3831" s="526"/>
      <c r="B3831" s="527"/>
      <c r="C3831" s="465"/>
      <c r="D3831" s="464"/>
      <c r="E3831" s="464"/>
      <c r="F3831" s="494">
        <v>484</v>
      </c>
      <c r="G3831" s="495" t="s">
        <v>4192</v>
      </c>
      <c r="H3831" s="397"/>
      <c r="I3831" s="397"/>
      <c r="J3831" s="750" t="e">
        <f t="shared" si="43"/>
        <v>#DIV/0!</v>
      </c>
      <c r="K3831" s="398"/>
      <c r="L3831" s="398"/>
      <c r="M3831" s="682"/>
      <c r="N3831" s="171"/>
      <c r="O3831" s="171"/>
      <c r="P3831" s="169"/>
      <c r="Q3831" s="171"/>
      <c r="R3831" s="171"/>
      <c r="S3831" s="171"/>
      <c r="T3831" s="171"/>
      <c r="U3831" s="171"/>
      <c r="V3831" s="171"/>
      <c r="W3831" s="171"/>
      <c r="X3831" s="171"/>
      <c r="Y3831" s="171"/>
      <c r="Z3831" s="171"/>
      <c r="AA3831" s="171"/>
    </row>
    <row r="3832" spans="1:27" s="530" customFormat="1" ht="25.5" hidden="1" x14ac:dyDescent="0.2">
      <c r="A3832" s="526"/>
      <c r="B3832" s="527"/>
      <c r="C3832" s="465"/>
      <c r="D3832" s="464"/>
      <c r="E3832" s="464"/>
      <c r="F3832" s="494">
        <v>485</v>
      </c>
      <c r="G3832" s="495" t="s">
        <v>4193</v>
      </c>
      <c r="H3832" s="397"/>
      <c r="I3832" s="397"/>
      <c r="J3832" s="750" t="e">
        <f t="shared" si="43"/>
        <v>#DIV/0!</v>
      </c>
      <c r="K3832" s="398"/>
      <c r="L3832" s="398"/>
      <c r="M3832" s="682"/>
      <c r="N3832" s="171"/>
      <c r="O3832" s="171"/>
      <c r="P3832" s="169"/>
      <c r="Q3832" s="171"/>
      <c r="R3832" s="171"/>
      <c r="S3832" s="171"/>
      <c r="T3832" s="171"/>
      <c r="U3832" s="171"/>
      <c r="V3832" s="171"/>
      <c r="W3832" s="171"/>
      <c r="X3832" s="171"/>
      <c r="Y3832" s="171"/>
      <c r="Z3832" s="171"/>
      <c r="AA3832" s="171"/>
    </row>
    <row r="3833" spans="1:27" s="530" customFormat="1" ht="25.5" hidden="1" x14ac:dyDescent="0.2">
      <c r="A3833" s="526"/>
      <c r="B3833" s="527"/>
      <c r="C3833" s="465"/>
      <c r="D3833" s="464"/>
      <c r="E3833" s="464"/>
      <c r="F3833" s="494">
        <v>489</v>
      </c>
      <c r="G3833" s="495" t="s">
        <v>3821</v>
      </c>
      <c r="H3833" s="397"/>
      <c r="I3833" s="397"/>
      <c r="J3833" s="750" t="e">
        <f t="shared" si="43"/>
        <v>#DIV/0!</v>
      </c>
      <c r="K3833" s="398"/>
      <c r="L3833" s="398"/>
      <c r="M3833" s="682"/>
      <c r="N3833" s="171"/>
      <c r="O3833" s="171"/>
      <c r="P3833" s="169"/>
      <c r="Q3833" s="171"/>
      <c r="R3833" s="171"/>
      <c r="S3833" s="171"/>
      <c r="T3833" s="171"/>
      <c r="U3833" s="171"/>
      <c r="V3833" s="171"/>
      <c r="W3833" s="171"/>
      <c r="X3833" s="171"/>
      <c r="Y3833" s="171"/>
      <c r="Z3833" s="171"/>
      <c r="AA3833" s="171"/>
    </row>
    <row r="3834" spans="1:27" s="530" customFormat="1" ht="25.5" hidden="1" x14ac:dyDescent="0.2">
      <c r="A3834" s="526"/>
      <c r="B3834" s="527"/>
      <c r="C3834" s="465"/>
      <c r="D3834" s="464"/>
      <c r="E3834" s="464"/>
      <c r="F3834" s="494">
        <v>494</v>
      </c>
      <c r="G3834" s="495" t="s">
        <v>4171</v>
      </c>
      <c r="H3834" s="397"/>
      <c r="I3834" s="397"/>
      <c r="J3834" s="750" t="e">
        <f t="shared" si="43"/>
        <v>#DIV/0!</v>
      </c>
      <c r="K3834" s="398"/>
      <c r="L3834" s="398"/>
      <c r="M3834" s="682"/>
      <c r="N3834" s="171"/>
      <c r="O3834" s="171"/>
      <c r="P3834" s="169"/>
      <c r="Q3834" s="171"/>
      <c r="R3834" s="171"/>
      <c r="S3834" s="171"/>
      <c r="T3834" s="171"/>
      <c r="U3834" s="171"/>
      <c r="V3834" s="171"/>
      <c r="W3834" s="171"/>
      <c r="X3834" s="171"/>
      <c r="Y3834" s="171"/>
      <c r="Z3834" s="171"/>
      <c r="AA3834" s="171"/>
    </row>
    <row r="3835" spans="1:27" s="530" customFormat="1" ht="25.5" hidden="1" x14ac:dyDescent="0.2">
      <c r="A3835" s="526"/>
      <c r="B3835" s="527"/>
      <c r="C3835" s="465"/>
      <c r="D3835" s="464"/>
      <c r="E3835" s="464"/>
      <c r="F3835" s="494">
        <v>495</v>
      </c>
      <c r="G3835" s="495" t="s">
        <v>4172</v>
      </c>
      <c r="H3835" s="397"/>
      <c r="I3835" s="397"/>
      <c r="J3835" s="750" t="e">
        <f t="shared" si="43"/>
        <v>#DIV/0!</v>
      </c>
      <c r="K3835" s="398"/>
      <c r="L3835" s="398"/>
      <c r="M3835" s="682"/>
      <c r="N3835" s="171"/>
      <c r="O3835" s="171"/>
      <c r="P3835" s="169"/>
      <c r="Q3835" s="171"/>
      <c r="R3835" s="171"/>
      <c r="S3835" s="171"/>
      <c r="T3835" s="171"/>
      <c r="U3835" s="171"/>
      <c r="V3835" s="171"/>
      <c r="W3835" s="171"/>
      <c r="X3835" s="171"/>
      <c r="Y3835" s="171"/>
      <c r="Z3835" s="171"/>
      <c r="AA3835" s="171"/>
    </row>
    <row r="3836" spans="1:27" s="530" customFormat="1" ht="38.25" hidden="1" x14ac:dyDescent="0.2">
      <c r="A3836" s="526"/>
      <c r="B3836" s="527"/>
      <c r="C3836" s="465"/>
      <c r="D3836" s="464"/>
      <c r="E3836" s="464"/>
      <c r="F3836" s="494">
        <v>496</v>
      </c>
      <c r="G3836" s="495" t="s">
        <v>4173</v>
      </c>
      <c r="H3836" s="397"/>
      <c r="I3836" s="397"/>
      <c r="J3836" s="750" t="e">
        <f t="shared" si="43"/>
        <v>#DIV/0!</v>
      </c>
      <c r="K3836" s="398"/>
      <c r="L3836" s="398"/>
      <c r="M3836" s="682"/>
      <c r="N3836" s="171"/>
      <c r="O3836" s="171"/>
      <c r="P3836" s="169"/>
      <c r="Q3836" s="171"/>
      <c r="R3836" s="171"/>
      <c r="S3836" s="171"/>
      <c r="T3836" s="171"/>
      <c r="U3836" s="171"/>
      <c r="V3836" s="171"/>
      <c r="W3836" s="171"/>
      <c r="X3836" s="171"/>
      <c r="Y3836" s="171"/>
      <c r="Z3836" s="171"/>
      <c r="AA3836" s="171"/>
    </row>
    <row r="3837" spans="1:27" s="530" customFormat="1" ht="25.5" hidden="1" x14ac:dyDescent="0.2">
      <c r="A3837" s="526"/>
      <c r="B3837" s="527"/>
      <c r="C3837" s="465"/>
      <c r="D3837" s="464"/>
      <c r="E3837" s="464"/>
      <c r="F3837" s="494">
        <v>499</v>
      </c>
      <c r="G3837" s="495" t="s">
        <v>4174</v>
      </c>
      <c r="H3837" s="397"/>
      <c r="I3837" s="397"/>
      <c r="J3837" s="750" t="e">
        <f t="shared" si="43"/>
        <v>#DIV/0!</v>
      </c>
      <c r="K3837" s="398"/>
      <c r="L3837" s="398"/>
      <c r="M3837" s="682"/>
      <c r="N3837" s="171"/>
      <c r="O3837" s="171"/>
      <c r="P3837" s="169"/>
      <c r="Q3837" s="171"/>
      <c r="R3837" s="171"/>
      <c r="S3837" s="171"/>
      <c r="T3837" s="171"/>
      <c r="U3837" s="171"/>
      <c r="V3837" s="171"/>
      <c r="W3837" s="171"/>
      <c r="X3837" s="171"/>
      <c r="Y3837" s="171"/>
      <c r="Z3837" s="171"/>
      <c r="AA3837" s="171"/>
    </row>
    <row r="3838" spans="1:27" s="530" customFormat="1" ht="13.5" thickBot="1" x14ac:dyDescent="0.25">
      <c r="A3838" s="526"/>
      <c r="B3838" s="527"/>
      <c r="C3838" s="465"/>
      <c r="D3838" s="464"/>
      <c r="E3838" s="464">
        <v>45</v>
      </c>
      <c r="F3838" s="494">
        <v>511</v>
      </c>
      <c r="G3838" s="497" t="s">
        <v>4194</v>
      </c>
      <c r="H3838" s="397">
        <v>5000000</v>
      </c>
      <c r="I3838" s="397">
        <v>0</v>
      </c>
      <c r="J3838" s="750">
        <f t="shared" si="43"/>
        <v>0</v>
      </c>
      <c r="K3838" s="398"/>
      <c r="L3838" s="398"/>
      <c r="M3838" s="682"/>
      <c r="N3838" s="171"/>
      <c r="O3838" s="171"/>
      <c r="P3838" s="169"/>
      <c r="Q3838" s="171"/>
      <c r="R3838" s="171"/>
      <c r="S3838" s="171"/>
      <c r="T3838" s="171"/>
      <c r="U3838" s="171"/>
      <c r="V3838" s="171"/>
      <c r="W3838" s="171"/>
      <c r="X3838" s="171"/>
      <c r="Y3838" s="171"/>
      <c r="Z3838" s="171"/>
      <c r="AA3838" s="171"/>
    </row>
    <row r="3839" spans="1:27" s="530" customFormat="1" ht="13.5" hidden="1" thickBot="1" x14ac:dyDescent="0.25">
      <c r="A3839" s="526"/>
      <c r="B3839" s="527"/>
      <c r="C3839" s="465"/>
      <c r="D3839" s="464"/>
      <c r="E3839" s="464"/>
      <c r="F3839" s="494">
        <v>512</v>
      </c>
      <c r="G3839" s="497" t="s">
        <v>4195</v>
      </c>
      <c r="H3839" s="397"/>
      <c r="I3839" s="397"/>
      <c r="J3839" s="750" t="e">
        <f t="shared" si="43"/>
        <v>#DIV/0!</v>
      </c>
      <c r="K3839" s="398"/>
      <c r="L3839" s="398"/>
      <c r="M3839" s="682"/>
      <c r="N3839" s="171"/>
      <c r="O3839" s="171"/>
      <c r="P3839" s="169"/>
      <c r="Q3839" s="171"/>
      <c r="R3839" s="171"/>
      <c r="S3839" s="171"/>
      <c r="T3839" s="171"/>
      <c r="U3839" s="171"/>
      <c r="V3839" s="171"/>
      <c r="W3839" s="171"/>
      <c r="X3839" s="171"/>
      <c r="Y3839" s="171"/>
      <c r="Z3839" s="171"/>
      <c r="AA3839" s="171"/>
    </row>
    <row r="3840" spans="1:27" s="530" customFormat="1" ht="13.5" hidden="1" thickBot="1" x14ac:dyDescent="0.25">
      <c r="A3840" s="526"/>
      <c r="B3840" s="527"/>
      <c r="C3840" s="465"/>
      <c r="D3840" s="464"/>
      <c r="E3840" s="464"/>
      <c r="F3840" s="494">
        <v>513</v>
      </c>
      <c r="G3840" s="497" t="s">
        <v>4196</v>
      </c>
      <c r="H3840" s="397"/>
      <c r="I3840" s="397"/>
      <c r="J3840" s="750" t="e">
        <f t="shared" si="43"/>
        <v>#DIV/0!</v>
      </c>
      <c r="K3840" s="398"/>
      <c r="L3840" s="398"/>
      <c r="M3840" s="682"/>
      <c r="N3840" s="171"/>
      <c r="O3840" s="171"/>
      <c r="P3840" s="169"/>
      <c r="Q3840" s="171"/>
      <c r="R3840" s="171"/>
      <c r="S3840" s="171"/>
      <c r="T3840" s="171"/>
      <c r="U3840" s="171"/>
      <c r="V3840" s="171"/>
      <c r="W3840" s="171"/>
      <c r="X3840" s="171"/>
      <c r="Y3840" s="171"/>
      <c r="Z3840" s="171"/>
      <c r="AA3840" s="171"/>
    </row>
    <row r="3841" spans="1:27" s="530" customFormat="1" ht="13.5" hidden="1" thickBot="1" x14ac:dyDescent="0.25">
      <c r="A3841" s="526"/>
      <c r="B3841" s="527"/>
      <c r="C3841" s="465"/>
      <c r="D3841" s="464"/>
      <c r="E3841" s="464"/>
      <c r="F3841" s="494">
        <v>514</v>
      </c>
      <c r="G3841" s="495" t="s">
        <v>4197</v>
      </c>
      <c r="H3841" s="397"/>
      <c r="I3841" s="397"/>
      <c r="J3841" s="750" t="e">
        <f t="shared" si="43"/>
        <v>#DIV/0!</v>
      </c>
      <c r="K3841" s="398"/>
      <c r="L3841" s="398"/>
      <c r="M3841" s="682"/>
      <c r="N3841" s="171"/>
      <c r="O3841" s="171"/>
      <c r="P3841" s="169"/>
      <c r="Q3841" s="171"/>
      <c r="R3841" s="171"/>
      <c r="S3841" s="171"/>
      <c r="T3841" s="171"/>
      <c r="U3841" s="171"/>
      <c r="V3841" s="171"/>
      <c r="W3841" s="171"/>
      <c r="X3841" s="171"/>
      <c r="Y3841" s="171"/>
      <c r="Z3841" s="171"/>
      <c r="AA3841" s="171"/>
    </row>
    <row r="3842" spans="1:27" s="530" customFormat="1" ht="13.5" hidden="1" thickBot="1" x14ac:dyDescent="0.25">
      <c r="A3842" s="526"/>
      <c r="B3842" s="527"/>
      <c r="C3842" s="465"/>
      <c r="D3842" s="464"/>
      <c r="E3842" s="464"/>
      <c r="F3842" s="494">
        <v>515</v>
      </c>
      <c r="G3842" s="495" t="s">
        <v>3832</v>
      </c>
      <c r="H3842" s="397"/>
      <c r="I3842" s="397"/>
      <c r="J3842" s="750" t="e">
        <f t="shared" si="43"/>
        <v>#DIV/0!</v>
      </c>
      <c r="K3842" s="398"/>
      <c r="L3842" s="398"/>
      <c r="M3842" s="682"/>
      <c r="N3842" s="171"/>
      <c r="O3842" s="171"/>
      <c r="P3842" s="169"/>
      <c r="Q3842" s="171"/>
      <c r="R3842" s="171"/>
      <c r="S3842" s="171"/>
      <c r="T3842" s="171"/>
      <c r="U3842" s="171"/>
      <c r="V3842" s="171"/>
      <c r="W3842" s="171"/>
      <c r="X3842" s="171"/>
      <c r="Y3842" s="171"/>
      <c r="Z3842" s="171"/>
      <c r="AA3842" s="171"/>
    </row>
    <row r="3843" spans="1:27" s="530" customFormat="1" ht="13.5" hidden="1" thickBot="1" x14ac:dyDescent="0.25">
      <c r="A3843" s="526"/>
      <c r="B3843" s="527"/>
      <c r="C3843" s="465"/>
      <c r="D3843" s="464"/>
      <c r="E3843" s="464"/>
      <c r="F3843" s="494">
        <v>521</v>
      </c>
      <c r="G3843" s="495" t="s">
        <v>4198</v>
      </c>
      <c r="H3843" s="397"/>
      <c r="I3843" s="397"/>
      <c r="J3843" s="750" t="e">
        <f t="shared" si="43"/>
        <v>#DIV/0!</v>
      </c>
      <c r="K3843" s="398"/>
      <c r="L3843" s="398"/>
      <c r="M3843" s="682"/>
      <c r="N3843" s="171"/>
      <c r="O3843" s="171"/>
      <c r="P3843" s="169"/>
      <c r="Q3843" s="171"/>
      <c r="R3843" s="171"/>
      <c r="S3843" s="171"/>
      <c r="T3843" s="171"/>
      <c r="U3843" s="171"/>
      <c r="V3843" s="171"/>
      <c r="W3843" s="171"/>
      <c r="X3843" s="171"/>
      <c r="Y3843" s="171"/>
      <c r="Z3843" s="171"/>
      <c r="AA3843" s="171"/>
    </row>
    <row r="3844" spans="1:27" s="530" customFormat="1" ht="13.5" hidden="1" thickBot="1" x14ac:dyDescent="0.25">
      <c r="A3844" s="526"/>
      <c r="B3844" s="527"/>
      <c r="C3844" s="465"/>
      <c r="D3844" s="464"/>
      <c r="E3844" s="464"/>
      <c r="F3844" s="494">
        <v>522</v>
      </c>
      <c r="G3844" s="495" t="s">
        <v>4199</v>
      </c>
      <c r="H3844" s="397"/>
      <c r="I3844" s="397"/>
      <c r="J3844" s="750" t="e">
        <f t="shared" si="43"/>
        <v>#DIV/0!</v>
      </c>
      <c r="K3844" s="398"/>
      <c r="L3844" s="398"/>
      <c r="M3844" s="682"/>
      <c r="N3844" s="171"/>
      <c r="O3844" s="171"/>
      <c r="P3844" s="169"/>
      <c r="Q3844" s="171"/>
      <c r="R3844" s="171"/>
      <c r="S3844" s="171"/>
      <c r="T3844" s="171"/>
      <c r="U3844" s="171"/>
      <c r="V3844" s="171"/>
      <c r="W3844" s="171"/>
      <c r="X3844" s="171"/>
      <c r="Y3844" s="171"/>
      <c r="Z3844" s="171"/>
      <c r="AA3844" s="171"/>
    </row>
    <row r="3845" spans="1:27" s="530" customFormat="1" ht="13.5" hidden="1" thickBot="1" x14ac:dyDescent="0.25">
      <c r="A3845" s="526"/>
      <c r="B3845" s="527"/>
      <c r="C3845" s="465"/>
      <c r="D3845" s="464"/>
      <c r="E3845" s="464"/>
      <c r="F3845" s="494">
        <v>523</v>
      </c>
      <c r="G3845" s="495" t="s">
        <v>3837</v>
      </c>
      <c r="H3845" s="397"/>
      <c r="I3845" s="397"/>
      <c r="J3845" s="750" t="e">
        <f t="shared" si="43"/>
        <v>#DIV/0!</v>
      </c>
      <c r="K3845" s="398"/>
      <c r="L3845" s="398"/>
      <c r="M3845" s="682"/>
      <c r="N3845" s="171"/>
      <c r="O3845" s="171"/>
      <c r="P3845" s="169"/>
      <c r="Q3845" s="171"/>
      <c r="R3845" s="171"/>
      <c r="S3845" s="171"/>
      <c r="T3845" s="171"/>
      <c r="U3845" s="171"/>
      <c r="V3845" s="171"/>
      <c r="W3845" s="171"/>
      <c r="X3845" s="171"/>
      <c r="Y3845" s="171"/>
      <c r="Z3845" s="171"/>
      <c r="AA3845" s="171"/>
    </row>
    <row r="3846" spans="1:27" s="530" customFormat="1" ht="13.5" hidden="1" thickBot="1" x14ac:dyDescent="0.25">
      <c r="A3846" s="526"/>
      <c r="B3846" s="527"/>
      <c r="C3846" s="465"/>
      <c r="D3846" s="464"/>
      <c r="E3846" s="464"/>
      <c r="F3846" s="494">
        <v>531</v>
      </c>
      <c r="G3846" s="496" t="s">
        <v>4175</v>
      </c>
      <c r="H3846" s="397"/>
      <c r="I3846" s="397"/>
      <c r="J3846" s="750" t="e">
        <f t="shared" si="43"/>
        <v>#DIV/0!</v>
      </c>
      <c r="K3846" s="398"/>
      <c r="L3846" s="398"/>
      <c r="M3846" s="682"/>
      <c r="N3846" s="171"/>
      <c r="O3846" s="171"/>
      <c r="P3846" s="169"/>
      <c r="Q3846" s="171"/>
      <c r="R3846" s="171"/>
      <c r="S3846" s="171"/>
      <c r="T3846" s="171"/>
      <c r="U3846" s="171"/>
      <c r="V3846" s="171"/>
      <c r="W3846" s="171"/>
      <c r="X3846" s="171"/>
      <c r="Y3846" s="171"/>
      <c r="Z3846" s="171"/>
      <c r="AA3846" s="171"/>
    </row>
    <row r="3847" spans="1:27" s="530" customFormat="1" ht="13.5" hidden="1" thickBot="1" x14ac:dyDescent="0.25">
      <c r="A3847" s="526"/>
      <c r="B3847" s="527"/>
      <c r="C3847" s="465"/>
      <c r="D3847" s="464"/>
      <c r="E3847" s="464"/>
      <c r="F3847" s="494">
        <v>541</v>
      </c>
      <c r="G3847" s="495" t="s">
        <v>4200</v>
      </c>
      <c r="H3847" s="397"/>
      <c r="I3847" s="397"/>
      <c r="J3847" s="750" t="e">
        <f t="shared" si="43"/>
        <v>#DIV/0!</v>
      </c>
      <c r="K3847" s="398"/>
      <c r="L3847" s="398"/>
      <c r="M3847" s="682"/>
      <c r="N3847" s="171"/>
      <c r="O3847" s="171"/>
      <c r="P3847" s="169"/>
      <c r="Q3847" s="171"/>
      <c r="R3847" s="171"/>
      <c r="S3847" s="171"/>
      <c r="T3847" s="171"/>
      <c r="U3847" s="171"/>
      <c r="V3847" s="171"/>
      <c r="W3847" s="171"/>
      <c r="X3847" s="171"/>
      <c r="Y3847" s="171"/>
      <c r="Z3847" s="171"/>
      <c r="AA3847" s="171"/>
    </row>
    <row r="3848" spans="1:27" s="530" customFormat="1" ht="13.5" hidden="1" thickBot="1" x14ac:dyDescent="0.25">
      <c r="A3848" s="526"/>
      <c r="B3848" s="527"/>
      <c r="C3848" s="465"/>
      <c r="D3848" s="464"/>
      <c r="E3848" s="464"/>
      <c r="F3848" s="494">
        <v>542</v>
      </c>
      <c r="G3848" s="495" t="s">
        <v>4201</v>
      </c>
      <c r="H3848" s="397"/>
      <c r="I3848" s="397"/>
      <c r="J3848" s="750" t="e">
        <f t="shared" si="43"/>
        <v>#DIV/0!</v>
      </c>
      <c r="K3848" s="398"/>
      <c r="L3848" s="398"/>
      <c r="M3848" s="682"/>
      <c r="N3848" s="171"/>
      <c r="O3848" s="171"/>
      <c r="P3848" s="169"/>
      <c r="Q3848" s="171"/>
      <c r="R3848" s="171"/>
      <c r="S3848" s="171"/>
      <c r="T3848" s="171"/>
      <c r="U3848" s="171"/>
      <c r="V3848" s="171"/>
      <c r="W3848" s="171"/>
      <c r="X3848" s="171"/>
      <c r="Y3848" s="171"/>
      <c r="Z3848" s="171"/>
      <c r="AA3848" s="171"/>
    </row>
    <row r="3849" spans="1:27" s="530" customFormat="1" ht="13.5" hidden="1" thickBot="1" x14ac:dyDescent="0.25">
      <c r="A3849" s="526"/>
      <c r="B3849" s="527"/>
      <c r="C3849" s="465"/>
      <c r="D3849" s="464"/>
      <c r="E3849" s="464"/>
      <c r="F3849" s="494">
        <v>543</v>
      </c>
      <c r="G3849" s="495" t="s">
        <v>3842</v>
      </c>
      <c r="H3849" s="397"/>
      <c r="I3849" s="397"/>
      <c r="J3849" s="750" t="e">
        <f t="shared" si="43"/>
        <v>#DIV/0!</v>
      </c>
      <c r="K3849" s="398"/>
      <c r="L3849" s="398"/>
      <c r="M3849" s="682"/>
      <c r="N3849" s="171"/>
      <c r="O3849" s="171"/>
      <c r="P3849" s="169"/>
      <c r="Q3849" s="171"/>
      <c r="R3849" s="171"/>
      <c r="S3849" s="171"/>
      <c r="T3849" s="171"/>
      <c r="U3849" s="171"/>
      <c r="V3849" s="171"/>
      <c r="W3849" s="171"/>
      <c r="X3849" s="171"/>
      <c r="Y3849" s="171"/>
      <c r="Z3849" s="171"/>
      <c r="AA3849" s="171"/>
    </row>
    <row r="3850" spans="1:27" s="530" customFormat="1" ht="39" hidden="1" thickBot="1" x14ac:dyDescent="0.25">
      <c r="A3850" s="526"/>
      <c r="B3850" s="527"/>
      <c r="C3850" s="465"/>
      <c r="D3850" s="464"/>
      <c r="E3850" s="464"/>
      <c r="F3850" s="494">
        <v>551</v>
      </c>
      <c r="G3850" s="495" t="s">
        <v>4176</v>
      </c>
      <c r="H3850" s="397"/>
      <c r="I3850" s="397"/>
      <c r="J3850" s="750" t="e">
        <f t="shared" si="43"/>
        <v>#DIV/0!</v>
      </c>
      <c r="K3850" s="398"/>
      <c r="L3850" s="398"/>
      <c r="M3850" s="682"/>
      <c r="N3850" s="171"/>
      <c r="O3850" s="171"/>
      <c r="P3850" s="169"/>
      <c r="Q3850" s="171"/>
      <c r="R3850" s="171"/>
      <c r="S3850" s="171"/>
      <c r="T3850" s="171"/>
      <c r="U3850" s="171"/>
      <c r="V3850" s="171"/>
      <c r="W3850" s="171"/>
      <c r="X3850" s="171"/>
      <c r="Y3850" s="171"/>
      <c r="Z3850" s="171"/>
      <c r="AA3850" s="171"/>
    </row>
    <row r="3851" spans="1:27" s="530" customFormat="1" ht="13.5" hidden="1" thickBot="1" x14ac:dyDescent="0.25">
      <c r="A3851" s="526"/>
      <c r="B3851" s="527"/>
      <c r="C3851" s="465"/>
      <c r="D3851" s="464"/>
      <c r="E3851" s="464"/>
      <c r="F3851" s="498">
        <v>611</v>
      </c>
      <c r="G3851" s="499" t="s">
        <v>3848</v>
      </c>
      <c r="H3851" s="397"/>
      <c r="I3851" s="397"/>
      <c r="J3851" s="750" t="e">
        <f t="shared" si="43"/>
        <v>#DIV/0!</v>
      </c>
      <c r="K3851" s="398"/>
      <c r="L3851" s="398"/>
      <c r="M3851" s="682"/>
      <c r="N3851" s="171"/>
      <c r="O3851" s="171"/>
      <c r="P3851" s="169"/>
      <c r="Q3851" s="171"/>
      <c r="R3851" s="171"/>
      <c r="S3851" s="171"/>
      <c r="T3851" s="171"/>
      <c r="U3851" s="171"/>
      <c r="V3851" s="171"/>
      <c r="W3851" s="171"/>
      <c r="X3851" s="171"/>
      <c r="Y3851" s="171"/>
      <c r="Z3851" s="171"/>
      <c r="AA3851" s="171"/>
    </row>
    <row r="3852" spans="1:27" s="530" customFormat="1" ht="13.5" hidden="1" thickBot="1" x14ac:dyDescent="0.25">
      <c r="A3852" s="526"/>
      <c r="B3852" s="527"/>
      <c r="C3852" s="465"/>
      <c r="D3852" s="464"/>
      <c r="E3852" s="464"/>
      <c r="F3852" s="498">
        <v>620</v>
      </c>
      <c r="G3852" s="499" t="s">
        <v>88</v>
      </c>
      <c r="H3852" s="397"/>
      <c r="I3852" s="397"/>
      <c r="J3852" s="750" t="e">
        <f t="shared" si="43"/>
        <v>#DIV/0!</v>
      </c>
      <c r="K3852" s="398"/>
      <c r="L3852" s="398"/>
      <c r="M3852" s="682"/>
      <c r="N3852" s="171"/>
      <c r="O3852" s="171"/>
      <c r="P3852" s="169"/>
      <c r="Q3852" s="171"/>
      <c r="R3852" s="171"/>
      <c r="S3852" s="171"/>
      <c r="T3852" s="171"/>
      <c r="U3852" s="171"/>
      <c r="V3852" s="171"/>
      <c r="W3852" s="171"/>
      <c r="X3852" s="171"/>
      <c r="Y3852" s="171"/>
      <c r="Z3852" s="171"/>
      <c r="AA3852" s="171"/>
    </row>
    <row r="3853" spans="1:27" s="530" customFormat="1" x14ac:dyDescent="0.2">
      <c r="A3853" s="526"/>
      <c r="B3853" s="527"/>
      <c r="C3853" s="465"/>
      <c r="D3853" s="464"/>
      <c r="E3853" s="500"/>
      <c r="F3853" s="498"/>
      <c r="G3853" s="501" t="s">
        <v>4344</v>
      </c>
      <c r="H3853" s="400"/>
      <c r="I3853" s="400"/>
      <c r="J3853" s="750"/>
      <c r="K3853" s="401"/>
      <c r="L3853" s="402"/>
      <c r="M3853" s="682"/>
      <c r="N3853" s="171"/>
      <c r="O3853" s="171"/>
      <c r="P3853" s="169"/>
      <c r="Q3853" s="171"/>
      <c r="R3853" s="171"/>
      <c r="S3853" s="171"/>
      <c r="T3853" s="171"/>
      <c r="U3853" s="171"/>
      <c r="V3853" s="171"/>
      <c r="W3853" s="171"/>
      <c r="X3853" s="171"/>
      <c r="Y3853" s="171"/>
      <c r="Z3853" s="171"/>
      <c r="AA3853" s="171"/>
    </row>
    <row r="3854" spans="1:27" s="530" customFormat="1" ht="13.5" thickBot="1" x14ac:dyDescent="0.25">
      <c r="A3854" s="526"/>
      <c r="B3854" s="527"/>
      <c r="C3854" s="465"/>
      <c r="D3854" s="464"/>
      <c r="E3854" s="502"/>
      <c r="F3854" s="503" t="s">
        <v>234</v>
      </c>
      <c r="G3854" s="504" t="s">
        <v>235</v>
      </c>
      <c r="H3854" s="403">
        <f>SUM(H3793:H3852)</f>
        <v>5000000</v>
      </c>
      <c r="I3854" s="403">
        <v>0</v>
      </c>
      <c r="J3854" s="750">
        <f t="shared" ref="J3854:J3916" si="44">SUM(I3854/H3854)*100</f>
        <v>0</v>
      </c>
      <c r="K3854" s="404"/>
      <c r="L3854" s="404"/>
      <c r="M3854" s="682"/>
      <c r="N3854" s="171"/>
      <c r="O3854" s="171"/>
      <c r="P3854" s="169"/>
      <c r="Q3854" s="171"/>
      <c r="R3854" s="171"/>
      <c r="S3854" s="171"/>
      <c r="T3854" s="171"/>
      <c r="U3854" s="171"/>
      <c r="V3854" s="171"/>
      <c r="W3854" s="171"/>
      <c r="X3854" s="171"/>
      <c r="Y3854" s="171"/>
      <c r="Z3854" s="171"/>
      <c r="AA3854" s="171"/>
    </row>
    <row r="3855" spans="1:27" s="530" customFormat="1" ht="13.5" hidden="1" thickBot="1" x14ac:dyDescent="0.25">
      <c r="A3855" s="526"/>
      <c r="B3855" s="527"/>
      <c r="C3855" s="465"/>
      <c r="D3855" s="464"/>
      <c r="E3855" s="464"/>
      <c r="F3855" s="503" t="s">
        <v>236</v>
      </c>
      <c r="G3855" s="504" t="s">
        <v>237</v>
      </c>
      <c r="H3855" s="397"/>
      <c r="I3855" s="397"/>
      <c r="J3855" s="750" t="e">
        <f t="shared" si="44"/>
        <v>#DIV/0!</v>
      </c>
      <c r="K3855" s="398"/>
      <c r="L3855" s="404"/>
      <c r="M3855" s="682"/>
      <c r="N3855" s="171"/>
      <c r="O3855" s="171"/>
      <c r="P3855" s="169"/>
      <c r="Q3855" s="171"/>
      <c r="R3855" s="171"/>
      <c r="S3855" s="171"/>
      <c r="T3855" s="171"/>
      <c r="U3855" s="171"/>
      <c r="V3855" s="171"/>
      <c r="W3855" s="171"/>
      <c r="X3855" s="171"/>
      <c r="Y3855" s="171"/>
      <c r="Z3855" s="171"/>
      <c r="AA3855" s="171"/>
    </row>
    <row r="3856" spans="1:27" s="530" customFormat="1" ht="13.5" hidden="1" thickBot="1" x14ac:dyDescent="0.25">
      <c r="A3856" s="526"/>
      <c r="B3856" s="527"/>
      <c r="C3856" s="465"/>
      <c r="D3856" s="464"/>
      <c r="E3856" s="464"/>
      <c r="F3856" s="503" t="s">
        <v>238</v>
      </c>
      <c r="G3856" s="504" t="s">
        <v>239</v>
      </c>
      <c r="H3856" s="397"/>
      <c r="I3856" s="397"/>
      <c r="J3856" s="750" t="e">
        <f t="shared" si="44"/>
        <v>#DIV/0!</v>
      </c>
      <c r="K3856" s="398"/>
      <c r="L3856" s="404"/>
      <c r="M3856" s="682"/>
      <c r="N3856" s="171"/>
      <c r="O3856" s="171"/>
      <c r="P3856" s="169"/>
      <c r="Q3856" s="171"/>
      <c r="R3856" s="171"/>
      <c r="S3856" s="171"/>
      <c r="T3856" s="171"/>
      <c r="U3856" s="171"/>
      <c r="V3856" s="171"/>
      <c r="W3856" s="171"/>
      <c r="X3856" s="171"/>
      <c r="Y3856" s="171"/>
      <c r="Z3856" s="171"/>
      <c r="AA3856" s="171"/>
    </row>
    <row r="3857" spans="1:27" s="530" customFormat="1" ht="13.5" hidden="1" thickBot="1" x14ac:dyDescent="0.25">
      <c r="A3857" s="526"/>
      <c r="B3857" s="527"/>
      <c r="C3857" s="465"/>
      <c r="D3857" s="464"/>
      <c r="E3857" s="464"/>
      <c r="F3857" s="503" t="s">
        <v>240</v>
      </c>
      <c r="G3857" s="504" t="s">
        <v>241</v>
      </c>
      <c r="H3857" s="397"/>
      <c r="I3857" s="397"/>
      <c r="J3857" s="750" t="e">
        <f t="shared" si="44"/>
        <v>#DIV/0!</v>
      </c>
      <c r="K3857" s="398"/>
      <c r="L3857" s="404"/>
      <c r="M3857" s="682"/>
      <c r="N3857" s="171"/>
      <c r="O3857" s="171"/>
      <c r="P3857" s="169"/>
      <c r="Q3857" s="171"/>
      <c r="R3857" s="171"/>
      <c r="S3857" s="171"/>
      <c r="T3857" s="171"/>
      <c r="U3857" s="171"/>
      <c r="V3857" s="171"/>
      <c r="W3857" s="171"/>
      <c r="X3857" s="171"/>
      <c r="Y3857" s="171"/>
      <c r="Z3857" s="171"/>
      <c r="AA3857" s="171"/>
    </row>
    <row r="3858" spans="1:27" s="530" customFormat="1" ht="13.5" hidden="1" thickBot="1" x14ac:dyDescent="0.25">
      <c r="A3858" s="526"/>
      <c r="B3858" s="527"/>
      <c r="C3858" s="465"/>
      <c r="D3858" s="464"/>
      <c r="E3858" s="464"/>
      <c r="F3858" s="503" t="s">
        <v>242</v>
      </c>
      <c r="G3858" s="504" t="s">
        <v>243</v>
      </c>
      <c r="H3858" s="397"/>
      <c r="I3858" s="397"/>
      <c r="J3858" s="750" t="e">
        <f t="shared" si="44"/>
        <v>#DIV/0!</v>
      </c>
      <c r="K3858" s="398"/>
      <c r="L3858" s="404"/>
      <c r="M3858" s="682"/>
      <c r="N3858" s="171"/>
      <c r="O3858" s="171"/>
      <c r="P3858" s="169"/>
      <c r="Q3858" s="171"/>
      <c r="R3858" s="171"/>
      <c r="S3858" s="171"/>
      <c r="T3858" s="171"/>
      <c r="U3858" s="171"/>
      <c r="V3858" s="171"/>
      <c r="W3858" s="171"/>
      <c r="X3858" s="171"/>
      <c r="Y3858" s="171"/>
      <c r="Z3858" s="171"/>
      <c r="AA3858" s="171"/>
    </row>
    <row r="3859" spans="1:27" s="530" customFormat="1" ht="13.5" hidden="1" thickBot="1" x14ac:dyDescent="0.25">
      <c r="A3859" s="526"/>
      <c r="B3859" s="527"/>
      <c r="C3859" s="465"/>
      <c r="D3859" s="464"/>
      <c r="E3859" s="464"/>
      <c r="F3859" s="503" t="s">
        <v>244</v>
      </c>
      <c r="G3859" s="504" t="s">
        <v>245</v>
      </c>
      <c r="H3859" s="397"/>
      <c r="I3859" s="397"/>
      <c r="J3859" s="750" t="e">
        <f t="shared" si="44"/>
        <v>#DIV/0!</v>
      </c>
      <c r="K3859" s="398"/>
      <c r="L3859" s="404"/>
      <c r="M3859" s="682"/>
      <c r="N3859" s="171"/>
      <c r="O3859" s="171"/>
      <c r="P3859" s="169"/>
      <c r="Q3859" s="171"/>
      <c r="R3859" s="171"/>
      <c r="S3859" s="171"/>
      <c r="T3859" s="171"/>
      <c r="U3859" s="171"/>
      <c r="V3859" s="171"/>
      <c r="W3859" s="171"/>
      <c r="X3859" s="171"/>
      <c r="Y3859" s="171"/>
      <c r="Z3859" s="171"/>
      <c r="AA3859" s="171"/>
    </row>
    <row r="3860" spans="1:27" s="530" customFormat="1" ht="13.5" hidden="1" thickBot="1" x14ac:dyDescent="0.25">
      <c r="A3860" s="526"/>
      <c r="B3860" s="527"/>
      <c r="C3860" s="465"/>
      <c r="D3860" s="464"/>
      <c r="E3860" s="464"/>
      <c r="F3860" s="503" t="s">
        <v>246</v>
      </c>
      <c r="G3860" s="504" t="s">
        <v>247</v>
      </c>
      <c r="H3860" s="397"/>
      <c r="I3860" s="397"/>
      <c r="J3860" s="750" t="e">
        <f t="shared" si="44"/>
        <v>#DIV/0!</v>
      </c>
      <c r="K3860" s="398"/>
      <c r="L3860" s="404"/>
      <c r="M3860" s="682"/>
      <c r="N3860" s="171"/>
      <c r="O3860" s="171"/>
      <c r="P3860" s="169"/>
      <c r="Q3860" s="171"/>
      <c r="R3860" s="171"/>
      <c r="S3860" s="171"/>
      <c r="T3860" s="171"/>
      <c r="U3860" s="171"/>
      <c r="V3860" s="171"/>
      <c r="W3860" s="171"/>
      <c r="X3860" s="171"/>
      <c r="Y3860" s="171"/>
      <c r="Z3860" s="171"/>
      <c r="AA3860" s="171"/>
    </row>
    <row r="3861" spans="1:27" s="530" customFormat="1" ht="26.25" hidden="1" thickBot="1" x14ac:dyDescent="0.25">
      <c r="A3861" s="526"/>
      <c r="B3861" s="527"/>
      <c r="C3861" s="465"/>
      <c r="D3861" s="464"/>
      <c r="E3861" s="464"/>
      <c r="F3861" s="503" t="s">
        <v>248</v>
      </c>
      <c r="G3861" s="504" t="s">
        <v>249</v>
      </c>
      <c r="H3861" s="397"/>
      <c r="I3861" s="397"/>
      <c r="J3861" s="750" t="e">
        <f t="shared" si="44"/>
        <v>#DIV/0!</v>
      </c>
      <c r="K3861" s="398"/>
      <c r="L3861" s="404"/>
      <c r="M3861" s="682"/>
      <c r="N3861" s="171"/>
      <c r="O3861" s="171"/>
      <c r="P3861" s="169"/>
      <c r="Q3861" s="171"/>
      <c r="R3861" s="171"/>
      <c r="S3861" s="171"/>
      <c r="T3861" s="171"/>
      <c r="U3861" s="171"/>
      <c r="V3861" s="171"/>
      <c r="W3861" s="171"/>
      <c r="X3861" s="171"/>
      <c r="Y3861" s="171"/>
      <c r="Z3861" s="171"/>
      <c r="AA3861" s="171"/>
    </row>
    <row r="3862" spans="1:27" s="530" customFormat="1" ht="13.5" hidden="1" thickBot="1" x14ac:dyDescent="0.25">
      <c r="A3862" s="464"/>
      <c r="B3862" s="464"/>
      <c r="C3862" s="465"/>
      <c r="D3862" s="464"/>
      <c r="E3862" s="464"/>
      <c r="F3862" s="503" t="s">
        <v>250</v>
      </c>
      <c r="G3862" s="504" t="s">
        <v>57</v>
      </c>
      <c r="H3862" s="397"/>
      <c r="I3862" s="397"/>
      <c r="J3862" s="750" t="e">
        <f t="shared" si="44"/>
        <v>#DIV/0!</v>
      </c>
      <c r="K3862" s="398"/>
      <c r="L3862" s="404"/>
      <c r="M3862" s="682"/>
      <c r="N3862" s="171"/>
      <c r="O3862" s="171"/>
      <c r="P3862" s="169"/>
      <c r="Q3862" s="171"/>
      <c r="R3862" s="171"/>
      <c r="S3862" s="171"/>
      <c r="T3862" s="171"/>
      <c r="U3862" s="171"/>
      <c r="V3862" s="171"/>
      <c r="W3862" s="171"/>
      <c r="X3862" s="171"/>
      <c r="Y3862" s="171"/>
      <c r="Z3862" s="171"/>
      <c r="AA3862" s="171"/>
    </row>
    <row r="3863" spans="1:27" s="530" customFormat="1" ht="13.5" hidden="1" thickBot="1" x14ac:dyDescent="0.25">
      <c r="A3863" s="464"/>
      <c r="B3863" s="464"/>
      <c r="C3863" s="465"/>
      <c r="D3863" s="464"/>
      <c r="E3863" s="464"/>
      <c r="F3863" s="503" t="s">
        <v>251</v>
      </c>
      <c r="G3863" s="504" t="s">
        <v>252</v>
      </c>
      <c r="H3863" s="397"/>
      <c r="I3863" s="397"/>
      <c r="J3863" s="750" t="e">
        <f t="shared" si="44"/>
        <v>#DIV/0!</v>
      </c>
      <c r="K3863" s="398"/>
      <c r="L3863" s="404"/>
      <c r="M3863" s="682"/>
      <c r="N3863" s="171"/>
      <c r="O3863" s="171"/>
      <c r="P3863" s="169"/>
      <c r="Q3863" s="171"/>
      <c r="R3863" s="171"/>
      <c r="S3863" s="171"/>
      <c r="T3863" s="171"/>
      <c r="U3863" s="171"/>
      <c r="V3863" s="171"/>
      <c r="W3863" s="171"/>
      <c r="X3863" s="171"/>
      <c r="Y3863" s="171"/>
      <c r="Z3863" s="171"/>
      <c r="AA3863" s="171"/>
    </row>
    <row r="3864" spans="1:27" s="530" customFormat="1" ht="13.5" hidden="1" thickBot="1" x14ac:dyDescent="0.25">
      <c r="A3864" s="464"/>
      <c r="B3864" s="464"/>
      <c r="C3864" s="465"/>
      <c r="D3864" s="464"/>
      <c r="E3864" s="464"/>
      <c r="F3864" s="503" t="s">
        <v>253</v>
      </c>
      <c r="G3864" s="504" t="s">
        <v>254</v>
      </c>
      <c r="H3864" s="397"/>
      <c r="I3864" s="397"/>
      <c r="J3864" s="750" t="e">
        <f t="shared" si="44"/>
        <v>#DIV/0!</v>
      </c>
      <c r="K3864" s="398"/>
      <c r="L3864" s="404"/>
      <c r="M3864" s="682"/>
      <c r="N3864" s="171"/>
      <c r="O3864" s="171"/>
      <c r="P3864" s="169"/>
      <c r="Q3864" s="171"/>
      <c r="R3864" s="171"/>
      <c r="S3864" s="171"/>
      <c r="T3864" s="171"/>
      <c r="U3864" s="171"/>
      <c r="V3864" s="171"/>
      <c r="W3864" s="171"/>
      <c r="X3864" s="171"/>
      <c r="Y3864" s="171"/>
      <c r="Z3864" s="171"/>
      <c r="AA3864" s="171"/>
    </row>
    <row r="3865" spans="1:27" s="530" customFormat="1" ht="26.25" hidden="1" thickBot="1" x14ac:dyDescent="0.25">
      <c r="A3865" s="464"/>
      <c r="B3865" s="464"/>
      <c r="C3865" s="465"/>
      <c r="D3865" s="464"/>
      <c r="E3865" s="464"/>
      <c r="F3865" s="503" t="s">
        <v>255</v>
      </c>
      <c r="G3865" s="504" t="s">
        <v>256</v>
      </c>
      <c r="H3865" s="397"/>
      <c r="I3865" s="397"/>
      <c r="J3865" s="750" t="e">
        <f t="shared" si="44"/>
        <v>#DIV/0!</v>
      </c>
      <c r="K3865" s="398"/>
      <c r="L3865" s="404"/>
      <c r="M3865" s="682"/>
      <c r="N3865" s="171"/>
      <c r="O3865" s="171"/>
      <c r="P3865" s="169"/>
      <c r="Q3865" s="171"/>
      <c r="R3865" s="171"/>
      <c r="S3865" s="171"/>
      <c r="T3865" s="171"/>
      <c r="U3865" s="171"/>
      <c r="V3865" s="171"/>
      <c r="W3865" s="171"/>
      <c r="X3865" s="171"/>
      <c r="Y3865" s="171"/>
      <c r="Z3865" s="171"/>
      <c r="AA3865" s="171"/>
    </row>
    <row r="3866" spans="1:27" s="530" customFormat="1" ht="26.25" hidden="1" thickBot="1" x14ac:dyDescent="0.25">
      <c r="A3866" s="464"/>
      <c r="B3866" s="464"/>
      <c r="C3866" s="465"/>
      <c r="D3866" s="464"/>
      <c r="E3866" s="464"/>
      <c r="F3866" s="503" t="s">
        <v>257</v>
      </c>
      <c r="G3866" s="504" t="s">
        <v>258</v>
      </c>
      <c r="H3866" s="397"/>
      <c r="I3866" s="397"/>
      <c r="J3866" s="750" t="e">
        <f t="shared" si="44"/>
        <v>#DIV/0!</v>
      </c>
      <c r="K3866" s="398"/>
      <c r="L3866" s="404"/>
      <c r="M3866" s="682"/>
      <c r="N3866" s="171"/>
      <c r="O3866" s="171"/>
      <c r="P3866" s="169"/>
      <c r="Q3866" s="171"/>
      <c r="R3866" s="171"/>
      <c r="S3866" s="171"/>
      <c r="T3866" s="171"/>
      <c r="U3866" s="171"/>
      <c r="V3866" s="171"/>
      <c r="W3866" s="171"/>
      <c r="X3866" s="171"/>
      <c r="Y3866" s="171"/>
      <c r="Z3866" s="171"/>
      <c r="AA3866" s="171"/>
    </row>
    <row r="3867" spans="1:27" s="530" customFormat="1" ht="26.25" hidden="1" thickBot="1" x14ac:dyDescent="0.25">
      <c r="A3867" s="464"/>
      <c r="B3867" s="464"/>
      <c r="C3867" s="465"/>
      <c r="D3867" s="464"/>
      <c r="E3867" s="464"/>
      <c r="F3867" s="503" t="s">
        <v>259</v>
      </c>
      <c r="G3867" s="504" t="s">
        <v>260</v>
      </c>
      <c r="H3867" s="397"/>
      <c r="I3867" s="397"/>
      <c r="J3867" s="750" t="e">
        <f t="shared" si="44"/>
        <v>#DIV/0!</v>
      </c>
      <c r="K3867" s="398"/>
      <c r="L3867" s="404"/>
      <c r="M3867" s="682"/>
      <c r="N3867" s="171"/>
      <c r="O3867" s="171"/>
      <c r="P3867" s="169"/>
      <c r="Q3867" s="171"/>
      <c r="R3867" s="171"/>
      <c r="S3867" s="171"/>
      <c r="T3867" s="171"/>
      <c r="U3867" s="171"/>
      <c r="V3867" s="171"/>
      <c r="W3867" s="171"/>
      <c r="X3867" s="171"/>
      <c r="Y3867" s="171"/>
      <c r="Z3867" s="171"/>
      <c r="AA3867" s="171"/>
    </row>
    <row r="3868" spans="1:27" s="530" customFormat="1" ht="26.25" hidden="1" thickBot="1" x14ac:dyDescent="0.25">
      <c r="A3868" s="464"/>
      <c r="B3868" s="464"/>
      <c r="C3868" s="465"/>
      <c r="D3868" s="464"/>
      <c r="E3868" s="464"/>
      <c r="F3868" s="503" t="s">
        <v>261</v>
      </c>
      <c r="G3868" s="504" t="s">
        <v>262</v>
      </c>
      <c r="H3868" s="397"/>
      <c r="I3868" s="397"/>
      <c r="J3868" s="750" t="e">
        <f t="shared" si="44"/>
        <v>#DIV/0!</v>
      </c>
      <c r="K3868" s="398"/>
      <c r="L3868" s="404"/>
      <c r="M3868" s="682"/>
      <c r="N3868" s="171"/>
      <c r="O3868" s="171"/>
      <c r="P3868" s="169"/>
      <c r="Q3868" s="171"/>
      <c r="R3868" s="171"/>
      <c r="S3868" s="171"/>
      <c r="T3868" s="171"/>
      <c r="U3868" s="171"/>
      <c r="V3868" s="171"/>
      <c r="W3868" s="171"/>
      <c r="X3868" s="171"/>
      <c r="Y3868" s="171"/>
      <c r="Z3868" s="171"/>
      <c r="AA3868" s="171"/>
    </row>
    <row r="3869" spans="1:27" s="530" customFormat="1" ht="13.5" hidden="1" thickBot="1" x14ac:dyDescent="0.25">
      <c r="A3869" s="464"/>
      <c r="B3869" s="464"/>
      <c r="C3869" s="465"/>
      <c r="D3869" s="464"/>
      <c r="E3869" s="464"/>
      <c r="F3869" s="503" t="s">
        <v>263</v>
      </c>
      <c r="G3869" s="504" t="s">
        <v>264</v>
      </c>
      <c r="H3869" s="403"/>
      <c r="I3869" s="403"/>
      <c r="J3869" s="750" t="e">
        <f t="shared" si="44"/>
        <v>#DIV/0!</v>
      </c>
      <c r="K3869" s="404"/>
      <c r="L3869" s="404"/>
      <c r="M3869" s="682"/>
      <c r="N3869" s="171"/>
      <c r="O3869" s="171"/>
      <c r="P3869" s="169"/>
      <c r="Q3869" s="171"/>
      <c r="R3869" s="171"/>
      <c r="S3869" s="171"/>
      <c r="T3869" s="171"/>
      <c r="U3869" s="171"/>
      <c r="V3869" s="171"/>
      <c r="W3869" s="171"/>
      <c r="X3869" s="171"/>
      <c r="Y3869" s="171"/>
      <c r="Z3869" s="171"/>
      <c r="AA3869" s="171"/>
    </row>
    <row r="3870" spans="1:27" s="530" customFormat="1" ht="14.25" customHeight="1" thickBot="1" x14ac:dyDescent="0.25">
      <c r="A3870" s="464"/>
      <c r="B3870" s="464"/>
      <c r="C3870" s="465"/>
      <c r="D3870" s="464"/>
      <c r="E3870" s="464"/>
      <c r="F3870" s="464"/>
      <c r="G3870" s="505" t="s">
        <v>4345</v>
      </c>
      <c r="H3870" s="405">
        <f>SUM(H3854:H3869)</f>
        <v>5000000</v>
      </c>
      <c r="I3870" s="405">
        <v>0</v>
      </c>
      <c r="J3870" s="750">
        <f t="shared" si="44"/>
        <v>0</v>
      </c>
      <c r="K3870" s="406">
        <f>SUM(K3855:K3869)</f>
        <v>0</v>
      </c>
      <c r="L3870" s="406"/>
      <c r="M3870" s="682"/>
      <c r="N3870" s="171"/>
      <c r="O3870" s="171"/>
      <c r="P3870" s="169"/>
      <c r="Q3870" s="171"/>
      <c r="R3870" s="171"/>
      <c r="S3870" s="171"/>
      <c r="T3870" s="171"/>
      <c r="U3870" s="171"/>
      <c r="V3870" s="171"/>
      <c r="W3870" s="171"/>
      <c r="X3870" s="171"/>
      <c r="Y3870" s="171"/>
      <c r="Z3870" s="171"/>
      <c r="AA3870" s="171"/>
    </row>
    <row r="3871" spans="1:27" s="530" customFormat="1" ht="12.75" customHeight="1" x14ac:dyDescent="0.2">
      <c r="A3871" s="464"/>
      <c r="B3871" s="464"/>
      <c r="C3871" s="465"/>
      <c r="D3871" s="464"/>
      <c r="E3871" s="464"/>
      <c r="F3871" s="464"/>
      <c r="G3871" s="510" t="s">
        <v>5213</v>
      </c>
      <c r="H3871" s="411"/>
      <c r="I3871" s="411"/>
      <c r="J3871" s="750"/>
      <c r="K3871" s="412"/>
      <c r="L3871" s="412"/>
      <c r="M3871" s="682"/>
      <c r="N3871" s="171"/>
      <c r="O3871" s="171"/>
      <c r="P3871" s="169"/>
      <c r="Q3871" s="171"/>
      <c r="R3871" s="171"/>
      <c r="S3871" s="171"/>
      <c r="T3871" s="171"/>
      <c r="U3871" s="171"/>
      <c r="V3871" s="171"/>
      <c r="W3871" s="171"/>
      <c r="X3871" s="171"/>
      <c r="Y3871" s="171"/>
      <c r="Z3871" s="171"/>
      <c r="AA3871" s="171"/>
    </row>
    <row r="3872" spans="1:27" s="530" customFormat="1" ht="14.25" customHeight="1" thickBot="1" x14ac:dyDescent="0.25">
      <c r="A3872" s="464"/>
      <c r="B3872" s="464"/>
      <c r="C3872" s="465"/>
      <c r="D3872" s="464"/>
      <c r="E3872" s="464"/>
      <c r="F3872" s="464" t="s">
        <v>234</v>
      </c>
      <c r="G3872" s="564" t="s">
        <v>235</v>
      </c>
      <c r="H3872" s="429">
        <f>SUM(H3793:H3852)</f>
        <v>5000000</v>
      </c>
      <c r="I3872" s="429">
        <v>0</v>
      </c>
      <c r="J3872" s="750">
        <f t="shared" si="44"/>
        <v>0</v>
      </c>
      <c r="K3872" s="430"/>
      <c r="L3872" s="431"/>
      <c r="M3872" s="682"/>
      <c r="N3872" s="171"/>
      <c r="O3872" s="171"/>
      <c r="P3872" s="169"/>
      <c r="Q3872" s="171"/>
      <c r="R3872" s="171"/>
      <c r="S3872" s="171"/>
      <c r="T3872" s="171"/>
      <c r="U3872" s="171"/>
      <c r="V3872" s="171"/>
      <c r="W3872" s="171"/>
      <c r="X3872" s="171"/>
      <c r="Y3872" s="171"/>
      <c r="Z3872" s="171"/>
      <c r="AA3872" s="171"/>
    </row>
    <row r="3873" spans="1:27" s="530" customFormat="1" hidden="1" x14ac:dyDescent="0.2">
      <c r="A3873" s="464"/>
      <c r="B3873" s="464"/>
      <c r="C3873" s="465"/>
      <c r="D3873" s="464"/>
      <c r="E3873" s="464"/>
      <c r="F3873" s="464" t="s">
        <v>236</v>
      </c>
      <c r="G3873" s="510" t="s">
        <v>237</v>
      </c>
      <c r="H3873" s="411"/>
      <c r="I3873" s="411"/>
      <c r="J3873" s="750" t="e">
        <f t="shared" si="44"/>
        <v>#DIV/0!</v>
      </c>
      <c r="K3873" s="412"/>
      <c r="L3873" s="412"/>
      <c r="M3873" s="682"/>
      <c r="N3873" s="171"/>
      <c r="O3873" s="171"/>
      <c r="P3873" s="169"/>
      <c r="Q3873" s="171"/>
      <c r="R3873" s="171"/>
      <c r="S3873" s="171"/>
      <c r="T3873" s="171"/>
      <c r="U3873" s="171"/>
      <c r="V3873" s="171"/>
      <c r="W3873" s="171"/>
      <c r="X3873" s="171"/>
      <c r="Y3873" s="171"/>
      <c r="Z3873" s="171"/>
      <c r="AA3873" s="171"/>
    </row>
    <row r="3874" spans="1:27" s="530" customFormat="1" hidden="1" x14ac:dyDescent="0.2">
      <c r="A3874" s="464"/>
      <c r="B3874" s="464"/>
      <c r="C3874" s="465"/>
      <c r="D3874" s="464"/>
      <c r="E3874" s="464"/>
      <c r="F3874" s="464" t="s">
        <v>238</v>
      </c>
      <c r="G3874" s="510" t="s">
        <v>239</v>
      </c>
      <c r="H3874" s="411"/>
      <c r="I3874" s="411"/>
      <c r="J3874" s="750" t="e">
        <f t="shared" si="44"/>
        <v>#DIV/0!</v>
      </c>
      <c r="K3874" s="412"/>
      <c r="L3874" s="412"/>
      <c r="M3874" s="682"/>
      <c r="N3874" s="171"/>
      <c r="O3874" s="171"/>
      <c r="P3874" s="169"/>
      <c r="Q3874" s="171"/>
      <c r="R3874" s="171"/>
      <c r="S3874" s="171"/>
      <c r="T3874" s="171"/>
      <c r="U3874" s="171"/>
      <c r="V3874" s="171"/>
      <c r="W3874" s="171"/>
      <c r="X3874" s="171"/>
      <c r="Y3874" s="171"/>
      <c r="Z3874" s="171"/>
      <c r="AA3874" s="171"/>
    </row>
    <row r="3875" spans="1:27" s="530" customFormat="1" hidden="1" x14ac:dyDescent="0.2">
      <c r="A3875" s="464"/>
      <c r="B3875" s="464"/>
      <c r="C3875" s="465"/>
      <c r="D3875" s="464"/>
      <c r="E3875" s="464"/>
      <c r="F3875" s="464" t="s">
        <v>240</v>
      </c>
      <c r="G3875" s="510" t="s">
        <v>241</v>
      </c>
      <c r="H3875" s="411"/>
      <c r="I3875" s="411"/>
      <c r="J3875" s="750" t="e">
        <f t="shared" si="44"/>
        <v>#DIV/0!</v>
      </c>
      <c r="K3875" s="412"/>
      <c r="L3875" s="412"/>
      <c r="M3875" s="682"/>
      <c r="N3875" s="171"/>
      <c r="O3875" s="171"/>
      <c r="P3875" s="169"/>
      <c r="Q3875" s="171"/>
      <c r="R3875" s="171"/>
      <c r="S3875" s="171"/>
      <c r="T3875" s="171"/>
      <c r="U3875" s="171"/>
      <c r="V3875" s="171"/>
      <c r="W3875" s="171"/>
      <c r="X3875" s="171"/>
      <c r="Y3875" s="171"/>
      <c r="Z3875" s="171"/>
      <c r="AA3875" s="171"/>
    </row>
    <row r="3876" spans="1:27" s="530" customFormat="1" hidden="1" x14ac:dyDescent="0.2">
      <c r="A3876" s="464"/>
      <c r="B3876" s="464"/>
      <c r="C3876" s="465"/>
      <c r="D3876" s="464"/>
      <c r="E3876" s="464"/>
      <c r="F3876" s="464" t="s">
        <v>242</v>
      </c>
      <c r="G3876" s="510" t="s">
        <v>243</v>
      </c>
      <c r="H3876" s="411"/>
      <c r="I3876" s="411"/>
      <c r="J3876" s="750" t="e">
        <f t="shared" si="44"/>
        <v>#DIV/0!</v>
      </c>
      <c r="K3876" s="412"/>
      <c r="L3876" s="412"/>
      <c r="M3876" s="682"/>
      <c r="N3876" s="171"/>
      <c r="O3876" s="171"/>
      <c r="P3876" s="169"/>
      <c r="Q3876" s="171"/>
      <c r="R3876" s="171"/>
      <c r="S3876" s="171"/>
      <c r="T3876" s="171"/>
      <c r="U3876" s="171"/>
      <c r="V3876" s="171"/>
      <c r="W3876" s="171"/>
      <c r="X3876" s="171"/>
      <c r="Y3876" s="171"/>
      <c r="Z3876" s="171"/>
      <c r="AA3876" s="171"/>
    </row>
    <row r="3877" spans="1:27" s="530" customFormat="1" hidden="1" x14ac:dyDescent="0.2">
      <c r="A3877" s="464"/>
      <c r="B3877" s="464"/>
      <c r="C3877" s="465"/>
      <c r="D3877" s="464"/>
      <c r="E3877" s="464"/>
      <c r="F3877" s="464" t="s">
        <v>244</v>
      </c>
      <c r="G3877" s="510" t="s">
        <v>245</v>
      </c>
      <c r="H3877" s="411"/>
      <c r="I3877" s="411"/>
      <c r="J3877" s="750" t="e">
        <f t="shared" si="44"/>
        <v>#DIV/0!</v>
      </c>
      <c r="K3877" s="412"/>
      <c r="L3877" s="412"/>
      <c r="M3877" s="682"/>
      <c r="N3877" s="171"/>
      <c r="O3877" s="171"/>
      <c r="P3877" s="169"/>
      <c r="Q3877" s="171"/>
      <c r="R3877" s="171"/>
      <c r="S3877" s="171"/>
      <c r="T3877" s="171"/>
      <c r="U3877" s="171"/>
      <c r="V3877" s="171"/>
      <c r="W3877" s="171"/>
      <c r="X3877" s="171"/>
      <c r="Y3877" s="171"/>
      <c r="Z3877" s="171"/>
      <c r="AA3877" s="171"/>
    </row>
    <row r="3878" spans="1:27" s="530" customFormat="1" hidden="1" x14ac:dyDescent="0.2">
      <c r="A3878" s="464"/>
      <c r="B3878" s="464"/>
      <c r="C3878" s="465"/>
      <c r="D3878" s="464"/>
      <c r="E3878" s="464"/>
      <c r="F3878" s="464" t="s">
        <v>246</v>
      </c>
      <c r="G3878" s="510" t="s">
        <v>247</v>
      </c>
      <c r="H3878" s="411"/>
      <c r="I3878" s="411"/>
      <c r="J3878" s="750" t="e">
        <f t="shared" si="44"/>
        <v>#DIV/0!</v>
      </c>
      <c r="K3878" s="412"/>
      <c r="L3878" s="412"/>
      <c r="M3878" s="682"/>
      <c r="N3878" s="171"/>
      <c r="O3878" s="171"/>
      <c r="P3878" s="169"/>
      <c r="Q3878" s="171"/>
      <c r="R3878" s="171"/>
      <c r="S3878" s="171"/>
      <c r="T3878" s="171"/>
      <c r="U3878" s="171"/>
      <c r="V3878" s="171"/>
      <c r="W3878" s="171"/>
      <c r="X3878" s="171"/>
      <c r="Y3878" s="171"/>
      <c r="Z3878" s="171"/>
      <c r="AA3878" s="171"/>
    </row>
    <row r="3879" spans="1:27" s="530" customFormat="1" ht="25.5" hidden="1" x14ac:dyDescent="0.2">
      <c r="A3879" s="464"/>
      <c r="B3879" s="464"/>
      <c r="C3879" s="465"/>
      <c r="D3879" s="464"/>
      <c r="E3879" s="464"/>
      <c r="F3879" s="464" t="s">
        <v>248</v>
      </c>
      <c r="G3879" s="510" t="s">
        <v>249</v>
      </c>
      <c r="H3879" s="411"/>
      <c r="I3879" s="411"/>
      <c r="J3879" s="750" t="e">
        <f t="shared" si="44"/>
        <v>#DIV/0!</v>
      </c>
      <c r="K3879" s="412"/>
      <c r="L3879" s="412"/>
      <c r="M3879" s="682"/>
      <c r="N3879" s="171"/>
      <c r="O3879" s="171"/>
      <c r="P3879" s="169"/>
      <c r="Q3879" s="171"/>
      <c r="R3879" s="171"/>
      <c r="S3879" s="171"/>
      <c r="T3879" s="171"/>
      <c r="U3879" s="171"/>
      <c r="V3879" s="171"/>
      <c r="W3879" s="171"/>
      <c r="X3879" s="171"/>
      <c r="Y3879" s="171"/>
      <c r="Z3879" s="171"/>
      <c r="AA3879" s="171"/>
    </row>
    <row r="3880" spans="1:27" s="530" customFormat="1" hidden="1" x14ac:dyDescent="0.2">
      <c r="A3880" s="464"/>
      <c r="B3880" s="464"/>
      <c r="C3880" s="465"/>
      <c r="D3880" s="464"/>
      <c r="E3880" s="464"/>
      <c r="F3880" s="464" t="s">
        <v>250</v>
      </c>
      <c r="G3880" s="510" t="s">
        <v>57</v>
      </c>
      <c r="H3880" s="411"/>
      <c r="I3880" s="411"/>
      <c r="J3880" s="750" t="e">
        <f t="shared" si="44"/>
        <v>#DIV/0!</v>
      </c>
      <c r="K3880" s="412"/>
      <c r="L3880" s="412"/>
      <c r="M3880" s="682"/>
      <c r="N3880" s="171"/>
      <c r="O3880" s="171"/>
      <c r="P3880" s="169"/>
      <c r="Q3880" s="171"/>
      <c r="R3880" s="171"/>
      <c r="S3880" s="171"/>
      <c r="T3880" s="171"/>
      <c r="U3880" s="171"/>
      <c r="V3880" s="171"/>
      <c r="W3880" s="171"/>
      <c r="X3880" s="171"/>
      <c r="Y3880" s="171"/>
      <c r="Z3880" s="171"/>
      <c r="AA3880" s="171"/>
    </row>
    <row r="3881" spans="1:27" s="530" customFormat="1" hidden="1" x14ac:dyDescent="0.2">
      <c r="A3881" s="464"/>
      <c r="B3881" s="464"/>
      <c r="C3881" s="465"/>
      <c r="D3881" s="464"/>
      <c r="E3881" s="464"/>
      <c r="F3881" s="464" t="s">
        <v>251</v>
      </c>
      <c r="G3881" s="510" t="s">
        <v>252</v>
      </c>
      <c r="H3881" s="411"/>
      <c r="I3881" s="411"/>
      <c r="J3881" s="750" t="e">
        <f t="shared" si="44"/>
        <v>#DIV/0!</v>
      </c>
      <c r="K3881" s="412"/>
      <c r="L3881" s="412"/>
      <c r="M3881" s="682"/>
      <c r="N3881" s="171"/>
      <c r="O3881" s="171"/>
      <c r="P3881" s="169"/>
      <c r="Q3881" s="171"/>
      <c r="R3881" s="171"/>
      <c r="S3881" s="171"/>
      <c r="T3881" s="171"/>
      <c r="U3881" s="171"/>
      <c r="V3881" s="171"/>
      <c r="W3881" s="171"/>
      <c r="X3881" s="171"/>
      <c r="Y3881" s="171"/>
      <c r="Z3881" s="171"/>
      <c r="AA3881" s="171"/>
    </row>
    <row r="3882" spans="1:27" s="530" customFormat="1" hidden="1" x14ac:dyDescent="0.2">
      <c r="A3882" s="464"/>
      <c r="B3882" s="464"/>
      <c r="C3882" s="465"/>
      <c r="D3882" s="464"/>
      <c r="E3882" s="464"/>
      <c r="F3882" s="464" t="s">
        <v>253</v>
      </c>
      <c r="G3882" s="510" t="s">
        <v>254</v>
      </c>
      <c r="H3882" s="411"/>
      <c r="I3882" s="411"/>
      <c r="J3882" s="750" t="e">
        <f t="shared" si="44"/>
        <v>#DIV/0!</v>
      </c>
      <c r="K3882" s="412"/>
      <c r="L3882" s="412"/>
      <c r="M3882" s="682"/>
      <c r="N3882" s="171"/>
      <c r="O3882" s="171"/>
      <c r="P3882" s="169"/>
      <c r="Q3882" s="171"/>
      <c r="R3882" s="171"/>
      <c r="S3882" s="171"/>
      <c r="T3882" s="171"/>
      <c r="U3882" s="171"/>
      <c r="V3882" s="171"/>
      <c r="W3882" s="171"/>
      <c r="X3882" s="171"/>
      <c r="Y3882" s="171"/>
      <c r="Z3882" s="171"/>
      <c r="AA3882" s="171"/>
    </row>
    <row r="3883" spans="1:27" s="530" customFormat="1" ht="25.5" hidden="1" x14ac:dyDescent="0.2">
      <c r="A3883" s="464"/>
      <c r="B3883" s="464"/>
      <c r="C3883" s="465"/>
      <c r="D3883" s="464"/>
      <c r="E3883" s="464"/>
      <c r="F3883" s="464" t="s">
        <v>255</v>
      </c>
      <c r="G3883" s="510" t="s">
        <v>256</v>
      </c>
      <c r="H3883" s="411"/>
      <c r="I3883" s="411"/>
      <c r="J3883" s="750" t="e">
        <f t="shared" si="44"/>
        <v>#DIV/0!</v>
      </c>
      <c r="K3883" s="412"/>
      <c r="L3883" s="412"/>
      <c r="M3883" s="682"/>
      <c r="N3883" s="171"/>
      <c r="O3883" s="171"/>
      <c r="P3883" s="169"/>
      <c r="Q3883" s="171"/>
      <c r="R3883" s="171"/>
      <c r="S3883" s="171"/>
      <c r="T3883" s="171"/>
      <c r="U3883" s="171"/>
      <c r="V3883" s="171"/>
      <c r="W3883" s="171"/>
      <c r="X3883" s="171"/>
      <c r="Y3883" s="171"/>
      <c r="Z3883" s="171"/>
      <c r="AA3883" s="171"/>
    </row>
    <row r="3884" spans="1:27" s="530" customFormat="1" ht="25.5" hidden="1" x14ac:dyDescent="0.2">
      <c r="A3884" s="464"/>
      <c r="B3884" s="464"/>
      <c r="C3884" s="465"/>
      <c r="D3884" s="464"/>
      <c r="E3884" s="464"/>
      <c r="F3884" s="464" t="s">
        <v>257</v>
      </c>
      <c r="G3884" s="510" t="s">
        <v>258</v>
      </c>
      <c r="H3884" s="411"/>
      <c r="I3884" s="411"/>
      <c r="J3884" s="750" t="e">
        <f t="shared" si="44"/>
        <v>#DIV/0!</v>
      </c>
      <c r="K3884" s="412"/>
      <c r="L3884" s="412"/>
      <c r="M3884" s="682"/>
      <c r="N3884" s="171"/>
      <c r="O3884" s="171"/>
      <c r="P3884" s="169"/>
      <c r="Q3884" s="171"/>
      <c r="R3884" s="171"/>
      <c r="S3884" s="171"/>
      <c r="T3884" s="171"/>
      <c r="U3884" s="171"/>
      <c r="V3884" s="171"/>
      <c r="W3884" s="171"/>
      <c r="X3884" s="171"/>
      <c r="Y3884" s="171"/>
      <c r="Z3884" s="171"/>
      <c r="AA3884" s="171"/>
    </row>
    <row r="3885" spans="1:27" s="530" customFormat="1" ht="25.5" hidden="1" x14ac:dyDescent="0.2">
      <c r="A3885" s="464"/>
      <c r="B3885" s="464"/>
      <c r="C3885" s="465"/>
      <c r="D3885" s="464"/>
      <c r="E3885" s="464"/>
      <c r="F3885" s="464" t="s">
        <v>259</v>
      </c>
      <c r="G3885" s="510" t="s">
        <v>260</v>
      </c>
      <c r="H3885" s="411"/>
      <c r="I3885" s="411"/>
      <c r="J3885" s="750" t="e">
        <f t="shared" si="44"/>
        <v>#DIV/0!</v>
      </c>
      <c r="K3885" s="412"/>
      <c r="L3885" s="412"/>
      <c r="M3885" s="682"/>
      <c r="N3885" s="171"/>
      <c r="O3885" s="171"/>
      <c r="P3885" s="169"/>
      <c r="Q3885" s="171"/>
      <c r="R3885" s="171"/>
      <c r="S3885" s="171"/>
      <c r="T3885" s="171"/>
      <c r="U3885" s="171"/>
      <c r="V3885" s="171"/>
      <c r="W3885" s="171"/>
      <c r="X3885" s="171"/>
      <c r="Y3885" s="171"/>
      <c r="Z3885" s="171"/>
      <c r="AA3885" s="171"/>
    </row>
    <row r="3886" spans="1:27" s="530" customFormat="1" ht="25.5" hidden="1" x14ac:dyDescent="0.2">
      <c r="A3886" s="464"/>
      <c r="B3886" s="464"/>
      <c r="C3886" s="465"/>
      <c r="D3886" s="464"/>
      <c r="E3886" s="464"/>
      <c r="F3886" s="464" t="s">
        <v>261</v>
      </c>
      <c r="G3886" s="510" t="s">
        <v>262</v>
      </c>
      <c r="H3886" s="411"/>
      <c r="I3886" s="411"/>
      <c r="J3886" s="750" t="e">
        <f t="shared" si="44"/>
        <v>#DIV/0!</v>
      </c>
      <c r="K3886" s="412"/>
      <c r="L3886" s="412"/>
      <c r="M3886" s="682"/>
      <c r="N3886" s="171"/>
      <c r="O3886" s="171"/>
      <c r="P3886" s="169"/>
      <c r="Q3886" s="171"/>
      <c r="R3886" s="171"/>
      <c r="S3886" s="171"/>
      <c r="T3886" s="171"/>
      <c r="U3886" s="171"/>
      <c r="V3886" s="171"/>
      <c r="W3886" s="171"/>
      <c r="X3886" s="171"/>
      <c r="Y3886" s="171"/>
      <c r="Z3886" s="171"/>
      <c r="AA3886" s="171"/>
    </row>
    <row r="3887" spans="1:27" s="530" customFormat="1" ht="0.75" customHeight="1" x14ac:dyDescent="0.2">
      <c r="A3887" s="464"/>
      <c r="B3887" s="464"/>
      <c r="C3887" s="465"/>
      <c r="D3887" s="464"/>
      <c r="E3887" s="464"/>
      <c r="F3887" s="464" t="s">
        <v>263</v>
      </c>
      <c r="G3887" s="510" t="s">
        <v>264</v>
      </c>
      <c r="H3887" s="411"/>
      <c r="I3887" s="411">
        <v>0</v>
      </c>
      <c r="J3887" s="750" t="e">
        <f t="shared" si="44"/>
        <v>#DIV/0!</v>
      </c>
      <c r="K3887" s="412"/>
      <c r="L3887" s="412"/>
      <c r="M3887" s="682"/>
      <c r="N3887" s="171"/>
      <c r="O3887" s="171"/>
      <c r="P3887" s="169"/>
      <c r="Q3887" s="171"/>
      <c r="R3887" s="171"/>
      <c r="S3887" s="171"/>
      <c r="T3887" s="171"/>
      <c r="U3887" s="171"/>
      <c r="V3887" s="171"/>
      <c r="W3887" s="171"/>
      <c r="X3887" s="171"/>
      <c r="Y3887" s="171"/>
      <c r="Z3887" s="171"/>
      <c r="AA3887" s="171"/>
    </row>
    <row r="3888" spans="1:27" s="530" customFormat="1" ht="14.25" customHeight="1" thickBot="1" x14ac:dyDescent="0.25">
      <c r="A3888" s="464"/>
      <c r="B3888" s="464"/>
      <c r="C3888" s="465"/>
      <c r="D3888" s="464"/>
      <c r="E3888" s="464"/>
      <c r="F3888" s="464"/>
      <c r="G3888" s="565" t="s">
        <v>5214</v>
      </c>
      <c r="H3888" s="432">
        <f>SUM(H3872:H3887)</f>
        <v>5000000</v>
      </c>
      <c r="I3888" s="432">
        <v>0</v>
      </c>
      <c r="J3888" s="750">
        <f t="shared" si="44"/>
        <v>0</v>
      </c>
      <c r="K3888" s="430">
        <f>SUM(K3873:K3887)</f>
        <v>0</v>
      </c>
      <c r="L3888" s="430"/>
      <c r="M3888" s="682"/>
      <c r="N3888" s="171"/>
      <c r="O3888" s="171"/>
      <c r="P3888" s="169"/>
      <c r="Q3888" s="171"/>
      <c r="R3888" s="171"/>
      <c r="S3888" s="171"/>
      <c r="T3888" s="171"/>
      <c r="U3888" s="171"/>
      <c r="V3888" s="171"/>
      <c r="W3888" s="171"/>
      <c r="X3888" s="171"/>
      <c r="Y3888" s="171"/>
      <c r="Z3888" s="171"/>
      <c r="AA3888" s="171"/>
    </row>
    <row r="3889" spans="1:27" s="530" customFormat="1" ht="0.75" hidden="1" customHeight="1" x14ac:dyDescent="0.2">
      <c r="A3889" s="526"/>
      <c r="B3889" s="527"/>
      <c r="C3889" s="465"/>
      <c r="D3889" s="464"/>
      <c r="E3889" s="464"/>
      <c r="F3889" s="464"/>
      <c r="G3889" s="510"/>
      <c r="H3889" s="411"/>
      <c r="I3889" s="411"/>
      <c r="J3889" s="750" t="e">
        <f t="shared" si="44"/>
        <v>#DIV/0!</v>
      </c>
      <c r="K3889" s="412"/>
      <c r="L3889" s="412"/>
      <c r="M3889" s="682"/>
      <c r="N3889" s="171"/>
      <c r="O3889" s="171"/>
      <c r="P3889" s="169"/>
      <c r="Q3889" s="171"/>
      <c r="R3889" s="171"/>
      <c r="S3889" s="171"/>
      <c r="T3889" s="171"/>
      <c r="U3889" s="171"/>
      <c r="V3889" s="171"/>
      <c r="W3889" s="171"/>
      <c r="X3889" s="171"/>
      <c r="Y3889" s="171"/>
      <c r="Z3889" s="171"/>
      <c r="AA3889" s="171"/>
    </row>
    <row r="3890" spans="1:27" s="530" customFormat="1" ht="26.25" customHeight="1" x14ac:dyDescent="0.2">
      <c r="A3890" s="526"/>
      <c r="B3890" s="527"/>
      <c r="C3890" s="542" t="s">
        <v>4639</v>
      </c>
      <c r="D3890" s="173"/>
      <c r="E3890" s="173"/>
      <c r="F3890" s="502"/>
      <c r="G3890" s="510" t="s">
        <v>5215</v>
      </c>
      <c r="H3890" s="397"/>
      <c r="I3890" s="397"/>
      <c r="J3890" s="750"/>
      <c r="K3890" s="398"/>
      <c r="L3890" s="398"/>
      <c r="M3890" s="682"/>
      <c r="N3890" s="171"/>
      <c r="O3890" s="171"/>
      <c r="P3890" s="169"/>
      <c r="Q3890" s="171"/>
      <c r="R3890" s="171"/>
      <c r="S3890" s="171"/>
      <c r="T3890" s="171"/>
      <c r="U3890" s="171"/>
      <c r="V3890" s="171"/>
      <c r="W3890" s="171"/>
      <c r="X3890" s="171"/>
      <c r="Y3890" s="171"/>
      <c r="Z3890" s="171"/>
      <c r="AA3890" s="171"/>
    </row>
    <row r="3891" spans="1:27" s="530" customFormat="1" x14ac:dyDescent="0.2">
      <c r="A3891" s="526"/>
      <c r="B3891" s="527"/>
      <c r="C3891" s="489"/>
      <c r="D3891" s="492">
        <v>620</v>
      </c>
      <c r="E3891" s="492"/>
      <c r="F3891" s="492"/>
      <c r="G3891" s="514" t="s">
        <v>182</v>
      </c>
      <c r="H3891" s="397"/>
      <c r="I3891" s="397"/>
      <c r="J3891" s="750"/>
      <c r="K3891" s="398"/>
      <c r="L3891" s="398"/>
      <c r="M3891" s="682"/>
      <c r="N3891" s="171"/>
      <c r="O3891" s="171"/>
      <c r="P3891" s="169"/>
      <c r="Q3891" s="171"/>
      <c r="R3891" s="171"/>
      <c r="S3891" s="171"/>
      <c r="T3891" s="171"/>
      <c r="U3891" s="171"/>
      <c r="V3891" s="171"/>
      <c r="W3891" s="171"/>
      <c r="X3891" s="171"/>
      <c r="Y3891" s="171"/>
      <c r="Z3891" s="171"/>
      <c r="AA3891" s="171"/>
    </row>
    <row r="3892" spans="1:27" s="530" customFormat="1" hidden="1" x14ac:dyDescent="0.2">
      <c r="A3892" s="526"/>
      <c r="B3892" s="527"/>
      <c r="C3892" s="465"/>
      <c r="D3892" s="464"/>
      <c r="E3892" s="464"/>
      <c r="F3892" s="494">
        <v>411</v>
      </c>
      <c r="G3892" s="495" t="s">
        <v>4167</v>
      </c>
      <c r="H3892" s="397"/>
      <c r="I3892" s="397"/>
      <c r="J3892" s="750" t="e">
        <f t="shared" si="44"/>
        <v>#DIV/0!</v>
      </c>
      <c r="K3892" s="398"/>
      <c r="L3892" s="398"/>
      <c r="M3892" s="682"/>
      <c r="N3892" s="171"/>
      <c r="O3892" s="171"/>
      <c r="P3892" s="169"/>
      <c r="Q3892" s="171"/>
      <c r="R3892" s="171"/>
      <c r="S3892" s="171"/>
      <c r="T3892" s="171"/>
      <c r="U3892" s="171"/>
      <c r="V3892" s="171"/>
      <c r="W3892" s="171"/>
      <c r="X3892" s="171"/>
      <c r="Y3892" s="171"/>
      <c r="Z3892" s="171"/>
      <c r="AA3892" s="171"/>
    </row>
    <row r="3893" spans="1:27" s="530" customFormat="1" hidden="1" x14ac:dyDescent="0.2">
      <c r="A3893" s="526"/>
      <c r="B3893" s="527"/>
      <c r="C3893" s="465"/>
      <c r="D3893" s="464"/>
      <c r="E3893" s="464"/>
      <c r="F3893" s="494">
        <v>412</v>
      </c>
      <c r="G3893" s="496" t="s">
        <v>3764</v>
      </c>
      <c r="H3893" s="397"/>
      <c r="I3893" s="397"/>
      <c r="J3893" s="750" t="e">
        <f t="shared" si="44"/>
        <v>#DIV/0!</v>
      </c>
      <c r="K3893" s="398"/>
      <c r="L3893" s="398"/>
      <c r="M3893" s="682"/>
      <c r="N3893" s="171"/>
      <c r="O3893" s="171"/>
      <c r="P3893" s="169"/>
      <c r="Q3893" s="171"/>
      <c r="R3893" s="171"/>
      <c r="S3893" s="171"/>
      <c r="T3893" s="171"/>
      <c r="U3893" s="171"/>
      <c r="V3893" s="171"/>
      <c r="W3893" s="171"/>
      <c r="X3893" s="171"/>
      <c r="Y3893" s="171"/>
      <c r="Z3893" s="171"/>
      <c r="AA3893" s="171"/>
    </row>
    <row r="3894" spans="1:27" s="530" customFormat="1" hidden="1" x14ac:dyDescent="0.2">
      <c r="A3894" s="526"/>
      <c r="B3894" s="527"/>
      <c r="C3894" s="465"/>
      <c r="D3894" s="464"/>
      <c r="E3894" s="464"/>
      <c r="F3894" s="494">
        <v>413</v>
      </c>
      <c r="G3894" s="495" t="s">
        <v>4168</v>
      </c>
      <c r="H3894" s="397"/>
      <c r="I3894" s="397"/>
      <c r="J3894" s="750" t="e">
        <f t="shared" si="44"/>
        <v>#DIV/0!</v>
      </c>
      <c r="K3894" s="398"/>
      <c r="L3894" s="398"/>
      <c r="M3894" s="682"/>
      <c r="N3894" s="171"/>
      <c r="O3894" s="171"/>
      <c r="P3894" s="169"/>
      <c r="Q3894" s="171"/>
      <c r="R3894" s="171"/>
      <c r="S3894" s="171"/>
      <c r="T3894" s="171"/>
      <c r="U3894" s="171"/>
      <c r="V3894" s="171"/>
      <c r="W3894" s="171"/>
      <c r="X3894" s="171"/>
      <c r="Y3894" s="171"/>
      <c r="Z3894" s="171"/>
      <c r="AA3894" s="171"/>
    </row>
    <row r="3895" spans="1:27" s="530" customFormat="1" hidden="1" x14ac:dyDescent="0.2">
      <c r="A3895" s="526"/>
      <c r="B3895" s="527"/>
      <c r="C3895" s="465"/>
      <c r="D3895" s="464"/>
      <c r="E3895" s="464"/>
      <c r="F3895" s="494">
        <v>414</v>
      </c>
      <c r="G3895" s="495" t="s">
        <v>3767</v>
      </c>
      <c r="H3895" s="397"/>
      <c r="I3895" s="397"/>
      <c r="J3895" s="750" t="e">
        <f t="shared" si="44"/>
        <v>#DIV/0!</v>
      </c>
      <c r="K3895" s="398"/>
      <c r="L3895" s="398"/>
      <c r="M3895" s="682"/>
      <c r="N3895" s="171"/>
      <c r="O3895" s="171"/>
      <c r="P3895" s="169"/>
      <c r="Q3895" s="171"/>
      <c r="R3895" s="171"/>
      <c r="S3895" s="171"/>
      <c r="T3895" s="171"/>
      <c r="U3895" s="171"/>
      <c r="V3895" s="171"/>
      <c r="W3895" s="171"/>
      <c r="X3895" s="171"/>
      <c r="Y3895" s="171"/>
      <c r="Z3895" s="171"/>
      <c r="AA3895" s="171"/>
    </row>
    <row r="3896" spans="1:27" s="530" customFormat="1" hidden="1" x14ac:dyDescent="0.2">
      <c r="A3896" s="526"/>
      <c r="B3896" s="527"/>
      <c r="C3896" s="465"/>
      <c r="D3896" s="464"/>
      <c r="E3896" s="464"/>
      <c r="F3896" s="494">
        <v>415</v>
      </c>
      <c r="G3896" s="495" t="s">
        <v>4177</v>
      </c>
      <c r="H3896" s="397"/>
      <c r="I3896" s="397"/>
      <c r="J3896" s="750" t="e">
        <f t="shared" si="44"/>
        <v>#DIV/0!</v>
      </c>
      <c r="K3896" s="398"/>
      <c r="L3896" s="398"/>
      <c r="M3896" s="682"/>
      <c r="N3896" s="171"/>
      <c r="O3896" s="171"/>
      <c r="P3896" s="169"/>
      <c r="Q3896" s="171"/>
      <c r="R3896" s="171"/>
      <c r="S3896" s="171"/>
      <c r="T3896" s="171"/>
      <c r="U3896" s="171"/>
      <c r="V3896" s="171"/>
      <c r="W3896" s="171"/>
      <c r="X3896" s="171"/>
      <c r="Y3896" s="171"/>
      <c r="Z3896" s="171"/>
      <c r="AA3896" s="171"/>
    </row>
    <row r="3897" spans="1:27" s="530" customFormat="1" ht="25.5" hidden="1" x14ac:dyDescent="0.2">
      <c r="A3897" s="526"/>
      <c r="B3897" s="527"/>
      <c r="C3897" s="465"/>
      <c r="D3897" s="464"/>
      <c r="E3897" s="464"/>
      <c r="F3897" s="494">
        <v>416</v>
      </c>
      <c r="G3897" s="495" t="s">
        <v>4178</v>
      </c>
      <c r="H3897" s="397"/>
      <c r="I3897" s="397"/>
      <c r="J3897" s="750" t="e">
        <f t="shared" si="44"/>
        <v>#DIV/0!</v>
      </c>
      <c r="K3897" s="398"/>
      <c r="L3897" s="398"/>
      <c r="M3897" s="682"/>
      <c r="N3897" s="171"/>
      <c r="O3897" s="171"/>
      <c r="P3897" s="169"/>
      <c r="Q3897" s="171"/>
      <c r="R3897" s="171"/>
      <c r="S3897" s="171"/>
      <c r="T3897" s="171"/>
      <c r="U3897" s="171"/>
      <c r="V3897" s="171"/>
      <c r="W3897" s="171"/>
      <c r="X3897" s="171"/>
      <c r="Y3897" s="171"/>
      <c r="Z3897" s="171"/>
      <c r="AA3897" s="171"/>
    </row>
    <row r="3898" spans="1:27" s="530" customFormat="1" hidden="1" x14ac:dyDescent="0.2">
      <c r="A3898" s="526"/>
      <c r="B3898" s="527"/>
      <c r="C3898" s="465"/>
      <c r="D3898" s="464"/>
      <c r="E3898" s="464"/>
      <c r="F3898" s="494">
        <v>417</v>
      </c>
      <c r="G3898" s="495" t="s">
        <v>4179</v>
      </c>
      <c r="H3898" s="397"/>
      <c r="I3898" s="397"/>
      <c r="J3898" s="750" t="e">
        <f t="shared" si="44"/>
        <v>#DIV/0!</v>
      </c>
      <c r="K3898" s="398"/>
      <c r="L3898" s="398"/>
      <c r="M3898" s="682"/>
      <c r="N3898" s="171"/>
      <c r="O3898" s="171"/>
      <c r="P3898" s="169"/>
      <c r="Q3898" s="171"/>
      <c r="R3898" s="171"/>
      <c r="S3898" s="171"/>
      <c r="T3898" s="171"/>
      <c r="U3898" s="171"/>
      <c r="V3898" s="171"/>
      <c r="W3898" s="171"/>
      <c r="X3898" s="171"/>
      <c r="Y3898" s="171"/>
      <c r="Z3898" s="171"/>
      <c r="AA3898" s="171"/>
    </row>
    <row r="3899" spans="1:27" s="530" customFormat="1" hidden="1" x14ac:dyDescent="0.2">
      <c r="A3899" s="526"/>
      <c r="B3899" s="527"/>
      <c r="C3899" s="465"/>
      <c r="D3899" s="464"/>
      <c r="E3899" s="464"/>
      <c r="F3899" s="494">
        <v>418</v>
      </c>
      <c r="G3899" s="495" t="s">
        <v>3773</v>
      </c>
      <c r="H3899" s="397"/>
      <c r="I3899" s="397"/>
      <c r="J3899" s="750" t="e">
        <f t="shared" si="44"/>
        <v>#DIV/0!</v>
      </c>
      <c r="K3899" s="398"/>
      <c r="L3899" s="398"/>
      <c r="M3899" s="682"/>
      <c r="N3899" s="171"/>
      <c r="O3899" s="171"/>
      <c r="P3899" s="169"/>
      <c r="Q3899" s="171"/>
      <c r="R3899" s="171"/>
      <c r="S3899" s="171"/>
      <c r="T3899" s="171"/>
      <c r="U3899" s="171"/>
      <c r="V3899" s="171"/>
      <c r="W3899" s="171"/>
      <c r="X3899" s="171"/>
      <c r="Y3899" s="171"/>
      <c r="Z3899" s="171"/>
      <c r="AA3899" s="171"/>
    </row>
    <row r="3900" spans="1:27" s="530" customFormat="1" hidden="1" x14ac:dyDescent="0.2">
      <c r="A3900" s="526"/>
      <c r="B3900" s="527"/>
      <c r="C3900" s="465"/>
      <c r="D3900" s="464"/>
      <c r="E3900" s="464"/>
      <c r="F3900" s="494">
        <v>421</v>
      </c>
      <c r="G3900" s="495" t="s">
        <v>3777</v>
      </c>
      <c r="H3900" s="397"/>
      <c r="I3900" s="397"/>
      <c r="J3900" s="750" t="e">
        <f t="shared" si="44"/>
        <v>#DIV/0!</v>
      </c>
      <c r="K3900" s="398"/>
      <c r="L3900" s="398"/>
      <c r="M3900" s="682"/>
      <c r="N3900" s="171"/>
      <c r="O3900" s="171"/>
      <c r="P3900" s="169"/>
      <c r="Q3900" s="171"/>
      <c r="R3900" s="171"/>
      <c r="S3900" s="171"/>
      <c r="T3900" s="171"/>
      <c r="U3900" s="171"/>
      <c r="V3900" s="171"/>
      <c r="W3900" s="171"/>
      <c r="X3900" s="171"/>
      <c r="Y3900" s="171"/>
      <c r="Z3900" s="171"/>
      <c r="AA3900" s="171"/>
    </row>
    <row r="3901" spans="1:27" s="530" customFormat="1" hidden="1" x14ac:dyDescent="0.2">
      <c r="A3901" s="526"/>
      <c r="B3901" s="527"/>
      <c r="C3901" s="465"/>
      <c r="D3901" s="464"/>
      <c r="E3901" s="464"/>
      <c r="F3901" s="494">
        <v>422</v>
      </c>
      <c r="G3901" s="495" t="s">
        <v>3778</v>
      </c>
      <c r="H3901" s="397"/>
      <c r="I3901" s="397"/>
      <c r="J3901" s="750" t="e">
        <f t="shared" si="44"/>
        <v>#DIV/0!</v>
      </c>
      <c r="K3901" s="398"/>
      <c r="L3901" s="398"/>
      <c r="M3901" s="682"/>
      <c r="N3901" s="171"/>
      <c r="O3901" s="171"/>
      <c r="P3901" s="169"/>
      <c r="Q3901" s="171"/>
      <c r="R3901" s="171"/>
      <c r="S3901" s="171"/>
      <c r="T3901" s="171"/>
      <c r="U3901" s="171"/>
      <c r="V3901" s="171"/>
      <c r="W3901" s="171"/>
      <c r="X3901" s="171"/>
      <c r="Y3901" s="171"/>
      <c r="Z3901" s="171"/>
      <c r="AA3901" s="171"/>
    </row>
    <row r="3902" spans="1:27" s="530" customFormat="1" hidden="1" x14ac:dyDescent="0.2">
      <c r="A3902" s="526"/>
      <c r="B3902" s="527"/>
      <c r="C3902" s="465"/>
      <c r="D3902" s="464"/>
      <c r="E3902" s="464"/>
      <c r="F3902" s="494">
        <v>423</v>
      </c>
      <c r="G3902" s="495" t="s">
        <v>3779</v>
      </c>
      <c r="H3902" s="397"/>
      <c r="I3902" s="397"/>
      <c r="J3902" s="750" t="e">
        <f t="shared" si="44"/>
        <v>#DIV/0!</v>
      </c>
      <c r="K3902" s="398"/>
      <c r="L3902" s="398"/>
      <c r="M3902" s="682"/>
      <c r="N3902" s="171"/>
      <c r="O3902" s="171"/>
      <c r="P3902" s="169"/>
      <c r="Q3902" s="171"/>
      <c r="R3902" s="171"/>
      <c r="S3902" s="171"/>
      <c r="T3902" s="171"/>
      <c r="U3902" s="171"/>
      <c r="V3902" s="171"/>
      <c r="W3902" s="171"/>
      <c r="X3902" s="171"/>
      <c r="Y3902" s="171"/>
      <c r="Z3902" s="171"/>
      <c r="AA3902" s="171"/>
    </row>
    <row r="3903" spans="1:27" s="530" customFormat="1" hidden="1" x14ac:dyDescent="0.2">
      <c r="A3903" s="526"/>
      <c r="B3903" s="527"/>
      <c r="C3903" s="465"/>
      <c r="D3903" s="464"/>
      <c r="E3903" s="464"/>
      <c r="F3903" s="494">
        <v>424</v>
      </c>
      <c r="G3903" s="495" t="s">
        <v>3781</v>
      </c>
      <c r="H3903" s="397"/>
      <c r="I3903" s="397"/>
      <c r="J3903" s="750" t="e">
        <f t="shared" si="44"/>
        <v>#DIV/0!</v>
      </c>
      <c r="K3903" s="398"/>
      <c r="L3903" s="398"/>
      <c r="M3903" s="682"/>
      <c r="N3903" s="171"/>
      <c r="O3903" s="171"/>
      <c r="P3903" s="169"/>
      <c r="Q3903" s="171"/>
      <c r="R3903" s="171"/>
      <c r="S3903" s="171"/>
      <c r="T3903" s="171"/>
      <c r="U3903" s="171"/>
      <c r="V3903" s="171"/>
      <c r="W3903" s="171"/>
      <c r="X3903" s="171"/>
      <c r="Y3903" s="171"/>
      <c r="Z3903" s="171"/>
      <c r="AA3903" s="171"/>
    </row>
    <row r="3904" spans="1:27" s="530" customFormat="1" hidden="1" x14ac:dyDescent="0.2">
      <c r="A3904" s="526"/>
      <c r="B3904" s="527"/>
      <c r="C3904" s="465"/>
      <c r="D3904" s="464"/>
      <c r="E3904" s="464"/>
      <c r="F3904" s="494">
        <v>425</v>
      </c>
      <c r="G3904" s="495" t="s">
        <v>4180</v>
      </c>
      <c r="H3904" s="397"/>
      <c r="I3904" s="397"/>
      <c r="J3904" s="750" t="e">
        <f t="shared" si="44"/>
        <v>#DIV/0!</v>
      </c>
      <c r="K3904" s="398"/>
      <c r="L3904" s="398"/>
      <c r="M3904" s="682"/>
      <c r="N3904" s="171"/>
      <c r="O3904" s="171"/>
      <c r="P3904" s="169"/>
      <c r="Q3904" s="171"/>
      <c r="R3904" s="171"/>
      <c r="S3904" s="171"/>
      <c r="T3904" s="171"/>
      <c r="U3904" s="171"/>
      <c r="V3904" s="171"/>
      <c r="W3904" s="171"/>
      <c r="X3904" s="171"/>
      <c r="Y3904" s="171"/>
      <c r="Z3904" s="171"/>
      <c r="AA3904" s="171"/>
    </row>
    <row r="3905" spans="1:27" s="530" customFormat="1" hidden="1" x14ac:dyDescent="0.2">
      <c r="A3905" s="526"/>
      <c r="B3905" s="527"/>
      <c r="C3905" s="465"/>
      <c r="D3905" s="464"/>
      <c r="E3905" s="464"/>
      <c r="F3905" s="494">
        <v>426</v>
      </c>
      <c r="G3905" s="495" t="s">
        <v>3785</v>
      </c>
      <c r="H3905" s="397"/>
      <c r="I3905" s="397"/>
      <c r="J3905" s="750" t="e">
        <f t="shared" si="44"/>
        <v>#DIV/0!</v>
      </c>
      <c r="K3905" s="398"/>
      <c r="L3905" s="398"/>
      <c r="M3905" s="682"/>
      <c r="N3905" s="171"/>
      <c r="O3905" s="171"/>
      <c r="P3905" s="169"/>
      <c r="Q3905" s="171"/>
      <c r="R3905" s="171"/>
      <c r="S3905" s="171"/>
      <c r="T3905" s="171"/>
      <c r="U3905" s="171"/>
      <c r="V3905" s="171"/>
      <c r="W3905" s="171"/>
      <c r="X3905" s="171"/>
      <c r="Y3905" s="171"/>
      <c r="Z3905" s="171"/>
      <c r="AA3905" s="171"/>
    </row>
    <row r="3906" spans="1:27" s="530" customFormat="1" hidden="1" x14ac:dyDescent="0.2">
      <c r="A3906" s="526"/>
      <c r="B3906" s="527"/>
      <c r="C3906" s="465"/>
      <c r="D3906" s="464"/>
      <c r="E3906" s="464"/>
      <c r="F3906" s="494">
        <v>431</v>
      </c>
      <c r="G3906" s="495" t="s">
        <v>4181</v>
      </c>
      <c r="H3906" s="397"/>
      <c r="I3906" s="397"/>
      <c r="J3906" s="750" t="e">
        <f t="shared" si="44"/>
        <v>#DIV/0!</v>
      </c>
      <c r="K3906" s="398"/>
      <c r="L3906" s="398"/>
      <c r="M3906" s="682"/>
      <c r="N3906" s="171"/>
      <c r="O3906" s="171"/>
      <c r="P3906" s="169"/>
      <c r="Q3906" s="171"/>
      <c r="R3906" s="171"/>
      <c r="S3906" s="171"/>
      <c r="T3906" s="171"/>
      <c r="U3906" s="171"/>
      <c r="V3906" s="171"/>
      <c r="W3906" s="171"/>
      <c r="X3906" s="171"/>
      <c r="Y3906" s="171"/>
      <c r="Z3906" s="171"/>
      <c r="AA3906" s="171"/>
    </row>
    <row r="3907" spans="1:27" s="530" customFormat="1" hidden="1" x14ac:dyDescent="0.2">
      <c r="A3907" s="526"/>
      <c r="B3907" s="527"/>
      <c r="C3907" s="465"/>
      <c r="D3907" s="464"/>
      <c r="E3907" s="464"/>
      <c r="F3907" s="494">
        <v>432</v>
      </c>
      <c r="G3907" s="495" t="s">
        <v>4182</v>
      </c>
      <c r="H3907" s="397"/>
      <c r="I3907" s="397"/>
      <c r="J3907" s="750" t="e">
        <f t="shared" si="44"/>
        <v>#DIV/0!</v>
      </c>
      <c r="K3907" s="398"/>
      <c r="L3907" s="398"/>
      <c r="M3907" s="682"/>
      <c r="N3907" s="171"/>
      <c r="O3907" s="171"/>
      <c r="P3907" s="169"/>
      <c r="Q3907" s="171"/>
      <c r="R3907" s="171"/>
      <c r="S3907" s="171"/>
      <c r="T3907" s="171"/>
      <c r="U3907" s="171"/>
      <c r="V3907" s="171"/>
      <c r="W3907" s="171"/>
      <c r="X3907" s="171"/>
      <c r="Y3907" s="171"/>
      <c r="Z3907" s="171"/>
      <c r="AA3907" s="171"/>
    </row>
    <row r="3908" spans="1:27" s="530" customFormat="1" hidden="1" x14ac:dyDescent="0.2">
      <c r="A3908" s="526"/>
      <c r="B3908" s="527"/>
      <c r="C3908" s="465"/>
      <c r="D3908" s="464"/>
      <c r="E3908" s="464"/>
      <c r="F3908" s="494">
        <v>433</v>
      </c>
      <c r="G3908" s="495" t="s">
        <v>4183</v>
      </c>
      <c r="H3908" s="397"/>
      <c r="I3908" s="397"/>
      <c r="J3908" s="750" t="e">
        <f t="shared" si="44"/>
        <v>#DIV/0!</v>
      </c>
      <c r="K3908" s="398"/>
      <c r="L3908" s="398"/>
      <c r="M3908" s="682"/>
      <c r="N3908" s="171"/>
      <c r="O3908" s="171"/>
      <c r="P3908" s="169"/>
      <c r="Q3908" s="171"/>
      <c r="R3908" s="171"/>
      <c r="S3908" s="171"/>
      <c r="T3908" s="171"/>
      <c r="U3908" s="171"/>
      <c r="V3908" s="171"/>
      <c r="W3908" s="171"/>
      <c r="X3908" s="171"/>
      <c r="Y3908" s="171"/>
      <c r="Z3908" s="171"/>
      <c r="AA3908" s="171"/>
    </row>
    <row r="3909" spans="1:27" s="530" customFormat="1" hidden="1" x14ac:dyDescent="0.2">
      <c r="A3909" s="526"/>
      <c r="B3909" s="527"/>
      <c r="C3909" s="465"/>
      <c r="D3909" s="464"/>
      <c r="E3909" s="464"/>
      <c r="F3909" s="494">
        <v>434</v>
      </c>
      <c r="G3909" s="495" t="s">
        <v>4184</v>
      </c>
      <c r="H3909" s="397"/>
      <c r="I3909" s="397"/>
      <c r="J3909" s="750" t="e">
        <f t="shared" si="44"/>
        <v>#DIV/0!</v>
      </c>
      <c r="K3909" s="398"/>
      <c r="L3909" s="398"/>
      <c r="M3909" s="682"/>
      <c r="N3909" s="171"/>
      <c r="O3909" s="171"/>
      <c r="P3909" s="169"/>
      <c r="Q3909" s="171"/>
      <c r="R3909" s="171"/>
      <c r="S3909" s="171"/>
      <c r="T3909" s="171"/>
      <c r="U3909" s="171"/>
      <c r="V3909" s="171"/>
      <c r="W3909" s="171"/>
      <c r="X3909" s="171"/>
      <c r="Y3909" s="171"/>
      <c r="Z3909" s="171"/>
      <c r="AA3909" s="171"/>
    </row>
    <row r="3910" spans="1:27" s="530" customFormat="1" hidden="1" x14ac:dyDescent="0.2">
      <c r="A3910" s="526"/>
      <c r="B3910" s="527"/>
      <c r="C3910" s="465"/>
      <c r="D3910" s="464"/>
      <c r="E3910" s="464"/>
      <c r="F3910" s="494">
        <v>435</v>
      </c>
      <c r="G3910" s="495" t="s">
        <v>3792</v>
      </c>
      <c r="H3910" s="397"/>
      <c r="I3910" s="397"/>
      <c r="J3910" s="750" t="e">
        <f t="shared" si="44"/>
        <v>#DIV/0!</v>
      </c>
      <c r="K3910" s="398"/>
      <c r="L3910" s="398"/>
      <c r="M3910" s="682"/>
      <c r="N3910" s="171"/>
      <c r="O3910" s="171"/>
      <c r="P3910" s="169"/>
      <c r="Q3910" s="171"/>
      <c r="R3910" s="171"/>
      <c r="S3910" s="171"/>
      <c r="T3910" s="171"/>
      <c r="U3910" s="171"/>
      <c r="V3910" s="171"/>
      <c r="W3910" s="171"/>
      <c r="X3910" s="171"/>
      <c r="Y3910" s="171"/>
      <c r="Z3910" s="171"/>
      <c r="AA3910" s="171"/>
    </row>
    <row r="3911" spans="1:27" s="530" customFormat="1" hidden="1" x14ac:dyDescent="0.2">
      <c r="A3911" s="526"/>
      <c r="B3911" s="527"/>
      <c r="C3911" s="465"/>
      <c r="D3911" s="464"/>
      <c r="E3911" s="464"/>
      <c r="F3911" s="494">
        <v>441</v>
      </c>
      <c r="G3911" s="495" t="s">
        <v>4185</v>
      </c>
      <c r="H3911" s="397"/>
      <c r="I3911" s="397"/>
      <c r="J3911" s="750" t="e">
        <f t="shared" si="44"/>
        <v>#DIV/0!</v>
      </c>
      <c r="K3911" s="398"/>
      <c r="L3911" s="398"/>
      <c r="M3911" s="682"/>
      <c r="N3911" s="171"/>
      <c r="O3911" s="171"/>
      <c r="P3911" s="169"/>
      <c r="Q3911" s="171"/>
      <c r="R3911" s="171"/>
      <c r="S3911" s="171"/>
      <c r="T3911" s="171"/>
      <c r="U3911" s="171"/>
      <c r="V3911" s="171"/>
      <c r="W3911" s="171"/>
      <c r="X3911" s="171"/>
      <c r="Y3911" s="171"/>
      <c r="Z3911" s="171"/>
      <c r="AA3911" s="171"/>
    </row>
    <row r="3912" spans="1:27" s="530" customFormat="1" hidden="1" x14ac:dyDescent="0.2">
      <c r="A3912" s="526"/>
      <c r="B3912" s="527"/>
      <c r="C3912" s="465"/>
      <c r="D3912" s="464"/>
      <c r="E3912" s="464"/>
      <c r="F3912" s="494">
        <v>442</v>
      </c>
      <c r="G3912" s="495" t="s">
        <v>4186</v>
      </c>
      <c r="H3912" s="397"/>
      <c r="I3912" s="397"/>
      <c r="J3912" s="750" t="e">
        <f t="shared" si="44"/>
        <v>#DIV/0!</v>
      </c>
      <c r="K3912" s="398"/>
      <c r="L3912" s="398"/>
      <c r="M3912" s="682"/>
      <c r="N3912" s="171"/>
      <c r="O3912" s="171"/>
      <c r="P3912" s="169"/>
      <c r="Q3912" s="171"/>
      <c r="R3912" s="171"/>
      <c r="S3912" s="171"/>
      <c r="T3912" s="171"/>
      <c r="U3912" s="171"/>
      <c r="V3912" s="171"/>
      <c r="W3912" s="171"/>
      <c r="X3912" s="171"/>
      <c r="Y3912" s="171"/>
      <c r="Z3912" s="171"/>
      <c r="AA3912" s="171"/>
    </row>
    <row r="3913" spans="1:27" s="530" customFormat="1" hidden="1" x14ac:dyDescent="0.2">
      <c r="A3913" s="526"/>
      <c r="B3913" s="527"/>
      <c r="C3913" s="465"/>
      <c r="D3913" s="464"/>
      <c r="E3913" s="464"/>
      <c r="F3913" s="494">
        <v>443</v>
      </c>
      <c r="G3913" s="495" t="s">
        <v>3797</v>
      </c>
      <c r="H3913" s="397"/>
      <c r="I3913" s="397"/>
      <c r="J3913" s="750" t="e">
        <f t="shared" si="44"/>
        <v>#DIV/0!</v>
      </c>
      <c r="K3913" s="398"/>
      <c r="L3913" s="398"/>
      <c r="M3913" s="682"/>
      <c r="N3913" s="171"/>
      <c r="O3913" s="171"/>
      <c r="P3913" s="169"/>
      <c r="Q3913" s="171"/>
      <c r="R3913" s="171"/>
      <c r="S3913" s="171"/>
      <c r="T3913" s="171"/>
      <c r="U3913" s="171"/>
      <c r="V3913" s="171"/>
      <c r="W3913" s="171"/>
      <c r="X3913" s="171"/>
      <c r="Y3913" s="171"/>
      <c r="Z3913" s="171"/>
      <c r="AA3913" s="171"/>
    </row>
    <row r="3914" spans="1:27" s="530" customFormat="1" hidden="1" x14ac:dyDescent="0.2">
      <c r="A3914" s="526"/>
      <c r="B3914" s="527"/>
      <c r="C3914" s="465"/>
      <c r="D3914" s="464"/>
      <c r="E3914" s="464"/>
      <c r="F3914" s="494">
        <v>444</v>
      </c>
      <c r="G3914" s="495" t="s">
        <v>3798</v>
      </c>
      <c r="H3914" s="397"/>
      <c r="I3914" s="397"/>
      <c r="J3914" s="750" t="e">
        <f t="shared" si="44"/>
        <v>#DIV/0!</v>
      </c>
      <c r="K3914" s="398"/>
      <c r="L3914" s="398"/>
      <c r="M3914" s="682"/>
      <c r="N3914" s="171"/>
      <c r="O3914" s="171"/>
      <c r="P3914" s="169"/>
      <c r="Q3914" s="171"/>
      <c r="R3914" s="171"/>
      <c r="S3914" s="171"/>
      <c r="T3914" s="171"/>
      <c r="U3914" s="171"/>
      <c r="V3914" s="171"/>
      <c r="W3914" s="171"/>
      <c r="X3914" s="171"/>
      <c r="Y3914" s="171"/>
      <c r="Z3914" s="171"/>
      <c r="AA3914" s="171"/>
    </row>
    <row r="3915" spans="1:27" s="530" customFormat="1" ht="25.5" hidden="1" x14ac:dyDescent="0.2">
      <c r="A3915" s="526"/>
      <c r="B3915" s="527"/>
      <c r="C3915" s="465"/>
      <c r="D3915" s="464"/>
      <c r="E3915" s="464"/>
      <c r="F3915" s="494">
        <v>4511</v>
      </c>
      <c r="G3915" s="466" t="s">
        <v>1692</v>
      </c>
      <c r="H3915" s="397"/>
      <c r="I3915" s="397"/>
      <c r="J3915" s="750" t="e">
        <f t="shared" si="44"/>
        <v>#DIV/0!</v>
      </c>
      <c r="K3915" s="398"/>
      <c r="L3915" s="398"/>
      <c r="M3915" s="682"/>
      <c r="N3915" s="171"/>
      <c r="O3915" s="171"/>
      <c r="P3915" s="169"/>
      <c r="Q3915" s="171"/>
      <c r="R3915" s="171"/>
      <c r="S3915" s="171"/>
      <c r="T3915" s="171"/>
      <c r="U3915" s="171"/>
      <c r="V3915" s="171"/>
      <c r="W3915" s="171"/>
      <c r="X3915" s="171"/>
      <c r="Y3915" s="171"/>
      <c r="Z3915" s="171"/>
      <c r="AA3915" s="171"/>
    </row>
    <row r="3916" spans="1:27" s="530" customFormat="1" ht="25.5" hidden="1" x14ac:dyDescent="0.2">
      <c r="A3916" s="526"/>
      <c r="B3916" s="527"/>
      <c r="C3916" s="465"/>
      <c r="D3916" s="464"/>
      <c r="E3916" s="464"/>
      <c r="F3916" s="494">
        <v>4512</v>
      </c>
      <c r="G3916" s="466" t="s">
        <v>1701</v>
      </c>
      <c r="H3916" s="397"/>
      <c r="I3916" s="397"/>
      <c r="J3916" s="750" t="e">
        <f t="shared" si="44"/>
        <v>#DIV/0!</v>
      </c>
      <c r="K3916" s="398"/>
      <c r="L3916" s="398"/>
      <c r="M3916" s="682"/>
      <c r="N3916" s="171"/>
      <c r="O3916" s="171"/>
      <c r="P3916" s="169"/>
      <c r="Q3916" s="171"/>
      <c r="R3916" s="171"/>
      <c r="S3916" s="171"/>
      <c r="T3916" s="171"/>
      <c r="U3916" s="171"/>
      <c r="V3916" s="171"/>
      <c r="W3916" s="171"/>
      <c r="X3916" s="171"/>
      <c r="Y3916" s="171"/>
      <c r="Z3916" s="171"/>
      <c r="AA3916" s="171"/>
    </row>
    <row r="3917" spans="1:27" s="530" customFormat="1" ht="25.5" hidden="1" x14ac:dyDescent="0.2">
      <c r="A3917" s="526"/>
      <c r="B3917" s="527"/>
      <c r="C3917" s="465"/>
      <c r="D3917" s="464"/>
      <c r="E3917" s="464"/>
      <c r="F3917" s="494">
        <v>452</v>
      </c>
      <c r="G3917" s="495" t="s">
        <v>4187</v>
      </c>
      <c r="H3917" s="397"/>
      <c r="I3917" s="397"/>
      <c r="J3917" s="750" t="e">
        <f t="shared" ref="J3917:J3980" si="45">SUM(I3917/H3917)*100</f>
        <v>#DIV/0!</v>
      </c>
      <c r="K3917" s="398"/>
      <c r="L3917" s="398"/>
      <c r="M3917" s="682"/>
      <c r="N3917" s="171"/>
      <c r="O3917" s="171"/>
      <c r="P3917" s="169"/>
      <c r="Q3917" s="171"/>
      <c r="R3917" s="171"/>
      <c r="S3917" s="171"/>
      <c r="T3917" s="171"/>
      <c r="U3917" s="171"/>
      <c r="V3917" s="171"/>
      <c r="W3917" s="171"/>
      <c r="X3917" s="171"/>
      <c r="Y3917" s="171"/>
      <c r="Z3917" s="171"/>
      <c r="AA3917" s="171"/>
    </row>
    <row r="3918" spans="1:27" s="530" customFormat="1" ht="25.5" hidden="1" x14ac:dyDescent="0.2">
      <c r="A3918" s="526"/>
      <c r="B3918" s="527"/>
      <c r="C3918" s="465"/>
      <c r="D3918" s="464"/>
      <c r="E3918" s="464"/>
      <c r="F3918" s="494">
        <v>453</v>
      </c>
      <c r="G3918" s="495" t="s">
        <v>4188</v>
      </c>
      <c r="H3918" s="397"/>
      <c r="I3918" s="397"/>
      <c r="J3918" s="750" t="e">
        <f t="shared" si="45"/>
        <v>#DIV/0!</v>
      </c>
      <c r="K3918" s="398"/>
      <c r="L3918" s="398"/>
      <c r="M3918" s="682"/>
      <c r="N3918" s="171"/>
      <c r="O3918" s="171"/>
      <c r="P3918" s="169"/>
      <c r="Q3918" s="171"/>
      <c r="R3918" s="171"/>
      <c r="S3918" s="171"/>
      <c r="T3918" s="171"/>
      <c r="U3918" s="171"/>
      <c r="V3918" s="171"/>
      <c r="W3918" s="171"/>
      <c r="X3918" s="171"/>
      <c r="Y3918" s="171"/>
      <c r="Z3918" s="171"/>
      <c r="AA3918" s="171"/>
    </row>
    <row r="3919" spans="1:27" s="530" customFormat="1" hidden="1" x14ac:dyDescent="0.2">
      <c r="A3919" s="526"/>
      <c r="B3919" s="527"/>
      <c r="C3919" s="465"/>
      <c r="D3919" s="464"/>
      <c r="E3919" s="464"/>
      <c r="F3919" s="494">
        <v>454</v>
      </c>
      <c r="G3919" s="495" t="s">
        <v>3803</v>
      </c>
      <c r="H3919" s="397"/>
      <c r="I3919" s="397"/>
      <c r="J3919" s="750" t="e">
        <f t="shared" si="45"/>
        <v>#DIV/0!</v>
      </c>
      <c r="K3919" s="398"/>
      <c r="L3919" s="398"/>
      <c r="M3919" s="682"/>
      <c r="N3919" s="171"/>
      <c r="O3919" s="171"/>
      <c r="P3919" s="169"/>
      <c r="Q3919" s="171"/>
      <c r="R3919" s="171"/>
      <c r="S3919" s="171"/>
      <c r="T3919" s="171"/>
      <c r="U3919" s="171"/>
      <c r="V3919" s="171"/>
      <c r="W3919" s="171"/>
      <c r="X3919" s="171"/>
      <c r="Y3919" s="171"/>
      <c r="Z3919" s="171"/>
      <c r="AA3919" s="171"/>
    </row>
    <row r="3920" spans="1:27" s="530" customFormat="1" hidden="1" x14ac:dyDescent="0.2">
      <c r="A3920" s="526"/>
      <c r="B3920" s="527"/>
      <c r="C3920" s="465"/>
      <c r="D3920" s="464"/>
      <c r="E3920" s="464"/>
      <c r="F3920" s="494">
        <v>461</v>
      </c>
      <c r="G3920" s="495" t="s">
        <v>4169</v>
      </c>
      <c r="H3920" s="397"/>
      <c r="I3920" s="397"/>
      <c r="J3920" s="750" t="e">
        <f t="shared" si="45"/>
        <v>#DIV/0!</v>
      </c>
      <c r="K3920" s="398"/>
      <c r="L3920" s="398"/>
      <c r="M3920" s="682"/>
      <c r="N3920" s="171"/>
      <c r="O3920" s="171"/>
      <c r="P3920" s="169"/>
      <c r="Q3920" s="171"/>
      <c r="R3920" s="171"/>
      <c r="S3920" s="171"/>
      <c r="T3920" s="171"/>
      <c r="U3920" s="171"/>
      <c r="V3920" s="171"/>
      <c r="W3920" s="171"/>
      <c r="X3920" s="171"/>
      <c r="Y3920" s="171"/>
      <c r="Z3920" s="171"/>
      <c r="AA3920" s="171"/>
    </row>
    <row r="3921" spans="1:27" s="530" customFormat="1" ht="25.5" hidden="1" x14ac:dyDescent="0.2">
      <c r="A3921" s="526"/>
      <c r="B3921" s="527"/>
      <c r="C3921" s="465"/>
      <c r="D3921" s="464"/>
      <c r="E3921" s="464"/>
      <c r="F3921" s="494">
        <v>462</v>
      </c>
      <c r="G3921" s="495" t="s">
        <v>3806</v>
      </c>
      <c r="H3921" s="397"/>
      <c r="I3921" s="397"/>
      <c r="J3921" s="750" t="e">
        <f t="shared" si="45"/>
        <v>#DIV/0!</v>
      </c>
      <c r="K3921" s="398"/>
      <c r="L3921" s="398"/>
      <c r="M3921" s="682"/>
      <c r="N3921" s="171"/>
      <c r="O3921" s="171"/>
      <c r="P3921" s="169"/>
      <c r="Q3921" s="171"/>
      <c r="R3921" s="171"/>
      <c r="S3921" s="171"/>
      <c r="T3921" s="171"/>
      <c r="U3921" s="171"/>
      <c r="V3921" s="171"/>
      <c r="W3921" s="171"/>
      <c r="X3921" s="171"/>
      <c r="Y3921" s="171"/>
      <c r="Z3921" s="171"/>
      <c r="AA3921" s="171"/>
    </row>
    <row r="3922" spans="1:27" s="530" customFormat="1" hidden="1" x14ac:dyDescent="0.2">
      <c r="A3922" s="526"/>
      <c r="B3922" s="527"/>
      <c r="C3922" s="465"/>
      <c r="D3922" s="464"/>
      <c r="E3922" s="464"/>
      <c r="F3922" s="494">
        <v>4631</v>
      </c>
      <c r="G3922" s="495" t="s">
        <v>3807</v>
      </c>
      <c r="H3922" s="397"/>
      <c r="I3922" s="397"/>
      <c r="J3922" s="750" t="e">
        <f t="shared" si="45"/>
        <v>#DIV/0!</v>
      </c>
      <c r="K3922" s="398"/>
      <c r="L3922" s="398"/>
      <c r="M3922" s="682"/>
      <c r="N3922" s="171"/>
      <c r="O3922" s="171"/>
      <c r="P3922" s="169"/>
      <c r="Q3922" s="171"/>
      <c r="R3922" s="171"/>
      <c r="S3922" s="171"/>
      <c r="T3922" s="171"/>
      <c r="U3922" s="171"/>
      <c r="V3922" s="171"/>
      <c r="W3922" s="171"/>
      <c r="X3922" s="171"/>
      <c r="Y3922" s="171"/>
      <c r="Z3922" s="171"/>
      <c r="AA3922" s="171"/>
    </row>
    <row r="3923" spans="1:27" s="530" customFormat="1" hidden="1" x14ac:dyDescent="0.2">
      <c r="A3923" s="526"/>
      <c r="B3923" s="527"/>
      <c r="C3923" s="465"/>
      <c r="D3923" s="464"/>
      <c r="E3923" s="464"/>
      <c r="F3923" s="494">
        <v>4632</v>
      </c>
      <c r="G3923" s="495" t="s">
        <v>3808</v>
      </c>
      <c r="H3923" s="397"/>
      <c r="I3923" s="397"/>
      <c r="J3923" s="750" t="e">
        <f t="shared" si="45"/>
        <v>#DIV/0!</v>
      </c>
      <c r="K3923" s="398"/>
      <c r="L3923" s="398"/>
      <c r="M3923" s="682"/>
      <c r="N3923" s="171"/>
      <c r="O3923" s="171"/>
      <c r="P3923" s="169"/>
      <c r="Q3923" s="171"/>
      <c r="R3923" s="171"/>
      <c r="S3923" s="171"/>
      <c r="T3923" s="171"/>
      <c r="U3923" s="171"/>
      <c r="V3923" s="171"/>
      <c r="W3923" s="171"/>
      <c r="X3923" s="171"/>
      <c r="Y3923" s="171"/>
      <c r="Z3923" s="171"/>
      <c r="AA3923" s="171"/>
    </row>
    <row r="3924" spans="1:27" s="530" customFormat="1" ht="25.5" hidden="1" x14ac:dyDescent="0.2">
      <c r="A3924" s="526"/>
      <c r="B3924" s="527"/>
      <c r="C3924" s="465"/>
      <c r="D3924" s="464"/>
      <c r="E3924" s="464"/>
      <c r="F3924" s="494">
        <v>464</v>
      </c>
      <c r="G3924" s="495" t="s">
        <v>3809</v>
      </c>
      <c r="H3924" s="397"/>
      <c r="I3924" s="397"/>
      <c r="J3924" s="750" t="e">
        <f t="shared" si="45"/>
        <v>#DIV/0!</v>
      </c>
      <c r="K3924" s="398"/>
      <c r="L3924" s="398"/>
      <c r="M3924" s="682"/>
      <c r="N3924" s="171"/>
      <c r="O3924" s="171"/>
      <c r="P3924" s="169"/>
      <c r="Q3924" s="171"/>
      <c r="R3924" s="171"/>
      <c r="S3924" s="171"/>
      <c r="T3924" s="171"/>
      <c r="U3924" s="171"/>
      <c r="V3924" s="171"/>
      <c r="W3924" s="171"/>
      <c r="X3924" s="171"/>
      <c r="Y3924" s="171"/>
      <c r="Z3924" s="171"/>
      <c r="AA3924" s="171"/>
    </row>
    <row r="3925" spans="1:27" s="530" customFormat="1" hidden="1" x14ac:dyDescent="0.2">
      <c r="A3925" s="526"/>
      <c r="B3925" s="527"/>
      <c r="C3925" s="465"/>
      <c r="D3925" s="464"/>
      <c r="E3925" s="464"/>
      <c r="F3925" s="494">
        <v>465</v>
      </c>
      <c r="G3925" s="495" t="s">
        <v>4170</v>
      </c>
      <c r="H3925" s="397"/>
      <c r="I3925" s="397"/>
      <c r="J3925" s="750" t="e">
        <f t="shared" si="45"/>
        <v>#DIV/0!</v>
      </c>
      <c r="K3925" s="398"/>
      <c r="L3925" s="398"/>
      <c r="M3925" s="682"/>
      <c r="N3925" s="171"/>
      <c r="O3925" s="171"/>
      <c r="P3925" s="169"/>
      <c r="Q3925" s="171"/>
      <c r="R3925" s="171"/>
      <c r="S3925" s="171"/>
      <c r="T3925" s="171"/>
      <c r="U3925" s="171"/>
      <c r="V3925" s="171"/>
      <c r="W3925" s="171"/>
      <c r="X3925" s="171"/>
      <c r="Y3925" s="171"/>
      <c r="Z3925" s="171"/>
      <c r="AA3925" s="171"/>
    </row>
    <row r="3926" spans="1:27" s="530" customFormat="1" hidden="1" x14ac:dyDescent="0.2">
      <c r="A3926" s="526"/>
      <c r="B3926" s="527"/>
      <c r="C3926" s="465"/>
      <c r="D3926" s="464"/>
      <c r="E3926" s="464"/>
      <c r="F3926" s="494">
        <v>472</v>
      </c>
      <c r="G3926" s="495" t="s">
        <v>3813</v>
      </c>
      <c r="H3926" s="397"/>
      <c r="I3926" s="397"/>
      <c r="J3926" s="750" t="e">
        <f t="shared" si="45"/>
        <v>#DIV/0!</v>
      </c>
      <c r="K3926" s="398"/>
      <c r="L3926" s="398"/>
      <c r="M3926" s="682"/>
      <c r="N3926" s="171"/>
      <c r="O3926" s="171"/>
      <c r="P3926" s="169"/>
      <c r="Q3926" s="171"/>
      <c r="R3926" s="171"/>
      <c r="S3926" s="171"/>
      <c r="T3926" s="171"/>
      <c r="U3926" s="171"/>
      <c r="V3926" s="171"/>
      <c r="W3926" s="171"/>
      <c r="X3926" s="171"/>
      <c r="Y3926" s="171"/>
      <c r="Z3926" s="171"/>
      <c r="AA3926" s="171"/>
    </row>
    <row r="3927" spans="1:27" s="530" customFormat="1" hidden="1" x14ac:dyDescent="0.2">
      <c r="A3927" s="526"/>
      <c r="B3927" s="527"/>
      <c r="C3927" s="465"/>
      <c r="D3927" s="464"/>
      <c r="E3927" s="464"/>
      <c r="F3927" s="494">
        <v>481</v>
      </c>
      <c r="G3927" s="495" t="s">
        <v>4189</v>
      </c>
      <c r="H3927" s="397"/>
      <c r="I3927" s="397"/>
      <c r="J3927" s="750" t="e">
        <f t="shared" si="45"/>
        <v>#DIV/0!</v>
      </c>
      <c r="K3927" s="398"/>
      <c r="L3927" s="398"/>
      <c r="M3927" s="682"/>
      <c r="N3927" s="171"/>
      <c r="O3927" s="171"/>
      <c r="P3927" s="169"/>
      <c r="Q3927" s="171"/>
      <c r="R3927" s="171"/>
      <c r="S3927" s="171"/>
      <c r="T3927" s="171"/>
      <c r="U3927" s="171"/>
      <c r="V3927" s="171"/>
      <c r="W3927" s="171"/>
      <c r="X3927" s="171"/>
      <c r="Y3927" s="171"/>
      <c r="Z3927" s="171"/>
      <c r="AA3927" s="171"/>
    </row>
    <row r="3928" spans="1:27" s="530" customFormat="1" hidden="1" x14ac:dyDescent="0.2">
      <c r="A3928" s="526"/>
      <c r="B3928" s="527"/>
      <c r="C3928" s="465"/>
      <c r="D3928" s="464"/>
      <c r="E3928" s="464"/>
      <c r="F3928" s="494">
        <v>482</v>
      </c>
      <c r="G3928" s="495" t="s">
        <v>4190</v>
      </c>
      <c r="H3928" s="397"/>
      <c r="I3928" s="397"/>
      <c r="J3928" s="750" t="e">
        <f t="shared" si="45"/>
        <v>#DIV/0!</v>
      </c>
      <c r="K3928" s="398"/>
      <c r="L3928" s="398"/>
      <c r="M3928" s="682"/>
      <c r="N3928" s="171"/>
      <c r="O3928" s="171"/>
      <c r="P3928" s="169"/>
      <c r="Q3928" s="171"/>
      <c r="R3928" s="171"/>
      <c r="S3928" s="171"/>
      <c r="T3928" s="171"/>
      <c r="U3928" s="171"/>
      <c r="V3928" s="171"/>
      <c r="W3928" s="171"/>
      <c r="X3928" s="171"/>
      <c r="Y3928" s="171"/>
      <c r="Z3928" s="171"/>
      <c r="AA3928" s="171"/>
    </row>
    <row r="3929" spans="1:27" s="530" customFormat="1" hidden="1" x14ac:dyDescent="0.2">
      <c r="A3929" s="526"/>
      <c r="B3929" s="527"/>
      <c r="C3929" s="465"/>
      <c r="D3929" s="464"/>
      <c r="E3929" s="464"/>
      <c r="F3929" s="494">
        <v>483</v>
      </c>
      <c r="G3929" s="497" t="s">
        <v>4191</v>
      </c>
      <c r="H3929" s="397"/>
      <c r="I3929" s="397"/>
      <c r="J3929" s="750" t="e">
        <f t="shared" si="45"/>
        <v>#DIV/0!</v>
      </c>
      <c r="K3929" s="398"/>
      <c r="L3929" s="398"/>
      <c r="M3929" s="682"/>
      <c r="N3929" s="171"/>
      <c r="O3929" s="171"/>
      <c r="P3929" s="169"/>
      <c r="Q3929" s="171"/>
      <c r="R3929" s="171"/>
      <c r="S3929" s="171"/>
      <c r="T3929" s="171"/>
      <c r="U3929" s="171"/>
      <c r="V3929" s="171"/>
      <c r="W3929" s="171"/>
      <c r="X3929" s="171"/>
      <c r="Y3929" s="171"/>
      <c r="Z3929" s="171"/>
      <c r="AA3929" s="171"/>
    </row>
    <row r="3930" spans="1:27" s="530" customFormat="1" ht="38.25" hidden="1" x14ac:dyDescent="0.2">
      <c r="A3930" s="526"/>
      <c r="B3930" s="527"/>
      <c r="C3930" s="465"/>
      <c r="D3930" s="464"/>
      <c r="E3930" s="464"/>
      <c r="F3930" s="494">
        <v>484</v>
      </c>
      <c r="G3930" s="495" t="s">
        <v>4192</v>
      </c>
      <c r="H3930" s="397"/>
      <c r="I3930" s="397"/>
      <c r="J3930" s="750" t="e">
        <f t="shared" si="45"/>
        <v>#DIV/0!</v>
      </c>
      <c r="K3930" s="398"/>
      <c r="L3930" s="398"/>
      <c r="M3930" s="682"/>
      <c r="N3930" s="171"/>
      <c r="O3930" s="171"/>
      <c r="P3930" s="169"/>
      <c r="Q3930" s="171"/>
      <c r="R3930" s="171"/>
      <c r="S3930" s="171"/>
      <c r="T3930" s="171"/>
      <c r="U3930" s="171"/>
      <c r="V3930" s="171"/>
      <c r="W3930" s="171"/>
      <c r="X3930" s="171"/>
      <c r="Y3930" s="171"/>
      <c r="Z3930" s="171"/>
      <c r="AA3930" s="171"/>
    </row>
    <row r="3931" spans="1:27" s="530" customFormat="1" ht="25.5" hidden="1" x14ac:dyDescent="0.2">
      <c r="A3931" s="526"/>
      <c r="B3931" s="527"/>
      <c r="C3931" s="465"/>
      <c r="D3931" s="464"/>
      <c r="E3931" s="464"/>
      <c r="F3931" s="494">
        <v>485</v>
      </c>
      <c r="G3931" s="495" t="s">
        <v>4193</v>
      </c>
      <c r="H3931" s="397"/>
      <c r="I3931" s="397"/>
      <c r="J3931" s="750" t="e">
        <f t="shared" si="45"/>
        <v>#DIV/0!</v>
      </c>
      <c r="K3931" s="398"/>
      <c r="L3931" s="398"/>
      <c r="M3931" s="682"/>
      <c r="N3931" s="171"/>
      <c r="O3931" s="171"/>
      <c r="P3931" s="169"/>
      <c r="Q3931" s="171"/>
      <c r="R3931" s="171"/>
      <c r="S3931" s="171"/>
      <c r="T3931" s="171"/>
      <c r="U3931" s="171"/>
      <c r="V3931" s="171"/>
      <c r="W3931" s="171"/>
      <c r="X3931" s="171"/>
      <c r="Y3931" s="171"/>
      <c r="Z3931" s="171"/>
      <c r="AA3931" s="171"/>
    </row>
    <row r="3932" spans="1:27" s="530" customFormat="1" ht="25.5" hidden="1" x14ac:dyDescent="0.2">
      <c r="A3932" s="526"/>
      <c r="B3932" s="527"/>
      <c r="C3932" s="465"/>
      <c r="D3932" s="464"/>
      <c r="E3932" s="464"/>
      <c r="F3932" s="494">
        <v>489</v>
      </c>
      <c r="G3932" s="495" t="s">
        <v>3821</v>
      </c>
      <c r="H3932" s="397"/>
      <c r="I3932" s="397"/>
      <c r="J3932" s="750" t="e">
        <f t="shared" si="45"/>
        <v>#DIV/0!</v>
      </c>
      <c r="K3932" s="398"/>
      <c r="L3932" s="398"/>
      <c r="M3932" s="682"/>
      <c r="N3932" s="171"/>
      <c r="O3932" s="171"/>
      <c r="P3932" s="169"/>
      <c r="Q3932" s="171"/>
      <c r="R3932" s="171"/>
      <c r="S3932" s="171"/>
      <c r="T3932" s="171"/>
      <c r="U3932" s="171"/>
      <c r="V3932" s="171"/>
      <c r="W3932" s="171"/>
      <c r="X3932" s="171"/>
      <c r="Y3932" s="171"/>
      <c r="Z3932" s="171"/>
      <c r="AA3932" s="171"/>
    </row>
    <row r="3933" spans="1:27" s="530" customFormat="1" ht="25.5" hidden="1" x14ac:dyDescent="0.2">
      <c r="A3933" s="526"/>
      <c r="B3933" s="527"/>
      <c r="C3933" s="465"/>
      <c r="D3933" s="464"/>
      <c r="E3933" s="464"/>
      <c r="F3933" s="494">
        <v>494</v>
      </c>
      <c r="G3933" s="495" t="s">
        <v>4171</v>
      </c>
      <c r="H3933" s="397"/>
      <c r="I3933" s="397"/>
      <c r="J3933" s="750" t="e">
        <f t="shared" si="45"/>
        <v>#DIV/0!</v>
      </c>
      <c r="K3933" s="398"/>
      <c r="L3933" s="398"/>
      <c r="M3933" s="682"/>
      <c r="N3933" s="171"/>
      <c r="O3933" s="171"/>
      <c r="P3933" s="169"/>
      <c r="Q3933" s="171"/>
      <c r="R3933" s="171"/>
      <c r="S3933" s="171"/>
      <c r="T3933" s="171"/>
      <c r="U3933" s="171"/>
      <c r="V3933" s="171"/>
      <c r="W3933" s="171"/>
      <c r="X3933" s="171"/>
      <c r="Y3933" s="171"/>
      <c r="Z3933" s="171"/>
      <c r="AA3933" s="171"/>
    </row>
    <row r="3934" spans="1:27" s="530" customFormat="1" ht="25.5" hidden="1" x14ac:dyDescent="0.2">
      <c r="A3934" s="526"/>
      <c r="B3934" s="527"/>
      <c r="C3934" s="465"/>
      <c r="D3934" s="464"/>
      <c r="E3934" s="464"/>
      <c r="F3934" s="494">
        <v>495</v>
      </c>
      <c r="G3934" s="495" t="s">
        <v>4172</v>
      </c>
      <c r="H3934" s="397"/>
      <c r="I3934" s="397"/>
      <c r="J3934" s="750" t="e">
        <f t="shared" si="45"/>
        <v>#DIV/0!</v>
      </c>
      <c r="K3934" s="398"/>
      <c r="L3934" s="398"/>
      <c r="M3934" s="682"/>
      <c r="N3934" s="171"/>
      <c r="O3934" s="171"/>
      <c r="P3934" s="169"/>
      <c r="Q3934" s="171"/>
      <c r="R3934" s="171"/>
      <c r="S3934" s="171"/>
      <c r="T3934" s="171"/>
      <c r="U3934" s="171"/>
      <c r="V3934" s="171"/>
      <c r="W3934" s="171"/>
      <c r="X3934" s="171"/>
      <c r="Y3934" s="171"/>
      <c r="Z3934" s="171"/>
      <c r="AA3934" s="171"/>
    </row>
    <row r="3935" spans="1:27" s="530" customFormat="1" ht="38.25" hidden="1" x14ac:dyDescent="0.2">
      <c r="A3935" s="526"/>
      <c r="B3935" s="527"/>
      <c r="C3935" s="465"/>
      <c r="D3935" s="464"/>
      <c r="E3935" s="464"/>
      <c r="F3935" s="494">
        <v>496</v>
      </c>
      <c r="G3935" s="495" t="s">
        <v>4173</v>
      </c>
      <c r="H3935" s="397"/>
      <c r="I3935" s="397"/>
      <c r="J3935" s="750" t="e">
        <f t="shared" si="45"/>
        <v>#DIV/0!</v>
      </c>
      <c r="K3935" s="398"/>
      <c r="L3935" s="398"/>
      <c r="M3935" s="682"/>
      <c r="N3935" s="171"/>
      <c r="O3935" s="171"/>
      <c r="P3935" s="169"/>
      <c r="Q3935" s="171"/>
      <c r="R3935" s="171"/>
      <c r="S3935" s="171"/>
      <c r="T3935" s="171"/>
      <c r="U3935" s="171"/>
      <c r="V3935" s="171"/>
      <c r="W3935" s="171"/>
      <c r="X3935" s="171"/>
      <c r="Y3935" s="171"/>
      <c r="Z3935" s="171"/>
      <c r="AA3935" s="171"/>
    </row>
    <row r="3936" spans="1:27" s="530" customFormat="1" ht="25.5" hidden="1" x14ac:dyDescent="0.2">
      <c r="A3936" s="526"/>
      <c r="B3936" s="527"/>
      <c r="C3936" s="465"/>
      <c r="D3936" s="464"/>
      <c r="E3936" s="464"/>
      <c r="F3936" s="494">
        <v>499</v>
      </c>
      <c r="G3936" s="495" t="s">
        <v>4174</v>
      </c>
      <c r="H3936" s="397"/>
      <c r="I3936" s="397"/>
      <c r="J3936" s="750" t="e">
        <f t="shared" si="45"/>
        <v>#DIV/0!</v>
      </c>
      <c r="K3936" s="398"/>
      <c r="L3936" s="398"/>
      <c r="M3936" s="682"/>
      <c r="N3936" s="171"/>
      <c r="O3936" s="171"/>
      <c r="P3936" s="169"/>
      <c r="Q3936" s="171"/>
      <c r="R3936" s="171"/>
      <c r="S3936" s="171"/>
      <c r="T3936" s="171"/>
      <c r="U3936" s="171"/>
      <c r="V3936" s="171"/>
      <c r="W3936" s="171"/>
      <c r="X3936" s="171"/>
      <c r="Y3936" s="171"/>
      <c r="Z3936" s="171"/>
      <c r="AA3936" s="171"/>
    </row>
    <row r="3937" spans="1:27" s="530" customFormat="1" ht="13.5" thickBot="1" x14ac:dyDescent="0.25">
      <c r="A3937" s="526"/>
      <c r="B3937" s="527"/>
      <c r="C3937" s="465"/>
      <c r="D3937" s="464"/>
      <c r="E3937" s="464">
        <v>46</v>
      </c>
      <c r="F3937" s="494">
        <v>511</v>
      </c>
      <c r="G3937" s="497" t="s">
        <v>4194</v>
      </c>
      <c r="H3937" s="397">
        <v>11000000</v>
      </c>
      <c r="I3937" s="397">
        <v>7444176.6600000001</v>
      </c>
      <c r="J3937" s="750">
        <f t="shared" si="45"/>
        <v>67.674333272727267</v>
      </c>
      <c r="K3937" s="398"/>
      <c r="L3937" s="398"/>
      <c r="M3937" s="682"/>
      <c r="N3937" s="171"/>
      <c r="O3937" s="171"/>
      <c r="P3937" s="169"/>
      <c r="Q3937" s="171"/>
      <c r="R3937" s="171"/>
      <c r="S3937" s="171"/>
      <c r="T3937" s="171"/>
      <c r="U3937" s="171"/>
      <c r="V3937" s="171"/>
      <c r="W3937" s="171"/>
      <c r="X3937" s="171"/>
      <c r="Y3937" s="171"/>
      <c r="Z3937" s="171"/>
      <c r="AA3937" s="171"/>
    </row>
    <row r="3938" spans="1:27" s="530" customFormat="1" ht="13.5" hidden="1" thickBot="1" x14ac:dyDescent="0.25">
      <c r="A3938" s="526"/>
      <c r="B3938" s="527"/>
      <c r="C3938" s="465"/>
      <c r="D3938" s="464"/>
      <c r="E3938" s="464"/>
      <c r="F3938" s="494">
        <v>512</v>
      </c>
      <c r="G3938" s="497" t="s">
        <v>4195</v>
      </c>
      <c r="H3938" s="397"/>
      <c r="I3938" s="397"/>
      <c r="J3938" s="750" t="e">
        <f t="shared" si="45"/>
        <v>#DIV/0!</v>
      </c>
      <c r="K3938" s="398"/>
      <c r="L3938" s="398"/>
      <c r="M3938" s="682"/>
      <c r="N3938" s="171"/>
      <c r="O3938" s="171"/>
      <c r="P3938" s="169"/>
      <c r="Q3938" s="171"/>
      <c r="R3938" s="171"/>
      <c r="S3938" s="171"/>
      <c r="T3938" s="171"/>
      <c r="U3938" s="171"/>
      <c r="V3938" s="171"/>
      <c r="W3938" s="171"/>
      <c r="X3938" s="171"/>
      <c r="Y3938" s="171"/>
      <c r="Z3938" s="171"/>
      <c r="AA3938" s="171"/>
    </row>
    <row r="3939" spans="1:27" s="530" customFormat="1" ht="13.5" hidden="1" thickBot="1" x14ac:dyDescent="0.25">
      <c r="A3939" s="526"/>
      <c r="B3939" s="527"/>
      <c r="C3939" s="465"/>
      <c r="D3939" s="464"/>
      <c r="E3939" s="464"/>
      <c r="F3939" s="494">
        <v>513</v>
      </c>
      <c r="G3939" s="497" t="s">
        <v>4196</v>
      </c>
      <c r="H3939" s="397"/>
      <c r="I3939" s="397"/>
      <c r="J3939" s="750" t="e">
        <f t="shared" si="45"/>
        <v>#DIV/0!</v>
      </c>
      <c r="K3939" s="398"/>
      <c r="L3939" s="398"/>
      <c r="M3939" s="682"/>
      <c r="N3939" s="171"/>
      <c r="O3939" s="171"/>
      <c r="P3939" s="169"/>
      <c r="Q3939" s="171"/>
      <c r="R3939" s="171"/>
      <c r="S3939" s="171"/>
      <c r="T3939" s="171"/>
      <c r="U3939" s="171"/>
      <c r="V3939" s="171"/>
      <c r="W3939" s="171"/>
      <c r="X3939" s="171"/>
      <c r="Y3939" s="171"/>
      <c r="Z3939" s="171"/>
      <c r="AA3939" s="171"/>
    </row>
    <row r="3940" spans="1:27" s="530" customFormat="1" ht="13.5" hidden="1" thickBot="1" x14ac:dyDescent="0.25">
      <c r="A3940" s="526"/>
      <c r="B3940" s="527"/>
      <c r="C3940" s="465"/>
      <c r="D3940" s="464"/>
      <c r="E3940" s="464"/>
      <c r="F3940" s="494">
        <v>514</v>
      </c>
      <c r="G3940" s="495" t="s">
        <v>4197</v>
      </c>
      <c r="H3940" s="397"/>
      <c r="I3940" s="397"/>
      <c r="J3940" s="750" t="e">
        <f t="shared" si="45"/>
        <v>#DIV/0!</v>
      </c>
      <c r="K3940" s="398"/>
      <c r="L3940" s="398"/>
      <c r="M3940" s="682"/>
      <c r="N3940" s="171"/>
      <c r="O3940" s="171"/>
      <c r="P3940" s="169"/>
      <c r="Q3940" s="171"/>
      <c r="R3940" s="171"/>
      <c r="S3940" s="171"/>
      <c r="T3940" s="171"/>
      <c r="U3940" s="171"/>
      <c r="V3940" s="171"/>
      <c r="W3940" s="171"/>
      <c r="X3940" s="171"/>
      <c r="Y3940" s="171"/>
      <c r="Z3940" s="171"/>
      <c r="AA3940" s="171"/>
    </row>
    <row r="3941" spans="1:27" s="530" customFormat="1" ht="13.5" hidden="1" thickBot="1" x14ac:dyDescent="0.25">
      <c r="A3941" s="526"/>
      <c r="B3941" s="527"/>
      <c r="C3941" s="465"/>
      <c r="D3941" s="464"/>
      <c r="E3941" s="464"/>
      <c r="F3941" s="494">
        <v>515</v>
      </c>
      <c r="G3941" s="495" t="s">
        <v>3832</v>
      </c>
      <c r="H3941" s="397"/>
      <c r="I3941" s="397"/>
      <c r="J3941" s="750" t="e">
        <f t="shared" si="45"/>
        <v>#DIV/0!</v>
      </c>
      <c r="K3941" s="398"/>
      <c r="L3941" s="398"/>
      <c r="M3941" s="682"/>
      <c r="N3941" s="171"/>
      <c r="O3941" s="171"/>
      <c r="P3941" s="169"/>
      <c r="Q3941" s="171"/>
      <c r="R3941" s="171"/>
      <c r="S3941" s="171"/>
      <c r="T3941" s="171"/>
      <c r="U3941" s="171"/>
      <c r="V3941" s="171"/>
      <c r="W3941" s="171"/>
      <c r="X3941" s="171"/>
      <c r="Y3941" s="171"/>
      <c r="Z3941" s="171"/>
      <c r="AA3941" s="171"/>
    </row>
    <row r="3942" spans="1:27" s="530" customFormat="1" ht="13.5" hidden="1" thickBot="1" x14ac:dyDescent="0.25">
      <c r="A3942" s="526"/>
      <c r="B3942" s="527"/>
      <c r="C3942" s="465"/>
      <c r="D3942" s="464"/>
      <c r="E3942" s="464"/>
      <c r="F3942" s="494">
        <v>521</v>
      </c>
      <c r="G3942" s="495" t="s">
        <v>4198</v>
      </c>
      <c r="H3942" s="397"/>
      <c r="I3942" s="397"/>
      <c r="J3942" s="750" t="e">
        <f t="shared" si="45"/>
        <v>#DIV/0!</v>
      </c>
      <c r="K3942" s="398"/>
      <c r="L3942" s="398"/>
      <c r="M3942" s="682"/>
      <c r="N3942" s="171"/>
      <c r="O3942" s="171"/>
      <c r="P3942" s="169"/>
      <c r="Q3942" s="171"/>
      <c r="R3942" s="171"/>
      <c r="S3942" s="171"/>
      <c r="T3942" s="171"/>
      <c r="U3942" s="171"/>
      <c r="V3942" s="171"/>
      <c r="W3942" s="171"/>
      <c r="X3942" s="171"/>
      <c r="Y3942" s="171"/>
      <c r="Z3942" s="171"/>
      <c r="AA3942" s="171"/>
    </row>
    <row r="3943" spans="1:27" s="530" customFormat="1" ht="13.5" hidden="1" thickBot="1" x14ac:dyDescent="0.25">
      <c r="A3943" s="526"/>
      <c r="B3943" s="527"/>
      <c r="C3943" s="465"/>
      <c r="D3943" s="464"/>
      <c r="E3943" s="464"/>
      <c r="F3943" s="494">
        <v>522</v>
      </c>
      <c r="G3943" s="495" t="s">
        <v>4199</v>
      </c>
      <c r="H3943" s="397"/>
      <c r="I3943" s="397"/>
      <c r="J3943" s="750" t="e">
        <f t="shared" si="45"/>
        <v>#DIV/0!</v>
      </c>
      <c r="K3943" s="398"/>
      <c r="L3943" s="398"/>
      <c r="M3943" s="682"/>
      <c r="N3943" s="171"/>
      <c r="O3943" s="171"/>
      <c r="P3943" s="169"/>
      <c r="Q3943" s="171"/>
      <c r="R3943" s="171"/>
      <c r="S3943" s="171"/>
      <c r="T3943" s="171"/>
      <c r="U3943" s="171"/>
      <c r="V3943" s="171"/>
      <c r="W3943" s="171"/>
      <c r="X3943" s="171"/>
      <c r="Y3943" s="171"/>
      <c r="Z3943" s="171"/>
      <c r="AA3943" s="171"/>
    </row>
    <row r="3944" spans="1:27" s="530" customFormat="1" ht="13.5" hidden="1" thickBot="1" x14ac:dyDescent="0.25">
      <c r="A3944" s="526"/>
      <c r="B3944" s="527"/>
      <c r="C3944" s="465"/>
      <c r="D3944" s="464"/>
      <c r="E3944" s="464"/>
      <c r="F3944" s="494">
        <v>523</v>
      </c>
      <c r="G3944" s="495" t="s">
        <v>3837</v>
      </c>
      <c r="H3944" s="397"/>
      <c r="I3944" s="397"/>
      <c r="J3944" s="750" t="e">
        <f t="shared" si="45"/>
        <v>#DIV/0!</v>
      </c>
      <c r="K3944" s="398"/>
      <c r="L3944" s="398"/>
      <c r="M3944" s="682"/>
      <c r="N3944" s="171"/>
      <c r="O3944" s="171"/>
      <c r="P3944" s="169"/>
      <c r="Q3944" s="171"/>
      <c r="R3944" s="171"/>
      <c r="S3944" s="171"/>
      <c r="T3944" s="171"/>
      <c r="U3944" s="171"/>
      <c r="V3944" s="171"/>
      <c r="W3944" s="171"/>
      <c r="X3944" s="171"/>
      <c r="Y3944" s="171"/>
      <c r="Z3944" s="171"/>
      <c r="AA3944" s="171"/>
    </row>
    <row r="3945" spans="1:27" s="530" customFormat="1" ht="13.5" hidden="1" thickBot="1" x14ac:dyDescent="0.25">
      <c r="A3945" s="526"/>
      <c r="B3945" s="527"/>
      <c r="C3945" s="465"/>
      <c r="D3945" s="464"/>
      <c r="E3945" s="464"/>
      <c r="F3945" s="494">
        <v>531</v>
      </c>
      <c r="G3945" s="496" t="s">
        <v>4175</v>
      </c>
      <c r="H3945" s="397"/>
      <c r="I3945" s="397"/>
      <c r="J3945" s="750" t="e">
        <f t="shared" si="45"/>
        <v>#DIV/0!</v>
      </c>
      <c r="K3945" s="398"/>
      <c r="L3945" s="398"/>
      <c r="M3945" s="682"/>
      <c r="N3945" s="171"/>
      <c r="O3945" s="171"/>
      <c r="P3945" s="169"/>
      <c r="Q3945" s="171"/>
      <c r="R3945" s="171"/>
      <c r="S3945" s="171"/>
      <c r="T3945" s="171"/>
      <c r="U3945" s="171"/>
      <c r="V3945" s="171"/>
      <c r="W3945" s="171"/>
      <c r="X3945" s="171"/>
      <c r="Y3945" s="171"/>
      <c r="Z3945" s="171"/>
      <c r="AA3945" s="171"/>
    </row>
    <row r="3946" spans="1:27" s="530" customFormat="1" ht="13.5" hidden="1" thickBot="1" x14ac:dyDescent="0.25">
      <c r="A3946" s="526"/>
      <c r="B3946" s="527"/>
      <c r="C3946" s="465"/>
      <c r="D3946" s="464"/>
      <c r="E3946" s="464"/>
      <c r="F3946" s="494">
        <v>541</v>
      </c>
      <c r="G3946" s="495" t="s">
        <v>4200</v>
      </c>
      <c r="H3946" s="397"/>
      <c r="I3946" s="397"/>
      <c r="J3946" s="750" t="e">
        <f t="shared" si="45"/>
        <v>#DIV/0!</v>
      </c>
      <c r="K3946" s="398"/>
      <c r="L3946" s="398"/>
      <c r="M3946" s="682"/>
      <c r="N3946" s="171"/>
      <c r="O3946" s="171"/>
      <c r="P3946" s="169"/>
      <c r="Q3946" s="171"/>
      <c r="R3946" s="171"/>
      <c r="S3946" s="171"/>
      <c r="T3946" s="171"/>
      <c r="U3946" s="171"/>
      <c r="V3946" s="171"/>
      <c r="W3946" s="171"/>
      <c r="X3946" s="171"/>
      <c r="Y3946" s="171"/>
      <c r="Z3946" s="171"/>
      <c r="AA3946" s="171"/>
    </row>
    <row r="3947" spans="1:27" s="530" customFormat="1" ht="13.5" hidden="1" thickBot="1" x14ac:dyDescent="0.25">
      <c r="A3947" s="526"/>
      <c r="B3947" s="527"/>
      <c r="C3947" s="465"/>
      <c r="D3947" s="464"/>
      <c r="E3947" s="464"/>
      <c r="F3947" s="494">
        <v>542</v>
      </c>
      <c r="G3947" s="495" t="s">
        <v>4201</v>
      </c>
      <c r="H3947" s="397"/>
      <c r="I3947" s="397"/>
      <c r="J3947" s="750" t="e">
        <f t="shared" si="45"/>
        <v>#DIV/0!</v>
      </c>
      <c r="K3947" s="398"/>
      <c r="L3947" s="398"/>
      <c r="M3947" s="682"/>
      <c r="N3947" s="171"/>
      <c r="O3947" s="171"/>
      <c r="P3947" s="169"/>
      <c r="Q3947" s="171"/>
      <c r="R3947" s="171"/>
      <c r="S3947" s="171"/>
      <c r="T3947" s="171"/>
      <c r="U3947" s="171"/>
      <c r="V3947" s="171"/>
      <c r="W3947" s="171"/>
      <c r="X3947" s="171"/>
      <c r="Y3947" s="171"/>
      <c r="Z3947" s="171"/>
      <c r="AA3947" s="171"/>
    </row>
    <row r="3948" spans="1:27" s="530" customFormat="1" ht="13.5" hidden="1" thickBot="1" x14ac:dyDescent="0.25">
      <c r="A3948" s="526"/>
      <c r="B3948" s="527"/>
      <c r="C3948" s="465"/>
      <c r="D3948" s="464"/>
      <c r="E3948" s="464"/>
      <c r="F3948" s="494">
        <v>543</v>
      </c>
      <c r="G3948" s="495" t="s">
        <v>3842</v>
      </c>
      <c r="H3948" s="397"/>
      <c r="I3948" s="397"/>
      <c r="J3948" s="750" t="e">
        <f t="shared" si="45"/>
        <v>#DIV/0!</v>
      </c>
      <c r="K3948" s="398"/>
      <c r="L3948" s="398"/>
      <c r="M3948" s="682"/>
      <c r="N3948" s="171"/>
      <c r="O3948" s="171"/>
      <c r="P3948" s="169"/>
      <c r="Q3948" s="171"/>
      <c r="R3948" s="171"/>
      <c r="S3948" s="171"/>
      <c r="T3948" s="171"/>
      <c r="U3948" s="171"/>
      <c r="V3948" s="171"/>
      <c r="W3948" s="171"/>
      <c r="X3948" s="171"/>
      <c r="Y3948" s="171"/>
      <c r="Z3948" s="171"/>
      <c r="AA3948" s="171"/>
    </row>
    <row r="3949" spans="1:27" s="530" customFormat="1" ht="39" hidden="1" thickBot="1" x14ac:dyDescent="0.25">
      <c r="A3949" s="526"/>
      <c r="B3949" s="527"/>
      <c r="C3949" s="465"/>
      <c r="D3949" s="464"/>
      <c r="E3949" s="464"/>
      <c r="F3949" s="494">
        <v>551</v>
      </c>
      <c r="G3949" s="495" t="s">
        <v>4176</v>
      </c>
      <c r="H3949" s="397"/>
      <c r="I3949" s="397"/>
      <c r="J3949" s="750" t="e">
        <f t="shared" si="45"/>
        <v>#DIV/0!</v>
      </c>
      <c r="K3949" s="398"/>
      <c r="L3949" s="398"/>
      <c r="M3949" s="682"/>
      <c r="N3949" s="171"/>
      <c r="O3949" s="171"/>
      <c r="P3949" s="169"/>
      <c r="Q3949" s="171"/>
      <c r="R3949" s="171"/>
      <c r="S3949" s="171"/>
      <c r="T3949" s="171"/>
      <c r="U3949" s="171"/>
      <c r="V3949" s="171"/>
      <c r="W3949" s="171"/>
      <c r="X3949" s="171"/>
      <c r="Y3949" s="171"/>
      <c r="Z3949" s="171"/>
      <c r="AA3949" s="171"/>
    </row>
    <row r="3950" spans="1:27" s="530" customFormat="1" ht="13.5" hidden="1" thickBot="1" x14ac:dyDescent="0.25">
      <c r="A3950" s="526"/>
      <c r="B3950" s="527"/>
      <c r="C3950" s="465"/>
      <c r="D3950" s="464"/>
      <c r="E3950" s="464"/>
      <c r="F3950" s="498">
        <v>611</v>
      </c>
      <c r="G3950" s="499" t="s">
        <v>3848</v>
      </c>
      <c r="H3950" s="397"/>
      <c r="I3950" s="397"/>
      <c r="J3950" s="750" t="e">
        <f t="shared" si="45"/>
        <v>#DIV/0!</v>
      </c>
      <c r="K3950" s="398"/>
      <c r="L3950" s="398"/>
      <c r="M3950" s="682"/>
      <c r="N3950" s="171"/>
      <c r="O3950" s="171"/>
      <c r="P3950" s="169"/>
      <c r="Q3950" s="171"/>
      <c r="R3950" s="171"/>
      <c r="S3950" s="171"/>
      <c r="T3950" s="171"/>
      <c r="U3950" s="171"/>
      <c r="V3950" s="171"/>
      <c r="W3950" s="171"/>
      <c r="X3950" s="171"/>
      <c r="Y3950" s="171"/>
      <c r="Z3950" s="171"/>
      <c r="AA3950" s="171"/>
    </row>
    <row r="3951" spans="1:27" s="530" customFormat="1" ht="13.5" hidden="1" thickBot="1" x14ac:dyDescent="0.25">
      <c r="A3951" s="526"/>
      <c r="B3951" s="527"/>
      <c r="C3951" s="465"/>
      <c r="D3951" s="464"/>
      <c r="E3951" s="464"/>
      <c r="F3951" s="498">
        <v>620</v>
      </c>
      <c r="G3951" s="499" t="s">
        <v>88</v>
      </c>
      <c r="H3951" s="397"/>
      <c r="I3951" s="397"/>
      <c r="J3951" s="750" t="e">
        <f t="shared" si="45"/>
        <v>#DIV/0!</v>
      </c>
      <c r="K3951" s="398"/>
      <c r="L3951" s="398"/>
      <c r="M3951" s="682"/>
      <c r="N3951" s="171"/>
      <c r="O3951" s="171"/>
      <c r="P3951" s="169"/>
      <c r="Q3951" s="171"/>
      <c r="R3951" s="171"/>
      <c r="S3951" s="171"/>
      <c r="T3951" s="171"/>
      <c r="U3951" s="171"/>
      <c r="V3951" s="171"/>
      <c r="W3951" s="171"/>
      <c r="X3951" s="171"/>
      <c r="Y3951" s="171"/>
      <c r="Z3951" s="171"/>
      <c r="AA3951" s="171"/>
    </row>
    <row r="3952" spans="1:27" s="530" customFormat="1" x14ac:dyDescent="0.2">
      <c r="A3952" s="526"/>
      <c r="B3952" s="527"/>
      <c r="C3952" s="465"/>
      <c r="D3952" s="464"/>
      <c r="E3952" s="500"/>
      <c r="F3952" s="498"/>
      <c r="G3952" s="501" t="s">
        <v>4344</v>
      </c>
      <c r="H3952" s="400"/>
      <c r="I3952" s="400"/>
      <c r="J3952" s="750"/>
      <c r="K3952" s="401"/>
      <c r="L3952" s="402"/>
      <c r="M3952" s="682"/>
      <c r="N3952" s="171"/>
      <c r="O3952" s="171"/>
      <c r="P3952" s="169"/>
      <c r="Q3952" s="171"/>
      <c r="R3952" s="171"/>
      <c r="S3952" s="171"/>
      <c r="T3952" s="171"/>
      <c r="U3952" s="171"/>
      <c r="V3952" s="171"/>
      <c r="W3952" s="171"/>
      <c r="X3952" s="171"/>
      <c r="Y3952" s="171"/>
      <c r="Z3952" s="171"/>
      <c r="AA3952" s="171"/>
    </row>
    <row r="3953" spans="1:27" s="530" customFormat="1" ht="21.75" customHeight="1" x14ac:dyDescent="0.2">
      <c r="A3953" s="526"/>
      <c r="B3953" s="527"/>
      <c r="C3953" s="465"/>
      <c r="D3953" s="464"/>
      <c r="E3953" s="502"/>
      <c r="F3953" s="503" t="s">
        <v>234</v>
      </c>
      <c r="G3953" s="504" t="s">
        <v>235</v>
      </c>
      <c r="H3953" s="403">
        <v>10000000</v>
      </c>
      <c r="I3953" s="403">
        <f>SUM(I3937)</f>
        <v>7444176.6600000001</v>
      </c>
      <c r="J3953" s="750">
        <f t="shared" si="45"/>
        <v>74.441766600000008</v>
      </c>
      <c r="K3953" s="404"/>
      <c r="L3953" s="404"/>
      <c r="M3953" s="682"/>
      <c r="N3953" s="171"/>
      <c r="O3953" s="171"/>
      <c r="P3953" s="169"/>
      <c r="Q3953" s="171"/>
      <c r="R3953" s="171"/>
      <c r="S3953" s="171"/>
      <c r="T3953" s="171"/>
      <c r="U3953" s="171"/>
      <c r="V3953" s="171"/>
      <c r="W3953" s="171"/>
      <c r="X3953" s="171"/>
      <c r="Y3953" s="171"/>
      <c r="Z3953" s="171"/>
      <c r="AA3953" s="171"/>
    </row>
    <row r="3954" spans="1:27" s="530" customFormat="1" hidden="1" x14ac:dyDescent="0.2">
      <c r="A3954" s="526"/>
      <c r="B3954" s="527"/>
      <c r="C3954" s="465"/>
      <c r="D3954" s="464"/>
      <c r="E3954" s="464"/>
      <c r="F3954" s="503" t="s">
        <v>236</v>
      </c>
      <c r="G3954" s="504" t="s">
        <v>237</v>
      </c>
      <c r="H3954" s="397"/>
      <c r="I3954" s="397"/>
      <c r="J3954" s="750" t="e">
        <f t="shared" si="45"/>
        <v>#DIV/0!</v>
      </c>
      <c r="K3954" s="398"/>
      <c r="L3954" s="404"/>
      <c r="M3954" s="682"/>
      <c r="N3954" s="171"/>
      <c r="O3954" s="171"/>
      <c r="P3954" s="169"/>
      <c r="Q3954" s="171"/>
      <c r="R3954" s="171"/>
      <c r="S3954" s="171"/>
      <c r="T3954" s="171"/>
      <c r="U3954" s="171"/>
      <c r="V3954" s="171"/>
      <c r="W3954" s="171"/>
      <c r="X3954" s="171"/>
      <c r="Y3954" s="171"/>
      <c r="Z3954" s="171"/>
      <c r="AA3954" s="171"/>
    </row>
    <row r="3955" spans="1:27" s="530" customFormat="1" hidden="1" x14ac:dyDescent="0.2">
      <c r="A3955" s="526"/>
      <c r="B3955" s="527"/>
      <c r="C3955" s="465"/>
      <c r="D3955" s="464"/>
      <c r="E3955" s="464"/>
      <c r="F3955" s="503" t="s">
        <v>238</v>
      </c>
      <c r="G3955" s="504" t="s">
        <v>239</v>
      </c>
      <c r="H3955" s="397"/>
      <c r="I3955" s="397"/>
      <c r="J3955" s="750" t="e">
        <f t="shared" si="45"/>
        <v>#DIV/0!</v>
      </c>
      <c r="K3955" s="398"/>
      <c r="L3955" s="404"/>
      <c r="M3955" s="682"/>
      <c r="N3955" s="171"/>
      <c r="O3955" s="171"/>
      <c r="P3955" s="169"/>
      <c r="Q3955" s="171"/>
      <c r="R3955" s="171"/>
      <c r="S3955" s="171"/>
      <c r="T3955" s="171"/>
      <c r="U3955" s="171"/>
      <c r="V3955" s="171"/>
      <c r="W3955" s="171"/>
      <c r="X3955" s="171"/>
      <c r="Y3955" s="171"/>
      <c r="Z3955" s="171"/>
      <c r="AA3955" s="171"/>
    </row>
    <row r="3956" spans="1:27" s="530" customFormat="1" hidden="1" x14ac:dyDescent="0.2">
      <c r="A3956" s="526"/>
      <c r="B3956" s="527"/>
      <c r="C3956" s="465"/>
      <c r="D3956" s="464"/>
      <c r="E3956" s="464"/>
      <c r="F3956" s="503" t="s">
        <v>240</v>
      </c>
      <c r="G3956" s="504" t="s">
        <v>241</v>
      </c>
      <c r="H3956" s="397"/>
      <c r="I3956" s="397"/>
      <c r="J3956" s="750" t="e">
        <f t="shared" si="45"/>
        <v>#DIV/0!</v>
      </c>
      <c r="K3956" s="398"/>
      <c r="L3956" s="404"/>
      <c r="M3956" s="682"/>
      <c r="N3956" s="171"/>
      <c r="O3956" s="171"/>
      <c r="P3956" s="169"/>
      <c r="Q3956" s="171"/>
      <c r="R3956" s="171"/>
      <c r="S3956" s="171"/>
      <c r="T3956" s="171"/>
      <c r="U3956" s="171"/>
      <c r="V3956" s="171"/>
      <c r="W3956" s="171"/>
      <c r="X3956" s="171"/>
      <c r="Y3956" s="171"/>
      <c r="Z3956" s="171"/>
      <c r="AA3956" s="171"/>
    </row>
    <row r="3957" spans="1:27" s="530" customFormat="1" hidden="1" x14ac:dyDescent="0.2">
      <c r="A3957" s="526"/>
      <c r="B3957" s="527"/>
      <c r="C3957" s="465"/>
      <c r="D3957" s="464"/>
      <c r="E3957" s="464"/>
      <c r="F3957" s="503" t="s">
        <v>242</v>
      </c>
      <c r="G3957" s="504" t="s">
        <v>243</v>
      </c>
      <c r="H3957" s="397"/>
      <c r="I3957" s="397"/>
      <c r="J3957" s="750" t="e">
        <f t="shared" si="45"/>
        <v>#DIV/0!</v>
      </c>
      <c r="K3957" s="398"/>
      <c r="L3957" s="404"/>
      <c r="M3957" s="682"/>
      <c r="N3957" s="171"/>
      <c r="O3957" s="171"/>
      <c r="P3957" s="169"/>
      <c r="Q3957" s="171"/>
      <c r="R3957" s="171"/>
      <c r="S3957" s="171"/>
      <c r="T3957" s="171"/>
      <c r="U3957" s="171"/>
      <c r="V3957" s="171"/>
      <c r="W3957" s="171"/>
      <c r="X3957" s="171"/>
      <c r="Y3957" s="171"/>
      <c r="Z3957" s="171"/>
      <c r="AA3957" s="171"/>
    </row>
    <row r="3958" spans="1:27" s="530" customFormat="1" hidden="1" x14ac:dyDescent="0.2">
      <c r="A3958" s="526"/>
      <c r="B3958" s="527"/>
      <c r="C3958" s="465"/>
      <c r="D3958" s="464"/>
      <c r="E3958" s="464"/>
      <c r="F3958" s="503" t="s">
        <v>244</v>
      </c>
      <c r="G3958" s="504" t="s">
        <v>245</v>
      </c>
      <c r="H3958" s="397"/>
      <c r="I3958" s="397"/>
      <c r="J3958" s="750" t="e">
        <f t="shared" si="45"/>
        <v>#DIV/0!</v>
      </c>
      <c r="K3958" s="398"/>
      <c r="L3958" s="404"/>
      <c r="M3958" s="682"/>
      <c r="N3958" s="171"/>
      <c r="O3958" s="171"/>
      <c r="P3958" s="169"/>
      <c r="Q3958" s="171"/>
      <c r="R3958" s="171"/>
      <c r="S3958" s="171"/>
      <c r="T3958" s="171"/>
      <c r="U3958" s="171"/>
      <c r="V3958" s="171"/>
      <c r="W3958" s="171"/>
      <c r="X3958" s="171"/>
      <c r="Y3958" s="171"/>
      <c r="Z3958" s="171"/>
      <c r="AA3958" s="171"/>
    </row>
    <row r="3959" spans="1:27" s="530" customFormat="1" ht="14.25" hidden="1" customHeight="1" thickBot="1" x14ac:dyDescent="0.25">
      <c r="A3959" s="526"/>
      <c r="B3959" s="527"/>
      <c r="C3959" s="465"/>
      <c r="D3959" s="464"/>
      <c r="E3959" s="464"/>
      <c r="F3959" s="503" t="s">
        <v>257</v>
      </c>
      <c r="G3959" s="504" t="s">
        <v>258</v>
      </c>
      <c r="H3959" s="397"/>
      <c r="I3959" s="397"/>
      <c r="J3959" s="750" t="e">
        <f t="shared" si="45"/>
        <v>#DIV/0!</v>
      </c>
      <c r="K3959" s="398"/>
      <c r="L3959" s="404"/>
      <c r="M3959" s="682"/>
      <c r="N3959" s="171"/>
      <c r="O3959" s="171"/>
      <c r="P3959" s="169"/>
      <c r="Q3959" s="171"/>
      <c r="R3959" s="171"/>
      <c r="S3959" s="171"/>
      <c r="T3959" s="171"/>
      <c r="U3959" s="171"/>
      <c r="V3959" s="171"/>
      <c r="W3959" s="171"/>
      <c r="X3959" s="171"/>
      <c r="Y3959" s="171"/>
      <c r="Z3959" s="171"/>
      <c r="AA3959" s="171"/>
    </row>
    <row r="3960" spans="1:27" s="530" customFormat="1" ht="25.5" hidden="1" x14ac:dyDescent="0.2">
      <c r="A3960" s="526"/>
      <c r="B3960" s="527"/>
      <c r="C3960" s="465"/>
      <c r="D3960" s="464"/>
      <c r="E3960" s="464"/>
      <c r="F3960" s="503" t="s">
        <v>248</v>
      </c>
      <c r="G3960" s="504" t="s">
        <v>249</v>
      </c>
      <c r="H3960" s="397"/>
      <c r="I3960" s="397"/>
      <c r="J3960" s="750" t="e">
        <f t="shared" si="45"/>
        <v>#DIV/0!</v>
      </c>
      <c r="K3960" s="398"/>
      <c r="L3960" s="404"/>
      <c r="M3960" s="682"/>
      <c r="N3960" s="171"/>
      <c r="O3960" s="171"/>
      <c r="P3960" s="169"/>
      <c r="Q3960" s="171"/>
      <c r="R3960" s="171"/>
      <c r="S3960" s="171"/>
      <c r="T3960" s="171"/>
      <c r="U3960" s="171"/>
      <c r="V3960" s="171"/>
      <c r="W3960" s="171"/>
      <c r="X3960" s="171"/>
      <c r="Y3960" s="171"/>
      <c r="Z3960" s="171"/>
      <c r="AA3960" s="171"/>
    </row>
    <row r="3961" spans="1:27" s="530" customFormat="1" hidden="1" x14ac:dyDescent="0.2">
      <c r="A3961" s="464"/>
      <c r="B3961" s="464"/>
      <c r="C3961" s="465"/>
      <c r="D3961" s="464"/>
      <c r="E3961" s="464"/>
      <c r="F3961" s="503" t="s">
        <v>250</v>
      </c>
      <c r="G3961" s="504" t="s">
        <v>57</v>
      </c>
      <c r="H3961" s="397"/>
      <c r="I3961" s="397"/>
      <c r="J3961" s="750" t="e">
        <f t="shared" si="45"/>
        <v>#DIV/0!</v>
      </c>
      <c r="K3961" s="398"/>
      <c r="L3961" s="404"/>
      <c r="M3961" s="682"/>
      <c r="N3961" s="171"/>
      <c r="O3961" s="171"/>
      <c r="P3961" s="169"/>
      <c r="Q3961" s="171"/>
      <c r="R3961" s="171"/>
      <c r="S3961" s="171"/>
      <c r="T3961" s="171"/>
      <c r="U3961" s="171"/>
      <c r="V3961" s="171"/>
      <c r="W3961" s="171"/>
      <c r="X3961" s="171"/>
      <c r="Y3961" s="171"/>
      <c r="Z3961" s="171"/>
      <c r="AA3961" s="171"/>
    </row>
    <row r="3962" spans="1:27" s="530" customFormat="1" hidden="1" x14ac:dyDescent="0.2">
      <c r="A3962" s="464"/>
      <c r="B3962" s="464"/>
      <c r="C3962" s="465"/>
      <c r="D3962" s="464"/>
      <c r="E3962" s="464"/>
      <c r="F3962" s="503" t="s">
        <v>251</v>
      </c>
      <c r="G3962" s="504" t="s">
        <v>252</v>
      </c>
      <c r="H3962" s="397"/>
      <c r="I3962" s="397"/>
      <c r="J3962" s="750" t="e">
        <f t="shared" si="45"/>
        <v>#DIV/0!</v>
      </c>
      <c r="K3962" s="398"/>
      <c r="L3962" s="404"/>
      <c r="M3962" s="682"/>
      <c r="N3962" s="171"/>
      <c r="O3962" s="171"/>
      <c r="P3962" s="169"/>
      <c r="Q3962" s="171"/>
      <c r="R3962" s="171"/>
      <c r="S3962" s="171"/>
      <c r="T3962" s="171"/>
      <c r="U3962" s="171"/>
      <c r="V3962" s="171"/>
      <c r="W3962" s="171"/>
      <c r="X3962" s="171"/>
      <c r="Y3962" s="171"/>
      <c r="Z3962" s="171"/>
      <c r="AA3962" s="171"/>
    </row>
    <row r="3963" spans="1:27" s="530" customFormat="1" hidden="1" x14ac:dyDescent="0.2">
      <c r="A3963" s="464"/>
      <c r="B3963" s="464"/>
      <c r="C3963" s="465"/>
      <c r="D3963" s="464"/>
      <c r="E3963" s="464"/>
      <c r="F3963" s="503" t="s">
        <v>253</v>
      </c>
      <c r="G3963" s="504" t="s">
        <v>254</v>
      </c>
      <c r="H3963" s="397"/>
      <c r="I3963" s="397"/>
      <c r="J3963" s="750" t="e">
        <f t="shared" si="45"/>
        <v>#DIV/0!</v>
      </c>
      <c r="K3963" s="398"/>
      <c r="L3963" s="404"/>
      <c r="M3963" s="682"/>
      <c r="N3963" s="171"/>
      <c r="O3963" s="171"/>
      <c r="P3963" s="169"/>
      <c r="Q3963" s="171"/>
      <c r="R3963" s="171"/>
      <c r="S3963" s="171"/>
      <c r="T3963" s="171"/>
      <c r="U3963" s="171"/>
      <c r="V3963" s="171"/>
      <c r="W3963" s="171"/>
      <c r="X3963" s="171"/>
      <c r="Y3963" s="171"/>
      <c r="Z3963" s="171"/>
      <c r="AA3963" s="171"/>
    </row>
    <row r="3964" spans="1:27" s="530" customFormat="1" ht="25.5" hidden="1" x14ac:dyDescent="0.2">
      <c r="A3964" s="464"/>
      <c r="B3964" s="464"/>
      <c r="C3964" s="465"/>
      <c r="D3964" s="464"/>
      <c r="E3964" s="464"/>
      <c r="F3964" s="503" t="s">
        <v>255</v>
      </c>
      <c r="G3964" s="504" t="s">
        <v>256</v>
      </c>
      <c r="H3964" s="397"/>
      <c r="I3964" s="397"/>
      <c r="J3964" s="750" t="e">
        <f t="shared" si="45"/>
        <v>#DIV/0!</v>
      </c>
      <c r="K3964" s="398"/>
      <c r="L3964" s="404"/>
      <c r="M3964" s="682"/>
      <c r="N3964" s="171"/>
      <c r="O3964" s="171"/>
      <c r="P3964" s="169"/>
      <c r="Q3964" s="171"/>
      <c r="R3964" s="171"/>
      <c r="S3964" s="171"/>
      <c r="T3964" s="171"/>
      <c r="U3964" s="171"/>
      <c r="V3964" s="171"/>
      <c r="W3964" s="171"/>
      <c r="X3964" s="171"/>
      <c r="Y3964" s="171"/>
      <c r="Z3964" s="171"/>
      <c r="AA3964" s="171"/>
    </row>
    <row r="3965" spans="1:27" s="530" customFormat="1" ht="25.5" hidden="1" x14ac:dyDescent="0.2">
      <c r="A3965" s="464"/>
      <c r="B3965" s="464"/>
      <c r="C3965" s="465"/>
      <c r="D3965" s="464"/>
      <c r="E3965" s="464"/>
      <c r="F3965" s="503" t="s">
        <v>257</v>
      </c>
      <c r="G3965" s="504" t="s">
        <v>258</v>
      </c>
      <c r="H3965" s="397"/>
      <c r="I3965" s="397"/>
      <c r="J3965" s="750" t="e">
        <f t="shared" si="45"/>
        <v>#DIV/0!</v>
      </c>
      <c r="K3965" s="398"/>
      <c r="L3965" s="404"/>
      <c r="M3965" s="682"/>
      <c r="N3965" s="171"/>
      <c r="O3965" s="171"/>
      <c r="P3965" s="169"/>
      <c r="Q3965" s="171"/>
      <c r="R3965" s="171"/>
      <c r="S3965" s="171"/>
      <c r="T3965" s="171"/>
      <c r="U3965" s="171"/>
      <c r="V3965" s="171"/>
      <c r="W3965" s="171"/>
      <c r="X3965" s="171"/>
      <c r="Y3965" s="171"/>
      <c r="Z3965" s="171"/>
      <c r="AA3965" s="171"/>
    </row>
    <row r="3966" spans="1:27" s="530" customFormat="1" ht="25.5" hidden="1" x14ac:dyDescent="0.2">
      <c r="A3966" s="464"/>
      <c r="B3966" s="464"/>
      <c r="C3966" s="465"/>
      <c r="D3966" s="464"/>
      <c r="E3966" s="464"/>
      <c r="F3966" s="503" t="s">
        <v>259</v>
      </c>
      <c r="G3966" s="504" t="s">
        <v>260</v>
      </c>
      <c r="H3966" s="397"/>
      <c r="I3966" s="397"/>
      <c r="J3966" s="750" t="e">
        <f t="shared" si="45"/>
        <v>#DIV/0!</v>
      </c>
      <c r="K3966" s="398"/>
      <c r="L3966" s="404"/>
      <c r="M3966" s="682"/>
      <c r="N3966" s="171"/>
      <c r="O3966" s="171"/>
      <c r="P3966" s="169"/>
      <c r="Q3966" s="171"/>
      <c r="R3966" s="171"/>
      <c r="S3966" s="171"/>
      <c r="T3966" s="171"/>
      <c r="U3966" s="171"/>
      <c r="V3966" s="171"/>
      <c r="W3966" s="171"/>
      <c r="X3966" s="171"/>
      <c r="Y3966" s="171"/>
      <c r="Z3966" s="171"/>
      <c r="AA3966" s="171"/>
    </row>
    <row r="3967" spans="1:27" s="530" customFormat="1" ht="25.5" hidden="1" x14ac:dyDescent="0.2">
      <c r="A3967" s="464"/>
      <c r="B3967" s="464"/>
      <c r="C3967" s="465"/>
      <c r="D3967" s="464"/>
      <c r="E3967" s="464"/>
      <c r="F3967" s="503" t="s">
        <v>261</v>
      </c>
      <c r="G3967" s="504" t="s">
        <v>262</v>
      </c>
      <c r="H3967" s="397"/>
      <c r="I3967" s="397"/>
      <c r="J3967" s="750" t="e">
        <f t="shared" si="45"/>
        <v>#DIV/0!</v>
      </c>
      <c r="K3967" s="398"/>
      <c r="L3967" s="404"/>
      <c r="M3967" s="682"/>
      <c r="N3967" s="171"/>
      <c r="O3967" s="171"/>
      <c r="P3967" s="169"/>
      <c r="Q3967" s="171"/>
      <c r="R3967" s="171"/>
      <c r="S3967" s="171"/>
      <c r="T3967" s="171"/>
      <c r="U3967" s="171"/>
      <c r="V3967" s="171"/>
      <c r="W3967" s="171"/>
      <c r="X3967" s="171"/>
      <c r="Y3967" s="171"/>
      <c r="Z3967" s="171"/>
      <c r="AA3967" s="171"/>
    </row>
    <row r="3968" spans="1:27" s="530" customFormat="1" ht="15.75" customHeight="1" thickBot="1" x14ac:dyDescent="0.25">
      <c r="A3968" s="464"/>
      <c r="B3968" s="464"/>
      <c r="C3968" s="465"/>
      <c r="D3968" s="464"/>
      <c r="E3968" s="464"/>
      <c r="F3968" s="503">
        <v>13</v>
      </c>
      <c r="G3968" s="504" t="s">
        <v>258</v>
      </c>
      <c r="H3968" s="403">
        <v>1000000</v>
      </c>
      <c r="I3968" s="403"/>
      <c r="J3968" s="750">
        <f t="shared" si="45"/>
        <v>0</v>
      </c>
      <c r="K3968" s="404"/>
      <c r="L3968" s="404"/>
      <c r="M3968" s="682"/>
      <c r="N3968" s="171"/>
      <c r="O3968" s="171"/>
      <c r="P3968" s="169"/>
      <c r="Q3968" s="171"/>
      <c r="R3968" s="171"/>
      <c r="S3968" s="171"/>
      <c r="T3968" s="171"/>
      <c r="U3968" s="171"/>
      <c r="V3968" s="171"/>
      <c r="W3968" s="171"/>
      <c r="X3968" s="171"/>
      <c r="Y3968" s="171"/>
      <c r="Z3968" s="171"/>
      <c r="AA3968" s="171"/>
    </row>
    <row r="3969" spans="1:27" s="530" customFormat="1" ht="14.25" customHeight="1" thickBot="1" x14ac:dyDescent="0.25">
      <c r="A3969" s="464"/>
      <c r="B3969" s="464"/>
      <c r="C3969" s="465"/>
      <c r="D3969" s="464"/>
      <c r="E3969" s="464"/>
      <c r="F3969" s="464"/>
      <c r="G3969" s="505" t="s">
        <v>4345</v>
      </c>
      <c r="H3969" s="405">
        <f>SUM(H3953:H3968)</f>
        <v>11000000</v>
      </c>
      <c r="I3969" s="405">
        <f>SUM(I3953)</f>
        <v>7444176.6600000001</v>
      </c>
      <c r="J3969" s="750">
        <f t="shared" si="45"/>
        <v>67.674333272727267</v>
      </c>
      <c r="K3969" s="406">
        <f>SUM(K3954:K3968)</f>
        <v>0</v>
      </c>
      <c r="L3969" s="406"/>
      <c r="M3969" s="682"/>
      <c r="N3969" s="171"/>
      <c r="O3969" s="171"/>
      <c r="P3969" s="169"/>
      <c r="Q3969" s="171"/>
      <c r="R3969" s="171"/>
      <c r="S3969" s="171"/>
      <c r="T3969" s="171"/>
      <c r="U3969" s="171"/>
      <c r="V3969" s="171"/>
      <c r="W3969" s="171"/>
      <c r="X3969" s="171"/>
      <c r="Y3969" s="171"/>
      <c r="Z3969" s="171"/>
      <c r="AA3969" s="171"/>
    </row>
    <row r="3970" spans="1:27" s="530" customFormat="1" x14ac:dyDescent="0.2">
      <c r="A3970" s="464"/>
      <c r="B3970" s="464"/>
      <c r="C3970" s="465"/>
      <c r="D3970" s="464"/>
      <c r="E3970" s="464"/>
      <c r="F3970" s="464"/>
      <c r="G3970" s="510" t="s">
        <v>5216</v>
      </c>
      <c r="H3970" s="411"/>
      <c r="I3970" s="411"/>
      <c r="J3970" s="750"/>
      <c r="K3970" s="412"/>
      <c r="L3970" s="412"/>
      <c r="M3970" s="682"/>
      <c r="N3970" s="171"/>
      <c r="O3970" s="171"/>
      <c r="P3970" s="169"/>
      <c r="Q3970" s="171"/>
      <c r="R3970" s="171"/>
      <c r="S3970" s="171"/>
      <c r="T3970" s="171"/>
      <c r="U3970" s="171"/>
      <c r="V3970" s="171"/>
      <c r="W3970" s="171"/>
      <c r="X3970" s="171"/>
      <c r="Y3970" s="171"/>
      <c r="Z3970" s="171"/>
      <c r="AA3970" s="171"/>
    </row>
    <row r="3971" spans="1:27" s="530" customFormat="1" ht="15" customHeight="1" x14ac:dyDescent="0.2">
      <c r="A3971" s="464"/>
      <c r="B3971" s="464"/>
      <c r="C3971" s="465"/>
      <c r="D3971" s="464"/>
      <c r="E3971" s="464"/>
      <c r="F3971" s="502" t="s">
        <v>234</v>
      </c>
      <c r="G3971" s="566" t="s">
        <v>235</v>
      </c>
      <c r="H3971" s="403">
        <f>SUM(H3953)</f>
        <v>10000000</v>
      </c>
      <c r="I3971" s="403">
        <f>SUM(I3969)</f>
        <v>7444176.6600000001</v>
      </c>
      <c r="J3971" s="750">
        <f t="shared" si="45"/>
        <v>74.441766600000008</v>
      </c>
      <c r="K3971" s="412"/>
      <c r="L3971" s="404"/>
      <c r="M3971" s="682"/>
      <c r="N3971" s="171"/>
      <c r="O3971" s="171"/>
      <c r="P3971" s="169"/>
      <c r="Q3971" s="171"/>
      <c r="R3971" s="171"/>
      <c r="S3971" s="171"/>
      <c r="T3971" s="171"/>
      <c r="U3971" s="171"/>
      <c r="V3971" s="171"/>
      <c r="W3971" s="171"/>
      <c r="X3971" s="171"/>
      <c r="Y3971" s="171"/>
      <c r="Z3971" s="171"/>
      <c r="AA3971" s="171"/>
    </row>
    <row r="3972" spans="1:27" s="530" customFormat="1" hidden="1" x14ac:dyDescent="0.2">
      <c r="A3972" s="464"/>
      <c r="B3972" s="464"/>
      <c r="C3972" s="465"/>
      <c r="D3972" s="464"/>
      <c r="E3972" s="464"/>
      <c r="F3972" s="502" t="s">
        <v>236</v>
      </c>
      <c r="G3972" s="510" t="s">
        <v>237</v>
      </c>
      <c r="H3972" s="411"/>
      <c r="I3972" s="411"/>
      <c r="J3972" s="750" t="e">
        <f t="shared" si="45"/>
        <v>#DIV/0!</v>
      </c>
      <c r="K3972" s="412"/>
      <c r="L3972" s="412"/>
      <c r="M3972" s="682"/>
      <c r="N3972" s="171"/>
      <c r="O3972" s="171"/>
      <c r="P3972" s="169"/>
      <c r="Q3972" s="171"/>
      <c r="R3972" s="171"/>
      <c r="S3972" s="171"/>
      <c r="T3972" s="171"/>
      <c r="U3972" s="171"/>
      <c r="V3972" s="171"/>
      <c r="W3972" s="171"/>
      <c r="X3972" s="171"/>
      <c r="Y3972" s="171"/>
      <c r="Z3972" s="171"/>
      <c r="AA3972" s="171"/>
    </row>
    <row r="3973" spans="1:27" s="530" customFormat="1" hidden="1" x14ac:dyDescent="0.2">
      <c r="A3973" s="464"/>
      <c r="B3973" s="464"/>
      <c r="C3973" s="465"/>
      <c r="D3973" s="464"/>
      <c r="E3973" s="464"/>
      <c r="F3973" s="502" t="s">
        <v>238</v>
      </c>
      <c r="G3973" s="510" t="s">
        <v>239</v>
      </c>
      <c r="H3973" s="411"/>
      <c r="I3973" s="411"/>
      <c r="J3973" s="750" t="e">
        <f t="shared" si="45"/>
        <v>#DIV/0!</v>
      </c>
      <c r="K3973" s="412"/>
      <c r="L3973" s="412"/>
      <c r="M3973" s="682"/>
      <c r="N3973" s="171"/>
      <c r="O3973" s="171"/>
      <c r="P3973" s="169"/>
      <c r="Q3973" s="171"/>
      <c r="R3973" s="171"/>
      <c r="S3973" s="171"/>
      <c r="T3973" s="171"/>
      <c r="U3973" s="171"/>
      <c r="V3973" s="171"/>
      <c r="W3973" s="171"/>
      <c r="X3973" s="171"/>
      <c r="Y3973" s="171"/>
      <c r="Z3973" s="171"/>
      <c r="AA3973" s="171"/>
    </row>
    <row r="3974" spans="1:27" s="530" customFormat="1" hidden="1" x14ac:dyDescent="0.2">
      <c r="A3974" s="464"/>
      <c r="B3974" s="464"/>
      <c r="C3974" s="465"/>
      <c r="D3974" s="464"/>
      <c r="E3974" s="464"/>
      <c r="F3974" s="502" t="s">
        <v>240</v>
      </c>
      <c r="G3974" s="510" t="s">
        <v>241</v>
      </c>
      <c r="H3974" s="411"/>
      <c r="I3974" s="411"/>
      <c r="J3974" s="750" t="e">
        <f t="shared" si="45"/>
        <v>#DIV/0!</v>
      </c>
      <c r="K3974" s="412"/>
      <c r="L3974" s="412"/>
      <c r="M3974" s="682"/>
      <c r="N3974" s="171"/>
      <c r="O3974" s="171"/>
      <c r="P3974" s="169"/>
      <c r="Q3974" s="171"/>
      <c r="R3974" s="171"/>
      <c r="S3974" s="171"/>
      <c r="T3974" s="171"/>
      <c r="U3974" s="171"/>
      <c r="V3974" s="171"/>
      <c r="W3974" s="171"/>
      <c r="X3974" s="171"/>
      <c r="Y3974" s="171"/>
      <c r="Z3974" s="171"/>
      <c r="AA3974" s="171"/>
    </row>
    <row r="3975" spans="1:27" s="530" customFormat="1" hidden="1" x14ac:dyDescent="0.2">
      <c r="A3975" s="464"/>
      <c r="B3975" s="464"/>
      <c r="C3975" s="465"/>
      <c r="D3975" s="464"/>
      <c r="E3975" s="464"/>
      <c r="F3975" s="502" t="s">
        <v>242</v>
      </c>
      <c r="G3975" s="510" t="s">
        <v>243</v>
      </c>
      <c r="H3975" s="411"/>
      <c r="I3975" s="411"/>
      <c r="J3975" s="750" t="e">
        <f t="shared" si="45"/>
        <v>#DIV/0!</v>
      </c>
      <c r="K3975" s="412"/>
      <c r="L3975" s="412"/>
      <c r="M3975" s="682"/>
      <c r="N3975" s="171"/>
      <c r="O3975" s="171"/>
      <c r="P3975" s="169"/>
      <c r="Q3975" s="171"/>
      <c r="R3975" s="171"/>
      <c r="S3975" s="171"/>
      <c r="T3975" s="171"/>
      <c r="U3975" s="171"/>
      <c r="V3975" s="171"/>
      <c r="W3975" s="171"/>
      <c r="X3975" s="171"/>
      <c r="Y3975" s="171"/>
      <c r="Z3975" s="171"/>
      <c r="AA3975" s="171"/>
    </row>
    <row r="3976" spans="1:27" s="530" customFormat="1" hidden="1" x14ac:dyDescent="0.2">
      <c r="A3976" s="464"/>
      <c r="B3976" s="464"/>
      <c r="C3976" s="465"/>
      <c r="D3976" s="464"/>
      <c r="E3976" s="464"/>
      <c r="F3976" s="502" t="s">
        <v>244</v>
      </c>
      <c r="G3976" s="510" t="s">
        <v>245</v>
      </c>
      <c r="H3976" s="411"/>
      <c r="I3976" s="411"/>
      <c r="J3976" s="750" t="e">
        <f t="shared" si="45"/>
        <v>#DIV/0!</v>
      </c>
      <c r="K3976" s="412"/>
      <c r="L3976" s="412"/>
      <c r="M3976" s="682"/>
      <c r="N3976" s="171"/>
      <c r="O3976" s="171"/>
      <c r="P3976" s="169"/>
      <c r="Q3976" s="171"/>
      <c r="R3976" s="171"/>
      <c r="S3976" s="171"/>
      <c r="T3976" s="171"/>
      <c r="U3976" s="171"/>
      <c r="V3976" s="171"/>
      <c r="W3976" s="171"/>
      <c r="X3976" s="171"/>
      <c r="Y3976" s="171"/>
      <c r="Z3976" s="171"/>
      <c r="AA3976" s="171"/>
    </row>
    <row r="3977" spans="1:27" s="530" customFormat="1" hidden="1" x14ac:dyDescent="0.2">
      <c r="A3977" s="464"/>
      <c r="B3977" s="464"/>
      <c r="C3977" s="465"/>
      <c r="D3977" s="464"/>
      <c r="E3977" s="464"/>
      <c r="F3977" s="502" t="s">
        <v>246</v>
      </c>
      <c r="G3977" s="510" t="s">
        <v>247</v>
      </c>
      <c r="H3977" s="411"/>
      <c r="I3977" s="411"/>
      <c r="J3977" s="750" t="e">
        <f t="shared" si="45"/>
        <v>#DIV/0!</v>
      </c>
      <c r="K3977" s="412"/>
      <c r="L3977" s="412"/>
      <c r="M3977" s="682"/>
      <c r="N3977" s="171"/>
      <c r="O3977" s="171"/>
      <c r="P3977" s="169"/>
      <c r="Q3977" s="171"/>
      <c r="R3977" s="171"/>
      <c r="S3977" s="171"/>
      <c r="T3977" s="171"/>
      <c r="U3977" s="171"/>
      <c r="V3977" s="171"/>
      <c r="W3977" s="171"/>
      <c r="X3977" s="171"/>
      <c r="Y3977" s="171"/>
      <c r="Z3977" s="171"/>
      <c r="AA3977" s="171"/>
    </row>
    <row r="3978" spans="1:27" s="530" customFormat="1" ht="25.5" hidden="1" x14ac:dyDescent="0.2">
      <c r="A3978" s="464"/>
      <c r="B3978" s="464"/>
      <c r="C3978" s="465"/>
      <c r="D3978" s="464"/>
      <c r="E3978" s="464"/>
      <c r="F3978" s="502" t="s">
        <v>248</v>
      </c>
      <c r="G3978" s="510" t="s">
        <v>249</v>
      </c>
      <c r="H3978" s="411"/>
      <c r="I3978" s="411"/>
      <c r="J3978" s="750" t="e">
        <f t="shared" si="45"/>
        <v>#DIV/0!</v>
      </c>
      <c r="K3978" s="412"/>
      <c r="L3978" s="412"/>
      <c r="M3978" s="682"/>
      <c r="N3978" s="171"/>
      <c r="O3978" s="171"/>
      <c r="P3978" s="169"/>
      <c r="Q3978" s="171"/>
      <c r="R3978" s="171"/>
      <c r="S3978" s="171"/>
      <c r="T3978" s="171"/>
      <c r="U3978" s="171"/>
      <c r="V3978" s="171"/>
      <c r="W3978" s="171"/>
      <c r="X3978" s="171"/>
      <c r="Y3978" s="171"/>
      <c r="Z3978" s="171"/>
      <c r="AA3978" s="171"/>
    </row>
    <row r="3979" spans="1:27" s="530" customFormat="1" hidden="1" x14ac:dyDescent="0.2">
      <c r="A3979" s="464"/>
      <c r="B3979" s="464"/>
      <c r="C3979" s="465"/>
      <c r="D3979" s="464"/>
      <c r="E3979" s="464"/>
      <c r="F3979" s="502" t="s">
        <v>250</v>
      </c>
      <c r="G3979" s="510" t="s">
        <v>57</v>
      </c>
      <c r="H3979" s="411"/>
      <c r="I3979" s="411"/>
      <c r="J3979" s="750" t="e">
        <f t="shared" si="45"/>
        <v>#DIV/0!</v>
      </c>
      <c r="K3979" s="412"/>
      <c r="L3979" s="412"/>
      <c r="M3979" s="682"/>
      <c r="N3979" s="171"/>
      <c r="O3979" s="171"/>
      <c r="P3979" s="169"/>
      <c r="Q3979" s="171"/>
      <c r="R3979" s="171"/>
      <c r="S3979" s="171"/>
      <c r="T3979" s="171"/>
      <c r="U3979" s="171"/>
      <c r="V3979" s="171"/>
      <c r="W3979" s="171"/>
      <c r="X3979" s="171"/>
      <c r="Y3979" s="171"/>
      <c r="Z3979" s="171"/>
      <c r="AA3979" s="171"/>
    </row>
    <row r="3980" spans="1:27" s="530" customFormat="1" hidden="1" x14ac:dyDescent="0.2">
      <c r="A3980" s="464"/>
      <c r="B3980" s="464"/>
      <c r="C3980" s="465"/>
      <c r="D3980" s="464"/>
      <c r="E3980" s="464"/>
      <c r="F3980" s="502" t="s">
        <v>251</v>
      </c>
      <c r="G3980" s="510" t="s">
        <v>252</v>
      </c>
      <c r="H3980" s="411"/>
      <c r="I3980" s="411"/>
      <c r="J3980" s="750" t="e">
        <f t="shared" si="45"/>
        <v>#DIV/0!</v>
      </c>
      <c r="K3980" s="412"/>
      <c r="L3980" s="412"/>
      <c r="M3980" s="682"/>
      <c r="N3980" s="171"/>
      <c r="O3980" s="171"/>
      <c r="P3980" s="169"/>
      <c r="Q3980" s="171"/>
      <c r="R3980" s="171"/>
      <c r="S3980" s="171"/>
      <c r="T3980" s="171"/>
      <c r="U3980" s="171"/>
      <c r="V3980" s="171"/>
      <c r="W3980" s="171"/>
      <c r="X3980" s="171"/>
      <c r="Y3980" s="171"/>
      <c r="Z3980" s="171"/>
      <c r="AA3980" s="171"/>
    </row>
    <row r="3981" spans="1:27" s="530" customFormat="1" hidden="1" x14ac:dyDescent="0.2">
      <c r="A3981" s="464"/>
      <c r="B3981" s="464"/>
      <c r="C3981" s="465"/>
      <c r="D3981" s="464"/>
      <c r="E3981" s="464"/>
      <c r="F3981" s="502" t="s">
        <v>253</v>
      </c>
      <c r="G3981" s="510" t="s">
        <v>254</v>
      </c>
      <c r="H3981" s="411"/>
      <c r="I3981" s="411"/>
      <c r="J3981" s="750" t="e">
        <f t="shared" ref="J3981:J4044" si="46">SUM(I3981/H3981)*100</f>
        <v>#DIV/0!</v>
      </c>
      <c r="K3981" s="412"/>
      <c r="L3981" s="412"/>
      <c r="M3981" s="682"/>
      <c r="N3981" s="171"/>
      <c r="O3981" s="171"/>
      <c r="P3981" s="169"/>
      <c r="Q3981" s="171"/>
      <c r="R3981" s="171"/>
      <c r="S3981" s="171"/>
      <c r="T3981" s="171"/>
      <c r="U3981" s="171"/>
      <c r="V3981" s="171"/>
      <c r="W3981" s="171"/>
      <c r="X3981" s="171"/>
      <c r="Y3981" s="171"/>
      <c r="Z3981" s="171"/>
      <c r="AA3981" s="171"/>
    </row>
    <row r="3982" spans="1:27" s="530" customFormat="1" ht="25.5" hidden="1" x14ac:dyDescent="0.2">
      <c r="A3982" s="464"/>
      <c r="B3982" s="464"/>
      <c r="C3982" s="465"/>
      <c r="D3982" s="464"/>
      <c r="E3982" s="464"/>
      <c r="F3982" s="502" t="s">
        <v>255</v>
      </c>
      <c r="G3982" s="510" t="s">
        <v>256</v>
      </c>
      <c r="H3982" s="411"/>
      <c r="I3982" s="411"/>
      <c r="J3982" s="750" t="e">
        <f t="shared" si="46"/>
        <v>#DIV/0!</v>
      </c>
      <c r="K3982" s="412"/>
      <c r="L3982" s="412"/>
      <c r="M3982" s="682"/>
      <c r="N3982" s="171"/>
      <c r="O3982" s="171"/>
      <c r="P3982" s="169"/>
      <c r="Q3982" s="171"/>
      <c r="R3982" s="171"/>
      <c r="S3982" s="171"/>
      <c r="T3982" s="171"/>
      <c r="U3982" s="171"/>
      <c r="V3982" s="171"/>
      <c r="W3982" s="171"/>
      <c r="X3982" s="171"/>
      <c r="Y3982" s="171"/>
      <c r="Z3982" s="171"/>
      <c r="AA3982" s="171"/>
    </row>
    <row r="3983" spans="1:27" s="530" customFormat="1" ht="25.5" hidden="1" x14ac:dyDescent="0.2">
      <c r="A3983" s="464"/>
      <c r="B3983" s="464"/>
      <c r="C3983" s="465"/>
      <c r="D3983" s="464"/>
      <c r="E3983" s="464"/>
      <c r="F3983" s="502" t="s">
        <v>257</v>
      </c>
      <c r="G3983" s="510" t="s">
        <v>258</v>
      </c>
      <c r="H3983" s="411"/>
      <c r="I3983" s="411"/>
      <c r="J3983" s="750" t="e">
        <f t="shared" si="46"/>
        <v>#DIV/0!</v>
      </c>
      <c r="K3983" s="412"/>
      <c r="L3983" s="412"/>
      <c r="M3983" s="682"/>
      <c r="N3983" s="171"/>
      <c r="O3983" s="171"/>
      <c r="P3983" s="169"/>
      <c r="Q3983" s="171"/>
      <c r="R3983" s="171"/>
      <c r="S3983" s="171"/>
      <c r="T3983" s="171"/>
      <c r="U3983" s="171"/>
      <c r="V3983" s="171"/>
      <c r="W3983" s="171"/>
      <c r="X3983" s="171"/>
      <c r="Y3983" s="171"/>
      <c r="Z3983" s="171"/>
      <c r="AA3983" s="171"/>
    </row>
    <row r="3984" spans="1:27" s="530" customFormat="1" ht="25.5" hidden="1" x14ac:dyDescent="0.2">
      <c r="A3984" s="464"/>
      <c r="B3984" s="464"/>
      <c r="C3984" s="465"/>
      <c r="D3984" s="464"/>
      <c r="E3984" s="464"/>
      <c r="F3984" s="502" t="s">
        <v>259</v>
      </c>
      <c r="G3984" s="510" t="s">
        <v>260</v>
      </c>
      <c r="H3984" s="411"/>
      <c r="I3984" s="411"/>
      <c r="J3984" s="750" t="e">
        <f t="shared" si="46"/>
        <v>#DIV/0!</v>
      </c>
      <c r="K3984" s="412"/>
      <c r="L3984" s="412"/>
      <c r="M3984" s="682"/>
      <c r="N3984" s="171"/>
      <c r="O3984" s="171"/>
      <c r="P3984" s="169"/>
      <c r="Q3984" s="171"/>
      <c r="R3984" s="171"/>
      <c r="S3984" s="171"/>
      <c r="T3984" s="171"/>
      <c r="U3984" s="171"/>
      <c r="V3984" s="171"/>
      <c r="W3984" s="171"/>
      <c r="X3984" s="171"/>
      <c r="Y3984" s="171"/>
      <c r="Z3984" s="171"/>
      <c r="AA3984" s="171"/>
    </row>
    <row r="3985" spans="1:27" s="530" customFormat="1" ht="25.5" hidden="1" x14ac:dyDescent="0.2">
      <c r="A3985" s="464"/>
      <c r="B3985" s="464"/>
      <c r="C3985" s="465"/>
      <c r="D3985" s="464"/>
      <c r="E3985" s="464"/>
      <c r="F3985" s="502" t="s">
        <v>261</v>
      </c>
      <c r="G3985" s="510" t="s">
        <v>262</v>
      </c>
      <c r="H3985" s="411"/>
      <c r="I3985" s="411"/>
      <c r="J3985" s="750" t="e">
        <f t="shared" si="46"/>
        <v>#DIV/0!</v>
      </c>
      <c r="K3985" s="412"/>
      <c r="L3985" s="412"/>
      <c r="M3985" s="682"/>
      <c r="N3985" s="171"/>
      <c r="O3985" s="171"/>
      <c r="P3985" s="169"/>
      <c r="Q3985" s="171"/>
      <c r="R3985" s="171"/>
      <c r="S3985" s="171"/>
      <c r="T3985" s="171"/>
      <c r="U3985" s="171"/>
      <c r="V3985" s="171"/>
      <c r="W3985" s="171"/>
      <c r="X3985" s="171"/>
      <c r="Y3985" s="171"/>
      <c r="Z3985" s="171"/>
      <c r="AA3985" s="171"/>
    </row>
    <row r="3986" spans="1:27" s="530" customFormat="1" ht="12.75" customHeight="1" x14ac:dyDescent="0.2">
      <c r="A3986" s="464"/>
      <c r="B3986" s="464"/>
      <c r="C3986" s="465"/>
      <c r="D3986" s="464"/>
      <c r="E3986" s="464"/>
      <c r="F3986" s="503" t="s">
        <v>257</v>
      </c>
      <c r="G3986" s="504" t="s">
        <v>258</v>
      </c>
      <c r="H3986" s="403">
        <v>1000000</v>
      </c>
      <c r="I3986" s="403"/>
      <c r="J3986" s="750">
        <f t="shared" si="46"/>
        <v>0</v>
      </c>
      <c r="K3986" s="412"/>
      <c r="L3986" s="412"/>
      <c r="M3986" s="682"/>
      <c r="N3986" s="171"/>
      <c r="O3986" s="171"/>
      <c r="P3986" s="169"/>
      <c r="Q3986" s="171"/>
      <c r="R3986" s="171"/>
      <c r="S3986" s="171"/>
      <c r="T3986" s="171"/>
      <c r="U3986" s="171"/>
      <c r="V3986" s="171"/>
      <c r="W3986" s="171"/>
      <c r="X3986" s="171"/>
      <c r="Y3986" s="171"/>
      <c r="Z3986" s="171"/>
      <c r="AA3986" s="171"/>
    </row>
    <row r="3987" spans="1:27" s="530" customFormat="1" ht="15" customHeight="1" thickBot="1" x14ac:dyDescent="0.25">
      <c r="A3987" s="464"/>
      <c r="B3987" s="464"/>
      <c r="C3987" s="465"/>
      <c r="D3987" s="464"/>
      <c r="E3987" s="464"/>
      <c r="F3987" s="464"/>
      <c r="G3987" s="565" t="s">
        <v>5217</v>
      </c>
      <c r="H3987" s="432">
        <f>SUM(H3971:H3986)</f>
        <v>11000000</v>
      </c>
      <c r="I3987" s="432">
        <f>SUM(I3971)</f>
        <v>7444176.6600000001</v>
      </c>
      <c r="J3987" s="750">
        <f t="shared" si="46"/>
        <v>67.674333272727267</v>
      </c>
      <c r="K3987" s="430">
        <f>SUM(K3972:K3986)</f>
        <v>0</v>
      </c>
      <c r="L3987" s="430"/>
      <c r="M3987" s="682"/>
      <c r="N3987" s="171"/>
      <c r="O3987" s="171"/>
      <c r="P3987" s="169"/>
      <c r="Q3987" s="171"/>
      <c r="R3987" s="171"/>
      <c r="S3987" s="171"/>
      <c r="T3987" s="171"/>
      <c r="U3987" s="171"/>
      <c r="V3987" s="171"/>
      <c r="W3987" s="171"/>
      <c r="X3987" s="171"/>
      <c r="Y3987" s="171"/>
      <c r="Z3987" s="171"/>
      <c r="AA3987" s="171"/>
    </row>
    <row r="3988" spans="1:27" s="530" customFormat="1" ht="6.75" hidden="1" customHeight="1" x14ac:dyDescent="0.2">
      <c r="A3988" s="464"/>
      <c r="B3988" s="464"/>
      <c r="C3988" s="465"/>
      <c r="D3988" s="464"/>
      <c r="E3988" s="464"/>
      <c r="F3988" s="464"/>
      <c r="G3988" s="510"/>
      <c r="H3988" s="411"/>
      <c r="I3988" s="411"/>
      <c r="J3988" s="750" t="e">
        <f t="shared" si="46"/>
        <v>#DIV/0!</v>
      </c>
      <c r="K3988" s="412"/>
      <c r="L3988" s="412"/>
      <c r="M3988" s="682"/>
      <c r="N3988" s="171"/>
      <c r="O3988" s="171"/>
      <c r="P3988" s="169"/>
      <c r="Q3988" s="171"/>
      <c r="R3988" s="171"/>
      <c r="S3988" s="171"/>
      <c r="T3988" s="171"/>
      <c r="U3988" s="171"/>
      <c r="V3988" s="171"/>
      <c r="W3988" s="171"/>
      <c r="X3988" s="171"/>
      <c r="Y3988" s="171"/>
      <c r="Z3988" s="171"/>
      <c r="AA3988" s="171"/>
    </row>
    <row r="3989" spans="1:27" s="530" customFormat="1" ht="26.25" customHeight="1" x14ac:dyDescent="0.2">
      <c r="A3989" s="526"/>
      <c r="B3989" s="527"/>
      <c r="C3989" s="542" t="s">
        <v>4640</v>
      </c>
      <c r="D3989" s="173"/>
      <c r="E3989" s="173"/>
      <c r="F3989" s="502"/>
      <c r="G3989" s="510" t="s">
        <v>5224</v>
      </c>
      <c r="H3989" s="397"/>
      <c r="I3989" s="397"/>
      <c r="J3989" s="750"/>
      <c r="K3989" s="398"/>
      <c r="L3989" s="398"/>
      <c r="M3989" s="682"/>
      <c r="N3989" s="171"/>
      <c r="O3989" s="171"/>
      <c r="P3989" s="169"/>
      <c r="Q3989" s="171"/>
      <c r="R3989" s="171"/>
      <c r="S3989" s="171"/>
      <c r="T3989" s="171"/>
      <c r="U3989" s="171"/>
      <c r="V3989" s="171"/>
      <c r="W3989" s="171"/>
      <c r="X3989" s="171"/>
      <c r="Y3989" s="171"/>
      <c r="Z3989" s="171"/>
      <c r="AA3989" s="171"/>
    </row>
    <row r="3990" spans="1:27" s="530" customFormat="1" x14ac:dyDescent="0.2">
      <c r="A3990" s="526"/>
      <c r="B3990" s="527"/>
      <c r="C3990" s="489"/>
      <c r="D3990" s="492">
        <v>620</v>
      </c>
      <c r="E3990" s="492"/>
      <c r="F3990" s="492"/>
      <c r="G3990" s="514" t="s">
        <v>182</v>
      </c>
      <c r="H3990" s="397"/>
      <c r="I3990" s="397"/>
      <c r="J3990" s="750"/>
      <c r="K3990" s="398"/>
      <c r="L3990" s="398"/>
      <c r="M3990" s="682"/>
      <c r="N3990" s="171"/>
      <c r="O3990" s="171"/>
      <c r="P3990" s="169"/>
      <c r="Q3990" s="171"/>
      <c r="R3990" s="171"/>
      <c r="S3990" s="171"/>
      <c r="T3990" s="171"/>
      <c r="U3990" s="171"/>
      <c r="V3990" s="171"/>
      <c r="W3990" s="171"/>
      <c r="X3990" s="171"/>
      <c r="Y3990" s="171"/>
      <c r="Z3990" s="171"/>
      <c r="AA3990" s="171"/>
    </row>
    <row r="3991" spans="1:27" s="530" customFormat="1" hidden="1" x14ac:dyDescent="0.2">
      <c r="A3991" s="526"/>
      <c r="B3991" s="527"/>
      <c r="C3991" s="465"/>
      <c r="D3991" s="464"/>
      <c r="E3991" s="464"/>
      <c r="F3991" s="494">
        <v>411</v>
      </c>
      <c r="G3991" s="495" t="s">
        <v>4167</v>
      </c>
      <c r="H3991" s="397"/>
      <c r="I3991" s="397"/>
      <c r="J3991" s="750" t="e">
        <f t="shared" si="46"/>
        <v>#DIV/0!</v>
      </c>
      <c r="K3991" s="398"/>
      <c r="L3991" s="398"/>
      <c r="M3991" s="682"/>
      <c r="N3991" s="171"/>
      <c r="O3991" s="171"/>
      <c r="P3991" s="169"/>
      <c r="Q3991" s="171"/>
      <c r="R3991" s="171"/>
      <c r="S3991" s="171"/>
      <c r="T3991" s="171"/>
      <c r="U3991" s="171"/>
      <c r="V3991" s="171"/>
      <c r="W3991" s="171"/>
      <c r="X3991" s="171"/>
      <c r="Y3991" s="171"/>
      <c r="Z3991" s="171"/>
      <c r="AA3991" s="171"/>
    </row>
    <row r="3992" spans="1:27" s="530" customFormat="1" hidden="1" x14ac:dyDescent="0.2">
      <c r="A3992" s="526"/>
      <c r="B3992" s="527"/>
      <c r="C3992" s="465"/>
      <c r="D3992" s="464"/>
      <c r="E3992" s="464"/>
      <c r="F3992" s="494">
        <v>412</v>
      </c>
      <c r="G3992" s="496" t="s">
        <v>3764</v>
      </c>
      <c r="H3992" s="397"/>
      <c r="I3992" s="397"/>
      <c r="J3992" s="750" t="e">
        <f t="shared" si="46"/>
        <v>#DIV/0!</v>
      </c>
      <c r="K3992" s="398"/>
      <c r="L3992" s="398"/>
      <c r="M3992" s="682"/>
      <c r="N3992" s="171"/>
      <c r="O3992" s="171"/>
      <c r="P3992" s="169"/>
      <c r="Q3992" s="171"/>
      <c r="R3992" s="171"/>
      <c r="S3992" s="171"/>
      <c r="T3992" s="171"/>
      <c r="U3992" s="171"/>
      <c r="V3992" s="171"/>
      <c r="W3992" s="171"/>
      <c r="X3992" s="171"/>
      <c r="Y3992" s="171"/>
      <c r="Z3992" s="171"/>
      <c r="AA3992" s="171"/>
    </row>
    <row r="3993" spans="1:27" s="530" customFormat="1" hidden="1" x14ac:dyDescent="0.2">
      <c r="A3993" s="526"/>
      <c r="B3993" s="527"/>
      <c r="C3993" s="465"/>
      <c r="D3993" s="464"/>
      <c r="E3993" s="464"/>
      <c r="F3993" s="494">
        <v>413</v>
      </c>
      <c r="G3993" s="495" t="s">
        <v>4168</v>
      </c>
      <c r="H3993" s="397"/>
      <c r="I3993" s="397"/>
      <c r="J3993" s="750" t="e">
        <f t="shared" si="46"/>
        <v>#DIV/0!</v>
      </c>
      <c r="K3993" s="398"/>
      <c r="L3993" s="398"/>
      <c r="M3993" s="682"/>
      <c r="N3993" s="171"/>
      <c r="O3993" s="171"/>
      <c r="P3993" s="169"/>
      <c r="Q3993" s="171"/>
      <c r="R3993" s="171"/>
      <c r="S3993" s="171"/>
      <c r="T3993" s="171"/>
      <c r="U3993" s="171"/>
      <c r="V3993" s="171"/>
      <c r="W3993" s="171"/>
      <c r="X3993" s="171"/>
      <c r="Y3993" s="171"/>
      <c r="Z3993" s="171"/>
      <c r="AA3993" s="171"/>
    </row>
    <row r="3994" spans="1:27" s="530" customFormat="1" hidden="1" x14ac:dyDescent="0.2">
      <c r="A3994" s="526"/>
      <c r="B3994" s="527"/>
      <c r="C3994" s="465"/>
      <c r="D3994" s="464"/>
      <c r="E3994" s="464"/>
      <c r="F3994" s="494">
        <v>414</v>
      </c>
      <c r="G3994" s="495" t="s">
        <v>3767</v>
      </c>
      <c r="H3994" s="397"/>
      <c r="I3994" s="397"/>
      <c r="J3994" s="750" t="e">
        <f t="shared" si="46"/>
        <v>#DIV/0!</v>
      </c>
      <c r="K3994" s="398"/>
      <c r="L3994" s="398"/>
      <c r="M3994" s="682"/>
      <c r="N3994" s="171"/>
      <c r="O3994" s="171"/>
      <c r="P3994" s="169"/>
      <c r="Q3994" s="171"/>
      <c r="R3994" s="171"/>
      <c r="S3994" s="171"/>
      <c r="T3994" s="171"/>
      <c r="U3994" s="171"/>
      <c r="V3994" s="171"/>
      <c r="W3994" s="171"/>
      <c r="X3994" s="171"/>
      <c r="Y3994" s="171"/>
      <c r="Z3994" s="171"/>
      <c r="AA3994" s="171"/>
    </row>
    <row r="3995" spans="1:27" s="530" customFormat="1" hidden="1" x14ac:dyDescent="0.2">
      <c r="A3995" s="526"/>
      <c r="B3995" s="527"/>
      <c r="C3995" s="465"/>
      <c r="D3995" s="464"/>
      <c r="E3995" s="464"/>
      <c r="F3995" s="494">
        <v>415</v>
      </c>
      <c r="G3995" s="495" t="s">
        <v>4177</v>
      </c>
      <c r="H3995" s="397"/>
      <c r="I3995" s="397"/>
      <c r="J3995" s="750" t="e">
        <f t="shared" si="46"/>
        <v>#DIV/0!</v>
      </c>
      <c r="K3995" s="398"/>
      <c r="L3995" s="398"/>
      <c r="M3995" s="682"/>
      <c r="N3995" s="171"/>
      <c r="O3995" s="171"/>
      <c r="P3995" s="169"/>
      <c r="Q3995" s="171"/>
      <c r="R3995" s="171"/>
      <c r="S3995" s="171"/>
      <c r="T3995" s="171"/>
      <c r="U3995" s="171"/>
      <c r="V3995" s="171"/>
      <c r="W3995" s="171"/>
      <c r="X3995" s="171"/>
      <c r="Y3995" s="171"/>
      <c r="Z3995" s="171"/>
      <c r="AA3995" s="171"/>
    </row>
    <row r="3996" spans="1:27" s="530" customFormat="1" ht="25.5" hidden="1" x14ac:dyDescent="0.2">
      <c r="A3996" s="526"/>
      <c r="B3996" s="527"/>
      <c r="C3996" s="465"/>
      <c r="D3996" s="464"/>
      <c r="E3996" s="464"/>
      <c r="F3996" s="494">
        <v>416</v>
      </c>
      <c r="G3996" s="495" t="s">
        <v>4178</v>
      </c>
      <c r="H3996" s="397"/>
      <c r="I3996" s="397"/>
      <c r="J3996" s="750" t="e">
        <f t="shared" si="46"/>
        <v>#DIV/0!</v>
      </c>
      <c r="K3996" s="398"/>
      <c r="L3996" s="398"/>
      <c r="M3996" s="682"/>
      <c r="N3996" s="171"/>
      <c r="O3996" s="171"/>
      <c r="P3996" s="169"/>
      <c r="Q3996" s="171"/>
      <c r="R3996" s="171"/>
      <c r="S3996" s="171"/>
      <c r="T3996" s="171"/>
      <c r="U3996" s="171"/>
      <c r="V3996" s="171"/>
      <c r="W3996" s="171"/>
      <c r="X3996" s="171"/>
      <c r="Y3996" s="171"/>
      <c r="Z3996" s="171"/>
      <c r="AA3996" s="171"/>
    </row>
    <row r="3997" spans="1:27" s="530" customFormat="1" hidden="1" x14ac:dyDescent="0.2">
      <c r="A3997" s="526"/>
      <c r="B3997" s="527"/>
      <c r="C3997" s="465"/>
      <c r="D3997" s="464"/>
      <c r="E3997" s="464"/>
      <c r="F3997" s="494">
        <v>417</v>
      </c>
      <c r="G3997" s="495" t="s">
        <v>4179</v>
      </c>
      <c r="H3997" s="397"/>
      <c r="I3997" s="397"/>
      <c r="J3997" s="750" t="e">
        <f t="shared" si="46"/>
        <v>#DIV/0!</v>
      </c>
      <c r="K3997" s="398"/>
      <c r="L3997" s="398"/>
      <c r="M3997" s="682"/>
      <c r="N3997" s="171"/>
      <c r="O3997" s="171"/>
      <c r="P3997" s="169"/>
      <c r="Q3997" s="171"/>
      <c r="R3997" s="171"/>
      <c r="S3997" s="171"/>
      <c r="T3997" s="171"/>
      <c r="U3997" s="171"/>
      <c r="V3997" s="171"/>
      <c r="W3997" s="171"/>
      <c r="X3997" s="171"/>
      <c r="Y3997" s="171"/>
      <c r="Z3997" s="171"/>
      <c r="AA3997" s="171"/>
    </row>
    <row r="3998" spans="1:27" s="530" customFormat="1" hidden="1" x14ac:dyDescent="0.2">
      <c r="A3998" s="526"/>
      <c r="B3998" s="527"/>
      <c r="C3998" s="465"/>
      <c r="D3998" s="464"/>
      <c r="E3998" s="464"/>
      <c r="F3998" s="494">
        <v>418</v>
      </c>
      <c r="G3998" s="495" t="s">
        <v>3773</v>
      </c>
      <c r="H3998" s="397"/>
      <c r="I3998" s="397"/>
      <c r="J3998" s="750" t="e">
        <f t="shared" si="46"/>
        <v>#DIV/0!</v>
      </c>
      <c r="K3998" s="398"/>
      <c r="L3998" s="398"/>
      <c r="M3998" s="682"/>
      <c r="N3998" s="171"/>
      <c r="O3998" s="171"/>
      <c r="P3998" s="169"/>
      <c r="Q3998" s="171"/>
      <c r="R3998" s="171"/>
      <c r="S3998" s="171"/>
      <c r="T3998" s="171"/>
      <c r="U3998" s="171"/>
      <c r="V3998" s="171"/>
      <c r="W3998" s="171"/>
      <c r="X3998" s="171"/>
      <c r="Y3998" s="171"/>
      <c r="Z3998" s="171"/>
      <c r="AA3998" s="171"/>
    </row>
    <row r="3999" spans="1:27" s="530" customFormat="1" hidden="1" x14ac:dyDescent="0.2">
      <c r="A3999" s="526"/>
      <c r="B3999" s="527"/>
      <c r="C3999" s="465"/>
      <c r="D3999" s="464"/>
      <c r="E3999" s="464"/>
      <c r="F3999" s="494">
        <v>421</v>
      </c>
      <c r="G3999" s="495" t="s">
        <v>3777</v>
      </c>
      <c r="H3999" s="397"/>
      <c r="I3999" s="397"/>
      <c r="J3999" s="750" t="e">
        <f t="shared" si="46"/>
        <v>#DIV/0!</v>
      </c>
      <c r="K3999" s="398"/>
      <c r="L3999" s="398"/>
      <c r="M3999" s="682"/>
      <c r="N3999" s="171"/>
      <c r="O3999" s="171"/>
      <c r="P3999" s="169"/>
      <c r="Q3999" s="171"/>
      <c r="R3999" s="171"/>
      <c r="S3999" s="171"/>
      <c r="T3999" s="171"/>
      <c r="U3999" s="171"/>
      <c r="V3999" s="171"/>
      <c r="W3999" s="171"/>
      <c r="X3999" s="171"/>
      <c r="Y3999" s="171"/>
      <c r="Z3999" s="171"/>
      <c r="AA3999" s="171"/>
    </row>
    <row r="4000" spans="1:27" s="530" customFormat="1" hidden="1" x14ac:dyDescent="0.2">
      <c r="A4000" s="526"/>
      <c r="B4000" s="527"/>
      <c r="C4000" s="465"/>
      <c r="D4000" s="464"/>
      <c r="E4000" s="464"/>
      <c r="F4000" s="494">
        <v>422</v>
      </c>
      <c r="G4000" s="495" t="s">
        <v>3778</v>
      </c>
      <c r="H4000" s="397"/>
      <c r="I4000" s="397"/>
      <c r="J4000" s="750" t="e">
        <f t="shared" si="46"/>
        <v>#DIV/0!</v>
      </c>
      <c r="K4000" s="398"/>
      <c r="L4000" s="398"/>
      <c r="M4000" s="682"/>
      <c r="N4000" s="171"/>
      <c r="O4000" s="171"/>
      <c r="P4000" s="169"/>
      <c r="Q4000" s="171"/>
      <c r="R4000" s="171"/>
      <c r="S4000" s="171"/>
      <c r="T4000" s="171"/>
      <c r="U4000" s="171"/>
      <c r="V4000" s="171"/>
      <c r="W4000" s="171"/>
      <c r="X4000" s="171"/>
      <c r="Y4000" s="171"/>
      <c r="Z4000" s="171"/>
      <c r="AA4000" s="171"/>
    </row>
    <row r="4001" spans="1:27" s="530" customFormat="1" hidden="1" x14ac:dyDescent="0.2">
      <c r="A4001" s="526"/>
      <c r="B4001" s="527"/>
      <c r="C4001" s="465"/>
      <c r="D4001" s="464"/>
      <c r="E4001" s="464"/>
      <c r="F4001" s="494">
        <v>423</v>
      </c>
      <c r="G4001" s="495" t="s">
        <v>3779</v>
      </c>
      <c r="H4001" s="397"/>
      <c r="I4001" s="397"/>
      <c r="J4001" s="750" t="e">
        <f t="shared" si="46"/>
        <v>#DIV/0!</v>
      </c>
      <c r="K4001" s="398"/>
      <c r="L4001" s="398"/>
      <c r="M4001" s="682"/>
      <c r="N4001" s="171"/>
      <c r="O4001" s="171"/>
      <c r="P4001" s="169"/>
      <c r="Q4001" s="171"/>
      <c r="R4001" s="171"/>
      <c r="S4001" s="171"/>
      <c r="T4001" s="171"/>
      <c r="U4001" s="171"/>
      <c r="V4001" s="171"/>
      <c r="W4001" s="171"/>
      <c r="X4001" s="171"/>
      <c r="Y4001" s="171"/>
      <c r="Z4001" s="171"/>
      <c r="AA4001" s="171"/>
    </row>
    <row r="4002" spans="1:27" s="530" customFormat="1" hidden="1" x14ac:dyDescent="0.2">
      <c r="A4002" s="526"/>
      <c r="B4002" s="527"/>
      <c r="C4002" s="465"/>
      <c r="D4002" s="464"/>
      <c r="E4002" s="464"/>
      <c r="F4002" s="494">
        <v>424</v>
      </c>
      <c r="G4002" s="495" t="s">
        <v>3781</v>
      </c>
      <c r="H4002" s="397"/>
      <c r="I4002" s="397"/>
      <c r="J4002" s="750" t="e">
        <f t="shared" si="46"/>
        <v>#DIV/0!</v>
      </c>
      <c r="K4002" s="398"/>
      <c r="L4002" s="398"/>
      <c r="M4002" s="682"/>
      <c r="N4002" s="171"/>
      <c r="O4002" s="171"/>
      <c r="P4002" s="169"/>
      <c r="Q4002" s="171"/>
      <c r="R4002" s="171"/>
      <c r="S4002" s="171"/>
      <c r="T4002" s="171"/>
      <c r="U4002" s="171"/>
      <c r="V4002" s="171"/>
      <c r="W4002" s="171"/>
      <c r="X4002" s="171"/>
      <c r="Y4002" s="171"/>
      <c r="Z4002" s="171"/>
      <c r="AA4002" s="171"/>
    </row>
    <row r="4003" spans="1:27" s="530" customFormat="1" hidden="1" x14ac:dyDescent="0.2">
      <c r="A4003" s="526"/>
      <c r="B4003" s="527"/>
      <c r="C4003" s="465"/>
      <c r="D4003" s="464"/>
      <c r="E4003" s="464"/>
      <c r="F4003" s="494">
        <v>425</v>
      </c>
      <c r="G4003" s="495" t="s">
        <v>4180</v>
      </c>
      <c r="H4003" s="397"/>
      <c r="I4003" s="397"/>
      <c r="J4003" s="750" t="e">
        <f t="shared" si="46"/>
        <v>#DIV/0!</v>
      </c>
      <c r="K4003" s="398"/>
      <c r="L4003" s="398"/>
      <c r="M4003" s="682"/>
      <c r="N4003" s="171"/>
      <c r="O4003" s="171"/>
      <c r="P4003" s="169"/>
      <c r="Q4003" s="171"/>
      <c r="R4003" s="171"/>
      <c r="S4003" s="171"/>
      <c r="T4003" s="171"/>
      <c r="U4003" s="171"/>
      <c r="V4003" s="171"/>
      <c r="W4003" s="171"/>
      <c r="X4003" s="171"/>
      <c r="Y4003" s="171"/>
      <c r="Z4003" s="171"/>
      <c r="AA4003" s="171"/>
    </row>
    <row r="4004" spans="1:27" s="530" customFormat="1" hidden="1" x14ac:dyDescent="0.2">
      <c r="A4004" s="526"/>
      <c r="B4004" s="527"/>
      <c r="C4004" s="465"/>
      <c r="D4004" s="464"/>
      <c r="E4004" s="464"/>
      <c r="F4004" s="494">
        <v>426</v>
      </c>
      <c r="G4004" s="495" t="s">
        <v>3785</v>
      </c>
      <c r="H4004" s="397"/>
      <c r="I4004" s="397"/>
      <c r="J4004" s="750" t="e">
        <f t="shared" si="46"/>
        <v>#DIV/0!</v>
      </c>
      <c r="K4004" s="398"/>
      <c r="L4004" s="398"/>
      <c r="M4004" s="682"/>
      <c r="N4004" s="171"/>
      <c r="O4004" s="171"/>
      <c r="P4004" s="169"/>
      <c r="Q4004" s="171"/>
      <c r="R4004" s="171"/>
      <c r="S4004" s="171"/>
      <c r="T4004" s="171"/>
      <c r="U4004" s="171"/>
      <c r="V4004" s="171"/>
      <c r="W4004" s="171"/>
      <c r="X4004" s="171"/>
      <c r="Y4004" s="171"/>
      <c r="Z4004" s="171"/>
      <c r="AA4004" s="171"/>
    </row>
    <row r="4005" spans="1:27" s="530" customFormat="1" hidden="1" x14ac:dyDescent="0.2">
      <c r="A4005" s="526"/>
      <c r="B4005" s="527"/>
      <c r="C4005" s="465"/>
      <c r="D4005" s="464"/>
      <c r="E4005" s="464"/>
      <c r="F4005" s="494">
        <v>431</v>
      </c>
      <c r="G4005" s="495" t="s">
        <v>4181</v>
      </c>
      <c r="H4005" s="397"/>
      <c r="I4005" s="397"/>
      <c r="J4005" s="750" t="e">
        <f t="shared" si="46"/>
        <v>#DIV/0!</v>
      </c>
      <c r="K4005" s="398"/>
      <c r="L4005" s="398"/>
      <c r="M4005" s="682"/>
      <c r="N4005" s="171"/>
      <c r="O4005" s="171"/>
      <c r="P4005" s="169"/>
      <c r="Q4005" s="171"/>
      <c r="R4005" s="171"/>
      <c r="S4005" s="171"/>
      <c r="T4005" s="171"/>
      <c r="U4005" s="171"/>
      <c r="V4005" s="171"/>
      <c r="W4005" s="171"/>
      <c r="X4005" s="171"/>
      <c r="Y4005" s="171"/>
      <c r="Z4005" s="171"/>
      <c r="AA4005" s="171"/>
    </row>
    <row r="4006" spans="1:27" s="530" customFormat="1" hidden="1" x14ac:dyDescent="0.2">
      <c r="A4006" s="526"/>
      <c r="B4006" s="527"/>
      <c r="C4006" s="465"/>
      <c r="D4006" s="464"/>
      <c r="E4006" s="464"/>
      <c r="F4006" s="494">
        <v>432</v>
      </c>
      <c r="G4006" s="495" t="s">
        <v>4182</v>
      </c>
      <c r="H4006" s="397"/>
      <c r="I4006" s="397"/>
      <c r="J4006" s="750" t="e">
        <f t="shared" si="46"/>
        <v>#DIV/0!</v>
      </c>
      <c r="K4006" s="398"/>
      <c r="L4006" s="398"/>
      <c r="M4006" s="682"/>
      <c r="N4006" s="171"/>
      <c r="O4006" s="171"/>
      <c r="P4006" s="169"/>
      <c r="Q4006" s="171"/>
      <c r="R4006" s="171"/>
      <c r="S4006" s="171"/>
      <c r="T4006" s="171"/>
      <c r="U4006" s="171"/>
      <c r="V4006" s="171"/>
      <c r="W4006" s="171"/>
      <c r="X4006" s="171"/>
      <c r="Y4006" s="171"/>
      <c r="Z4006" s="171"/>
      <c r="AA4006" s="171"/>
    </row>
    <row r="4007" spans="1:27" s="530" customFormat="1" hidden="1" x14ac:dyDescent="0.2">
      <c r="A4007" s="526"/>
      <c r="B4007" s="527"/>
      <c r="C4007" s="465"/>
      <c r="D4007" s="464"/>
      <c r="E4007" s="464"/>
      <c r="F4007" s="494">
        <v>433</v>
      </c>
      <c r="G4007" s="495" t="s">
        <v>4183</v>
      </c>
      <c r="H4007" s="397"/>
      <c r="I4007" s="397"/>
      <c r="J4007" s="750" t="e">
        <f t="shared" si="46"/>
        <v>#DIV/0!</v>
      </c>
      <c r="K4007" s="398"/>
      <c r="L4007" s="398"/>
      <c r="M4007" s="682"/>
      <c r="N4007" s="171"/>
      <c r="O4007" s="171"/>
      <c r="P4007" s="169"/>
      <c r="Q4007" s="171"/>
      <c r="R4007" s="171"/>
      <c r="S4007" s="171"/>
      <c r="T4007" s="171"/>
      <c r="U4007" s="171"/>
      <c r="V4007" s="171"/>
      <c r="W4007" s="171"/>
      <c r="X4007" s="171"/>
      <c r="Y4007" s="171"/>
      <c r="Z4007" s="171"/>
      <c r="AA4007" s="171"/>
    </row>
    <row r="4008" spans="1:27" s="530" customFormat="1" hidden="1" x14ac:dyDescent="0.2">
      <c r="A4008" s="526"/>
      <c r="B4008" s="527"/>
      <c r="C4008" s="465"/>
      <c r="D4008" s="464"/>
      <c r="E4008" s="464"/>
      <c r="F4008" s="494">
        <v>434</v>
      </c>
      <c r="G4008" s="495" t="s">
        <v>4184</v>
      </c>
      <c r="H4008" s="397"/>
      <c r="I4008" s="397"/>
      <c r="J4008" s="750" t="e">
        <f t="shared" si="46"/>
        <v>#DIV/0!</v>
      </c>
      <c r="K4008" s="398"/>
      <c r="L4008" s="398"/>
      <c r="M4008" s="682"/>
      <c r="N4008" s="171"/>
      <c r="O4008" s="171"/>
      <c r="P4008" s="169"/>
      <c r="Q4008" s="171"/>
      <c r="R4008" s="171"/>
      <c r="S4008" s="171"/>
      <c r="T4008" s="171"/>
      <c r="U4008" s="171"/>
      <c r="V4008" s="171"/>
      <c r="W4008" s="171"/>
      <c r="X4008" s="171"/>
      <c r="Y4008" s="171"/>
      <c r="Z4008" s="171"/>
      <c r="AA4008" s="171"/>
    </row>
    <row r="4009" spans="1:27" s="530" customFormat="1" hidden="1" x14ac:dyDescent="0.2">
      <c r="A4009" s="526"/>
      <c r="B4009" s="527"/>
      <c r="C4009" s="465"/>
      <c r="D4009" s="464"/>
      <c r="E4009" s="464"/>
      <c r="F4009" s="494">
        <v>435</v>
      </c>
      <c r="G4009" s="495" t="s">
        <v>3792</v>
      </c>
      <c r="H4009" s="397"/>
      <c r="I4009" s="397"/>
      <c r="J4009" s="750" t="e">
        <f t="shared" si="46"/>
        <v>#DIV/0!</v>
      </c>
      <c r="K4009" s="398"/>
      <c r="L4009" s="398"/>
      <c r="M4009" s="682"/>
      <c r="N4009" s="171"/>
      <c r="O4009" s="171"/>
      <c r="P4009" s="169"/>
      <c r="Q4009" s="171"/>
      <c r="R4009" s="171"/>
      <c r="S4009" s="171"/>
      <c r="T4009" s="171"/>
      <c r="U4009" s="171"/>
      <c r="V4009" s="171"/>
      <c r="W4009" s="171"/>
      <c r="X4009" s="171"/>
      <c r="Y4009" s="171"/>
      <c r="Z4009" s="171"/>
      <c r="AA4009" s="171"/>
    </row>
    <row r="4010" spans="1:27" s="530" customFormat="1" hidden="1" x14ac:dyDescent="0.2">
      <c r="A4010" s="526"/>
      <c r="B4010" s="527"/>
      <c r="C4010" s="465"/>
      <c r="D4010" s="464"/>
      <c r="E4010" s="464"/>
      <c r="F4010" s="494">
        <v>441</v>
      </c>
      <c r="G4010" s="495" t="s">
        <v>4185</v>
      </c>
      <c r="H4010" s="397"/>
      <c r="I4010" s="397"/>
      <c r="J4010" s="750" t="e">
        <f t="shared" si="46"/>
        <v>#DIV/0!</v>
      </c>
      <c r="K4010" s="398"/>
      <c r="L4010" s="398"/>
      <c r="M4010" s="682"/>
      <c r="N4010" s="171"/>
      <c r="O4010" s="171"/>
      <c r="P4010" s="169"/>
      <c r="Q4010" s="171"/>
      <c r="R4010" s="171"/>
      <c r="S4010" s="171"/>
      <c r="T4010" s="171"/>
      <c r="U4010" s="171"/>
      <c r="V4010" s="171"/>
      <c r="W4010" s="171"/>
      <c r="X4010" s="171"/>
      <c r="Y4010" s="171"/>
      <c r="Z4010" s="171"/>
      <c r="AA4010" s="171"/>
    </row>
    <row r="4011" spans="1:27" s="530" customFormat="1" hidden="1" x14ac:dyDescent="0.2">
      <c r="A4011" s="526"/>
      <c r="B4011" s="527"/>
      <c r="C4011" s="465"/>
      <c r="D4011" s="464"/>
      <c r="E4011" s="464"/>
      <c r="F4011" s="494">
        <v>442</v>
      </c>
      <c r="G4011" s="495" t="s">
        <v>4186</v>
      </c>
      <c r="H4011" s="397"/>
      <c r="I4011" s="397"/>
      <c r="J4011" s="750" t="e">
        <f t="shared" si="46"/>
        <v>#DIV/0!</v>
      </c>
      <c r="K4011" s="398"/>
      <c r="L4011" s="398"/>
      <c r="M4011" s="682"/>
      <c r="N4011" s="171"/>
      <c r="O4011" s="171"/>
      <c r="P4011" s="169"/>
      <c r="Q4011" s="171"/>
      <c r="R4011" s="171"/>
      <c r="S4011" s="171"/>
      <c r="T4011" s="171"/>
      <c r="U4011" s="171"/>
      <c r="V4011" s="171"/>
      <c r="W4011" s="171"/>
      <c r="X4011" s="171"/>
      <c r="Y4011" s="171"/>
      <c r="Z4011" s="171"/>
      <c r="AA4011" s="171"/>
    </row>
    <row r="4012" spans="1:27" s="530" customFormat="1" hidden="1" x14ac:dyDescent="0.2">
      <c r="A4012" s="526"/>
      <c r="B4012" s="527"/>
      <c r="C4012" s="465"/>
      <c r="D4012" s="464"/>
      <c r="E4012" s="464"/>
      <c r="F4012" s="494">
        <v>443</v>
      </c>
      <c r="G4012" s="495" t="s">
        <v>3797</v>
      </c>
      <c r="H4012" s="397"/>
      <c r="I4012" s="397"/>
      <c r="J4012" s="750" t="e">
        <f t="shared" si="46"/>
        <v>#DIV/0!</v>
      </c>
      <c r="K4012" s="398"/>
      <c r="L4012" s="398"/>
      <c r="M4012" s="682"/>
      <c r="N4012" s="171"/>
      <c r="O4012" s="171"/>
      <c r="P4012" s="169"/>
      <c r="Q4012" s="171"/>
      <c r="R4012" s="171"/>
      <c r="S4012" s="171"/>
      <c r="T4012" s="171"/>
      <c r="U4012" s="171"/>
      <c r="V4012" s="171"/>
      <c r="W4012" s="171"/>
      <c r="X4012" s="171"/>
      <c r="Y4012" s="171"/>
      <c r="Z4012" s="171"/>
      <c r="AA4012" s="171"/>
    </row>
    <row r="4013" spans="1:27" s="530" customFormat="1" hidden="1" x14ac:dyDescent="0.2">
      <c r="A4013" s="526"/>
      <c r="B4013" s="527"/>
      <c r="C4013" s="465"/>
      <c r="D4013" s="464"/>
      <c r="E4013" s="464"/>
      <c r="F4013" s="494">
        <v>444</v>
      </c>
      <c r="G4013" s="495" t="s">
        <v>3798</v>
      </c>
      <c r="H4013" s="397"/>
      <c r="I4013" s="397"/>
      <c r="J4013" s="750" t="e">
        <f t="shared" si="46"/>
        <v>#DIV/0!</v>
      </c>
      <c r="K4013" s="398"/>
      <c r="L4013" s="398"/>
      <c r="M4013" s="682"/>
      <c r="N4013" s="171"/>
      <c r="O4013" s="171"/>
      <c r="P4013" s="169"/>
      <c r="Q4013" s="171"/>
      <c r="R4013" s="171"/>
      <c r="S4013" s="171"/>
      <c r="T4013" s="171"/>
      <c r="U4013" s="171"/>
      <c r="V4013" s="171"/>
      <c r="W4013" s="171"/>
      <c r="X4013" s="171"/>
      <c r="Y4013" s="171"/>
      <c r="Z4013" s="171"/>
      <c r="AA4013" s="171"/>
    </row>
    <row r="4014" spans="1:27" s="530" customFormat="1" ht="25.5" hidden="1" x14ac:dyDescent="0.2">
      <c r="A4014" s="526"/>
      <c r="B4014" s="527"/>
      <c r="C4014" s="465"/>
      <c r="D4014" s="464"/>
      <c r="E4014" s="464"/>
      <c r="F4014" s="494">
        <v>4511</v>
      </c>
      <c r="G4014" s="466" t="s">
        <v>1692</v>
      </c>
      <c r="H4014" s="397"/>
      <c r="I4014" s="397"/>
      <c r="J4014" s="750" t="e">
        <f t="shared" si="46"/>
        <v>#DIV/0!</v>
      </c>
      <c r="K4014" s="398"/>
      <c r="L4014" s="398"/>
      <c r="M4014" s="682"/>
      <c r="N4014" s="171"/>
      <c r="O4014" s="171"/>
      <c r="P4014" s="169"/>
      <c r="Q4014" s="171"/>
      <c r="R4014" s="171"/>
      <c r="S4014" s="171"/>
      <c r="T4014" s="171"/>
      <c r="U4014" s="171"/>
      <c r="V4014" s="171"/>
      <c r="W4014" s="171"/>
      <c r="X4014" s="171"/>
      <c r="Y4014" s="171"/>
      <c r="Z4014" s="171"/>
      <c r="AA4014" s="171"/>
    </row>
    <row r="4015" spans="1:27" s="530" customFormat="1" ht="25.5" hidden="1" x14ac:dyDescent="0.2">
      <c r="A4015" s="526"/>
      <c r="B4015" s="527"/>
      <c r="C4015" s="465"/>
      <c r="D4015" s="464"/>
      <c r="E4015" s="464"/>
      <c r="F4015" s="494">
        <v>4512</v>
      </c>
      <c r="G4015" s="466" t="s">
        <v>1701</v>
      </c>
      <c r="H4015" s="397"/>
      <c r="I4015" s="397"/>
      <c r="J4015" s="750" t="e">
        <f t="shared" si="46"/>
        <v>#DIV/0!</v>
      </c>
      <c r="K4015" s="398"/>
      <c r="L4015" s="398"/>
      <c r="M4015" s="682"/>
      <c r="N4015" s="171"/>
      <c r="O4015" s="171"/>
      <c r="P4015" s="169"/>
      <c r="Q4015" s="171"/>
      <c r="R4015" s="171"/>
      <c r="S4015" s="171"/>
      <c r="T4015" s="171"/>
      <c r="U4015" s="171"/>
      <c r="V4015" s="171"/>
      <c r="W4015" s="171"/>
      <c r="X4015" s="171"/>
      <c r="Y4015" s="171"/>
      <c r="Z4015" s="171"/>
      <c r="AA4015" s="171"/>
    </row>
    <row r="4016" spans="1:27" s="530" customFormat="1" ht="25.5" hidden="1" x14ac:dyDescent="0.2">
      <c r="A4016" s="526"/>
      <c r="B4016" s="527"/>
      <c r="C4016" s="465"/>
      <c r="D4016" s="464"/>
      <c r="E4016" s="464"/>
      <c r="F4016" s="494">
        <v>452</v>
      </c>
      <c r="G4016" s="495" t="s">
        <v>4187</v>
      </c>
      <c r="H4016" s="397"/>
      <c r="I4016" s="397"/>
      <c r="J4016" s="750" t="e">
        <f t="shared" si="46"/>
        <v>#DIV/0!</v>
      </c>
      <c r="K4016" s="398"/>
      <c r="L4016" s="398"/>
      <c r="M4016" s="682"/>
      <c r="N4016" s="171"/>
      <c r="O4016" s="171"/>
      <c r="P4016" s="169"/>
      <c r="Q4016" s="171"/>
      <c r="R4016" s="171"/>
      <c r="S4016" s="171"/>
      <c r="T4016" s="171"/>
      <c r="U4016" s="171"/>
      <c r="V4016" s="171"/>
      <c r="W4016" s="171"/>
      <c r="X4016" s="171"/>
      <c r="Y4016" s="171"/>
      <c r="Z4016" s="171"/>
      <c r="AA4016" s="171"/>
    </row>
    <row r="4017" spans="1:27" s="530" customFormat="1" ht="25.5" hidden="1" x14ac:dyDescent="0.2">
      <c r="A4017" s="526"/>
      <c r="B4017" s="527"/>
      <c r="C4017" s="465"/>
      <c r="D4017" s="464"/>
      <c r="E4017" s="464"/>
      <c r="F4017" s="494">
        <v>453</v>
      </c>
      <c r="G4017" s="495" t="s">
        <v>4188</v>
      </c>
      <c r="H4017" s="397"/>
      <c r="I4017" s="397"/>
      <c r="J4017" s="750" t="e">
        <f t="shared" si="46"/>
        <v>#DIV/0!</v>
      </c>
      <c r="K4017" s="398"/>
      <c r="L4017" s="398"/>
      <c r="M4017" s="682"/>
      <c r="N4017" s="171"/>
      <c r="O4017" s="171"/>
      <c r="P4017" s="169"/>
      <c r="Q4017" s="171"/>
      <c r="R4017" s="171"/>
      <c r="S4017" s="171"/>
      <c r="T4017" s="171"/>
      <c r="U4017" s="171"/>
      <c r="V4017" s="171"/>
      <c r="W4017" s="171"/>
      <c r="X4017" s="171"/>
      <c r="Y4017" s="171"/>
      <c r="Z4017" s="171"/>
      <c r="AA4017" s="171"/>
    </row>
    <row r="4018" spans="1:27" s="530" customFormat="1" hidden="1" x14ac:dyDescent="0.2">
      <c r="A4018" s="526"/>
      <c r="B4018" s="527"/>
      <c r="C4018" s="465"/>
      <c r="D4018" s="464"/>
      <c r="E4018" s="464"/>
      <c r="F4018" s="494">
        <v>454</v>
      </c>
      <c r="G4018" s="495" t="s">
        <v>3803</v>
      </c>
      <c r="H4018" s="397"/>
      <c r="I4018" s="397"/>
      <c r="J4018" s="750" t="e">
        <f t="shared" si="46"/>
        <v>#DIV/0!</v>
      </c>
      <c r="K4018" s="398"/>
      <c r="L4018" s="398"/>
      <c r="M4018" s="682"/>
      <c r="N4018" s="171"/>
      <c r="O4018" s="171"/>
      <c r="P4018" s="169"/>
      <c r="Q4018" s="171"/>
      <c r="R4018" s="171"/>
      <c r="S4018" s="171"/>
      <c r="T4018" s="171"/>
      <c r="U4018" s="171"/>
      <c r="V4018" s="171"/>
      <c r="W4018" s="171"/>
      <c r="X4018" s="171"/>
      <c r="Y4018" s="171"/>
      <c r="Z4018" s="171"/>
      <c r="AA4018" s="171"/>
    </row>
    <row r="4019" spans="1:27" s="530" customFormat="1" hidden="1" x14ac:dyDescent="0.2">
      <c r="A4019" s="526"/>
      <c r="B4019" s="527"/>
      <c r="C4019" s="465"/>
      <c r="D4019" s="464"/>
      <c r="E4019" s="464"/>
      <c r="F4019" s="494">
        <v>461</v>
      </c>
      <c r="G4019" s="495" t="s">
        <v>4169</v>
      </c>
      <c r="H4019" s="397"/>
      <c r="I4019" s="397"/>
      <c r="J4019" s="750" t="e">
        <f t="shared" si="46"/>
        <v>#DIV/0!</v>
      </c>
      <c r="K4019" s="398"/>
      <c r="L4019" s="398"/>
      <c r="M4019" s="682"/>
      <c r="N4019" s="171"/>
      <c r="O4019" s="171"/>
      <c r="P4019" s="169"/>
      <c r="Q4019" s="171"/>
      <c r="R4019" s="171"/>
      <c r="S4019" s="171"/>
      <c r="T4019" s="171"/>
      <c r="U4019" s="171"/>
      <c r="V4019" s="171"/>
      <c r="W4019" s="171"/>
      <c r="X4019" s="171"/>
      <c r="Y4019" s="171"/>
      <c r="Z4019" s="171"/>
      <c r="AA4019" s="171"/>
    </row>
    <row r="4020" spans="1:27" s="530" customFormat="1" ht="25.5" hidden="1" x14ac:dyDescent="0.2">
      <c r="A4020" s="526"/>
      <c r="B4020" s="527"/>
      <c r="C4020" s="465"/>
      <c r="D4020" s="464"/>
      <c r="E4020" s="464"/>
      <c r="F4020" s="494">
        <v>462</v>
      </c>
      <c r="G4020" s="495" t="s">
        <v>3806</v>
      </c>
      <c r="H4020" s="397"/>
      <c r="I4020" s="397"/>
      <c r="J4020" s="750" t="e">
        <f t="shared" si="46"/>
        <v>#DIV/0!</v>
      </c>
      <c r="K4020" s="398"/>
      <c r="L4020" s="398"/>
      <c r="M4020" s="682"/>
      <c r="N4020" s="171"/>
      <c r="O4020" s="171"/>
      <c r="P4020" s="169"/>
      <c r="Q4020" s="171"/>
      <c r="R4020" s="171"/>
      <c r="S4020" s="171"/>
      <c r="T4020" s="171"/>
      <c r="U4020" s="171"/>
      <c r="V4020" s="171"/>
      <c r="W4020" s="171"/>
      <c r="X4020" s="171"/>
      <c r="Y4020" s="171"/>
      <c r="Z4020" s="171"/>
      <c r="AA4020" s="171"/>
    </row>
    <row r="4021" spans="1:27" s="530" customFormat="1" hidden="1" x14ac:dyDescent="0.2">
      <c r="A4021" s="526"/>
      <c r="B4021" s="527"/>
      <c r="C4021" s="465"/>
      <c r="D4021" s="464"/>
      <c r="E4021" s="464"/>
      <c r="F4021" s="494">
        <v>4631</v>
      </c>
      <c r="G4021" s="495" t="s">
        <v>3807</v>
      </c>
      <c r="H4021" s="397"/>
      <c r="I4021" s="397"/>
      <c r="J4021" s="750" t="e">
        <f t="shared" si="46"/>
        <v>#DIV/0!</v>
      </c>
      <c r="K4021" s="398"/>
      <c r="L4021" s="398"/>
      <c r="M4021" s="682"/>
      <c r="N4021" s="171"/>
      <c r="O4021" s="171"/>
      <c r="P4021" s="169"/>
      <c r="Q4021" s="171"/>
      <c r="R4021" s="171"/>
      <c r="S4021" s="171"/>
      <c r="T4021" s="171"/>
      <c r="U4021" s="171"/>
      <c r="V4021" s="171"/>
      <c r="W4021" s="171"/>
      <c r="X4021" s="171"/>
      <c r="Y4021" s="171"/>
      <c r="Z4021" s="171"/>
      <c r="AA4021" s="171"/>
    </row>
    <row r="4022" spans="1:27" s="530" customFormat="1" hidden="1" x14ac:dyDescent="0.2">
      <c r="A4022" s="526"/>
      <c r="B4022" s="527"/>
      <c r="C4022" s="465"/>
      <c r="D4022" s="464"/>
      <c r="E4022" s="464"/>
      <c r="F4022" s="494">
        <v>4632</v>
      </c>
      <c r="G4022" s="495" t="s">
        <v>3808</v>
      </c>
      <c r="H4022" s="397"/>
      <c r="I4022" s="397"/>
      <c r="J4022" s="750" t="e">
        <f t="shared" si="46"/>
        <v>#DIV/0!</v>
      </c>
      <c r="K4022" s="398"/>
      <c r="L4022" s="398"/>
      <c r="M4022" s="682"/>
      <c r="N4022" s="171"/>
      <c r="O4022" s="171"/>
      <c r="P4022" s="169"/>
      <c r="Q4022" s="171"/>
      <c r="R4022" s="171"/>
      <c r="S4022" s="171"/>
      <c r="T4022" s="171"/>
      <c r="U4022" s="171"/>
      <c r="V4022" s="171"/>
      <c r="W4022" s="171"/>
      <c r="X4022" s="171"/>
      <c r="Y4022" s="171"/>
      <c r="Z4022" s="171"/>
      <c r="AA4022" s="171"/>
    </row>
    <row r="4023" spans="1:27" s="530" customFormat="1" ht="25.5" hidden="1" x14ac:dyDescent="0.2">
      <c r="A4023" s="526"/>
      <c r="B4023" s="527"/>
      <c r="C4023" s="465"/>
      <c r="D4023" s="464"/>
      <c r="E4023" s="464"/>
      <c r="F4023" s="494">
        <v>464</v>
      </c>
      <c r="G4023" s="495" t="s">
        <v>3809</v>
      </c>
      <c r="H4023" s="397"/>
      <c r="I4023" s="397"/>
      <c r="J4023" s="750" t="e">
        <f t="shared" si="46"/>
        <v>#DIV/0!</v>
      </c>
      <c r="K4023" s="398"/>
      <c r="L4023" s="398"/>
      <c r="M4023" s="682"/>
      <c r="N4023" s="171"/>
      <c r="O4023" s="171"/>
      <c r="P4023" s="169"/>
      <c r="Q4023" s="171"/>
      <c r="R4023" s="171"/>
      <c r="S4023" s="171"/>
      <c r="T4023" s="171"/>
      <c r="U4023" s="171"/>
      <c r="V4023" s="171"/>
      <c r="W4023" s="171"/>
      <c r="X4023" s="171"/>
      <c r="Y4023" s="171"/>
      <c r="Z4023" s="171"/>
      <c r="AA4023" s="171"/>
    </row>
    <row r="4024" spans="1:27" s="530" customFormat="1" hidden="1" x14ac:dyDescent="0.2">
      <c r="A4024" s="526"/>
      <c r="B4024" s="527"/>
      <c r="C4024" s="465"/>
      <c r="D4024" s="464"/>
      <c r="E4024" s="464"/>
      <c r="F4024" s="494">
        <v>465</v>
      </c>
      <c r="G4024" s="495" t="s">
        <v>4170</v>
      </c>
      <c r="H4024" s="397"/>
      <c r="I4024" s="397"/>
      <c r="J4024" s="750" t="e">
        <f t="shared" si="46"/>
        <v>#DIV/0!</v>
      </c>
      <c r="K4024" s="398"/>
      <c r="L4024" s="398"/>
      <c r="M4024" s="682"/>
      <c r="N4024" s="171"/>
      <c r="O4024" s="171"/>
      <c r="P4024" s="169"/>
      <c r="Q4024" s="171"/>
      <c r="R4024" s="171"/>
      <c r="S4024" s="171"/>
      <c r="T4024" s="171"/>
      <c r="U4024" s="171"/>
      <c r="V4024" s="171"/>
      <c r="W4024" s="171"/>
      <c r="X4024" s="171"/>
      <c r="Y4024" s="171"/>
      <c r="Z4024" s="171"/>
      <c r="AA4024" s="171"/>
    </row>
    <row r="4025" spans="1:27" s="530" customFormat="1" hidden="1" x14ac:dyDescent="0.2">
      <c r="A4025" s="526"/>
      <c r="B4025" s="527"/>
      <c r="C4025" s="465"/>
      <c r="D4025" s="464"/>
      <c r="E4025" s="464"/>
      <c r="F4025" s="494">
        <v>472</v>
      </c>
      <c r="G4025" s="495" t="s">
        <v>3813</v>
      </c>
      <c r="H4025" s="397"/>
      <c r="I4025" s="397"/>
      <c r="J4025" s="750" t="e">
        <f t="shared" si="46"/>
        <v>#DIV/0!</v>
      </c>
      <c r="K4025" s="398"/>
      <c r="L4025" s="398"/>
      <c r="M4025" s="682"/>
      <c r="N4025" s="171"/>
      <c r="O4025" s="171"/>
      <c r="P4025" s="169"/>
      <c r="Q4025" s="171"/>
      <c r="R4025" s="171"/>
      <c r="S4025" s="171"/>
      <c r="T4025" s="171"/>
      <c r="U4025" s="171"/>
      <c r="V4025" s="171"/>
      <c r="W4025" s="171"/>
      <c r="X4025" s="171"/>
      <c r="Y4025" s="171"/>
      <c r="Z4025" s="171"/>
      <c r="AA4025" s="171"/>
    </row>
    <row r="4026" spans="1:27" s="530" customFormat="1" hidden="1" x14ac:dyDescent="0.2">
      <c r="A4026" s="526"/>
      <c r="B4026" s="527"/>
      <c r="C4026" s="465"/>
      <c r="D4026" s="464"/>
      <c r="E4026" s="464"/>
      <c r="F4026" s="494">
        <v>481</v>
      </c>
      <c r="G4026" s="495" t="s">
        <v>4189</v>
      </c>
      <c r="H4026" s="397"/>
      <c r="I4026" s="397"/>
      <c r="J4026" s="750" t="e">
        <f t="shared" si="46"/>
        <v>#DIV/0!</v>
      </c>
      <c r="K4026" s="398"/>
      <c r="L4026" s="398"/>
      <c r="M4026" s="682"/>
      <c r="N4026" s="171"/>
      <c r="O4026" s="171"/>
      <c r="P4026" s="169"/>
      <c r="Q4026" s="171"/>
      <c r="R4026" s="171"/>
      <c r="S4026" s="171"/>
      <c r="T4026" s="171"/>
      <c r="U4026" s="171"/>
      <c r="V4026" s="171"/>
      <c r="W4026" s="171"/>
      <c r="X4026" s="171"/>
      <c r="Y4026" s="171"/>
      <c r="Z4026" s="171"/>
      <c r="AA4026" s="171"/>
    </row>
    <row r="4027" spans="1:27" s="530" customFormat="1" hidden="1" x14ac:dyDescent="0.2">
      <c r="A4027" s="526"/>
      <c r="B4027" s="527"/>
      <c r="C4027" s="465"/>
      <c r="D4027" s="464"/>
      <c r="E4027" s="464"/>
      <c r="F4027" s="494">
        <v>482</v>
      </c>
      <c r="G4027" s="495" t="s">
        <v>4190</v>
      </c>
      <c r="H4027" s="397"/>
      <c r="I4027" s="397"/>
      <c r="J4027" s="750" t="e">
        <f t="shared" si="46"/>
        <v>#DIV/0!</v>
      </c>
      <c r="K4027" s="398"/>
      <c r="L4027" s="398"/>
      <c r="M4027" s="682"/>
      <c r="N4027" s="171"/>
      <c r="O4027" s="171"/>
      <c r="P4027" s="169"/>
      <c r="Q4027" s="171"/>
      <c r="R4027" s="171"/>
      <c r="S4027" s="171"/>
      <c r="T4027" s="171"/>
      <c r="U4027" s="171"/>
      <c r="V4027" s="171"/>
      <c r="W4027" s="171"/>
      <c r="X4027" s="171"/>
      <c r="Y4027" s="171"/>
      <c r="Z4027" s="171"/>
      <c r="AA4027" s="171"/>
    </row>
    <row r="4028" spans="1:27" s="530" customFormat="1" hidden="1" x14ac:dyDescent="0.2">
      <c r="A4028" s="526"/>
      <c r="B4028" s="527"/>
      <c r="C4028" s="465"/>
      <c r="D4028" s="464"/>
      <c r="E4028" s="464"/>
      <c r="F4028" s="494">
        <v>483</v>
      </c>
      <c r="G4028" s="497" t="s">
        <v>4191</v>
      </c>
      <c r="H4028" s="397"/>
      <c r="I4028" s="397"/>
      <c r="J4028" s="750" t="e">
        <f t="shared" si="46"/>
        <v>#DIV/0!</v>
      </c>
      <c r="K4028" s="398"/>
      <c r="L4028" s="398"/>
      <c r="M4028" s="682"/>
      <c r="N4028" s="171"/>
      <c r="O4028" s="171"/>
      <c r="P4028" s="169"/>
      <c r="Q4028" s="171"/>
      <c r="R4028" s="171"/>
      <c r="S4028" s="171"/>
      <c r="T4028" s="171"/>
      <c r="U4028" s="171"/>
      <c r="V4028" s="171"/>
      <c r="W4028" s="171"/>
      <c r="X4028" s="171"/>
      <c r="Y4028" s="171"/>
      <c r="Z4028" s="171"/>
      <c r="AA4028" s="171"/>
    </row>
    <row r="4029" spans="1:27" s="530" customFormat="1" ht="38.25" hidden="1" x14ac:dyDescent="0.2">
      <c r="A4029" s="526"/>
      <c r="B4029" s="527"/>
      <c r="C4029" s="465"/>
      <c r="D4029" s="464"/>
      <c r="E4029" s="464"/>
      <c r="F4029" s="494">
        <v>484</v>
      </c>
      <c r="G4029" s="495" t="s">
        <v>4192</v>
      </c>
      <c r="H4029" s="397"/>
      <c r="I4029" s="397"/>
      <c r="J4029" s="750" t="e">
        <f t="shared" si="46"/>
        <v>#DIV/0!</v>
      </c>
      <c r="K4029" s="398"/>
      <c r="L4029" s="398"/>
      <c r="M4029" s="682"/>
      <c r="N4029" s="171"/>
      <c r="O4029" s="171"/>
      <c r="P4029" s="169"/>
      <c r="Q4029" s="171"/>
      <c r="R4029" s="171"/>
      <c r="S4029" s="171"/>
      <c r="T4029" s="171"/>
      <c r="U4029" s="171"/>
      <c r="V4029" s="171"/>
      <c r="W4029" s="171"/>
      <c r="X4029" s="171"/>
      <c r="Y4029" s="171"/>
      <c r="Z4029" s="171"/>
      <c r="AA4029" s="171"/>
    </row>
    <row r="4030" spans="1:27" s="530" customFormat="1" ht="25.5" hidden="1" x14ac:dyDescent="0.2">
      <c r="A4030" s="526"/>
      <c r="B4030" s="527"/>
      <c r="C4030" s="465"/>
      <c r="D4030" s="464"/>
      <c r="E4030" s="464"/>
      <c r="F4030" s="494">
        <v>485</v>
      </c>
      <c r="G4030" s="495" t="s">
        <v>4193</v>
      </c>
      <c r="H4030" s="397"/>
      <c r="I4030" s="397"/>
      <c r="J4030" s="750" t="e">
        <f t="shared" si="46"/>
        <v>#DIV/0!</v>
      </c>
      <c r="K4030" s="398"/>
      <c r="L4030" s="398"/>
      <c r="M4030" s="682"/>
      <c r="N4030" s="171"/>
      <c r="O4030" s="171"/>
      <c r="P4030" s="169"/>
      <c r="Q4030" s="171"/>
      <c r="R4030" s="171"/>
      <c r="S4030" s="171"/>
      <c r="T4030" s="171"/>
      <c r="U4030" s="171"/>
      <c r="V4030" s="171"/>
      <c r="W4030" s="171"/>
      <c r="X4030" s="171"/>
      <c r="Y4030" s="171"/>
      <c r="Z4030" s="171"/>
      <c r="AA4030" s="171"/>
    </row>
    <row r="4031" spans="1:27" s="530" customFormat="1" ht="25.5" hidden="1" x14ac:dyDescent="0.2">
      <c r="A4031" s="526"/>
      <c r="B4031" s="527"/>
      <c r="C4031" s="465"/>
      <c r="D4031" s="464"/>
      <c r="E4031" s="464"/>
      <c r="F4031" s="494">
        <v>489</v>
      </c>
      <c r="G4031" s="495" t="s">
        <v>3821</v>
      </c>
      <c r="H4031" s="397"/>
      <c r="I4031" s="397"/>
      <c r="J4031" s="750" t="e">
        <f t="shared" si="46"/>
        <v>#DIV/0!</v>
      </c>
      <c r="K4031" s="398"/>
      <c r="L4031" s="398"/>
      <c r="M4031" s="682"/>
      <c r="N4031" s="171"/>
      <c r="O4031" s="171"/>
      <c r="P4031" s="169"/>
      <c r="Q4031" s="171"/>
      <c r="R4031" s="171"/>
      <c r="S4031" s="171"/>
      <c r="T4031" s="171"/>
      <c r="U4031" s="171"/>
      <c r="V4031" s="171"/>
      <c r="W4031" s="171"/>
      <c r="X4031" s="171"/>
      <c r="Y4031" s="171"/>
      <c r="Z4031" s="171"/>
      <c r="AA4031" s="171"/>
    </row>
    <row r="4032" spans="1:27" s="530" customFormat="1" ht="25.5" hidden="1" x14ac:dyDescent="0.2">
      <c r="A4032" s="526"/>
      <c r="B4032" s="527"/>
      <c r="C4032" s="465"/>
      <c r="D4032" s="464"/>
      <c r="E4032" s="464"/>
      <c r="F4032" s="494">
        <v>494</v>
      </c>
      <c r="G4032" s="495" t="s">
        <v>4171</v>
      </c>
      <c r="H4032" s="397"/>
      <c r="I4032" s="397"/>
      <c r="J4032" s="750" t="e">
        <f t="shared" si="46"/>
        <v>#DIV/0!</v>
      </c>
      <c r="K4032" s="398"/>
      <c r="L4032" s="398"/>
      <c r="M4032" s="682"/>
      <c r="N4032" s="171"/>
      <c r="O4032" s="171"/>
      <c r="P4032" s="169"/>
      <c r="Q4032" s="171"/>
      <c r="R4032" s="171"/>
      <c r="S4032" s="171"/>
      <c r="T4032" s="171"/>
      <c r="U4032" s="171"/>
      <c r="V4032" s="171"/>
      <c r="W4032" s="171"/>
      <c r="X4032" s="171"/>
      <c r="Y4032" s="171"/>
      <c r="Z4032" s="171"/>
      <c r="AA4032" s="171"/>
    </row>
    <row r="4033" spans="1:27" s="530" customFormat="1" ht="25.5" hidden="1" x14ac:dyDescent="0.2">
      <c r="A4033" s="526"/>
      <c r="B4033" s="527"/>
      <c r="C4033" s="465"/>
      <c r="D4033" s="464"/>
      <c r="E4033" s="464"/>
      <c r="F4033" s="494">
        <v>495</v>
      </c>
      <c r="G4033" s="495" t="s">
        <v>4172</v>
      </c>
      <c r="H4033" s="397"/>
      <c r="I4033" s="397"/>
      <c r="J4033" s="750" t="e">
        <f t="shared" si="46"/>
        <v>#DIV/0!</v>
      </c>
      <c r="K4033" s="398"/>
      <c r="L4033" s="398"/>
      <c r="M4033" s="682"/>
      <c r="N4033" s="171"/>
      <c r="O4033" s="171"/>
      <c r="P4033" s="169"/>
      <c r="Q4033" s="171"/>
      <c r="R4033" s="171"/>
      <c r="S4033" s="171"/>
      <c r="T4033" s="171"/>
      <c r="U4033" s="171"/>
      <c r="V4033" s="171"/>
      <c r="W4033" s="171"/>
      <c r="X4033" s="171"/>
      <c r="Y4033" s="171"/>
      <c r="Z4033" s="171"/>
      <c r="AA4033" s="171"/>
    </row>
    <row r="4034" spans="1:27" s="530" customFormat="1" ht="38.25" hidden="1" x14ac:dyDescent="0.2">
      <c r="A4034" s="526"/>
      <c r="B4034" s="527"/>
      <c r="C4034" s="465"/>
      <c r="D4034" s="464"/>
      <c r="E4034" s="464"/>
      <c r="F4034" s="494">
        <v>496</v>
      </c>
      <c r="G4034" s="495" t="s">
        <v>4173</v>
      </c>
      <c r="H4034" s="397"/>
      <c r="I4034" s="397"/>
      <c r="J4034" s="750" t="e">
        <f t="shared" si="46"/>
        <v>#DIV/0!</v>
      </c>
      <c r="K4034" s="398"/>
      <c r="L4034" s="398"/>
      <c r="M4034" s="682"/>
      <c r="N4034" s="171"/>
      <c r="O4034" s="171"/>
      <c r="P4034" s="169"/>
      <c r="Q4034" s="171"/>
      <c r="R4034" s="171"/>
      <c r="S4034" s="171"/>
      <c r="T4034" s="171"/>
      <c r="U4034" s="171"/>
      <c r="V4034" s="171"/>
      <c r="W4034" s="171"/>
      <c r="X4034" s="171"/>
      <c r="Y4034" s="171"/>
      <c r="Z4034" s="171"/>
      <c r="AA4034" s="171"/>
    </row>
    <row r="4035" spans="1:27" s="530" customFormat="1" ht="25.5" hidden="1" x14ac:dyDescent="0.2">
      <c r="A4035" s="526"/>
      <c r="B4035" s="527"/>
      <c r="C4035" s="465"/>
      <c r="D4035" s="464"/>
      <c r="E4035" s="464"/>
      <c r="F4035" s="494">
        <v>499</v>
      </c>
      <c r="G4035" s="495" t="s">
        <v>4174</v>
      </c>
      <c r="H4035" s="397"/>
      <c r="I4035" s="397"/>
      <c r="J4035" s="750" t="e">
        <f t="shared" si="46"/>
        <v>#DIV/0!</v>
      </c>
      <c r="K4035" s="398"/>
      <c r="L4035" s="398"/>
      <c r="M4035" s="682"/>
      <c r="N4035" s="171"/>
      <c r="O4035" s="171"/>
      <c r="P4035" s="169"/>
      <c r="Q4035" s="171"/>
      <c r="R4035" s="171"/>
      <c r="S4035" s="171"/>
      <c r="T4035" s="171"/>
      <c r="U4035" s="171"/>
      <c r="V4035" s="171"/>
      <c r="W4035" s="171"/>
      <c r="X4035" s="171"/>
      <c r="Y4035" s="171"/>
      <c r="Z4035" s="171"/>
      <c r="AA4035" s="171"/>
    </row>
    <row r="4036" spans="1:27" s="530" customFormat="1" ht="13.5" customHeight="1" thickBot="1" x14ac:dyDescent="0.25">
      <c r="A4036" s="526"/>
      <c r="B4036" s="527"/>
      <c r="C4036" s="465"/>
      <c r="D4036" s="464"/>
      <c r="E4036" s="464">
        <v>47</v>
      </c>
      <c r="F4036" s="494">
        <v>511</v>
      </c>
      <c r="G4036" s="497" t="s">
        <v>4194</v>
      </c>
      <c r="H4036" s="397">
        <v>13500000</v>
      </c>
      <c r="I4036" s="397">
        <v>10991472</v>
      </c>
      <c r="J4036" s="750">
        <f t="shared" si="46"/>
        <v>81.418311111111109</v>
      </c>
      <c r="K4036" s="398"/>
      <c r="L4036" s="398"/>
      <c r="M4036" s="682"/>
      <c r="N4036" s="171"/>
      <c r="O4036" s="171"/>
      <c r="P4036" s="169"/>
      <c r="Q4036" s="171"/>
      <c r="R4036" s="171"/>
      <c r="S4036" s="171"/>
      <c r="T4036" s="171"/>
      <c r="U4036" s="171"/>
      <c r="V4036" s="171"/>
      <c r="W4036" s="171"/>
      <c r="X4036" s="171"/>
      <c r="Y4036" s="171"/>
      <c r="Z4036" s="171"/>
      <c r="AA4036" s="171"/>
    </row>
    <row r="4037" spans="1:27" s="530" customFormat="1" ht="13.5" hidden="1" thickBot="1" x14ac:dyDescent="0.25">
      <c r="A4037" s="526"/>
      <c r="B4037" s="527"/>
      <c r="C4037" s="465"/>
      <c r="D4037" s="464"/>
      <c r="E4037" s="464"/>
      <c r="F4037" s="494">
        <v>512</v>
      </c>
      <c r="G4037" s="497" t="s">
        <v>4195</v>
      </c>
      <c r="H4037" s="397"/>
      <c r="I4037" s="397"/>
      <c r="J4037" s="750" t="e">
        <f t="shared" si="46"/>
        <v>#DIV/0!</v>
      </c>
      <c r="K4037" s="398"/>
      <c r="L4037" s="398"/>
      <c r="M4037" s="682"/>
      <c r="N4037" s="171"/>
      <c r="O4037" s="171"/>
      <c r="P4037" s="169"/>
      <c r="Q4037" s="171"/>
      <c r="R4037" s="171"/>
      <c r="S4037" s="171"/>
      <c r="T4037" s="171"/>
      <c r="U4037" s="171"/>
      <c r="V4037" s="171"/>
      <c r="W4037" s="171"/>
      <c r="X4037" s="171"/>
      <c r="Y4037" s="171"/>
      <c r="Z4037" s="171"/>
      <c r="AA4037" s="171"/>
    </row>
    <row r="4038" spans="1:27" s="530" customFormat="1" ht="13.5" hidden="1" thickBot="1" x14ac:dyDescent="0.25">
      <c r="A4038" s="526"/>
      <c r="B4038" s="527"/>
      <c r="C4038" s="465"/>
      <c r="D4038" s="464"/>
      <c r="E4038" s="464"/>
      <c r="F4038" s="494">
        <v>513</v>
      </c>
      <c r="G4038" s="497" t="s">
        <v>4196</v>
      </c>
      <c r="H4038" s="397"/>
      <c r="I4038" s="397"/>
      <c r="J4038" s="750" t="e">
        <f t="shared" si="46"/>
        <v>#DIV/0!</v>
      </c>
      <c r="K4038" s="398"/>
      <c r="L4038" s="398"/>
      <c r="M4038" s="682"/>
      <c r="N4038" s="171"/>
      <c r="O4038" s="171"/>
      <c r="P4038" s="169"/>
      <c r="Q4038" s="171"/>
      <c r="R4038" s="171"/>
      <c r="S4038" s="171"/>
      <c r="T4038" s="171"/>
      <c r="U4038" s="171"/>
      <c r="V4038" s="171"/>
      <c r="W4038" s="171"/>
      <c r="X4038" s="171"/>
      <c r="Y4038" s="171"/>
      <c r="Z4038" s="171"/>
      <c r="AA4038" s="171"/>
    </row>
    <row r="4039" spans="1:27" s="530" customFormat="1" ht="13.5" hidden="1" thickBot="1" x14ac:dyDescent="0.25">
      <c r="A4039" s="526"/>
      <c r="B4039" s="527"/>
      <c r="C4039" s="465"/>
      <c r="D4039" s="464"/>
      <c r="E4039" s="464"/>
      <c r="F4039" s="494">
        <v>514</v>
      </c>
      <c r="G4039" s="495" t="s">
        <v>4197</v>
      </c>
      <c r="H4039" s="397"/>
      <c r="I4039" s="397"/>
      <c r="J4039" s="750" t="e">
        <f t="shared" si="46"/>
        <v>#DIV/0!</v>
      </c>
      <c r="K4039" s="398"/>
      <c r="L4039" s="398"/>
      <c r="M4039" s="682"/>
      <c r="N4039" s="171"/>
      <c r="O4039" s="171"/>
      <c r="P4039" s="169"/>
      <c r="Q4039" s="171"/>
      <c r="R4039" s="171"/>
      <c r="S4039" s="171"/>
      <c r="T4039" s="171"/>
      <c r="U4039" s="171"/>
      <c r="V4039" s="171"/>
      <c r="W4039" s="171"/>
      <c r="X4039" s="171"/>
      <c r="Y4039" s="171"/>
      <c r="Z4039" s="171"/>
      <c r="AA4039" s="171"/>
    </row>
    <row r="4040" spans="1:27" s="530" customFormat="1" ht="13.5" hidden="1" thickBot="1" x14ac:dyDescent="0.25">
      <c r="A4040" s="526"/>
      <c r="B4040" s="527"/>
      <c r="C4040" s="465"/>
      <c r="D4040" s="464"/>
      <c r="E4040" s="464"/>
      <c r="F4040" s="494">
        <v>515</v>
      </c>
      <c r="G4040" s="495" t="s">
        <v>3832</v>
      </c>
      <c r="H4040" s="397"/>
      <c r="I4040" s="397"/>
      <c r="J4040" s="750" t="e">
        <f t="shared" si="46"/>
        <v>#DIV/0!</v>
      </c>
      <c r="K4040" s="398"/>
      <c r="L4040" s="398"/>
      <c r="M4040" s="682"/>
      <c r="N4040" s="171"/>
      <c r="O4040" s="171"/>
      <c r="P4040" s="169"/>
      <c r="Q4040" s="171"/>
      <c r="R4040" s="171"/>
      <c r="S4040" s="171"/>
      <c r="T4040" s="171"/>
      <c r="U4040" s="171"/>
      <c r="V4040" s="171"/>
      <c r="W4040" s="171"/>
      <c r="X4040" s="171"/>
      <c r="Y4040" s="171"/>
      <c r="Z4040" s="171"/>
      <c r="AA4040" s="171"/>
    </row>
    <row r="4041" spans="1:27" s="530" customFormat="1" ht="13.5" hidden="1" thickBot="1" x14ac:dyDescent="0.25">
      <c r="A4041" s="526"/>
      <c r="B4041" s="527"/>
      <c r="C4041" s="465"/>
      <c r="D4041" s="464"/>
      <c r="E4041" s="464"/>
      <c r="F4041" s="494">
        <v>521</v>
      </c>
      <c r="G4041" s="495" t="s">
        <v>4198</v>
      </c>
      <c r="H4041" s="397"/>
      <c r="I4041" s="397"/>
      <c r="J4041" s="750" t="e">
        <f t="shared" si="46"/>
        <v>#DIV/0!</v>
      </c>
      <c r="K4041" s="398"/>
      <c r="L4041" s="398"/>
      <c r="M4041" s="682"/>
      <c r="N4041" s="171"/>
      <c r="O4041" s="171"/>
      <c r="P4041" s="169"/>
      <c r="Q4041" s="171"/>
      <c r="R4041" s="171"/>
      <c r="S4041" s="171"/>
      <c r="T4041" s="171"/>
      <c r="U4041" s="171"/>
      <c r="V4041" s="171"/>
      <c r="W4041" s="171"/>
      <c r="X4041" s="171"/>
      <c r="Y4041" s="171"/>
      <c r="Z4041" s="171"/>
      <c r="AA4041" s="171"/>
    </row>
    <row r="4042" spans="1:27" s="530" customFormat="1" ht="13.5" hidden="1" thickBot="1" x14ac:dyDescent="0.25">
      <c r="A4042" s="526"/>
      <c r="B4042" s="527"/>
      <c r="C4042" s="465"/>
      <c r="D4042" s="464"/>
      <c r="E4042" s="464"/>
      <c r="F4042" s="494">
        <v>522</v>
      </c>
      <c r="G4042" s="495" t="s">
        <v>4199</v>
      </c>
      <c r="H4042" s="397"/>
      <c r="I4042" s="397"/>
      <c r="J4042" s="750" t="e">
        <f t="shared" si="46"/>
        <v>#DIV/0!</v>
      </c>
      <c r="K4042" s="398"/>
      <c r="L4042" s="398"/>
      <c r="M4042" s="682"/>
      <c r="N4042" s="171"/>
      <c r="O4042" s="171"/>
      <c r="P4042" s="169"/>
      <c r="Q4042" s="171"/>
      <c r="R4042" s="171"/>
      <c r="S4042" s="171"/>
      <c r="T4042" s="171"/>
      <c r="U4042" s="171"/>
      <c r="V4042" s="171"/>
      <c r="W4042" s="171"/>
      <c r="X4042" s="171"/>
      <c r="Y4042" s="171"/>
      <c r="Z4042" s="171"/>
      <c r="AA4042" s="171"/>
    </row>
    <row r="4043" spans="1:27" s="530" customFormat="1" ht="13.5" hidden="1" thickBot="1" x14ac:dyDescent="0.25">
      <c r="A4043" s="526"/>
      <c r="B4043" s="527"/>
      <c r="C4043" s="465"/>
      <c r="D4043" s="464"/>
      <c r="E4043" s="464"/>
      <c r="F4043" s="494">
        <v>523</v>
      </c>
      <c r="G4043" s="495" t="s">
        <v>3837</v>
      </c>
      <c r="H4043" s="397"/>
      <c r="I4043" s="397"/>
      <c r="J4043" s="750" t="e">
        <f t="shared" si="46"/>
        <v>#DIV/0!</v>
      </c>
      <c r="K4043" s="398"/>
      <c r="L4043" s="398"/>
      <c r="M4043" s="682"/>
      <c r="N4043" s="171"/>
      <c r="O4043" s="171"/>
      <c r="P4043" s="169"/>
      <c r="Q4043" s="171"/>
      <c r="R4043" s="171"/>
      <c r="S4043" s="171"/>
      <c r="T4043" s="171"/>
      <c r="U4043" s="171"/>
      <c r="V4043" s="171"/>
      <c r="W4043" s="171"/>
      <c r="X4043" s="171"/>
      <c r="Y4043" s="171"/>
      <c r="Z4043" s="171"/>
      <c r="AA4043" s="171"/>
    </row>
    <row r="4044" spans="1:27" s="530" customFormat="1" ht="13.5" hidden="1" thickBot="1" x14ac:dyDescent="0.25">
      <c r="A4044" s="526"/>
      <c r="B4044" s="527"/>
      <c r="C4044" s="465"/>
      <c r="D4044" s="464"/>
      <c r="E4044" s="464"/>
      <c r="F4044" s="494">
        <v>531</v>
      </c>
      <c r="G4044" s="496" t="s">
        <v>4175</v>
      </c>
      <c r="H4044" s="397"/>
      <c r="I4044" s="397"/>
      <c r="J4044" s="750" t="e">
        <f t="shared" si="46"/>
        <v>#DIV/0!</v>
      </c>
      <c r="K4044" s="398"/>
      <c r="L4044" s="398"/>
      <c r="M4044" s="682"/>
      <c r="N4044" s="171"/>
      <c r="O4044" s="171"/>
      <c r="P4044" s="169"/>
      <c r="Q4044" s="171"/>
      <c r="R4044" s="171"/>
      <c r="S4044" s="171"/>
      <c r="T4044" s="171"/>
      <c r="U4044" s="171"/>
      <c r="V4044" s="171"/>
      <c r="W4044" s="171"/>
      <c r="X4044" s="171"/>
      <c r="Y4044" s="171"/>
      <c r="Z4044" s="171"/>
      <c r="AA4044" s="171"/>
    </row>
    <row r="4045" spans="1:27" s="530" customFormat="1" ht="13.5" hidden="1" thickBot="1" x14ac:dyDescent="0.25">
      <c r="A4045" s="526"/>
      <c r="B4045" s="527"/>
      <c r="C4045" s="465"/>
      <c r="D4045" s="464"/>
      <c r="E4045" s="464"/>
      <c r="F4045" s="494">
        <v>541</v>
      </c>
      <c r="G4045" s="495" t="s">
        <v>4200</v>
      </c>
      <c r="H4045" s="397"/>
      <c r="I4045" s="397"/>
      <c r="J4045" s="750" t="e">
        <f t="shared" ref="J4045:J4087" si="47">SUM(I4045/H4045)*100</f>
        <v>#DIV/0!</v>
      </c>
      <c r="K4045" s="398"/>
      <c r="L4045" s="398"/>
      <c r="M4045" s="682"/>
      <c r="N4045" s="171"/>
      <c r="O4045" s="171"/>
      <c r="P4045" s="169"/>
      <c r="Q4045" s="171"/>
      <c r="R4045" s="171"/>
      <c r="S4045" s="171"/>
      <c r="T4045" s="171"/>
      <c r="U4045" s="171"/>
      <c r="V4045" s="171"/>
      <c r="W4045" s="171"/>
      <c r="X4045" s="171"/>
      <c r="Y4045" s="171"/>
      <c r="Z4045" s="171"/>
      <c r="AA4045" s="171"/>
    </row>
    <row r="4046" spans="1:27" s="530" customFormat="1" ht="13.5" hidden="1" thickBot="1" x14ac:dyDescent="0.25">
      <c r="A4046" s="526"/>
      <c r="B4046" s="527"/>
      <c r="C4046" s="465"/>
      <c r="D4046" s="464"/>
      <c r="E4046" s="464"/>
      <c r="F4046" s="494">
        <v>542</v>
      </c>
      <c r="G4046" s="495" t="s">
        <v>4201</v>
      </c>
      <c r="H4046" s="397"/>
      <c r="I4046" s="397"/>
      <c r="J4046" s="750" t="e">
        <f t="shared" si="47"/>
        <v>#DIV/0!</v>
      </c>
      <c r="K4046" s="398"/>
      <c r="L4046" s="398"/>
      <c r="M4046" s="682"/>
      <c r="N4046" s="171"/>
      <c r="O4046" s="171"/>
      <c r="P4046" s="169"/>
      <c r="Q4046" s="171"/>
      <c r="R4046" s="171"/>
      <c r="S4046" s="171"/>
      <c r="T4046" s="171"/>
      <c r="U4046" s="171"/>
      <c r="V4046" s="171"/>
      <c r="W4046" s="171"/>
      <c r="X4046" s="171"/>
      <c r="Y4046" s="171"/>
      <c r="Z4046" s="171"/>
      <c r="AA4046" s="171"/>
    </row>
    <row r="4047" spans="1:27" s="530" customFormat="1" ht="13.5" hidden="1" thickBot="1" x14ac:dyDescent="0.25">
      <c r="A4047" s="526"/>
      <c r="B4047" s="527"/>
      <c r="C4047" s="465"/>
      <c r="D4047" s="464"/>
      <c r="E4047" s="464"/>
      <c r="F4047" s="494">
        <v>543</v>
      </c>
      <c r="G4047" s="495" t="s">
        <v>3842</v>
      </c>
      <c r="H4047" s="397"/>
      <c r="I4047" s="397"/>
      <c r="J4047" s="750" t="e">
        <f t="shared" si="47"/>
        <v>#DIV/0!</v>
      </c>
      <c r="K4047" s="398"/>
      <c r="L4047" s="398"/>
      <c r="M4047" s="682"/>
      <c r="N4047" s="171"/>
      <c r="O4047" s="171"/>
      <c r="P4047" s="169"/>
      <c r="Q4047" s="171"/>
      <c r="R4047" s="171"/>
      <c r="S4047" s="171"/>
      <c r="T4047" s="171"/>
      <c r="U4047" s="171"/>
      <c r="V4047" s="171"/>
      <c r="W4047" s="171"/>
      <c r="X4047" s="171"/>
      <c r="Y4047" s="171"/>
      <c r="Z4047" s="171"/>
      <c r="AA4047" s="171"/>
    </row>
    <row r="4048" spans="1:27" s="530" customFormat="1" ht="39" hidden="1" thickBot="1" x14ac:dyDescent="0.25">
      <c r="A4048" s="526"/>
      <c r="B4048" s="527"/>
      <c r="C4048" s="465"/>
      <c r="D4048" s="464"/>
      <c r="E4048" s="464"/>
      <c r="F4048" s="494">
        <v>551</v>
      </c>
      <c r="G4048" s="495" t="s">
        <v>4176</v>
      </c>
      <c r="H4048" s="397"/>
      <c r="I4048" s="397"/>
      <c r="J4048" s="750" t="e">
        <f t="shared" si="47"/>
        <v>#DIV/0!</v>
      </c>
      <c r="K4048" s="398"/>
      <c r="L4048" s="398"/>
      <c r="M4048" s="682"/>
      <c r="N4048" s="171"/>
      <c r="O4048" s="171"/>
      <c r="P4048" s="169"/>
      <c r="Q4048" s="171"/>
      <c r="R4048" s="171"/>
      <c r="S4048" s="171"/>
      <c r="T4048" s="171"/>
      <c r="U4048" s="171"/>
      <c r="V4048" s="171"/>
      <c r="W4048" s="171"/>
      <c r="X4048" s="171"/>
      <c r="Y4048" s="171"/>
      <c r="Z4048" s="171"/>
      <c r="AA4048" s="171"/>
    </row>
    <row r="4049" spans="1:27" s="530" customFormat="1" ht="13.5" hidden="1" thickBot="1" x14ac:dyDescent="0.25">
      <c r="A4049" s="526"/>
      <c r="B4049" s="527"/>
      <c r="C4049" s="465"/>
      <c r="D4049" s="464"/>
      <c r="E4049" s="464"/>
      <c r="F4049" s="498">
        <v>611</v>
      </c>
      <c r="G4049" s="499" t="s">
        <v>3848</v>
      </c>
      <c r="H4049" s="397"/>
      <c r="I4049" s="397"/>
      <c r="J4049" s="750" t="e">
        <f t="shared" si="47"/>
        <v>#DIV/0!</v>
      </c>
      <c r="K4049" s="398"/>
      <c r="L4049" s="398"/>
      <c r="M4049" s="682"/>
      <c r="N4049" s="171"/>
      <c r="O4049" s="171"/>
      <c r="P4049" s="169"/>
      <c r="Q4049" s="171"/>
      <c r="R4049" s="171"/>
      <c r="S4049" s="171"/>
      <c r="T4049" s="171"/>
      <c r="U4049" s="171"/>
      <c r="V4049" s="171"/>
      <c r="W4049" s="171"/>
      <c r="X4049" s="171"/>
      <c r="Y4049" s="171"/>
      <c r="Z4049" s="171"/>
      <c r="AA4049" s="171"/>
    </row>
    <row r="4050" spans="1:27" s="530" customFormat="1" ht="13.5" hidden="1" thickBot="1" x14ac:dyDescent="0.25">
      <c r="A4050" s="526"/>
      <c r="B4050" s="527"/>
      <c r="C4050" s="465"/>
      <c r="D4050" s="464"/>
      <c r="E4050" s="464"/>
      <c r="F4050" s="498">
        <v>620</v>
      </c>
      <c r="G4050" s="499" t="s">
        <v>88</v>
      </c>
      <c r="H4050" s="397"/>
      <c r="I4050" s="397"/>
      <c r="J4050" s="750" t="e">
        <f t="shared" si="47"/>
        <v>#DIV/0!</v>
      </c>
      <c r="K4050" s="398"/>
      <c r="L4050" s="398"/>
      <c r="M4050" s="682"/>
      <c r="N4050" s="171"/>
      <c r="O4050" s="171"/>
      <c r="P4050" s="169"/>
      <c r="Q4050" s="171"/>
      <c r="R4050" s="171"/>
      <c r="S4050" s="171"/>
      <c r="T4050" s="171"/>
      <c r="U4050" s="171"/>
      <c r="V4050" s="171"/>
      <c r="W4050" s="171"/>
      <c r="X4050" s="171"/>
      <c r="Y4050" s="171"/>
      <c r="Z4050" s="171"/>
      <c r="AA4050" s="171"/>
    </row>
    <row r="4051" spans="1:27" s="530" customFormat="1" x14ac:dyDescent="0.2">
      <c r="A4051" s="526"/>
      <c r="B4051" s="527"/>
      <c r="C4051" s="465"/>
      <c r="D4051" s="464"/>
      <c r="E4051" s="500"/>
      <c r="F4051" s="498"/>
      <c r="G4051" s="501" t="s">
        <v>4344</v>
      </c>
      <c r="H4051" s="400"/>
      <c r="I4051" s="400"/>
      <c r="J4051" s="750"/>
      <c r="K4051" s="401"/>
      <c r="L4051" s="402"/>
      <c r="M4051" s="682"/>
      <c r="N4051" s="171"/>
      <c r="O4051" s="171"/>
      <c r="P4051" s="169"/>
      <c r="Q4051" s="171"/>
      <c r="R4051" s="171"/>
      <c r="S4051" s="171"/>
      <c r="T4051" s="171"/>
      <c r="U4051" s="171"/>
      <c r="V4051" s="171"/>
      <c r="W4051" s="171"/>
      <c r="X4051" s="171"/>
      <c r="Y4051" s="171"/>
      <c r="Z4051" s="171"/>
      <c r="AA4051" s="171"/>
    </row>
    <row r="4052" spans="1:27" s="530" customFormat="1" x14ac:dyDescent="0.2">
      <c r="A4052" s="526"/>
      <c r="B4052" s="527"/>
      <c r="C4052" s="465"/>
      <c r="D4052" s="464"/>
      <c r="E4052" s="502"/>
      <c r="F4052" s="503" t="s">
        <v>234</v>
      </c>
      <c r="G4052" s="504" t="s">
        <v>235</v>
      </c>
      <c r="H4052" s="403">
        <v>7500000</v>
      </c>
      <c r="I4052" s="403">
        <v>4991472</v>
      </c>
      <c r="J4052" s="750">
        <f t="shared" si="47"/>
        <v>66.552959999999999</v>
      </c>
      <c r="K4052" s="404"/>
      <c r="L4052" s="404"/>
      <c r="M4052" s="682"/>
      <c r="N4052" s="171"/>
      <c r="O4052" s="171"/>
      <c r="P4052" s="169"/>
      <c r="Q4052" s="171"/>
      <c r="R4052" s="171"/>
      <c r="S4052" s="171"/>
      <c r="T4052" s="171"/>
      <c r="U4052" s="171"/>
      <c r="V4052" s="171"/>
      <c r="W4052" s="171"/>
      <c r="X4052" s="171"/>
      <c r="Y4052" s="171"/>
      <c r="Z4052" s="171"/>
      <c r="AA4052" s="171"/>
    </row>
    <row r="4053" spans="1:27" s="530" customFormat="1" hidden="1" x14ac:dyDescent="0.2">
      <c r="A4053" s="526"/>
      <c r="B4053" s="527"/>
      <c r="C4053" s="465"/>
      <c r="D4053" s="464"/>
      <c r="E4053" s="464"/>
      <c r="F4053" s="503" t="s">
        <v>236</v>
      </c>
      <c r="G4053" s="504" t="s">
        <v>237</v>
      </c>
      <c r="H4053" s="397"/>
      <c r="I4053" s="397"/>
      <c r="J4053" s="750" t="e">
        <f t="shared" si="47"/>
        <v>#DIV/0!</v>
      </c>
      <c r="K4053" s="398"/>
      <c r="L4053" s="404"/>
      <c r="M4053" s="682"/>
      <c r="N4053" s="171"/>
      <c r="O4053" s="171"/>
      <c r="P4053" s="169"/>
      <c r="Q4053" s="171"/>
      <c r="R4053" s="171"/>
      <c r="S4053" s="171"/>
      <c r="T4053" s="171"/>
      <c r="U4053" s="171"/>
      <c r="V4053" s="171"/>
      <c r="W4053" s="171"/>
      <c r="X4053" s="171"/>
      <c r="Y4053" s="171"/>
      <c r="Z4053" s="171"/>
      <c r="AA4053" s="171"/>
    </row>
    <row r="4054" spans="1:27" s="530" customFormat="1" hidden="1" x14ac:dyDescent="0.2">
      <c r="A4054" s="526"/>
      <c r="B4054" s="527"/>
      <c r="C4054" s="465"/>
      <c r="D4054" s="464"/>
      <c r="E4054" s="464"/>
      <c r="F4054" s="503" t="s">
        <v>238</v>
      </c>
      <c r="G4054" s="504" t="s">
        <v>239</v>
      </c>
      <c r="H4054" s="397"/>
      <c r="I4054" s="397"/>
      <c r="J4054" s="750" t="e">
        <f t="shared" si="47"/>
        <v>#DIV/0!</v>
      </c>
      <c r="K4054" s="398"/>
      <c r="L4054" s="404"/>
      <c r="M4054" s="682"/>
      <c r="N4054" s="171"/>
      <c r="O4054" s="171"/>
      <c r="P4054" s="169"/>
      <c r="Q4054" s="171"/>
      <c r="R4054" s="171"/>
      <c r="S4054" s="171"/>
      <c r="T4054" s="171"/>
      <c r="U4054" s="171"/>
      <c r="V4054" s="171"/>
      <c r="W4054" s="171"/>
      <c r="X4054" s="171"/>
      <c r="Y4054" s="171"/>
      <c r="Z4054" s="171"/>
      <c r="AA4054" s="171"/>
    </row>
    <row r="4055" spans="1:27" s="530" customFormat="1" hidden="1" x14ac:dyDescent="0.2">
      <c r="A4055" s="526"/>
      <c r="B4055" s="527"/>
      <c r="C4055" s="465"/>
      <c r="D4055" s="464"/>
      <c r="E4055" s="464"/>
      <c r="F4055" s="503" t="s">
        <v>240</v>
      </c>
      <c r="G4055" s="504" t="s">
        <v>241</v>
      </c>
      <c r="H4055" s="397"/>
      <c r="I4055" s="397"/>
      <c r="J4055" s="750" t="e">
        <f t="shared" si="47"/>
        <v>#DIV/0!</v>
      </c>
      <c r="K4055" s="398"/>
      <c r="L4055" s="404"/>
      <c r="M4055" s="682"/>
      <c r="N4055" s="171"/>
      <c r="O4055" s="171"/>
      <c r="P4055" s="169"/>
      <c r="Q4055" s="171"/>
      <c r="R4055" s="171"/>
      <c r="S4055" s="171"/>
      <c r="T4055" s="171"/>
      <c r="U4055" s="171"/>
      <c r="V4055" s="171"/>
      <c r="W4055" s="171"/>
      <c r="X4055" s="171"/>
      <c r="Y4055" s="171"/>
      <c r="Z4055" s="171"/>
      <c r="AA4055" s="171"/>
    </row>
    <row r="4056" spans="1:27" s="530" customFormat="1" hidden="1" x14ac:dyDescent="0.2">
      <c r="A4056" s="526"/>
      <c r="B4056" s="527"/>
      <c r="C4056" s="465"/>
      <c r="D4056" s="464"/>
      <c r="E4056" s="464"/>
      <c r="F4056" s="503" t="s">
        <v>242</v>
      </c>
      <c r="G4056" s="504" t="s">
        <v>243</v>
      </c>
      <c r="H4056" s="397"/>
      <c r="I4056" s="397"/>
      <c r="J4056" s="750" t="e">
        <f t="shared" si="47"/>
        <v>#DIV/0!</v>
      </c>
      <c r="K4056" s="398"/>
      <c r="L4056" s="404"/>
      <c r="M4056" s="682"/>
      <c r="N4056" s="171"/>
      <c r="O4056" s="171"/>
      <c r="P4056" s="169"/>
      <c r="Q4056" s="171"/>
      <c r="R4056" s="171"/>
      <c r="S4056" s="171"/>
      <c r="T4056" s="171"/>
      <c r="U4056" s="171"/>
      <c r="V4056" s="171"/>
      <c r="W4056" s="171"/>
      <c r="X4056" s="171"/>
      <c r="Y4056" s="171"/>
      <c r="Z4056" s="171"/>
      <c r="AA4056" s="171"/>
    </row>
    <row r="4057" spans="1:27" s="530" customFormat="1" hidden="1" x14ac:dyDescent="0.2">
      <c r="A4057" s="526"/>
      <c r="B4057" s="527"/>
      <c r="C4057" s="465"/>
      <c r="D4057" s="464"/>
      <c r="E4057" s="464"/>
      <c r="F4057" s="503" t="s">
        <v>244</v>
      </c>
      <c r="G4057" s="504" t="s">
        <v>245</v>
      </c>
      <c r="H4057" s="397"/>
      <c r="I4057" s="397"/>
      <c r="J4057" s="750" t="e">
        <f t="shared" si="47"/>
        <v>#DIV/0!</v>
      </c>
      <c r="K4057" s="398"/>
      <c r="L4057" s="404"/>
      <c r="M4057" s="682"/>
      <c r="N4057" s="171"/>
      <c r="O4057" s="171"/>
      <c r="P4057" s="169"/>
      <c r="Q4057" s="171"/>
      <c r="R4057" s="171"/>
      <c r="S4057" s="171"/>
      <c r="T4057" s="171"/>
      <c r="U4057" s="171"/>
      <c r="V4057" s="171"/>
      <c r="W4057" s="171"/>
      <c r="X4057" s="171"/>
      <c r="Y4057" s="171"/>
      <c r="Z4057" s="171"/>
      <c r="AA4057" s="171"/>
    </row>
    <row r="4058" spans="1:27" s="530" customFormat="1" hidden="1" x14ac:dyDescent="0.2">
      <c r="A4058" s="526"/>
      <c r="B4058" s="527"/>
      <c r="C4058" s="465"/>
      <c r="D4058" s="464"/>
      <c r="E4058" s="464"/>
      <c r="F4058" s="503" t="s">
        <v>246</v>
      </c>
      <c r="G4058" s="504" t="s">
        <v>247</v>
      </c>
      <c r="H4058" s="397"/>
      <c r="I4058" s="397"/>
      <c r="J4058" s="750" t="e">
        <f t="shared" si="47"/>
        <v>#DIV/0!</v>
      </c>
      <c r="K4058" s="398"/>
      <c r="L4058" s="404"/>
      <c r="M4058" s="682"/>
      <c r="N4058" s="171"/>
      <c r="O4058" s="171"/>
      <c r="P4058" s="169"/>
      <c r="Q4058" s="171"/>
      <c r="R4058" s="171"/>
      <c r="S4058" s="171"/>
      <c r="T4058" s="171"/>
      <c r="U4058" s="171"/>
      <c r="V4058" s="171"/>
      <c r="W4058" s="171"/>
      <c r="X4058" s="171"/>
      <c r="Y4058" s="171"/>
      <c r="Z4058" s="171"/>
      <c r="AA4058" s="171"/>
    </row>
    <row r="4059" spans="1:27" s="530" customFormat="1" ht="25.5" hidden="1" x14ac:dyDescent="0.2">
      <c r="A4059" s="526"/>
      <c r="B4059" s="527"/>
      <c r="C4059" s="465"/>
      <c r="D4059" s="464"/>
      <c r="E4059" s="464"/>
      <c r="F4059" s="503" t="s">
        <v>248</v>
      </c>
      <c r="G4059" s="504" t="s">
        <v>249</v>
      </c>
      <c r="H4059" s="397"/>
      <c r="I4059" s="397"/>
      <c r="J4059" s="750" t="e">
        <f t="shared" si="47"/>
        <v>#DIV/0!</v>
      </c>
      <c r="K4059" s="398"/>
      <c r="L4059" s="404"/>
      <c r="M4059" s="682"/>
      <c r="N4059" s="171"/>
      <c r="O4059" s="171"/>
      <c r="P4059" s="169"/>
      <c r="Q4059" s="171"/>
      <c r="R4059" s="171"/>
      <c r="S4059" s="171"/>
      <c r="T4059" s="171"/>
      <c r="U4059" s="171"/>
      <c r="V4059" s="171"/>
      <c r="W4059" s="171"/>
      <c r="X4059" s="171"/>
      <c r="Y4059" s="171"/>
      <c r="Z4059" s="171"/>
      <c r="AA4059" s="171"/>
    </row>
    <row r="4060" spans="1:27" s="530" customFormat="1" hidden="1" x14ac:dyDescent="0.2">
      <c r="A4060" s="464"/>
      <c r="B4060" s="464"/>
      <c r="C4060" s="465"/>
      <c r="D4060" s="464"/>
      <c r="E4060" s="464"/>
      <c r="F4060" s="503" t="s">
        <v>250</v>
      </c>
      <c r="G4060" s="504" t="s">
        <v>57</v>
      </c>
      <c r="H4060" s="397"/>
      <c r="I4060" s="397"/>
      <c r="J4060" s="750" t="e">
        <f t="shared" si="47"/>
        <v>#DIV/0!</v>
      </c>
      <c r="K4060" s="398"/>
      <c r="L4060" s="404"/>
      <c r="M4060" s="682"/>
      <c r="N4060" s="171"/>
      <c r="O4060" s="171"/>
      <c r="P4060" s="169"/>
      <c r="Q4060" s="171"/>
      <c r="R4060" s="171"/>
      <c r="S4060" s="171"/>
      <c r="T4060" s="171"/>
      <c r="U4060" s="171"/>
      <c r="V4060" s="171"/>
      <c r="W4060" s="171"/>
      <c r="X4060" s="171"/>
      <c r="Y4060" s="171"/>
      <c r="Z4060" s="171"/>
      <c r="AA4060" s="171"/>
    </row>
    <row r="4061" spans="1:27" s="530" customFormat="1" hidden="1" x14ac:dyDescent="0.2">
      <c r="A4061" s="464"/>
      <c r="B4061" s="464"/>
      <c r="C4061" s="465"/>
      <c r="D4061" s="464"/>
      <c r="E4061" s="464"/>
      <c r="F4061" s="503" t="s">
        <v>251</v>
      </c>
      <c r="G4061" s="504" t="s">
        <v>252</v>
      </c>
      <c r="H4061" s="397"/>
      <c r="I4061" s="397"/>
      <c r="J4061" s="750" t="e">
        <f t="shared" si="47"/>
        <v>#DIV/0!</v>
      </c>
      <c r="K4061" s="398"/>
      <c r="L4061" s="404"/>
      <c r="M4061" s="682"/>
      <c r="N4061" s="171"/>
      <c r="O4061" s="171"/>
      <c r="P4061" s="169"/>
      <c r="Q4061" s="171"/>
      <c r="R4061" s="171"/>
      <c r="S4061" s="171"/>
      <c r="T4061" s="171"/>
      <c r="U4061" s="171"/>
      <c r="V4061" s="171"/>
      <c r="W4061" s="171"/>
      <c r="X4061" s="171"/>
      <c r="Y4061" s="171"/>
      <c r="Z4061" s="171"/>
      <c r="AA4061" s="171"/>
    </row>
    <row r="4062" spans="1:27" s="530" customFormat="1" hidden="1" x14ac:dyDescent="0.2">
      <c r="A4062" s="464"/>
      <c r="B4062" s="464"/>
      <c r="C4062" s="465"/>
      <c r="D4062" s="464"/>
      <c r="E4062" s="464"/>
      <c r="F4062" s="503" t="s">
        <v>253</v>
      </c>
      <c r="G4062" s="504" t="s">
        <v>254</v>
      </c>
      <c r="H4062" s="397"/>
      <c r="I4062" s="397"/>
      <c r="J4062" s="750" t="e">
        <f t="shared" si="47"/>
        <v>#DIV/0!</v>
      </c>
      <c r="K4062" s="398"/>
      <c r="L4062" s="404"/>
      <c r="M4062" s="682"/>
      <c r="N4062" s="171"/>
      <c r="O4062" s="171"/>
      <c r="P4062" s="169"/>
      <c r="Q4062" s="171"/>
      <c r="R4062" s="171"/>
      <c r="S4062" s="171"/>
      <c r="T4062" s="171"/>
      <c r="U4062" s="171"/>
      <c r="V4062" s="171"/>
      <c r="W4062" s="171"/>
      <c r="X4062" s="171"/>
      <c r="Y4062" s="171"/>
      <c r="Z4062" s="171"/>
      <c r="AA4062" s="171"/>
    </row>
    <row r="4063" spans="1:27" s="530" customFormat="1" ht="25.5" hidden="1" x14ac:dyDescent="0.2">
      <c r="A4063" s="464"/>
      <c r="B4063" s="464"/>
      <c r="C4063" s="465"/>
      <c r="D4063" s="464"/>
      <c r="E4063" s="464"/>
      <c r="F4063" s="503" t="s">
        <v>255</v>
      </c>
      <c r="G4063" s="504" t="s">
        <v>256</v>
      </c>
      <c r="H4063" s="397"/>
      <c r="I4063" s="397"/>
      <c r="J4063" s="750" t="e">
        <f t="shared" si="47"/>
        <v>#DIV/0!</v>
      </c>
      <c r="K4063" s="398"/>
      <c r="L4063" s="404"/>
      <c r="M4063" s="682"/>
      <c r="N4063" s="171"/>
      <c r="O4063" s="171"/>
      <c r="P4063" s="169"/>
      <c r="Q4063" s="171"/>
      <c r="R4063" s="171"/>
      <c r="S4063" s="171"/>
      <c r="T4063" s="171"/>
      <c r="U4063" s="171"/>
      <c r="V4063" s="171"/>
      <c r="W4063" s="171"/>
      <c r="X4063" s="171"/>
      <c r="Y4063" s="171"/>
      <c r="Z4063" s="171"/>
      <c r="AA4063" s="171"/>
    </row>
    <row r="4064" spans="1:27" s="530" customFormat="1" ht="25.5" hidden="1" x14ac:dyDescent="0.2">
      <c r="A4064" s="464"/>
      <c r="B4064" s="464"/>
      <c r="C4064" s="465"/>
      <c r="D4064" s="464"/>
      <c r="E4064" s="464"/>
      <c r="F4064" s="503" t="s">
        <v>257</v>
      </c>
      <c r="G4064" s="504" t="s">
        <v>258</v>
      </c>
      <c r="H4064" s="397"/>
      <c r="I4064" s="397"/>
      <c r="J4064" s="750" t="e">
        <f t="shared" si="47"/>
        <v>#DIV/0!</v>
      </c>
      <c r="K4064" s="398"/>
      <c r="L4064" s="404"/>
      <c r="M4064" s="682"/>
      <c r="N4064" s="171"/>
      <c r="O4064" s="171"/>
      <c r="P4064" s="169"/>
      <c r="Q4064" s="171"/>
      <c r="R4064" s="171"/>
      <c r="S4064" s="171"/>
      <c r="T4064" s="171"/>
      <c r="U4064" s="171"/>
      <c r="V4064" s="171"/>
      <c r="W4064" s="171"/>
      <c r="X4064" s="171"/>
      <c r="Y4064" s="171"/>
      <c r="Z4064" s="171"/>
      <c r="AA4064" s="171"/>
    </row>
    <row r="4065" spans="1:27" s="530" customFormat="1" ht="25.5" hidden="1" x14ac:dyDescent="0.2">
      <c r="A4065" s="464"/>
      <c r="B4065" s="464"/>
      <c r="C4065" s="465"/>
      <c r="D4065" s="464"/>
      <c r="E4065" s="464"/>
      <c r="F4065" s="503" t="s">
        <v>259</v>
      </c>
      <c r="G4065" s="504" t="s">
        <v>260</v>
      </c>
      <c r="H4065" s="397"/>
      <c r="I4065" s="397"/>
      <c r="J4065" s="750" t="e">
        <f t="shared" si="47"/>
        <v>#DIV/0!</v>
      </c>
      <c r="K4065" s="398"/>
      <c r="L4065" s="404"/>
      <c r="M4065" s="682"/>
      <c r="N4065" s="171"/>
      <c r="O4065" s="171"/>
      <c r="P4065" s="169"/>
      <c r="Q4065" s="171"/>
      <c r="R4065" s="171"/>
      <c r="S4065" s="171"/>
      <c r="T4065" s="171"/>
      <c r="U4065" s="171"/>
      <c r="V4065" s="171"/>
      <c r="W4065" s="171"/>
      <c r="X4065" s="171"/>
      <c r="Y4065" s="171"/>
      <c r="Z4065" s="171"/>
      <c r="AA4065" s="171"/>
    </row>
    <row r="4066" spans="1:27" s="530" customFormat="1" ht="25.5" hidden="1" x14ac:dyDescent="0.2">
      <c r="A4066" s="464"/>
      <c r="B4066" s="464"/>
      <c r="C4066" s="465"/>
      <c r="D4066" s="464"/>
      <c r="E4066" s="464"/>
      <c r="F4066" s="503" t="s">
        <v>261</v>
      </c>
      <c r="G4066" s="504" t="s">
        <v>262</v>
      </c>
      <c r="H4066" s="397"/>
      <c r="I4066" s="397"/>
      <c r="J4066" s="750" t="e">
        <f t="shared" si="47"/>
        <v>#DIV/0!</v>
      </c>
      <c r="K4066" s="398"/>
      <c r="L4066" s="404"/>
      <c r="M4066" s="682"/>
      <c r="N4066" s="171"/>
      <c r="O4066" s="171"/>
      <c r="P4066" s="169"/>
      <c r="Q4066" s="171"/>
      <c r="R4066" s="171"/>
      <c r="S4066" s="171"/>
      <c r="T4066" s="171"/>
      <c r="U4066" s="171"/>
      <c r="V4066" s="171"/>
      <c r="W4066" s="171"/>
      <c r="X4066" s="171"/>
      <c r="Y4066" s="171"/>
      <c r="Z4066" s="171"/>
      <c r="AA4066" s="171"/>
    </row>
    <row r="4067" spans="1:27" s="530" customFormat="1" ht="12.75" customHeight="1" thickBot="1" x14ac:dyDescent="0.25">
      <c r="A4067" s="464"/>
      <c r="B4067" s="464"/>
      <c r="C4067" s="465"/>
      <c r="D4067" s="464"/>
      <c r="E4067" s="464"/>
      <c r="F4067" s="503" t="s">
        <v>257</v>
      </c>
      <c r="G4067" s="504" t="s">
        <v>258</v>
      </c>
      <c r="H4067" s="403">
        <v>6000000</v>
      </c>
      <c r="I4067" s="403">
        <v>6000000</v>
      </c>
      <c r="J4067" s="750">
        <f t="shared" si="47"/>
        <v>100</v>
      </c>
      <c r="K4067" s="404"/>
      <c r="L4067" s="404"/>
      <c r="M4067" s="682"/>
      <c r="N4067" s="171"/>
      <c r="O4067" s="171"/>
      <c r="P4067" s="169"/>
      <c r="Q4067" s="171"/>
      <c r="R4067" s="171"/>
      <c r="S4067" s="171"/>
      <c r="T4067" s="171"/>
      <c r="U4067" s="171"/>
      <c r="V4067" s="171"/>
      <c r="W4067" s="171"/>
      <c r="X4067" s="171"/>
      <c r="Y4067" s="171"/>
      <c r="Z4067" s="171"/>
      <c r="AA4067" s="171"/>
    </row>
    <row r="4068" spans="1:27" s="530" customFormat="1" ht="11.25" customHeight="1" thickBot="1" x14ac:dyDescent="0.25">
      <c r="A4068" s="464"/>
      <c r="B4068" s="464"/>
      <c r="C4068" s="465"/>
      <c r="D4068" s="464"/>
      <c r="E4068" s="464"/>
      <c r="F4068" s="464"/>
      <c r="G4068" s="505" t="s">
        <v>4345</v>
      </c>
      <c r="H4068" s="405">
        <f>SUM(H4052:H4067)</f>
        <v>13500000</v>
      </c>
      <c r="I4068" s="405">
        <f>SUM(I4052:I4067)</f>
        <v>10991472</v>
      </c>
      <c r="J4068" s="750">
        <f t="shared" si="47"/>
        <v>81.418311111111109</v>
      </c>
      <c r="K4068" s="406">
        <f>SUM(K4053:K4067)</f>
        <v>0</v>
      </c>
      <c r="L4068" s="406"/>
      <c r="M4068" s="682"/>
      <c r="N4068" s="171"/>
      <c r="O4068" s="171"/>
      <c r="P4068" s="169"/>
      <c r="Q4068" s="171"/>
      <c r="R4068" s="171"/>
      <c r="S4068" s="171"/>
      <c r="T4068" s="171"/>
      <c r="U4068" s="171"/>
      <c r="V4068" s="171"/>
      <c r="W4068" s="171"/>
      <c r="X4068" s="171"/>
      <c r="Y4068" s="171"/>
      <c r="Z4068" s="171"/>
      <c r="AA4068" s="171"/>
    </row>
    <row r="4069" spans="1:27" s="530" customFormat="1" ht="12" customHeight="1" x14ac:dyDescent="0.2">
      <c r="A4069" s="464"/>
      <c r="B4069" s="464"/>
      <c r="C4069" s="465"/>
      <c r="D4069" s="464"/>
      <c r="E4069" s="464"/>
      <c r="F4069" s="464"/>
      <c r="G4069" s="510" t="s">
        <v>5225</v>
      </c>
      <c r="H4069" s="411"/>
      <c r="I4069" s="411"/>
      <c r="J4069" s="750"/>
      <c r="K4069" s="412"/>
      <c r="L4069" s="412"/>
      <c r="M4069" s="682"/>
      <c r="N4069" s="171"/>
      <c r="O4069" s="171"/>
      <c r="P4069" s="169"/>
      <c r="Q4069" s="171"/>
      <c r="R4069" s="171"/>
      <c r="S4069" s="171"/>
      <c r="T4069" s="171"/>
      <c r="U4069" s="171"/>
      <c r="V4069" s="171"/>
      <c r="W4069" s="171"/>
      <c r="X4069" s="171"/>
      <c r="Y4069" s="171"/>
      <c r="Z4069" s="171"/>
      <c r="AA4069" s="171"/>
    </row>
    <row r="4070" spans="1:27" s="530" customFormat="1" x14ac:dyDescent="0.2">
      <c r="A4070" s="464"/>
      <c r="B4070" s="464"/>
      <c r="C4070" s="465"/>
      <c r="D4070" s="464"/>
      <c r="E4070" s="464"/>
      <c r="F4070" s="502" t="s">
        <v>234</v>
      </c>
      <c r="G4070" s="566" t="s">
        <v>235</v>
      </c>
      <c r="H4070" s="403">
        <f>SUM(H4052)</f>
        <v>7500000</v>
      </c>
      <c r="I4070" s="403">
        <v>4991472</v>
      </c>
      <c r="J4070" s="750">
        <f t="shared" si="47"/>
        <v>66.552959999999999</v>
      </c>
      <c r="K4070" s="412"/>
      <c r="L4070" s="404"/>
      <c r="M4070" s="682"/>
      <c r="N4070" s="171"/>
      <c r="O4070" s="171"/>
      <c r="P4070" s="169"/>
      <c r="Q4070" s="171"/>
      <c r="R4070" s="171"/>
      <c r="S4070" s="171"/>
      <c r="T4070" s="171"/>
      <c r="U4070" s="171"/>
      <c r="V4070" s="171"/>
      <c r="W4070" s="171"/>
      <c r="X4070" s="171"/>
      <c r="Y4070" s="171"/>
      <c r="Z4070" s="171"/>
      <c r="AA4070" s="171"/>
    </row>
    <row r="4071" spans="1:27" s="530" customFormat="1" hidden="1" x14ac:dyDescent="0.2">
      <c r="A4071" s="464"/>
      <c r="B4071" s="464"/>
      <c r="C4071" s="465"/>
      <c r="D4071" s="464"/>
      <c r="E4071" s="464"/>
      <c r="F4071" s="502" t="s">
        <v>236</v>
      </c>
      <c r="G4071" s="510" t="s">
        <v>237</v>
      </c>
      <c r="H4071" s="411"/>
      <c r="I4071" s="397"/>
      <c r="J4071" s="750" t="e">
        <f t="shared" si="47"/>
        <v>#DIV/0!</v>
      </c>
      <c r="K4071" s="412"/>
      <c r="L4071" s="412"/>
      <c r="M4071" s="682"/>
      <c r="N4071" s="171"/>
      <c r="O4071" s="171"/>
      <c r="P4071" s="169"/>
      <c r="Q4071" s="171"/>
      <c r="R4071" s="171"/>
      <c r="S4071" s="171"/>
      <c r="T4071" s="171"/>
      <c r="U4071" s="171"/>
      <c r="V4071" s="171"/>
      <c r="W4071" s="171"/>
      <c r="X4071" s="171"/>
      <c r="Y4071" s="171"/>
      <c r="Z4071" s="171"/>
      <c r="AA4071" s="171"/>
    </row>
    <row r="4072" spans="1:27" s="530" customFormat="1" hidden="1" x14ac:dyDescent="0.2">
      <c r="A4072" s="464"/>
      <c r="B4072" s="464"/>
      <c r="C4072" s="465"/>
      <c r="D4072" s="464"/>
      <c r="E4072" s="464"/>
      <c r="F4072" s="502" t="s">
        <v>238</v>
      </c>
      <c r="G4072" s="510" t="s">
        <v>239</v>
      </c>
      <c r="H4072" s="411"/>
      <c r="I4072" s="397"/>
      <c r="J4072" s="750" t="e">
        <f t="shared" si="47"/>
        <v>#DIV/0!</v>
      </c>
      <c r="K4072" s="412"/>
      <c r="L4072" s="412"/>
      <c r="M4072" s="682"/>
      <c r="N4072" s="171"/>
      <c r="O4072" s="171"/>
      <c r="P4072" s="169"/>
      <c r="Q4072" s="171"/>
      <c r="R4072" s="171"/>
      <c r="S4072" s="171"/>
      <c r="T4072" s="171"/>
      <c r="U4072" s="171"/>
      <c r="V4072" s="171"/>
      <c r="W4072" s="171"/>
      <c r="X4072" s="171"/>
      <c r="Y4072" s="171"/>
      <c r="Z4072" s="171"/>
      <c r="AA4072" s="171"/>
    </row>
    <row r="4073" spans="1:27" s="530" customFormat="1" hidden="1" x14ac:dyDescent="0.2">
      <c r="A4073" s="464"/>
      <c r="B4073" s="464"/>
      <c r="C4073" s="465"/>
      <c r="D4073" s="464"/>
      <c r="E4073" s="464"/>
      <c r="F4073" s="502" t="s">
        <v>240</v>
      </c>
      <c r="G4073" s="510" t="s">
        <v>241</v>
      </c>
      <c r="H4073" s="411"/>
      <c r="I4073" s="397"/>
      <c r="J4073" s="750" t="e">
        <f t="shared" si="47"/>
        <v>#DIV/0!</v>
      </c>
      <c r="K4073" s="412"/>
      <c r="L4073" s="412"/>
      <c r="M4073" s="682"/>
      <c r="N4073" s="171"/>
      <c r="O4073" s="171"/>
      <c r="P4073" s="169"/>
      <c r="Q4073" s="171"/>
      <c r="R4073" s="171"/>
      <c r="S4073" s="171"/>
      <c r="T4073" s="171"/>
      <c r="U4073" s="171"/>
      <c r="V4073" s="171"/>
      <c r="W4073" s="171"/>
      <c r="X4073" s="171"/>
      <c r="Y4073" s="171"/>
      <c r="Z4073" s="171"/>
      <c r="AA4073" s="171"/>
    </row>
    <row r="4074" spans="1:27" s="530" customFormat="1" hidden="1" x14ac:dyDescent="0.2">
      <c r="A4074" s="464"/>
      <c r="B4074" s="464"/>
      <c r="C4074" s="465"/>
      <c r="D4074" s="464"/>
      <c r="E4074" s="464"/>
      <c r="F4074" s="502" t="s">
        <v>242</v>
      </c>
      <c r="G4074" s="510" t="s">
        <v>243</v>
      </c>
      <c r="H4074" s="411"/>
      <c r="I4074" s="397"/>
      <c r="J4074" s="750" t="e">
        <f t="shared" si="47"/>
        <v>#DIV/0!</v>
      </c>
      <c r="K4074" s="412"/>
      <c r="L4074" s="412"/>
      <c r="M4074" s="682"/>
      <c r="N4074" s="171"/>
      <c r="O4074" s="171"/>
      <c r="P4074" s="169"/>
      <c r="Q4074" s="171"/>
      <c r="R4074" s="171"/>
      <c r="S4074" s="171"/>
      <c r="T4074" s="171"/>
      <c r="U4074" s="171"/>
      <c r="V4074" s="171"/>
      <c r="W4074" s="171"/>
      <c r="X4074" s="171"/>
      <c r="Y4074" s="171"/>
      <c r="Z4074" s="171"/>
      <c r="AA4074" s="171"/>
    </row>
    <row r="4075" spans="1:27" s="530" customFormat="1" hidden="1" x14ac:dyDescent="0.2">
      <c r="A4075" s="464"/>
      <c r="B4075" s="464"/>
      <c r="C4075" s="465"/>
      <c r="D4075" s="464"/>
      <c r="E4075" s="464"/>
      <c r="F4075" s="502" t="s">
        <v>244</v>
      </c>
      <c r="G4075" s="510" t="s">
        <v>245</v>
      </c>
      <c r="H4075" s="411"/>
      <c r="I4075" s="397"/>
      <c r="J4075" s="750" t="e">
        <f t="shared" si="47"/>
        <v>#DIV/0!</v>
      </c>
      <c r="K4075" s="412"/>
      <c r="L4075" s="412"/>
      <c r="M4075" s="682"/>
      <c r="N4075" s="171"/>
      <c r="O4075" s="171"/>
      <c r="P4075" s="169"/>
      <c r="Q4075" s="171"/>
      <c r="R4075" s="171"/>
      <c r="S4075" s="171"/>
      <c r="T4075" s="171"/>
      <c r="U4075" s="171"/>
      <c r="V4075" s="171"/>
      <c r="W4075" s="171"/>
      <c r="X4075" s="171"/>
      <c r="Y4075" s="171"/>
      <c r="Z4075" s="171"/>
      <c r="AA4075" s="171"/>
    </row>
    <row r="4076" spans="1:27" s="530" customFormat="1" hidden="1" x14ac:dyDescent="0.2">
      <c r="A4076" s="464"/>
      <c r="B4076" s="464"/>
      <c r="C4076" s="465"/>
      <c r="D4076" s="464"/>
      <c r="E4076" s="464"/>
      <c r="F4076" s="502" t="s">
        <v>246</v>
      </c>
      <c r="G4076" s="510" t="s">
        <v>247</v>
      </c>
      <c r="H4076" s="411"/>
      <c r="I4076" s="397"/>
      <c r="J4076" s="750" t="e">
        <f t="shared" si="47"/>
        <v>#DIV/0!</v>
      </c>
      <c r="K4076" s="412"/>
      <c r="L4076" s="412"/>
      <c r="M4076" s="682"/>
      <c r="N4076" s="171"/>
      <c r="O4076" s="171"/>
      <c r="P4076" s="169"/>
      <c r="Q4076" s="171"/>
      <c r="R4076" s="171"/>
      <c r="S4076" s="171"/>
      <c r="T4076" s="171"/>
      <c r="U4076" s="171"/>
      <c r="V4076" s="171"/>
      <c r="W4076" s="171"/>
      <c r="X4076" s="171"/>
      <c r="Y4076" s="171"/>
      <c r="Z4076" s="171"/>
      <c r="AA4076" s="171"/>
    </row>
    <row r="4077" spans="1:27" s="530" customFormat="1" ht="25.5" hidden="1" x14ac:dyDescent="0.2">
      <c r="A4077" s="464"/>
      <c r="B4077" s="464"/>
      <c r="C4077" s="465"/>
      <c r="D4077" s="464"/>
      <c r="E4077" s="464"/>
      <c r="F4077" s="502" t="s">
        <v>248</v>
      </c>
      <c r="G4077" s="510" t="s">
        <v>249</v>
      </c>
      <c r="H4077" s="411"/>
      <c r="I4077" s="397"/>
      <c r="J4077" s="750" t="e">
        <f t="shared" si="47"/>
        <v>#DIV/0!</v>
      </c>
      <c r="K4077" s="412"/>
      <c r="L4077" s="412"/>
      <c r="M4077" s="682"/>
      <c r="N4077" s="171"/>
      <c r="O4077" s="171"/>
      <c r="P4077" s="169"/>
      <c r="Q4077" s="171"/>
      <c r="R4077" s="171"/>
      <c r="S4077" s="171"/>
      <c r="T4077" s="171"/>
      <c r="U4077" s="171"/>
      <c r="V4077" s="171"/>
      <c r="W4077" s="171"/>
      <c r="X4077" s="171"/>
      <c r="Y4077" s="171"/>
      <c r="Z4077" s="171"/>
      <c r="AA4077" s="171"/>
    </row>
    <row r="4078" spans="1:27" s="530" customFormat="1" hidden="1" x14ac:dyDescent="0.2">
      <c r="A4078" s="464"/>
      <c r="B4078" s="464"/>
      <c r="C4078" s="465"/>
      <c r="D4078" s="464"/>
      <c r="E4078" s="464"/>
      <c r="F4078" s="502" t="s">
        <v>250</v>
      </c>
      <c r="G4078" s="510" t="s">
        <v>57</v>
      </c>
      <c r="H4078" s="411"/>
      <c r="I4078" s="397"/>
      <c r="J4078" s="750" t="e">
        <f t="shared" si="47"/>
        <v>#DIV/0!</v>
      </c>
      <c r="K4078" s="412"/>
      <c r="L4078" s="412"/>
      <c r="M4078" s="682"/>
      <c r="N4078" s="171"/>
      <c r="O4078" s="171"/>
      <c r="P4078" s="169"/>
      <c r="Q4078" s="171"/>
      <c r="R4078" s="171"/>
      <c r="S4078" s="171"/>
      <c r="T4078" s="171"/>
      <c r="U4078" s="171"/>
      <c r="V4078" s="171"/>
      <c r="W4078" s="171"/>
      <c r="X4078" s="171"/>
      <c r="Y4078" s="171"/>
      <c r="Z4078" s="171"/>
      <c r="AA4078" s="171"/>
    </row>
    <row r="4079" spans="1:27" s="530" customFormat="1" hidden="1" x14ac:dyDescent="0.2">
      <c r="A4079" s="464"/>
      <c r="B4079" s="464"/>
      <c r="C4079" s="465"/>
      <c r="D4079" s="464"/>
      <c r="E4079" s="464"/>
      <c r="F4079" s="502" t="s">
        <v>251</v>
      </c>
      <c r="G4079" s="510" t="s">
        <v>252</v>
      </c>
      <c r="H4079" s="411"/>
      <c r="I4079" s="397"/>
      <c r="J4079" s="750" t="e">
        <f t="shared" si="47"/>
        <v>#DIV/0!</v>
      </c>
      <c r="K4079" s="412"/>
      <c r="L4079" s="412"/>
      <c r="M4079" s="682"/>
      <c r="N4079" s="171"/>
      <c r="O4079" s="171"/>
      <c r="P4079" s="169"/>
      <c r="Q4079" s="171"/>
      <c r="R4079" s="171"/>
      <c r="S4079" s="171"/>
      <c r="T4079" s="171"/>
      <c r="U4079" s="171"/>
      <c r="V4079" s="171"/>
      <c r="W4079" s="171"/>
      <c r="X4079" s="171"/>
      <c r="Y4079" s="171"/>
      <c r="Z4079" s="171"/>
      <c r="AA4079" s="171"/>
    </row>
    <row r="4080" spans="1:27" s="530" customFormat="1" hidden="1" x14ac:dyDescent="0.2">
      <c r="A4080" s="464"/>
      <c r="B4080" s="464"/>
      <c r="C4080" s="465"/>
      <c r="D4080" s="464"/>
      <c r="E4080" s="464"/>
      <c r="F4080" s="502" t="s">
        <v>253</v>
      </c>
      <c r="G4080" s="510" t="s">
        <v>254</v>
      </c>
      <c r="H4080" s="411"/>
      <c r="I4080" s="397"/>
      <c r="J4080" s="750" t="e">
        <f t="shared" si="47"/>
        <v>#DIV/0!</v>
      </c>
      <c r="K4080" s="412"/>
      <c r="L4080" s="412"/>
      <c r="M4080" s="682"/>
      <c r="N4080" s="171"/>
      <c r="O4080" s="171"/>
      <c r="P4080" s="169"/>
      <c r="Q4080" s="171"/>
      <c r="R4080" s="171"/>
      <c r="S4080" s="171"/>
      <c r="T4080" s="171"/>
      <c r="U4080" s="171"/>
      <c r="V4080" s="171"/>
      <c r="W4080" s="171"/>
      <c r="X4080" s="171"/>
      <c r="Y4080" s="171"/>
      <c r="Z4080" s="171"/>
      <c r="AA4080" s="171"/>
    </row>
    <row r="4081" spans="1:27" s="530" customFormat="1" ht="25.5" hidden="1" x14ac:dyDescent="0.2">
      <c r="A4081" s="464"/>
      <c r="B4081" s="464"/>
      <c r="C4081" s="465"/>
      <c r="D4081" s="464"/>
      <c r="E4081" s="464"/>
      <c r="F4081" s="502" t="s">
        <v>255</v>
      </c>
      <c r="G4081" s="510" t="s">
        <v>256</v>
      </c>
      <c r="H4081" s="411"/>
      <c r="I4081" s="397"/>
      <c r="J4081" s="750" t="e">
        <f t="shared" si="47"/>
        <v>#DIV/0!</v>
      </c>
      <c r="K4081" s="412"/>
      <c r="L4081" s="412"/>
      <c r="M4081" s="682"/>
      <c r="N4081" s="171"/>
      <c r="O4081" s="171"/>
      <c r="P4081" s="169"/>
      <c r="Q4081" s="171"/>
      <c r="R4081" s="171"/>
      <c r="S4081" s="171"/>
      <c r="T4081" s="171"/>
      <c r="U4081" s="171"/>
      <c r="V4081" s="171"/>
      <c r="W4081" s="171"/>
      <c r="X4081" s="171"/>
      <c r="Y4081" s="171"/>
      <c r="Z4081" s="171"/>
      <c r="AA4081" s="171"/>
    </row>
    <row r="4082" spans="1:27" s="530" customFormat="1" ht="25.5" hidden="1" x14ac:dyDescent="0.2">
      <c r="A4082" s="464"/>
      <c r="B4082" s="464"/>
      <c r="C4082" s="465"/>
      <c r="D4082" s="464"/>
      <c r="E4082" s="464"/>
      <c r="F4082" s="502" t="s">
        <v>257</v>
      </c>
      <c r="G4082" s="510" t="s">
        <v>258</v>
      </c>
      <c r="H4082" s="411"/>
      <c r="I4082" s="397"/>
      <c r="J4082" s="750" t="e">
        <f t="shared" si="47"/>
        <v>#DIV/0!</v>
      </c>
      <c r="K4082" s="412"/>
      <c r="L4082" s="412"/>
      <c r="M4082" s="682"/>
      <c r="N4082" s="171"/>
      <c r="O4082" s="171"/>
      <c r="P4082" s="169"/>
      <c r="Q4082" s="171"/>
      <c r="R4082" s="171"/>
      <c r="S4082" s="171"/>
      <c r="T4082" s="171"/>
      <c r="U4082" s="171"/>
      <c r="V4082" s="171"/>
      <c r="W4082" s="171"/>
      <c r="X4082" s="171"/>
      <c r="Y4082" s="171"/>
      <c r="Z4082" s="171"/>
      <c r="AA4082" s="171"/>
    </row>
    <row r="4083" spans="1:27" s="530" customFormat="1" ht="25.5" hidden="1" x14ac:dyDescent="0.2">
      <c r="A4083" s="464"/>
      <c r="B4083" s="464"/>
      <c r="C4083" s="465"/>
      <c r="D4083" s="464"/>
      <c r="E4083" s="464"/>
      <c r="F4083" s="502" t="s">
        <v>259</v>
      </c>
      <c r="G4083" s="510" t="s">
        <v>260</v>
      </c>
      <c r="H4083" s="411"/>
      <c r="I4083" s="397"/>
      <c r="J4083" s="750" t="e">
        <f t="shared" si="47"/>
        <v>#DIV/0!</v>
      </c>
      <c r="K4083" s="412"/>
      <c r="L4083" s="412"/>
      <c r="M4083" s="682"/>
      <c r="N4083" s="171"/>
      <c r="O4083" s="171"/>
      <c r="P4083" s="169"/>
      <c r="Q4083" s="171"/>
      <c r="R4083" s="171"/>
      <c r="S4083" s="171"/>
      <c r="T4083" s="171"/>
      <c r="U4083" s="171"/>
      <c r="V4083" s="171"/>
      <c r="W4083" s="171"/>
      <c r="X4083" s="171"/>
      <c r="Y4083" s="171"/>
      <c r="Z4083" s="171"/>
      <c r="AA4083" s="171"/>
    </row>
    <row r="4084" spans="1:27" s="530" customFormat="1" ht="25.5" hidden="1" x14ac:dyDescent="0.2">
      <c r="A4084" s="464"/>
      <c r="B4084" s="464"/>
      <c r="C4084" s="465"/>
      <c r="D4084" s="464"/>
      <c r="E4084" s="464"/>
      <c r="F4084" s="502" t="s">
        <v>261</v>
      </c>
      <c r="G4084" s="510" t="s">
        <v>262</v>
      </c>
      <c r="H4084" s="411"/>
      <c r="I4084" s="397"/>
      <c r="J4084" s="750" t="e">
        <f t="shared" si="47"/>
        <v>#DIV/0!</v>
      </c>
      <c r="K4084" s="412"/>
      <c r="L4084" s="412"/>
      <c r="M4084" s="682"/>
      <c r="N4084" s="171"/>
      <c r="O4084" s="171"/>
      <c r="P4084" s="169"/>
      <c r="Q4084" s="171"/>
      <c r="R4084" s="171"/>
      <c r="S4084" s="171"/>
      <c r="T4084" s="171"/>
      <c r="U4084" s="171"/>
      <c r="V4084" s="171"/>
      <c r="W4084" s="171"/>
      <c r="X4084" s="171"/>
      <c r="Y4084" s="171"/>
      <c r="Z4084" s="171"/>
      <c r="AA4084" s="171"/>
    </row>
    <row r="4085" spans="1:27" s="530" customFormat="1" ht="12.75" customHeight="1" x14ac:dyDescent="0.2">
      <c r="A4085" s="464"/>
      <c r="B4085" s="464"/>
      <c r="C4085" s="465"/>
      <c r="D4085" s="464"/>
      <c r="E4085" s="464"/>
      <c r="F4085" s="503" t="s">
        <v>257</v>
      </c>
      <c r="G4085" s="504" t="s">
        <v>258</v>
      </c>
      <c r="H4085" s="403">
        <v>6000000</v>
      </c>
      <c r="I4085" s="403">
        <v>6000000</v>
      </c>
      <c r="J4085" s="750">
        <f t="shared" si="47"/>
        <v>100</v>
      </c>
      <c r="K4085" s="412"/>
      <c r="L4085" s="412"/>
      <c r="M4085" s="682"/>
      <c r="N4085" s="171"/>
      <c r="O4085" s="171"/>
      <c r="P4085" s="169"/>
      <c r="Q4085" s="171"/>
      <c r="R4085" s="171"/>
      <c r="S4085" s="171"/>
      <c r="T4085" s="171"/>
      <c r="U4085" s="171"/>
      <c r="V4085" s="171"/>
      <c r="W4085" s="171"/>
      <c r="X4085" s="171"/>
      <c r="Y4085" s="171"/>
      <c r="Z4085" s="171"/>
      <c r="AA4085" s="171"/>
    </row>
    <row r="4086" spans="1:27" s="530" customFormat="1" ht="15" customHeight="1" thickBot="1" x14ac:dyDescent="0.25">
      <c r="A4086" s="464"/>
      <c r="B4086" s="464"/>
      <c r="C4086" s="465"/>
      <c r="D4086" s="464"/>
      <c r="E4086" s="464"/>
      <c r="F4086" s="464"/>
      <c r="G4086" s="565" t="s">
        <v>5226</v>
      </c>
      <c r="H4086" s="432">
        <f>SUM(H4070:H4085)</f>
        <v>13500000</v>
      </c>
      <c r="I4086" s="432">
        <f>SUM(I4070:I4085)</f>
        <v>10991472</v>
      </c>
      <c r="J4086" s="750">
        <f t="shared" si="47"/>
        <v>81.418311111111109</v>
      </c>
      <c r="K4086" s="430">
        <f>SUM(K4071:K4085)</f>
        <v>0</v>
      </c>
      <c r="L4086" s="430"/>
      <c r="M4086" s="682"/>
      <c r="N4086" s="171"/>
      <c r="O4086" s="171"/>
      <c r="P4086" s="169"/>
      <c r="Q4086" s="171"/>
      <c r="R4086" s="171"/>
      <c r="S4086" s="171"/>
      <c r="T4086" s="171"/>
      <c r="U4086" s="171"/>
      <c r="V4086" s="171"/>
      <c r="W4086" s="171"/>
      <c r="X4086" s="171"/>
      <c r="Y4086" s="171"/>
      <c r="Z4086" s="171"/>
      <c r="AA4086" s="171"/>
    </row>
    <row r="4087" spans="1:27" s="530" customFormat="1" ht="5.25" hidden="1" customHeight="1" x14ac:dyDescent="0.2">
      <c r="A4087" s="464"/>
      <c r="B4087" s="464"/>
      <c r="C4087" s="465"/>
      <c r="D4087" s="464"/>
      <c r="E4087" s="464"/>
      <c r="F4087" s="464"/>
      <c r="G4087" s="510"/>
      <c r="H4087" s="411"/>
      <c r="I4087" s="411"/>
      <c r="J4087" s="750" t="e">
        <f t="shared" si="47"/>
        <v>#DIV/0!</v>
      </c>
      <c r="K4087" s="412"/>
      <c r="L4087" s="412"/>
      <c r="M4087" s="682"/>
      <c r="N4087" s="171"/>
      <c r="O4087" s="171"/>
      <c r="P4087" s="169"/>
      <c r="Q4087" s="171"/>
      <c r="R4087" s="171"/>
      <c r="S4087" s="171"/>
      <c r="T4087" s="171"/>
      <c r="U4087" s="171"/>
      <c r="V4087" s="171"/>
      <c r="W4087" s="171"/>
      <c r="X4087" s="171"/>
      <c r="Y4087" s="171"/>
      <c r="Z4087" s="171"/>
      <c r="AA4087" s="171"/>
    </row>
    <row r="4088" spans="1:27" s="530" customFormat="1" ht="13.5" customHeight="1" x14ac:dyDescent="0.2">
      <c r="A4088" s="526"/>
      <c r="B4088" s="527"/>
      <c r="C4088" s="542" t="s">
        <v>4641</v>
      </c>
      <c r="D4088" s="173"/>
      <c r="E4088" s="173"/>
      <c r="F4088" s="502"/>
      <c r="G4088" s="510" t="s">
        <v>5309</v>
      </c>
      <c r="H4088" s="397"/>
      <c r="I4088" s="397"/>
      <c r="J4088" s="750"/>
      <c r="K4088" s="398"/>
      <c r="L4088" s="398"/>
      <c r="M4088" s="682"/>
      <c r="N4088" s="171"/>
      <c r="O4088" s="171"/>
      <c r="P4088" s="169"/>
      <c r="Q4088" s="171"/>
      <c r="R4088" s="171"/>
      <c r="S4088" s="171"/>
      <c r="T4088" s="171"/>
      <c r="U4088" s="171"/>
      <c r="V4088" s="171"/>
      <c r="W4088" s="171"/>
      <c r="X4088" s="171"/>
      <c r="Y4088" s="171"/>
      <c r="Z4088" s="171"/>
      <c r="AA4088" s="171"/>
    </row>
    <row r="4089" spans="1:27" s="530" customFormat="1" ht="13.5" customHeight="1" x14ac:dyDescent="0.2">
      <c r="A4089" s="526"/>
      <c r="B4089" s="527"/>
      <c r="C4089" s="489"/>
      <c r="D4089" s="492">
        <v>620</v>
      </c>
      <c r="E4089" s="492"/>
      <c r="F4089" s="492"/>
      <c r="G4089" s="514" t="s">
        <v>182</v>
      </c>
      <c r="H4089" s="397"/>
      <c r="I4089" s="397"/>
      <c r="J4089" s="750"/>
      <c r="K4089" s="398"/>
      <c r="L4089" s="398"/>
      <c r="M4089" s="682"/>
      <c r="N4089" s="171"/>
      <c r="O4089" s="171"/>
      <c r="P4089" s="169"/>
      <c r="Q4089" s="171"/>
      <c r="R4089" s="171"/>
      <c r="S4089" s="171"/>
      <c r="T4089" s="171"/>
      <c r="U4089" s="171"/>
      <c r="V4089" s="171"/>
      <c r="W4089" s="171"/>
      <c r="X4089" s="171"/>
      <c r="Y4089" s="171"/>
      <c r="Z4089" s="171"/>
      <c r="AA4089" s="171"/>
    </row>
    <row r="4090" spans="1:27" s="530" customFormat="1" ht="13.5" thickBot="1" x14ac:dyDescent="0.25">
      <c r="A4090" s="464"/>
      <c r="B4090" s="464"/>
      <c r="C4090" s="465"/>
      <c r="D4090" s="464"/>
      <c r="E4090" s="464" t="s">
        <v>5310</v>
      </c>
      <c r="F4090" s="464">
        <v>511</v>
      </c>
      <c r="G4090" s="567" t="s">
        <v>4194</v>
      </c>
      <c r="H4090" s="429"/>
      <c r="I4090" s="429"/>
      <c r="J4090" s="750"/>
      <c r="K4090" s="430"/>
      <c r="L4090" s="431"/>
      <c r="M4090" s="682"/>
      <c r="N4090" s="171"/>
      <c r="O4090" s="171"/>
      <c r="P4090" s="169"/>
      <c r="Q4090" s="171"/>
      <c r="R4090" s="171"/>
      <c r="S4090" s="171"/>
      <c r="T4090" s="171"/>
      <c r="U4090" s="171"/>
      <c r="V4090" s="171"/>
      <c r="W4090" s="171"/>
      <c r="X4090" s="171"/>
      <c r="Y4090" s="171"/>
      <c r="Z4090" s="171"/>
      <c r="AA4090" s="171"/>
    </row>
    <row r="4091" spans="1:27" s="530" customFormat="1" ht="13.5" thickBot="1" x14ac:dyDescent="0.25">
      <c r="A4091" s="464"/>
      <c r="B4091" s="464"/>
      <c r="C4091" s="465"/>
      <c r="D4091" s="464"/>
      <c r="E4091" s="464"/>
      <c r="F4091" s="464"/>
      <c r="G4091" s="501" t="s">
        <v>4344</v>
      </c>
      <c r="H4091" s="400"/>
      <c r="I4091" s="400"/>
      <c r="J4091" s="750"/>
      <c r="K4091" s="401"/>
      <c r="L4091" s="401"/>
      <c r="M4091" s="682"/>
      <c r="N4091" s="171"/>
      <c r="O4091" s="171"/>
      <c r="P4091" s="169"/>
      <c r="Q4091" s="171"/>
      <c r="R4091" s="171"/>
      <c r="S4091" s="171"/>
      <c r="T4091" s="171"/>
      <c r="U4091" s="171"/>
      <c r="V4091" s="171"/>
      <c r="W4091" s="171"/>
      <c r="X4091" s="171"/>
      <c r="Y4091" s="171"/>
      <c r="Z4091" s="171"/>
      <c r="AA4091" s="171"/>
    </row>
    <row r="4092" spans="1:27" s="530" customFormat="1" ht="13.5" hidden="1" thickBot="1" x14ac:dyDescent="0.25">
      <c r="A4092" s="464"/>
      <c r="B4092" s="464"/>
      <c r="C4092" s="465"/>
      <c r="D4092" s="464"/>
      <c r="E4092" s="464"/>
      <c r="F4092" s="503" t="s">
        <v>234</v>
      </c>
      <c r="G4092" s="504" t="s">
        <v>235</v>
      </c>
      <c r="H4092" s="403"/>
      <c r="I4092" s="403"/>
      <c r="J4092" s="750"/>
      <c r="K4092" s="412"/>
      <c r="L4092" s="404"/>
      <c r="M4092" s="682"/>
      <c r="N4092" s="171"/>
      <c r="O4092" s="171"/>
      <c r="P4092" s="169"/>
      <c r="Q4092" s="171"/>
      <c r="R4092" s="171"/>
      <c r="S4092" s="171"/>
      <c r="T4092" s="171"/>
      <c r="U4092" s="171"/>
      <c r="V4092" s="171"/>
      <c r="W4092" s="171"/>
      <c r="X4092" s="171"/>
      <c r="Y4092" s="171"/>
      <c r="Z4092" s="171"/>
      <c r="AA4092" s="171"/>
    </row>
    <row r="4093" spans="1:27" s="530" customFormat="1" ht="13.5" hidden="1" thickBot="1" x14ac:dyDescent="0.25">
      <c r="A4093" s="464"/>
      <c r="B4093" s="464"/>
      <c r="C4093" s="465"/>
      <c r="D4093" s="464"/>
      <c r="E4093" s="464"/>
      <c r="F4093" s="503" t="s">
        <v>236</v>
      </c>
      <c r="G4093" s="504" t="s">
        <v>237</v>
      </c>
      <c r="H4093" s="411"/>
      <c r="I4093" s="411"/>
      <c r="J4093" s="750"/>
      <c r="K4093" s="412"/>
      <c r="L4093" s="404"/>
      <c r="M4093" s="682"/>
      <c r="N4093" s="171"/>
      <c r="O4093" s="171"/>
      <c r="P4093" s="169"/>
      <c r="Q4093" s="171"/>
      <c r="R4093" s="171"/>
      <c r="S4093" s="171"/>
      <c r="T4093" s="171"/>
      <c r="U4093" s="171"/>
      <c r="V4093" s="171"/>
      <c r="W4093" s="171"/>
      <c r="X4093" s="171"/>
      <c r="Y4093" s="171"/>
      <c r="Z4093" s="171"/>
      <c r="AA4093" s="171"/>
    </row>
    <row r="4094" spans="1:27" s="530" customFormat="1" ht="13.5" hidden="1" thickBot="1" x14ac:dyDescent="0.25">
      <c r="A4094" s="464"/>
      <c r="B4094" s="464"/>
      <c r="C4094" s="465"/>
      <c r="D4094" s="464"/>
      <c r="E4094" s="464"/>
      <c r="F4094" s="503" t="s">
        <v>238</v>
      </c>
      <c r="G4094" s="504" t="s">
        <v>239</v>
      </c>
      <c r="H4094" s="411"/>
      <c r="I4094" s="411"/>
      <c r="J4094" s="750"/>
      <c r="K4094" s="412"/>
      <c r="L4094" s="404"/>
      <c r="M4094" s="682"/>
      <c r="N4094" s="171"/>
      <c r="O4094" s="171"/>
      <c r="P4094" s="169"/>
      <c r="Q4094" s="171"/>
      <c r="R4094" s="171"/>
      <c r="S4094" s="171"/>
      <c r="T4094" s="171"/>
      <c r="U4094" s="171"/>
      <c r="V4094" s="171"/>
      <c r="W4094" s="171"/>
      <c r="X4094" s="171"/>
      <c r="Y4094" s="171"/>
      <c r="Z4094" s="171"/>
      <c r="AA4094" s="171"/>
    </row>
    <row r="4095" spans="1:27" s="530" customFormat="1" ht="13.5" hidden="1" thickBot="1" x14ac:dyDescent="0.25">
      <c r="A4095" s="464"/>
      <c r="B4095" s="464"/>
      <c r="C4095" s="465"/>
      <c r="D4095" s="464"/>
      <c r="E4095" s="464"/>
      <c r="F4095" s="503" t="s">
        <v>240</v>
      </c>
      <c r="G4095" s="504" t="s">
        <v>241</v>
      </c>
      <c r="H4095" s="411"/>
      <c r="I4095" s="411"/>
      <c r="J4095" s="750"/>
      <c r="K4095" s="412"/>
      <c r="L4095" s="404"/>
      <c r="M4095" s="682"/>
      <c r="N4095" s="171"/>
      <c r="O4095" s="171"/>
      <c r="P4095" s="169"/>
      <c r="Q4095" s="171"/>
      <c r="R4095" s="171"/>
      <c r="S4095" s="171"/>
      <c r="T4095" s="171"/>
      <c r="U4095" s="171"/>
      <c r="V4095" s="171"/>
      <c r="W4095" s="171"/>
      <c r="X4095" s="171"/>
      <c r="Y4095" s="171"/>
      <c r="Z4095" s="171"/>
      <c r="AA4095" s="171"/>
    </row>
    <row r="4096" spans="1:27" s="530" customFormat="1" ht="13.5" hidden="1" thickBot="1" x14ac:dyDescent="0.25">
      <c r="A4096" s="464"/>
      <c r="B4096" s="464"/>
      <c r="C4096" s="465"/>
      <c r="D4096" s="464"/>
      <c r="E4096" s="464"/>
      <c r="F4096" s="503" t="s">
        <v>242</v>
      </c>
      <c r="G4096" s="504" t="s">
        <v>243</v>
      </c>
      <c r="H4096" s="411"/>
      <c r="I4096" s="411"/>
      <c r="J4096" s="750"/>
      <c r="K4096" s="412"/>
      <c r="L4096" s="404"/>
      <c r="M4096" s="682"/>
      <c r="N4096" s="171"/>
      <c r="O4096" s="171"/>
      <c r="P4096" s="169"/>
      <c r="Q4096" s="171"/>
      <c r="R4096" s="171"/>
      <c r="S4096" s="171"/>
      <c r="T4096" s="171"/>
      <c r="U4096" s="171"/>
      <c r="V4096" s="171"/>
      <c r="W4096" s="171"/>
      <c r="X4096" s="171"/>
      <c r="Y4096" s="171"/>
      <c r="Z4096" s="171"/>
      <c r="AA4096" s="171"/>
    </row>
    <row r="4097" spans="1:27" s="530" customFormat="1" ht="13.5" hidden="1" thickBot="1" x14ac:dyDescent="0.25">
      <c r="A4097" s="464"/>
      <c r="B4097" s="464"/>
      <c r="C4097" s="465"/>
      <c r="D4097" s="464"/>
      <c r="E4097" s="464"/>
      <c r="F4097" s="503" t="s">
        <v>244</v>
      </c>
      <c r="G4097" s="504" t="s">
        <v>245</v>
      </c>
      <c r="H4097" s="411"/>
      <c r="I4097" s="411"/>
      <c r="J4097" s="750"/>
      <c r="K4097" s="412"/>
      <c r="L4097" s="404"/>
      <c r="M4097" s="682"/>
      <c r="N4097" s="171"/>
      <c r="O4097" s="171"/>
      <c r="P4097" s="169"/>
      <c r="Q4097" s="171"/>
      <c r="R4097" s="171"/>
      <c r="S4097" s="171"/>
      <c r="T4097" s="171"/>
      <c r="U4097" s="171"/>
      <c r="V4097" s="171"/>
      <c r="W4097" s="171"/>
      <c r="X4097" s="171"/>
      <c r="Y4097" s="171"/>
      <c r="Z4097" s="171"/>
      <c r="AA4097" s="171"/>
    </row>
    <row r="4098" spans="1:27" s="530" customFormat="1" ht="13.5" hidden="1" thickBot="1" x14ac:dyDescent="0.25">
      <c r="A4098" s="464"/>
      <c r="B4098" s="464"/>
      <c r="C4098" s="465"/>
      <c r="D4098" s="464"/>
      <c r="E4098" s="464"/>
      <c r="F4098" s="503" t="s">
        <v>246</v>
      </c>
      <c r="G4098" s="504" t="s">
        <v>247</v>
      </c>
      <c r="H4098" s="411"/>
      <c r="I4098" s="411"/>
      <c r="J4098" s="750"/>
      <c r="K4098" s="412"/>
      <c r="L4098" s="404"/>
      <c r="M4098" s="682"/>
      <c r="N4098" s="171"/>
      <c r="O4098" s="171"/>
      <c r="P4098" s="169"/>
      <c r="Q4098" s="171"/>
      <c r="R4098" s="171"/>
      <c r="S4098" s="171"/>
      <c r="T4098" s="171"/>
      <c r="U4098" s="171"/>
      <c r="V4098" s="171"/>
      <c r="W4098" s="171"/>
      <c r="X4098" s="171"/>
      <c r="Y4098" s="171"/>
      <c r="Z4098" s="171"/>
      <c r="AA4098" s="171"/>
    </row>
    <row r="4099" spans="1:27" s="530" customFormat="1" ht="26.25" hidden="1" thickBot="1" x14ac:dyDescent="0.25">
      <c r="A4099" s="464"/>
      <c r="B4099" s="464"/>
      <c r="C4099" s="465"/>
      <c r="D4099" s="464"/>
      <c r="E4099" s="464"/>
      <c r="F4099" s="503" t="s">
        <v>248</v>
      </c>
      <c r="G4099" s="504" t="s">
        <v>249</v>
      </c>
      <c r="H4099" s="411"/>
      <c r="I4099" s="411"/>
      <c r="J4099" s="750"/>
      <c r="K4099" s="412"/>
      <c r="L4099" s="404"/>
      <c r="M4099" s="682"/>
      <c r="N4099" s="171"/>
      <c r="O4099" s="171"/>
      <c r="P4099" s="169"/>
      <c r="Q4099" s="171"/>
      <c r="R4099" s="171"/>
      <c r="S4099" s="171"/>
      <c r="T4099" s="171"/>
      <c r="U4099" s="171"/>
      <c r="V4099" s="171"/>
      <c r="W4099" s="171"/>
      <c r="X4099" s="171"/>
      <c r="Y4099" s="171"/>
      <c r="Z4099" s="171"/>
      <c r="AA4099" s="171"/>
    </row>
    <row r="4100" spans="1:27" s="530" customFormat="1" ht="13.5" hidden="1" thickBot="1" x14ac:dyDescent="0.25">
      <c r="A4100" s="464"/>
      <c r="B4100" s="464"/>
      <c r="C4100" s="465"/>
      <c r="D4100" s="464"/>
      <c r="E4100" s="464"/>
      <c r="F4100" s="503" t="s">
        <v>250</v>
      </c>
      <c r="G4100" s="504" t="s">
        <v>57</v>
      </c>
      <c r="H4100" s="411"/>
      <c r="I4100" s="411"/>
      <c r="J4100" s="750"/>
      <c r="K4100" s="412"/>
      <c r="L4100" s="404"/>
      <c r="M4100" s="682"/>
      <c r="N4100" s="171"/>
      <c r="O4100" s="171"/>
      <c r="P4100" s="169"/>
      <c r="Q4100" s="171"/>
      <c r="R4100" s="171"/>
      <c r="S4100" s="171"/>
      <c r="T4100" s="171"/>
      <c r="U4100" s="171"/>
      <c r="V4100" s="171"/>
      <c r="W4100" s="171"/>
      <c r="X4100" s="171"/>
      <c r="Y4100" s="171"/>
      <c r="Z4100" s="171"/>
      <c r="AA4100" s="171"/>
    </row>
    <row r="4101" spans="1:27" s="530" customFormat="1" ht="13.5" hidden="1" thickBot="1" x14ac:dyDescent="0.25">
      <c r="A4101" s="464"/>
      <c r="B4101" s="464"/>
      <c r="C4101" s="465"/>
      <c r="D4101" s="464"/>
      <c r="E4101" s="464"/>
      <c r="F4101" s="503" t="s">
        <v>251</v>
      </c>
      <c r="G4101" s="504" t="s">
        <v>252</v>
      </c>
      <c r="H4101" s="411"/>
      <c r="I4101" s="411"/>
      <c r="J4101" s="750"/>
      <c r="K4101" s="412"/>
      <c r="L4101" s="404"/>
      <c r="M4101" s="682"/>
      <c r="N4101" s="171"/>
      <c r="O4101" s="171"/>
      <c r="P4101" s="169"/>
      <c r="Q4101" s="171"/>
      <c r="R4101" s="171"/>
      <c r="S4101" s="171"/>
      <c r="T4101" s="171"/>
      <c r="U4101" s="171"/>
      <c r="V4101" s="171"/>
      <c r="W4101" s="171"/>
      <c r="X4101" s="171"/>
      <c r="Y4101" s="171"/>
      <c r="Z4101" s="171"/>
      <c r="AA4101" s="171"/>
    </row>
    <row r="4102" spans="1:27" s="530" customFormat="1" ht="13.5" hidden="1" thickBot="1" x14ac:dyDescent="0.25">
      <c r="A4102" s="464"/>
      <c r="B4102" s="464"/>
      <c r="C4102" s="465"/>
      <c r="D4102" s="464"/>
      <c r="E4102" s="464"/>
      <c r="F4102" s="503" t="s">
        <v>253</v>
      </c>
      <c r="G4102" s="504" t="s">
        <v>254</v>
      </c>
      <c r="H4102" s="411"/>
      <c r="I4102" s="411"/>
      <c r="J4102" s="750"/>
      <c r="K4102" s="412"/>
      <c r="L4102" s="404"/>
      <c r="M4102" s="682"/>
      <c r="N4102" s="171"/>
      <c r="O4102" s="171"/>
      <c r="P4102" s="169"/>
      <c r="Q4102" s="171"/>
      <c r="R4102" s="171"/>
      <c r="S4102" s="171"/>
      <c r="T4102" s="171"/>
      <c r="U4102" s="171"/>
      <c r="V4102" s="171"/>
      <c r="W4102" s="171"/>
      <c r="X4102" s="171"/>
      <c r="Y4102" s="171"/>
      <c r="Z4102" s="171"/>
      <c r="AA4102" s="171"/>
    </row>
    <row r="4103" spans="1:27" s="530" customFormat="1" ht="26.25" hidden="1" thickBot="1" x14ac:dyDescent="0.25">
      <c r="A4103" s="464"/>
      <c r="B4103" s="464"/>
      <c r="C4103" s="465"/>
      <c r="D4103" s="464"/>
      <c r="E4103" s="464"/>
      <c r="F4103" s="503" t="s">
        <v>255</v>
      </c>
      <c r="G4103" s="504" t="s">
        <v>256</v>
      </c>
      <c r="H4103" s="411"/>
      <c r="I4103" s="411"/>
      <c r="J4103" s="750"/>
      <c r="K4103" s="412"/>
      <c r="L4103" s="404"/>
      <c r="M4103" s="682"/>
      <c r="N4103" s="171"/>
      <c r="O4103" s="171"/>
      <c r="P4103" s="169"/>
      <c r="Q4103" s="171"/>
      <c r="R4103" s="171"/>
      <c r="S4103" s="171"/>
      <c r="T4103" s="171"/>
      <c r="U4103" s="171"/>
      <c r="V4103" s="171"/>
      <c r="W4103" s="171"/>
      <c r="X4103" s="171"/>
      <c r="Y4103" s="171"/>
      <c r="Z4103" s="171"/>
      <c r="AA4103" s="171"/>
    </row>
    <row r="4104" spans="1:27" s="530" customFormat="1" ht="26.25" hidden="1" thickBot="1" x14ac:dyDescent="0.25">
      <c r="A4104" s="464"/>
      <c r="B4104" s="464"/>
      <c r="C4104" s="465"/>
      <c r="D4104" s="464"/>
      <c r="E4104" s="464"/>
      <c r="F4104" s="503" t="s">
        <v>257</v>
      </c>
      <c r="G4104" s="504" t="s">
        <v>258</v>
      </c>
      <c r="H4104" s="411"/>
      <c r="I4104" s="411"/>
      <c r="J4104" s="750"/>
      <c r="K4104" s="412"/>
      <c r="L4104" s="404"/>
      <c r="M4104" s="682"/>
      <c r="N4104" s="171"/>
      <c r="O4104" s="171"/>
      <c r="P4104" s="169"/>
      <c r="Q4104" s="171"/>
      <c r="R4104" s="171"/>
      <c r="S4104" s="171"/>
      <c r="T4104" s="171"/>
      <c r="U4104" s="171"/>
      <c r="V4104" s="171"/>
      <c r="W4104" s="171"/>
      <c r="X4104" s="171"/>
      <c r="Y4104" s="171"/>
      <c r="Z4104" s="171"/>
      <c r="AA4104" s="171"/>
    </row>
    <row r="4105" spans="1:27" s="530" customFormat="1" ht="26.25" hidden="1" thickBot="1" x14ac:dyDescent="0.25">
      <c r="A4105" s="464"/>
      <c r="B4105" s="464"/>
      <c r="C4105" s="465"/>
      <c r="D4105" s="464"/>
      <c r="E4105" s="464"/>
      <c r="F4105" s="503" t="s">
        <v>259</v>
      </c>
      <c r="G4105" s="504" t="s">
        <v>260</v>
      </c>
      <c r="H4105" s="411"/>
      <c r="I4105" s="411"/>
      <c r="J4105" s="750"/>
      <c r="K4105" s="412"/>
      <c r="L4105" s="404"/>
      <c r="M4105" s="682"/>
      <c r="N4105" s="171"/>
      <c r="O4105" s="171"/>
      <c r="P4105" s="169"/>
      <c r="Q4105" s="171"/>
      <c r="R4105" s="171"/>
      <c r="S4105" s="171"/>
      <c r="T4105" s="171"/>
      <c r="U4105" s="171"/>
      <c r="V4105" s="171"/>
      <c r="W4105" s="171"/>
      <c r="X4105" s="171"/>
      <c r="Y4105" s="171"/>
      <c r="Z4105" s="171"/>
      <c r="AA4105" s="171"/>
    </row>
    <row r="4106" spans="1:27" s="530" customFormat="1" ht="26.25" hidden="1" thickBot="1" x14ac:dyDescent="0.25">
      <c r="A4106" s="464"/>
      <c r="B4106" s="464"/>
      <c r="C4106" s="465"/>
      <c r="D4106" s="464"/>
      <c r="E4106" s="464"/>
      <c r="F4106" s="503" t="s">
        <v>261</v>
      </c>
      <c r="G4106" s="504" t="s">
        <v>262</v>
      </c>
      <c r="H4106" s="411"/>
      <c r="I4106" s="411"/>
      <c r="J4106" s="750"/>
      <c r="K4106" s="412"/>
      <c r="L4106" s="404"/>
      <c r="M4106" s="682"/>
      <c r="N4106" s="171"/>
      <c r="O4106" s="171"/>
      <c r="P4106" s="169"/>
      <c r="Q4106" s="171"/>
      <c r="R4106" s="171"/>
      <c r="S4106" s="171"/>
      <c r="T4106" s="171"/>
      <c r="U4106" s="171"/>
      <c r="V4106" s="171"/>
      <c r="W4106" s="171"/>
      <c r="X4106" s="171"/>
      <c r="Y4106" s="171"/>
      <c r="Z4106" s="171"/>
      <c r="AA4106" s="171"/>
    </row>
    <row r="4107" spans="1:27" s="530" customFormat="1" ht="13.5" hidden="1" customHeight="1" thickBot="1" x14ac:dyDescent="0.25">
      <c r="A4107" s="464"/>
      <c r="B4107" s="464"/>
      <c r="C4107" s="465"/>
      <c r="D4107" s="464"/>
      <c r="E4107" s="464"/>
      <c r="F4107" s="503" t="s">
        <v>257</v>
      </c>
      <c r="G4107" s="504" t="s">
        <v>258</v>
      </c>
      <c r="H4107" s="403"/>
      <c r="I4107" s="403"/>
      <c r="J4107" s="750"/>
      <c r="K4107" s="412"/>
      <c r="L4107" s="404"/>
      <c r="M4107" s="682"/>
      <c r="N4107" s="171"/>
      <c r="O4107" s="171"/>
      <c r="P4107" s="169"/>
      <c r="Q4107" s="171"/>
      <c r="R4107" s="171"/>
      <c r="S4107" s="171"/>
      <c r="T4107" s="171"/>
      <c r="U4107" s="171"/>
      <c r="V4107" s="171"/>
      <c r="W4107" s="171"/>
      <c r="X4107" s="171"/>
      <c r="Y4107" s="171"/>
      <c r="Z4107" s="171"/>
      <c r="AA4107" s="171"/>
    </row>
    <row r="4108" spans="1:27" s="530" customFormat="1" ht="15" customHeight="1" thickBot="1" x14ac:dyDescent="0.25">
      <c r="A4108" s="464"/>
      <c r="B4108" s="464"/>
      <c r="C4108" s="465"/>
      <c r="D4108" s="464"/>
      <c r="E4108" s="464"/>
      <c r="F4108" s="503"/>
      <c r="G4108" s="505" t="s">
        <v>4345</v>
      </c>
      <c r="H4108" s="434"/>
      <c r="I4108" s="435"/>
      <c r="J4108" s="750"/>
      <c r="K4108" s="436"/>
      <c r="L4108" s="436"/>
      <c r="M4108" s="682"/>
      <c r="N4108" s="171"/>
      <c r="O4108" s="171"/>
      <c r="P4108" s="169"/>
      <c r="Q4108" s="171"/>
      <c r="R4108" s="171"/>
      <c r="S4108" s="171"/>
      <c r="T4108" s="171"/>
      <c r="U4108" s="171"/>
      <c r="V4108" s="171"/>
      <c r="W4108" s="171"/>
      <c r="X4108" s="171"/>
      <c r="Y4108" s="171"/>
      <c r="Z4108" s="171"/>
      <c r="AA4108" s="171"/>
    </row>
    <row r="4109" spans="1:27" s="530" customFormat="1" ht="15.75" customHeight="1" x14ac:dyDescent="0.2">
      <c r="A4109" s="464"/>
      <c r="B4109" s="464"/>
      <c r="C4109" s="465"/>
      <c r="D4109" s="464"/>
      <c r="E4109" s="464"/>
      <c r="F4109" s="549" t="s">
        <v>234</v>
      </c>
      <c r="G4109" s="568" t="s">
        <v>235</v>
      </c>
      <c r="H4109" s="411"/>
      <c r="I4109" s="411"/>
      <c r="J4109" s="750"/>
      <c r="K4109" s="412"/>
      <c r="L4109" s="404"/>
      <c r="M4109" s="682"/>
      <c r="N4109" s="171"/>
      <c r="O4109" s="171"/>
      <c r="P4109" s="169"/>
      <c r="Q4109" s="171"/>
      <c r="R4109" s="171"/>
      <c r="S4109" s="171"/>
      <c r="T4109" s="171"/>
      <c r="U4109" s="171"/>
      <c r="V4109" s="171"/>
      <c r="W4109" s="171"/>
      <c r="X4109" s="171"/>
      <c r="Y4109" s="171"/>
      <c r="Z4109" s="171"/>
      <c r="AA4109" s="171"/>
    </row>
    <row r="4110" spans="1:27" s="530" customFormat="1" ht="12" customHeight="1" x14ac:dyDescent="0.2">
      <c r="A4110" s="464"/>
      <c r="B4110" s="464"/>
      <c r="C4110" s="465"/>
      <c r="D4110" s="464"/>
      <c r="E4110" s="464"/>
      <c r="F4110" s="549" t="s">
        <v>257</v>
      </c>
      <c r="G4110" s="568" t="s">
        <v>258</v>
      </c>
      <c r="H4110" s="403"/>
      <c r="I4110" s="403"/>
      <c r="J4110" s="750"/>
      <c r="K4110" s="412"/>
      <c r="L4110" s="404"/>
      <c r="M4110" s="682"/>
      <c r="N4110" s="171"/>
      <c r="O4110" s="171"/>
      <c r="P4110" s="169"/>
      <c r="Q4110" s="171"/>
      <c r="R4110" s="171"/>
      <c r="S4110" s="171"/>
      <c r="T4110" s="171"/>
      <c r="U4110" s="171"/>
      <c r="V4110" s="171"/>
      <c r="W4110" s="171"/>
      <c r="X4110" s="171"/>
      <c r="Y4110" s="171"/>
      <c r="Z4110" s="171"/>
      <c r="AA4110" s="171"/>
    </row>
    <row r="4111" spans="1:27" s="530" customFormat="1" ht="15" customHeight="1" thickBot="1" x14ac:dyDescent="0.25">
      <c r="A4111" s="464"/>
      <c r="B4111" s="464"/>
      <c r="C4111" s="465"/>
      <c r="D4111" s="464"/>
      <c r="E4111" s="464"/>
      <c r="F4111" s="464"/>
      <c r="G4111" s="565" t="s">
        <v>5311</v>
      </c>
      <c r="H4111" s="432"/>
      <c r="I4111" s="432"/>
      <c r="J4111" s="750"/>
      <c r="K4111" s="430"/>
      <c r="L4111" s="430"/>
      <c r="M4111" s="682"/>
      <c r="N4111" s="171"/>
      <c r="O4111" s="171"/>
      <c r="P4111" s="169"/>
      <c r="Q4111" s="171"/>
      <c r="R4111" s="171"/>
      <c r="S4111" s="171"/>
      <c r="T4111" s="171"/>
      <c r="U4111" s="171"/>
      <c r="V4111" s="171"/>
      <c r="W4111" s="171"/>
      <c r="X4111" s="171"/>
      <c r="Y4111" s="171"/>
      <c r="Z4111" s="171"/>
      <c r="AA4111" s="171"/>
    </row>
    <row r="4112" spans="1:27" s="530" customFormat="1" ht="5.25" hidden="1" customHeight="1" x14ac:dyDescent="0.2">
      <c r="A4112" s="464"/>
      <c r="B4112" s="464"/>
      <c r="C4112" s="465"/>
      <c r="D4112" s="464"/>
      <c r="E4112" s="464"/>
      <c r="F4112" s="464"/>
      <c r="G4112" s="510"/>
      <c r="H4112" s="411"/>
      <c r="I4112" s="411"/>
      <c r="J4112" s="750"/>
      <c r="K4112" s="412"/>
      <c r="L4112" s="412"/>
      <c r="M4112" s="682"/>
      <c r="N4112" s="171"/>
      <c r="O4112" s="171"/>
      <c r="P4112" s="169"/>
      <c r="Q4112" s="171"/>
      <c r="R4112" s="171"/>
      <c r="S4112" s="171"/>
      <c r="T4112" s="171"/>
      <c r="U4112" s="171"/>
      <c r="V4112" s="171"/>
      <c r="W4112" s="171"/>
      <c r="X4112" s="171"/>
      <c r="Y4112" s="171"/>
      <c r="Z4112" s="171"/>
      <c r="AA4112" s="171"/>
    </row>
    <row r="4113" spans="1:27" s="530" customFormat="1" hidden="1" x14ac:dyDescent="0.2">
      <c r="A4113" s="464"/>
      <c r="B4113" s="464"/>
      <c r="C4113" s="465"/>
      <c r="D4113" s="464"/>
      <c r="E4113" s="464"/>
      <c r="F4113" s="464"/>
      <c r="G4113" s="510"/>
      <c r="H4113" s="411"/>
      <c r="I4113" s="411"/>
      <c r="J4113" s="750"/>
      <c r="K4113" s="412"/>
      <c r="L4113" s="412"/>
      <c r="M4113" s="682"/>
      <c r="N4113" s="171"/>
      <c r="O4113" s="171"/>
      <c r="P4113" s="169"/>
      <c r="Q4113" s="171"/>
      <c r="R4113" s="171"/>
      <c r="S4113" s="171"/>
      <c r="T4113" s="171"/>
      <c r="U4113" s="171"/>
      <c r="V4113" s="171"/>
      <c r="W4113" s="171"/>
      <c r="X4113" s="171"/>
      <c r="Y4113" s="171"/>
      <c r="Z4113" s="171"/>
      <c r="AA4113" s="171"/>
    </row>
    <row r="4114" spans="1:27" s="530" customFormat="1" hidden="1" x14ac:dyDescent="0.2">
      <c r="A4114" s="464"/>
      <c r="B4114" s="464"/>
      <c r="C4114" s="465"/>
      <c r="D4114" s="464"/>
      <c r="E4114" s="464"/>
      <c r="F4114" s="464"/>
      <c r="G4114" s="510"/>
      <c r="H4114" s="411"/>
      <c r="I4114" s="411"/>
      <c r="J4114" s="750"/>
      <c r="K4114" s="412"/>
      <c r="L4114" s="412"/>
      <c r="M4114" s="682"/>
      <c r="N4114" s="171"/>
      <c r="O4114" s="171"/>
      <c r="P4114" s="169"/>
      <c r="Q4114" s="171"/>
      <c r="R4114" s="171"/>
      <c r="S4114" s="171"/>
      <c r="T4114" s="171"/>
      <c r="U4114" s="171"/>
      <c r="V4114" s="171"/>
      <c r="W4114" s="171"/>
      <c r="X4114" s="171"/>
      <c r="Y4114" s="171"/>
      <c r="Z4114" s="171"/>
      <c r="AA4114" s="171"/>
    </row>
    <row r="4115" spans="1:27" s="530" customFormat="1" hidden="1" x14ac:dyDescent="0.2">
      <c r="A4115" s="464"/>
      <c r="B4115" s="464"/>
      <c r="C4115" s="465"/>
      <c r="D4115" s="464"/>
      <c r="E4115" s="464"/>
      <c r="F4115" s="464"/>
      <c r="G4115" s="510"/>
      <c r="H4115" s="411"/>
      <c r="I4115" s="411"/>
      <c r="J4115" s="750"/>
      <c r="K4115" s="412"/>
      <c r="L4115" s="412"/>
      <c r="M4115" s="682"/>
      <c r="N4115" s="171"/>
      <c r="O4115" s="171"/>
      <c r="P4115" s="169"/>
      <c r="Q4115" s="171"/>
      <c r="R4115" s="171"/>
      <c r="S4115" s="171"/>
      <c r="T4115" s="171"/>
      <c r="U4115" s="171"/>
      <c r="V4115" s="171"/>
      <c r="W4115" s="171"/>
      <c r="X4115" s="171"/>
      <c r="Y4115" s="171"/>
      <c r="Z4115" s="171"/>
      <c r="AA4115" s="171"/>
    </row>
    <row r="4116" spans="1:27" s="530" customFormat="1" hidden="1" x14ac:dyDescent="0.2">
      <c r="A4116" s="464"/>
      <c r="B4116" s="464"/>
      <c r="C4116" s="465"/>
      <c r="D4116" s="464"/>
      <c r="E4116" s="464"/>
      <c r="F4116" s="464"/>
      <c r="G4116" s="510"/>
      <c r="H4116" s="411"/>
      <c r="I4116" s="411"/>
      <c r="J4116" s="750"/>
      <c r="K4116" s="412"/>
      <c r="L4116" s="412"/>
      <c r="M4116" s="682"/>
      <c r="N4116" s="171"/>
      <c r="O4116" s="171"/>
      <c r="P4116" s="169"/>
      <c r="Q4116" s="171"/>
      <c r="R4116" s="171"/>
      <c r="S4116" s="171"/>
      <c r="T4116" s="171"/>
      <c r="U4116" s="171"/>
      <c r="V4116" s="171"/>
      <c r="W4116" s="171"/>
      <c r="X4116" s="171"/>
      <c r="Y4116" s="171"/>
      <c r="Z4116" s="171"/>
      <c r="AA4116" s="171"/>
    </row>
    <row r="4117" spans="1:27" s="530" customFormat="1" hidden="1" x14ac:dyDescent="0.2">
      <c r="A4117" s="464"/>
      <c r="B4117" s="464"/>
      <c r="C4117" s="465"/>
      <c r="D4117" s="464"/>
      <c r="E4117" s="464"/>
      <c r="F4117" s="464"/>
      <c r="G4117" s="510"/>
      <c r="H4117" s="411"/>
      <c r="I4117" s="411"/>
      <c r="J4117" s="750"/>
      <c r="K4117" s="412"/>
      <c r="L4117" s="412"/>
      <c r="M4117" s="682"/>
      <c r="N4117" s="171"/>
      <c r="O4117" s="171"/>
      <c r="P4117" s="169"/>
      <c r="Q4117" s="171"/>
      <c r="R4117" s="171"/>
      <c r="S4117" s="171"/>
      <c r="T4117" s="171"/>
      <c r="U4117" s="171"/>
      <c r="V4117" s="171"/>
      <c r="W4117" s="171"/>
      <c r="X4117" s="171"/>
      <c r="Y4117" s="171"/>
      <c r="Z4117" s="171"/>
      <c r="AA4117" s="171"/>
    </row>
    <row r="4118" spans="1:27" s="530" customFormat="1" hidden="1" x14ac:dyDescent="0.2">
      <c r="A4118" s="464"/>
      <c r="B4118" s="464"/>
      <c r="C4118" s="465"/>
      <c r="D4118" s="464"/>
      <c r="E4118" s="464"/>
      <c r="F4118" s="464"/>
      <c r="G4118" s="510"/>
      <c r="H4118" s="411"/>
      <c r="I4118" s="411"/>
      <c r="J4118" s="750"/>
      <c r="K4118" s="412"/>
      <c r="L4118" s="412"/>
      <c r="M4118" s="682"/>
      <c r="N4118" s="171"/>
      <c r="O4118" s="171"/>
      <c r="P4118" s="169"/>
      <c r="Q4118" s="171"/>
      <c r="R4118" s="171"/>
      <c r="S4118" s="171"/>
      <c r="T4118" s="171"/>
      <c r="U4118" s="171"/>
      <c r="V4118" s="171"/>
      <c r="W4118" s="171"/>
      <c r="X4118" s="171"/>
      <c r="Y4118" s="171"/>
      <c r="Z4118" s="171"/>
      <c r="AA4118" s="171"/>
    </row>
    <row r="4119" spans="1:27" s="530" customFormat="1" hidden="1" x14ac:dyDescent="0.2">
      <c r="A4119" s="464"/>
      <c r="B4119" s="464"/>
      <c r="C4119" s="465"/>
      <c r="D4119" s="464"/>
      <c r="E4119" s="464"/>
      <c r="F4119" s="464"/>
      <c r="G4119" s="510"/>
      <c r="H4119" s="411"/>
      <c r="I4119" s="411"/>
      <c r="J4119" s="750"/>
      <c r="K4119" s="412"/>
      <c r="L4119" s="412"/>
      <c r="M4119" s="682"/>
      <c r="N4119" s="171"/>
      <c r="O4119" s="171"/>
      <c r="P4119" s="169"/>
      <c r="Q4119" s="171"/>
      <c r="R4119" s="171"/>
      <c r="S4119" s="171"/>
      <c r="T4119" s="171"/>
      <c r="U4119" s="171"/>
      <c r="V4119" s="171"/>
      <c r="W4119" s="171"/>
      <c r="X4119" s="171"/>
      <c r="Y4119" s="171"/>
      <c r="Z4119" s="171"/>
      <c r="AA4119" s="171"/>
    </row>
    <row r="4120" spans="1:27" s="530" customFormat="1" hidden="1" x14ac:dyDescent="0.2">
      <c r="A4120" s="464"/>
      <c r="B4120" s="464"/>
      <c r="C4120" s="465"/>
      <c r="D4120" s="464"/>
      <c r="E4120" s="464"/>
      <c r="F4120" s="464"/>
      <c r="G4120" s="510"/>
      <c r="H4120" s="411"/>
      <c r="I4120" s="411"/>
      <c r="J4120" s="750"/>
      <c r="K4120" s="412"/>
      <c r="L4120" s="412"/>
      <c r="M4120" s="682"/>
      <c r="N4120" s="171"/>
      <c r="O4120" s="171"/>
      <c r="P4120" s="169"/>
      <c r="Q4120" s="171"/>
      <c r="R4120" s="171"/>
      <c r="S4120" s="171"/>
      <c r="T4120" s="171"/>
      <c r="U4120" s="171"/>
      <c r="V4120" s="171"/>
      <c r="W4120" s="171"/>
      <c r="X4120" s="171"/>
      <c r="Y4120" s="171"/>
      <c r="Z4120" s="171"/>
      <c r="AA4120" s="171"/>
    </row>
    <row r="4121" spans="1:27" s="530" customFormat="1" hidden="1" x14ac:dyDescent="0.2">
      <c r="A4121" s="464"/>
      <c r="B4121" s="464"/>
      <c r="C4121" s="465"/>
      <c r="D4121" s="464"/>
      <c r="E4121" s="464"/>
      <c r="F4121" s="464"/>
      <c r="G4121" s="510"/>
      <c r="H4121" s="411"/>
      <c r="I4121" s="411"/>
      <c r="J4121" s="750"/>
      <c r="K4121" s="412"/>
      <c r="L4121" s="412"/>
      <c r="M4121" s="682"/>
      <c r="N4121" s="171"/>
      <c r="O4121" s="171"/>
      <c r="P4121" s="169"/>
      <c r="Q4121" s="171"/>
      <c r="R4121" s="171"/>
      <c r="S4121" s="171"/>
      <c r="T4121" s="171"/>
      <c r="U4121" s="171"/>
      <c r="V4121" s="171"/>
      <c r="W4121" s="171"/>
      <c r="X4121" s="171"/>
      <c r="Y4121" s="171"/>
      <c r="Z4121" s="171"/>
      <c r="AA4121" s="171"/>
    </row>
    <row r="4122" spans="1:27" s="530" customFormat="1" hidden="1" x14ac:dyDescent="0.2">
      <c r="A4122" s="464"/>
      <c r="B4122" s="464"/>
      <c r="C4122" s="465"/>
      <c r="D4122" s="464"/>
      <c r="E4122" s="464"/>
      <c r="F4122" s="464"/>
      <c r="G4122" s="510"/>
      <c r="H4122" s="411"/>
      <c r="I4122" s="411"/>
      <c r="J4122" s="750"/>
      <c r="K4122" s="412"/>
      <c r="L4122" s="412"/>
      <c r="M4122" s="682"/>
      <c r="N4122" s="171"/>
      <c r="O4122" s="171"/>
      <c r="P4122" s="169"/>
      <c r="Q4122" s="171"/>
      <c r="R4122" s="171"/>
      <c r="S4122" s="171"/>
      <c r="T4122" s="171"/>
      <c r="U4122" s="171"/>
      <c r="V4122" s="171"/>
      <c r="W4122" s="171"/>
      <c r="X4122" s="171"/>
      <c r="Y4122" s="171"/>
      <c r="Z4122" s="171"/>
      <c r="AA4122" s="171"/>
    </row>
    <row r="4123" spans="1:27" s="530" customFormat="1" hidden="1" x14ac:dyDescent="0.2">
      <c r="A4123" s="464"/>
      <c r="B4123" s="464"/>
      <c r="C4123" s="465"/>
      <c r="D4123" s="464"/>
      <c r="E4123" s="464"/>
      <c r="F4123" s="464"/>
      <c r="G4123" s="510"/>
      <c r="H4123" s="411"/>
      <c r="I4123" s="411"/>
      <c r="J4123" s="750"/>
      <c r="K4123" s="412"/>
      <c r="L4123" s="412"/>
      <c r="M4123" s="682"/>
      <c r="N4123" s="171"/>
      <c r="O4123" s="171"/>
      <c r="P4123" s="169"/>
      <c r="Q4123" s="171"/>
      <c r="R4123" s="171"/>
      <c r="S4123" s="171"/>
      <c r="T4123" s="171"/>
      <c r="U4123" s="171"/>
      <c r="V4123" s="171"/>
      <c r="W4123" s="171"/>
      <c r="X4123" s="171"/>
      <c r="Y4123" s="171"/>
      <c r="Z4123" s="171"/>
      <c r="AA4123" s="171"/>
    </row>
    <row r="4124" spans="1:27" s="530" customFormat="1" hidden="1" x14ac:dyDescent="0.2">
      <c r="A4124" s="464"/>
      <c r="B4124" s="464"/>
      <c r="C4124" s="465"/>
      <c r="D4124" s="464"/>
      <c r="E4124" s="464"/>
      <c r="F4124" s="464"/>
      <c r="G4124" s="510"/>
      <c r="H4124" s="411"/>
      <c r="I4124" s="411"/>
      <c r="J4124" s="750"/>
      <c r="K4124" s="412"/>
      <c r="L4124" s="412"/>
      <c r="M4124" s="682"/>
      <c r="N4124" s="171"/>
      <c r="O4124" s="171"/>
      <c r="P4124" s="169"/>
      <c r="Q4124" s="171"/>
      <c r="R4124" s="171"/>
      <c r="S4124" s="171"/>
      <c r="T4124" s="171"/>
      <c r="U4124" s="171"/>
      <c r="V4124" s="171"/>
      <c r="W4124" s="171"/>
      <c r="X4124" s="171"/>
      <c r="Y4124" s="171"/>
      <c r="Z4124" s="171"/>
      <c r="AA4124" s="171"/>
    </row>
    <row r="4125" spans="1:27" s="530" customFormat="1" hidden="1" x14ac:dyDescent="0.2">
      <c r="A4125" s="464"/>
      <c r="B4125" s="464"/>
      <c r="C4125" s="465"/>
      <c r="D4125" s="464"/>
      <c r="E4125" s="464"/>
      <c r="F4125" s="464"/>
      <c r="G4125" s="510"/>
      <c r="H4125" s="411"/>
      <c r="I4125" s="411"/>
      <c r="J4125" s="750"/>
      <c r="K4125" s="412"/>
      <c r="L4125" s="412"/>
      <c r="M4125" s="682"/>
      <c r="N4125" s="171"/>
      <c r="O4125" s="171"/>
      <c r="P4125" s="169"/>
      <c r="Q4125" s="171"/>
      <c r="R4125" s="171"/>
      <c r="S4125" s="171"/>
      <c r="T4125" s="171"/>
      <c r="U4125" s="171"/>
      <c r="V4125" s="171"/>
      <c r="W4125" s="171"/>
      <c r="X4125" s="171"/>
      <c r="Y4125" s="171"/>
      <c r="Z4125" s="171"/>
      <c r="AA4125" s="171"/>
    </row>
    <row r="4126" spans="1:27" s="530" customFormat="1" hidden="1" x14ac:dyDescent="0.2">
      <c r="A4126" s="464"/>
      <c r="B4126" s="464"/>
      <c r="C4126" s="465"/>
      <c r="D4126" s="464"/>
      <c r="E4126" s="464"/>
      <c r="F4126" s="464"/>
      <c r="G4126" s="510"/>
      <c r="H4126" s="411"/>
      <c r="I4126" s="411"/>
      <c r="J4126" s="750"/>
      <c r="K4126" s="412"/>
      <c r="L4126" s="412"/>
      <c r="M4126" s="682"/>
      <c r="N4126" s="171"/>
      <c r="O4126" s="171"/>
      <c r="P4126" s="169"/>
      <c r="Q4126" s="171"/>
      <c r="R4126" s="171"/>
      <c r="S4126" s="171"/>
      <c r="T4126" s="171"/>
      <c r="U4126" s="171"/>
      <c r="V4126" s="171"/>
      <c r="W4126" s="171"/>
      <c r="X4126" s="171"/>
      <c r="Y4126" s="171"/>
      <c r="Z4126" s="171"/>
      <c r="AA4126" s="171"/>
    </row>
    <row r="4127" spans="1:27" s="530" customFormat="1" hidden="1" x14ac:dyDescent="0.2">
      <c r="A4127" s="464"/>
      <c r="B4127" s="464"/>
      <c r="C4127" s="465"/>
      <c r="D4127" s="464"/>
      <c r="E4127" s="464"/>
      <c r="F4127" s="464"/>
      <c r="G4127" s="510"/>
      <c r="H4127" s="411"/>
      <c r="I4127" s="411"/>
      <c r="J4127" s="750"/>
      <c r="K4127" s="412"/>
      <c r="L4127" s="412"/>
      <c r="M4127" s="682"/>
      <c r="N4127" s="171"/>
      <c r="O4127" s="171"/>
      <c r="P4127" s="169"/>
      <c r="Q4127" s="171"/>
      <c r="R4127" s="171"/>
      <c r="S4127" s="171"/>
      <c r="T4127" s="171"/>
      <c r="U4127" s="171"/>
      <c r="V4127" s="171"/>
      <c r="W4127" s="171"/>
      <c r="X4127" s="171"/>
      <c r="Y4127" s="171"/>
      <c r="Z4127" s="171"/>
      <c r="AA4127" s="171"/>
    </row>
    <row r="4128" spans="1:27" s="530" customFormat="1" hidden="1" x14ac:dyDescent="0.2">
      <c r="A4128" s="464"/>
      <c r="B4128" s="464"/>
      <c r="C4128" s="465"/>
      <c r="D4128" s="464"/>
      <c r="E4128" s="464"/>
      <c r="F4128" s="464"/>
      <c r="G4128" s="510"/>
      <c r="H4128" s="411"/>
      <c r="I4128" s="411"/>
      <c r="J4128" s="750"/>
      <c r="K4128" s="412"/>
      <c r="L4128" s="412"/>
      <c r="M4128" s="682"/>
      <c r="N4128" s="171"/>
      <c r="O4128" s="171"/>
      <c r="P4128" s="169"/>
      <c r="Q4128" s="171"/>
      <c r="R4128" s="171"/>
      <c r="S4128" s="171"/>
      <c r="T4128" s="171"/>
      <c r="U4128" s="171"/>
      <c r="V4128" s="171"/>
      <c r="W4128" s="171"/>
      <c r="X4128" s="171"/>
      <c r="Y4128" s="171"/>
      <c r="Z4128" s="171"/>
      <c r="AA4128" s="171"/>
    </row>
    <row r="4129" spans="1:27" s="530" customFormat="1" hidden="1" x14ac:dyDescent="0.2">
      <c r="A4129" s="464"/>
      <c r="B4129" s="464"/>
      <c r="C4129" s="465"/>
      <c r="D4129" s="464"/>
      <c r="E4129" s="464"/>
      <c r="F4129" s="464"/>
      <c r="G4129" s="510"/>
      <c r="H4129" s="411"/>
      <c r="I4129" s="411"/>
      <c r="J4129" s="750"/>
      <c r="K4129" s="412"/>
      <c r="L4129" s="412"/>
      <c r="M4129" s="682"/>
      <c r="N4129" s="171"/>
      <c r="O4129" s="171"/>
      <c r="P4129" s="169"/>
      <c r="Q4129" s="171"/>
      <c r="R4129" s="171"/>
      <c r="S4129" s="171"/>
      <c r="T4129" s="171"/>
      <c r="U4129" s="171"/>
      <c r="V4129" s="171"/>
      <c r="W4129" s="171"/>
      <c r="X4129" s="171"/>
      <c r="Y4129" s="171"/>
      <c r="Z4129" s="171"/>
      <c r="AA4129" s="171"/>
    </row>
    <row r="4130" spans="1:27" s="530" customFormat="1" hidden="1" x14ac:dyDescent="0.2">
      <c r="A4130" s="464"/>
      <c r="B4130" s="464"/>
      <c r="C4130" s="465"/>
      <c r="D4130" s="464"/>
      <c r="E4130" s="464"/>
      <c r="F4130" s="464"/>
      <c r="G4130" s="510"/>
      <c r="H4130" s="411"/>
      <c r="I4130" s="411"/>
      <c r="J4130" s="750"/>
      <c r="K4130" s="412"/>
      <c r="L4130" s="412"/>
      <c r="M4130" s="682"/>
      <c r="N4130" s="171"/>
      <c r="O4130" s="171"/>
      <c r="P4130" s="169"/>
      <c r="Q4130" s="171"/>
      <c r="R4130" s="171"/>
      <c r="S4130" s="171"/>
      <c r="T4130" s="171"/>
      <c r="U4130" s="171"/>
      <c r="V4130" s="171"/>
      <c r="W4130" s="171"/>
      <c r="X4130" s="171"/>
      <c r="Y4130" s="171"/>
      <c r="Z4130" s="171"/>
      <c r="AA4130" s="171"/>
    </row>
    <row r="4131" spans="1:27" s="530" customFormat="1" hidden="1" x14ac:dyDescent="0.2">
      <c r="A4131" s="464"/>
      <c r="B4131" s="464"/>
      <c r="C4131" s="465"/>
      <c r="D4131" s="464"/>
      <c r="E4131" s="464"/>
      <c r="F4131" s="464"/>
      <c r="G4131" s="510"/>
      <c r="H4131" s="411"/>
      <c r="I4131" s="411"/>
      <c r="J4131" s="750"/>
      <c r="K4131" s="412"/>
      <c r="L4131" s="412"/>
      <c r="M4131" s="682"/>
      <c r="N4131" s="171"/>
      <c r="O4131" s="171"/>
      <c r="P4131" s="169"/>
      <c r="Q4131" s="171"/>
      <c r="R4131" s="171"/>
      <c r="S4131" s="171"/>
      <c r="T4131" s="171"/>
      <c r="U4131" s="171"/>
      <c r="V4131" s="171"/>
      <c r="W4131" s="171"/>
      <c r="X4131" s="171"/>
      <c r="Y4131" s="171"/>
      <c r="Z4131" s="171"/>
      <c r="AA4131" s="171"/>
    </row>
    <row r="4132" spans="1:27" s="530" customFormat="1" hidden="1" x14ac:dyDescent="0.2">
      <c r="A4132" s="464"/>
      <c r="B4132" s="464"/>
      <c r="C4132" s="465"/>
      <c r="D4132" s="464"/>
      <c r="E4132" s="464"/>
      <c r="F4132" s="464"/>
      <c r="G4132" s="510"/>
      <c r="H4132" s="411"/>
      <c r="I4132" s="411"/>
      <c r="J4132" s="750"/>
      <c r="K4132" s="412"/>
      <c r="L4132" s="412"/>
      <c r="M4132" s="682"/>
      <c r="N4132" s="171"/>
      <c r="O4132" s="171"/>
      <c r="P4132" s="169"/>
      <c r="Q4132" s="171"/>
      <c r="R4132" s="171"/>
      <c r="S4132" s="171"/>
      <c r="T4132" s="171"/>
      <c r="U4132" s="171"/>
      <c r="V4132" s="171"/>
      <c r="W4132" s="171"/>
      <c r="X4132" s="171"/>
      <c r="Y4132" s="171"/>
      <c r="Z4132" s="171"/>
      <c r="AA4132" s="171"/>
    </row>
    <row r="4133" spans="1:27" s="530" customFormat="1" hidden="1" x14ac:dyDescent="0.2">
      <c r="A4133" s="464"/>
      <c r="B4133" s="464"/>
      <c r="C4133" s="465"/>
      <c r="D4133" s="464"/>
      <c r="E4133" s="464"/>
      <c r="F4133" s="464"/>
      <c r="G4133" s="510"/>
      <c r="H4133" s="411"/>
      <c r="I4133" s="411"/>
      <c r="J4133" s="750"/>
      <c r="K4133" s="412"/>
      <c r="L4133" s="412"/>
      <c r="M4133" s="682"/>
      <c r="N4133" s="171"/>
      <c r="O4133" s="171"/>
      <c r="P4133" s="169"/>
      <c r="Q4133" s="171"/>
      <c r="R4133" s="171"/>
      <c r="S4133" s="171"/>
      <c r="T4133" s="171"/>
      <c r="U4133" s="171"/>
      <c r="V4133" s="171"/>
      <c r="W4133" s="171"/>
      <c r="X4133" s="171"/>
      <c r="Y4133" s="171"/>
      <c r="Z4133" s="171"/>
      <c r="AA4133" s="171"/>
    </row>
    <row r="4134" spans="1:27" s="530" customFormat="1" hidden="1" x14ac:dyDescent="0.2">
      <c r="A4134" s="464"/>
      <c r="B4134" s="464"/>
      <c r="C4134" s="465"/>
      <c r="D4134" s="464"/>
      <c r="E4134" s="464"/>
      <c r="F4134" s="464"/>
      <c r="G4134" s="510"/>
      <c r="H4134" s="411"/>
      <c r="I4134" s="411"/>
      <c r="J4134" s="750"/>
      <c r="K4134" s="412"/>
      <c r="L4134" s="412"/>
      <c r="M4134" s="682"/>
      <c r="N4134" s="171"/>
      <c r="O4134" s="171"/>
      <c r="P4134" s="169"/>
      <c r="Q4134" s="171"/>
      <c r="R4134" s="171"/>
      <c r="S4134" s="171"/>
      <c r="T4134" s="171"/>
      <c r="U4134" s="171"/>
      <c r="V4134" s="171"/>
      <c r="W4134" s="171"/>
      <c r="X4134" s="171"/>
      <c r="Y4134" s="171"/>
      <c r="Z4134" s="171"/>
      <c r="AA4134" s="171"/>
    </row>
    <row r="4135" spans="1:27" s="530" customFormat="1" hidden="1" x14ac:dyDescent="0.2">
      <c r="A4135" s="464"/>
      <c r="B4135" s="464"/>
      <c r="C4135" s="465"/>
      <c r="D4135" s="464"/>
      <c r="E4135" s="464"/>
      <c r="F4135" s="464"/>
      <c r="G4135" s="510"/>
      <c r="H4135" s="411"/>
      <c r="I4135" s="411"/>
      <c r="J4135" s="750"/>
      <c r="K4135" s="412"/>
      <c r="L4135" s="412"/>
      <c r="M4135" s="682"/>
      <c r="N4135" s="171"/>
      <c r="O4135" s="171"/>
      <c r="P4135" s="169"/>
      <c r="Q4135" s="171"/>
      <c r="R4135" s="171"/>
      <c r="S4135" s="171"/>
      <c r="T4135" s="171"/>
      <c r="U4135" s="171"/>
      <c r="V4135" s="171"/>
      <c r="W4135" s="171"/>
      <c r="X4135" s="171"/>
      <c r="Y4135" s="171"/>
      <c r="Z4135" s="171"/>
      <c r="AA4135" s="171"/>
    </row>
    <row r="4136" spans="1:27" s="530" customFormat="1" hidden="1" x14ac:dyDescent="0.2">
      <c r="A4136" s="464"/>
      <c r="B4136" s="464"/>
      <c r="C4136" s="465"/>
      <c r="D4136" s="464"/>
      <c r="E4136" s="464"/>
      <c r="F4136" s="464"/>
      <c r="G4136" s="510"/>
      <c r="H4136" s="411"/>
      <c r="I4136" s="411"/>
      <c r="J4136" s="750"/>
      <c r="K4136" s="412"/>
      <c r="L4136" s="412"/>
      <c r="M4136" s="682"/>
      <c r="N4136" s="171"/>
      <c r="O4136" s="171"/>
      <c r="P4136" s="169"/>
      <c r="Q4136" s="171"/>
      <c r="R4136" s="171"/>
      <c r="S4136" s="171"/>
      <c r="T4136" s="171"/>
      <c r="U4136" s="171"/>
      <c r="V4136" s="171"/>
      <c r="W4136" s="171"/>
      <c r="X4136" s="171"/>
      <c r="Y4136" s="171"/>
      <c r="Z4136" s="171"/>
      <c r="AA4136" s="171"/>
    </row>
    <row r="4137" spans="1:27" s="530" customFormat="1" hidden="1" x14ac:dyDescent="0.2">
      <c r="A4137" s="464"/>
      <c r="B4137" s="464"/>
      <c r="C4137" s="465"/>
      <c r="D4137" s="464"/>
      <c r="E4137" s="464"/>
      <c r="F4137" s="464"/>
      <c r="G4137" s="510"/>
      <c r="H4137" s="411"/>
      <c r="I4137" s="411"/>
      <c r="J4137" s="750"/>
      <c r="K4137" s="412"/>
      <c r="L4137" s="412"/>
      <c r="M4137" s="682"/>
      <c r="N4137" s="171"/>
      <c r="O4137" s="171"/>
      <c r="P4137" s="169"/>
      <c r="Q4137" s="171"/>
      <c r="R4137" s="171"/>
      <c r="S4137" s="171"/>
      <c r="T4137" s="171"/>
      <c r="U4137" s="171"/>
      <c r="V4137" s="171"/>
      <c r="W4137" s="171"/>
      <c r="X4137" s="171"/>
      <c r="Y4137" s="171"/>
      <c r="Z4137" s="171"/>
      <c r="AA4137" s="171"/>
    </row>
    <row r="4138" spans="1:27" s="530" customFormat="1" hidden="1" x14ac:dyDescent="0.2">
      <c r="A4138" s="464"/>
      <c r="B4138" s="464"/>
      <c r="C4138" s="465"/>
      <c r="D4138" s="464"/>
      <c r="E4138" s="464"/>
      <c r="F4138" s="464"/>
      <c r="G4138" s="510"/>
      <c r="H4138" s="411"/>
      <c r="I4138" s="411"/>
      <c r="J4138" s="750"/>
      <c r="K4138" s="412"/>
      <c r="L4138" s="412"/>
      <c r="M4138" s="682"/>
      <c r="N4138" s="171"/>
      <c r="O4138" s="171"/>
      <c r="P4138" s="169"/>
      <c r="Q4138" s="171"/>
      <c r="R4138" s="171"/>
      <c r="S4138" s="171"/>
      <c r="T4138" s="171"/>
      <c r="U4138" s="171"/>
      <c r="V4138" s="171"/>
      <c r="W4138" s="171"/>
      <c r="X4138" s="171"/>
      <c r="Y4138" s="171"/>
      <c r="Z4138" s="171"/>
      <c r="AA4138" s="171"/>
    </row>
    <row r="4139" spans="1:27" s="530" customFormat="1" hidden="1" x14ac:dyDescent="0.2">
      <c r="A4139" s="464"/>
      <c r="B4139" s="464"/>
      <c r="C4139" s="465"/>
      <c r="D4139" s="464"/>
      <c r="E4139" s="464"/>
      <c r="F4139" s="464"/>
      <c r="G4139" s="510"/>
      <c r="H4139" s="411"/>
      <c r="I4139" s="411"/>
      <c r="J4139" s="750"/>
      <c r="K4139" s="412"/>
      <c r="L4139" s="412"/>
      <c r="M4139" s="682"/>
      <c r="N4139" s="171"/>
      <c r="O4139" s="171"/>
      <c r="P4139" s="169"/>
      <c r="Q4139" s="171"/>
      <c r="R4139" s="171"/>
      <c r="S4139" s="171"/>
      <c r="T4139" s="171"/>
      <c r="U4139" s="171"/>
      <c r="V4139" s="171"/>
      <c r="W4139" s="171"/>
      <c r="X4139" s="171"/>
      <c r="Y4139" s="171"/>
      <c r="Z4139" s="171"/>
      <c r="AA4139" s="171"/>
    </row>
    <row r="4140" spans="1:27" s="530" customFormat="1" hidden="1" x14ac:dyDescent="0.2">
      <c r="A4140" s="464"/>
      <c r="B4140" s="464"/>
      <c r="C4140" s="465"/>
      <c r="D4140" s="464"/>
      <c r="E4140" s="464"/>
      <c r="F4140" s="464"/>
      <c r="G4140" s="510"/>
      <c r="H4140" s="411"/>
      <c r="I4140" s="411"/>
      <c r="J4140" s="750"/>
      <c r="K4140" s="412"/>
      <c r="L4140" s="412"/>
      <c r="M4140" s="682"/>
      <c r="N4140" s="171"/>
      <c r="O4140" s="171"/>
      <c r="P4140" s="169"/>
      <c r="Q4140" s="171"/>
      <c r="R4140" s="171"/>
      <c r="S4140" s="171"/>
      <c r="T4140" s="171"/>
      <c r="U4140" s="171"/>
      <c r="V4140" s="171"/>
      <c r="W4140" s="171"/>
      <c r="X4140" s="171"/>
      <c r="Y4140" s="171"/>
      <c r="Z4140" s="171"/>
      <c r="AA4140" s="171"/>
    </row>
    <row r="4141" spans="1:27" s="530" customFormat="1" hidden="1" x14ac:dyDescent="0.2">
      <c r="A4141" s="464"/>
      <c r="B4141" s="464"/>
      <c r="C4141" s="465"/>
      <c r="D4141" s="464"/>
      <c r="E4141" s="464"/>
      <c r="F4141" s="464"/>
      <c r="G4141" s="510"/>
      <c r="H4141" s="411"/>
      <c r="I4141" s="411"/>
      <c r="J4141" s="750"/>
      <c r="K4141" s="412"/>
      <c r="L4141" s="412"/>
      <c r="M4141" s="682"/>
      <c r="N4141" s="171"/>
      <c r="O4141" s="171"/>
      <c r="P4141" s="169"/>
      <c r="Q4141" s="171"/>
      <c r="R4141" s="171"/>
      <c r="S4141" s="171"/>
      <c r="T4141" s="171"/>
      <c r="U4141" s="171"/>
      <c r="V4141" s="171"/>
      <c r="W4141" s="171"/>
      <c r="X4141" s="171"/>
      <c r="Y4141" s="171"/>
      <c r="Z4141" s="171"/>
      <c r="AA4141" s="171"/>
    </row>
    <row r="4142" spans="1:27" s="530" customFormat="1" hidden="1" x14ac:dyDescent="0.2">
      <c r="A4142" s="464"/>
      <c r="B4142" s="464"/>
      <c r="C4142" s="465"/>
      <c r="D4142" s="464"/>
      <c r="E4142" s="464"/>
      <c r="F4142" s="464"/>
      <c r="G4142" s="510"/>
      <c r="H4142" s="411"/>
      <c r="I4142" s="411"/>
      <c r="J4142" s="750"/>
      <c r="K4142" s="412"/>
      <c r="L4142" s="412"/>
      <c r="M4142" s="682"/>
      <c r="N4142" s="171"/>
      <c r="O4142" s="171"/>
      <c r="P4142" s="169"/>
      <c r="Q4142" s="171"/>
      <c r="R4142" s="171"/>
      <c r="S4142" s="171"/>
      <c r="T4142" s="171"/>
      <c r="U4142" s="171"/>
      <c r="V4142" s="171"/>
      <c r="W4142" s="171"/>
      <c r="X4142" s="171"/>
      <c r="Y4142" s="171"/>
      <c r="Z4142" s="171"/>
      <c r="AA4142" s="171"/>
    </row>
    <row r="4143" spans="1:27" s="530" customFormat="1" hidden="1" x14ac:dyDescent="0.2">
      <c r="A4143" s="464"/>
      <c r="B4143" s="464"/>
      <c r="C4143" s="465"/>
      <c r="D4143" s="464"/>
      <c r="E4143" s="464"/>
      <c r="F4143" s="464"/>
      <c r="G4143" s="510"/>
      <c r="H4143" s="411"/>
      <c r="I4143" s="411"/>
      <c r="J4143" s="750"/>
      <c r="K4143" s="412"/>
      <c r="L4143" s="412"/>
      <c r="M4143" s="682"/>
      <c r="N4143" s="171"/>
      <c r="O4143" s="171"/>
      <c r="P4143" s="169"/>
      <c r="Q4143" s="171"/>
      <c r="R4143" s="171"/>
      <c r="S4143" s="171"/>
      <c r="T4143" s="171"/>
      <c r="U4143" s="171"/>
      <c r="V4143" s="171"/>
      <c r="W4143" s="171"/>
      <c r="X4143" s="171"/>
      <c r="Y4143" s="171"/>
      <c r="Z4143" s="171"/>
      <c r="AA4143" s="171"/>
    </row>
    <row r="4144" spans="1:27" s="530" customFormat="1" hidden="1" x14ac:dyDescent="0.2">
      <c r="A4144" s="464"/>
      <c r="B4144" s="464"/>
      <c r="C4144" s="465"/>
      <c r="D4144" s="464"/>
      <c r="E4144" s="464"/>
      <c r="F4144" s="464"/>
      <c r="G4144" s="510"/>
      <c r="H4144" s="411"/>
      <c r="I4144" s="411"/>
      <c r="J4144" s="750"/>
      <c r="K4144" s="412"/>
      <c r="L4144" s="412"/>
      <c r="M4144" s="682"/>
      <c r="N4144" s="171"/>
      <c r="O4144" s="171"/>
      <c r="P4144" s="169"/>
      <c r="Q4144" s="171"/>
      <c r="R4144" s="171"/>
      <c r="S4144" s="171"/>
      <c r="T4144" s="171"/>
      <c r="U4144" s="171"/>
      <c r="V4144" s="171"/>
      <c r="W4144" s="171"/>
      <c r="X4144" s="171"/>
      <c r="Y4144" s="171"/>
      <c r="Z4144" s="171"/>
      <c r="AA4144" s="171"/>
    </row>
    <row r="4145" spans="1:27" s="530" customFormat="1" hidden="1" x14ac:dyDescent="0.2">
      <c r="A4145" s="464"/>
      <c r="B4145" s="464"/>
      <c r="C4145" s="465"/>
      <c r="D4145" s="464"/>
      <c r="E4145" s="464"/>
      <c r="F4145" s="464"/>
      <c r="G4145" s="510"/>
      <c r="H4145" s="411"/>
      <c r="I4145" s="411"/>
      <c r="J4145" s="750"/>
      <c r="K4145" s="412"/>
      <c r="L4145" s="412"/>
      <c r="M4145" s="682"/>
      <c r="N4145" s="171"/>
      <c r="O4145" s="171"/>
      <c r="P4145" s="169"/>
      <c r="Q4145" s="171"/>
      <c r="R4145" s="171"/>
      <c r="S4145" s="171"/>
      <c r="T4145" s="171"/>
      <c r="U4145" s="171"/>
      <c r="V4145" s="171"/>
      <c r="W4145" s="171"/>
      <c r="X4145" s="171"/>
      <c r="Y4145" s="171"/>
      <c r="Z4145" s="171"/>
      <c r="AA4145" s="171"/>
    </row>
    <row r="4146" spans="1:27" s="530" customFormat="1" hidden="1" x14ac:dyDescent="0.2">
      <c r="A4146" s="464"/>
      <c r="B4146" s="464"/>
      <c r="C4146" s="465"/>
      <c r="D4146" s="464"/>
      <c r="E4146" s="464"/>
      <c r="F4146" s="464"/>
      <c r="G4146" s="510"/>
      <c r="H4146" s="411"/>
      <c r="I4146" s="411"/>
      <c r="J4146" s="750"/>
      <c r="K4146" s="412"/>
      <c r="L4146" s="412"/>
      <c r="M4146" s="682"/>
      <c r="N4146" s="171"/>
      <c r="O4146" s="171"/>
      <c r="P4146" s="169"/>
      <c r="Q4146" s="171"/>
      <c r="R4146" s="171"/>
      <c r="S4146" s="171"/>
      <c r="T4146" s="171"/>
      <c r="U4146" s="171"/>
      <c r="V4146" s="171"/>
      <c r="W4146" s="171"/>
      <c r="X4146" s="171"/>
      <c r="Y4146" s="171"/>
      <c r="Z4146" s="171"/>
      <c r="AA4146" s="171"/>
    </row>
    <row r="4147" spans="1:27" s="530" customFormat="1" hidden="1" x14ac:dyDescent="0.2">
      <c r="A4147" s="464"/>
      <c r="B4147" s="464"/>
      <c r="C4147" s="465"/>
      <c r="D4147" s="464"/>
      <c r="E4147" s="464"/>
      <c r="F4147" s="464"/>
      <c r="G4147" s="510"/>
      <c r="H4147" s="411"/>
      <c r="I4147" s="411"/>
      <c r="J4147" s="750"/>
      <c r="K4147" s="412"/>
      <c r="L4147" s="412"/>
      <c r="M4147" s="682"/>
      <c r="N4147" s="171"/>
      <c r="O4147" s="171"/>
      <c r="P4147" s="169"/>
      <c r="Q4147" s="171"/>
      <c r="R4147" s="171"/>
      <c r="S4147" s="171"/>
      <c r="T4147" s="171"/>
      <c r="U4147" s="171"/>
      <c r="V4147" s="171"/>
      <c r="W4147" s="171"/>
      <c r="X4147" s="171"/>
      <c r="Y4147" s="171"/>
      <c r="Z4147" s="171"/>
      <c r="AA4147" s="171"/>
    </row>
    <row r="4148" spans="1:27" s="530" customFormat="1" hidden="1" x14ac:dyDescent="0.2">
      <c r="A4148" s="464"/>
      <c r="B4148" s="464"/>
      <c r="C4148" s="465"/>
      <c r="D4148" s="464"/>
      <c r="E4148" s="464"/>
      <c r="F4148" s="464"/>
      <c r="G4148" s="510"/>
      <c r="H4148" s="411"/>
      <c r="I4148" s="411"/>
      <c r="J4148" s="750"/>
      <c r="K4148" s="412"/>
      <c r="L4148" s="412"/>
      <c r="M4148" s="682"/>
      <c r="N4148" s="171"/>
      <c r="O4148" s="171"/>
      <c r="P4148" s="169"/>
      <c r="Q4148" s="171"/>
      <c r="R4148" s="171"/>
      <c r="S4148" s="171"/>
      <c r="T4148" s="171"/>
      <c r="U4148" s="171"/>
      <c r="V4148" s="171"/>
      <c r="W4148" s="171"/>
      <c r="X4148" s="171"/>
      <c r="Y4148" s="171"/>
      <c r="Z4148" s="171"/>
      <c r="AA4148" s="171"/>
    </row>
    <row r="4149" spans="1:27" s="530" customFormat="1" hidden="1" x14ac:dyDescent="0.2">
      <c r="A4149" s="464"/>
      <c r="B4149" s="464"/>
      <c r="C4149" s="465"/>
      <c r="D4149" s="464"/>
      <c r="E4149" s="464"/>
      <c r="F4149" s="464"/>
      <c r="G4149" s="510"/>
      <c r="H4149" s="411"/>
      <c r="I4149" s="411"/>
      <c r="J4149" s="750"/>
      <c r="K4149" s="412"/>
      <c r="L4149" s="412"/>
      <c r="M4149" s="682"/>
      <c r="N4149" s="171"/>
      <c r="O4149" s="171"/>
      <c r="P4149" s="169"/>
      <c r="Q4149" s="171"/>
      <c r="R4149" s="171"/>
      <c r="S4149" s="171"/>
      <c r="T4149" s="171"/>
      <c r="U4149" s="171"/>
      <c r="V4149" s="171"/>
      <c r="W4149" s="171"/>
      <c r="X4149" s="171"/>
      <c r="Y4149" s="171"/>
      <c r="Z4149" s="171"/>
      <c r="AA4149" s="171"/>
    </row>
    <row r="4150" spans="1:27" s="530" customFormat="1" hidden="1" x14ac:dyDescent="0.2">
      <c r="A4150" s="464"/>
      <c r="B4150" s="464"/>
      <c r="C4150" s="465"/>
      <c r="D4150" s="464"/>
      <c r="E4150" s="464"/>
      <c r="F4150" s="464"/>
      <c r="G4150" s="510"/>
      <c r="H4150" s="411"/>
      <c r="I4150" s="411"/>
      <c r="J4150" s="750"/>
      <c r="K4150" s="412"/>
      <c r="L4150" s="412"/>
      <c r="M4150" s="682"/>
      <c r="N4150" s="171"/>
      <c r="O4150" s="171"/>
      <c r="P4150" s="169"/>
      <c r="Q4150" s="171"/>
      <c r="R4150" s="171"/>
      <c r="S4150" s="171"/>
      <c r="T4150" s="171"/>
      <c r="U4150" s="171"/>
      <c r="V4150" s="171"/>
      <c r="W4150" s="171"/>
      <c r="X4150" s="171"/>
      <c r="Y4150" s="171"/>
      <c r="Z4150" s="171"/>
      <c r="AA4150" s="171"/>
    </row>
    <row r="4151" spans="1:27" s="530" customFormat="1" hidden="1" x14ac:dyDescent="0.2">
      <c r="A4151" s="464"/>
      <c r="B4151" s="464"/>
      <c r="C4151" s="465"/>
      <c r="D4151" s="464"/>
      <c r="E4151" s="464"/>
      <c r="F4151" s="464"/>
      <c r="G4151" s="510"/>
      <c r="H4151" s="411"/>
      <c r="I4151" s="411"/>
      <c r="J4151" s="750"/>
      <c r="K4151" s="412"/>
      <c r="L4151" s="412"/>
      <c r="M4151" s="682"/>
      <c r="N4151" s="171"/>
      <c r="O4151" s="171"/>
      <c r="P4151" s="169"/>
      <c r="Q4151" s="171"/>
      <c r="R4151" s="171"/>
      <c r="S4151" s="171"/>
      <c r="T4151" s="171"/>
      <c r="U4151" s="171"/>
      <c r="V4151" s="171"/>
      <c r="W4151" s="171"/>
      <c r="X4151" s="171"/>
      <c r="Y4151" s="171"/>
      <c r="Z4151" s="171"/>
      <c r="AA4151" s="171"/>
    </row>
    <row r="4152" spans="1:27" s="530" customFormat="1" hidden="1" x14ac:dyDescent="0.2">
      <c r="A4152" s="464"/>
      <c r="B4152" s="464"/>
      <c r="C4152" s="465"/>
      <c r="D4152" s="464"/>
      <c r="E4152" s="464"/>
      <c r="F4152" s="464"/>
      <c r="G4152" s="510"/>
      <c r="H4152" s="411"/>
      <c r="I4152" s="411"/>
      <c r="J4152" s="750"/>
      <c r="K4152" s="412"/>
      <c r="L4152" s="412"/>
      <c r="M4152" s="682"/>
      <c r="N4152" s="171"/>
      <c r="O4152" s="171"/>
      <c r="P4152" s="169"/>
      <c r="Q4152" s="171"/>
      <c r="R4152" s="171"/>
      <c r="S4152" s="171"/>
      <c r="T4152" s="171"/>
      <c r="U4152" s="171"/>
      <c r="V4152" s="171"/>
      <c r="W4152" s="171"/>
      <c r="X4152" s="171"/>
      <c r="Y4152" s="171"/>
      <c r="Z4152" s="171"/>
      <c r="AA4152" s="171"/>
    </row>
    <row r="4153" spans="1:27" s="530" customFormat="1" hidden="1" x14ac:dyDescent="0.2">
      <c r="A4153" s="464"/>
      <c r="B4153" s="464"/>
      <c r="C4153" s="465"/>
      <c r="D4153" s="464"/>
      <c r="E4153" s="464"/>
      <c r="F4153" s="464"/>
      <c r="G4153" s="510"/>
      <c r="H4153" s="411"/>
      <c r="I4153" s="411"/>
      <c r="J4153" s="750"/>
      <c r="K4153" s="412"/>
      <c r="L4153" s="412"/>
      <c r="M4153" s="682"/>
      <c r="N4153" s="171"/>
      <c r="O4153" s="171"/>
      <c r="P4153" s="169"/>
      <c r="Q4153" s="171"/>
      <c r="R4153" s="171"/>
      <c r="S4153" s="171"/>
      <c r="T4153" s="171"/>
      <c r="U4153" s="171"/>
      <c r="V4153" s="171"/>
      <c r="W4153" s="171"/>
      <c r="X4153" s="171"/>
      <c r="Y4153" s="171"/>
      <c r="Z4153" s="171"/>
      <c r="AA4153" s="171"/>
    </row>
    <row r="4154" spans="1:27" s="530" customFormat="1" hidden="1" x14ac:dyDescent="0.2">
      <c r="A4154" s="464"/>
      <c r="B4154" s="464"/>
      <c r="C4154" s="465"/>
      <c r="D4154" s="464"/>
      <c r="E4154" s="464"/>
      <c r="F4154" s="464"/>
      <c r="G4154" s="510"/>
      <c r="H4154" s="411"/>
      <c r="I4154" s="411"/>
      <c r="J4154" s="750"/>
      <c r="K4154" s="412"/>
      <c r="L4154" s="412"/>
      <c r="M4154" s="682"/>
      <c r="N4154" s="171"/>
      <c r="O4154" s="171"/>
      <c r="P4154" s="169"/>
      <c r="Q4154" s="171"/>
      <c r="R4154" s="171"/>
      <c r="S4154" s="171"/>
      <c r="T4154" s="171"/>
      <c r="U4154" s="171"/>
      <c r="V4154" s="171"/>
      <c r="W4154" s="171"/>
      <c r="X4154" s="171"/>
      <c r="Y4154" s="171"/>
      <c r="Z4154" s="171"/>
      <c r="AA4154" s="171"/>
    </row>
    <row r="4155" spans="1:27" s="530" customFormat="1" hidden="1" x14ac:dyDescent="0.2">
      <c r="A4155" s="464"/>
      <c r="B4155" s="464"/>
      <c r="C4155" s="465"/>
      <c r="D4155" s="464"/>
      <c r="E4155" s="464"/>
      <c r="F4155" s="464"/>
      <c r="G4155" s="510"/>
      <c r="H4155" s="411"/>
      <c r="I4155" s="411"/>
      <c r="J4155" s="750"/>
      <c r="K4155" s="412"/>
      <c r="L4155" s="412"/>
      <c r="M4155" s="682"/>
      <c r="N4155" s="171"/>
      <c r="O4155" s="171"/>
      <c r="P4155" s="169"/>
      <c r="Q4155" s="171"/>
      <c r="R4155" s="171"/>
      <c r="S4155" s="171"/>
      <c r="T4155" s="171"/>
      <c r="U4155" s="171"/>
      <c r="V4155" s="171"/>
      <c r="W4155" s="171"/>
      <c r="X4155" s="171"/>
      <c r="Y4155" s="171"/>
      <c r="Z4155" s="171"/>
      <c r="AA4155" s="171"/>
    </row>
    <row r="4156" spans="1:27" s="530" customFormat="1" hidden="1" x14ac:dyDescent="0.2">
      <c r="A4156" s="464"/>
      <c r="B4156" s="464"/>
      <c r="C4156" s="465"/>
      <c r="D4156" s="464"/>
      <c r="E4156" s="464"/>
      <c r="F4156" s="464"/>
      <c r="G4156" s="510"/>
      <c r="H4156" s="411"/>
      <c r="I4156" s="411"/>
      <c r="J4156" s="750"/>
      <c r="K4156" s="412"/>
      <c r="L4156" s="412"/>
      <c r="M4156" s="682"/>
      <c r="N4156" s="171"/>
      <c r="O4156" s="171"/>
      <c r="P4156" s="169"/>
      <c r="Q4156" s="171"/>
      <c r="R4156" s="171"/>
      <c r="S4156" s="171"/>
      <c r="T4156" s="171"/>
      <c r="U4156" s="171"/>
      <c r="V4156" s="171"/>
      <c r="W4156" s="171"/>
      <c r="X4156" s="171"/>
      <c r="Y4156" s="171"/>
      <c r="Z4156" s="171"/>
      <c r="AA4156" s="171"/>
    </row>
    <row r="4157" spans="1:27" s="530" customFormat="1" hidden="1" x14ac:dyDescent="0.2">
      <c r="A4157" s="464"/>
      <c r="B4157" s="464"/>
      <c r="C4157" s="465"/>
      <c r="D4157" s="464"/>
      <c r="E4157" s="464"/>
      <c r="F4157" s="464"/>
      <c r="G4157" s="510"/>
      <c r="H4157" s="411"/>
      <c r="I4157" s="411"/>
      <c r="J4157" s="750"/>
      <c r="K4157" s="412"/>
      <c r="L4157" s="412"/>
      <c r="M4157" s="682"/>
      <c r="N4157" s="171"/>
      <c r="O4157" s="171"/>
      <c r="P4157" s="169"/>
      <c r="Q4157" s="171"/>
      <c r="R4157" s="171"/>
      <c r="S4157" s="171"/>
      <c r="T4157" s="171"/>
      <c r="U4157" s="171"/>
      <c r="V4157" s="171"/>
      <c r="W4157" s="171"/>
      <c r="X4157" s="171"/>
      <c r="Y4157" s="171"/>
      <c r="Z4157" s="171"/>
      <c r="AA4157" s="171"/>
    </row>
    <row r="4158" spans="1:27" s="530" customFormat="1" hidden="1" x14ac:dyDescent="0.2">
      <c r="A4158" s="464"/>
      <c r="B4158" s="464"/>
      <c r="C4158" s="465"/>
      <c r="D4158" s="464"/>
      <c r="E4158" s="464"/>
      <c r="F4158" s="464"/>
      <c r="G4158" s="510"/>
      <c r="H4158" s="411"/>
      <c r="I4158" s="411"/>
      <c r="J4158" s="750"/>
      <c r="K4158" s="412"/>
      <c r="L4158" s="412"/>
      <c r="M4158" s="682"/>
      <c r="N4158" s="171"/>
      <c r="O4158" s="171"/>
      <c r="P4158" s="169"/>
      <c r="Q4158" s="171"/>
      <c r="R4158" s="171"/>
      <c r="S4158" s="171"/>
      <c r="T4158" s="171"/>
      <c r="U4158" s="171"/>
      <c r="V4158" s="171"/>
      <c r="W4158" s="171"/>
      <c r="X4158" s="171"/>
      <c r="Y4158" s="171"/>
      <c r="Z4158" s="171"/>
      <c r="AA4158" s="171"/>
    </row>
    <row r="4159" spans="1:27" s="530" customFormat="1" hidden="1" x14ac:dyDescent="0.2">
      <c r="A4159" s="464"/>
      <c r="B4159" s="464"/>
      <c r="C4159" s="465"/>
      <c r="D4159" s="464"/>
      <c r="E4159" s="464"/>
      <c r="F4159" s="464"/>
      <c r="G4159" s="510"/>
      <c r="H4159" s="411"/>
      <c r="I4159" s="411"/>
      <c r="J4159" s="750"/>
      <c r="K4159" s="412"/>
      <c r="L4159" s="412"/>
      <c r="M4159" s="682"/>
      <c r="N4159" s="171"/>
      <c r="O4159" s="171"/>
      <c r="P4159" s="169"/>
      <c r="Q4159" s="171"/>
      <c r="R4159" s="171"/>
      <c r="S4159" s="171"/>
      <c r="T4159" s="171"/>
      <c r="U4159" s="171"/>
      <c r="V4159" s="171"/>
      <c r="W4159" s="171"/>
      <c r="X4159" s="171"/>
      <c r="Y4159" s="171"/>
      <c r="Z4159" s="171"/>
      <c r="AA4159" s="171"/>
    </row>
    <row r="4160" spans="1:27" s="530" customFormat="1" hidden="1" x14ac:dyDescent="0.2">
      <c r="A4160" s="464"/>
      <c r="B4160" s="464"/>
      <c r="C4160" s="465"/>
      <c r="D4160" s="464"/>
      <c r="E4160" s="464"/>
      <c r="F4160" s="464"/>
      <c r="G4160" s="510"/>
      <c r="H4160" s="411"/>
      <c r="I4160" s="411"/>
      <c r="J4160" s="750"/>
      <c r="K4160" s="412"/>
      <c r="L4160" s="412"/>
      <c r="M4160" s="682"/>
      <c r="N4160" s="171"/>
      <c r="O4160" s="171"/>
      <c r="P4160" s="169"/>
      <c r="Q4160" s="171"/>
      <c r="R4160" s="171"/>
      <c r="S4160" s="171"/>
      <c r="T4160" s="171"/>
      <c r="U4160" s="171"/>
      <c r="V4160" s="171"/>
      <c r="W4160" s="171"/>
      <c r="X4160" s="171"/>
      <c r="Y4160" s="171"/>
      <c r="Z4160" s="171"/>
      <c r="AA4160" s="171"/>
    </row>
    <row r="4161" spans="1:27" s="530" customFormat="1" hidden="1" x14ac:dyDescent="0.2">
      <c r="A4161" s="464"/>
      <c r="B4161" s="464"/>
      <c r="C4161" s="465"/>
      <c r="D4161" s="464"/>
      <c r="E4161" s="464"/>
      <c r="F4161" s="464"/>
      <c r="G4161" s="510"/>
      <c r="H4161" s="411"/>
      <c r="I4161" s="411"/>
      <c r="J4161" s="750"/>
      <c r="K4161" s="412"/>
      <c r="L4161" s="412"/>
      <c r="M4161" s="682"/>
      <c r="N4161" s="171"/>
      <c r="O4161" s="171"/>
      <c r="P4161" s="169"/>
      <c r="Q4161" s="171"/>
      <c r="R4161" s="171"/>
      <c r="S4161" s="171"/>
      <c r="T4161" s="171"/>
      <c r="U4161" s="171"/>
      <c r="V4161" s="171"/>
      <c r="W4161" s="171"/>
      <c r="X4161" s="171"/>
      <c r="Y4161" s="171"/>
      <c r="Z4161" s="171"/>
      <c r="AA4161" s="171"/>
    </row>
    <row r="4162" spans="1:27" s="530" customFormat="1" ht="23.25" hidden="1" customHeight="1" x14ac:dyDescent="0.2">
      <c r="A4162" s="464"/>
      <c r="B4162" s="464"/>
      <c r="C4162" s="465"/>
      <c r="D4162" s="464"/>
      <c r="E4162" s="464"/>
      <c r="F4162" s="464"/>
      <c r="G4162" s="510"/>
      <c r="H4162" s="411"/>
      <c r="I4162" s="411"/>
      <c r="J4162" s="750"/>
      <c r="K4162" s="412"/>
      <c r="L4162" s="412"/>
      <c r="M4162" s="682"/>
      <c r="N4162" s="171"/>
      <c r="O4162" s="171"/>
      <c r="P4162" s="169"/>
      <c r="Q4162" s="171"/>
      <c r="R4162" s="171"/>
      <c r="S4162" s="171"/>
      <c r="T4162" s="171"/>
      <c r="U4162" s="171"/>
      <c r="V4162" s="171"/>
      <c r="W4162" s="171"/>
      <c r="X4162" s="171"/>
      <c r="Y4162" s="171"/>
      <c r="Z4162" s="171"/>
      <c r="AA4162" s="171"/>
    </row>
    <row r="4163" spans="1:27" s="530" customFormat="1" ht="15.75" hidden="1" customHeight="1" x14ac:dyDescent="0.2">
      <c r="A4163" s="464"/>
      <c r="B4163" s="464"/>
      <c r="C4163" s="465"/>
      <c r="D4163" s="464"/>
      <c r="E4163" s="464"/>
      <c r="F4163" s="464"/>
      <c r="G4163" s="510"/>
      <c r="H4163" s="411"/>
      <c r="I4163" s="411"/>
      <c r="J4163" s="750"/>
      <c r="K4163" s="412"/>
      <c r="L4163" s="412"/>
      <c r="M4163" s="682"/>
      <c r="N4163" s="171"/>
      <c r="O4163" s="171"/>
      <c r="P4163" s="169"/>
      <c r="Q4163" s="171"/>
      <c r="R4163" s="171"/>
      <c r="S4163" s="171"/>
      <c r="T4163" s="171"/>
      <c r="U4163" s="171"/>
      <c r="V4163" s="171"/>
      <c r="W4163" s="171"/>
      <c r="X4163" s="171"/>
      <c r="Y4163" s="171"/>
      <c r="Z4163" s="171"/>
      <c r="AA4163" s="171"/>
    </row>
    <row r="4164" spans="1:27" s="530" customFormat="1" ht="16.5" hidden="1" customHeight="1" x14ac:dyDescent="0.2">
      <c r="A4164" s="464"/>
      <c r="B4164" s="464"/>
      <c r="C4164" s="465"/>
      <c r="D4164" s="464"/>
      <c r="E4164" s="464"/>
      <c r="F4164" s="464"/>
      <c r="G4164" s="510"/>
      <c r="H4164" s="411"/>
      <c r="I4164" s="411"/>
      <c r="J4164" s="750"/>
      <c r="K4164" s="412"/>
      <c r="L4164" s="412"/>
      <c r="M4164" s="682"/>
      <c r="N4164" s="171"/>
      <c r="O4164" s="171"/>
      <c r="P4164" s="169"/>
      <c r="Q4164" s="171"/>
      <c r="R4164" s="171"/>
      <c r="S4164" s="171"/>
      <c r="T4164" s="171"/>
      <c r="U4164" s="171"/>
      <c r="V4164" s="171"/>
      <c r="W4164" s="171"/>
      <c r="X4164" s="171"/>
      <c r="Y4164" s="171"/>
      <c r="Z4164" s="171"/>
      <c r="AA4164" s="171"/>
    </row>
    <row r="4165" spans="1:27" s="530" customFormat="1" ht="18" hidden="1" customHeight="1" x14ac:dyDescent="0.2">
      <c r="A4165" s="464"/>
      <c r="B4165" s="464"/>
      <c r="C4165" s="465"/>
      <c r="D4165" s="464"/>
      <c r="E4165" s="464"/>
      <c r="F4165" s="464"/>
      <c r="G4165" s="510"/>
      <c r="H4165" s="411"/>
      <c r="I4165" s="411"/>
      <c r="J4165" s="750"/>
      <c r="K4165" s="412"/>
      <c r="L4165" s="412"/>
      <c r="M4165" s="682"/>
      <c r="N4165" s="171"/>
      <c r="O4165" s="171"/>
      <c r="P4165" s="169"/>
      <c r="Q4165" s="171"/>
      <c r="R4165" s="171"/>
      <c r="S4165" s="171"/>
      <c r="T4165" s="171"/>
      <c r="U4165" s="171"/>
      <c r="V4165" s="171"/>
      <c r="W4165" s="171"/>
      <c r="X4165" s="171"/>
      <c r="Y4165" s="171"/>
      <c r="Z4165" s="171"/>
      <c r="AA4165" s="171"/>
    </row>
    <row r="4166" spans="1:27" s="530" customFormat="1" ht="18" hidden="1" customHeight="1" x14ac:dyDescent="0.2">
      <c r="A4166" s="464"/>
      <c r="B4166" s="464"/>
      <c r="C4166" s="465"/>
      <c r="D4166" s="464"/>
      <c r="E4166" s="464"/>
      <c r="F4166" s="464"/>
      <c r="G4166" s="510"/>
      <c r="H4166" s="411"/>
      <c r="I4166" s="411"/>
      <c r="J4166" s="750"/>
      <c r="K4166" s="412"/>
      <c r="L4166" s="412"/>
      <c r="M4166" s="682"/>
      <c r="N4166" s="171"/>
      <c r="O4166" s="171"/>
      <c r="P4166" s="169"/>
      <c r="Q4166" s="171"/>
      <c r="R4166" s="171"/>
      <c r="S4166" s="171"/>
      <c r="T4166" s="171"/>
      <c r="U4166" s="171"/>
      <c r="V4166" s="171"/>
      <c r="W4166" s="171"/>
      <c r="X4166" s="171"/>
      <c r="Y4166" s="171"/>
      <c r="Z4166" s="171"/>
      <c r="AA4166" s="171"/>
    </row>
    <row r="4167" spans="1:27" s="530" customFormat="1" ht="31.5" hidden="1" customHeight="1" x14ac:dyDescent="0.2">
      <c r="A4167" s="464"/>
      <c r="B4167" s="464"/>
      <c r="C4167" s="465"/>
      <c r="D4167" s="464"/>
      <c r="E4167" s="464"/>
      <c r="F4167" s="464"/>
      <c r="G4167" s="510"/>
      <c r="H4167" s="411"/>
      <c r="I4167" s="411"/>
      <c r="J4167" s="750"/>
      <c r="K4167" s="412"/>
      <c r="L4167" s="412"/>
      <c r="M4167" s="682"/>
      <c r="N4167" s="171"/>
      <c r="O4167" s="171"/>
      <c r="P4167" s="169"/>
      <c r="Q4167" s="171"/>
      <c r="R4167" s="171"/>
      <c r="S4167" s="171"/>
      <c r="T4167" s="171"/>
      <c r="U4167" s="171"/>
      <c r="V4167" s="171"/>
      <c r="W4167" s="171"/>
      <c r="X4167" s="171"/>
      <c r="Y4167" s="171"/>
      <c r="Z4167" s="171"/>
      <c r="AA4167" s="171"/>
    </row>
    <row r="4168" spans="1:27" s="530" customFormat="1" ht="19.5" hidden="1" customHeight="1" x14ac:dyDescent="0.2">
      <c r="A4168" s="464"/>
      <c r="B4168" s="464"/>
      <c r="C4168" s="465"/>
      <c r="D4168" s="464"/>
      <c r="E4168" s="464"/>
      <c r="F4168" s="464"/>
      <c r="G4168" s="510"/>
      <c r="H4168" s="411"/>
      <c r="I4168" s="411"/>
      <c r="J4168" s="750"/>
      <c r="K4168" s="412"/>
      <c r="L4168" s="412"/>
      <c r="M4168" s="682"/>
      <c r="N4168" s="171"/>
      <c r="O4168" s="171"/>
      <c r="P4168" s="169"/>
      <c r="Q4168" s="171"/>
      <c r="R4168" s="171"/>
      <c r="S4168" s="171"/>
      <c r="T4168" s="171"/>
      <c r="U4168" s="171"/>
      <c r="V4168" s="171"/>
      <c r="W4168" s="171"/>
      <c r="X4168" s="171"/>
      <c r="Y4168" s="171"/>
      <c r="Z4168" s="171"/>
      <c r="AA4168" s="171"/>
    </row>
    <row r="4169" spans="1:27" s="530" customFormat="1" ht="24.75" hidden="1" customHeight="1" x14ac:dyDescent="0.2">
      <c r="A4169" s="464"/>
      <c r="B4169" s="464"/>
      <c r="C4169" s="465"/>
      <c r="D4169" s="464"/>
      <c r="E4169" s="464"/>
      <c r="F4169" s="464"/>
      <c r="G4169" s="510"/>
      <c r="H4169" s="411"/>
      <c r="I4169" s="411"/>
      <c r="J4169" s="750"/>
      <c r="K4169" s="412"/>
      <c r="L4169" s="412"/>
      <c r="M4169" s="682"/>
      <c r="N4169" s="171"/>
      <c r="O4169" s="171"/>
      <c r="P4169" s="169"/>
      <c r="Q4169" s="171"/>
      <c r="R4169" s="171"/>
      <c r="S4169" s="171"/>
      <c r="T4169" s="171"/>
      <c r="U4169" s="171"/>
      <c r="V4169" s="171"/>
      <c r="W4169" s="171"/>
      <c r="X4169" s="171"/>
      <c r="Y4169" s="171"/>
      <c r="Z4169" s="171"/>
      <c r="AA4169" s="171"/>
    </row>
    <row r="4170" spans="1:27" s="530" customFormat="1" ht="13.5" hidden="1" customHeight="1" x14ac:dyDescent="0.2">
      <c r="A4170" s="464"/>
      <c r="B4170" s="464"/>
      <c r="C4170" s="465"/>
      <c r="D4170" s="464"/>
      <c r="E4170" s="464"/>
      <c r="F4170" s="464"/>
      <c r="G4170" s="510"/>
      <c r="H4170" s="411"/>
      <c r="I4170" s="411"/>
      <c r="J4170" s="750"/>
      <c r="K4170" s="412"/>
      <c r="L4170" s="412"/>
      <c r="M4170" s="682"/>
      <c r="N4170" s="171"/>
      <c r="O4170" s="171"/>
      <c r="P4170" s="169"/>
      <c r="Q4170" s="171"/>
      <c r="R4170" s="171"/>
      <c r="S4170" s="171"/>
      <c r="T4170" s="171"/>
      <c r="U4170" s="171"/>
      <c r="V4170" s="171"/>
      <c r="W4170" s="171"/>
      <c r="X4170" s="171"/>
      <c r="Y4170" s="171"/>
      <c r="Z4170" s="171"/>
      <c r="AA4170" s="171"/>
    </row>
    <row r="4171" spans="1:27" s="530" customFormat="1" hidden="1" x14ac:dyDescent="0.2">
      <c r="A4171" s="526"/>
      <c r="B4171" s="527"/>
      <c r="C4171" s="465"/>
      <c r="D4171" s="464"/>
      <c r="E4171" s="464"/>
      <c r="F4171" s="464"/>
      <c r="G4171" s="510"/>
      <c r="H4171" s="411"/>
      <c r="I4171" s="411"/>
      <c r="J4171" s="750"/>
      <c r="K4171" s="412"/>
      <c r="L4171" s="412"/>
      <c r="M4171" s="682"/>
      <c r="N4171" s="171"/>
      <c r="O4171" s="171"/>
      <c r="P4171" s="169"/>
      <c r="Q4171" s="171"/>
      <c r="R4171" s="171"/>
      <c r="S4171" s="171"/>
      <c r="T4171" s="171"/>
      <c r="U4171" s="171"/>
      <c r="V4171" s="171"/>
      <c r="W4171" s="171"/>
      <c r="X4171" s="171"/>
      <c r="Y4171" s="171"/>
      <c r="Z4171" s="171"/>
      <c r="AA4171" s="171"/>
    </row>
    <row r="4172" spans="1:27" s="530" customFormat="1" ht="21.75" customHeight="1" x14ac:dyDescent="0.2">
      <c r="A4172" s="526"/>
      <c r="B4172" s="527"/>
      <c r="C4172" s="534"/>
      <c r="D4172" s="535"/>
      <c r="E4172" s="535"/>
      <c r="F4172" s="498"/>
      <c r="G4172" s="511" t="s">
        <v>4247</v>
      </c>
      <c r="H4172" s="413"/>
      <c r="I4172" s="413"/>
      <c r="J4172" s="750"/>
      <c r="K4172" s="414"/>
      <c r="L4172" s="415"/>
      <c r="M4172" s="682"/>
      <c r="N4172" s="171"/>
      <c r="O4172" s="171"/>
      <c r="P4172" s="169"/>
      <c r="Q4172" s="171"/>
      <c r="R4172" s="171"/>
      <c r="S4172" s="171"/>
      <c r="T4172" s="171"/>
      <c r="U4172" s="171"/>
      <c r="V4172" s="171"/>
      <c r="W4172" s="171"/>
      <c r="X4172" s="171"/>
      <c r="Y4172" s="171"/>
      <c r="Z4172" s="171"/>
      <c r="AA4172" s="171"/>
    </row>
    <row r="4173" spans="1:27" s="530" customFormat="1" x14ac:dyDescent="0.2">
      <c r="A4173" s="526"/>
      <c r="B4173" s="527"/>
      <c r="C4173" s="534"/>
      <c r="D4173" s="535"/>
      <c r="E4173" s="535"/>
      <c r="F4173" s="503" t="s">
        <v>234</v>
      </c>
      <c r="G4173" s="504" t="s">
        <v>235</v>
      </c>
      <c r="H4173" s="403">
        <f>SUM(H4070,H3971,H3872,H3772,H3574,H3475,H3362,H3115)</f>
        <v>113651000</v>
      </c>
      <c r="I4173" s="403">
        <f>SUM(I4070,I3971,I3772,I3574,I3475,I3362,I3115)</f>
        <v>106036896.65000001</v>
      </c>
      <c r="J4173" s="750">
        <f t="shared" ref="J4173:J4236" si="48">SUM(I4173/H4173)*100</f>
        <v>93.300451953788354</v>
      </c>
      <c r="K4173" s="404"/>
      <c r="L4173" s="404"/>
      <c r="M4173" s="682"/>
      <c r="N4173" s="171"/>
      <c r="O4173" s="171"/>
      <c r="P4173" s="169"/>
      <c r="Q4173" s="171"/>
      <c r="R4173" s="171"/>
      <c r="S4173" s="171"/>
      <c r="T4173" s="171"/>
      <c r="U4173" s="171"/>
      <c r="V4173" s="171"/>
      <c r="W4173" s="171"/>
      <c r="X4173" s="171"/>
      <c r="Y4173" s="171"/>
      <c r="Z4173" s="171"/>
      <c r="AA4173" s="171"/>
    </row>
    <row r="4174" spans="1:27" s="530" customFormat="1" hidden="1" x14ac:dyDescent="0.2">
      <c r="A4174" s="526"/>
      <c r="B4174" s="527"/>
      <c r="C4174" s="534"/>
      <c r="D4174" s="535"/>
      <c r="E4174" s="535"/>
      <c r="F4174" s="503" t="s">
        <v>236</v>
      </c>
      <c r="G4174" s="504" t="s">
        <v>237</v>
      </c>
      <c r="H4174" s="397"/>
      <c r="I4174" s="397"/>
      <c r="J4174" s="750" t="e">
        <f t="shared" si="48"/>
        <v>#DIV/0!</v>
      </c>
      <c r="K4174" s="398"/>
      <c r="L4174" s="404"/>
      <c r="M4174" s="682"/>
      <c r="N4174" s="171"/>
      <c r="O4174" s="171"/>
      <c r="P4174" s="169"/>
      <c r="Q4174" s="171"/>
      <c r="R4174" s="171"/>
      <c r="S4174" s="171"/>
      <c r="T4174" s="171"/>
      <c r="U4174" s="171"/>
      <c r="V4174" s="171"/>
      <c r="W4174" s="171"/>
      <c r="X4174" s="171"/>
      <c r="Y4174" s="171"/>
      <c r="Z4174" s="171"/>
      <c r="AA4174" s="171"/>
    </row>
    <row r="4175" spans="1:27" s="530" customFormat="1" hidden="1" x14ac:dyDescent="0.2">
      <c r="A4175" s="526"/>
      <c r="B4175" s="527"/>
      <c r="C4175" s="534"/>
      <c r="D4175" s="535"/>
      <c r="E4175" s="535"/>
      <c r="F4175" s="503" t="s">
        <v>238</v>
      </c>
      <c r="G4175" s="504" t="s">
        <v>239</v>
      </c>
      <c r="H4175" s="397"/>
      <c r="I4175" s="397"/>
      <c r="J4175" s="750" t="e">
        <f t="shared" si="48"/>
        <v>#DIV/0!</v>
      </c>
      <c r="K4175" s="398"/>
      <c r="L4175" s="404"/>
      <c r="M4175" s="682"/>
      <c r="N4175" s="171"/>
      <c r="O4175" s="171"/>
      <c r="P4175" s="169"/>
      <c r="Q4175" s="171"/>
      <c r="R4175" s="171"/>
      <c r="S4175" s="171"/>
      <c r="T4175" s="171"/>
      <c r="U4175" s="171"/>
      <c r="V4175" s="171"/>
      <c r="W4175" s="171"/>
      <c r="X4175" s="171"/>
      <c r="Y4175" s="171"/>
      <c r="Z4175" s="171"/>
      <c r="AA4175" s="171"/>
    </row>
    <row r="4176" spans="1:27" s="530" customFormat="1" hidden="1" x14ac:dyDescent="0.2">
      <c r="A4176" s="526"/>
      <c r="B4176" s="527"/>
      <c r="C4176" s="534"/>
      <c r="D4176" s="535"/>
      <c r="E4176" s="535"/>
      <c r="F4176" s="503" t="s">
        <v>240</v>
      </c>
      <c r="G4176" s="504" t="s">
        <v>241</v>
      </c>
      <c r="H4176" s="397"/>
      <c r="I4176" s="397"/>
      <c r="J4176" s="750" t="e">
        <f t="shared" si="48"/>
        <v>#DIV/0!</v>
      </c>
      <c r="K4176" s="398"/>
      <c r="L4176" s="404"/>
      <c r="M4176" s="682"/>
      <c r="N4176" s="171"/>
      <c r="O4176" s="171"/>
      <c r="P4176" s="169"/>
      <c r="Q4176" s="171"/>
      <c r="R4176" s="171"/>
      <c r="S4176" s="171"/>
      <c r="T4176" s="171"/>
      <c r="U4176" s="171"/>
      <c r="V4176" s="171"/>
      <c r="W4176" s="171"/>
      <c r="X4176" s="171"/>
      <c r="Y4176" s="171"/>
      <c r="Z4176" s="171"/>
      <c r="AA4176" s="171"/>
    </row>
    <row r="4177" spans="1:27" s="530" customFormat="1" hidden="1" x14ac:dyDescent="0.2">
      <c r="A4177" s="526"/>
      <c r="B4177" s="527"/>
      <c r="C4177" s="534"/>
      <c r="D4177" s="535"/>
      <c r="E4177" s="535"/>
      <c r="F4177" s="503" t="s">
        <v>242</v>
      </c>
      <c r="G4177" s="504" t="s">
        <v>243</v>
      </c>
      <c r="H4177" s="397"/>
      <c r="I4177" s="397"/>
      <c r="J4177" s="750" t="e">
        <f t="shared" si="48"/>
        <v>#DIV/0!</v>
      </c>
      <c r="K4177" s="398"/>
      <c r="L4177" s="404"/>
      <c r="M4177" s="682"/>
      <c r="N4177" s="171"/>
      <c r="O4177" s="171"/>
      <c r="P4177" s="169"/>
      <c r="Q4177" s="171"/>
      <c r="R4177" s="171"/>
      <c r="S4177" s="171"/>
      <c r="T4177" s="171"/>
      <c r="U4177" s="171"/>
      <c r="V4177" s="171"/>
      <c r="W4177" s="171"/>
      <c r="X4177" s="171"/>
      <c r="Y4177" s="171"/>
      <c r="Z4177" s="171"/>
      <c r="AA4177" s="171"/>
    </row>
    <row r="4178" spans="1:27" s="530" customFormat="1" hidden="1" x14ac:dyDescent="0.2">
      <c r="A4178" s="526"/>
      <c r="B4178" s="527"/>
      <c r="C4178" s="534"/>
      <c r="D4178" s="535"/>
      <c r="E4178" s="535"/>
      <c r="F4178" s="503" t="s">
        <v>244</v>
      </c>
      <c r="G4178" s="504" t="s">
        <v>245</v>
      </c>
      <c r="H4178" s="397"/>
      <c r="I4178" s="397"/>
      <c r="J4178" s="750" t="e">
        <f t="shared" si="48"/>
        <v>#DIV/0!</v>
      </c>
      <c r="K4178" s="398"/>
      <c r="L4178" s="404"/>
      <c r="M4178" s="682"/>
      <c r="N4178" s="171"/>
      <c r="O4178" s="171"/>
      <c r="P4178" s="169"/>
      <c r="Q4178" s="171"/>
      <c r="R4178" s="171"/>
      <c r="S4178" s="171"/>
      <c r="T4178" s="171"/>
      <c r="U4178" s="171"/>
      <c r="V4178" s="171"/>
      <c r="W4178" s="171"/>
      <c r="X4178" s="171"/>
      <c r="Y4178" s="171"/>
      <c r="Z4178" s="171"/>
      <c r="AA4178" s="171"/>
    </row>
    <row r="4179" spans="1:27" s="530" customFormat="1" hidden="1" x14ac:dyDescent="0.2">
      <c r="A4179" s="526"/>
      <c r="B4179" s="527"/>
      <c r="C4179" s="534"/>
      <c r="D4179" s="535"/>
      <c r="E4179" s="535"/>
      <c r="F4179" s="503" t="s">
        <v>246</v>
      </c>
      <c r="G4179" s="504" t="s">
        <v>247</v>
      </c>
      <c r="H4179" s="397"/>
      <c r="I4179" s="397"/>
      <c r="J4179" s="750" t="e">
        <f t="shared" si="48"/>
        <v>#DIV/0!</v>
      </c>
      <c r="K4179" s="398"/>
      <c r="L4179" s="404"/>
      <c r="M4179" s="682"/>
      <c r="N4179" s="171"/>
      <c r="O4179" s="171"/>
      <c r="P4179" s="169"/>
      <c r="Q4179" s="171"/>
      <c r="R4179" s="171"/>
      <c r="S4179" s="171"/>
      <c r="T4179" s="171"/>
      <c r="U4179" s="171"/>
      <c r="V4179" s="171"/>
      <c r="W4179" s="171"/>
      <c r="X4179" s="171"/>
      <c r="Y4179" s="171"/>
      <c r="Z4179" s="171"/>
      <c r="AA4179" s="171"/>
    </row>
    <row r="4180" spans="1:27" s="530" customFormat="1" ht="25.5" hidden="1" x14ac:dyDescent="0.2">
      <c r="A4180" s="526"/>
      <c r="B4180" s="527"/>
      <c r="C4180" s="534"/>
      <c r="D4180" s="535"/>
      <c r="E4180" s="535"/>
      <c r="F4180" s="503" t="s">
        <v>248</v>
      </c>
      <c r="G4180" s="504" t="s">
        <v>249</v>
      </c>
      <c r="H4180" s="397"/>
      <c r="I4180" s="397"/>
      <c r="J4180" s="750" t="e">
        <f t="shared" si="48"/>
        <v>#DIV/0!</v>
      </c>
      <c r="K4180" s="398"/>
      <c r="L4180" s="404"/>
      <c r="M4180" s="682"/>
      <c r="N4180" s="171"/>
      <c r="O4180" s="171"/>
      <c r="P4180" s="169"/>
      <c r="Q4180" s="171"/>
      <c r="R4180" s="171"/>
      <c r="S4180" s="171"/>
      <c r="T4180" s="171"/>
      <c r="U4180" s="171"/>
      <c r="V4180" s="171"/>
      <c r="W4180" s="171"/>
      <c r="X4180" s="171"/>
      <c r="Y4180" s="171"/>
      <c r="Z4180" s="171"/>
      <c r="AA4180" s="171"/>
    </row>
    <row r="4181" spans="1:27" s="530" customFormat="1" ht="20.25" hidden="1" customHeight="1" x14ac:dyDescent="0.2">
      <c r="A4181" s="526"/>
      <c r="B4181" s="527"/>
      <c r="C4181" s="534"/>
      <c r="D4181" s="535"/>
      <c r="E4181" s="535"/>
      <c r="F4181" s="503" t="s">
        <v>250</v>
      </c>
      <c r="G4181" s="504" t="s">
        <v>57</v>
      </c>
      <c r="H4181" s="397"/>
      <c r="I4181" s="397"/>
      <c r="J4181" s="750" t="e">
        <f t="shared" si="48"/>
        <v>#DIV/0!</v>
      </c>
      <c r="K4181" s="398"/>
      <c r="L4181" s="404"/>
      <c r="M4181" s="682"/>
      <c r="N4181" s="171"/>
      <c r="O4181" s="171"/>
      <c r="P4181" s="169"/>
      <c r="Q4181" s="171"/>
      <c r="R4181" s="171"/>
      <c r="S4181" s="171"/>
      <c r="T4181" s="171"/>
      <c r="U4181" s="171"/>
      <c r="V4181" s="171"/>
      <c r="W4181" s="171"/>
      <c r="X4181" s="171"/>
      <c r="Y4181" s="171"/>
      <c r="Z4181" s="171"/>
      <c r="AA4181" s="171"/>
    </row>
    <row r="4182" spans="1:27" s="530" customFormat="1" ht="14.25" hidden="1" customHeight="1" x14ac:dyDescent="0.2">
      <c r="A4182" s="526"/>
      <c r="B4182" s="527"/>
      <c r="C4182" s="534"/>
      <c r="D4182" s="535"/>
      <c r="E4182" s="535"/>
      <c r="F4182" s="503" t="s">
        <v>251</v>
      </c>
      <c r="G4182" s="504" t="s">
        <v>252</v>
      </c>
      <c r="H4182" s="397"/>
      <c r="I4182" s="397"/>
      <c r="J4182" s="750" t="e">
        <f t="shared" si="48"/>
        <v>#DIV/0!</v>
      </c>
      <c r="K4182" s="398"/>
      <c r="L4182" s="404"/>
      <c r="M4182" s="682"/>
      <c r="N4182" s="171"/>
      <c r="O4182" s="171"/>
      <c r="P4182" s="169"/>
      <c r="Q4182" s="171"/>
      <c r="R4182" s="171"/>
      <c r="S4182" s="171"/>
      <c r="T4182" s="171"/>
      <c r="U4182" s="171"/>
      <c r="V4182" s="171"/>
      <c r="W4182" s="171"/>
      <c r="X4182" s="171"/>
      <c r="Y4182" s="171"/>
      <c r="Z4182" s="171"/>
      <c r="AA4182" s="171"/>
    </row>
    <row r="4183" spans="1:27" s="530" customFormat="1" ht="17.25" hidden="1" customHeight="1" x14ac:dyDescent="0.2">
      <c r="A4183" s="526"/>
      <c r="B4183" s="527"/>
      <c r="C4183" s="534"/>
      <c r="D4183" s="535"/>
      <c r="E4183" s="535"/>
      <c r="F4183" s="503" t="s">
        <v>253</v>
      </c>
      <c r="G4183" s="504" t="s">
        <v>254</v>
      </c>
      <c r="H4183" s="397"/>
      <c r="I4183" s="397"/>
      <c r="J4183" s="750" t="e">
        <f t="shared" si="48"/>
        <v>#DIV/0!</v>
      </c>
      <c r="K4183" s="398"/>
      <c r="L4183" s="404"/>
      <c r="M4183" s="682"/>
      <c r="N4183" s="171"/>
      <c r="O4183" s="171"/>
      <c r="P4183" s="169"/>
      <c r="Q4183" s="171"/>
      <c r="R4183" s="171"/>
      <c r="S4183" s="171"/>
      <c r="T4183" s="171"/>
      <c r="U4183" s="171"/>
      <c r="V4183" s="171"/>
      <c r="W4183" s="171"/>
      <c r="X4183" s="171"/>
      <c r="Y4183" s="171"/>
      <c r="Z4183" s="171"/>
      <c r="AA4183" s="171"/>
    </row>
    <row r="4184" spans="1:27" s="530" customFormat="1" ht="15" hidden="1" customHeight="1" x14ac:dyDescent="0.2">
      <c r="A4184" s="526"/>
      <c r="B4184" s="527"/>
      <c r="C4184" s="534"/>
      <c r="D4184" s="535"/>
      <c r="E4184" s="535"/>
      <c r="F4184" s="503" t="s">
        <v>255</v>
      </c>
      <c r="G4184" s="504" t="s">
        <v>256</v>
      </c>
      <c r="H4184" s="397"/>
      <c r="I4184" s="397"/>
      <c r="J4184" s="750" t="e">
        <f t="shared" si="48"/>
        <v>#DIV/0!</v>
      </c>
      <c r="K4184" s="398"/>
      <c r="L4184" s="404"/>
      <c r="M4184" s="682"/>
      <c r="N4184" s="171"/>
      <c r="O4184" s="171"/>
      <c r="P4184" s="169"/>
      <c r="Q4184" s="171"/>
      <c r="R4184" s="171"/>
      <c r="S4184" s="171"/>
      <c r="T4184" s="171"/>
      <c r="U4184" s="171"/>
      <c r="V4184" s="171"/>
      <c r="W4184" s="171"/>
      <c r="X4184" s="171"/>
      <c r="Y4184" s="171"/>
      <c r="Z4184" s="171"/>
      <c r="AA4184" s="171"/>
    </row>
    <row r="4185" spans="1:27" s="530" customFormat="1" ht="16.5" hidden="1" customHeight="1" x14ac:dyDescent="0.2">
      <c r="A4185" s="526"/>
      <c r="B4185" s="527"/>
      <c r="C4185" s="534"/>
      <c r="D4185" s="535"/>
      <c r="E4185" s="535"/>
      <c r="F4185" s="503" t="s">
        <v>257</v>
      </c>
      <c r="G4185" s="504" t="s">
        <v>258</v>
      </c>
      <c r="H4185" s="397"/>
      <c r="I4185" s="397"/>
      <c r="J4185" s="750" t="e">
        <f t="shared" si="48"/>
        <v>#DIV/0!</v>
      </c>
      <c r="K4185" s="398"/>
      <c r="L4185" s="404"/>
      <c r="M4185" s="682"/>
      <c r="N4185" s="171"/>
      <c r="O4185" s="171"/>
      <c r="P4185" s="169"/>
      <c r="Q4185" s="171"/>
      <c r="R4185" s="171"/>
      <c r="S4185" s="171"/>
      <c r="T4185" s="171"/>
      <c r="U4185" s="171"/>
      <c r="V4185" s="171"/>
      <c r="W4185" s="171"/>
      <c r="X4185" s="171"/>
      <c r="Y4185" s="171"/>
      <c r="Z4185" s="171"/>
      <c r="AA4185" s="171"/>
    </row>
    <row r="4186" spans="1:27" s="530" customFormat="1" ht="12.75" hidden="1" customHeight="1" x14ac:dyDescent="0.2">
      <c r="A4186" s="526"/>
      <c r="B4186" s="527"/>
      <c r="C4186" s="534"/>
      <c r="D4186" s="535"/>
      <c r="E4186" s="535"/>
      <c r="F4186" s="503" t="s">
        <v>259</v>
      </c>
      <c r="G4186" s="504" t="s">
        <v>260</v>
      </c>
      <c r="H4186" s="397"/>
      <c r="I4186" s="397"/>
      <c r="J4186" s="750" t="e">
        <f t="shared" si="48"/>
        <v>#DIV/0!</v>
      </c>
      <c r="K4186" s="398"/>
      <c r="L4186" s="404"/>
      <c r="M4186" s="682"/>
      <c r="N4186" s="171"/>
      <c r="O4186" s="171"/>
      <c r="P4186" s="169"/>
      <c r="Q4186" s="171"/>
      <c r="R4186" s="171"/>
      <c r="S4186" s="171"/>
      <c r="T4186" s="171"/>
      <c r="U4186" s="171"/>
      <c r="V4186" s="171"/>
      <c r="W4186" s="171"/>
      <c r="X4186" s="171"/>
      <c r="Y4186" s="171"/>
      <c r="Z4186" s="171"/>
      <c r="AA4186" s="171"/>
    </row>
    <row r="4187" spans="1:27" s="530" customFormat="1" ht="14.25" customHeight="1" x14ac:dyDescent="0.2">
      <c r="A4187" s="526"/>
      <c r="B4187" s="527"/>
      <c r="C4187" s="534"/>
      <c r="D4187" s="535"/>
      <c r="E4187" s="535"/>
      <c r="F4187" s="549" t="s">
        <v>246</v>
      </c>
      <c r="G4187" s="504" t="s">
        <v>5306</v>
      </c>
      <c r="H4187" s="397"/>
      <c r="I4187" s="397"/>
      <c r="J4187" s="750"/>
      <c r="K4187" s="398">
        <f>SUM(K3129)</f>
        <v>12162010</v>
      </c>
      <c r="L4187" s="404">
        <f>SUM(L3129)</f>
        <v>8659772.5099999998</v>
      </c>
      <c r="M4187" s="682"/>
      <c r="N4187" s="171"/>
      <c r="O4187" s="171"/>
      <c r="P4187" s="169"/>
      <c r="Q4187" s="171"/>
      <c r="R4187" s="171"/>
      <c r="S4187" s="171"/>
      <c r="T4187" s="171"/>
      <c r="U4187" s="171"/>
      <c r="V4187" s="171"/>
      <c r="W4187" s="171"/>
      <c r="X4187" s="171"/>
      <c r="Y4187" s="171"/>
      <c r="Z4187" s="171"/>
      <c r="AA4187" s="171"/>
    </row>
    <row r="4188" spans="1:27" s="530" customFormat="1" ht="14.25" customHeight="1" thickBot="1" x14ac:dyDescent="0.25">
      <c r="A4188" s="526"/>
      <c r="B4188" s="527"/>
      <c r="C4188" s="534"/>
      <c r="D4188" s="535"/>
      <c r="E4188" s="535"/>
      <c r="F4188" s="503" t="s">
        <v>257</v>
      </c>
      <c r="G4188" s="504" t="s">
        <v>258</v>
      </c>
      <c r="H4188" s="403">
        <f>SUM(H4085,H3986,H3130)</f>
        <v>26000000</v>
      </c>
      <c r="I4188" s="403">
        <f>SUM(I4085,I3986,I3130)</f>
        <v>6000000</v>
      </c>
      <c r="J4188" s="750">
        <f t="shared" si="48"/>
        <v>23.076923076923077</v>
      </c>
      <c r="K4188" s="404"/>
      <c r="L4188" s="404"/>
      <c r="M4188" s="682"/>
      <c r="N4188" s="171"/>
      <c r="O4188" s="171"/>
      <c r="P4188" s="169"/>
      <c r="Q4188" s="171"/>
      <c r="R4188" s="171"/>
      <c r="S4188" s="171"/>
      <c r="T4188" s="171"/>
      <c r="U4188" s="171"/>
      <c r="V4188" s="171"/>
      <c r="W4188" s="171"/>
      <c r="X4188" s="171"/>
      <c r="Y4188" s="171"/>
      <c r="Z4188" s="171"/>
      <c r="AA4188" s="171"/>
    </row>
    <row r="4189" spans="1:27" s="530" customFormat="1" ht="18" customHeight="1" thickBot="1" x14ac:dyDescent="0.25">
      <c r="A4189" s="526"/>
      <c r="B4189" s="527"/>
      <c r="C4189" s="534"/>
      <c r="D4189" s="535"/>
      <c r="E4189" s="535"/>
      <c r="F4189" s="464"/>
      <c r="G4189" s="505" t="s">
        <v>4248</v>
      </c>
      <c r="H4189" s="405">
        <f>SUM(H4173:H4188)</f>
        <v>139651000</v>
      </c>
      <c r="I4189" s="405">
        <f>SUM(I4173:I4188)</f>
        <v>112036896.65000001</v>
      </c>
      <c r="J4189" s="750">
        <f t="shared" si="48"/>
        <v>80.226347573594182</v>
      </c>
      <c r="K4189" s="406">
        <f>SUM(K4174:K4188)</f>
        <v>12162010</v>
      </c>
      <c r="L4189" s="406">
        <f>SUM(L4187)</f>
        <v>8659772.5099999998</v>
      </c>
      <c r="M4189" s="682"/>
      <c r="N4189" s="171"/>
      <c r="O4189" s="171"/>
      <c r="P4189" s="169"/>
      <c r="Q4189" s="171"/>
      <c r="R4189" s="171"/>
      <c r="S4189" s="171"/>
      <c r="T4189" s="171"/>
      <c r="U4189" s="171"/>
      <c r="V4189" s="171"/>
      <c r="W4189" s="171"/>
      <c r="X4189" s="171"/>
      <c r="Y4189" s="171"/>
      <c r="Z4189" s="171"/>
      <c r="AA4189" s="171"/>
    </row>
    <row r="4190" spans="1:27" s="530" customFormat="1" hidden="1" x14ac:dyDescent="0.2">
      <c r="A4190" s="526"/>
      <c r="B4190" s="527"/>
      <c r="C4190" s="465"/>
      <c r="D4190" s="464"/>
      <c r="E4190" s="464"/>
      <c r="F4190" s="464"/>
      <c r="G4190" s="510"/>
      <c r="H4190" s="411"/>
      <c r="I4190" s="411"/>
      <c r="J4190" s="750" t="e">
        <f t="shared" si="48"/>
        <v>#DIV/0!</v>
      </c>
      <c r="K4190" s="412"/>
      <c r="L4190" s="412"/>
      <c r="M4190" s="682"/>
      <c r="N4190" s="171"/>
      <c r="O4190" s="171"/>
      <c r="P4190" s="169"/>
      <c r="Q4190" s="171"/>
      <c r="R4190" s="171"/>
      <c r="S4190" s="171"/>
      <c r="T4190" s="171"/>
      <c r="U4190" s="171"/>
      <c r="V4190" s="171"/>
      <c r="W4190" s="171"/>
      <c r="X4190" s="171"/>
      <c r="Y4190" s="171"/>
      <c r="Z4190" s="171"/>
      <c r="AA4190" s="171"/>
    </row>
    <row r="4191" spans="1:27" s="530" customFormat="1" hidden="1" x14ac:dyDescent="0.2">
      <c r="A4191" s="526"/>
      <c r="B4191" s="527"/>
      <c r="C4191" s="465"/>
      <c r="D4191" s="464"/>
      <c r="E4191" s="464"/>
      <c r="F4191" s="464"/>
      <c r="G4191" s="510"/>
      <c r="H4191" s="411"/>
      <c r="I4191" s="411"/>
      <c r="J4191" s="750" t="e">
        <f t="shared" si="48"/>
        <v>#DIV/0!</v>
      </c>
      <c r="K4191" s="412"/>
      <c r="L4191" s="412"/>
      <c r="M4191" s="682"/>
      <c r="N4191" s="171"/>
      <c r="O4191" s="171"/>
      <c r="P4191" s="169"/>
      <c r="Q4191" s="171"/>
      <c r="R4191" s="171"/>
      <c r="S4191" s="171"/>
      <c r="T4191" s="171"/>
      <c r="U4191" s="171"/>
      <c r="V4191" s="171"/>
      <c r="W4191" s="171"/>
      <c r="X4191" s="171"/>
      <c r="Y4191" s="171"/>
      <c r="Z4191" s="171"/>
      <c r="AA4191" s="171"/>
    </row>
    <row r="4192" spans="1:27" s="530" customFormat="1" hidden="1" x14ac:dyDescent="0.2">
      <c r="A4192" s="526"/>
      <c r="B4192" s="527"/>
      <c r="C4192" s="465"/>
      <c r="D4192" s="464"/>
      <c r="E4192" s="464"/>
      <c r="F4192" s="464"/>
      <c r="G4192" s="510"/>
      <c r="H4192" s="411"/>
      <c r="I4192" s="411"/>
      <c r="J4192" s="750" t="e">
        <f t="shared" si="48"/>
        <v>#DIV/0!</v>
      </c>
      <c r="K4192" s="412"/>
      <c r="L4192" s="412"/>
      <c r="M4192" s="682"/>
      <c r="N4192" s="171"/>
      <c r="O4192" s="171"/>
      <c r="P4192" s="169"/>
      <c r="Q4192" s="171"/>
      <c r="R4192" s="171"/>
      <c r="S4192" s="171"/>
      <c r="T4192" s="171"/>
      <c r="U4192" s="171"/>
      <c r="V4192" s="171"/>
      <c r="W4192" s="171"/>
      <c r="X4192" s="171"/>
      <c r="Y4192" s="171"/>
      <c r="Z4192" s="171"/>
      <c r="AA4192" s="171"/>
    </row>
    <row r="4193" spans="1:27" s="530" customFormat="1" hidden="1" x14ac:dyDescent="0.2">
      <c r="A4193" s="526"/>
      <c r="B4193" s="527"/>
      <c r="C4193" s="465"/>
      <c r="D4193" s="464"/>
      <c r="E4193" s="464"/>
      <c r="F4193" s="464"/>
      <c r="G4193" s="510"/>
      <c r="H4193" s="411"/>
      <c r="I4193" s="411"/>
      <c r="J4193" s="750" t="e">
        <f t="shared" si="48"/>
        <v>#DIV/0!</v>
      </c>
      <c r="K4193" s="412"/>
      <c r="L4193" s="412"/>
      <c r="M4193" s="682"/>
      <c r="N4193" s="171"/>
      <c r="O4193" s="171"/>
      <c r="P4193" s="169"/>
      <c r="Q4193" s="171"/>
      <c r="R4193" s="171"/>
      <c r="S4193" s="171"/>
      <c r="T4193" s="171"/>
      <c r="U4193" s="171"/>
      <c r="V4193" s="171"/>
      <c r="W4193" s="171"/>
      <c r="X4193" s="171"/>
      <c r="Y4193" s="171"/>
      <c r="Z4193" s="171"/>
      <c r="AA4193" s="171"/>
    </row>
    <row r="4194" spans="1:27" s="530" customFormat="1" hidden="1" x14ac:dyDescent="0.2">
      <c r="A4194" s="526"/>
      <c r="B4194" s="527"/>
      <c r="C4194" s="465"/>
      <c r="D4194" s="464"/>
      <c r="E4194" s="464"/>
      <c r="F4194" s="464"/>
      <c r="G4194" s="510"/>
      <c r="H4194" s="411"/>
      <c r="I4194" s="411"/>
      <c r="J4194" s="750" t="e">
        <f t="shared" si="48"/>
        <v>#DIV/0!</v>
      </c>
      <c r="K4194" s="412"/>
      <c r="L4194" s="412"/>
      <c r="M4194" s="682"/>
      <c r="N4194" s="171"/>
      <c r="O4194" s="171"/>
      <c r="P4194" s="169"/>
      <c r="Q4194" s="171"/>
      <c r="R4194" s="171"/>
      <c r="S4194" s="171"/>
      <c r="T4194" s="171"/>
      <c r="U4194" s="171"/>
      <c r="V4194" s="171"/>
      <c r="W4194" s="171"/>
      <c r="X4194" s="171"/>
      <c r="Y4194" s="171"/>
      <c r="Z4194" s="171"/>
      <c r="AA4194" s="171"/>
    </row>
    <row r="4195" spans="1:27" s="530" customFormat="1" hidden="1" x14ac:dyDescent="0.2">
      <c r="A4195" s="526"/>
      <c r="B4195" s="527"/>
      <c r="C4195" s="465"/>
      <c r="D4195" s="464"/>
      <c r="E4195" s="464"/>
      <c r="F4195" s="464"/>
      <c r="G4195" s="510"/>
      <c r="H4195" s="411"/>
      <c r="I4195" s="411"/>
      <c r="J4195" s="750" t="e">
        <f t="shared" si="48"/>
        <v>#DIV/0!</v>
      </c>
      <c r="K4195" s="412"/>
      <c r="L4195" s="412"/>
      <c r="M4195" s="682"/>
      <c r="N4195" s="171"/>
      <c r="O4195" s="171"/>
      <c r="P4195" s="169"/>
      <c r="Q4195" s="171"/>
      <c r="R4195" s="171"/>
      <c r="S4195" s="171"/>
      <c r="T4195" s="171"/>
      <c r="U4195" s="171"/>
      <c r="V4195" s="171"/>
      <c r="W4195" s="171"/>
      <c r="X4195" s="171"/>
      <c r="Y4195" s="171"/>
      <c r="Z4195" s="171"/>
      <c r="AA4195" s="171"/>
    </row>
    <row r="4196" spans="1:27" s="530" customFormat="1" hidden="1" x14ac:dyDescent="0.2">
      <c r="A4196" s="526"/>
      <c r="B4196" s="527"/>
      <c r="C4196" s="465"/>
      <c r="D4196" s="464"/>
      <c r="E4196" s="464"/>
      <c r="F4196" s="464"/>
      <c r="G4196" s="510"/>
      <c r="H4196" s="411"/>
      <c r="I4196" s="411"/>
      <c r="J4196" s="750" t="e">
        <f t="shared" si="48"/>
        <v>#DIV/0!</v>
      </c>
      <c r="K4196" s="412"/>
      <c r="L4196" s="412"/>
      <c r="M4196" s="682"/>
      <c r="N4196" s="171"/>
      <c r="O4196" s="171"/>
      <c r="P4196" s="169"/>
      <c r="Q4196" s="171"/>
      <c r="R4196" s="171"/>
      <c r="S4196" s="171"/>
      <c r="T4196" s="171"/>
      <c r="U4196" s="171"/>
      <c r="V4196" s="171"/>
      <c r="W4196" s="171"/>
      <c r="X4196" s="171"/>
      <c r="Y4196" s="171"/>
      <c r="Z4196" s="171"/>
      <c r="AA4196" s="171"/>
    </row>
    <row r="4197" spans="1:27" s="530" customFormat="1" hidden="1" x14ac:dyDescent="0.2">
      <c r="A4197" s="526"/>
      <c r="B4197" s="527"/>
      <c r="C4197" s="465"/>
      <c r="D4197" s="464"/>
      <c r="E4197" s="464"/>
      <c r="F4197" s="464"/>
      <c r="G4197" s="510"/>
      <c r="H4197" s="411"/>
      <c r="I4197" s="411"/>
      <c r="J4197" s="750" t="e">
        <f t="shared" si="48"/>
        <v>#DIV/0!</v>
      </c>
      <c r="K4197" s="412"/>
      <c r="L4197" s="412"/>
      <c r="M4197" s="682"/>
      <c r="N4197" s="171"/>
      <c r="O4197" s="171"/>
      <c r="P4197" s="169"/>
      <c r="Q4197" s="171"/>
      <c r="R4197" s="171"/>
      <c r="S4197" s="171"/>
      <c r="T4197" s="171"/>
      <c r="U4197" s="171"/>
      <c r="V4197" s="171"/>
      <c r="W4197" s="171"/>
      <c r="X4197" s="171"/>
      <c r="Y4197" s="171"/>
      <c r="Z4197" s="171"/>
      <c r="AA4197" s="171"/>
    </row>
    <row r="4198" spans="1:27" s="530" customFormat="1" hidden="1" x14ac:dyDescent="0.2">
      <c r="A4198" s="526"/>
      <c r="B4198" s="527"/>
      <c r="C4198" s="465"/>
      <c r="D4198" s="464"/>
      <c r="E4198" s="464"/>
      <c r="F4198" s="464"/>
      <c r="G4198" s="510"/>
      <c r="H4198" s="411"/>
      <c r="I4198" s="411"/>
      <c r="J4198" s="750" t="e">
        <f t="shared" si="48"/>
        <v>#DIV/0!</v>
      </c>
      <c r="K4198" s="412"/>
      <c r="L4198" s="412"/>
      <c r="M4198" s="682"/>
      <c r="N4198" s="171"/>
      <c r="O4198" s="171"/>
      <c r="P4198" s="169"/>
      <c r="Q4198" s="171"/>
      <c r="R4198" s="171"/>
      <c r="S4198" s="171"/>
      <c r="T4198" s="171"/>
      <c r="U4198" s="171"/>
      <c r="V4198" s="171"/>
      <c r="W4198" s="171"/>
      <c r="X4198" s="171"/>
      <c r="Y4198" s="171"/>
      <c r="Z4198" s="171"/>
      <c r="AA4198" s="171"/>
    </row>
    <row r="4199" spans="1:27" s="530" customFormat="1" hidden="1" x14ac:dyDescent="0.2">
      <c r="A4199" s="526"/>
      <c r="B4199" s="527"/>
      <c r="C4199" s="465"/>
      <c r="D4199" s="464"/>
      <c r="E4199" s="464"/>
      <c r="F4199" s="464"/>
      <c r="G4199" s="510"/>
      <c r="H4199" s="411"/>
      <c r="I4199" s="411"/>
      <c r="J4199" s="750" t="e">
        <f t="shared" si="48"/>
        <v>#DIV/0!</v>
      </c>
      <c r="K4199" s="412"/>
      <c r="L4199" s="412"/>
      <c r="M4199" s="682"/>
      <c r="N4199" s="171"/>
      <c r="O4199" s="171"/>
      <c r="P4199" s="169"/>
      <c r="Q4199" s="171"/>
      <c r="R4199" s="171"/>
      <c r="S4199" s="171"/>
      <c r="T4199" s="171"/>
      <c r="U4199" s="171"/>
      <c r="V4199" s="171"/>
      <c r="W4199" s="171"/>
      <c r="X4199" s="171"/>
      <c r="Y4199" s="171"/>
      <c r="Z4199" s="171"/>
      <c r="AA4199" s="171"/>
    </row>
    <row r="4200" spans="1:27" s="530" customFormat="1" hidden="1" x14ac:dyDescent="0.2">
      <c r="A4200" s="526"/>
      <c r="B4200" s="527"/>
      <c r="C4200" s="465"/>
      <c r="D4200" s="464"/>
      <c r="E4200" s="464"/>
      <c r="F4200" s="464"/>
      <c r="G4200" s="510"/>
      <c r="H4200" s="411"/>
      <c r="I4200" s="411"/>
      <c r="J4200" s="750" t="e">
        <f t="shared" si="48"/>
        <v>#DIV/0!</v>
      </c>
      <c r="K4200" s="412"/>
      <c r="L4200" s="412"/>
      <c r="M4200" s="682"/>
      <c r="N4200" s="171"/>
      <c r="O4200" s="171"/>
      <c r="P4200" s="169"/>
      <c r="Q4200" s="171"/>
      <c r="R4200" s="171"/>
      <c r="S4200" s="171"/>
      <c r="T4200" s="171"/>
      <c r="U4200" s="171"/>
      <c r="V4200" s="171"/>
      <c r="W4200" s="171"/>
      <c r="X4200" s="171"/>
      <c r="Y4200" s="171"/>
      <c r="Z4200" s="171"/>
      <c r="AA4200" s="171"/>
    </row>
    <row r="4201" spans="1:27" s="530" customFormat="1" hidden="1" x14ac:dyDescent="0.2">
      <c r="A4201" s="526"/>
      <c r="B4201" s="527"/>
      <c r="C4201" s="465"/>
      <c r="D4201" s="464"/>
      <c r="E4201" s="464"/>
      <c r="F4201" s="464"/>
      <c r="G4201" s="510"/>
      <c r="H4201" s="411"/>
      <c r="I4201" s="411"/>
      <c r="J4201" s="750" t="e">
        <f t="shared" si="48"/>
        <v>#DIV/0!</v>
      </c>
      <c r="K4201" s="412"/>
      <c r="L4201" s="412"/>
      <c r="M4201" s="682"/>
      <c r="N4201" s="171"/>
      <c r="O4201" s="171"/>
      <c r="P4201" s="169"/>
      <c r="Q4201" s="171"/>
      <c r="R4201" s="171"/>
      <c r="S4201" s="171"/>
      <c r="T4201" s="171"/>
      <c r="U4201" s="171"/>
      <c r="V4201" s="171"/>
      <c r="W4201" s="171"/>
      <c r="X4201" s="171"/>
      <c r="Y4201" s="171"/>
      <c r="Z4201" s="171"/>
      <c r="AA4201" s="171"/>
    </row>
    <row r="4202" spans="1:27" s="530" customFormat="1" hidden="1" x14ac:dyDescent="0.2">
      <c r="A4202" s="526"/>
      <c r="B4202" s="527"/>
      <c r="C4202" s="465"/>
      <c r="D4202" s="464"/>
      <c r="E4202" s="464"/>
      <c r="F4202" s="464"/>
      <c r="G4202" s="510"/>
      <c r="H4202" s="411"/>
      <c r="I4202" s="411"/>
      <c r="J4202" s="750" t="e">
        <f t="shared" si="48"/>
        <v>#DIV/0!</v>
      </c>
      <c r="K4202" s="412"/>
      <c r="L4202" s="412"/>
      <c r="M4202" s="682"/>
      <c r="N4202" s="171"/>
      <c r="O4202" s="171"/>
      <c r="P4202" s="169"/>
      <c r="Q4202" s="171"/>
      <c r="R4202" s="171"/>
      <c r="S4202" s="171"/>
      <c r="T4202" s="171"/>
      <c r="U4202" s="171"/>
      <c r="V4202" s="171"/>
      <c r="W4202" s="171"/>
      <c r="X4202" s="171"/>
      <c r="Y4202" s="171"/>
      <c r="Z4202" s="171"/>
      <c r="AA4202" s="171"/>
    </row>
    <row r="4203" spans="1:27" s="530" customFormat="1" hidden="1" x14ac:dyDescent="0.2">
      <c r="A4203" s="526"/>
      <c r="B4203" s="527"/>
      <c r="C4203" s="465"/>
      <c r="D4203" s="464"/>
      <c r="E4203" s="464"/>
      <c r="F4203" s="464"/>
      <c r="G4203" s="510"/>
      <c r="H4203" s="411"/>
      <c r="I4203" s="411"/>
      <c r="J4203" s="750" t="e">
        <f t="shared" si="48"/>
        <v>#DIV/0!</v>
      </c>
      <c r="K4203" s="412"/>
      <c r="L4203" s="412"/>
      <c r="M4203" s="682"/>
      <c r="N4203" s="171"/>
      <c r="O4203" s="171"/>
      <c r="P4203" s="169"/>
      <c r="Q4203" s="171"/>
      <c r="R4203" s="171"/>
      <c r="S4203" s="171"/>
      <c r="T4203" s="171"/>
      <c r="U4203" s="171"/>
      <c r="V4203" s="171"/>
      <c r="W4203" s="171"/>
      <c r="X4203" s="171"/>
      <c r="Y4203" s="171"/>
      <c r="Z4203" s="171"/>
      <c r="AA4203" s="171"/>
    </row>
    <row r="4204" spans="1:27" s="530" customFormat="1" hidden="1" x14ac:dyDescent="0.2">
      <c r="A4204" s="526"/>
      <c r="B4204" s="527"/>
      <c r="C4204" s="465"/>
      <c r="D4204" s="464"/>
      <c r="E4204" s="464"/>
      <c r="F4204" s="464"/>
      <c r="G4204" s="510"/>
      <c r="H4204" s="411"/>
      <c r="I4204" s="411"/>
      <c r="J4204" s="750" t="e">
        <f t="shared" si="48"/>
        <v>#DIV/0!</v>
      </c>
      <c r="K4204" s="412"/>
      <c r="L4204" s="412"/>
      <c r="M4204" s="682"/>
      <c r="N4204" s="171"/>
      <c r="O4204" s="171"/>
      <c r="P4204" s="169"/>
      <c r="Q4204" s="171"/>
      <c r="R4204" s="171"/>
      <c r="S4204" s="171"/>
      <c r="T4204" s="171"/>
      <c r="U4204" s="171"/>
      <c r="V4204" s="171"/>
      <c r="W4204" s="171"/>
      <c r="X4204" s="171"/>
      <c r="Y4204" s="171"/>
      <c r="Z4204" s="171"/>
      <c r="AA4204" s="171"/>
    </row>
    <row r="4205" spans="1:27" s="530" customFormat="1" hidden="1" x14ac:dyDescent="0.2">
      <c r="A4205" s="526"/>
      <c r="B4205" s="527"/>
      <c r="C4205" s="465"/>
      <c r="D4205" s="464"/>
      <c r="E4205" s="464"/>
      <c r="F4205" s="464"/>
      <c r="G4205" s="510"/>
      <c r="H4205" s="411"/>
      <c r="I4205" s="411"/>
      <c r="J4205" s="750" t="e">
        <f t="shared" si="48"/>
        <v>#DIV/0!</v>
      </c>
      <c r="K4205" s="412"/>
      <c r="L4205" s="412"/>
      <c r="M4205" s="682"/>
      <c r="N4205" s="171"/>
      <c r="O4205" s="171"/>
      <c r="P4205" s="169"/>
      <c r="Q4205" s="171"/>
      <c r="R4205" s="171"/>
      <c r="S4205" s="171"/>
      <c r="T4205" s="171"/>
      <c r="U4205" s="171"/>
      <c r="V4205" s="171"/>
      <c r="W4205" s="171"/>
      <c r="X4205" s="171"/>
      <c r="Y4205" s="171"/>
      <c r="Z4205" s="171"/>
      <c r="AA4205" s="171"/>
    </row>
    <row r="4206" spans="1:27" s="530" customFormat="1" hidden="1" x14ac:dyDescent="0.2">
      <c r="A4206" s="526"/>
      <c r="B4206" s="527"/>
      <c r="C4206" s="465"/>
      <c r="D4206" s="464"/>
      <c r="E4206" s="464"/>
      <c r="F4206" s="464"/>
      <c r="G4206" s="510"/>
      <c r="H4206" s="411"/>
      <c r="I4206" s="411"/>
      <c r="J4206" s="750" t="e">
        <f t="shared" si="48"/>
        <v>#DIV/0!</v>
      </c>
      <c r="K4206" s="412"/>
      <c r="L4206" s="412"/>
      <c r="M4206" s="682"/>
      <c r="N4206" s="171"/>
      <c r="O4206" s="171"/>
      <c r="P4206" s="169"/>
      <c r="Q4206" s="171"/>
      <c r="R4206" s="171"/>
      <c r="S4206" s="171"/>
      <c r="T4206" s="171"/>
      <c r="U4206" s="171"/>
      <c r="V4206" s="171"/>
      <c r="W4206" s="171"/>
      <c r="X4206" s="171"/>
      <c r="Y4206" s="171"/>
      <c r="Z4206" s="171"/>
      <c r="AA4206" s="171"/>
    </row>
    <row r="4207" spans="1:27" s="530" customFormat="1" hidden="1" x14ac:dyDescent="0.2">
      <c r="A4207" s="526"/>
      <c r="B4207" s="527"/>
      <c r="C4207" s="465"/>
      <c r="D4207" s="464"/>
      <c r="E4207" s="464"/>
      <c r="F4207" s="464"/>
      <c r="G4207" s="510"/>
      <c r="H4207" s="411"/>
      <c r="I4207" s="411"/>
      <c r="J4207" s="750" t="e">
        <f t="shared" si="48"/>
        <v>#DIV/0!</v>
      </c>
      <c r="K4207" s="412"/>
      <c r="L4207" s="412"/>
      <c r="M4207" s="682"/>
      <c r="N4207" s="171"/>
      <c r="O4207" s="171"/>
      <c r="P4207" s="169"/>
      <c r="Q4207" s="171"/>
      <c r="R4207" s="171"/>
      <c r="S4207" s="171"/>
      <c r="T4207" s="171"/>
      <c r="U4207" s="171"/>
      <c r="V4207" s="171"/>
      <c r="W4207" s="171"/>
      <c r="X4207" s="171"/>
      <c r="Y4207" s="171"/>
      <c r="Z4207" s="171"/>
      <c r="AA4207" s="171"/>
    </row>
    <row r="4208" spans="1:27" s="530" customFormat="1" hidden="1" x14ac:dyDescent="0.2">
      <c r="A4208" s="526"/>
      <c r="B4208" s="527"/>
      <c r="C4208" s="465"/>
      <c r="D4208" s="464"/>
      <c r="E4208" s="464"/>
      <c r="F4208" s="464"/>
      <c r="G4208" s="510"/>
      <c r="H4208" s="411"/>
      <c r="I4208" s="411"/>
      <c r="J4208" s="750" t="e">
        <f t="shared" si="48"/>
        <v>#DIV/0!</v>
      </c>
      <c r="K4208" s="412"/>
      <c r="L4208" s="412"/>
      <c r="M4208" s="682"/>
      <c r="N4208" s="171"/>
      <c r="O4208" s="171"/>
      <c r="P4208" s="169"/>
      <c r="Q4208" s="171"/>
      <c r="R4208" s="171"/>
      <c r="S4208" s="171"/>
      <c r="T4208" s="171"/>
      <c r="U4208" s="171"/>
      <c r="V4208" s="171"/>
      <c r="W4208" s="171"/>
      <c r="X4208" s="171"/>
      <c r="Y4208" s="171"/>
      <c r="Z4208" s="171"/>
      <c r="AA4208" s="171"/>
    </row>
    <row r="4209" spans="1:27" s="530" customFormat="1" hidden="1" x14ac:dyDescent="0.2">
      <c r="A4209" s="526"/>
      <c r="B4209" s="527"/>
      <c r="C4209" s="465"/>
      <c r="D4209" s="464"/>
      <c r="E4209" s="464"/>
      <c r="F4209" s="464"/>
      <c r="G4209" s="510"/>
      <c r="H4209" s="411"/>
      <c r="I4209" s="411"/>
      <c r="J4209" s="750" t="e">
        <f t="shared" si="48"/>
        <v>#DIV/0!</v>
      </c>
      <c r="K4209" s="412"/>
      <c r="L4209" s="412"/>
      <c r="M4209" s="682"/>
      <c r="N4209" s="171"/>
      <c r="O4209" s="171"/>
      <c r="P4209" s="169"/>
      <c r="Q4209" s="171"/>
      <c r="R4209" s="171"/>
      <c r="S4209" s="171"/>
      <c r="T4209" s="171"/>
      <c r="U4209" s="171"/>
      <c r="V4209" s="171"/>
      <c r="W4209" s="171"/>
      <c r="X4209" s="171"/>
      <c r="Y4209" s="171"/>
      <c r="Z4209" s="171"/>
      <c r="AA4209" s="171"/>
    </row>
    <row r="4210" spans="1:27" s="530" customFormat="1" hidden="1" x14ac:dyDescent="0.2">
      <c r="A4210" s="526"/>
      <c r="B4210" s="527"/>
      <c r="C4210" s="465"/>
      <c r="D4210" s="464"/>
      <c r="E4210" s="464"/>
      <c r="F4210" s="464"/>
      <c r="G4210" s="510"/>
      <c r="H4210" s="411"/>
      <c r="I4210" s="411"/>
      <c r="J4210" s="750" t="e">
        <f t="shared" si="48"/>
        <v>#DIV/0!</v>
      </c>
      <c r="K4210" s="412"/>
      <c r="L4210" s="412"/>
      <c r="M4210" s="682"/>
      <c r="N4210" s="171"/>
      <c r="O4210" s="171"/>
      <c r="P4210" s="169"/>
      <c r="Q4210" s="171"/>
      <c r="R4210" s="171"/>
      <c r="S4210" s="171"/>
      <c r="T4210" s="171"/>
      <c r="U4210" s="171"/>
      <c r="V4210" s="171"/>
      <c r="W4210" s="171"/>
      <c r="X4210" s="171"/>
      <c r="Y4210" s="171"/>
      <c r="Z4210" s="171"/>
      <c r="AA4210" s="171"/>
    </row>
    <row r="4211" spans="1:27" s="530" customFormat="1" hidden="1" x14ac:dyDescent="0.2">
      <c r="A4211" s="526"/>
      <c r="B4211" s="527"/>
      <c r="C4211" s="465"/>
      <c r="D4211" s="464"/>
      <c r="E4211" s="464"/>
      <c r="F4211" s="464"/>
      <c r="G4211" s="510"/>
      <c r="H4211" s="411"/>
      <c r="I4211" s="411"/>
      <c r="J4211" s="750" t="e">
        <f t="shared" si="48"/>
        <v>#DIV/0!</v>
      </c>
      <c r="K4211" s="412"/>
      <c r="L4211" s="412"/>
      <c r="M4211" s="682"/>
      <c r="N4211" s="171"/>
      <c r="O4211" s="171"/>
      <c r="P4211" s="169"/>
      <c r="Q4211" s="171"/>
      <c r="R4211" s="171"/>
      <c r="S4211" s="171"/>
      <c r="T4211" s="171"/>
      <c r="U4211" s="171"/>
      <c r="V4211" s="171"/>
      <c r="W4211" s="171"/>
      <c r="X4211" s="171"/>
      <c r="Y4211" s="171"/>
      <c r="Z4211" s="171"/>
      <c r="AA4211" s="171"/>
    </row>
    <row r="4212" spans="1:27" s="530" customFormat="1" hidden="1" x14ac:dyDescent="0.2">
      <c r="A4212" s="526"/>
      <c r="B4212" s="527"/>
      <c r="C4212" s="465"/>
      <c r="D4212" s="464"/>
      <c r="E4212" s="464"/>
      <c r="F4212" s="464"/>
      <c r="G4212" s="510"/>
      <c r="H4212" s="411"/>
      <c r="I4212" s="411"/>
      <c r="J4212" s="750" t="e">
        <f t="shared" si="48"/>
        <v>#DIV/0!</v>
      </c>
      <c r="K4212" s="412"/>
      <c r="L4212" s="412"/>
      <c r="M4212" s="682"/>
      <c r="N4212" s="171"/>
      <c r="O4212" s="171"/>
      <c r="P4212" s="169"/>
      <c r="Q4212" s="171"/>
      <c r="R4212" s="171"/>
      <c r="S4212" s="171"/>
      <c r="T4212" s="171"/>
      <c r="U4212" s="171"/>
      <c r="V4212" s="171"/>
      <c r="W4212" s="171"/>
      <c r="X4212" s="171"/>
      <c r="Y4212" s="171"/>
      <c r="Z4212" s="171"/>
      <c r="AA4212" s="171"/>
    </row>
    <row r="4213" spans="1:27" s="530" customFormat="1" hidden="1" x14ac:dyDescent="0.2">
      <c r="A4213" s="526"/>
      <c r="B4213" s="527"/>
      <c r="C4213" s="465"/>
      <c r="D4213" s="464"/>
      <c r="E4213" s="464"/>
      <c r="F4213" s="464"/>
      <c r="G4213" s="510"/>
      <c r="H4213" s="411"/>
      <c r="I4213" s="411"/>
      <c r="J4213" s="750" t="e">
        <f t="shared" si="48"/>
        <v>#DIV/0!</v>
      </c>
      <c r="K4213" s="412"/>
      <c r="L4213" s="412"/>
      <c r="M4213" s="682"/>
      <c r="N4213" s="171"/>
      <c r="O4213" s="171"/>
      <c r="P4213" s="169"/>
      <c r="Q4213" s="171"/>
      <c r="R4213" s="171"/>
      <c r="S4213" s="171"/>
      <c r="T4213" s="171"/>
      <c r="U4213" s="171"/>
      <c r="V4213" s="171"/>
      <c r="W4213" s="171"/>
      <c r="X4213" s="171"/>
      <c r="Y4213" s="171"/>
      <c r="Z4213" s="171"/>
      <c r="AA4213" s="171"/>
    </row>
    <row r="4214" spans="1:27" s="530" customFormat="1" hidden="1" x14ac:dyDescent="0.2">
      <c r="A4214" s="526"/>
      <c r="B4214" s="527"/>
      <c r="C4214" s="465"/>
      <c r="D4214" s="464"/>
      <c r="E4214" s="464"/>
      <c r="F4214" s="464"/>
      <c r="G4214" s="510"/>
      <c r="H4214" s="411"/>
      <c r="I4214" s="411"/>
      <c r="J4214" s="750" t="e">
        <f t="shared" si="48"/>
        <v>#DIV/0!</v>
      </c>
      <c r="K4214" s="412"/>
      <c r="L4214" s="412"/>
      <c r="M4214" s="682"/>
      <c r="N4214" s="171"/>
      <c r="O4214" s="171"/>
      <c r="P4214" s="169"/>
      <c r="Q4214" s="171"/>
      <c r="R4214" s="171"/>
      <c r="S4214" s="171"/>
      <c r="T4214" s="171"/>
      <c r="U4214" s="171"/>
      <c r="V4214" s="171"/>
      <c r="W4214" s="171"/>
      <c r="X4214" s="171"/>
      <c r="Y4214" s="171"/>
      <c r="Z4214" s="171"/>
      <c r="AA4214" s="171"/>
    </row>
    <row r="4215" spans="1:27" s="530" customFormat="1" hidden="1" x14ac:dyDescent="0.2">
      <c r="A4215" s="526"/>
      <c r="B4215" s="527"/>
      <c r="C4215" s="465"/>
      <c r="D4215" s="464"/>
      <c r="E4215" s="464"/>
      <c r="F4215" s="464"/>
      <c r="G4215" s="510"/>
      <c r="H4215" s="411"/>
      <c r="I4215" s="411"/>
      <c r="J4215" s="750" t="e">
        <f t="shared" si="48"/>
        <v>#DIV/0!</v>
      </c>
      <c r="K4215" s="412"/>
      <c r="L4215" s="412"/>
      <c r="M4215" s="682"/>
      <c r="N4215" s="171"/>
      <c r="O4215" s="171"/>
      <c r="P4215" s="169"/>
      <c r="Q4215" s="171"/>
      <c r="R4215" s="171"/>
      <c r="S4215" s="171"/>
      <c r="T4215" s="171"/>
      <c r="U4215" s="171"/>
      <c r="V4215" s="171"/>
      <c r="W4215" s="171"/>
      <c r="X4215" s="171"/>
      <c r="Y4215" s="171"/>
      <c r="Z4215" s="171"/>
      <c r="AA4215" s="171"/>
    </row>
    <row r="4216" spans="1:27" s="530" customFormat="1" hidden="1" x14ac:dyDescent="0.2">
      <c r="A4216" s="526"/>
      <c r="B4216" s="527"/>
      <c r="C4216" s="465"/>
      <c r="D4216" s="464"/>
      <c r="E4216" s="464"/>
      <c r="F4216" s="464"/>
      <c r="G4216" s="510"/>
      <c r="H4216" s="411"/>
      <c r="I4216" s="411"/>
      <c r="J4216" s="750" t="e">
        <f t="shared" si="48"/>
        <v>#DIV/0!</v>
      </c>
      <c r="K4216" s="412"/>
      <c r="L4216" s="412"/>
      <c r="M4216" s="682"/>
      <c r="N4216" s="171"/>
      <c r="O4216" s="171"/>
      <c r="P4216" s="169"/>
      <c r="Q4216" s="171"/>
      <c r="R4216" s="171"/>
      <c r="S4216" s="171"/>
      <c r="T4216" s="171"/>
      <c r="U4216" s="171"/>
      <c r="V4216" s="171"/>
      <c r="W4216" s="171"/>
      <c r="X4216" s="171"/>
      <c r="Y4216" s="171"/>
      <c r="Z4216" s="171"/>
      <c r="AA4216" s="171"/>
    </row>
    <row r="4217" spans="1:27" s="530" customFormat="1" hidden="1" x14ac:dyDescent="0.2">
      <c r="A4217" s="526"/>
      <c r="B4217" s="527"/>
      <c r="C4217" s="465"/>
      <c r="D4217" s="464"/>
      <c r="E4217" s="464"/>
      <c r="F4217" s="464"/>
      <c r="G4217" s="510"/>
      <c r="H4217" s="411"/>
      <c r="I4217" s="411"/>
      <c r="J4217" s="750" t="e">
        <f t="shared" si="48"/>
        <v>#DIV/0!</v>
      </c>
      <c r="K4217" s="412"/>
      <c r="L4217" s="412"/>
      <c r="M4217" s="682"/>
      <c r="N4217" s="171"/>
      <c r="O4217" s="171"/>
      <c r="P4217" s="169"/>
      <c r="Q4217" s="171"/>
      <c r="R4217" s="171"/>
      <c r="S4217" s="171"/>
      <c r="T4217" s="171"/>
      <c r="U4217" s="171"/>
      <c r="V4217" s="171"/>
      <c r="W4217" s="171"/>
      <c r="X4217" s="171"/>
      <c r="Y4217" s="171"/>
      <c r="Z4217" s="171"/>
      <c r="AA4217" s="171"/>
    </row>
    <row r="4218" spans="1:27" s="530" customFormat="1" hidden="1" x14ac:dyDescent="0.2">
      <c r="A4218" s="526"/>
      <c r="B4218" s="527"/>
      <c r="C4218" s="465"/>
      <c r="D4218" s="464"/>
      <c r="E4218" s="464"/>
      <c r="F4218" s="464"/>
      <c r="G4218" s="510"/>
      <c r="H4218" s="411"/>
      <c r="I4218" s="411"/>
      <c r="J4218" s="750" t="e">
        <f t="shared" si="48"/>
        <v>#DIV/0!</v>
      </c>
      <c r="K4218" s="412"/>
      <c r="L4218" s="412"/>
      <c r="M4218" s="682"/>
      <c r="N4218" s="171"/>
      <c r="O4218" s="171"/>
      <c r="P4218" s="169"/>
      <c r="Q4218" s="171"/>
      <c r="R4218" s="171"/>
      <c r="S4218" s="171"/>
      <c r="T4218" s="171"/>
      <c r="U4218" s="171"/>
      <c r="V4218" s="171"/>
      <c r="W4218" s="171"/>
      <c r="X4218" s="171"/>
      <c r="Y4218" s="171"/>
      <c r="Z4218" s="171"/>
      <c r="AA4218" s="171"/>
    </row>
    <row r="4219" spans="1:27" s="530" customFormat="1" hidden="1" x14ac:dyDescent="0.2">
      <c r="A4219" s="526"/>
      <c r="B4219" s="527"/>
      <c r="C4219" s="465"/>
      <c r="D4219" s="464"/>
      <c r="E4219" s="464"/>
      <c r="F4219" s="464"/>
      <c r="G4219" s="510"/>
      <c r="H4219" s="411"/>
      <c r="I4219" s="411"/>
      <c r="J4219" s="750" t="e">
        <f t="shared" si="48"/>
        <v>#DIV/0!</v>
      </c>
      <c r="K4219" s="412"/>
      <c r="L4219" s="412"/>
      <c r="M4219" s="682"/>
      <c r="N4219" s="171"/>
      <c r="O4219" s="171"/>
      <c r="P4219" s="169"/>
      <c r="Q4219" s="171"/>
      <c r="R4219" s="171"/>
      <c r="S4219" s="171"/>
      <c r="T4219" s="171"/>
      <c r="U4219" s="171"/>
      <c r="V4219" s="171"/>
      <c r="W4219" s="171"/>
      <c r="X4219" s="171"/>
      <c r="Y4219" s="171"/>
      <c r="Z4219" s="171"/>
      <c r="AA4219" s="171"/>
    </row>
    <row r="4220" spans="1:27" s="530" customFormat="1" hidden="1" x14ac:dyDescent="0.2">
      <c r="A4220" s="526"/>
      <c r="B4220" s="527"/>
      <c r="C4220" s="465"/>
      <c r="D4220" s="464"/>
      <c r="E4220" s="464"/>
      <c r="F4220" s="464"/>
      <c r="G4220" s="510"/>
      <c r="H4220" s="411"/>
      <c r="I4220" s="411"/>
      <c r="J4220" s="750" t="e">
        <f t="shared" si="48"/>
        <v>#DIV/0!</v>
      </c>
      <c r="K4220" s="412"/>
      <c r="L4220" s="412"/>
      <c r="M4220" s="682"/>
      <c r="N4220" s="171"/>
      <c r="O4220" s="171"/>
      <c r="P4220" s="169"/>
      <c r="Q4220" s="171"/>
      <c r="R4220" s="171"/>
      <c r="S4220" s="171"/>
      <c r="T4220" s="171"/>
      <c r="U4220" s="171"/>
      <c r="V4220" s="171"/>
      <c r="W4220" s="171"/>
      <c r="X4220" s="171"/>
      <c r="Y4220" s="171"/>
      <c r="Z4220" s="171"/>
      <c r="AA4220" s="171"/>
    </row>
    <row r="4221" spans="1:27" s="530" customFormat="1" hidden="1" x14ac:dyDescent="0.2">
      <c r="A4221" s="526"/>
      <c r="B4221" s="527"/>
      <c r="C4221" s="465"/>
      <c r="D4221" s="464"/>
      <c r="E4221" s="464"/>
      <c r="F4221" s="464"/>
      <c r="G4221" s="510"/>
      <c r="H4221" s="411"/>
      <c r="I4221" s="411"/>
      <c r="J4221" s="750" t="e">
        <f t="shared" si="48"/>
        <v>#DIV/0!</v>
      </c>
      <c r="K4221" s="412"/>
      <c r="L4221" s="412"/>
      <c r="M4221" s="682"/>
      <c r="N4221" s="171"/>
      <c r="O4221" s="171"/>
      <c r="P4221" s="169"/>
      <c r="Q4221" s="171"/>
      <c r="R4221" s="171"/>
      <c r="S4221" s="171"/>
      <c r="T4221" s="171"/>
      <c r="U4221" s="171"/>
      <c r="V4221" s="171"/>
      <c r="W4221" s="171"/>
      <c r="X4221" s="171"/>
      <c r="Y4221" s="171"/>
      <c r="Z4221" s="171"/>
      <c r="AA4221" s="171"/>
    </row>
    <row r="4222" spans="1:27" s="530" customFormat="1" hidden="1" x14ac:dyDescent="0.2">
      <c r="A4222" s="526"/>
      <c r="B4222" s="527"/>
      <c r="C4222" s="465"/>
      <c r="D4222" s="464"/>
      <c r="E4222" s="464"/>
      <c r="F4222" s="464"/>
      <c r="G4222" s="510"/>
      <c r="H4222" s="411"/>
      <c r="I4222" s="411"/>
      <c r="J4222" s="750" t="e">
        <f t="shared" si="48"/>
        <v>#DIV/0!</v>
      </c>
      <c r="K4222" s="412"/>
      <c r="L4222" s="412"/>
      <c r="M4222" s="682"/>
      <c r="N4222" s="171"/>
      <c r="O4222" s="171"/>
      <c r="P4222" s="169"/>
      <c r="Q4222" s="171"/>
      <c r="R4222" s="171"/>
      <c r="S4222" s="171"/>
      <c r="T4222" s="171"/>
      <c r="U4222" s="171"/>
      <c r="V4222" s="171"/>
      <c r="W4222" s="171"/>
      <c r="X4222" s="171"/>
      <c r="Y4222" s="171"/>
      <c r="Z4222" s="171"/>
      <c r="AA4222" s="171"/>
    </row>
    <row r="4223" spans="1:27" s="530" customFormat="1" hidden="1" x14ac:dyDescent="0.2">
      <c r="A4223" s="526"/>
      <c r="B4223" s="527"/>
      <c r="C4223" s="465"/>
      <c r="D4223" s="464"/>
      <c r="E4223" s="464"/>
      <c r="F4223" s="464"/>
      <c r="G4223" s="510"/>
      <c r="H4223" s="411"/>
      <c r="I4223" s="411"/>
      <c r="J4223" s="750" t="e">
        <f t="shared" si="48"/>
        <v>#DIV/0!</v>
      </c>
      <c r="K4223" s="412"/>
      <c r="L4223" s="412"/>
      <c r="M4223" s="682"/>
      <c r="N4223" s="171"/>
      <c r="O4223" s="171"/>
      <c r="P4223" s="169"/>
      <c r="Q4223" s="171"/>
      <c r="R4223" s="171"/>
      <c r="S4223" s="171"/>
      <c r="T4223" s="171"/>
      <c r="U4223" s="171"/>
      <c r="V4223" s="171"/>
      <c r="W4223" s="171"/>
      <c r="X4223" s="171"/>
      <c r="Y4223" s="171"/>
      <c r="Z4223" s="171"/>
      <c r="AA4223" s="171"/>
    </row>
    <row r="4224" spans="1:27" s="530" customFormat="1" hidden="1" x14ac:dyDescent="0.2">
      <c r="A4224" s="526"/>
      <c r="B4224" s="527"/>
      <c r="C4224" s="465"/>
      <c r="D4224" s="464"/>
      <c r="E4224" s="464"/>
      <c r="F4224" s="464"/>
      <c r="G4224" s="510"/>
      <c r="H4224" s="411"/>
      <c r="I4224" s="411"/>
      <c r="J4224" s="750" t="e">
        <f t="shared" si="48"/>
        <v>#DIV/0!</v>
      </c>
      <c r="K4224" s="412"/>
      <c r="L4224" s="412"/>
      <c r="M4224" s="682"/>
      <c r="N4224" s="171"/>
      <c r="O4224" s="171"/>
      <c r="P4224" s="169"/>
      <c r="Q4224" s="171"/>
      <c r="R4224" s="171"/>
      <c r="S4224" s="171"/>
      <c r="T4224" s="171"/>
      <c r="U4224" s="171"/>
      <c r="V4224" s="171"/>
      <c r="W4224" s="171"/>
      <c r="X4224" s="171"/>
      <c r="Y4224" s="171"/>
      <c r="Z4224" s="171"/>
      <c r="AA4224" s="171"/>
    </row>
    <row r="4225" spans="1:27" s="530" customFormat="1" hidden="1" x14ac:dyDescent="0.2">
      <c r="A4225" s="526"/>
      <c r="B4225" s="527"/>
      <c r="C4225" s="465"/>
      <c r="D4225" s="464"/>
      <c r="E4225" s="464"/>
      <c r="F4225" s="464"/>
      <c r="G4225" s="510"/>
      <c r="H4225" s="411"/>
      <c r="I4225" s="411"/>
      <c r="J4225" s="750" t="e">
        <f t="shared" si="48"/>
        <v>#DIV/0!</v>
      </c>
      <c r="K4225" s="412"/>
      <c r="L4225" s="412"/>
      <c r="M4225" s="682"/>
      <c r="N4225" s="171"/>
      <c r="O4225" s="171"/>
      <c r="P4225" s="169"/>
      <c r="Q4225" s="171"/>
      <c r="R4225" s="171"/>
      <c r="S4225" s="171"/>
      <c r="T4225" s="171"/>
      <c r="U4225" s="171"/>
      <c r="V4225" s="171"/>
      <c r="W4225" s="171"/>
      <c r="X4225" s="171"/>
      <c r="Y4225" s="171"/>
      <c r="Z4225" s="171"/>
      <c r="AA4225" s="171"/>
    </row>
    <row r="4226" spans="1:27" s="530" customFormat="1" hidden="1" x14ac:dyDescent="0.2">
      <c r="A4226" s="526"/>
      <c r="B4226" s="527"/>
      <c r="C4226" s="465"/>
      <c r="D4226" s="464"/>
      <c r="E4226" s="464"/>
      <c r="F4226" s="464"/>
      <c r="G4226" s="510"/>
      <c r="H4226" s="411"/>
      <c r="I4226" s="411"/>
      <c r="J4226" s="750" t="e">
        <f t="shared" si="48"/>
        <v>#DIV/0!</v>
      </c>
      <c r="K4226" s="412"/>
      <c r="L4226" s="412"/>
      <c r="M4226" s="682"/>
      <c r="N4226" s="171"/>
      <c r="O4226" s="171"/>
      <c r="P4226" s="169"/>
      <c r="Q4226" s="171"/>
      <c r="R4226" s="171"/>
      <c r="S4226" s="171"/>
      <c r="T4226" s="171"/>
      <c r="U4226" s="171"/>
      <c r="V4226" s="171"/>
      <c r="W4226" s="171"/>
      <c r="X4226" s="171"/>
      <c r="Y4226" s="171"/>
      <c r="Z4226" s="171"/>
      <c r="AA4226" s="171"/>
    </row>
    <row r="4227" spans="1:27" s="530" customFormat="1" hidden="1" x14ac:dyDescent="0.2">
      <c r="A4227" s="526"/>
      <c r="B4227" s="527"/>
      <c r="C4227" s="465"/>
      <c r="D4227" s="464"/>
      <c r="E4227" s="464"/>
      <c r="F4227" s="464"/>
      <c r="G4227" s="510"/>
      <c r="H4227" s="411"/>
      <c r="I4227" s="411"/>
      <c r="J4227" s="750" t="e">
        <f t="shared" si="48"/>
        <v>#DIV/0!</v>
      </c>
      <c r="K4227" s="412"/>
      <c r="L4227" s="412"/>
      <c r="M4227" s="682"/>
      <c r="N4227" s="171"/>
      <c r="O4227" s="171"/>
      <c r="P4227" s="169"/>
      <c r="Q4227" s="171"/>
      <c r="R4227" s="171"/>
      <c r="S4227" s="171"/>
      <c r="T4227" s="171"/>
      <c r="U4227" s="171"/>
      <c r="V4227" s="171"/>
      <c r="W4227" s="171"/>
      <c r="X4227" s="171"/>
      <c r="Y4227" s="171"/>
      <c r="Z4227" s="171"/>
      <c r="AA4227" s="171"/>
    </row>
    <row r="4228" spans="1:27" s="530" customFormat="1" hidden="1" x14ac:dyDescent="0.2">
      <c r="A4228" s="526"/>
      <c r="B4228" s="527"/>
      <c r="C4228" s="465"/>
      <c r="D4228" s="464"/>
      <c r="E4228" s="464"/>
      <c r="F4228" s="464"/>
      <c r="G4228" s="510"/>
      <c r="H4228" s="411"/>
      <c r="I4228" s="411"/>
      <c r="J4228" s="750" t="e">
        <f t="shared" si="48"/>
        <v>#DIV/0!</v>
      </c>
      <c r="K4228" s="412"/>
      <c r="L4228" s="412"/>
      <c r="M4228" s="682"/>
      <c r="N4228" s="171"/>
      <c r="O4228" s="171"/>
      <c r="P4228" s="169"/>
      <c r="Q4228" s="171"/>
      <c r="R4228" s="171"/>
      <c r="S4228" s="171"/>
      <c r="T4228" s="171"/>
      <c r="U4228" s="171"/>
      <c r="V4228" s="171"/>
      <c r="W4228" s="171"/>
      <c r="X4228" s="171"/>
      <c r="Y4228" s="171"/>
      <c r="Z4228" s="171"/>
      <c r="AA4228" s="171"/>
    </row>
    <row r="4229" spans="1:27" s="530" customFormat="1" hidden="1" x14ac:dyDescent="0.2">
      <c r="A4229" s="526"/>
      <c r="B4229" s="527"/>
      <c r="C4229" s="465"/>
      <c r="D4229" s="464"/>
      <c r="E4229" s="464"/>
      <c r="F4229" s="464"/>
      <c r="G4229" s="510"/>
      <c r="H4229" s="411"/>
      <c r="I4229" s="411"/>
      <c r="J4229" s="750" t="e">
        <f t="shared" si="48"/>
        <v>#DIV/0!</v>
      </c>
      <c r="K4229" s="412"/>
      <c r="L4229" s="412"/>
      <c r="M4229" s="682"/>
      <c r="N4229" s="171"/>
      <c r="O4229" s="171"/>
      <c r="P4229" s="169"/>
      <c r="Q4229" s="171"/>
      <c r="R4229" s="171"/>
      <c r="S4229" s="171"/>
      <c r="T4229" s="171"/>
      <c r="U4229" s="171"/>
      <c r="V4229" s="171"/>
      <c r="W4229" s="171"/>
      <c r="X4229" s="171"/>
      <c r="Y4229" s="171"/>
      <c r="Z4229" s="171"/>
      <c r="AA4229" s="171"/>
    </row>
    <row r="4230" spans="1:27" s="530" customFormat="1" hidden="1" x14ac:dyDescent="0.2">
      <c r="A4230" s="526"/>
      <c r="B4230" s="527"/>
      <c r="C4230" s="465"/>
      <c r="D4230" s="464"/>
      <c r="E4230" s="464"/>
      <c r="F4230" s="464"/>
      <c r="G4230" s="510"/>
      <c r="H4230" s="411"/>
      <c r="I4230" s="411"/>
      <c r="J4230" s="750" t="e">
        <f t="shared" si="48"/>
        <v>#DIV/0!</v>
      </c>
      <c r="K4230" s="412"/>
      <c r="L4230" s="412"/>
      <c r="M4230" s="682"/>
      <c r="N4230" s="171"/>
      <c r="O4230" s="171"/>
      <c r="P4230" s="169"/>
      <c r="Q4230" s="171"/>
      <c r="R4230" s="171"/>
      <c r="S4230" s="171"/>
      <c r="T4230" s="171"/>
      <c r="U4230" s="171"/>
      <c r="V4230" s="171"/>
      <c r="W4230" s="171"/>
      <c r="X4230" s="171"/>
      <c r="Y4230" s="171"/>
      <c r="Z4230" s="171"/>
      <c r="AA4230" s="171"/>
    </row>
    <row r="4231" spans="1:27" s="530" customFormat="1" hidden="1" x14ac:dyDescent="0.2">
      <c r="A4231" s="526"/>
      <c r="B4231" s="527"/>
      <c r="C4231" s="465"/>
      <c r="D4231" s="464"/>
      <c r="E4231" s="464"/>
      <c r="F4231" s="464"/>
      <c r="G4231" s="510"/>
      <c r="H4231" s="411"/>
      <c r="I4231" s="411"/>
      <c r="J4231" s="750" t="e">
        <f t="shared" si="48"/>
        <v>#DIV/0!</v>
      </c>
      <c r="K4231" s="412"/>
      <c r="L4231" s="412"/>
      <c r="M4231" s="682"/>
      <c r="N4231" s="171"/>
      <c r="O4231" s="171"/>
      <c r="P4231" s="169"/>
      <c r="Q4231" s="171"/>
      <c r="R4231" s="171"/>
      <c r="S4231" s="171"/>
      <c r="T4231" s="171"/>
      <c r="U4231" s="171"/>
      <c r="V4231" s="171"/>
      <c r="W4231" s="171"/>
      <c r="X4231" s="171"/>
      <c r="Y4231" s="171"/>
      <c r="Z4231" s="171"/>
      <c r="AA4231" s="171"/>
    </row>
    <row r="4232" spans="1:27" s="530" customFormat="1" ht="5.25" hidden="1" customHeight="1" x14ac:dyDescent="0.2">
      <c r="A4232" s="526"/>
      <c r="B4232" s="527"/>
      <c r="C4232" s="534"/>
      <c r="D4232" s="535"/>
      <c r="E4232" s="535"/>
      <c r="F4232" s="167"/>
      <c r="G4232" s="513"/>
      <c r="H4232" s="422"/>
      <c r="I4232" s="422"/>
      <c r="J4232" s="750" t="e">
        <f t="shared" si="48"/>
        <v>#DIV/0!</v>
      </c>
      <c r="K4232" s="423"/>
      <c r="L4232" s="424"/>
      <c r="M4232" s="682"/>
      <c r="N4232" s="171"/>
      <c r="O4232" s="171"/>
      <c r="P4232" s="171"/>
      <c r="Q4232" s="171"/>
      <c r="R4232" s="171"/>
      <c r="S4232" s="171"/>
      <c r="T4232" s="171"/>
      <c r="U4232" s="171"/>
      <c r="V4232" s="171"/>
      <c r="W4232" s="171"/>
      <c r="X4232" s="171"/>
      <c r="Y4232" s="171"/>
      <c r="Z4232" s="171"/>
      <c r="AA4232" s="171"/>
    </row>
    <row r="4233" spans="1:27" s="530" customFormat="1" x14ac:dyDescent="0.2">
      <c r="A4233" s="526"/>
      <c r="B4233" s="527"/>
      <c r="C4233" s="528" t="s">
        <v>3588</v>
      </c>
      <c r="D4233" s="528"/>
      <c r="E4233" s="536"/>
      <c r="F4233" s="536"/>
      <c r="G4233" s="529" t="s">
        <v>4249</v>
      </c>
      <c r="H4233" s="425"/>
      <c r="I4233" s="425"/>
      <c r="J4233" s="750"/>
      <c r="K4233" s="243"/>
      <c r="L4233" s="243"/>
      <c r="M4233" s="682"/>
      <c r="N4233" s="171"/>
      <c r="O4233" s="171"/>
      <c r="P4233" s="171"/>
      <c r="Q4233" s="171"/>
      <c r="R4233" s="171"/>
      <c r="S4233" s="171"/>
      <c r="T4233" s="171"/>
      <c r="U4233" s="171"/>
      <c r="V4233" s="171"/>
      <c r="W4233" s="171"/>
      <c r="X4233" s="171"/>
      <c r="Y4233" s="171"/>
      <c r="Z4233" s="171"/>
      <c r="AA4233" s="171"/>
    </row>
    <row r="4234" spans="1:27" ht="10.5" customHeight="1" x14ac:dyDescent="0.2">
      <c r="C4234" s="489" t="s">
        <v>4112</v>
      </c>
      <c r="D4234" s="490"/>
      <c r="G4234" s="491" t="s">
        <v>4113</v>
      </c>
      <c r="H4234" s="397"/>
      <c r="I4234" s="397"/>
      <c r="J4234" s="750"/>
      <c r="K4234" s="398"/>
      <c r="L4234" s="398"/>
      <c r="M4234" s="682"/>
    </row>
    <row r="4235" spans="1:27" s="530" customFormat="1" ht="13.5" customHeight="1" x14ac:dyDescent="0.2">
      <c r="A4235" s="526"/>
      <c r="B4235" s="527"/>
      <c r="C4235" s="528"/>
      <c r="D4235" s="569" t="s">
        <v>3888</v>
      </c>
      <c r="E4235" s="538"/>
      <c r="F4235" s="538"/>
      <c r="G4235" s="539" t="s">
        <v>4290</v>
      </c>
      <c r="H4235" s="425"/>
      <c r="I4235" s="425"/>
      <c r="J4235" s="750"/>
      <c r="K4235" s="243"/>
      <c r="L4235" s="243"/>
      <c r="M4235" s="682"/>
      <c r="N4235" s="171"/>
      <c r="O4235" s="171"/>
      <c r="P4235" s="171"/>
      <c r="Q4235" s="171"/>
      <c r="R4235" s="171"/>
      <c r="S4235" s="171"/>
      <c r="T4235" s="171"/>
      <c r="U4235" s="171"/>
      <c r="V4235" s="171"/>
      <c r="W4235" s="171"/>
      <c r="X4235" s="171"/>
      <c r="Y4235" s="171"/>
      <c r="Z4235" s="171"/>
      <c r="AA4235" s="171"/>
    </row>
    <row r="4236" spans="1:27" x14ac:dyDescent="0.2">
      <c r="E4236" s="464">
        <v>48</v>
      </c>
      <c r="F4236" s="494">
        <v>4631</v>
      </c>
      <c r="G4236" s="495" t="s">
        <v>3807</v>
      </c>
      <c r="H4236" s="397">
        <v>357000</v>
      </c>
      <c r="I4236" s="397">
        <v>154985</v>
      </c>
      <c r="J4236" s="750">
        <f t="shared" si="48"/>
        <v>43.413165266106439</v>
      </c>
      <c r="K4236" s="398"/>
      <c r="L4236" s="398"/>
      <c r="M4236" s="682"/>
    </row>
    <row r="4237" spans="1:27" hidden="1" x14ac:dyDescent="0.2">
      <c r="F4237" s="494">
        <v>412</v>
      </c>
      <c r="G4237" s="496" t="s">
        <v>3764</v>
      </c>
      <c r="H4237" s="397"/>
      <c r="I4237" s="397"/>
      <c r="J4237" s="750" t="e">
        <f t="shared" ref="J4237:J4300" si="49">SUM(I4237/H4237)*100</f>
        <v>#DIV/0!</v>
      </c>
      <c r="K4237" s="398"/>
      <c r="L4237" s="398"/>
      <c r="M4237" s="682"/>
    </row>
    <row r="4238" spans="1:27" hidden="1" x14ac:dyDescent="0.2">
      <c r="F4238" s="494">
        <v>413</v>
      </c>
      <c r="G4238" s="495" t="s">
        <v>4168</v>
      </c>
      <c r="H4238" s="397"/>
      <c r="I4238" s="397"/>
      <c r="J4238" s="750" t="e">
        <f t="shared" si="49"/>
        <v>#DIV/0!</v>
      </c>
      <c r="K4238" s="398"/>
      <c r="L4238" s="398"/>
      <c r="M4238" s="682"/>
    </row>
    <row r="4239" spans="1:27" ht="14.25" hidden="1" customHeight="1" x14ac:dyDescent="0.2">
      <c r="F4239" s="494">
        <v>414</v>
      </c>
      <c r="G4239" s="495" t="s">
        <v>3767</v>
      </c>
      <c r="H4239" s="397"/>
      <c r="I4239" s="397"/>
      <c r="J4239" s="750" t="e">
        <f t="shared" si="49"/>
        <v>#DIV/0!</v>
      </c>
      <c r="K4239" s="398"/>
      <c r="L4239" s="398"/>
      <c r="M4239" s="682"/>
    </row>
    <row r="4240" spans="1:27" hidden="1" x14ac:dyDescent="0.2">
      <c r="F4240" s="494">
        <v>415</v>
      </c>
      <c r="G4240" s="495" t="s">
        <v>4177</v>
      </c>
      <c r="H4240" s="397"/>
      <c r="I4240" s="397"/>
      <c r="J4240" s="750" t="e">
        <f t="shared" si="49"/>
        <v>#DIV/0!</v>
      </c>
      <c r="K4240" s="398"/>
      <c r="L4240" s="398"/>
      <c r="M4240" s="682"/>
    </row>
    <row r="4241" spans="6:13" ht="25.5" hidden="1" x14ac:dyDescent="0.2">
      <c r="F4241" s="494">
        <v>416</v>
      </c>
      <c r="G4241" s="495" t="s">
        <v>4178</v>
      </c>
      <c r="H4241" s="397"/>
      <c r="I4241" s="397"/>
      <c r="J4241" s="750" t="e">
        <f t="shared" si="49"/>
        <v>#DIV/0!</v>
      </c>
      <c r="K4241" s="398"/>
      <c r="L4241" s="398"/>
      <c r="M4241" s="682"/>
    </row>
    <row r="4242" spans="6:13" hidden="1" x14ac:dyDescent="0.2">
      <c r="F4242" s="494">
        <v>417</v>
      </c>
      <c r="G4242" s="495" t="s">
        <v>4179</v>
      </c>
      <c r="H4242" s="397"/>
      <c r="I4242" s="397"/>
      <c r="J4242" s="750" t="e">
        <f t="shared" si="49"/>
        <v>#DIV/0!</v>
      </c>
      <c r="K4242" s="398"/>
      <c r="L4242" s="398"/>
      <c r="M4242" s="682"/>
    </row>
    <row r="4243" spans="6:13" hidden="1" x14ac:dyDescent="0.2">
      <c r="F4243" s="494">
        <v>418</v>
      </c>
      <c r="G4243" s="495" t="s">
        <v>3773</v>
      </c>
      <c r="H4243" s="397"/>
      <c r="I4243" s="397"/>
      <c r="J4243" s="750" t="e">
        <f t="shared" si="49"/>
        <v>#DIV/0!</v>
      </c>
      <c r="K4243" s="398"/>
      <c r="L4243" s="398"/>
      <c r="M4243" s="682"/>
    </row>
    <row r="4244" spans="6:13" hidden="1" x14ac:dyDescent="0.2">
      <c r="F4244" s="494">
        <v>421</v>
      </c>
      <c r="G4244" s="495" t="s">
        <v>3777</v>
      </c>
      <c r="H4244" s="397"/>
      <c r="I4244" s="397"/>
      <c r="J4244" s="750" t="e">
        <f t="shared" si="49"/>
        <v>#DIV/0!</v>
      </c>
      <c r="K4244" s="398"/>
      <c r="L4244" s="398"/>
      <c r="M4244" s="682"/>
    </row>
    <row r="4245" spans="6:13" hidden="1" x14ac:dyDescent="0.2">
      <c r="F4245" s="494">
        <v>422</v>
      </c>
      <c r="G4245" s="495" t="s">
        <v>3778</v>
      </c>
      <c r="H4245" s="397"/>
      <c r="I4245" s="397"/>
      <c r="J4245" s="750" t="e">
        <f t="shared" si="49"/>
        <v>#DIV/0!</v>
      </c>
      <c r="K4245" s="398"/>
      <c r="L4245" s="398"/>
      <c r="M4245" s="682"/>
    </row>
    <row r="4246" spans="6:13" hidden="1" x14ac:dyDescent="0.2">
      <c r="F4246" s="494">
        <v>423</v>
      </c>
      <c r="G4246" s="495" t="s">
        <v>3779</v>
      </c>
      <c r="H4246" s="397"/>
      <c r="I4246" s="397"/>
      <c r="J4246" s="750" t="e">
        <f t="shared" si="49"/>
        <v>#DIV/0!</v>
      </c>
      <c r="K4246" s="398"/>
      <c r="L4246" s="398"/>
      <c r="M4246" s="682"/>
    </row>
    <row r="4247" spans="6:13" hidden="1" x14ac:dyDescent="0.2">
      <c r="F4247" s="494">
        <v>424</v>
      </c>
      <c r="G4247" s="495" t="s">
        <v>3781</v>
      </c>
      <c r="H4247" s="397"/>
      <c r="I4247" s="397"/>
      <c r="J4247" s="750" t="e">
        <f t="shared" si="49"/>
        <v>#DIV/0!</v>
      </c>
      <c r="K4247" s="398"/>
      <c r="L4247" s="398"/>
      <c r="M4247" s="682"/>
    </row>
    <row r="4248" spans="6:13" hidden="1" x14ac:dyDescent="0.2">
      <c r="F4248" s="494">
        <v>425</v>
      </c>
      <c r="G4248" s="495" t="s">
        <v>4180</v>
      </c>
      <c r="H4248" s="397"/>
      <c r="I4248" s="397"/>
      <c r="J4248" s="750" t="e">
        <f t="shared" si="49"/>
        <v>#DIV/0!</v>
      </c>
      <c r="K4248" s="398"/>
      <c r="L4248" s="398"/>
      <c r="M4248" s="682"/>
    </row>
    <row r="4249" spans="6:13" hidden="1" x14ac:dyDescent="0.2">
      <c r="F4249" s="494">
        <v>426</v>
      </c>
      <c r="G4249" s="495" t="s">
        <v>3785</v>
      </c>
      <c r="H4249" s="397"/>
      <c r="I4249" s="397"/>
      <c r="J4249" s="750" t="e">
        <f t="shared" si="49"/>
        <v>#DIV/0!</v>
      </c>
      <c r="K4249" s="398"/>
      <c r="L4249" s="398"/>
      <c r="M4249" s="682"/>
    </row>
    <row r="4250" spans="6:13" hidden="1" x14ac:dyDescent="0.2">
      <c r="F4250" s="494">
        <v>431</v>
      </c>
      <c r="G4250" s="495" t="s">
        <v>4181</v>
      </c>
      <c r="H4250" s="397"/>
      <c r="I4250" s="397"/>
      <c r="J4250" s="750" t="e">
        <f t="shared" si="49"/>
        <v>#DIV/0!</v>
      </c>
      <c r="K4250" s="398"/>
      <c r="L4250" s="398"/>
      <c r="M4250" s="682"/>
    </row>
    <row r="4251" spans="6:13" hidden="1" x14ac:dyDescent="0.2">
      <c r="F4251" s="494">
        <v>432</v>
      </c>
      <c r="G4251" s="495" t="s">
        <v>4182</v>
      </c>
      <c r="H4251" s="397"/>
      <c r="I4251" s="397"/>
      <c r="J4251" s="750" t="e">
        <f t="shared" si="49"/>
        <v>#DIV/0!</v>
      </c>
      <c r="K4251" s="398"/>
      <c r="L4251" s="398"/>
      <c r="M4251" s="682"/>
    </row>
    <row r="4252" spans="6:13" hidden="1" x14ac:dyDescent="0.2">
      <c r="F4252" s="494">
        <v>433</v>
      </c>
      <c r="G4252" s="495" t="s">
        <v>4183</v>
      </c>
      <c r="H4252" s="397"/>
      <c r="I4252" s="397"/>
      <c r="J4252" s="750" t="e">
        <f t="shared" si="49"/>
        <v>#DIV/0!</v>
      </c>
      <c r="K4252" s="398"/>
      <c r="L4252" s="398"/>
      <c r="M4252" s="682"/>
    </row>
    <row r="4253" spans="6:13" hidden="1" x14ac:dyDescent="0.2">
      <c r="F4253" s="494">
        <v>434</v>
      </c>
      <c r="G4253" s="495" t="s">
        <v>4184</v>
      </c>
      <c r="H4253" s="397"/>
      <c r="I4253" s="397"/>
      <c r="J4253" s="750" t="e">
        <f t="shared" si="49"/>
        <v>#DIV/0!</v>
      </c>
      <c r="K4253" s="398"/>
      <c r="L4253" s="398"/>
      <c r="M4253" s="682"/>
    </row>
    <row r="4254" spans="6:13" hidden="1" x14ac:dyDescent="0.2">
      <c r="F4254" s="494">
        <v>435</v>
      </c>
      <c r="G4254" s="495" t="s">
        <v>3792</v>
      </c>
      <c r="H4254" s="397"/>
      <c r="I4254" s="397"/>
      <c r="J4254" s="750" t="e">
        <f t="shared" si="49"/>
        <v>#DIV/0!</v>
      </c>
      <c r="K4254" s="398"/>
      <c r="L4254" s="398"/>
      <c r="M4254" s="682"/>
    </row>
    <row r="4255" spans="6:13" hidden="1" x14ac:dyDescent="0.2">
      <c r="F4255" s="494">
        <v>441</v>
      </c>
      <c r="G4255" s="495" t="s">
        <v>4185</v>
      </c>
      <c r="H4255" s="397"/>
      <c r="I4255" s="397"/>
      <c r="J4255" s="750" t="e">
        <f t="shared" si="49"/>
        <v>#DIV/0!</v>
      </c>
      <c r="K4255" s="398"/>
      <c r="L4255" s="398"/>
      <c r="M4255" s="682"/>
    </row>
    <row r="4256" spans="6:13" hidden="1" x14ac:dyDescent="0.2">
      <c r="F4256" s="494">
        <v>442</v>
      </c>
      <c r="G4256" s="495" t="s">
        <v>4186</v>
      </c>
      <c r="H4256" s="397"/>
      <c r="I4256" s="397"/>
      <c r="J4256" s="750" t="e">
        <f t="shared" si="49"/>
        <v>#DIV/0!</v>
      </c>
      <c r="K4256" s="398"/>
      <c r="L4256" s="398"/>
      <c r="M4256" s="682"/>
    </row>
    <row r="4257" spans="5:13" hidden="1" x14ac:dyDescent="0.2">
      <c r="F4257" s="494">
        <v>443</v>
      </c>
      <c r="G4257" s="495" t="s">
        <v>3797</v>
      </c>
      <c r="H4257" s="397"/>
      <c r="I4257" s="397"/>
      <c r="J4257" s="750" t="e">
        <f t="shared" si="49"/>
        <v>#DIV/0!</v>
      </c>
      <c r="K4257" s="398"/>
      <c r="L4257" s="398"/>
      <c r="M4257" s="682"/>
    </row>
    <row r="4258" spans="5:13" hidden="1" x14ac:dyDescent="0.2">
      <c r="F4258" s="494">
        <v>444</v>
      </c>
      <c r="G4258" s="495" t="s">
        <v>3798</v>
      </c>
      <c r="H4258" s="397"/>
      <c r="I4258" s="397"/>
      <c r="J4258" s="750" t="e">
        <f t="shared" si="49"/>
        <v>#DIV/0!</v>
      </c>
      <c r="K4258" s="398"/>
      <c r="L4258" s="398"/>
      <c r="M4258" s="682"/>
    </row>
    <row r="4259" spans="5:13" ht="25.5" hidden="1" x14ac:dyDescent="0.2">
      <c r="F4259" s="494">
        <v>4511</v>
      </c>
      <c r="G4259" s="466" t="s">
        <v>1692</v>
      </c>
      <c r="H4259" s="397"/>
      <c r="I4259" s="397"/>
      <c r="J4259" s="750" t="e">
        <f t="shared" si="49"/>
        <v>#DIV/0!</v>
      </c>
      <c r="K4259" s="398"/>
      <c r="L4259" s="398"/>
      <c r="M4259" s="682"/>
    </row>
    <row r="4260" spans="5:13" ht="25.5" hidden="1" x14ac:dyDescent="0.2">
      <c r="F4260" s="494">
        <v>4512</v>
      </c>
      <c r="G4260" s="466" t="s">
        <v>1701</v>
      </c>
      <c r="H4260" s="397"/>
      <c r="I4260" s="397"/>
      <c r="J4260" s="750" t="e">
        <f t="shared" si="49"/>
        <v>#DIV/0!</v>
      </c>
      <c r="K4260" s="398"/>
      <c r="L4260" s="398"/>
      <c r="M4260" s="682"/>
    </row>
    <row r="4261" spans="5:13" ht="25.5" hidden="1" x14ac:dyDescent="0.2">
      <c r="F4261" s="494">
        <v>452</v>
      </c>
      <c r="G4261" s="495" t="s">
        <v>4187</v>
      </c>
      <c r="H4261" s="397"/>
      <c r="I4261" s="397"/>
      <c r="J4261" s="750" t="e">
        <f t="shared" si="49"/>
        <v>#DIV/0!</v>
      </c>
      <c r="K4261" s="398"/>
      <c r="L4261" s="398"/>
      <c r="M4261" s="682"/>
    </row>
    <row r="4262" spans="5:13" ht="25.5" hidden="1" x14ac:dyDescent="0.2">
      <c r="F4262" s="494">
        <v>453</v>
      </c>
      <c r="G4262" s="495" t="s">
        <v>4188</v>
      </c>
      <c r="H4262" s="397"/>
      <c r="I4262" s="397"/>
      <c r="J4262" s="750" t="e">
        <f t="shared" si="49"/>
        <v>#DIV/0!</v>
      </c>
      <c r="K4262" s="398"/>
      <c r="L4262" s="398"/>
      <c r="M4262" s="682"/>
    </row>
    <row r="4263" spans="5:13" hidden="1" x14ac:dyDescent="0.2">
      <c r="F4263" s="494">
        <v>454</v>
      </c>
      <c r="G4263" s="495" t="s">
        <v>3803</v>
      </c>
      <c r="H4263" s="397"/>
      <c r="I4263" s="397"/>
      <c r="J4263" s="750" t="e">
        <f t="shared" si="49"/>
        <v>#DIV/0!</v>
      </c>
      <c r="K4263" s="398"/>
      <c r="L4263" s="398"/>
      <c r="M4263" s="682"/>
    </row>
    <row r="4264" spans="5:13" hidden="1" x14ac:dyDescent="0.2">
      <c r="F4264" s="494">
        <v>461</v>
      </c>
      <c r="G4264" s="495" t="s">
        <v>4169</v>
      </c>
      <c r="H4264" s="397"/>
      <c r="I4264" s="397"/>
      <c r="J4264" s="750" t="e">
        <f t="shared" si="49"/>
        <v>#DIV/0!</v>
      </c>
      <c r="K4264" s="398"/>
      <c r="L4264" s="398"/>
      <c r="M4264" s="682"/>
    </row>
    <row r="4265" spans="5:13" ht="25.5" hidden="1" x14ac:dyDescent="0.2">
      <c r="F4265" s="494">
        <v>462</v>
      </c>
      <c r="G4265" s="495" t="s">
        <v>3806</v>
      </c>
      <c r="H4265" s="397"/>
      <c r="I4265" s="397"/>
      <c r="J4265" s="750" t="e">
        <f t="shared" si="49"/>
        <v>#DIV/0!</v>
      </c>
      <c r="K4265" s="398"/>
      <c r="L4265" s="398"/>
      <c r="M4265" s="682"/>
    </row>
    <row r="4266" spans="5:13" hidden="1" x14ac:dyDescent="0.2">
      <c r="F4266" s="494">
        <v>4631</v>
      </c>
      <c r="G4266" s="495" t="s">
        <v>3807</v>
      </c>
      <c r="H4266" s="397"/>
      <c r="I4266" s="397"/>
      <c r="J4266" s="750" t="e">
        <f t="shared" si="49"/>
        <v>#DIV/0!</v>
      </c>
      <c r="K4266" s="398"/>
      <c r="L4266" s="398"/>
      <c r="M4266" s="682"/>
    </row>
    <row r="4267" spans="5:13" hidden="1" x14ac:dyDescent="0.2">
      <c r="F4267" s="494">
        <v>4632</v>
      </c>
      <c r="G4267" s="495" t="s">
        <v>3808</v>
      </c>
      <c r="H4267" s="397"/>
      <c r="I4267" s="397"/>
      <c r="J4267" s="750" t="e">
        <f t="shared" si="49"/>
        <v>#DIV/0!</v>
      </c>
      <c r="K4267" s="398"/>
      <c r="L4267" s="398"/>
      <c r="M4267" s="682"/>
    </row>
    <row r="4268" spans="5:13" ht="25.5" hidden="1" x14ac:dyDescent="0.2">
      <c r="F4268" s="494">
        <v>464</v>
      </c>
      <c r="G4268" s="495" t="s">
        <v>3809</v>
      </c>
      <c r="H4268" s="397"/>
      <c r="I4268" s="397"/>
      <c r="J4268" s="750" t="e">
        <f t="shared" si="49"/>
        <v>#DIV/0!</v>
      </c>
      <c r="K4268" s="398"/>
      <c r="L4268" s="398"/>
      <c r="M4268" s="682"/>
    </row>
    <row r="4269" spans="5:13" hidden="1" x14ac:dyDescent="0.2">
      <c r="F4269" s="494">
        <v>465</v>
      </c>
      <c r="G4269" s="495" t="s">
        <v>4170</v>
      </c>
      <c r="H4269" s="397"/>
      <c r="I4269" s="397"/>
      <c r="J4269" s="750" t="e">
        <f t="shared" si="49"/>
        <v>#DIV/0!</v>
      </c>
      <c r="K4269" s="398"/>
      <c r="L4269" s="398"/>
      <c r="M4269" s="682"/>
    </row>
    <row r="4270" spans="5:13" ht="13.5" thickBot="1" x14ac:dyDescent="0.25">
      <c r="E4270" s="464">
        <v>49</v>
      </c>
      <c r="F4270" s="494">
        <v>472</v>
      </c>
      <c r="G4270" s="495" t="s">
        <v>3813</v>
      </c>
      <c r="H4270" s="397">
        <v>4300000</v>
      </c>
      <c r="I4270" s="397">
        <v>2854584.27</v>
      </c>
      <c r="J4270" s="750">
        <f t="shared" si="49"/>
        <v>66.385680697674417</v>
      </c>
      <c r="K4270" s="398"/>
      <c r="L4270" s="398"/>
      <c r="M4270" s="682"/>
    </row>
    <row r="4271" spans="5:13" ht="13.5" hidden="1" thickBot="1" x14ac:dyDescent="0.25">
      <c r="F4271" s="494">
        <v>481</v>
      </c>
      <c r="G4271" s="495" t="s">
        <v>4189</v>
      </c>
      <c r="H4271" s="397"/>
      <c r="I4271" s="397"/>
      <c r="J4271" s="750" t="e">
        <f t="shared" si="49"/>
        <v>#DIV/0!</v>
      </c>
      <c r="K4271" s="398"/>
      <c r="L4271" s="398"/>
      <c r="M4271" s="682"/>
    </row>
    <row r="4272" spans="5:13" ht="13.5" hidden="1" thickBot="1" x14ac:dyDescent="0.25">
      <c r="F4272" s="494">
        <v>482</v>
      </c>
      <c r="G4272" s="495" t="s">
        <v>4190</v>
      </c>
      <c r="H4272" s="397"/>
      <c r="I4272" s="397"/>
      <c r="J4272" s="750" t="e">
        <f t="shared" si="49"/>
        <v>#DIV/0!</v>
      </c>
      <c r="K4272" s="398"/>
      <c r="L4272" s="398"/>
      <c r="M4272" s="682"/>
    </row>
    <row r="4273" spans="6:13" ht="13.5" hidden="1" thickBot="1" x14ac:dyDescent="0.25">
      <c r="F4273" s="494">
        <v>483</v>
      </c>
      <c r="G4273" s="497" t="s">
        <v>4191</v>
      </c>
      <c r="H4273" s="397"/>
      <c r="I4273" s="397"/>
      <c r="J4273" s="750" t="e">
        <f t="shared" si="49"/>
        <v>#DIV/0!</v>
      </c>
      <c r="K4273" s="398"/>
      <c r="L4273" s="398"/>
      <c r="M4273" s="682"/>
    </row>
    <row r="4274" spans="6:13" ht="39" hidden="1" thickBot="1" x14ac:dyDescent="0.25">
      <c r="F4274" s="494">
        <v>484</v>
      </c>
      <c r="G4274" s="495" t="s">
        <v>4192</v>
      </c>
      <c r="H4274" s="397"/>
      <c r="I4274" s="397"/>
      <c r="J4274" s="750" t="e">
        <f t="shared" si="49"/>
        <v>#DIV/0!</v>
      </c>
      <c r="K4274" s="398"/>
      <c r="L4274" s="398"/>
      <c r="M4274" s="682"/>
    </row>
    <row r="4275" spans="6:13" ht="26.25" hidden="1" thickBot="1" x14ac:dyDescent="0.25">
      <c r="F4275" s="494">
        <v>485</v>
      </c>
      <c r="G4275" s="495" t="s">
        <v>4193</v>
      </c>
      <c r="H4275" s="397"/>
      <c r="I4275" s="397"/>
      <c r="J4275" s="750" t="e">
        <f t="shared" si="49"/>
        <v>#DIV/0!</v>
      </c>
      <c r="K4275" s="398"/>
      <c r="L4275" s="398"/>
      <c r="M4275" s="682"/>
    </row>
    <row r="4276" spans="6:13" ht="26.25" hidden="1" thickBot="1" x14ac:dyDescent="0.25">
      <c r="F4276" s="494">
        <v>489</v>
      </c>
      <c r="G4276" s="495" t="s">
        <v>3821</v>
      </c>
      <c r="H4276" s="397"/>
      <c r="I4276" s="397"/>
      <c r="J4276" s="750" t="e">
        <f t="shared" si="49"/>
        <v>#DIV/0!</v>
      </c>
      <c r="K4276" s="398"/>
      <c r="L4276" s="398"/>
      <c r="M4276" s="682"/>
    </row>
    <row r="4277" spans="6:13" ht="26.25" hidden="1" thickBot="1" x14ac:dyDescent="0.25">
      <c r="F4277" s="494">
        <v>494</v>
      </c>
      <c r="G4277" s="495" t="s">
        <v>4171</v>
      </c>
      <c r="H4277" s="397"/>
      <c r="I4277" s="397"/>
      <c r="J4277" s="750" t="e">
        <f t="shared" si="49"/>
        <v>#DIV/0!</v>
      </c>
      <c r="K4277" s="398"/>
      <c r="L4277" s="398"/>
      <c r="M4277" s="682"/>
    </row>
    <row r="4278" spans="6:13" ht="26.25" hidden="1" thickBot="1" x14ac:dyDescent="0.25">
      <c r="F4278" s="494">
        <v>495</v>
      </c>
      <c r="G4278" s="495" t="s">
        <v>4172</v>
      </c>
      <c r="H4278" s="397"/>
      <c r="I4278" s="397"/>
      <c r="J4278" s="750" t="e">
        <f t="shared" si="49"/>
        <v>#DIV/0!</v>
      </c>
      <c r="K4278" s="398"/>
      <c r="L4278" s="398"/>
      <c r="M4278" s="682"/>
    </row>
    <row r="4279" spans="6:13" ht="39" hidden="1" thickBot="1" x14ac:dyDescent="0.25">
      <c r="F4279" s="494">
        <v>496</v>
      </c>
      <c r="G4279" s="495" t="s">
        <v>4173</v>
      </c>
      <c r="H4279" s="397"/>
      <c r="I4279" s="397"/>
      <c r="J4279" s="750" t="e">
        <f t="shared" si="49"/>
        <v>#DIV/0!</v>
      </c>
      <c r="K4279" s="398"/>
      <c r="L4279" s="398"/>
      <c r="M4279" s="682"/>
    </row>
    <row r="4280" spans="6:13" ht="26.25" hidden="1" thickBot="1" x14ac:dyDescent="0.25">
      <c r="F4280" s="494">
        <v>499</v>
      </c>
      <c r="G4280" s="495" t="s">
        <v>4174</v>
      </c>
      <c r="H4280" s="397"/>
      <c r="I4280" s="397"/>
      <c r="J4280" s="750" t="e">
        <f t="shared" si="49"/>
        <v>#DIV/0!</v>
      </c>
      <c r="K4280" s="398"/>
      <c r="L4280" s="398"/>
      <c r="M4280" s="682"/>
    </row>
    <row r="4281" spans="6:13" ht="13.5" hidden="1" thickBot="1" x14ac:dyDescent="0.25">
      <c r="F4281" s="494">
        <v>511</v>
      </c>
      <c r="G4281" s="497" t="s">
        <v>4194</v>
      </c>
      <c r="H4281" s="397"/>
      <c r="I4281" s="397"/>
      <c r="J4281" s="750" t="e">
        <f t="shared" si="49"/>
        <v>#DIV/0!</v>
      </c>
      <c r="K4281" s="398"/>
      <c r="L4281" s="398"/>
      <c r="M4281" s="682"/>
    </row>
    <row r="4282" spans="6:13" ht="13.5" hidden="1" thickBot="1" x14ac:dyDescent="0.25">
      <c r="F4282" s="494">
        <v>512</v>
      </c>
      <c r="G4282" s="497" t="s">
        <v>4195</v>
      </c>
      <c r="H4282" s="397"/>
      <c r="I4282" s="397"/>
      <c r="J4282" s="750" t="e">
        <f t="shared" si="49"/>
        <v>#DIV/0!</v>
      </c>
      <c r="K4282" s="398"/>
      <c r="L4282" s="398"/>
      <c r="M4282" s="682"/>
    </row>
    <row r="4283" spans="6:13" ht="13.5" hidden="1" thickBot="1" x14ac:dyDescent="0.25">
      <c r="F4283" s="494">
        <v>513</v>
      </c>
      <c r="G4283" s="497" t="s">
        <v>4196</v>
      </c>
      <c r="H4283" s="397"/>
      <c r="I4283" s="397"/>
      <c r="J4283" s="750" t="e">
        <f t="shared" si="49"/>
        <v>#DIV/0!</v>
      </c>
      <c r="K4283" s="398"/>
      <c r="L4283" s="398"/>
      <c r="M4283" s="682"/>
    </row>
    <row r="4284" spans="6:13" ht="13.5" hidden="1" thickBot="1" x14ac:dyDescent="0.25">
      <c r="F4284" s="494">
        <v>514</v>
      </c>
      <c r="G4284" s="495" t="s">
        <v>4197</v>
      </c>
      <c r="H4284" s="397"/>
      <c r="I4284" s="397"/>
      <c r="J4284" s="750" t="e">
        <f t="shared" si="49"/>
        <v>#DIV/0!</v>
      </c>
      <c r="K4284" s="398"/>
      <c r="L4284" s="398"/>
      <c r="M4284" s="682"/>
    </row>
    <row r="4285" spans="6:13" ht="13.5" hidden="1" thickBot="1" x14ac:dyDescent="0.25">
      <c r="F4285" s="494">
        <v>515</v>
      </c>
      <c r="G4285" s="495" t="s">
        <v>3832</v>
      </c>
      <c r="H4285" s="397"/>
      <c r="I4285" s="397"/>
      <c r="J4285" s="750" t="e">
        <f t="shared" si="49"/>
        <v>#DIV/0!</v>
      </c>
      <c r="K4285" s="398"/>
      <c r="L4285" s="398"/>
      <c r="M4285" s="682"/>
    </row>
    <row r="4286" spans="6:13" ht="13.5" hidden="1" thickBot="1" x14ac:dyDescent="0.25">
      <c r="F4286" s="494">
        <v>521</v>
      </c>
      <c r="G4286" s="495" t="s">
        <v>4198</v>
      </c>
      <c r="H4286" s="397"/>
      <c r="I4286" s="397"/>
      <c r="J4286" s="750" t="e">
        <f t="shared" si="49"/>
        <v>#DIV/0!</v>
      </c>
      <c r="K4286" s="398"/>
      <c r="L4286" s="398"/>
      <c r="M4286" s="682"/>
    </row>
    <row r="4287" spans="6:13" ht="13.5" hidden="1" thickBot="1" x14ac:dyDescent="0.25">
      <c r="F4287" s="494">
        <v>522</v>
      </c>
      <c r="G4287" s="495" t="s">
        <v>4199</v>
      </c>
      <c r="H4287" s="397"/>
      <c r="I4287" s="397"/>
      <c r="J4287" s="750" t="e">
        <f t="shared" si="49"/>
        <v>#DIV/0!</v>
      </c>
      <c r="K4287" s="398"/>
      <c r="L4287" s="398"/>
      <c r="M4287" s="682"/>
    </row>
    <row r="4288" spans="6:13" ht="13.5" hidden="1" thickBot="1" x14ac:dyDescent="0.25">
      <c r="F4288" s="494">
        <v>523</v>
      </c>
      <c r="G4288" s="495" t="s">
        <v>3837</v>
      </c>
      <c r="H4288" s="397"/>
      <c r="I4288" s="397"/>
      <c r="J4288" s="750" t="e">
        <f t="shared" si="49"/>
        <v>#DIV/0!</v>
      </c>
      <c r="K4288" s="398"/>
      <c r="L4288" s="398"/>
      <c r="M4288" s="682"/>
    </row>
    <row r="4289" spans="5:13" ht="13.5" hidden="1" thickBot="1" x14ac:dyDescent="0.25">
      <c r="F4289" s="494">
        <v>531</v>
      </c>
      <c r="G4289" s="496" t="s">
        <v>4175</v>
      </c>
      <c r="H4289" s="397"/>
      <c r="I4289" s="397"/>
      <c r="J4289" s="750" t="e">
        <f t="shared" si="49"/>
        <v>#DIV/0!</v>
      </c>
      <c r="K4289" s="398"/>
      <c r="L4289" s="398"/>
      <c r="M4289" s="682"/>
    </row>
    <row r="4290" spans="5:13" ht="13.5" hidden="1" thickBot="1" x14ac:dyDescent="0.25">
      <c r="F4290" s="494">
        <v>541</v>
      </c>
      <c r="G4290" s="495" t="s">
        <v>4200</v>
      </c>
      <c r="H4290" s="397"/>
      <c r="I4290" s="397"/>
      <c r="J4290" s="750" t="e">
        <f t="shared" si="49"/>
        <v>#DIV/0!</v>
      </c>
      <c r="K4290" s="398"/>
      <c r="L4290" s="398"/>
      <c r="M4290" s="682"/>
    </row>
    <row r="4291" spans="5:13" ht="13.5" hidden="1" thickBot="1" x14ac:dyDescent="0.25">
      <c r="F4291" s="494">
        <v>542</v>
      </c>
      <c r="G4291" s="495" t="s">
        <v>4201</v>
      </c>
      <c r="H4291" s="397"/>
      <c r="I4291" s="397"/>
      <c r="J4291" s="750" t="e">
        <f t="shared" si="49"/>
        <v>#DIV/0!</v>
      </c>
      <c r="K4291" s="398"/>
      <c r="L4291" s="398"/>
      <c r="M4291" s="682"/>
    </row>
    <row r="4292" spans="5:13" ht="13.5" hidden="1" thickBot="1" x14ac:dyDescent="0.25">
      <c r="F4292" s="494">
        <v>543</v>
      </c>
      <c r="G4292" s="495" t="s">
        <v>3842</v>
      </c>
      <c r="H4292" s="397"/>
      <c r="I4292" s="397"/>
      <c r="J4292" s="750" t="e">
        <f t="shared" si="49"/>
        <v>#DIV/0!</v>
      </c>
      <c r="K4292" s="398"/>
      <c r="L4292" s="398"/>
      <c r="M4292" s="682"/>
    </row>
    <row r="4293" spans="5:13" ht="39" hidden="1" thickBot="1" x14ac:dyDescent="0.25">
      <c r="F4293" s="494">
        <v>551</v>
      </c>
      <c r="G4293" s="495" t="s">
        <v>4176</v>
      </c>
      <c r="H4293" s="397"/>
      <c r="I4293" s="397"/>
      <c r="J4293" s="750" t="e">
        <f t="shared" si="49"/>
        <v>#DIV/0!</v>
      </c>
      <c r="K4293" s="398"/>
      <c r="L4293" s="398"/>
      <c r="M4293" s="682"/>
    </row>
    <row r="4294" spans="5:13" ht="13.5" hidden="1" thickBot="1" x14ac:dyDescent="0.25">
      <c r="F4294" s="498">
        <v>611</v>
      </c>
      <c r="G4294" s="499" t="s">
        <v>3848</v>
      </c>
      <c r="H4294" s="397"/>
      <c r="I4294" s="397"/>
      <c r="J4294" s="750" t="e">
        <f t="shared" si="49"/>
        <v>#DIV/0!</v>
      </c>
      <c r="K4294" s="398"/>
      <c r="L4294" s="398"/>
      <c r="M4294" s="682"/>
    </row>
    <row r="4295" spans="5:13" ht="13.5" hidden="1" thickBot="1" x14ac:dyDescent="0.25">
      <c r="F4295" s="498">
        <v>620</v>
      </c>
      <c r="G4295" s="499" t="s">
        <v>88</v>
      </c>
      <c r="H4295" s="397"/>
      <c r="I4295" s="397"/>
      <c r="J4295" s="750" t="e">
        <f t="shared" si="49"/>
        <v>#DIV/0!</v>
      </c>
      <c r="K4295" s="398"/>
      <c r="L4295" s="398"/>
      <c r="M4295" s="682"/>
    </row>
    <row r="4296" spans="5:13" x14ac:dyDescent="0.2">
      <c r="E4296" s="500"/>
      <c r="F4296" s="498"/>
      <c r="G4296" s="509" t="s">
        <v>4366</v>
      </c>
      <c r="H4296" s="400"/>
      <c r="I4296" s="400"/>
      <c r="J4296" s="750"/>
      <c r="K4296" s="401"/>
      <c r="L4296" s="402"/>
      <c r="M4296" s="682"/>
    </row>
    <row r="4297" spans="5:13" ht="11.25" customHeight="1" x14ac:dyDescent="0.2">
      <c r="E4297" s="502"/>
      <c r="F4297" s="503" t="s">
        <v>234</v>
      </c>
      <c r="G4297" s="504" t="s">
        <v>235</v>
      </c>
      <c r="H4297" s="403">
        <f>SUM(H4236:H4295)</f>
        <v>4657000</v>
      </c>
      <c r="I4297" s="403">
        <f>SUM(I4236:I4270)</f>
        <v>3009569.27</v>
      </c>
      <c r="J4297" s="750">
        <f t="shared" si="49"/>
        <v>64.624635387588583</v>
      </c>
      <c r="K4297" s="404"/>
      <c r="L4297" s="404"/>
      <c r="M4297" s="682"/>
    </row>
    <row r="4298" spans="5:13" hidden="1" x14ac:dyDescent="0.2">
      <c r="F4298" s="503" t="s">
        <v>236</v>
      </c>
      <c r="G4298" s="504" t="s">
        <v>237</v>
      </c>
      <c r="H4298" s="397"/>
      <c r="I4298" s="397"/>
      <c r="J4298" s="750" t="e">
        <f t="shared" si="49"/>
        <v>#DIV/0!</v>
      </c>
      <c r="K4298" s="398"/>
      <c r="L4298" s="404"/>
      <c r="M4298" s="682"/>
    </row>
    <row r="4299" spans="5:13" hidden="1" x14ac:dyDescent="0.2">
      <c r="F4299" s="503" t="s">
        <v>238</v>
      </c>
      <c r="G4299" s="504" t="s">
        <v>239</v>
      </c>
      <c r="H4299" s="397"/>
      <c r="I4299" s="397"/>
      <c r="J4299" s="750" t="e">
        <f t="shared" si="49"/>
        <v>#DIV/0!</v>
      </c>
      <c r="K4299" s="398"/>
      <c r="L4299" s="404"/>
      <c r="M4299" s="682"/>
    </row>
    <row r="4300" spans="5:13" hidden="1" x14ac:dyDescent="0.2">
      <c r="F4300" s="503" t="s">
        <v>240</v>
      </c>
      <c r="G4300" s="504" t="s">
        <v>241</v>
      </c>
      <c r="H4300" s="397"/>
      <c r="I4300" s="397"/>
      <c r="J4300" s="750" t="e">
        <f t="shared" si="49"/>
        <v>#DIV/0!</v>
      </c>
      <c r="K4300" s="398"/>
      <c r="L4300" s="404"/>
      <c r="M4300" s="682"/>
    </row>
    <row r="4301" spans="5:13" hidden="1" x14ac:dyDescent="0.2">
      <c r="F4301" s="503" t="s">
        <v>242</v>
      </c>
      <c r="G4301" s="504" t="s">
        <v>243</v>
      </c>
      <c r="H4301" s="397"/>
      <c r="I4301" s="397"/>
      <c r="J4301" s="750" t="e">
        <f t="shared" ref="J4301:J4364" si="50">SUM(I4301/H4301)*100</f>
        <v>#DIV/0!</v>
      </c>
      <c r="K4301" s="398"/>
      <c r="L4301" s="404"/>
      <c r="M4301" s="682"/>
    </row>
    <row r="4302" spans="5:13" hidden="1" x14ac:dyDescent="0.2">
      <c r="F4302" s="503" t="s">
        <v>244</v>
      </c>
      <c r="G4302" s="504" t="s">
        <v>245</v>
      </c>
      <c r="H4302" s="397"/>
      <c r="I4302" s="397"/>
      <c r="J4302" s="750" t="e">
        <f t="shared" si="50"/>
        <v>#DIV/0!</v>
      </c>
      <c r="K4302" s="398"/>
      <c r="L4302" s="404"/>
      <c r="M4302" s="682"/>
    </row>
    <row r="4303" spans="5:13" hidden="1" x14ac:dyDescent="0.2">
      <c r="F4303" s="503" t="s">
        <v>246</v>
      </c>
      <c r="G4303" s="504" t="s">
        <v>247</v>
      </c>
      <c r="H4303" s="397"/>
      <c r="I4303" s="397"/>
      <c r="J4303" s="750" t="e">
        <f t="shared" si="50"/>
        <v>#DIV/0!</v>
      </c>
      <c r="K4303" s="398"/>
      <c r="L4303" s="404"/>
      <c r="M4303" s="682"/>
    </row>
    <row r="4304" spans="5:13" ht="25.5" hidden="1" x14ac:dyDescent="0.2">
      <c r="F4304" s="503" t="s">
        <v>248</v>
      </c>
      <c r="G4304" s="504" t="s">
        <v>249</v>
      </c>
      <c r="H4304" s="397"/>
      <c r="I4304" s="397"/>
      <c r="J4304" s="750" t="e">
        <f t="shared" si="50"/>
        <v>#DIV/0!</v>
      </c>
      <c r="K4304" s="398"/>
      <c r="L4304" s="404"/>
      <c r="M4304" s="682"/>
    </row>
    <row r="4305" spans="5:13" hidden="1" x14ac:dyDescent="0.2">
      <c r="F4305" s="503" t="s">
        <v>250</v>
      </c>
      <c r="G4305" s="504" t="s">
        <v>57</v>
      </c>
      <c r="H4305" s="397"/>
      <c r="I4305" s="397"/>
      <c r="J4305" s="750" t="e">
        <f t="shared" si="50"/>
        <v>#DIV/0!</v>
      </c>
      <c r="K4305" s="398"/>
      <c r="L4305" s="404"/>
      <c r="M4305" s="682"/>
    </row>
    <row r="4306" spans="5:13" hidden="1" x14ac:dyDescent="0.2">
      <c r="F4306" s="503" t="s">
        <v>251</v>
      </c>
      <c r="G4306" s="504" t="s">
        <v>252</v>
      </c>
      <c r="H4306" s="397"/>
      <c r="I4306" s="397"/>
      <c r="J4306" s="750" t="e">
        <f t="shared" si="50"/>
        <v>#DIV/0!</v>
      </c>
      <c r="K4306" s="398"/>
      <c r="L4306" s="404"/>
      <c r="M4306" s="682"/>
    </row>
    <row r="4307" spans="5:13" hidden="1" x14ac:dyDescent="0.2">
      <c r="F4307" s="503" t="s">
        <v>253</v>
      </c>
      <c r="G4307" s="504" t="s">
        <v>254</v>
      </c>
      <c r="H4307" s="397"/>
      <c r="I4307" s="397"/>
      <c r="J4307" s="750" t="e">
        <f t="shared" si="50"/>
        <v>#DIV/0!</v>
      </c>
      <c r="K4307" s="398"/>
      <c r="L4307" s="404"/>
      <c r="M4307" s="682"/>
    </row>
    <row r="4308" spans="5:13" ht="25.5" hidden="1" x14ac:dyDescent="0.2">
      <c r="F4308" s="503" t="s">
        <v>255</v>
      </c>
      <c r="G4308" s="504" t="s">
        <v>256</v>
      </c>
      <c r="H4308" s="397"/>
      <c r="I4308" s="397"/>
      <c r="J4308" s="750" t="e">
        <f t="shared" si="50"/>
        <v>#DIV/0!</v>
      </c>
      <c r="K4308" s="398"/>
      <c r="L4308" s="404"/>
      <c r="M4308" s="682"/>
    </row>
    <row r="4309" spans="5:13" ht="25.5" hidden="1" x14ac:dyDescent="0.2">
      <c r="F4309" s="503" t="s">
        <v>257</v>
      </c>
      <c r="G4309" s="504" t="s">
        <v>258</v>
      </c>
      <c r="H4309" s="397"/>
      <c r="I4309" s="397"/>
      <c r="J4309" s="750" t="e">
        <f t="shared" si="50"/>
        <v>#DIV/0!</v>
      </c>
      <c r="K4309" s="398"/>
      <c r="L4309" s="404"/>
      <c r="M4309" s="682"/>
    </row>
    <row r="4310" spans="5:13" ht="25.5" hidden="1" x14ac:dyDescent="0.2">
      <c r="F4310" s="503" t="s">
        <v>259</v>
      </c>
      <c r="G4310" s="504" t="s">
        <v>260</v>
      </c>
      <c r="H4310" s="397"/>
      <c r="I4310" s="397"/>
      <c r="J4310" s="750" t="e">
        <f t="shared" si="50"/>
        <v>#DIV/0!</v>
      </c>
      <c r="K4310" s="398"/>
      <c r="L4310" s="404"/>
      <c r="M4310" s="682"/>
    </row>
    <row r="4311" spans="5:13" ht="25.5" hidden="1" x14ac:dyDescent="0.2">
      <c r="F4311" s="503" t="s">
        <v>261</v>
      </c>
      <c r="G4311" s="504" t="s">
        <v>262</v>
      </c>
      <c r="H4311" s="397"/>
      <c r="I4311" s="397"/>
      <c r="J4311" s="750" t="e">
        <f t="shared" si="50"/>
        <v>#DIV/0!</v>
      </c>
      <c r="K4311" s="398"/>
      <c r="L4311" s="404"/>
      <c r="M4311" s="682"/>
    </row>
    <row r="4312" spans="5:13" ht="13.5" customHeight="1" thickBot="1" x14ac:dyDescent="0.25">
      <c r="F4312" s="549" t="s">
        <v>246</v>
      </c>
      <c r="G4312" s="504" t="s">
        <v>5306</v>
      </c>
      <c r="H4312" s="403"/>
      <c r="I4312" s="403"/>
      <c r="J4312" s="750"/>
      <c r="K4312" s="404"/>
      <c r="L4312" s="404">
        <f>SUM(L4270)</f>
        <v>0</v>
      </c>
      <c r="M4312" s="682"/>
    </row>
    <row r="4313" spans="5:13" ht="13.5" thickBot="1" x14ac:dyDescent="0.25">
      <c r="G4313" s="505" t="s">
        <v>4367</v>
      </c>
      <c r="H4313" s="405">
        <f>SUM(H4297:H4312)</f>
        <v>4657000</v>
      </c>
      <c r="I4313" s="405">
        <f>SUM(I4236:I4270)</f>
        <v>3009569.27</v>
      </c>
      <c r="J4313" s="750">
        <f t="shared" si="50"/>
        <v>64.624635387588583</v>
      </c>
      <c r="K4313" s="406">
        <f>SUM(K4298:K4312)</f>
        <v>0</v>
      </c>
      <c r="L4313" s="406">
        <f>SUM(L4312)</f>
        <v>0</v>
      </c>
      <c r="M4313" s="682"/>
    </row>
    <row r="4314" spans="5:13" ht="15" customHeight="1" collapsed="1" x14ac:dyDescent="0.2">
      <c r="E4314" s="500"/>
      <c r="F4314" s="498"/>
      <c r="G4314" s="506" t="s">
        <v>4252</v>
      </c>
      <c r="H4314" s="407"/>
      <c r="I4314" s="408"/>
      <c r="J4314" s="750"/>
      <c r="K4314" s="409"/>
      <c r="L4314" s="410"/>
      <c r="M4314" s="682"/>
    </row>
    <row r="4315" spans="5:13" ht="11.25" customHeight="1" thickBot="1" x14ac:dyDescent="0.25">
      <c r="E4315" s="502"/>
      <c r="F4315" s="503" t="s">
        <v>234</v>
      </c>
      <c r="G4315" s="504" t="s">
        <v>235</v>
      </c>
      <c r="H4315" s="403">
        <f>SUM(H4236:H4295)</f>
        <v>4657000</v>
      </c>
      <c r="I4315" s="403">
        <f>SUM(I4313)</f>
        <v>3009569.27</v>
      </c>
      <c r="J4315" s="750">
        <f t="shared" si="50"/>
        <v>64.624635387588583</v>
      </c>
      <c r="K4315" s="404"/>
      <c r="L4315" s="404"/>
      <c r="M4315" s="682"/>
    </row>
    <row r="4316" spans="5:13" ht="13.5" hidden="1" thickBot="1" x14ac:dyDescent="0.25">
      <c r="F4316" s="503" t="s">
        <v>236</v>
      </c>
      <c r="G4316" s="504" t="s">
        <v>237</v>
      </c>
      <c r="H4316" s="397"/>
      <c r="I4316" s="397"/>
      <c r="J4316" s="750" t="e">
        <f t="shared" si="50"/>
        <v>#DIV/0!</v>
      </c>
      <c r="K4316" s="398"/>
      <c r="L4316" s="404"/>
      <c r="M4316" s="682"/>
    </row>
    <row r="4317" spans="5:13" ht="13.5" hidden="1" thickBot="1" x14ac:dyDescent="0.25">
      <c r="F4317" s="503" t="s">
        <v>238</v>
      </c>
      <c r="G4317" s="504" t="s">
        <v>239</v>
      </c>
      <c r="H4317" s="397"/>
      <c r="I4317" s="397"/>
      <c r="J4317" s="750" t="e">
        <f t="shared" si="50"/>
        <v>#DIV/0!</v>
      </c>
      <c r="K4317" s="398"/>
      <c r="L4317" s="404"/>
      <c r="M4317" s="682"/>
    </row>
    <row r="4318" spans="5:13" ht="13.5" hidden="1" thickBot="1" x14ac:dyDescent="0.25">
      <c r="F4318" s="503" t="s">
        <v>240</v>
      </c>
      <c r="G4318" s="504" t="s">
        <v>241</v>
      </c>
      <c r="H4318" s="397"/>
      <c r="I4318" s="397"/>
      <c r="J4318" s="750" t="e">
        <f t="shared" si="50"/>
        <v>#DIV/0!</v>
      </c>
      <c r="K4318" s="398"/>
      <c r="L4318" s="404"/>
      <c r="M4318" s="682"/>
    </row>
    <row r="4319" spans="5:13" ht="13.5" hidden="1" thickBot="1" x14ac:dyDescent="0.25">
      <c r="F4319" s="503" t="s">
        <v>242</v>
      </c>
      <c r="G4319" s="504" t="s">
        <v>243</v>
      </c>
      <c r="H4319" s="397"/>
      <c r="I4319" s="397"/>
      <c r="J4319" s="750" t="e">
        <f t="shared" si="50"/>
        <v>#DIV/0!</v>
      </c>
      <c r="K4319" s="398"/>
      <c r="L4319" s="404"/>
      <c r="M4319" s="682"/>
    </row>
    <row r="4320" spans="5:13" ht="13.5" hidden="1" thickBot="1" x14ac:dyDescent="0.25">
      <c r="F4320" s="503" t="s">
        <v>244</v>
      </c>
      <c r="G4320" s="504" t="s">
        <v>245</v>
      </c>
      <c r="H4320" s="397"/>
      <c r="I4320" s="397"/>
      <c r="J4320" s="750" t="e">
        <f t="shared" si="50"/>
        <v>#DIV/0!</v>
      </c>
      <c r="K4320" s="398"/>
      <c r="L4320" s="404"/>
      <c r="M4320" s="682"/>
    </row>
    <row r="4321" spans="1:27" ht="13.5" hidden="1" thickBot="1" x14ac:dyDescent="0.25">
      <c r="F4321" s="503" t="s">
        <v>246</v>
      </c>
      <c r="G4321" s="504" t="s">
        <v>247</v>
      </c>
      <c r="H4321" s="397"/>
      <c r="I4321" s="397"/>
      <c r="J4321" s="750" t="e">
        <f t="shared" si="50"/>
        <v>#DIV/0!</v>
      </c>
      <c r="K4321" s="398"/>
      <c r="L4321" s="404"/>
      <c r="M4321" s="682"/>
    </row>
    <row r="4322" spans="1:27" ht="26.25" hidden="1" thickBot="1" x14ac:dyDescent="0.25">
      <c r="F4322" s="503" t="s">
        <v>248</v>
      </c>
      <c r="G4322" s="504" t="s">
        <v>249</v>
      </c>
      <c r="H4322" s="397"/>
      <c r="I4322" s="397"/>
      <c r="J4322" s="750" t="e">
        <f t="shared" si="50"/>
        <v>#DIV/0!</v>
      </c>
      <c r="K4322" s="398"/>
      <c r="L4322" s="404"/>
      <c r="M4322" s="682"/>
    </row>
    <row r="4323" spans="1:27" ht="13.5" hidden="1" thickBot="1" x14ac:dyDescent="0.25">
      <c r="F4323" s="503" t="s">
        <v>250</v>
      </c>
      <c r="G4323" s="504" t="s">
        <v>57</v>
      </c>
      <c r="H4323" s="397"/>
      <c r="I4323" s="397"/>
      <c r="J4323" s="750" t="e">
        <f t="shared" si="50"/>
        <v>#DIV/0!</v>
      </c>
      <c r="K4323" s="398"/>
      <c r="L4323" s="404"/>
      <c r="M4323" s="682"/>
    </row>
    <row r="4324" spans="1:27" ht="13.5" hidden="1" thickBot="1" x14ac:dyDescent="0.25">
      <c r="F4324" s="503" t="s">
        <v>251</v>
      </c>
      <c r="G4324" s="504" t="s">
        <v>252</v>
      </c>
      <c r="H4324" s="397"/>
      <c r="I4324" s="397"/>
      <c r="J4324" s="750" t="e">
        <f t="shared" si="50"/>
        <v>#DIV/0!</v>
      </c>
      <c r="K4324" s="398"/>
      <c r="L4324" s="404"/>
      <c r="M4324" s="682"/>
    </row>
    <row r="4325" spans="1:27" ht="13.5" hidden="1" thickBot="1" x14ac:dyDescent="0.25">
      <c r="F4325" s="503" t="s">
        <v>253</v>
      </c>
      <c r="G4325" s="504" t="s">
        <v>254</v>
      </c>
      <c r="H4325" s="397"/>
      <c r="I4325" s="397"/>
      <c r="J4325" s="750" t="e">
        <f t="shared" si="50"/>
        <v>#DIV/0!</v>
      </c>
      <c r="K4325" s="398"/>
      <c r="L4325" s="404"/>
      <c r="M4325" s="682"/>
    </row>
    <row r="4326" spans="1:27" ht="26.25" hidden="1" thickBot="1" x14ac:dyDescent="0.25">
      <c r="F4326" s="503" t="s">
        <v>255</v>
      </c>
      <c r="G4326" s="504" t="s">
        <v>256</v>
      </c>
      <c r="H4326" s="397"/>
      <c r="I4326" s="397"/>
      <c r="J4326" s="750" t="e">
        <f t="shared" si="50"/>
        <v>#DIV/0!</v>
      </c>
      <c r="K4326" s="398"/>
      <c r="L4326" s="404"/>
      <c r="M4326" s="682"/>
    </row>
    <row r="4327" spans="1:27" ht="26.25" hidden="1" thickBot="1" x14ac:dyDescent="0.25">
      <c r="F4327" s="503" t="s">
        <v>257</v>
      </c>
      <c r="G4327" s="504" t="s">
        <v>258</v>
      </c>
      <c r="H4327" s="397"/>
      <c r="I4327" s="397"/>
      <c r="J4327" s="750" t="e">
        <f t="shared" si="50"/>
        <v>#DIV/0!</v>
      </c>
      <c r="K4327" s="398"/>
      <c r="L4327" s="404"/>
      <c r="M4327" s="682"/>
    </row>
    <row r="4328" spans="1:27" ht="26.25" hidden="1" thickBot="1" x14ac:dyDescent="0.25">
      <c r="F4328" s="503" t="s">
        <v>259</v>
      </c>
      <c r="G4328" s="504" t="s">
        <v>260</v>
      </c>
      <c r="H4328" s="397"/>
      <c r="I4328" s="397"/>
      <c r="J4328" s="750" t="e">
        <f t="shared" si="50"/>
        <v>#DIV/0!</v>
      </c>
      <c r="K4328" s="398"/>
      <c r="L4328" s="404"/>
      <c r="M4328" s="682"/>
    </row>
    <row r="4329" spans="1:27" ht="26.25" hidden="1" thickBot="1" x14ac:dyDescent="0.25">
      <c r="F4329" s="503" t="s">
        <v>261</v>
      </c>
      <c r="G4329" s="504" t="s">
        <v>262</v>
      </c>
      <c r="H4329" s="397"/>
      <c r="I4329" s="397"/>
      <c r="J4329" s="750" t="e">
        <f t="shared" si="50"/>
        <v>#DIV/0!</v>
      </c>
      <c r="K4329" s="398"/>
      <c r="L4329" s="404"/>
      <c r="M4329" s="682"/>
    </row>
    <row r="4330" spans="1:27" ht="13.5" hidden="1" thickBot="1" x14ac:dyDescent="0.25">
      <c r="F4330" s="503" t="s">
        <v>263</v>
      </c>
      <c r="G4330" s="504" t="s">
        <v>264</v>
      </c>
      <c r="H4330" s="403"/>
      <c r="I4330" s="403"/>
      <c r="J4330" s="750" t="e">
        <f t="shared" si="50"/>
        <v>#DIV/0!</v>
      </c>
      <c r="K4330" s="404"/>
      <c r="L4330" s="404"/>
      <c r="M4330" s="682"/>
    </row>
    <row r="4331" spans="1:27" ht="15" customHeight="1" collapsed="1" thickBot="1" x14ac:dyDescent="0.25">
      <c r="G4331" s="505" t="s">
        <v>5115</v>
      </c>
      <c r="H4331" s="405">
        <f>SUM(H4315:H4330)</f>
        <v>4657000</v>
      </c>
      <c r="I4331" s="405">
        <f>SUM(I4315)</f>
        <v>3009569.27</v>
      </c>
      <c r="J4331" s="750">
        <f t="shared" si="50"/>
        <v>64.624635387588583</v>
      </c>
      <c r="K4331" s="406">
        <f>SUM(K4316:K4330)</f>
        <v>0</v>
      </c>
      <c r="L4331" s="406"/>
      <c r="M4331" s="682"/>
    </row>
    <row r="4332" spans="1:27" ht="4.5" hidden="1" customHeight="1" x14ac:dyDescent="0.2">
      <c r="G4332" s="510"/>
      <c r="H4332" s="411"/>
      <c r="I4332" s="411"/>
      <c r="J4332" s="750" t="e">
        <f t="shared" si="50"/>
        <v>#DIV/0!</v>
      </c>
      <c r="K4332" s="412"/>
      <c r="L4332" s="412"/>
      <c r="M4332" s="682"/>
    </row>
    <row r="4333" spans="1:27" s="530" customFormat="1" ht="12.75" hidden="1" customHeight="1" x14ac:dyDescent="0.2">
      <c r="A4333" s="526"/>
      <c r="B4333" s="527"/>
      <c r="C4333" s="528"/>
      <c r="G4333" s="570"/>
      <c r="H4333" s="425"/>
      <c r="I4333" s="425"/>
      <c r="J4333" s="750" t="e">
        <f t="shared" si="50"/>
        <v>#DIV/0!</v>
      </c>
      <c r="K4333" s="243"/>
      <c r="L4333" s="243"/>
      <c r="M4333" s="682"/>
      <c r="N4333" s="171"/>
      <c r="O4333" s="171"/>
      <c r="P4333" s="171"/>
      <c r="Q4333" s="171"/>
      <c r="R4333" s="171"/>
      <c r="S4333" s="171"/>
      <c r="T4333" s="171"/>
      <c r="U4333" s="171"/>
      <c r="V4333" s="171"/>
      <c r="W4333" s="171"/>
      <c r="X4333" s="171"/>
      <c r="Y4333" s="171"/>
      <c r="Z4333" s="171"/>
      <c r="AA4333" s="171"/>
    </row>
    <row r="4334" spans="1:27" ht="15" customHeight="1" x14ac:dyDescent="0.2">
      <c r="C4334" s="489" t="s">
        <v>4114</v>
      </c>
      <c r="D4334" s="490"/>
      <c r="G4334" s="491" t="s">
        <v>5114</v>
      </c>
      <c r="H4334" s="397"/>
      <c r="I4334" s="397"/>
      <c r="J4334" s="750"/>
      <c r="K4334" s="398"/>
      <c r="L4334" s="398"/>
      <c r="M4334" s="682"/>
    </row>
    <row r="4335" spans="1:27" s="530" customFormat="1" ht="14.25" customHeight="1" x14ac:dyDescent="0.2">
      <c r="A4335" s="526"/>
      <c r="B4335" s="527"/>
      <c r="C4335" s="534"/>
      <c r="D4335" s="571" t="s">
        <v>3888</v>
      </c>
      <c r="E4335" s="183"/>
      <c r="F4335" s="183"/>
      <c r="G4335" s="514" t="s">
        <v>4218</v>
      </c>
      <c r="H4335" s="422"/>
      <c r="I4335" s="422"/>
      <c r="J4335" s="750"/>
      <c r="K4335" s="423"/>
      <c r="L4335" s="424"/>
      <c r="M4335" s="682"/>
      <c r="N4335" s="171"/>
      <c r="O4335" s="171"/>
      <c r="P4335" s="171"/>
      <c r="Q4335" s="171"/>
      <c r="R4335" s="171"/>
      <c r="S4335" s="171"/>
      <c r="T4335" s="171"/>
      <c r="U4335" s="171"/>
      <c r="V4335" s="171"/>
      <c r="W4335" s="171"/>
      <c r="X4335" s="171"/>
      <c r="Y4335" s="171"/>
      <c r="Z4335" s="171"/>
      <c r="AA4335" s="171"/>
    </row>
    <row r="4336" spans="1:27" hidden="1" x14ac:dyDescent="0.2">
      <c r="F4336" s="494">
        <v>411</v>
      </c>
      <c r="G4336" s="495" t="s">
        <v>4167</v>
      </c>
      <c r="H4336" s="397"/>
      <c r="I4336" s="397"/>
      <c r="J4336" s="750" t="e">
        <f t="shared" si="50"/>
        <v>#DIV/0!</v>
      </c>
      <c r="K4336" s="398"/>
      <c r="L4336" s="398"/>
      <c r="M4336" s="682"/>
    </row>
    <row r="4337" spans="6:13" hidden="1" x14ac:dyDescent="0.2">
      <c r="F4337" s="494">
        <v>412</v>
      </c>
      <c r="G4337" s="496" t="s">
        <v>3764</v>
      </c>
      <c r="H4337" s="397"/>
      <c r="I4337" s="397"/>
      <c r="J4337" s="750" t="e">
        <f t="shared" si="50"/>
        <v>#DIV/0!</v>
      </c>
      <c r="K4337" s="398"/>
      <c r="L4337" s="398"/>
      <c r="M4337" s="682"/>
    </row>
    <row r="4338" spans="6:13" hidden="1" x14ac:dyDescent="0.2">
      <c r="F4338" s="494">
        <v>413</v>
      </c>
      <c r="G4338" s="495" t="s">
        <v>4168</v>
      </c>
      <c r="H4338" s="397"/>
      <c r="I4338" s="397"/>
      <c r="J4338" s="750" t="e">
        <f t="shared" si="50"/>
        <v>#DIV/0!</v>
      </c>
      <c r="K4338" s="398"/>
      <c r="L4338" s="398"/>
      <c r="M4338" s="682"/>
    </row>
    <row r="4339" spans="6:13" hidden="1" x14ac:dyDescent="0.2">
      <c r="F4339" s="494">
        <v>414</v>
      </c>
      <c r="G4339" s="495" t="s">
        <v>3767</v>
      </c>
      <c r="H4339" s="397"/>
      <c r="I4339" s="397"/>
      <c r="J4339" s="750" t="e">
        <f t="shared" si="50"/>
        <v>#DIV/0!</v>
      </c>
      <c r="K4339" s="398"/>
      <c r="L4339" s="398"/>
      <c r="M4339" s="682"/>
    </row>
    <row r="4340" spans="6:13" hidden="1" x14ac:dyDescent="0.2">
      <c r="F4340" s="494">
        <v>415</v>
      </c>
      <c r="G4340" s="495" t="s">
        <v>4177</v>
      </c>
      <c r="H4340" s="397"/>
      <c r="I4340" s="397"/>
      <c r="J4340" s="750" t="e">
        <f t="shared" si="50"/>
        <v>#DIV/0!</v>
      </c>
      <c r="K4340" s="398"/>
      <c r="L4340" s="398"/>
      <c r="M4340" s="682"/>
    </row>
    <row r="4341" spans="6:13" ht="25.5" hidden="1" x14ac:dyDescent="0.2">
      <c r="F4341" s="494">
        <v>416</v>
      </c>
      <c r="G4341" s="495" t="s">
        <v>4178</v>
      </c>
      <c r="H4341" s="397"/>
      <c r="I4341" s="397"/>
      <c r="J4341" s="750" t="e">
        <f t="shared" si="50"/>
        <v>#DIV/0!</v>
      </c>
      <c r="K4341" s="398"/>
      <c r="L4341" s="398"/>
      <c r="M4341" s="682"/>
    </row>
    <row r="4342" spans="6:13" hidden="1" x14ac:dyDescent="0.2">
      <c r="F4342" s="494">
        <v>417</v>
      </c>
      <c r="G4342" s="495" t="s">
        <v>4179</v>
      </c>
      <c r="H4342" s="397"/>
      <c r="I4342" s="397"/>
      <c r="J4342" s="750" t="e">
        <f t="shared" si="50"/>
        <v>#DIV/0!</v>
      </c>
      <c r="K4342" s="398"/>
      <c r="L4342" s="398"/>
      <c r="M4342" s="682"/>
    </row>
    <row r="4343" spans="6:13" hidden="1" x14ac:dyDescent="0.2">
      <c r="F4343" s="494">
        <v>418</v>
      </c>
      <c r="G4343" s="495" t="s">
        <v>3773</v>
      </c>
      <c r="H4343" s="397"/>
      <c r="I4343" s="397"/>
      <c r="J4343" s="750" t="e">
        <f t="shared" si="50"/>
        <v>#DIV/0!</v>
      </c>
      <c r="K4343" s="398"/>
      <c r="L4343" s="398"/>
      <c r="M4343" s="682"/>
    </row>
    <row r="4344" spans="6:13" hidden="1" x14ac:dyDescent="0.2">
      <c r="F4344" s="494">
        <v>421</v>
      </c>
      <c r="G4344" s="495" t="s">
        <v>3777</v>
      </c>
      <c r="H4344" s="397"/>
      <c r="I4344" s="397"/>
      <c r="J4344" s="750" t="e">
        <f t="shared" si="50"/>
        <v>#DIV/0!</v>
      </c>
      <c r="K4344" s="398"/>
      <c r="L4344" s="398"/>
      <c r="M4344" s="682"/>
    </row>
    <row r="4345" spans="6:13" hidden="1" x14ac:dyDescent="0.2">
      <c r="F4345" s="494">
        <v>422</v>
      </c>
      <c r="G4345" s="495" t="s">
        <v>3778</v>
      </c>
      <c r="H4345" s="397"/>
      <c r="I4345" s="397"/>
      <c r="J4345" s="750" t="e">
        <f t="shared" si="50"/>
        <v>#DIV/0!</v>
      </c>
      <c r="K4345" s="398"/>
      <c r="L4345" s="398"/>
      <c r="M4345" s="682"/>
    </row>
    <row r="4346" spans="6:13" hidden="1" x14ac:dyDescent="0.2">
      <c r="F4346" s="494">
        <v>423</v>
      </c>
      <c r="G4346" s="495" t="s">
        <v>3779</v>
      </c>
      <c r="H4346" s="397"/>
      <c r="I4346" s="397"/>
      <c r="J4346" s="750" t="e">
        <f t="shared" si="50"/>
        <v>#DIV/0!</v>
      </c>
      <c r="K4346" s="398"/>
      <c r="L4346" s="398"/>
      <c r="M4346" s="682"/>
    </row>
    <row r="4347" spans="6:13" hidden="1" x14ac:dyDescent="0.2">
      <c r="F4347" s="494">
        <v>424</v>
      </c>
      <c r="G4347" s="495" t="s">
        <v>3781</v>
      </c>
      <c r="H4347" s="397"/>
      <c r="I4347" s="397"/>
      <c r="J4347" s="750" t="e">
        <f t="shared" si="50"/>
        <v>#DIV/0!</v>
      </c>
      <c r="K4347" s="398"/>
      <c r="L4347" s="398"/>
      <c r="M4347" s="682"/>
    </row>
    <row r="4348" spans="6:13" hidden="1" x14ac:dyDescent="0.2">
      <c r="F4348" s="494">
        <v>425</v>
      </c>
      <c r="G4348" s="495" t="s">
        <v>4180</v>
      </c>
      <c r="H4348" s="397"/>
      <c r="I4348" s="397"/>
      <c r="J4348" s="750" t="e">
        <f t="shared" si="50"/>
        <v>#DIV/0!</v>
      </c>
      <c r="K4348" s="398"/>
      <c r="L4348" s="398"/>
      <c r="M4348" s="682"/>
    </row>
    <row r="4349" spans="6:13" hidden="1" x14ac:dyDescent="0.2">
      <c r="F4349" s="494">
        <v>426</v>
      </c>
      <c r="G4349" s="495" t="s">
        <v>3785</v>
      </c>
      <c r="H4349" s="397"/>
      <c r="I4349" s="397"/>
      <c r="J4349" s="750" t="e">
        <f t="shared" si="50"/>
        <v>#DIV/0!</v>
      </c>
      <c r="K4349" s="398"/>
      <c r="L4349" s="398"/>
      <c r="M4349" s="682"/>
    </row>
    <row r="4350" spans="6:13" hidden="1" x14ac:dyDescent="0.2">
      <c r="F4350" s="494">
        <v>431</v>
      </c>
      <c r="G4350" s="495" t="s">
        <v>4181</v>
      </c>
      <c r="H4350" s="397"/>
      <c r="I4350" s="397"/>
      <c r="J4350" s="750" t="e">
        <f t="shared" si="50"/>
        <v>#DIV/0!</v>
      </c>
      <c r="K4350" s="398"/>
      <c r="L4350" s="398"/>
      <c r="M4350" s="682"/>
    </row>
    <row r="4351" spans="6:13" hidden="1" x14ac:dyDescent="0.2">
      <c r="F4351" s="494">
        <v>432</v>
      </c>
      <c r="G4351" s="495" t="s">
        <v>4182</v>
      </c>
      <c r="H4351" s="397"/>
      <c r="I4351" s="397"/>
      <c r="J4351" s="750" t="e">
        <f t="shared" si="50"/>
        <v>#DIV/0!</v>
      </c>
      <c r="K4351" s="398"/>
      <c r="L4351" s="398"/>
      <c r="M4351" s="682"/>
    </row>
    <row r="4352" spans="6:13" hidden="1" x14ac:dyDescent="0.2">
      <c r="F4352" s="494">
        <v>433</v>
      </c>
      <c r="G4352" s="495" t="s">
        <v>4183</v>
      </c>
      <c r="H4352" s="397"/>
      <c r="I4352" s="397"/>
      <c r="J4352" s="750" t="e">
        <f t="shared" si="50"/>
        <v>#DIV/0!</v>
      </c>
      <c r="K4352" s="398"/>
      <c r="L4352" s="398"/>
      <c r="M4352" s="682"/>
    </row>
    <row r="4353" spans="6:13" hidden="1" x14ac:dyDescent="0.2">
      <c r="F4353" s="494">
        <v>434</v>
      </c>
      <c r="G4353" s="495" t="s">
        <v>4184</v>
      </c>
      <c r="H4353" s="397"/>
      <c r="I4353" s="397"/>
      <c r="J4353" s="750" t="e">
        <f t="shared" si="50"/>
        <v>#DIV/0!</v>
      </c>
      <c r="K4353" s="398"/>
      <c r="L4353" s="398"/>
      <c r="M4353" s="682"/>
    </row>
    <row r="4354" spans="6:13" hidden="1" x14ac:dyDescent="0.2">
      <c r="F4354" s="494">
        <v>435</v>
      </c>
      <c r="G4354" s="495" t="s">
        <v>3792</v>
      </c>
      <c r="H4354" s="397"/>
      <c r="I4354" s="397"/>
      <c r="J4354" s="750" t="e">
        <f t="shared" si="50"/>
        <v>#DIV/0!</v>
      </c>
      <c r="K4354" s="398"/>
      <c r="L4354" s="398"/>
      <c r="M4354" s="682"/>
    </row>
    <row r="4355" spans="6:13" hidden="1" x14ac:dyDescent="0.2">
      <c r="F4355" s="494">
        <v>441</v>
      </c>
      <c r="G4355" s="495" t="s">
        <v>4185</v>
      </c>
      <c r="H4355" s="397"/>
      <c r="I4355" s="397"/>
      <c r="J4355" s="750" t="e">
        <f t="shared" si="50"/>
        <v>#DIV/0!</v>
      </c>
      <c r="K4355" s="398"/>
      <c r="L4355" s="398"/>
      <c r="M4355" s="682"/>
    </row>
    <row r="4356" spans="6:13" hidden="1" x14ac:dyDescent="0.2">
      <c r="F4356" s="494">
        <v>442</v>
      </c>
      <c r="G4356" s="495" t="s">
        <v>4186</v>
      </c>
      <c r="H4356" s="397"/>
      <c r="I4356" s="397"/>
      <c r="J4356" s="750" t="e">
        <f t="shared" si="50"/>
        <v>#DIV/0!</v>
      </c>
      <c r="K4356" s="398"/>
      <c r="L4356" s="398"/>
      <c r="M4356" s="682"/>
    </row>
    <row r="4357" spans="6:13" hidden="1" x14ac:dyDescent="0.2">
      <c r="F4357" s="494">
        <v>443</v>
      </c>
      <c r="G4357" s="495" t="s">
        <v>3797</v>
      </c>
      <c r="H4357" s="397"/>
      <c r="I4357" s="397"/>
      <c r="J4357" s="750" t="e">
        <f t="shared" si="50"/>
        <v>#DIV/0!</v>
      </c>
      <c r="K4357" s="398"/>
      <c r="L4357" s="398"/>
      <c r="M4357" s="682"/>
    </row>
    <row r="4358" spans="6:13" hidden="1" x14ac:dyDescent="0.2">
      <c r="F4358" s="494">
        <v>444</v>
      </c>
      <c r="G4358" s="495" t="s">
        <v>3798</v>
      </c>
      <c r="H4358" s="397"/>
      <c r="I4358" s="397"/>
      <c r="J4358" s="750" t="e">
        <f t="shared" si="50"/>
        <v>#DIV/0!</v>
      </c>
      <c r="K4358" s="398"/>
      <c r="L4358" s="398"/>
      <c r="M4358" s="682"/>
    </row>
    <row r="4359" spans="6:13" ht="25.5" hidden="1" x14ac:dyDescent="0.2">
      <c r="F4359" s="494">
        <v>4511</v>
      </c>
      <c r="G4359" s="466" t="s">
        <v>1692</v>
      </c>
      <c r="H4359" s="397"/>
      <c r="I4359" s="397"/>
      <c r="J4359" s="750" t="e">
        <f t="shared" si="50"/>
        <v>#DIV/0!</v>
      </c>
      <c r="K4359" s="398"/>
      <c r="L4359" s="398"/>
      <c r="M4359" s="682"/>
    </row>
    <row r="4360" spans="6:13" ht="25.5" hidden="1" x14ac:dyDescent="0.2">
      <c r="F4360" s="494">
        <v>4512</v>
      </c>
      <c r="G4360" s="466" t="s">
        <v>1701</v>
      </c>
      <c r="H4360" s="397"/>
      <c r="I4360" s="397"/>
      <c r="J4360" s="750" t="e">
        <f t="shared" si="50"/>
        <v>#DIV/0!</v>
      </c>
      <c r="K4360" s="398"/>
      <c r="L4360" s="398"/>
      <c r="M4360" s="682"/>
    </row>
    <row r="4361" spans="6:13" ht="25.5" hidden="1" x14ac:dyDescent="0.2">
      <c r="F4361" s="494">
        <v>452</v>
      </c>
      <c r="G4361" s="495" t="s">
        <v>4187</v>
      </c>
      <c r="H4361" s="397"/>
      <c r="I4361" s="397"/>
      <c r="J4361" s="750" t="e">
        <f t="shared" si="50"/>
        <v>#DIV/0!</v>
      </c>
      <c r="K4361" s="398"/>
      <c r="L4361" s="398"/>
      <c r="M4361" s="682"/>
    </row>
    <row r="4362" spans="6:13" ht="25.5" hidden="1" x14ac:dyDescent="0.2">
      <c r="F4362" s="494">
        <v>453</v>
      </c>
      <c r="G4362" s="495" t="s">
        <v>4188</v>
      </c>
      <c r="H4362" s="397"/>
      <c r="I4362" s="397"/>
      <c r="J4362" s="750" t="e">
        <f t="shared" si="50"/>
        <v>#DIV/0!</v>
      </c>
      <c r="K4362" s="398"/>
      <c r="L4362" s="398"/>
      <c r="M4362" s="682"/>
    </row>
    <row r="4363" spans="6:13" hidden="1" x14ac:dyDescent="0.2">
      <c r="F4363" s="494">
        <v>454</v>
      </c>
      <c r="G4363" s="495" t="s">
        <v>3803</v>
      </c>
      <c r="H4363" s="397"/>
      <c r="I4363" s="397"/>
      <c r="J4363" s="750" t="e">
        <f t="shared" si="50"/>
        <v>#DIV/0!</v>
      </c>
      <c r="K4363" s="398"/>
      <c r="L4363" s="398"/>
      <c r="M4363" s="682"/>
    </row>
    <row r="4364" spans="6:13" hidden="1" x14ac:dyDescent="0.2">
      <c r="F4364" s="494">
        <v>461</v>
      </c>
      <c r="G4364" s="495" t="s">
        <v>4169</v>
      </c>
      <c r="H4364" s="397"/>
      <c r="I4364" s="397"/>
      <c r="J4364" s="750" t="e">
        <f t="shared" si="50"/>
        <v>#DIV/0!</v>
      </c>
      <c r="K4364" s="398"/>
      <c r="L4364" s="398"/>
      <c r="M4364" s="682"/>
    </row>
    <row r="4365" spans="6:13" ht="25.5" hidden="1" x14ac:dyDescent="0.2">
      <c r="F4365" s="494">
        <v>462</v>
      </c>
      <c r="G4365" s="495" t="s">
        <v>3806</v>
      </c>
      <c r="H4365" s="397"/>
      <c r="I4365" s="397"/>
      <c r="J4365" s="750" t="e">
        <f t="shared" ref="J4365:J4428" si="51">SUM(I4365/H4365)*100</f>
        <v>#DIV/0!</v>
      </c>
      <c r="K4365" s="398"/>
      <c r="L4365" s="398"/>
      <c r="M4365" s="682"/>
    </row>
    <row r="4366" spans="6:13" hidden="1" x14ac:dyDescent="0.2">
      <c r="F4366" s="494">
        <v>4631</v>
      </c>
      <c r="G4366" s="495" t="s">
        <v>3807</v>
      </c>
      <c r="H4366" s="397"/>
      <c r="I4366" s="397"/>
      <c r="J4366" s="750" t="e">
        <f t="shared" si="51"/>
        <v>#DIV/0!</v>
      </c>
      <c r="K4366" s="398"/>
      <c r="L4366" s="398"/>
      <c r="M4366" s="682"/>
    </row>
    <row r="4367" spans="6:13" hidden="1" x14ac:dyDescent="0.2">
      <c r="F4367" s="494">
        <v>4632</v>
      </c>
      <c r="G4367" s="495" t="s">
        <v>3808</v>
      </c>
      <c r="H4367" s="397"/>
      <c r="I4367" s="397"/>
      <c r="J4367" s="750" t="e">
        <f t="shared" si="51"/>
        <v>#DIV/0!</v>
      </c>
      <c r="K4367" s="398"/>
      <c r="L4367" s="398"/>
      <c r="M4367" s="682"/>
    </row>
    <row r="4368" spans="6:13" ht="25.5" hidden="1" x14ac:dyDescent="0.2">
      <c r="F4368" s="494">
        <v>464</v>
      </c>
      <c r="G4368" s="495" t="s">
        <v>3809</v>
      </c>
      <c r="H4368" s="397"/>
      <c r="I4368" s="397"/>
      <c r="J4368" s="750" t="e">
        <f t="shared" si="51"/>
        <v>#DIV/0!</v>
      </c>
      <c r="K4368" s="398"/>
      <c r="L4368" s="398"/>
      <c r="M4368" s="682"/>
    </row>
    <row r="4369" spans="5:13" hidden="1" x14ac:dyDescent="0.2">
      <c r="F4369" s="494">
        <v>465</v>
      </c>
      <c r="G4369" s="495" t="s">
        <v>4170</v>
      </c>
      <c r="H4369" s="397"/>
      <c r="I4369" s="397"/>
      <c r="J4369" s="750" t="e">
        <f t="shared" si="51"/>
        <v>#DIV/0!</v>
      </c>
      <c r="K4369" s="398"/>
      <c r="L4369" s="398"/>
      <c r="M4369" s="682"/>
    </row>
    <row r="4370" spans="5:13" ht="13.5" thickBot="1" x14ac:dyDescent="0.25">
      <c r="E4370" s="464">
        <v>50</v>
      </c>
      <c r="F4370" s="494">
        <v>4631</v>
      </c>
      <c r="G4370" s="495" t="s">
        <v>3807</v>
      </c>
      <c r="H4370" s="397">
        <v>600000</v>
      </c>
      <c r="I4370" s="397">
        <v>276510</v>
      </c>
      <c r="J4370" s="750">
        <f t="shared" si="51"/>
        <v>46.085000000000001</v>
      </c>
      <c r="K4370" s="398"/>
      <c r="L4370" s="398"/>
      <c r="M4370" s="682"/>
    </row>
    <row r="4371" spans="5:13" ht="13.5" hidden="1" thickBot="1" x14ac:dyDescent="0.25">
      <c r="F4371" s="494">
        <v>481</v>
      </c>
      <c r="G4371" s="495" t="s">
        <v>4189</v>
      </c>
      <c r="H4371" s="397"/>
      <c r="I4371" s="397"/>
      <c r="J4371" s="750" t="e">
        <f t="shared" si="51"/>
        <v>#DIV/0!</v>
      </c>
      <c r="K4371" s="398"/>
      <c r="L4371" s="398"/>
      <c r="M4371" s="682"/>
    </row>
    <row r="4372" spans="5:13" ht="13.5" hidden="1" thickBot="1" x14ac:dyDescent="0.25">
      <c r="F4372" s="494">
        <v>482</v>
      </c>
      <c r="G4372" s="495" t="s">
        <v>4190</v>
      </c>
      <c r="H4372" s="397"/>
      <c r="I4372" s="397"/>
      <c r="J4372" s="750" t="e">
        <f t="shared" si="51"/>
        <v>#DIV/0!</v>
      </c>
      <c r="K4372" s="398"/>
      <c r="L4372" s="398"/>
      <c r="M4372" s="682"/>
    </row>
    <row r="4373" spans="5:13" ht="13.5" hidden="1" thickBot="1" x14ac:dyDescent="0.25">
      <c r="F4373" s="494">
        <v>483</v>
      </c>
      <c r="G4373" s="497" t="s">
        <v>4191</v>
      </c>
      <c r="H4373" s="397"/>
      <c r="I4373" s="397"/>
      <c r="J4373" s="750" t="e">
        <f t="shared" si="51"/>
        <v>#DIV/0!</v>
      </c>
      <c r="K4373" s="398"/>
      <c r="L4373" s="398"/>
      <c r="M4373" s="682"/>
    </row>
    <row r="4374" spans="5:13" ht="39" hidden="1" thickBot="1" x14ac:dyDescent="0.25">
      <c r="F4374" s="494">
        <v>484</v>
      </c>
      <c r="G4374" s="495" t="s">
        <v>4192</v>
      </c>
      <c r="H4374" s="397"/>
      <c r="I4374" s="397"/>
      <c r="J4374" s="750" t="e">
        <f t="shared" si="51"/>
        <v>#DIV/0!</v>
      </c>
      <c r="K4374" s="398"/>
      <c r="L4374" s="398"/>
      <c r="M4374" s="682"/>
    </row>
    <row r="4375" spans="5:13" ht="26.25" hidden="1" thickBot="1" x14ac:dyDescent="0.25">
      <c r="F4375" s="494">
        <v>485</v>
      </c>
      <c r="G4375" s="495" t="s">
        <v>4193</v>
      </c>
      <c r="H4375" s="397"/>
      <c r="I4375" s="397"/>
      <c r="J4375" s="750" t="e">
        <f t="shared" si="51"/>
        <v>#DIV/0!</v>
      </c>
      <c r="K4375" s="398"/>
      <c r="L4375" s="398"/>
      <c r="M4375" s="682"/>
    </row>
    <row r="4376" spans="5:13" ht="26.25" hidden="1" thickBot="1" x14ac:dyDescent="0.25">
      <c r="F4376" s="494">
        <v>489</v>
      </c>
      <c r="G4376" s="495" t="s">
        <v>3821</v>
      </c>
      <c r="H4376" s="397"/>
      <c r="I4376" s="397"/>
      <c r="J4376" s="750" t="e">
        <f t="shared" si="51"/>
        <v>#DIV/0!</v>
      </c>
      <c r="K4376" s="398"/>
      <c r="L4376" s="398"/>
      <c r="M4376" s="682"/>
    </row>
    <row r="4377" spans="5:13" ht="26.25" hidden="1" thickBot="1" x14ac:dyDescent="0.25">
      <c r="F4377" s="494">
        <v>494</v>
      </c>
      <c r="G4377" s="495" t="s">
        <v>4171</v>
      </c>
      <c r="H4377" s="397"/>
      <c r="I4377" s="397"/>
      <c r="J4377" s="750" t="e">
        <f t="shared" si="51"/>
        <v>#DIV/0!</v>
      </c>
      <c r="K4377" s="398"/>
      <c r="L4377" s="398"/>
      <c r="M4377" s="682"/>
    </row>
    <row r="4378" spans="5:13" ht="26.25" hidden="1" thickBot="1" x14ac:dyDescent="0.25">
      <c r="F4378" s="494">
        <v>495</v>
      </c>
      <c r="G4378" s="495" t="s">
        <v>4172</v>
      </c>
      <c r="H4378" s="397"/>
      <c r="I4378" s="397"/>
      <c r="J4378" s="750" t="e">
        <f t="shared" si="51"/>
        <v>#DIV/0!</v>
      </c>
      <c r="K4378" s="398"/>
      <c r="L4378" s="398"/>
      <c r="M4378" s="682"/>
    </row>
    <row r="4379" spans="5:13" ht="39" hidden="1" thickBot="1" x14ac:dyDescent="0.25">
      <c r="F4379" s="494">
        <v>496</v>
      </c>
      <c r="G4379" s="495" t="s">
        <v>4173</v>
      </c>
      <c r="H4379" s="397"/>
      <c r="I4379" s="397"/>
      <c r="J4379" s="750" t="e">
        <f t="shared" si="51"/>
        <v>#DIV/0!</v>
      </c>
      <c r="K4379" s="398"/>
      <c r="L4379" s="398"/>
      <c r="M4379" s="682"/>
    </row>
    <row r="4380" spans="5:13" ht="26.25" hidden="1" thickBot="1" x14ac:dyDescent="0.25">
      <c r="F4380" s="494">
        <v>499</v>
      </c>
      <c r="G4380" s="495" t="s">
        <v>4174</v>
      </c>
      <c r="H4380" s="397"/>
      <c r="I4380" s="397"/>
      <c r="J4380" s="750" t="e">
        <f t="shared" si="51"/>
        <v>#DIV/0!</v>
      </c>
      <c r="K4380" s="398"/>
      <c r="L4380" s="398"/>
      <c r="M4380" s="682"/>
    </row>
    <row r="4381" spans="5:13" ht="13.5" hidden="1" thickBot="1" x14ac:dyDescent="0.25">
      <c r="F4381" s="494">
        <v>511</v>
      </c>
      <c r="G4381" s="497" t="s">
        <v>4194</v>
      </c>
      <c r="H4381" s="397"/>
      <c r="I4381" s="397"/>
      <c r="J4381" s="750" t="e">
        <f t="shared" si="51"/>
        <v>#DIV/0!</v>
      </c>
      <c r="K4381" s="398"/>
      <c r="L4381" s="398"/>
      <c r="M4381" s="682"/>
    </row>
    <row r="4382" spans="5:13" ht="13.5" hidden="1" thickBot="1" x14ac:dyDescent="0.25">
      <c r="F4382" s="494">
        <v>512</v>
      </c>
      <c r="G4382" s="497" t="s">
        <v>4195</v>
      </c>
      <c r="H4382" s="397"/>
      <c r="I4382" s="397"/>
      <c r="J4382" s="750" t="e">
        <f t="shared" si="51"/>
        <v>#DIV/0!</v>
      </c>
      <c r="K4382" s="398"/>
      <c r="L4382" s="398"/>
      <c r="M4382" s="682"/>
    </row>
    <row r="4383" spans="5:13" ht="13.5" hidden="1" thickBot="1" x14ac:dyDescent="0.25">
      <c r="F4383" s="494">
        <v>513</v>
      </c>
      <c r="G4383" s="497" t="s">
        <v>4196</v>
      </c>
      <c r="H4383" s="397"/>
      <c r="I4383" s="397"/>
      <c r="J4383" s="750" t="e">
        <f t="shared" si="51"/>
        <v>#DIV/0!</v>
      </c>
      <c r="K4383" s="398"/>
      <c r="L4383" s="398"/>
      <c r="M4383" s="682"/>
    </row>
    <row r="4384" spans="5:13" ht="13.5" hidden="1" thickBot="1" x14ac:dyDescent="0.25">
      <c r="F4384" s="494">
        <v>514</v>
      </c>
      <c r="G4384" s="495" t="s">
        <v>4197</v>
      </c>
      <c r="H4384" s="397"/>
      <c r="I4384" s="397"/>
      <c r="J4384" s="750" t="e">
        <f t="shared" si="51"/>
        <v>#DIV/0!</v>
      </c>
      <c r="K4384" s="398"/>
      <c r="L4384" s="398"/>
      <c r="M4384" s="682"/>
    </row>
    <row r="4385" spans="5:13" ht="13.5" hidden="1" thickBot="1" x14ac:dyDescent="0.25">
      <c r="F4385" s="494">
        <v>515</v>
      </c>
      <c r="G4385" s="495" t="s">
        <v>3832</v>
      </c>
      <c r="H4385" s="397"/>
      <c r="I4385" s="397"/>
      <c r="J4385" s="750" t="e">
        <f t="shared" si="51"/>
        <v>#DIV/0!</v>
      </c>
      <c r="K4385" s="398"/>
      <c r="L4385" s="398"/>
      <c r="M4385" s="682"/>
    </row>
    <row r="4386" spans="5:13" ht="13.5" hidden="1" thickBot="1" x14ac:dyDescent="0.25">
      <c r="F4386" s="494">
        <v>521</v>
      </c>
      <c r="G4386" s="495" t="s">
        <v>4198</v>
      </c>
      <c r="H4386" s="397"/>
      <c r="I4386" s="397"/>
      <c r="J4386" s="750" t="e">
        <f t="shared" si="51"/>
        <v>#DIV/0!</v>
      </c>
      <c r="K4386" s="398"/>
      <c r="L4386" s="398"/>
      <c r="M4386" s="682"/>
    </row>
    <row r="4387" spans="5:13" ht="13.5" hidden="1" thickBot="1" x14ac:dyDescent="0.25">
      <c r="F4387" s="494">
        <v>522</v>
      </c>
      <c r="G4387" s="495" t="s">
        <v>4199</v>
      </c>
      <c r="H4387" s="397"/>
      <c r="I4387" s="397"/>
      <c r="J4387" s="750" t="e">
        <f t="shared" si="51"/>
        <v>#DIV/0!</v>
      </c>
      <c r="K4387" s="398"/>
      <c r="L4387" s="398"/>
      <c r="M4387" s="682"/>
    </row>
    <row r="4388" spans="5:13" ht="13.5" hidden="1" thickBot="1" x14ac:dyDescent="0.25">
      <c r="F4388" s="494">
        <v>523</v>
      </c>
      <c r="G4388" s="495" t="s">
        <v>3837</v>
      </c>
      <c r="H4388" s="397"/>
      <c r="I4388" s="397"/>
      <c r="J4388" s="750" t="e">
        <f t="shared" si="51"/>
        <v>#DIV/0!</v>
      </c>
      <c r="K4388" s="398"/>
      <c r="L4388" s="398"/>
      <c r="M4388" s="682"/>
    </row>
    <row r="4389" spans="5:13" ht="13.5" hidden="1" thickBot="1" x14ac:dyDescent="0.25">
      <c r="F4389" s="494">
        <v>531</v>
      </c>
      <c r="G4389" s="496" t="s">
        <v>4175</v>
      </c>
      <c r="H4389" s="397"/>
      <c r="I4389" s="397"/>
      <c r="J4389" s="750" t="e">
        <f t="shared" si="51"/>
        <v>#DIV/0!</v>
      </c>
      <c r="K4389" s="398"/>
      <c r="L4389" s="398"/>
      <c r="M4389" s="682"/>
    </row>
    <row r="4390" spans="5:13" ht="13.5" hidden="1" thickBot="1" x14ac:dyDescent="0.25">
      <c r="F4390" s="494">
        <v>541</v>
      </c>
      <c r="G4390" s="495" t="s">
        <v>4200</v>
      </c>
      <c r="H4390" s="397"/>
      <c r="I4390" s="397"/>
      <c r="J4390" s="750" t="e">
        <f t="shared" si="51"/>
        <v>#DIV/0!</v>
      </c>
      <c r="K4390" s="398"/>
      <c r="L4390" s="398"/>
      <c r="M4390" s="682"/>
    </row>
    <row r="4391" spans="5:13" ht="13.5" hidden="1" thickBot="1" x14ac:dyDescent="0.25">
      <c r="F4391" s="494">
        <v>542</v>
      </c>
      <c r="G4391" s="495" t="s">
        <v>4201</v>
      </c>
      <c r="H4391" s="397"/>
      <c r="I4391" s="397"/>
      <c r="J4391" s="750" t="e">
        <f t="shared" si="51"/>
        <v>#DIV/0!</v>
      </c>
      <c r="K4391" s="398"/>
      <c r="L4391" s="398"/>
      <c r="M4391" s="682"/>
    </row>
    <row r="4392" spans="5:13" ht="13.5" hidden="1" thickBot="1" x14ac:dyDescent="0.25">
      <c r="F4392" s="494">
        <v>543</v>
      </c>
      <c r="G4392" s="495" t="s">
        <v>3842</v>
      </c>
      <c r="H4392" s="397"/>
      <c r="I4392" s="397"/>
      <c r="J4392" s="750" t="e">
        <f t="shared" si="51"/>
        <v>#DIV/0!</v>
      </c>
      <c r="K4392" s="398"/>
      <c r="L4392" s="398"/>
      <c r="M4392" s="682"/>
    </row>
    <row r="4393" spans="5:13" ht="39" hidden="1" thickBot="1" x14ac:dyDescent="0.25">
      <c r="F4393" s="494">
        <v>551</v>
      </c>
      <c r="G4393" s="495" t="s">
        <v>4176</v>
      </c>
      <c r="H4393" s="397"/>
      <c r="I4393" s="397"/>
      <c r="J4393" s="750" t="e">
        <f t="shared" si="51"/>
        <v>#DIV/0!</v>
      </c>
      <c r="K4393" s="398"/>
      <c r="L4393" s="398"/>
      <c r="M4393" s="682"/>
    </row>
    <row r="4394" spans="5:13" ht="13.5" hidden="1" thickBot="1" x14ac:dyDescent="0.25">
      <c r="F4394" s="498">
        <v>611</v>
      </c>
      <c r="G4394" s="499" t="s">
        <v>3848</v>
      </c>
      <c r="H4394" s="397"/>
      <c r="I4394" s="397"/>
      <c r="J4394" s="750" t="e">
        <f t="shared" si="51"/>
        <v>#DIV/0!</v>
      </c>
      <c r="K4394" s="398"/>
      <c r="L4394" s="398"/>
      <c r="M4394" s="682"/>
    </row>
    <row r="4395" spans="5:13" ht="13.5" hidden="1" thickBot="1" x14ac:dyDescent="0.25">
      <c r="F4395" s="498">
        <v>620</v>
      </c>
      <c r="G4395" s="499" t="s">
        <v>88</v>
      </c>
      <c r="H4395" s="397"/>
      <c r="I4395" s="397"/>
      <c r="J4395" s="750" t="e">
        <f t="shared" si="51"/>
        <v>#DIV/0!</v>
      </c>
      <c r="K4395" s="398"/>
      <c r="L4395" s="398"/>
      <c r="M4395" s="682"/>
    </row>
    <row r="4396" spans="5:13" x14ac:dyDescent="0.2">
      <c r="E4396" s="500"/>
      <c r="F4396" s="498"/>
      <c r="G4396" s="509" t="s">
        <v>4366</v>
      </c>
      <c r="H4396" s="400"/>
      <c r="I4396" s="400"/>
      <c r="J4396" s="750"/>
      <c r="K4396" s="401"/>
      <c r="L4396" s="402"/>
      <c r="M4396" s="682"/>
    </row>
    <row r="4397" spans="5:13" ht="13.5" thickBot="1" x14ac:dyDescent="0.25">
      <c r="E4397" s="502"/>
      <c r="F4397" s="503" t="s">
        <v>234</v>
      </c>
      <c r="G4397" s="504" t="s">
        <v>235</v>
      </c>
      <c r="H4397" s="403">
        <f>SUM(H4336:H4395)</f>
        <v>600000</v>
      </c>
      <c r="I4397" s="403">
        <f>SUM(I4370)</f>
        <v>276510</v>
      </c>
      <c r="J4397" s="750">
        <f t="shared" si="51"/>
        <v>46.085000000000001</v>
      </c>
      <c r="K4397" s="404"/>
      <c r="L4397" s="404"/>
      <c r="M4397" s="682"/>
    </row>
    <row r="4398" spans="5:13" ht="13.5" hidden="1" thickBot="1" x14ac:dyDescent="0.25">
      <c r="F4398" s="503" t="s">
        <v>236</v>
      </c>
      <c r="G4398" s="504" t="s">
        <v>237</v>
      </c>
      <c r="H4398" s="397"/>
      <c r="I4398" s="397"/>
      <c r="J4398" s="750" t="e">
        <f t="shared" si="51"/>
        <v>#DIV/0!</v>
      </c>
      <c r="K4398" s="398"/>
      <c r="L4398" s="404"/>
      <c r="M4398" s="682"/>
    </row>
    <row r="4399" spans="5:13" ht="13.5" hidden="1" thickBot="1" x14ac:dyDescent="0.25">
      <c r="F4399" s="503" t="s">
        <v>238</v>
      </c>
      <c r="G4399" s="504" t="s">
        <v>239</v>
      </c>
      <c r="H4399" s="397"/>
      <c r="I4399" s="397"/>
      <c r="J4399" s="750" t="e">
        <f t="shared" si="51"/>
        <v>#DIV/0!</v>
      </c>
      <c r="K4399" s="398"/>
      <c r="L4399" s="404"/>
      <c r="M4399" s="682"/>
    </row>
    <row r="4400" spans="5:13" ht="13.5" hidden="1" thickBot="1" x14ac:dyDescent="0.25">
      <c r="F4400" s="503" t="s">
        <v>240</v>
      </c>
      <c r="G4400" s="504" t="s">
        <v>241</v>
      </c>
      <c r="H4400" s="397"/>
      <c r="I4400" s="397"/>
      <c r="J4400" s="750" t="e">
        <f t="shared" si="51"/>
        <v>#DIV/0!</v>
      </c>
      <c r="K4400" s="398"/>
      <c r="L4400" s="404"/>
      <c r="M4400" s="682"/>
    </row>
    <row r="4401" spans="5:13" ht="13.5" hidden="1" thickBot="1" x14ac:dyDescent="0.25">
      <c r="F4401" s="503" t="s">
        <v>242</v>
      </c>
      <c r="G4401" s="504" t="s">
        <v>243</v>
      </c>
      <c r="H4401" s="397"/>
      <c r="I4401" s="397"/>
      <c r="J4401" s="750" t="e">
        <f t="shared" si="51"/>
        <v>#DIV/0!</v>
      </c>
      <c r="K4401" s="398"/>
      <c r="L4401" s="404"/>
      <c r="M4401" s="682"/>
    </row>
    <row r="4402" spans="5:13" ht="13.5" hidden="1" thickBot="1" x14ac:dyDescent="0.25">
      <c r="F4402" s="503" t="s">
        <v>244</v>
      </c>
      <c r="G4402" s="504" t="s">
        <v>245</v>
      </c>
      <c r="H4402" s="397"/>
      <c r="I4402" s="397"/>
      <c r="J4402" s="750" t="e">
        <f t="shared" si="51"/>
        <v>#DIV/0!</v>
      </c>
      <c r="K4402" s="398"/>
      <c r="L4402" s="404"/>
      <c r="M4402" s="682"/>
    </row>
    <row r="4403" spans="5:13" ht="13.5" hidden="1" thickBot="1" x14ac:dyDescent="0.25">
      <c r="F4403" s="503" t="s">
        <v>246</v>
      </c>
      <c r="G4403" s="504" t="s">
        <v>247</v>
      </c>
      <c r="H4403" s="397"/>
      <c r="I4403" s="397"/>
      <c r="J4403" s="750" t="e">
        <f t="shared" si="51"/>
        <v>#DIV/0!</v>
      </c>
      <c r="K4403" s="398"/>
      <c r="L4403" s="404"/>
      <c r="M4403" s="682"/>
    </row>
    <row r="4404" spans="5:13" ht="26.25" hidden="1" thickBot="1" x14ac:dyDescent="0.25">
      <c r="F4404" s="503" t="s">
        <v>248</v>
      </c>
      <c r="G4404" s="504" t="s">
        <v>249</v>
      </c>
      <c r="H4404" s="397"/>
      <c r="I4404" s="397"/>
      <c r="J4404" s="750" t="e">
        <f t="shared" si="51"/>
        <v>#DIV/0!</v>
      </c>
      <c r="K4404" s="398"/>
      <c r="L4404" s="404"/>
      <c r="M4404" s="682"/>
    </row>
    <row r="4405" spans="5:13" ht="13.5" hidden="1" thickBot="1" x14ac:dyDescent="0.25">
      <c r="F4405" s="503" t="s">
        <v>250</v>
      </c>
      <c r="G4405" s="504" t="s">
        <v>57</v>
      </c>
      <c r="H4405" s="397"/>
      <c r="I4405" s="397"/>
      <c r="J4405" s="750" t="e">
        <f t="shared" si="51"/>
        <v>#DIV/0!</v>
      </c>
      <c r="K4405" s="398"/>
      <c r="L4405" s="404"/>
      <c r="M4405" s="682"/>
    </row>
    <row r="4406" spans="5:13" ht="13.5" hidden="1" thickBot="1" x14ac:dyDescent="0.25">
      <c r="F4406" s="503" t="s">
        <v>251</v>
      </c>
      <c r="G4406" s="504" t="s">
        <v>252</v>
      </c>
      <c r="H4406" s="397"/>
      <c r="I4406" s="397"/>
      <c r="J4406" s="750" t="e">
        <f t="shared" si="51"/>
        <v>#DIV/0!</v>
      </c>
      <c r="K4406" s="398"/>
      <c r="L4406" s="404"/>
      <c r="M4406" s="682"/>
    </row>
    <row r="4407" spans="5:13" ht="13.5" hidden="1" thickBot="1" x14ac:dyDescent="0.25">
      <c r="F4407" s="503" t="s">
        <v>253</v>
      </c>
      <c r="G4407" s="504" t="s">
        <v>254</v>
      </c>
      <c r="H4407" s="397"/>
      <c r="I4407" s="397"/>
      <c r="J4407" s="750" t="e">
        <f t="shared" si="51"/>
        <v>#DIV/0!</v>
      </c>
      <c r="K4407" s="398"/>
      <c r="L4407" s="404"/>
      <c r="M4407" s="682"/>
    </row>
    <row r="4408" spans="5:13" ht="26.25" hidden="1" thickBot="1" x14ac:dyDescent="0.25">
      <c r="F4408" s="503" t="s">
        <v>255</v>
      </c>
      <c r="G4408" s="504" t="s">
        <v>256</v>
      </c>
      <c r="H4408" s="397"/>
      <c r="I4408" s="397"/>
      <c r="J4408" s="750" t="e">
        <f t="shared" si="51"/>
        <v>#DIV/0!</v>
      </c>
      <c r="K4408" s="398"/>
      <c r="L4408" s="404"/>
      <c r="M4408" s="682"/>
    </row>
    <row r="4409" spans="5:13" ht="26.25" hidden="1" thickBot="1" x14ac:dyDescent="0.25">
      <c r="F4409" s="503" t="s">
        <v>257</v>
      </c>
      <c r="G4409" s="504" t="s">
        <v>258</v>
      </c>
      <c r="H4409" s="397"/>
      <c r="I4409" s="397"/>
      <c r="J4409" s="750" t="e">
        <f t="shared" si="51"/>
        <v>#DIV/0!</v>
      </c>
      <c r="K4409" s="398"/>
      <c r="L4409" s="404"/>
      <c r="M4409" s="682"/>
    </row>
    <row r="4410" spans="5:13" ht="26.25" hidden="1" thickBot="1" x14ac:dyDescent="0.25">
      <c r="F4410" s="503" t="s">
        <v>259</v>
      </c>
      <c r="G4410" s="504" t="s">
        <v>260</v>
      </c>
      <c r="H4410" s="397"/>
      <c r="I4410" s="397"/>
      <c r="J4410" s="750" t="e">
        <f t="shared" si="51"/>
        <v>#DIV/0!</v>
      </c>
      <c r="K4410" s="398"/>
      <c r="L4410" s="404"/>
      <c r="M4410" s="682"/>
    </row>
    <row r="4411" spans="5:13" ht="26.25" hidden="1" thickBot="1" x14ac:dyDescent="0.25">
      <c r="F4411" s="503" t="s">
        <v>261</v>
      </c>
      <c r="G4411" s="504" t="s">
        <v>262</v>
      </c>
      <c r="H4411" s="397"/>
      <c r="I4411" s="397"/>
      <c r="J4411" s="750" t="e">
        <f t="shared" si="51"/>
        <v>#DIV/0!</v>
      </c>
      <c r="K4411" s="398"/>
      <c r="L4411" s="404"/>
      <c r="M4411" s="682"/>
    </row>
    <row r="4412" spans="5:13" ht="13.5" hidden="1" thickBot="1" x14ac:dyDescent="0.25">
      <c r="F4412" s="503" t="s">
        <v>263</v>
      </c>
      <c r="G4412" s="504" t="s">
        <v>264</v>
      </c>
      <c r="H4412" s="403"/>
      <c r="I4412" s="403"/>
      <c r="J4412" s="750" t="e">
        <f t="shared" si="51"/>
        <v>#DIV/0!</v>
      </c>
      <c r="K4412" s="404"/>
      <c r="L4412" s="404"/>
      <c r="M4412" s="682"/>
    </row>
    <row r="4413" spans="5:13" ht="11.25" customHeight="1" thickBot="1" x14ac:dyDescent="0.25">
      <c r="G4413" s="505" t="s">
        <v>4367</v>
      </c>
      <c r="H4413" s="405">
        <f>SUM(H4397:H4412)</f>
        <v>600000</v>
      </c>
      <c r="I4413" s="405">
        <f>SUM(I4370)</f>
        <v>276510</v>
      </c>
      <c r="J4413" s="750">
        <f t="shared" si="51"/>
        <v>46.085000000000001</v>
      </c>
      <c r="K4413" s="406">
        <f>SUM(K4398:K4412)</f>
        <v>0</v>
      </c>
      <c r="L4413" s="406"/>
      <c r="M4413" s="682"/>
    </row>
    <row r="4414" spans="5:13" ht="14.25" customHeight="1" collapsed="1" x14ac:dyDescent="0.2">
      <c r="E4414" s="500"/>
      <c r="F4414" s="498"/>
      <c r="G4414" s="506" t="s">
        <v>4327</v>
      </c>
      <c r="H4414" s="407"/>
      <c r="I4414" s="408"/>
      <c r="J4414" s="750"/>
      <c r="K4414" s="409"/>
      <c r="L4414" s="410"/>
      <c r="M4414" s="682"/>
    </row>
    <row r="4415" spans="5:13" ht="11.25" customHeight="1" thickBot="1" x14ac:dyDescent="0.25">
      <c r="E4415" s="502"/>
      <c r="F4415" s="503" t="s">
        <v>234</v>
      </c>
      <c r="G4415" s="504" t="s">
        <v>235</v>
      </c>
      <c r="H4415" s="403">
        <f>SUM(H4336:H4395)</f>
        <v>600000</v>
      </c>
      <c r="I4415" s="403">
        <f>SUM(I4413)</f>
        <v>276510</v>
      </c>
      <c r="J4415" s="750">
        <f t="shared" si="51"/>
        <v>46.085000000000001</v>
      </c>
      <c r="K4415" s="404"/>
      <c r="L4415" s="404"/>
      <c r="M4415" s="682"/>
    </row>
    <row r="4416" spans="5:13" ht="13.5" hidden="1" thickBot="1" x14ac:dyDescent="0.25">
      <c r="F4416" s="503" t="s">
        <v>236</v>
      </c>
      <c r="G4416" s="504" t="s">
        <v>237</v>
      </c>
      <c r="H4416" s="397"/>
      <c r="I4416" s="397"/>
      <c r="J4416" s="750" t="e">
        <f t="shared" si="51"/>
        <v>#DIV/0!</v>
      </c>
      <c r="K4416" s="398"/>
      <c r="L4416" s="404"/>
      <c r="M4416" s="682"/>
    </row>
    <row r="4417" spans="6:13" ht="13.5" hidden="1" thickBot="1" x14ac:dyDescent="0.25">
      <c r="F4417" s="503" t="s">
        <v>238</v>
      </c>
      <c r="G4417" s="504" t="s">
        <v>239</v>
      </c>
      <c r="H4417" s="397"/>
      <c r="I4417" s="397"/>
      <c r="J4417" s="750" t="e">
        <f t="shared" si="51"/>
        <v>#DIV/0!</v>
      </c>
      <c r="K4417" s="398"/>
      <c r="L4417" s="404"/>
      <c r="M4417" s="682"/>
    </row>
    <row r="4418" spans="6:13" ht="13.5" hidden="1" thickBot="1" x14ac:dyDescent="0.25">
      <c r="F4418" s="503" t="s">
        <v>240</v>
      </c>
      <c r="G4418" s="504" t="s">
        <v>241</v>
      </c>
      <c r="H4418" s="397"/>
      <c r="I4418" s="397"/>
      <c r="J4418" s="750" t="e">
        <f t="shared" si="51"/>
        <v>#DIV/0!</v>
      </c>
      <c r="K4418" s="398"/>
      <c r="L4418" s="404"/>
      <c r="M4418" s="682"/>
    </row>
    <row r="4419" spans="6:13" ht="13.5" hidden="1" thickBot="1" x14ac:dyDescent="0.25">
      <c r="F4419" s="503" t="s">
        <v>242</v>
      </c>
      <c r="G4419" s="504" t="s">
        <v>243</v>
      </c>
      <c r="H4419" s="397"/>
      <c r="I4419" s="397"/>
      <c r="J4419" s="750" t="e">
        <f t="shared" si="51"/>
        <v>#DIV/0!</v>
      </c>
      <c r="K4419" s="398"/>
      <c r="L4419" s="404"/>
      <c r="M4419" s="682"/>
    </row>
    <row r="4420" spans="6:13" ht="13.5" hidden="1" thickBot="1" x14ac:dyDescent="0.25">
      <c r="F4420" s="503" t="s">
        <v>244</v>
      </c>
      <c r="G4420" s="504" t="s">
        <v>245</v>
      </c>
      <c r="H4420" s="397"/>
      <c r="I4420" s="397"/>
      <c r="J4420" s="750" t="e">
        <f t="shared" si="51"/>
        <v>#DIV/0!</v>
      </c>
      <c r="K4420" s="398"/>
      <c r="L4420" s="404"/>
      <c r="M4420" s="682"/>
    </row>
    <row r="4421" spans="6:13" ht="13.5" hidden="1" thickBot="1" x14ac:dyDescent="0.25">
      <c r="F4421" s="503" t="s">
        <v>246</v>
      </c>
      <c r="G4421" s="504" t="s">
        <v>247</v>
      </c>
      <c r="H4421" s="397"/>
      <c r="I4421" s="397"/>
      <c r="J4421" s="750" t="e">
        <f t="shared" si="51"/>
        <v>#DIV/0!</v>
      </c>
      <c r="K4421" s="398"/>
      <c r="L4421" s="404"/>
      <c r="M4421" s="682"/>
    </row>
    <row r="4422" spans="6:13" ht="26.25" hidden="1" thickBot="1" x14ac:dyDescent="0.25">
      <c r="F4422" s="503" t="s">
        <v>248</v>
      </c>
      <c r="G4422" s="504" t="s">
        <v>249</v>
      </c>
      <c r="H4422" s="397"/>
      <c r="I4422" s="397"/>
      <c r="J4422" s="750" t="e">
        <f t="shared" si="51"/>
        <v>#DIV/0!</v>
      </c>
      <c r="K4422" s="398"/>
      <c r="L4422" s="404"/>
      <c r="M4422" s="682"/>
    </row>
    <row r="4423" spans="6:13" ht="13.5" hidden="1" thickBot="1" x14ac:dyDescent="0.25">
      <c r="F4423" s="503" t="s">
        <v>250</v>
      </c>
      <c r="G4423" s="504" t="s">
        <v>57</v>
      </c>
      <c r="H4423" s="397"/>
      <c r="I4423" s="397"/>
      <c r="J4423" s="750" t="e">
        <f t="shared" si="51"/>
        <v>#DIV/0!</v>
      </c>
      <c r="K4423" s="398"/>
      <c r="L4423" s="404"/>
      <c r="M4423" s="682"/>
    </row>
    <row r="4424" spans="6:13" ht="13.5" hidden="1" thickBot="1" x14ac:dyDescent="0.25">
      <c r="F4424" s="503" t="s">
        <v>251</v>
      </c>
      <c r="G4424" s="504" t="s">
        <v>252</v>
      </c>
      <c r="H4424" s="397"/>
      <c r="I4424" s="397"/>
      <c r="J4424" s="750" t="e">
        <f t="shared" si="51"/>
        <v>#DIV/0!</v>
      </c>
      <c r="K4424" s="398"/>
      <c r="L4424" s="404"/>
      <c r="M4424" s="682"/>
    </row>
    <row r="4425" spans="6:13" ht="13.5" hidden="1" thickBot="1" x14ac:dyDescent="0.25">
      <c r="F4425" s="503" t="s">
        <v>253</v>
      </c>
      <c r="G4425" s="504" t="s">
        <v>254</v>
      </c>
      <c r="H4425" s="397"/>
      <c r="I4425" s="397"/>
      <c r="J4425" s="750" t="e">
        <f t="shared" si="51"/>
        <v>#DIV/0!</v>
      </c>
      <c r="K4425" s="398"/>
      <c r="L4425" s="404"/>
      <c r="M4425" s="682"/>
    </row>
    <row r="4426" spans="6:13" ht="26.25" hidden="1" thickBot="1" x14ac:dyDescent="0.25">
      <c r="F4426" s="503" t="s">
        <v>255</v>
      </c>
      <c r="G4426" s="504" t="s">
        <v>256</v>
      </c>
      <c r="H4426" s="397"/>
      <c r="I4426" s="397"/>
      <c r="J4426" s="750" t="e">
        <f t="shared" si="51"/>
        <v>#DIV/0!</v>
      </c>
      <c r="K4426" s="398"/>
      <c r="L4426" s="404"/>
      <c r="M4426" s="682"/>
    </row>
    <row r="4427" spans="6:13" ht="26.25" hidden="1" thickBot="1" x14ac:dyDescent="0.25">
      <c r="F4427" s="503" t="s">
        <v>257</v>
      </c>
      <c r="G4427" s="504" t="s">
        <v>258</v>
      </c>
      <c r="H4427" s="397"/>
      <c r="I4427" s="397"/>
      <c r="J4427" s="750" t="e">
        <f t="shared" si="51"/>
        <v>#DIV/0!</v>
      </c>
      <c r="K4427" s="398"/>
      <c r="L4427" s="404"/>
      <c r="M4427" s="682"/>
    </row>
    <row r="4428" spans="6:13" ht="26.25" hidden="1" thickBot="1" x14ac:dyDescent="0.25">
      <c r="F4428" s="503" t="s">
        <v>259</v>
      </c>
      <c r="G4428" s="504" t="s">
        <v>260</v>
      </c>
      <c r="H4428" s="397"/>
      <c r="I4428" s="397"/>
      <c r="J4428" s="750" t="e">
        <f t="shared" si="51"/>
        <v>#DIV/0!</v>
      </c>
      <c r="K4428" s="398"/>
      <c r="L4428" s="404"/>
      <c r="M4428" s="682"/>
    </row>
    <row r="4429" spans="6:13" ht="26.25" hidden="1" thickBot="1" x14ac:dyDescent="0.25">
      <c r="F4429" s="503" t="s">
        <v>261</v>
      </c>
      <c r="G4429" s="504" t="s">
        <v>262</v>
      </c>
      <c r="H4429" s="397"/>
      <c r="I4429" s="397"/>
      <c r="J4429" s="750" t="e">
        <f t="shared" ref="J4429:J4492" si="52">SUM(I4429/H4429)*100</f>
        <v>#DIV/0!</v>
      </c>
      <c r="K4429" s="398"/>
      <c r="L4429" s="404"/>
      <c r="M4429" s="682"/>
    </row>
    <row r="4430" spans="6:13" ht="13.5" hidden="1" thickBot="1" x14ac:dyDescent="0.25">
      <c r="F4430" s="503" t="s">
        <v>263</v>
      </c>
      <c r="G4430" s="504" t="s">
        <v>264</v>
      </c>
      <c r="H4430" s="403"/>
      <c r="I4430" s="403"/>
      <c r="J4430" s="750" t="e">
        <f t="shared" si="52"/>
        <v>#DIV/0!</v>
      </c>
      <c r="K4430" s="404"/>
      <c r="L4430" s="404"/>
      <c r="M4430" s="682"/>
    </row>
    <row r="4431" spans="6:13" ht="12.75" customHeight="1" collapsed="1" thickBot="1" x14ac:dyDescent="0.25">
      <c r="G4431" s="505" t="s">
        <v>5116</v>
      </c>
      <c r="H4431" s="405">
        <f>SUM(H4415:H4430)</f>
        <v>600000</v>
      </c>
      <c r="I4431" s="405">
        <f>SUM(I4413)</f>
        <v>276510</v>
      </c>
      <c r="J4431" s="750">
        <f t="shared" si="52"/>
        <v>46.085000000000001</v>
      </c>
      <c r="K4431" s="406">
        <f>SUM(K4416:K4430)</f>
        <v>0</v>
      </c>
      <c r="L4431" s="406"/>
      <c r="M4431" s="682"/>
    </row>
    <row r="4432" spans="6:13" ht="1.5" customHeight="1" x14ac:dyDescent="0.2">
      <c r="G4432" s="510"/>
      <c r="H4432" s="411"/>
      <c r="I4432" s="411"/>
      <c r="J4432" s="750" t="e">
        <f t="shared" si="52"/>
        <v>#DIV/0!</v>
      </c>
      <c r="K4432" s="412"/>
      <c r="L4432" s="412"/>
      <c r="M4432" s="682"/>
    </row>
    <row r="4433" spans="3:13" ht="15" customHeight="1" x14ac:dyDescent="0.2">
      <c r="C4433" s="489" t="s">
        <v>4114</v>
      </c>
      <c r="D4433" s="490"/>
      <c r="G4433" s="491" t="s">
        <v>5114</v>
      </c>
      <c r="H4433" s="397"/>
      <c r="I4433" s="397"/>
      <c r="J4433" s="750"/>
      <c r="K4433" s="398"/>
      <c r="L4433" s="398"/>
      <c r="M4433" s="682"/>
    </row>
    <row r="4434" spans="3:13" ht="12" customHeight="1" x14ac:dyDescent="0.2">
      <c r="C4434" s="224"/>
      <c r="D4434" s="571" t="s">
        <v>3878</v>
      </c>
      <c r="E4434" s="183"/>
      <c r="F4434" s="183"/>
      <c r="G4434" s="514" t="s">
        <v>5302</v>
      </c>
      <c r="H4434" s="422"/>
      <c r="I4434" s="422"/>
      <c r="J4434" s="750"/>
      <c r="K4434" s="437"/>
      <c r="L4434" s="424"/>
      <c r="M4434" s="682"/>
    </row>
    <row r="4435" spans="3:13" ht="13.5" thickBot="1" x14ac:dyDescent="0.25">
      <c r="C4435" s="224"/>
      <c r="D4435" s="224"/>
      <c r="E4435" s="224" t="s">
        <v>5301</v>
      </c>
      <c r="F4435" s="572">
        <v>472</v>
      </c>
      <c r="G4435" s="573" t="s">
        <v>3813</v>
      </c>
      <c r="H4435" s="438">
        <v>200000</v>
      </c>
      <c r="I4435" s="438">
        <v>0</v>
      </c>
      <c r="J4435" s="750">
        <f t="shared" si="52"/>
        <v>0</v>
      </c>
      <c r="K4435" s="438">
        <v>240000</v>
      </c>
      <c r="L4435" s="438">
        <v>240000</v>
      </c>
      <c r="M4435" s="682"/>
    </row>
    <row r="4436" spans="3:13" x14ac:dyDescent="0.2">
      <c r="C4436" s="224"/>
      <c r="D4436" s="224"/>
      <c r="E4436" s="224"/>
      <c r="F4436" s="224"/>
      <c r="G4436" s="509" t="s">
        <v>5303</v>
      </c>
      <c r="H4436" s="400"/>
      <c r="I4436" s="400"/>
      <c r="J4436" s="750"/>
      <c r="K4436" s="401"/>
      <c r="L4436" s="402"/>
      <c r="M4436" s="682"/>
    </row>
    <row r="4437" spans="3:13" x14ac:dyDescent="0.2">
      <c r="C4437" s="224"/>
      <c r="D4437" s="224"/>
      <c r="E4437" s="224"/>
      <c r="F4437" s="332" t="s">
        <v>246</v>
      </c>
      <c r="G4437" s="504" t="s">
        <v>5338</v>
      </c>
      <c r="H4437" s="413"/>
      <c r="I4437" s="413"/>
      <c r="J4437" s="750"/>
      <c r="K4437" s="414">
        <f>SUM(K4435)</f>
        <v>240000</v>
      </c>
      <c r="L4437" s="414">
        <f>SUM(L4435)</f>
        <v>240000</v>
      </c>
      <c r="M4437" s="682"/>
    </row>
    <row r="4438" spans="3:13" ht="26.25" thickBot="1" x14ac:dyDescent="0.25">
      <c r="C4438" s="224"/>
      <c r="D4438" s="224"/>
      <c r="E4438" s="224"/>
      <c r="F4438" s="503" t="s">
        <v>257</v>
      </c>
      <c r="G4438" s="504" t="s">
        <v>258</v>
      </c>
      <c r="H4438" s="438">
        <v>200000</v>
      </c>
      <c r="I4438" s="438">
        <v>0</v>
      </c>
      <c r="J4438" s="750">
        <f t="shared" si="52"/>
        <v>0</v>
      </c>
      <c r="K4438" s="438"/>
      <c r="L4438" s="438"/>
      <c r="M4438" s="682"/>
    </row>
    <row r="4439" spans="3:13" ht="12.75" customHeight="1" thickBot="1" x14ac:dyDescent="0.25">
      <c r="C4439" s="224"/>
      <c r="G4439" s="505" t="s">
        <v>5304</v>
      </c>
      <c r="H4439" s="405">
        <f>SUM(H4438)</f>
        <v>200000</v>
      </c>
      <c r="I4439" s="405">
        <v>0</v>
      </c>
      <c r="J4439" s="750">
        <f t="shared" si="52"/>
        <v>0</v>
      </c>
      <c r="K4439" s="406">
        <f>SUM(K4437)</f>
        <v>240000</v>
      </c>
      <c r="L4439" s="406">
        <f>SUM(L4437)</f>
        <v>240000</v>
      </c>
      <c r="M4439" s="682"/>
    </row>
    <row r="4440" spans="3:13" ht="15.75" customHeight="1" x14ac:dyDescent="0.2">
      <c r="C4440" s="224"/>
      <c r="D4440" s="224"/>
      <c r="E4440" s="224"/>
      <c r="F4440" s="224"/>
      <c r="G4440" s="506" t="s">
        <v>4327</v>
      </c>
      <c r="H4440" s="407"/>
      <c r="I4440" s="408"/>
      <c r="J4440" s="750"/>
      <c r="K4440" s="409"/>
      <c r="L4440" s="410"/>
      <c r="M4440" s="682"/>
    </row>
    <row r="4441" spans="3:13" ht="26.25" thickBot="1" x14ac:dyDescent="0.25">
      <c r="C4441" s="224"/>
      <c r="D4441" s="224"/>
      <c r="E4441" s="224"/>
      <c r="F4441" s="503" t="s">
        <v>257</v>
      </c>
      <c r="G4441" s="504" t="s">
        <v>258</v>
      </c>
      <c r="H4441" s="439">
        <v>200000</v>
      </c>
      <c r="I4441" s="439">
        <v>0</v>
      </c>
      <c r="J4441" s="750">
        <f t="shared" si="52"/>
        <v>0</v>
      </c>
      <c r="K4441" s="439"/>
      <c r="L4441" s="439"/>
      <c r="M4441" s="682"/>
    </row>
    <row r="4442" spans="3:13" ht="12.75" customHeight="1" thickBot="1" x14ac:dyDescent="0.25">
      <c r="C4442" s="224"/>
      <c r="D4442" s="224"/>
      <c r="E4442" s="224"/>
      <c r="F4442" s="224"/>
      <c r="G4442" s="505" t="s">
        <v>5116</v>
      </c>
      <c r="H4442" s="405">
        <f>SUM(H4441)</f>
        <v>200000</v>
      </c>
      <c r="I4442" s="405">
        <v>0</v>
      </c>
      <c r="J4442" s="750">
        <f t="shared" si="52"/>
        <v>0</v>
      </c>
      <c r="K4442" s="406">
        <f>SUM(K4439)</f>
        <v>240000</v>
      </c>
      <c r="L4442" s="406">
        <f>SUM(L4439)</f>
        <v>240000</v>
      </c>
      <c r="M4442" s="682"/>
    </row>
    <row r="4443" spans="3:13" hidden="1" x14ac:dyDescent="0.2">
      <c r="C4443" s="224"/>
      <c r="D4443" s="224"/>
      <c r="E4443" s="224"/>
      <c r="F4443" s="224"/>
      <c r="G4443" s="224"/>
      <c r="H4443" s="439"/>
      <c r="I4443" s="439"/>
      <c r="J4443" s="750" t="e">
        <f t="shared" si="52"/>
        <v>#DIV/0!</v>
      </c>
      <c r="K4443" s="439"/>
      <c r="L4443" s="439"/>
      <c r="M4443" s="682"/>
    </row>
    <row r="4444" spans="3:13" hidden="1" x14ac:dyDescent="0.2">
      <c r="C4444" s="224"/>
      <c r="D4444" s="224"/>
      <c r="E4444" s="224"/>
      <c r="F4444" s="224"/>
      <c r="G4444" s="224"/>
      <c r="H4444" s="439"/>
      <c r="I4444" s="439"/>
      <c r="J4444" s="750" t="e">
        <f t="shared" si="52"/>
        <v>#DIV/0!</v>
      </c>
      <c r="K4444" s="439"/>
      <c r="L4444" s="439"/>
      <c r="M4444" s="682"/>
    </row>
    <row r="4445" spans="3:13" hidden="1" x14ac:dyDescent="0.2">
      <c r="C4445" s="224"/>
      <c r="D4445" s="224"/>
      <c r="E4445" s="224"/>
      <c r="F4445" s="224"/>
      <c r="G4445" s="224"/>
      <c r="H4445" s="439"/>
      <c r="I4445" s="439"/>
      <c r="J4445" s="750" t="e">
        <f t="shared" si="52"/>
        <v>#DIV/0!</v>
      </c>
      <c r="K4445" s="439"/>
      <c r="L4445" s="439"/>
      <c r="M4445" s="682"/>
    </row>
    <row r="4446" spans="3:13" hidden="1" x14ac:dyDescent="0.2">
      <c r="C4446" s="224"/>
      <c r="D4446" s="224"/>
      <c r="E4446" s="224"/>
      <c r="F4446" s="224"/>
      <c r="G4446" s="224"/>
      <c r="H4446" s="439"/>
      <c r="I4446" s="439"/>
      <c r="J4446" s="750" t="e">
        <f t="shared" si="52"/>
        <v>#DIV/0!</v>
      </c>
      <c r="K4446" s="439"/>
      <c r="L4446" s="439"/>
      <c r="M4446" s="682"/>
    </row>
    <row r="4447" spans="3:13" hidden="1" x14ac:dyDescent="0.2">
      <c r="C4447" s="224"/>
      <c r="D4447" s="224"/>
      <c r="E4447" s="224"/>
      <c r="F4447" s="224"/>
      <c r="G4447" s="224"/>
      <c r="H4447" s="439"/>
      <c r="I4447" s="439"/>
      <c r="J4447" s="750" t="e">
        <f t="shared" si="52"/>
        <v>#DIV/0!</v>
      </c>
      <c r="K4447" s="439"/>
      <c r="L4447" s="439"/>
      <c r="M4447" s="682"/>
    </row>
    <row r="4448" spans="3:13" hidden="1" x14ac:dyDescent="0.2">
      <c r="C4448" s="224"/>
      <c r="D4448" s="224"/>
      <c r="E4448" s="224"/>
      <c r="F4448" s="224"/>
      <c r="G4448" s="224"/>
      <c r="H4448" s="439"/>
      <c r="I4448" s="439"/>
      <c r="J4448" s="750" t="e">
        <f t="shared" si="52"/>
        <v>#DIV/0!</v>
      </c>
      <c r="K4448" s="439"/>
      <c r="L4448" s="439"/>
      <c r="M4448" s="682"/>
    </row>
    <row r="4449" spans="3:13" hidden="1" x14ac:dyDescent="0.2">
      <c r="C4449" s="224"/>
      <c r="D4449" s="224"/>
      <c r="E4449" s="224"/>
      <c r="F4449" s="224"/>
      <c r="G4449" s="224"/>
      <c r="H4449" s="439"/>
      <c r="I4449" s="439"/>
      <c r="J4449" s="750" t="e">
        <f t="shared" si="52"/>
        <v>#DIV/0!</v>
      </c>
      <c r="K4449" s="439"/>
      <c r="L4449" s="439"/>
      <c r="M4449" s="682"/>
    </row>
    <row r="4450" spans="3:13" hidden="1" x14ac:dyDescent="0.2">
      <c r="C4450" s="224"/>
      <c r="D4450" s="224"/>
      <c r="E4450" s="224"/>
      <c r="F4450" s="224"/>
      <c r="G4450" s="224"/>
      <c r="H4450" s="439"/>
      <c r="I4450" s="439"/>
      <c r="J4450" s="750" t="e">
        <f t="shared" si="52"/>
        <v>#DIV/0!</v>
      </c>
      <c r="K4450" s="439"/>
      <c r="L4450" s="439"/>
      <c r="M4450" s="682"/>
    </row>
    <row r="4451" spans="3:13" hidden="1" x14ac:dyDescent="0.2">
      <c r="C4451" s="224"/>
      <c r="D4451" s="224"/>
      <c r="E4451" s="224"/>
      <c r="F4451" s="224"/>
      <c r="G4451" s="224"/>
      <c r="H4451" s="439"/>
      <c r="I4451" s="439"/>
      <c r="J4451" s="750" t="e">
        <f t="shared" si="52"/>
        <v>#DIV/0!</v>
      </c>
      <c r="K4451" s="439"/>
      <c r="L4451" s="439"/>
      <c r="M4451" s="682"/>
    </row>
    <row r="4452" spans="3:13" hidden="1" x14ac:dyDescent="0.2">
      <c r="C4452" s="224"/>
      <c r="D4452" s="224"/>
      <c r="E4452" s="224"/>
      <c r="F4452" s="224"/>
      <c r="G4452" s="224"/>
      <c r="H4452" s="439"/>
      <c r="I4452" s="439"/>
      <c r="J4452" s="750" t="e">
        <f t="shared" si="52"/>
        <v>#DIV/0!</v>
      </c>
      <c r="K4452" s="439"/>
      <c r="L4452" s="439"/>
      <c r="M4452" s="682"/>
    </row>
    <row r="4453" spans="3:13" hidden="1" x14ac:dyDescent="0.2">
      <c r="C4453" s="224"/>
      <c r="D4453" s="224"/>
      <c r="E4453" s="224"/>
      <c r="F4453" s="224"/>
      <c r="G4453" s="224"/>
      <c r="H4453" s="439"/>
      <c r="I4453" s="439"/>
      <c r="J4453" s="750" t="e">
        <f t="shared" si="52"/>
        <v>#DIV/0!</v>
      </c>
      <c r="K4453" s="439"/>
      <c r="L4453" s="439"/>
      <c r="M4453" s="682"/>
    </row>
    <row r="4454" spans="3:13" hidden="1" x14ac:dyDescent="0.2">
      <c r="C4454" s="224"/>
      <c r="D4454" s="224"/>
      <c r="E4454" s="224"/>
      <c r="F4454" s="224"/>
      <c r="G4454" s="224"/>
      <c r="H4454" s="439"/>
      <c r="I4454" s="439"/>
      <c r="J4454" s="750" t="e">
        <f t="shared" si="52"/>
        <v>#DIV/0!</v>
      </c>
      <c r="K4454" s="439"/>
      <c r="L4454" s="439"/>
      <c r="M4454" s="682"/>
    </row>
    <row r="4455" spans="3:13" hidden="1" x14ac:dyDescent="0.2">
      <c r="C4455" s="224"/>
      <c r="D4455" s="224"/>
      <c r="E4455" s="224"/>
      <c r="F4455" s="224"/>
      <c r="G4455" s="224"/>
      <c r="H4455" s="439"/>
      <c r="I4455" s="439"/>
      <c r="J4455" s="750" t="e">
        <f t="shared" si="52"/>
        <v>#DIV/0!</v>
      </c>
      <c r="K4455" s="439"/>
      <c r="L4455" s="439"/>
      <c r="M4455" s="682"/>
    </row>
    <row r="4456" spans="3:13" hidden="1" x14ac:dyDescent="0.2">
      <c r="C4456" s="224"/>
      <c r="D4456" s="224"/>
      <c r="E4456" s="224"/>
      <c r="F4456" s="224"/>
      <c r="G4456" s="224"/>
      <c r="H4456" s="439"/>
      <c r="I4456" s="439"/>
      <c r="J4456" s="750" t="e">
        <f t="shared" si="52"/>
        <v>#DIV/0!</v>
      </c>
      <c r="K4456" s="439"/>
      <c r="L4456" s="439"/>
      <c r="M4456" s="682"/>
    </row>
    <row r="4457" spans="3:13" hidden="1" x14ac:dyDescent="0.2">
      <c r="C4457" s="224"/>
      <c r="D4457" s="224"/>
      <c r="E4457" s="224"/>
      <c r="F4457" s="224"/>
      <c r="G4457" s="224"/>
      <c r="H4457" s="439"/>
      <c r="I4457" s="439"/>
      <c r="J4457" s="750" t="e">
        <f t="shared" si="52"/>
        <v>#DIV/0!</v>
      </c>
      <c r="K4457" s="439"/>
      <c r="L4457" s="439"/>
      <c r="M4457" s="682"/>
    </row>
    <row r="4458" spans="3:13" hidden="1" x14ac:dyDescent="0.2">
      <c r="C4458" s="224"/>
      <c r="D4458" s="224"/>
      <c r="E4458" s="224"/>
      <c r="F4458" s="224"/>
      <c r="G4458" s="224"/>
      <c r="H4458" s="439"/>
      <c r="I4458" s="439"/>
      <c r="J4458" s="750" t="e">
        <f t="shared" si="52"/>
        <v>#DIV/0!</v>
      </c>
      <c r="K4458" s="439"/>
      <c r="L4458" s="439"/>
      <c r="M4458" s="682"/>
    </row>
    <row r="4459" spans="3:13" hidden="1" x14ac:dyDescent="0.2">
      <c r="C4459" s="224"/>
      <c r="D4459" s="224"/>
      <c r="E4459" s="224"/>
      <c r="F4459" s="224"/>
      <c r="G4459" s="224"/>
      <c r="H4459" s="439"/>
      <c r="I4459" s="439"/>
      <c r="J4459" s="750" t="e">
        <f t="shared" si="52"/>
        <v>#DIV/0!</v>
      </c>
      <c r="K4459" s="439"/>
      <c r="L4459" s="439"/>
      <c r="M4459" s="682"/>
    </row>
    <row r="4460" spans="3:13" hidden="1" x14ac:dyDescent="0.2">
      <c r="C4460" s="224"/>
      <c r="D4460" s="224"/>
      <c r="E4460" s="224"/>
      <c r="F4460" s="224"/>
      <c r="G4460" s="224"/>
      <c r="H4460" s="439"/>
      <c r="I4460" s="439"/>
      <c r="J4460" s="750" t="e">
        <f t="shared" si="52"/>
        <v>#DIV/0!</v>
      </c>
      <c r="K4460" s="439"/>
      <c r="L4460" s="439"/>
      <c r="M4460" s="682"/>
    </row>
    <row r="4461" spans="3:13" hidden="1" x14ac:dyDescent="0.2">
      <c r="C4461" s="224"/>
      <c r="D4461" s="224"/>
      <c r="E4461" s="224"/>
      <c r="F4461" s="224"/>
      <c r="G4461" s="224"/>
      <c r="H4461" s="439"/>
      <c r="I4461" s="439"/>
      <c r="J4461" s="750" t="e">
        <f t="shared" si="52"/>
        <v>#DIV/0!</v>
      </c>
      <c r="K4461" s="439"/>
      <c r="L4461" s="439"/>
      <c r="M4461" s="682"/>
    </row>
    <row r="4462" spans="3:13" hidden="1" x14ac:dyDescent="0.2">
      <c r="C4462" s="224"/>
      <c r="D4462" s="224"/>
      <c r="E4462" s="224"/>
      <c r="F4462" s="224"/>
      <c r="G4462" s="224"/>
      <c r="H4462" s="439"/>
      <c r="I4462" s="439"/>
      <c r="J4462" s="750" t="e">
        <f t="shared" si="52"/>
        <v>#DIV/0!</v>
      </c>
      <c r="K4462" s="439"/>
      <c r="L4462" s="439"/>
      <c r="M4462" s="682"/>
    </row>
    <row r="4463" spans="3:13" hidden="1" x14ac:dyDescent="0.2">
      <c r="C4463" s="224"/>
      <c r="D4463" s="224"/>
      <c r="E4463" s="224"/>
      <c r="F4463" s="224"/>
      <c r="G4463" s="224"/>
      <c r="H4463" s="439"/>
      <c r="I4463" s="439"/>
      <c r="J4463" s="750" t="e">
        <f t="shared" si="52"/>
        <v>#DIV/0!</v>
      </c>
      <c r="K4463" s="439"/>
      <c r="L4463" s="439"/>
      <c r="M4463" s="682"/>
    </row>
    <row r="4464" spans="3:13" hidden="1" x14ac:dyDescent="0.2">
      <c r="C4464" s="224"/>
      <c r="D4464" s="224"/>
      <c r="E4464" s="224"/>
      <c r="F4464" s="224"/>
      <c r="G4464" s="224"/>
      <c r="H4464" s="439"/>
      <c r="I4464" s="439"/>
      <c r="J4464" s="750" t="e">
        <f t="shared" si="52"/>
        <v>#DIV/0!</v>
      </c>
      <c r="K4464" s="439"/>
      <c r="L4464" s="439"/>
      <c r="M4464" s="682"/>
    </row>
    <row r="4465" spans="3:13" hidden="1" x14ac:dyDescent="0.2">
      <c r="C4465" s="224"/>
      <c r="D4465" s="224"/>
      <c r="E4465" s="224"/>
      <c r="F4465" s="224"/>
      <c r="G4465" s="224"/>
      <c r="H4465" s="439"/>
      <c r="I4465" s="439"/>
      <c r="J4465" s="750" t="e">
        <f t="shared" si="52"/>
        <v>#DIV/0!</v>
      </c>
      <c r="K4465" s="439"/>
      <c r="L4465" s="439"/>
      <c r="M4465" s="682"/>
    </row>
    <row r="4466" spans="3:13" hidden="1" x14ac:dyDescent="0.2">
      <c r="C4466" s="224"/>
      <c r="D4466" s="224"/>
      <c r="E4466" s="224"/>
      <c r="F4466" s="224"/>
      <c r="G4466" s="224"/>
      <c r="H4466" s="439"/>
      <c r="I4466" s="439"/>
      <c r="J4466" s="750" t="e">
        <f t="shared" si="52"/>
        <v>#DIV/0!</v>
      </c>
      <c r="K4466" s="439"/>
      <c r="L4466" s="439"/>
      <c r="M4466" s="682"/>
    </row>
    <row r="4467" spans="3:13" hidden="1" x14ac:dyDescent="0.2">
      <c r="C4467" s="224"/>
      <c r="D4467" s="224"/>
      <c r="E4467" s="224"/>
      <c r="F4467" s="224"/>
      <c r="G4467" s="224"/>
      <c r="H4467" s="439"/>
      <c r="I4467" s="439"/>
      <c r="J4467" s="750" t="e">
        <f t="shared" si="52"/>
        <v>#DIV/0!</v>
      </c>
      <c r="K4467" s="439"/>
      <c r="L4467" s="439"/>
      <c r="M4467" s="682"/>
    </row>
    <row r="4468" spans="3:13" hidden="1" x14ac:dyDescent="0.2">
      <c r="C4468" s="224"/>
      <c r="D4468" s="224"/>
      <c r="E4468" s="224"/>
      <c r="F4468" s="224"/>
      <c r="G4468" s="224"/>
      <c r="H4468" s="439"/>
      <c r="I4468" s="439"/>
      <c r="J4468" s="750" t="e">
        <f t="shared" si="52"/>
        <v>#DIV/0!</v>
      </c>
      <c r="K4468" s="439"/>
      <c r="L4468" s="439"/>
      <c r="M4468" s="682"/>
    </row>
    <row r="4469" spans="3:13" hidden="1" x14ac:dyDescent="0.2">
      <c r="C4469" s="224"/>
      <c r="D4469" s="224"/>
      <c r="E4469" s="224"/>
      <c r="F4469" s="224"/>
      <c r="G4469" s="224"/>
      <c r="H4469" s="439"/>
      <c r="I4469" s="439"/>
      <c r="J4469" s="750" t="e">
        <f t="shared" si="52"/>
        <v>#DIV/0!</v>
      </c>
      <c r="K4469" s="439"/>
      <c r="L4469" s="439"/>
      <c r="M4469" s="682"/>
    </row>
    <row r="4470" spans="3:13" hidden="1" x14ac:dyDescent="0.2">
      <c r="C4470" s="224"/>
      <c r="D4470" s="224"/>
      <c r="E4470" s="224"/>
      <c r="F4470" s="224"/>
      <c r="G4470" s="224"/>
      <c r="H4470" s="439"/>
      <c r="I4470" s="439"/>
      <c r="J4470" s="750" t="e">
        <f t="shared" si="52"/>
        <v>#DIV/0!</v>
      </c>
      <c r="K4470" s="439"/>
      <c r="L4470" s="439"/>
      <c r="M4470" s="682"/>
    </row>
    <row r="4471" spans="3:13" hidden="1" x14ac:dyDescent="0.2">
      <c r="C4471" s="224"/>
      <c r="D4471" s="224"/>
      <c r="E4471" s="224"/>
      <c r="F4471" s="224"/>
      <c r="G4471" s="224"/>
      <c r="H4471" s="439"/>
      <c r="I4471" s="439"/>
      <c r="J4471" s="750" t="e">
        <f t="shared" si="52"/>
        <v>#DIV/0!</v>
      </c>
      <c r="K4471" s="439"/>
      <c r="L4471" s="439"/>
      <c r="M4471" s="682"/>
    </row>
    <row r="4472" spans="3:13" hidden="1" x14ac:dyDescent="0.2">
      <c r="C4472" s="224"/>
      <c r="D4472" s="224"/>
      <c r="E4472" s="224"/>
      <c r="F4472" s="224"/>
      <c r="G4472" s="224"/>
      <c r="H4472" s="439"/>
      <c r="I4472" s="439"/>
      <c r="J4472" s="750" t="e">
        <f t="shared" si="52"/>
        <v>#DIV/0!</v>
      </c>
      <c r="K4472" s="439"/>
      <c r="L4472" s="439"/>
      <c r="M4472" s="682"/>
    </row>
    <row r="4473" spans="3:13" hidden="1" x14ac:dyDescent="0.2">
      <c r="C4473" s="224"/>
      <c r="D4473" s="224"/>
      <c r="E4473" s="224"/>
      <c r="F4473" s="224"/>
      <c r="G4473" s="224"/>
      <c r="H4473" s="439"/>
      <c r="I4473" s="439"/>
      <c r="J4473" s="750" t="e">
        <f t="shared" si="52"/>
        <v>#DIV/0!</v>
      </c>
      <c r="K4473" s="439"/>
      <c r="L4473" s="439"/>
      <c r="M4473" s="682"/>
    </row>
    <row r="4474" spans="3:13" hidden="1" x14ac:dyDescent="0.2">
      <c r="C4474" s="224"/>
      <c r="D4474" s="224"/>
      <c r="E4474" s="224"/>
      <c r="F4474" s="224"/>
      <c r="G4474" s="224"/>
      <c r="H4474" s="439"/>
      <c r="I4474" s="439"/>
      <c r="J4474" s="750" t="e">
        <f t="shared" si="52"/>
        <v>#DIV/0!</v>
      </c>
      <c r="K4474" s="439"/>
      <c r="L4474" s="439"/>
      <c r="M4474" s="682"/>
    </row>
    <row r="4475" spans="3:13" hidden="1" x14ac:dyDescent="0.2">
      <c r="C4475" s="224"/>
      <c r="D4475" s="224"/>
      <c r="E4475" s="224"/>
      <c r="F4475" s="224"/>
      <c r="G4475" s="224"/>
      <c r="H4475" s="439"/>
      <c r="I4475" s="439"/>
      <c r="J4475" s="750" t="e">
        <f t="shared" si="52"/>
        <v>#DIV/0!</v>
      </c>
      <c r="K4475" s="439"/>
      <c r="L4475" s="439"/>
      <c r="M4475" s="682"/>
    </row>
    <row r="4476" spans="3:13" hidden="1" x14ac:dyDescent="0.2">
      <c r="C4476" s="224"/>
      <c r="D4476" s="224"/>
      <c r="E4476" s="224"/>
      <c r="F4476" s="224"/>
      <c r="G4476" s="224"/>
      <c r="H4476" s="439"/>
      <c r="I4476" s="439"/>
      <c r="J4476" s="750" t="e">
        <f t="shared" si="52"/>
        <v>#DIV/0!</v>
      </c>
      <c r="K4476" s="439"/>
      <c r="L4476" s="439"/>
      <c r="M4476" s="682"/>
    </row>
    <row r="4477" spans="3:13" hidden="1" x14ac:dyDescent="0.2">
      <c r="C4477" s="224"/>
      <c r="D4477" s="224"/>
      <c r="E4477" s="224"/>
      <c r="F4477" s="224"/>
      <c r="G4477" s="224"/>
      <c r="H4477" s="439"/>
      <c r="I4477" s="439"/>
      <c r="J4477" s="750" t="e">
        <f t="shared" si="52"/>
        <v>#DIV/0!</v>
      </c>
      <c r="K4477" s="439"/>
      <c r="L4477" s="439"/>
      <c r="M4477" s="682"/>
    </row>
    <row r="4478" spans="3:13" hidden="1" x14ac:dyDescent="0.2">
      <c r="C4478" s="224"/>
      <c r="D4478" s="224"/>
      <c r="E4478" s="224"/>
      <c r="F4478" s="224"/>
      <c r="G4478" s="224"/>
      <c r="H4478" s="439"/>
      <c r="I4478" s="439"/>
      <c r="J4478" s="750" t="e">
        <f t="shared" si="52"/>
        <v>#DIV/0!</v>
      </c>
      <c r="K4478" s="439"/>
      <c r="L4478" s="439"/>
      <c r="M4478" s="682"/>
    </row>
    <row r="4479" spans="3:13" hidden="1" x14ac:dyDescent="0.2">
      <c r="C4479" s="224"/>
      <c r="D4479" s="224"/>
      <c r="E4479" s="224"/>
      <c r="F4479" s="224"/>
      <c r="G4479" s="224"/>
      <c r="H4479" s="439"/>
      <c r="I4479" s="439"/>
      <c r="J4479" s="750" t="e">
        <f t="shared" si="52"/>
        <v>#DIV/0!</v>
      </c>
      <c r="K4479" s="439"/>
      <c r="L4479" s="439"/>
      <c r="M4479" s="682"/>
    </row>
    <row r="4480" spans="3:13" hidden="1" x14ac:dyDescent="0.2">
      <c r="C4480" s="224"/>
      <c r="D4480" s="224"/>
      <c r="E4480" s="224"/>
      <c r="F4480" s="224"/>
      <c r="G4480" s="224"/>
      <c r="H4480" s="439"/>
      <c r="I4480" s="439"/>
      <c r="J4480" s="750" t="e">
        <f t="shared" si="52"/>
        <v>#DIV/0!</v>
      </c>
      <c r="K4480" s="439"/>
      <c r="L4480" s="439"/>
      <c r="M4480" s="682"/>
    </row>
    <row r="4481" spans="3:13" hidden="1" x14ac:dyDescent="0.2">
      <c r="C4481" s="224"/>
      <c r="D4481" s="224"/>
      <c r="E4481" s="224"/>
      <c r="F4481" s="224"/>
      <c r="G4481" s="224"/>
      <c r="H4481" s="439"/>
      <c r="I4481" s="439"/>
      <c r="J4481" s="750" t="e">
        <f t="shared" si="52"/>
        <v>#DIV/0!</v>
      </c>
      <c r="K4481" s="439"/>
      <c r="L4481" s="439"/>
      <c r="M4481" s="682"/>
    </row>
    <row r="4482" spans="3:13" hidden="1" x14ac:dyDescent="0.2">
      <c r="C4482" s="224"/>
      <c r="D4482" s="224"/>
      <c r="E4482" s="224"/>
      <c r="F4482" s="224"/>
      <c r="G4482" s="224"/>
      <c r="H4482" s="439"/>
      <c r="I4482" s="439"/>
      <c r="J4482" s="750" t="e">
        <f t="shared" si="52"/>
        <v>#DIV/0!</v>
      </c>
      <c r="K4482" s="439"/>
      <c r="L4482" s="439"/>
      <c r="M4482" s="682"/>
    </row>
    <row r="4483" spans="3:13" hidden="1" x14ac:dyDescent="0.2">
      <c r="C4483" s="224"/>
      <c r="D4483" s="224"/>
      <c r="E4483" s="224"/>
      <c r="F4483" s="224"/>
      <c r="G4483" s="224"/>
      <c r="H4483" s="439"/>
      <c r="I4483" s="439"/>
      <c r="J4483" s="750" t="e">
        <f t="shared" si="52"/>
        <v>#DIV/0!</v>
      </c>
      <c r="K4483" s="439"/>
      <c r="L4483" s="439"/>
      <c r="M4483" s="682"/>
    </row>
    <row r="4484" spans="3:13" hidden="1" x14ac:dyDescent="0.2">
      <c r="C4484" s="224"/>
      <c r="D4484" s="224"/>
      <c r="E4484" s="224"/>
      <c r="F4484" s="224"/>
      <c r="G4484" s="224"/>
      <c r="H4484" s="439"/>
      <c r="I4484" s="439"/>
      <c r="J4484" s="750" t="e">
        <f t="shared" si="52"/>
        <v>#DIV/0!</v>
      </c>
      <c r="K4484" s="439"/>
      <c r="L4484" s="439"/>
      <c r="M4484" s="682"/>
    </row>
    <row r="4485" spans="3:13" hidden="1" x14ac:dyDescent="0.2">
      <c r="C4485" s="224"/>
      <c r="D4485" s="224"/>
      <c r="E4485" s="224"/>
      <c r="F4485" s="224"/>
      <c r="G4485" s="224"/>
      <c r="H4485" s="439"/>
      <c r="I4485" s="439"/>
      <c r="J4485" s="750" t="e">
        <f t="shared" si="52"/>
        <v>#DIV/0!</v>
      </c>
      <c r="K4485" s="439"/>
      <c r="L4485" s="439"/>
      <c r="M4485" s="682"/>
    </row>
    <row r="4486" spans="3:13" hidden="1" x14ac:dyDescent="0.2">
      <c r="C4486" s="224"/>
      <c r="D4486" s="224"/>
      <c r="E4486" s="224"/>
      <c r="F4486" s="224"/>
      <c r="G4486" s="224"/>
      <c r="H4486" s="439"/>
      <c r="I4486" s="439"/>
      <c r="J4486" s="750" t="e">
        <f t="shared" si="52"/>
        <v>#DIV/0!</v>
      </c>
      <c r="K4486" s="439"/>
      <c r="L4486" s="439"/>
      <c r="M4486" s="682"/>
    </row>
    <row r="4487" spans="3:13" hidden="1" x14ac:dyDescent="0.2">
      <c r="C4487" s="224"/>
      <c r="D4487" s="224"/>
      <c r="E4487" s="224"/>
      <c r="F4487" s="224"/>
      <c r="G4487" s="224"/>
      <c r="H4487" s="439"/>
      <c r="I4487" s="439"/>
      <c r="J4487" s="750" t="e">
        <f t="shared" si="52"/>
        <v>#DIV/0!</v>
      </c>
      <c r="K4487" s="439"/>
      <c r="L4487" s="439"/>
      <c r="M4487" s="682"/>
    </row>
    <row r="4488" spans="3:13" hidden="1" x14ac:dyDescent="0.2">
      <c r="C4488" s="224"/>
      <c r="D4488" s="224"/>
      <c r="E4488" s="224"/>
      <c r="F4488" s="224"/>
      <c r="G4488" s="224"/>
      <c r="H4488" s="439"/>
      <c r="I4488" s="439"/>
      <c r="J4488" s="750" t="e">
        <f t="shared" si="52"/>
        <v>#DIV/0!</v>
      </c>
      <c r="K4488" s="439"/>
      <c r="L4488" s="439"/>
      <c r="M4488" s="682"/>
    </row>
    <row r="4489" spans="3:13" hidden="1" x14ac:dyDescent="0.2">
      <c r="C4489" s="224"/>
      <c r="D4489" s="224"/>
      <c r="E4489" s="224"/>
      <c r="F4489" s="224"/>
      <c r="G4489" s="224"/>
      <c r="H4489" s="439"/>
      <c r="I4489" s="439"/>
      <c r="J4489" s="750" t="e">
        <f t="shared" si="52"/>
        <v>#DIV/0!</v>
      </c>
      <c r="K4489" s="439"/>
      <c r="L4489" s="439"/>
      <c r="M4489" s="682"/>
    </row>
    <row r="4490" spans="3:13" hidden="1" x14ac:dyDescent="0.2">
      <c r="C4490" s="224"/>
      <c r="D4490" s="224"/>
      <c r="E4490" s="224"/>
      <c r="F4490" s="224"/>
      <c r="G4490" s="224"/>
      <c r="H4490" s="439"/>
      <c r="I4490" s="439"/>
      <c r="J4490" s="750" t="e">
        <f t="shared" si="52"/>
        <v>#DIV/0!</v>
      </c>
      <c r="K4490" s="439"/>
      <c r="L4490" s="439"/>
      <c r="M4490" s="682"/>
    </row>
    <row r="4491" spans="3:13" hidden="1" x14ac:dyDescent="0.2">
      <c r="C4491" s="224"/>
      <c r="D4491" s="224"/>
      <c r="E4491" s="224"/>
      <c r="F4491" s="224"/>
      <c r="G4491" s="224"/>
      <c r="H4491" s="439"/>
      <c r="I4491" s="439"/>
      <c r="J4491" s="750" t="e">
        <f t="shared" si="52"/>
        <v>#DIV/0!</v>
      </c>
      <c r="K4491" s="439"/>
      <c r="L4491" s="439"/>
      <c r="M4491" s="682"/>
    </row>
    <row r="4492" spans="3:13" hidden="1" x14ac:dyDescent="0.2">
      <c r="C4492" s="224"/>
      <c r="D4492" s="224"/>
      <c r="E4492" s="224"/>
      <c r="F4492" s="224"/>
      <c r="G4492" s="224"/>
      <c r="H4492" s="439"/>
      <c r="I4492" s="439"/>
      <c r="J4492" s="750" t="e">
        <f t="shared" si="52"/>
        <v>#DIV/0!</v>
      </c>
      <c r="K4492" s="439"/>
      <c r="L4492" s="439"/>
      <c r="M4492" s="682"/>
    </row>
    <row r="4493" spans="3:13" hidden="1" x14ac:dyDescent="0.2">
      <c r="C4493" s="224"/>
      <c r="D4493" s="224"/>
      <c r="E4493" s="224"/>
      <c r="F4493" s="224"/>
      <c r="G4493" s="224"/>
      <c r="H4493" s="439"/>
      <c r="I4493" s="439"/>
      <c r="J4493" s="750" t="e">
        <f t="shared" ref="J4493:J4556" si="53">SUM(I4493/H4493)*100</f>
        <v>#DIV/0!</v>
      </c>
      <c r="K4493" s="439"/>
      <c r="L4493" s="439"/>
      <c r="M4493" s="682"/>
    </row>
    <row r="4494" spans="3:13" hidden="1" x14ac:dyDescent="0.2">
      <c r="C4494" s="224"/>
      <c r="D4494" s="224"/>
      <c r="E4494" s="224"/>
      <c r="F4494" s="224"/>
      <c r="G4494" s="224"/>
      <c r="H4494" s="439"/>
      <c r="I4494" s="439"/>
      <c r="J4494" s="750" t="e">
        <f t="shared" si="53"/>
        <v>#DIV/0!</v>
      </c>
      <c r="K4494" s="439"/>
      <c r="L4494" s="439"/>
      <c r="M4494" s="682"/>
    </row>
    <row r="4495" spans="3:13" hidden="1" x14ac:dyDescent="0.2">
      <c r="C4495" s="224"/>
      <c r="D4495" s="224"/>
      <c r="E4495" s="224"/>
      <c r="F4495" s="224"/>
      <c r="G4495" s="224"/>
      <c r="H4495" s="439"/>
      <c r="I4495" s="439"/>
      <c r="J4495" s="750" t="e">
        <f t="shared" si="53"/>
        <v>#DIV/0!</v>
      </c>
      <c r="K4495" s="439"/>
      <c r="L4495" s="439"/>
      <c r="M4495" s="682"/>
    </row>
    <row r="4496" spans="3:13" hidden="1" x14ac:dyDescent="0.2">
      <c r="C4496" s="224"/>
      <c r="D4496" s="224"/>
      <c r="E4496" s="224"/>
      <c r="F4496" s="224"/>
      <c r="G4496" s="224"/>
      <c r="H4496" s="439"/>
      <c r="I4496" s="439"/>
      <c r="J4496" s="750" t="e">
        <f t="shared" si="53"/>
        <v>#DIV/0!</v>
      </c>
      <c r="K4496" s="439"/>
      <c r="L4496" s="439"/>
      <c r="M4496" s="682"/>
    </row>
    <row r="4497" spans="3:13" hidden="1" x14ac:dyDescent="0.2">
      <c r="C4497" s="224"/>
      <c r="D4497" s="224"/>
      <c r="E4497" s="224"/>
      <c r="F4497" s="224"/>
      <c r="G4497" s="224"/>
      <c r="H4497" s="439"/>
      <c r="I4497" s="439"/>
      <c r="J4497" s="750" t="e">
        <f t="shared" si="53"/>
        <v>#DIV/0!</v>
      </c>
      <c r="K4497" s="439"/>
      <c r="L4497" s="439"/>
      <c r="M4497" s="682"/>
    </row>
    <row r="4498" spans="3:13" hidden="1" x14ac:dyDescent="0.2">
      <c r="C4498" s="224"/>
      <c r="D4498" s="224"/>
      <c r="E4498" s="224"/>
      <c r="F4498" s="224"/>
      <c r="G4498" s="224"/>
      <c r="H4498" s="439"/>
      <c r="I4498" s="439"/>
      <c r="J4498" s="750" t="e">
        <f t="shared" si="53"/>
        <v>#DIV/0!</v>
      </c>
      <c r="K4498" s="439"/>
      <c r="L4498" s="439"/>
      <c r="M4498" s="682"/>
    </row>
    <row r="4499" spans="3:13" hidden="1" x14ac:dyDescent="0.2">
      <c r="C4499" s="224"/>
      <c r="D4499" s="224"/>
      <c r="E4499" s="224"/>
      <c r="F4499" s="224"/>
      <c r="G4499" s="224"/>
      <c r="H4499" s="439"/>
      <c r="I4499" s="439"/>
      <c r="J4499" s="750" t="e">
        <f t="shared" si="53"/>
        <v>#DIV/0!</v>
      </c>
      <c r="K4499" s="439"/>
      <c r="L4499" s="439"/>
      <c r="M4499" s="682"/>
    </row>
    <row r="4500" spans="3:13" hidden="1" x14ac:dyDescent="0.2">
      <c r="C4500" s="224"/>
      <c r="D4500" s="224"/>
      <c r="E4500" s="224"/>
      <c r="F4500" s="224"/>
      <c r="G4500" s="224"/>
      <c r="H4500" s="439"/>
      <c r="I4500" s="439"/>
      <c r="J4500" s="750" t="e">
        <f t="shared" si="53"/>
        <v>#DIV/0!</v>
      </c>
      <c r="K4500" s="439"/>
      <c r="L4500" s="439"/>
      <c r="M4500" s="682"/>
    </row>
    <row r="4501" spans="3:13" hidden="1" x14ac:dyDescent="0.2">
      <c r="C4501" s="224"/>
      <c r="D4501" s="224"/>
      <c r="E4501" s="224"/>
      <c r="F4501" s="224"/>
      <c r="G4501" s="224"/>
      <c r="H4501" s="439"/>
      <c r="I4501" s="439"/>
      <c r="J4501" s="750" t="e">
        <f t="shared" si="53"/>
        <v>#DIV/0!</v>
      </c>
      <c r="K4501" s="439"/>
      <c r="L4501" s="439"/>
      <c r="M4501" s="682"/>
    </row>
    <row r="4502" spans="3:13" hidden="1" x14ac:dyDescent="0.2">
      <c r="C4502" s="224"/>
      <c r="D4502" s="224"/>
      <c r="E4502" s="224"/>
      <c r="F4502" s="224"/>
      <c r="G4502" s="224"/>
      <c r="H4502" s="439"/>
      <c r="I4502" s="439"/>
      <c r="J4502" s="750" t="e">
        <f t="shared" si="53"/>
        <v>#DIV/0!</v>
      </c>
      <c r="K4502" s="439"/>
      <c r="L4502" s="439"/>
      <c r="M4502" s="682"/>
    </row>
    <row r="4503" spans="3:13" hidden="1" x14ac:dyDescent="0.2">
      <c r="C4503" s="224"/>
      <c r="D4503" s="224"/>
      <c r="E4503" s="224"/>
      <c r="F4503" s="224"/>
      <c r="G4503" s="224"/>
      <c r="H4503" s="439"/>
      <c r="I4503" s="439"/>
      <c r="J4503" s="750" t="e">
        <f t="shared" si="53"/>
        <v>#DIV/0!</v>
      </c>
      <c r="K4503" s="439"/>
      <c r="L4503" s="439"/>
      <c r="M4503" s="682"/>
    </row>
    <row r="4504" spans="3:13" hidden="1" x14ac:dyDescent="0.2">
      <c r="C4504" s="224"/>
      <c r="D4504" s="224"/>
      <c r="E4504" s="224"/>
      <c r="F4504" s="224"/>
      <c r="G4504" s="224"/>
      <c r="H4504" s="439"/>
      <c r="I4504" s="439"/>
      <c r="J4504" s="750" t="e">
        <f t="shared" si="53"/>
        <v>#DIV/0!</v>
      </c>
      <c r="K4504" s="439"/>
      <c r="L4504" s="439"/>
      <c r="M4504" s="682"/>
    </row>
    <row r="4505" spans="3:13" hidden="1" x14ac:dyDescent="0.2">
      <c r="C4505" s="224"/>
      <c r="D4505" s="224"/>
      <c r="E4505" s="224"/>
      <c r="F4505" s="224"/>
      <c r="G4505" s="224"/>
      <c r="H4505" s="439"/>
      <c r="I4505" s="439"/>
      <c r="J4505" s="750" t="e">
        <f t="shared" si="53"/>
        <v>#DIV/0!</v>
      </c>
      <c r="K4505" s="439"/>
      <c r="L4505" s="439"/>
      <c r="M4505" s="682"/>
    </row>
    <row r="4506" spans="3:13" hidden="1" x14ac:dyDescent="0.2">
      <c r="C4506" s="224"/>
      <c r="D4506" s="224"/>
      <c r="E4506" s="224"/>
      <c r="F4506" s="224"/>
      <c r="G4506" s="224"/>
      <c r="H4506" s="439"/>
      <c r="I4506" s="439"/>
      <c r="J4506" s="750" t="e">
        <f t="shared" si="53"/>
        <v>#DIV/0!</v>
      </c>
      <c r="K4506" s="439"/>
      <c r="L4506" s="439"/>
      <c r="M4506" s="682"/>
    </row>
    <row r="4507" spans="3:13" hidden="1" x14ac:dyDescent="0.2">
      <c r="C4507" s="224"/>
      <c r="D4507" s="224"/>
      <c r="E4507" s="224"/>
      <c r="F4507" s="224"/>
      <c r="G4507" s="224"/>
      <c r="H4507" s="439"/>
      <c r="I4507" s="439"/>
      <c r="J4507" s="750" t="e">
        <f t="shared" si="53"/>
        <v>#DIV/0!</v>
      </c>
      <c r="K4507" s="439"/>
      <c r="L4507" s="439"/>
      <c r="M4507" s="682"/>
    </row>
    <row r="4508" spans="3:13" hidden="1" x14ac:dyDescent="0.2">
      <c r="C4508" s="224"/>
      <c r="D4508" s="224"/>
      <c r="E4508" s="224"/>
      <c r="F4508" s="224"/>
      <c r="G4508" s="224"/>
      <c r="H4508" s="439"/>
      <c r="I4508" s="439"/>
      <c r="J4508" s="750" t="e">
        <f t="shared" si="53"/>
        <v>#DIV/0!</v>
      </c>
      <c r="K4508" s="439"/>
      <c r="L4508" s="439"/>
      <c r="M4508" s="682"/>
    </row>
    <row r="4509" spans="3:13" hidden="1" x14ac:dyDescent="0.2">
      <c r="C4509" s="224"/>
      <c r="D4509" s="224"/>
      <c r="E4509" s="224"/>
      <c r="F4509" s="224"/>
      <c r="G4509" s="224"/>
      <c r="H4509" s="439"/>
      <c r="I4509" s="439"/>
      <c r="J4509" s="750" t="e">
        <f t="shared" si="53"/>
        <v>#DIV/0!</v>
      </c>
      <c r="K4509" s="439"/>
      <c r="L4509" s="439"/>
      <c r="M4509" s="682"/>
    </row>
    <row r="4510" spans="3:13" hidden="1" x14ac:dyDescent="0.2">
      <c r="C4510" s="224"/>
      <c r="D4510" s="224"/>
      <c r="E4510" s="224"/>
      <c r="F4510" s="224"/>
      <c r="G4510" s="224"/>
      <c r="H4510" s="439"/>
      <c r="I4510" s="439"/>
      <c r="J4510" s="750" t="e">
        <f t="shared" si="53"/>
        <v>#DIV/0!</v>
      </c>
      <c r="K4510" s="439"/>
      <c r="L4510" s="439"/>
      <c r="M4510" s="682"/>
    </row>
    <row r="4511" spans="3:13" hidden="1" x14ac:dyDescent="0.2">
      <c r="C4511" s="224"/>
      <c r="D4511" s="224"/>
      <c r="E4511" s="224"/>
      <c r="F4511" s="224"/>
      <c r="G4511" s="224"/>
      <c r="H4511" s="439"/>
      <c r="I4511" s="439"/>
      <c r="J4511" s="750" t="e">
        <f t="shared" si="53"/>
        <v>#DIV/0!</v>
      </c>
      <c r="K4511" s="439"/>
      <c r="L4511" s="439"/>
      <c r="M4511" s="682"/>
    </row>
    <row r="4512" spans="3:13" hidden="1" x14ac:dyDescent="0.2">
      <c r="C4512" s="224"/>
      <c r="D4512" s="224"/>
      <c r="E4512" s="224"/>
      <c r="F4512" s="224"/>
      <c r="G4512" s="224"/>
      <c r="H4512" s="439"/>
      <c r="I4512" s="439"/>
      <c r="J4512" s="750" t="e">
        <f t="shared" si="53"/>
        <v>#DIV/0!</v>
      </c>
      <c r="K4512" s="439"/>
      <c r="L4512" s="439"/>
      <c r="M4512" s="682"/>
    </row>
    <row r="4513" spans="3:13" hidden="1" x14ac:dyDescent="0.2">
      <c r="C4513" s="224"/>
      <c r="D4513" s="224"/>
      <c r="E4513" s="224"/>
      <c r="F4513" s="224"/>
      <c r="G4513" s="224"/>
      <c r="H4513" s="439"/>
      <c r="I4513" s="439"/>
      <c r="J4513" s="750" t="e">
        <f t="shared" si="53"/>
        <v>#DIV/0!</v>
      </c>
      <c r="K4513" s="439"/>
      <c r="L4513" s="439"/>
      <c r="M4513" s="682"/>
    </row>
    <row r="4514" spans="3:13" hidden="1" x14ac:dyDescent="0.2">
      <c r="C4514" s="224"/>
      <c r="D4514" s="224"/>
      <c r="E4514" s="224"/>
      <c r="F4514" s="224"/>
      <c r="G4514" s="224"/>
      <c r="H4514" s="439"/>
      <c r="I4514" s="439"/>
      <c r="J4514" s="750" t="e">
        <f t="shared" si="53"/>
        <v>#DIV/0!</v>
      </c>
      <c r="K4514" s="439"/>
      <c r="L4514" s="439"/>
      <c r="M4514" s="682"/>
    </row>
    <row r="4515" spans="3:13" hidden="1" x14ac:dyDescent="0.2">
      <c r="C4515" s="224"/>
      <c r="D4515" s="224"/>
      <c r="E4515" s="224"/>
      <c r="F4515" s="224"/>
      <c r="G4515" s="224"/>
      <c r="H4515" s="439"/>
      <c r="I4515" s="439"/>
      <c r="J4515" s="750" t="e">
        <f t="shared" si="53"/>
        <v>#DIV/0!</v>
      </c>
      <c r="K4515" s="439"/>
      <c r="L4515" s="439"/>
      <c r="M4515" s="682"/>
    </row>
    <row r="4516" spans="3:13" hidden="1" x14ac:dyDescent="0.2">
      <c r="C4516" s="224"/>
      <c r="D4516" s="224"/>
      <c r="E4516" s="224"/>
      <c r="F4516" s="224"/>
      <c r="G4516" s="224"/>
      <c r="H4516" s="439"/>
      <c r="I4516" s="439"/>
      <c r="J4516" s="750" t="e">
        <f t="shared" si="53"/>
        <v>#DIV/0!</v>
      </c>
      <c r="K4516" s="439"/>
      <c r="L4516" s="439"/>
      <c r="M4516" s="682"/>
    </row>
    <row r="4517" spans="3:13" hidden="1" x14ac:dyDescent="0.2">
      <c r="C4517" s="224"/>
      <c r="D4517" s="224"/>
      <c r="E4517" s="224"/>
      <c r="F4517" s="224"/>
      <c r="G4517" s="224"/>
      <c r="H4517" s="439"/>
      <c r="I4517" s="439"/>
      <c r="J4517" s="750" t="e">
        <f t="shared" si="53"/>
        <v>#DIV/0!</v>
      </c>
      <c r="K4517" s="439"/>
      <c r="L4517" s="439"/>
      <c r="M4517" s="682"/>
    </row>
    <row r="4518" spans="3:13" hidden="1" x14ac:dyDescent="0.2">
      <c r="C4518" s="224"/>
      <c r="D4518" s="224"/>
      <c r="E4518" s="224"/>
      <c r="F4518" s="224"/>
      <c r="G4518" s="224"/>
      <c r="H4518" s="439"/>
      <c r="I4518" s="439"/>
      <c r="J4518" s="750" t="e">
        <f t="shared" si="53"/>
        <v>#DIV/0!</v>
      </c>
      <c r="K4518" s="439"/>
      <c r="L4518" s="439"/>
      <c r="M4518" s="682"/>
    </row>
    <row r="4519" spans="3:13" hidden="1" x14ac:dyDescent="0.2">
      <c r="C4519" s="224"/>
      <c r="D4519" s="224"/>
      <c r="E4519" s="224"/>
      <c r="F4519" s="224"/>
      <c r="G4519" s="224"/>
      <c r="H4519" s="439"/>
      <c r="I4519" s="439"/>
      <c r="J4519" s="750" t="e">
        <f t="shared" si="53"/>
        <v>#DIV/0!</v>
      </c>
      <c r="K4519" s="439"/>
      <c r="L4519" s="439"/>
      <c r="M4519" s="682"/>
    </row>
    <row r="4520" spans="3:13" hidden="1" x14ac:dyDescent="0.2">
      <c r="C4520" s="224"/>
      <c r="D4520" s="224"/>
      <c r="E4520" s="224"/>
      <c r="F4520" s="224"/>
      <c r="G4520" s="224"/>
      <c r="H4520" s="439"/>
      <c r="I4520" s="439"/>
      <c r="J4520" s="750" t="e">
        <f t="shared" si="53"/>
        <v>#DIV/0!</v>
      </c>
      <c r="K4520" s="439"/>
      <c r="L4520" s="439"/>
      <c r="M4520" s="682"/>
    </row>
    <row r="4521" spans="3:13" hidden="1" x14ac:dyDescent="0.2">
      <c r="C4521" s="224"/>
      <c r="D4521" s="224"/>
      <c r="E4521" s="224"/>
      <c r="F4521" s="224"/>
      <c r="G4521" s="224"/>
      <c r="H4521" s="439"/>
      <c r="I4521" s="439"/>
      <c r="J4521" s="750" t="e">
        <f t="shared" si="53"/>
        <v>#DIV/0!</v>
      </c>
      <c r="K4521" s="439"/>
      <c r="L4521" s="439"/>
      <c r="M4521" s="682"/>
    </row>
    <row r="4522" spans="3:13" hidden="1" x14ac:dyDescent="0.2">
      <c r="C4522" s="224"/>
      <c r="D4522" s="224"/>
      <c r="E4522" s="224"/>
      <c r="F4522" s="224"/>
      <c r="G4522" s="224"/>
      <c r="H4522" s="439"/>
      <c r="I4522" s="439"/>
      <c r="J4522" s="750" t="e">
        <f t="shared" si="53"/>
        <v>#DIV/0!</v>
      </c>
      <c r="K4522" s="439"/>
      <c r="L4522" s="439"/>
      <c r="M4522" s="682"/>
    </row>
    <row r="4523" spans="3:13" hidden="1" x14ac:dyDescent="0.2">
      <c r="C4523" s="224"/>
      <c r="D4523" s="224"/>
      <c r="E4523" s="224"/>
      <c r="F4523" s="224"/>
      <c r="G4523" s="224"/>
      <c r="H4523" s="439"/>
      <c r="I4523" s="439"/>
      <c r="J4523" s="750" t="e">
        <f t="shared" si="53"/>
        <v>#DIV/0!</v>
      </c>
      <c r="K4523" s="439"/>
      <c r="L4523" s="439"/>
      <c r="M4523" s="682"/>
    </row>
    <row r="4524" spans="3:13" hidden="1" x14ac:dyDescent="0.2">
      <c r="C4524" s="224"/>
      <c r="D4524" s="224"/>
      <c r="E4524" s="224"/>
      <c r="F4524" s="224"/>
      <c r="G4524" s="224"/>
      <c r="H4524" s="439"/>
      <c r="I4524" s="439"/>
      <c r="J4524" s="750" t="e">
        <f t="shared" si="53"/>
        <v>#DIV/0!</v>
      </c>
      <c r="K4524" s="439"/>
      <c r="L4524" s="439"/>
      <c r="M4524" s="682"/>
    </row>
    <row r="4525" spans="3:13" hidden="1" x14ac:dyDescent="0.2">
      <c r="C4525" s="224"/>
      <c r="D4525" s="224"/>
      <c r="E4525" s="224"/>
      <c r="F4525" s="224"/>
      <c r="G4525" s="224"/>
      <c r="H4525" s="439"/>
      <c r="I4525" s="439"/>
      <c r="J4525" s="750" t="e">
        <f t="shared" si="53"/>
        <v>#DIV/0!</v>
      </c>
      <c r="K4525" s="439"/>
      <c r="L4525" s="439"/>
      <c r="M4525" s="682"/>
    </row>
    <row r="4526" spans="3:13" hidden="1" x14ac:dyDescent="0.2">
      <c r="C4526" s="224"/>
      <c r="D4526" s="224"/>
      <c r="E4526" s="224"/>
      <c r="F4526" s="224"/>
      <c r="G4526" s="224"/>
      <c r="H4526" s="439"/>
      <c r="I4526" s="439"/>
      <c r="J4526" s="750" t="e">
        <f t="shared" si="53"/>
        <v>#DIV/0!</v>
      </c>
      <c r="K4526" s="439"/>
      <c r="L4526" s="439"/>
      <c r="M4526" s="682"/>
    </row>
    <row r="4527" spans="3:13" hidden="1" x14ac:dyDescent="0.2">
      <c r="C4527" s="224"/>
      <c r="D4527" s="224"/>
      <c r="E4527" s="224"/>
      <c r="F4527" s="224"/>
      <c r="G4527" s="224"/>
      <c r="H4527" s="439"/>
      <c r="I4527" s="439"/>
      <c r="J4527" s="750" t="e">
        <f t="shared" si="53"/>
        <v>#DIV/0!</v>
      </c>
      <c r="K4527" s="439"/>
      <c r="L4527" s="439"/>
      <c r="M4527" s="682"/>
    </row>
    <row r="4528" spans="3:13" hidden="1" x14ac:dyDescent="0.2">
      <c r="C4528" s="224"/>
      <c r="D4528" s="224"/>
      <c r="E4528" s="224"/>
      <c r="F4528" s="224"/>
      <c r="G4528" s="224"/>
      <c r="H4528" s="439"/>
      <c r="I4528" s="439"/>
      <c r="J4528" s="750" t="e">
        <f t="shared" si="53"/>
        <v>#DIV/0!</v>
      </c>
      <c r="K4528" s="439"/>
      <c r="L4528" s="439"/>
      <c r="M4528" s="682"/>
    </row>
    <row r="4529" spans="3:13" hidden="1" x14ac:dyDescent="0.2">
      <c r="C4529" s="224"/>
      <c r="D4529" s="224"/>
      <c r="E4529" s="224"/>
      <c r="F4529" s="224"/>
      <c r="G4529" s="224"/>
      <c r="H4529" s="439"/>
      <c r="I4529" s="439"/>
      <c r="J4529" s="750" t="e">
        <f t="shared" si="53"/>
        <v>#DIV/0!</v>
      </c>
      <c r="K4529" s="439"/>
      <c r="L4529" s="439"/>
      <c r="M4529" s="682"/>
    </row>
    <row r="4530" spans="3:13" hidden="1" x14ac:dyDescent="0.2">
      <c r="C4530" s="224"/>
      <c r="D4530" s="224"/>
      <c r="E4530" s="224"/>
      <c r="F4530" s="224"/>
      <c r="G4530" s="224"/>
      <c r="H4530" s="439"/>
      <c r="I4530" s="439"/>
      <c r="J4530" s="750" t="e">
        <f t="shared" si="53"/>
        <v>#DIV/0!</v>
      </c>
      <c r="K4530" s="439"/>
      <c r="L4530" s="439"/>
      <c r="M4530" s="682"/>
    </row>
    <row r="4531" spans="3:13" ht="11.25" hidden="1" customHeight="1" x14ac:dyDescent="0.2">
      <c r="C4531" s="224"/>
      <c r="D4531" s="224"/>
      <c r="E4531" s="224"/>
      <c r="F4531" s="224"/>
      <c r="G4531" s="224"/>
      <c r="H4531" s="439"/>
      <c r="I4531" s="439"/>
      <c r="J4531" s="750" t="e">
        <f t="shared" si="53"/>
        <v>#DIV/0!</v>
      </c>
      <c r="K4531" s="439"/>
      <c r="L4531" s="439"/>
      <c r="M4531" s="682"/>
    </row>
    <row r="4532" spans="3:13" hidden="1" x14ac:dyDescent="0.2">
      <c r="G4532" s="510"/>
      <c r="H4532" s="411"/>
      <c r="I4532" s="411"/>
      <c r="J4532" s="750" t="e">
        <f t="shared" si="53"/>
        <v>#DIV/0!</v>
      </c>
      <c r="K4532" s="412"/>
      <c r="L4532" s="412"/>
      <c r="M4532" s="682"/>
    </row>
    <row r="4533" spans="3:13" hidden="1" x14ac:dyDescent="0.2">
      <c r="G4533" s="510"/>
      <c r="H4533" s="411"/>
      <c r="I4533" s="411"/>
      <c r="J4533" s="750" t="e">
        <f t="shared" si="53"/>
        <v>#DIV/0!</v>
      </c>
      <c r="K4533" s="412"/>
      <c r="L4533" s="412"/>
      <c r="M4533" s="682"/>
    </row>
    <row r="4534" spans="3:13" hidden="1" x14ac:dyDescent="0.2">
      <c r="G4534" s="510"/>
      <c r="H4534" s="411"/>
      <c r="I4534" s="411"/>
      <c r="J4534" s="750" t="e">
        <f t="shared" si="53"/>
        <v>#DIV/0!</v>
      </c>
      <c r="K4534" s="412"/>
      <c r="L4534" s="412"/>
      <c r="M4534" s="682"/>
    </row>
    <row r="4535" spans="3:13" hidden="1" x14ac:dyDescent="0.2">
      <c r="G4535" s="510"/>
      <c r="H4535" s="411"/>
      <c r="I4535" s="411"/>
      <c r="J4535" s="750" t="e">
        <f t="shared" si="53"/>
        <v>#DIV/0!</v>
      </c>
      <c r="K4535" s="412"/>
      <c r="L4535" s="412"/>
      <c r="M4535" s="682"/>
    </row>
    <row r="4536" spans="3:13" hidden="1" x14ac:dyDescent="0.2">
      <c r="G4536" s="510"/>
      <c r="H4536" s="411"/>
      <c r="I4536" s="411"/>
      <c r="J4536" s="750" t="e">
        <f t="shared" si="53"/>
        <v>#DIV/0!</v>
      </c>
      <c r="K4536" s="412"/>
      <c r="L4536" s="412"/>
      <c r="M4536" s="682"/>
    </row>
    <row r="4537" spans="3:13" hidden="1" x14ac:dyDescent="0.2">
      <c r="G4537" s="510"/>
      <c r="H4537" s="411"/>
      <c r="I4537" s="411"/>
      <c r="J4537" s="750" t="e">
        <f t="shared" si="53"/>
        <v>#DIV/0!</v>
      </c>
      <c r="K4537" s="412"/>
      <c r="L4537" s="412"/>
      <c r="M4537" s="682"/>
    </row>
    <row r="4538" spans="3:13" hidden="1" x14ac:dyDescent="0.2">
      <c r="G4538" s="510"/>
      <c r="H4538" s="411"/>
      <c r="I4538" s="411"/>
      <c r="J4538" s="750" t="e">
        <f t="shared" si="53"/>
        <v>#DIV/0!</v>
      </c>
      <c r="K4538" s="412"/>
      <c r="L4538" s="412"/>
      <c r="M4538" s="682"/>
    </row>
    <row r="4539" spans="3:13" hidden="1" x14ac:dyDescent="0.2">
      <c r="G4539" s="510"/>
      <c r="H4539" s="411"/>
      <c r="I4539" s="411"/>
      <c r="J4539" s="750" t="e">
        <f t="shared" si="53"/>
        <v>#DIV/0!</v>
      </c>
      <c r="K4539" s="412"/>
      <c r="L4539" s="412"/>
      <c r="M4539" s="682"/>
    </row>
    <row r="4540" spans="3:13" hidden="1" x14ac:dyDescent="0.2">
      <c r="G4540" s="510"/>
      <c r="H4540" s="411"/>
      <c r="I4540" s="411"/>
      <c r="J4540" s="750" t="e">
        <f t="shared" si="53"/>
        <v>#DIV/0!</v>
      </c>
      <c r="K4540" s="412"/>
      <c r="L4540" s="412"/>
      <c r="M4540" s="682"/>
    </row>
    <row r="4541" spans="3:13" hidden="1" x14ac:dyDescent="0.2">
      <c r="G4541" s="510"/>
      <c r="H4541" s="411"/>
      <c r="I4541" s="411"/>
      <c r="J4541" s="750" t="e">
        <f t="shared" si="53"/>
        <v>#DIV/0!</v>
      </c>
      <c r="K4541" s="412"/>
      <c r="L4541" s="412"/>
      <c r="M4541" s="682"/>
    </row>
    <row r="4542" spans="3:13" hidden="1" x14ac:dyDescent="0.2">
      <c r="G4542" s="510"/>
      <c r="H4542" s="411"/>
      <c r="I4542" s="411"/>
      <c r="J4542" s="750" t="e">
        <f t="shared" si="53"/>
        <v>#DIV/0!</v>
      </c>
      <c r="K4542" s="412"/>
      <c r="L4542" s="412"/>
      <c r="M4542" s="682"/>
    </row>
    <row r="4543" spans="3:13" hidden="1" x14ac:dyDescent="0.2">
      <c r="G4543" s="510"/>
      <c r="H4543" s="411"/>
      <c r="I4543" s="411"/>
      <c r="J4543" s="750" t="e">
        <f t="shared" si="53"/>
        <v>#DIV/0!</v>
      </c>
      <c r="K4543" s="412"/>
      <c r="L4543" s="412"/>
      <c r="M4543" s="682"/>
    </row>
    <row r="4544" spans="3:13" hidden="1" x14ac:dyDescent="0.2">
      <c r="G4544" s="510"/>
      <c r="H4544" s="411"/>
      <c r="I4544" s="411"/>
      <c r="J4544" s="750" t="e">
        <f t="shared" si="53"/>
        <v>#DIV/0!</v>
      </c>
      <c r="K4544" s="412"/>
      <c r="L4544" s="412"/>
      <c r="M4544" s="682"/>
    </row>
    <row r="4545" spans="7:13" hidden="1" x14ac:dyDescent="0.2">
      <c r="G4545" s="510"/>
      <c r="H4545" s="411"/>
      <c r="I4545" s="411"/>
      <c r="J4545" s="750" t="e">
        <f t="shared" si="53"/>
        <v>#DIV/0!</v>
      </c>
      <c r="K4545" s="412"/>
      <c r="L4545" s="412"/>
      <c r="M4545" s="682"/>
    </row>
    <row r="4546" spans="7:13" hidden="1" x14ac:dyDescent="0.2">
      <c r="G4546" s="510"/>
      <c r="H4546" s="411"/>
      <c r="I4546" s="411"/>
      <c r="J4546" s="750" t="e">
        <f t="shared" si="53"/>
        <v>#DIV/0!</v>
      </c>
      <c r="K4546" s="412"/>
      <c r="L4546" s="412"/>
      <c r="M4546" s="682"/>
    </row>
    <row r="4547" spans="7:13" hidden="1" x14ac:dyDescent="0.2">
      <c r="G4547" s="510"/>
      <c r="H4547" s="411"/>
      <c r="I4547" s="411"/>
      <c r="J4547" s="750" t="e">
        <f t="shared" si="53"/>
        <v>#DIV/0!</v>
      </c>
      <c r="K4547" s="412"/>
      <c r="L4547" s="412"/>
      <c r="M4547" s="682"/>
    </row>
    <row r="4548" spans="7:13" hidden="1" x14ac:dyDescent="0.2">
      <c r="G4548" s="510"/>
      <c r="H4548" s="411"/>
      <c r="I4548" s="411"/>
      <c r="J4548" s="750" t="e">
        <f t="shared" si="53"/>
        <v>#DIV/0!</v>
      </c>
      <c r="K4548" s="412"/>
      <c r="L4548" s="412"/>
      <c r="M4548" s="682"/>
    </row>
    <row r="4549" spans="7:13" hidden="1" x14ac:dyDescent="0.2">
      <c r="G4549" s="510"/>
      <c r="H4549" s="411"/>
      <c r="I4549" s="411"/>
      <c r="J4549" s="750" t="e">
        <f t="shared" si="53"/>
        <v>#DIV/0!</v>
      </c>
      <c r="K4549" s="412"/>
      <c r="L4549" s="412"/>
      <c r="M4549" s="682"/>
    </row>
    <row r="4550" spans="7:13" hidden="1" x14ac:dyDescent="0.2">
      <c r="G4550" s="510"/>
      <c r="H4550" s="411"/>
      <c r="I4550" s="411"/>
      <c r="J4550" s="750" t="e">
        <f t="shared" si="53"/>
        <v>#DIV/0!</v>
      </c>
      <c r="K4550" s="412"/>
      <c r="L4550" s="412"/>
      <c r="M4550" s="682"/>
    </row>
    <row r="4551" spans="7:13" hidden="1" x14ac:dyDescent="0.2">
      <c r="G4551" s="510"/>
      <c r="H4551" s="411"/>
      <c r="I4551" s="411"/>
      <c r="J4551" s="750" t="e">
        <f t="shared" si="53"/>
        <v>#DIV/0!</v>
      </c>
      <c r="K4551" s="412"/>
      <c r="L4551" s="412"/>
      <c r="M4551" s="682"/>
    </row>
    <row r="4552" spans="7:13" hidden="1" x14ac:dyDescent="0.2">
      <c r="G4552" s="510"/>
      <c r="H4552" s="411"/>
      <c r="I4552" s="411"/>
      <c r="J4552" s="750" t="e">
        <f t="shared" si="53"/>
        <v>#DIV/0!</v>
      </c>
      <c r="K4552" s="412"/>
      <c r="L4552" s="412"/>
      <c r="M4552" s="682"/>
    </row>
    <row r="4553" spans="7:13" hidden="1" x14ac:dyDescent="0.2">
      <c r="G4553" s="510"/>
      <c r="H4553" s="411"/>
      <c r="I4553" s="411"/>
      <c r="J4553" s="750" t="e">
        <f t="shared" si="53"/>
        <v>#DIV/0!</v>
      </c>
      <c r="K4553" s="412"/>
      <c r="L4553" s="412"/>
      <c r="M4553" s="682"/>
    </row>
    <row r="4554" spans="7:13" hidden="1" x14ac:dyDescent="0.2">
      <c r="G4554" s="510"/>
      <c r="H4554" s="411"/>
      <c r="I4554" s="411"/>
      <c r="J4554" s="750" t="e">
        <f t="shared" si="53"/>
        <v>#DIV/0!</v>
      </c>
      <c r="K4554" s="412"/>
      <c r="L4554" s="412"/>
      <c r="M4554" s="682"/>
    </row>
    <row r="4555" spans="7:13" hidden="1" x14ac:dyDescent="0.2">
      <c r="G4555" s="510"/>
      <c r="H4555" s="411"/>
      <c r="I4555" s="411"/>
      <c r="J4555" s="750" t="e">
        <f t="shared" si="53"/>
        <v>#DIV/0!</v>
      </c>
      <c r="K4555" s="412"/>
      <c r="L4555" s="412"/>
      <c r="M4555" s="682"/>
    </row>
    <row r="4556" spans="7:13" hidden="1" x14ac:dyDescent="0.2">
      <c r="G4556" s="510"/>
      <c r="H4556" s="411"/>
      <c r="I4556" s="411"/>
      <c r="J4556" s="750" t="e">
        <f t="shared" si="53"/>
        <v>#DIV/0!</v>
      </c>
      <c r="K4556" s="412"/>
      <c r="L4556" s="412"/>
      <c r="M4556" s="682"/>
    </row>
    <row r="4557" spans="7:13" hidden="1" x14ac:dyDescent="0.2">
      <c r="G4557" s="510"/>
      <c r="H4557" s="411"/>
      <c r="I4557" s="411"/>
      <c r="J4557" s="750" t="e">
        <f t="shared" ref="J4557:J4620" si="54">SUM(I4557/H4557)*100</f>
        <v>#DIV/0!</v>
      </c>
      <c r="K4557" s="412"/>
      <c r="L4557" s="412"/>
      <c r="M4557" s="682"/>
    </row>
    <row r="4558" spans="7:13" hidden="1" x14ac:dyDescent="0.2">
      <c r="G4558" s="510"/>
      <c r="H4558" s="411"/>
      <c r="I4558" s="411"/>
      <c r="J4558" s="750" t="e">
        <f t="shared" si="54"/>
        <v>#DIV/0!</v>
      </c>
      <c r="K4558" s="412"/>
      <c r="L4558" s="412"/>
      <c r="M4558" s="682"/>
    </row>
    <row r="4559" spans="7:13" hidden="1" x14ac:dyDescent="0.2">
      <c r="G4559" s="510"/>
      <c r="H4559" s="411"/>
      <c r="I4559" s="411"/>
      <c r="J4559" s="750" t="e">
        <f t="shared" si="54"/>
        <v>#DIV/0!</v>
      </c>
      <c r="K4559" s="412"/>
      <c r="L4559" s="412"/>
      <c r="M4559" s="682"/>
    </row>
    <row r="4560" spans="7:13" hidden="1" x14ac:dyDescent="0.2">
      <c r="G4560" s="510"/>
      <c r="H4560" s="411"/>
      <c r="I4560" s="411"/>
      <c r="J4560" s="750" t="e">
        <f t="shared" si="54"/>
        <v>#DIV/0!</v>
      </c>
      <c r="K4560" s="412"/>
      <c r="L4560" s="412"/>
      <c r="M4560" s="682"/>
    </row>
    <row r="4561" spans="1:27" hidden="1" x14ac:dyDescent="0.2">
      <c r="G4561" s="510"/>
      <c r="H4561" s="411"/>
      <c r="I4561" s="411"/>
      <c r="J4561" s="750" t="e">
        <f t="shared" si="54"/>
        <v>#DIV/0!</v>
      </c>
      <c r="K4561" s="412"/>
      <c r="L4561" s="412"/>
      <c r="M4561" s="682"/>
    </row>
    <row r="4562" spans="1:27" hidden="1" x14ac:dyDescent="0.2">
      <c r="G4562" s="510"/>
      <c r="H4562" s="411"/>
      <c r="I4562" s="411"/>
      <c r="J4562" s="750" t="e">
        <f t="shared" si="54"/>
        <v>#DIV/0!</v>
      </c>
      <c r="K4562" s="412"/>
      <c r="L4562" s="412"/>
      <c r="M4562" s="682"/>
    </row>
    <row r="4563" spans="1:27" hidden="1" x14ac:dyDescent="0.2">
      <c r="G4563" s="510"/>
      <c r="H4563" s="411"/>
      <c r="I4563" s="411"/>
      <c r="J4563" s="750" t="e">
        <f t="shared" si="54"/>
        <v>#DIV/0!</v>
      </c>
      <c r="K4563" s="412"/>
      <c r="L4563" s="412"/>
      <c r="M4563" s="682"/>
    </row>
    <row r="4564" spans="1:27" hidden="1" x14ac:dyDescent="0.2">
      <c r="G4564" s="510"/>
      <c r="H4564" s="411"/>
      <c r="I4564" s="411"/>
      <c r="J4564" s="750" t="e">
        <f t="shared" si="54"/>
        <v>#DIV/0!</v>
      </c>
      <c r="K4564" s="412"/>
      <c r="L4564" s="412"/>
      <c r="M4564" s="682"/>
    </row>
    <row r="4565" spans="1:27" hidden="1" x14ac:dyDescent="0.2">
      <c r="G4565" s="510"/>
      <c r="H4565" s="411"/>
      <c r="I4565" s="411"/>
      <c r="J4565" s="750" t="e">
        <f t="shared" si="54"/>
        <v>#DIV/0!</v>
      </c>
      <c r="K4565" s="412"/>
      <c r="L4565" s="412"/>
      <c r="M4565" s="682"/>
    </row>
    <row r="4566" spans="1:27" hidden="1" x14ac:dyDescent="0.2">
      <c r="G4566" s="510"/>
      <c r="H4566" s="411"/>
      <c r="I4566" s="411"/>
      <c r="J4566" s="750" t="e">
        <f t="shared" si="54"/>
        <v>#DIV/0!</v>
      </c>
      <c r="K4566" s="412"/>
      <c r="L4566" s="412"/>
      <c r="M4566" s="682"/>
    </row>
    <row r="4567" spans="1:27" hidden="1" x14ac:dyDescent="0.2">
      <c r="G4567" s="510"/>
      <c r="H4567" s="411"/>
      <c r="I4567" s="411"/>
      <c r="J4567" s="750" t="e">
        <f t="shared" si="54"/>
        <v>#DIV/0!</v>
      </c>
      <c r="K4567" s="412"/>
      <c r="L4567" s="412"/>
      <c r="M4567" s="682"/>
    </row>
    <row r="4568" spans="1:27" hidden="1" x14ac:dyDescent="0.2">
      <c r="G4568" s="510"/>
      <c r="H4568" s="411"/>
      <c r="I4568" s="411"/>
      <c r="J4568" s="750" t="e">
        <f t="shared" si="54"/>
        <v>#DIV/0!</v>
      </c>
      <c r="K4568" s="412"/>
      <c r="L4568" s="412"/>
      <c r="M4568" s="682"/>
    </row>
    <row r="4569" spans="1:27" hidden="1" x14ac:dyDescent="0.2">
      <c r="G4569" s="510"/>
      <c r="H4569" s="411"/>
      <c r="I4569" s="411"/>
      <c r="J4569" s="750" t="e">
        <f t="shared" si="54"/>
        <v>#DIV/0!</v>
      </c>
      <c r="K4569" s="412"/>
      <c r="L4569" s="412"/>
      <c r="M4569" s="682"/>
    </row>
    <row r="4570" spans="1:27" hidden="1" x14ac:dyDescent="0.2">
      <c r="G4570" s="510"/>
      <c r="H4570" s="411"/>
      <c r="I4570" s="411"/>
      <c r="J4570" s="750" t="e">
        <f t="shared" si="54"/>
        <v>#DIV/0!</v>
      </c>
      <c r="K4570" s="412"/>
      <c r="L4570" s="412"/>
      <c r="M4570" s="682"/>
    </row>
    <row r="4571" spans="1:27" hidden="1" x14ac:dyDescent="0.2">
      <c r="G4571" s="510"/>
      <c r="H4571" s="411"/>
      <c r="I4571" s="411"/>
      <c r="J4571" s="750" t="e">
        <f t="shared" si="54"/>
        <v>#DIV/0!</v>
      </c>
      <c r="K4571" s="412"/>
      <c r="L4571" s="412"/>
      <c r="M4571" s="682"/>
    </row>
    <row r="4572" spans="1:27" hidden="1" x14ac:dyDescent="0.2">
      <c r="G4572" s="510"/>
      <c r="H4572" s="411"/>
      <c r="I4572" s="411"/>
      <c r="J4572" s="750" t="e">
        <f t="shared" si="54"/>
        <v>#DIV/0!</v>
      </c>
      <c r="K4572" s="412"/>
      <c r="L4572" s="412"/>
      <c r="M4572" s="682"/>
    </row>
    <row r="4573" spans="1:27" hidden="1" x14ac:dyDescent="0.2">
      <c r="G4573" s="510"/>
      <c r="H4573" s="411"/>
      <c r="I4573" s="411"/>
      <c r="J4573" s="750" t="e">
        <f t="shared" si="54"/>
        <v>#DIV/0!</v>
      </c>
      <c r="K4573" s="412"/>
      <c r="L4573" s="412"/>
      <c r="M4573" s="682"/>
    </row>
    <row r="4574" spans="1:27" s="577" customFormat="1" ht="3" customHeight="1" x14ac:dyDescent="0.2">
      <c r="A4574" s="574"/>
      <c r="B4574" s="575"/>
      <c r="C4574" s="576"/>
      <c r="G4574" s="578"/>
      <c r="H4574" s="440"/>
      <c r="I4574" s="440"/>
      <c r="J4574" s="750" t="e">
        <f t="shared" si="54"/>
        <v>#DIV/0!</v>
      </c>
      <c r="K4574" s="441"/>
      <c r="L4574" s="441"/>
      <c r="M4574" s="682"/>
      <c r="N4574" s="579"/>
      <c r="O4574" s="579"/>
      <c r="P4574" s="579"/>
      <c r="Q4574" s="579"/>
      <c r="R4574" s="579"/>
      <c r="S4574" s="579"/>
      <c r="T4574" s="579"/>
      <c r="U4574" s="579"/>
      <c r="V4574" s="579"/>
      <c r="W4574" s="579"/>
      <c r="X4574" s="579"/>
      <c r="Y4574" s="579"/>
      <c r="Z4574" s="579"/>
      <c r="AA4574" s="579"/>
    </row>
    <row r="4575" spans="1:27" ht="15" customHeight="1" x14ac:dyDescent="0.2">
      <c r="C4575" s="489" t="s">
        <v>4120</v>
      </c>
      <c r="D4575" s="490"/>
      <c r="G4575" s="491" t="s">
        <v>4121</v>
      </c>
      <c r="H4575" s="397"/>
      <c r="I4575" s="397"/>
      <c r="J4575" s="750"/>
      <c r="K4575" s="398"/>
      <c r="L4575" s="398"/>
      <c r="M4575" s="682"/>
    </row>
    <row r="4576" spans="1:27" s="530" customFormat="1" ht="24.75" customHeight="1" x14ac:dyDescent="0.2">
      <c r="A4576" s="526"/>
      <c r="B4576" s="527"/>
      <c r="C4576" s="534"/>
      <c r="D4576" s="571" t="s">
        <v>3888</v>
      </c>
      <c r="E4576" s="183"/>
      <c r="F4576" s="183"/>
      <c r="G4576" s="514" t="s">
        <v>4218</v>
      </c>
      <c r="H4576" s="422"/>
      <c r="I4576" s="422"/>
      <c r="J4576" s="750"/>
      <c r="K4576" s="423"/>
      <c r="L4576" s="424"/>
      <c r="M4576" s="682"/>
      <c r="N4576" s="171"/>
      <c r="O4576" s="171"/>
      <c r="P4576" s="171"/>
      <c r="Q4576" s="171"/>
      <c r="R4576" s="171"/>
      <c r="S4576" s="171"/>
      <c r="T4576" s="171"/>
      <c r="U4576" s="171"/>
      <c r="V4576" s="171"/>
      <c r="W4576" s="171"/>
      <c r="X4576" s="171"/>
      <c r="Y4576" s="171"/>
      <c r="Z4576" s="171"/>
      <c r="AA4576" s="171"/>
    </row>
    <row r="4577" spans="6:13" hidden="1" x14ac:dyDescent="0.2">
      <c r="F4577" s="494">
        <v>411</v>
      </c>
      <c r="G4577" s="495" t="s">
        <v>4167</v>
      </c>
      <c r="H4577" s="397"/>
      <c r="I4577" s="397"/>
      <c r="J4577" s="750" t="e">
        <f t="shared" si="54"/>
        <v>#DIV/0!</v>
      </c>
      <c r="K4577" s="398"/>
      <c r="L4577" s="398"/>
      <c r="M4577" s="682"/>
    </row>
    <row r="4578" spans="6:13" hidden="1" x14ac:dyDescent="0.2">
      <c r="F4578" s="494">
        <v>412</v>
      </c>
      <c r="G4578" s="496" t="s">
        <v>3764</v>
      </c>
      <c r="H4578" s="397"/>
      <c r="I4578" s="397"/>
      <c r="J4578" s="750" t="e">
        <f t="shared" si="54"/>
        <v>#DIV/0!</v>
      </c>
      <c r="K4578" s="398"/>
      <c r="L4578" s="398"/>
      <c r="M4578" s="682"/>
    </row>
    <row r="4579" spans="6:13" hidden="1" x14ac:dyDescent="0.2">
      <c r="F4579" s="494">
        <v>413</v>
      </c>
      <c r="G4579" s="495" t="s">
        <v>4168</v>
      </c>
      <c r="H4579" s="397"/>
      <c r="I4579" s="397"/>
      <c r="J4579" s="750" t="e">
        <f t="shared" si="54"/>
        <v>#DIV/0!</v>
      </c>
      <c r="K4579" s="398"/>
      <c r="L4579" s="398"/>
      <c r="M4579" s="682"/>
    </row>
    <row r="4580" spans="6:13" hidden="1" x14ac:dyDescent="0.2">
      <c r="F4580" s="494">
        <v>414</v>
      </c>
      <c r="G4580" s="495" t="s">
        <v>3767</v>
      </c>
      <c r="H4580" s="397"/>
      <c r="I4580" s="397"/>
      <c r="J4580" s="750" t="e">
        <f t="shared" si="54"/>
        <v>#DIV/0!</v>
      </c>
      <c r="K4580" s="398"/>
      <c r="L4580" s="398"/>
      <c r="M4580" s="682"/>
    </row>
    <row r="4581" spans="6:13" hidden="1" x14ac:dyDescent="0.2">
      <c r="F4581" s="494">
        <v>415</v>
      </c>
      <c r="G4581" s="495" t="s">
        <v>4177</v>
      </c>
      <c r="H4581" s="397"/>
      <c r="I4581" s="397"/>
      <c r="J4581" s="750" t="e">
        <f t="shared" si="54"/>
        <v>#DIV/0!</v>
      </c>
      <c r="K4581" s="398"/>
      <c r="L4581" s="398"/>
      <c r="M4581" s="682"/>
    </row>
    <row r="4582" spans="6:13" ht="25.5" hidden="1" x14ac:dyDescent="0.2">
      <c r="F4582" s="494">
        <v>416</v>
      </c>
      <c r="G4582" s="495" t="s">
        <v>4178</v>
      </c>
      <c r="H4582" s="397"/>
      <c r="I4582" s="397"/>
      <c r="J4582" s="750" t="e">
        <f t="shared" si="54"/>
        <v>#DIV/0!</v>
      </c>
      <c r="K4582" s="398"/>
      <c r="L4582" s="398"/>
      <c r="M4582" s="682"/>
    </row>
    <row r="4583" spans="6:13" hidden="1" x14ac:dyDescent="0.2">
      <c r="F4583" s="494">
        <v>417</v>
      </c>
      <c r="G4583" s="495" t="s">
        <v>4179</v>
      </c>
      <c r="H4583" s="397"/>
      <c r="I4583" s="397"/>
      <c r="J4583" s="750" t="e">
        <f t="shared" si="54"/>
        <v>#DIV/0!</v>
      </c>
      <c r="K4583" s="398"/>
      <c r="L4583" s="398"/>
      <c r="M4583" s="682"/>
    </row>
    <row r="4584" spans="6:13" hidden="1" x14ac:dyDescent="0.2">
      <c r="F4584" s="494">
        <v>418</v>
      </c>
      <c r="G4584" s="495" t="s">
        <v>3773</v>
      </c>
      <c r="H4584" s="397"/>
      <c r="I4584" s="397"/>
      <c r="J4584" s="750" t="e">
        <f t="shared" si="54"/>
        <v>#DIV/0!</v>
      </c>
      <c r="K4584" s="398"/>
      <c r="L4584" s="398"/>
      <c r="M4584" s="682"/>
    </row>
    <row r="4585" spans="6:13" hidden="1" x14ac:dyDescent="0.2">
      <c r="F4585" s="494">
        <v>421</v>
      </c>
      <c r="G4585" s="495" t="s">
        <v>3777</v>
      </c>
      <c r="H4585" s="397"/>
      <c r="I4585" s="397"/>
      <c r="J4585" s="750" t="e">
        <f t="shared" si="54"/>
        <v>#DIV/0!</v>
      </c>
      <c r="K4585" s="398"/>
      <c r="L4585" s="398"/>
      <c r="M4585" s="682"/>
    </row>
    <row r="4586" spans="6:13" hidden="1" x14ac:dyDescent="0.2">
      <c r="F4586" s="494">
        <v>422</v>
      </c>
      <c r="G4586" s="495" t="s">
        <v>3778</v>
      </c>
      <c r="H4586" s="397"/>
      <c r="I4586" s="397"/>
      <c r="J4586" s="750" t="e">
        <f t="shared" si="54"/>
        <v>#DIV/0!</v>
      </c>
      <c r="K4586" s="398"/>
      <c r="L4586" s="398"/>
      <c r="M4586" s="682"/>
    </row>
    <row r="4587" spans="6:13" hidden="1" x14ac:dyDescent="0.2">
      <c r="F4587" s="494">
        <v>423</v>
      </c>
      <c r="G4587" s="495" t="s">
        <v>3779</v>
      </c>
      <c r="H4587" s="397"/>
      <c r="I4587" s="397"/>
      <c r="J4587" s="750" t="e">
        <f t="shared" si="54"/>
        <v>#DIV/0!</v>
      </c>
      <c r="K4587" s="398"/>
      <c r="L4587" s="398"/>
      <c r="M4587" s="682"/>
    </row>
    <row r="4588" spans="6:13" hidden="1" x14ac:dyDescent="0.2">
      <c r="F4588" s="494">
        <v>424</v>
      </c>
      <c r="G4588" s="495" t="s">
        <v>3781</v>
      </c>
      <c r="H4588" s="397"/>
      <c r="I4588" s="397"/>
      <c r="J4588" s="750" t="e">
        <f t="shared" si="54"/>
        <v>#DIV/0!</v>
      </c>
      <c r="K4588" s="398"/>
      <c r="L4588" s="398"/>
      <c r="M4588" s="682"/>
    </row>
    <row r="4589" spans="6:13" hidden="1" x14ac:dyDescent="0.2">
      <c r="F4589" s="494">
        <v>425</v>
      </c>
      <c r="G4589" s="495" t="s">
        <v>4180</v>
      </c>
      <c r="H4589" s="397"/>
      <c r="I4589" s="397"/>
      <c r="J4589" s="750" t="e">
        <f t="shared" si="54"/>
        <v>#DIV/0!</v>
      </c>
      <c r="K4589" s="398"/>
      <c r="L4589" s="398"/>
      <c r="M4589" s="682"/>
    </row>
    <row r="4590" spans="6:13" hidden="1" x14ac:dyDescent="0.2">
      <c r="F4590" s="494">
        <v>426</v>
      </c>
      <c r="G4590" s="495" t="s">
        <v>3785</v>
      </c>
      <c r="H4590" s="397"/>
      <c r="I4590" s="397"/>
      <c r="J4590" s="750" t="e">
        <f t="shared" si="54"/>
        <v>#DIV/0!</v>
      </c>
      <c r="K4590" s="398"/>
      <c r="L4590" s="398"/>
      <c r="M4590" s="682"/>
    </row>
    <row r="4591" spans="6:13" hidden="1" x14ac:dyDescent="0.2">
      <c r="F4591" s="494">
        <v>431</v>
      </c>
      <c r="G4591" s="495" t="s">
        <v>4181</v>
      </c>
      <c r="H4591" s="397"/>
      <c r="I4591" s="397"/>
      <c r="J4591" s="750" t="e">
        <f t="shared" si="54"/>
        <v>#DIV/0!</v>
      </c>
      <c r="K4591" s="398"/>
      <c r="L4591" s="398"/>
      <c r="M4591" s="682"/>
    </row>
    <row r="4592" spans="6:13" hidden="1" x14ac:dyDescent="0.2">
      <c r="F4592" s="494">
        <v>432</v>
      </c>
      <c r="G4592" s="495" t="s">
        <v>4182</v>
      </c>
      <c r="H4592" s="397"/>
      <c r="I4592" s="397"/>
      <c r="J4592" s="750" t="e">
        <f t="shared" si="54"/>
        <v>#DIV/0!</v>
      </c>
      <c r="K4592" s="398"/>
      <c r="L4592" s="398"/>
      <c r="M4592" s="682"/>
    </row>
    <row r="4593" spans="6:13" hidden="1" x14ac:dyDescent="0.2">
      <c r="F4593" s="494">
        <v>433</v>
      </c>
      <c r="G4593" s="495" t="s">
        <v>4183</v>
      </c>
      <c r="H4593" s="397"/>
      <c r="I4593" s="397"/>
      <c r="J4593" s="750" t="e">
        <f t="shared" si="54"/>
        <v>#DIV/0!</v>
      </c>
      <c r="K4593" s="398"/>
      <c r="L4593" s="398"/>
      <c r="M4593" s="682"/>
    </row>
    <row r="4594" spans="6:13" hidden="1" x14ac:dyDescent="0.2">
      <c r="F4594" s="494">
        <v>434</v>
      </c>
      <c r="G4594" s="495" t="s">
        <v>4184</v>
      </c>
      <c r="H4594" s="397"/>
      <c r="I4594" s="397"/>
      <c r="J4594" s="750" t="e">
        <f t="shared" si="54"/>
        <v>#DIV/0!</v>
      </c>
      <c r="K4594" s="398"/>
      <c r="L4594" s="398"/>
      <c r="M4594" s="682"/>
    </row>
    <row r="4595" spans="6:13" hidden="1" x14ac:dyDescent="0.2">
      <c r="F4595" s="494">
        <v>435</v>
      </c>
      <c r="G4595" s="495" t="s">
        <v>3792</v>
      </c>
      <c r="H4595" s="397"/>
      <c r="I4595" s="397"/>
      <c r="J4595" s="750" t="e">
        <f t="shared" si="54"/>
        <v>#DIV/0!</v>
      </c>
      <c r="K4595" s="398"/>
      <c r="L4595" s="398"/>
      <c r="M4595" s="682"/>
    </row>
    <row r="4596" spans="6:13" hidden="1" x14ac:dyDescent="0.2">
      <c r="F4596" s="494">
        <v>441</v>
      </c>
      <c r="G4596" s="495" t="s">
        <v>4185</v>
      </c>
      <c r="H4596" s="397"/>
      <c r="I4596" s="397"/>
      <c r="J4596" s="750" t="e">
        <f t="shared" si="54"/>
        <v>#DIV/0!</v>
      </c>
      <c r="K4596" s="398"/>
      <c r="L4596" s="398"/>
      <c r="M4596" s="682"/>
    </row>
    <row r="4597" spans="6:13" hidden="1" x14ac:dyDescent="0.2">
      <c r="F4597" s="494">
        <v>442</v>
      </c>
      <c r="G4597" s="495" t="s">
        <v>4186</v>
      </c>
      <c r="H4597" s="397"/>
      <c r="I4597" s="397"/>
      <c r="J4597" s="750" t="e">
        <f t="shared" si="54"/>
        <v>#DIV/0!</v>
      </c>
      <c r="K4597" s="398"/>
      <c r="L4597" s="398"/>
      <c r="M4597" s="682"/>
    </row>
    <row r="4598" spans="6:13" hidden="1" x14ac:dyDescent="0.2">
      <c r="F4598" s="494">
        <v>443</v>
      </c>
      <c r="G4598" s="495" t="s">
        <v>3797</v>
      </c>
      <c r="H4598" s="397"/>
      <c r="I4598" s="397"/>
      <c r="J4598" s="750" t="e">
        <f t="shared" si="54"/>
        <v>#DIV/0!</v>
      </c>
      <c r="K4598" s="398"/>
      <c r="L4598" s="398"/>
      <c r="M4598" s="682"/>
    </row>
    <row r="4599" spans="6:13" hidden="1" x14ac:dyDescent="0.2">
      <c r="F4599" s="494">
        <v>444</v>
      </c>
      <c r="G4599" s="495" t="s">
        <v>3798</v>
      </c>
      <c r="H4599" s="397"/>
      <c r="I4599" s="397"/>
      <c r="J4599" s="750" t="e">
        <f t="shared" si="54"/>
        <v>#DIV/0!</v>
      </c>
      <c r="K4599" s="398"/>
      <c r="L4599" s="398"/>
      <c r="M4599" s="682"/>
    </row>
    <row r="4600" spans="6:13" ht="25.5" hidden="1" x14ac:dyDescent="0.2">
      <c r="F4600" s="494">
        <v>4511</v>
      </c>
      <c r="G4600" s="466" t="s">
        <v>1692</v>
      </c>
      <c r="H4600" s="397"/>
      <c r="I4600" s="397"/>
      <c r="J4600" s="750" t="e">
        <f t="shared" si="54"/>
        <v>#DIV/0!</v>
      </c>
      <c r="K4600" s="398"/>
      <c r="L4600" s="398"/>
      <c r="M4600" s="682"/>
    </row>
    <row r="4601" spans="6:13" ht="25.5" hidden="1" x14ac:dyDescent="0.2">
      <c r="F4601" s="494">
        <v>4512</v>
      </c>
      <c r="G4601" s="466" t="s">
        <v>1701</v>
      </c>
      <c r="H4601" s="397"/>
      <c r="I4601" s="397"/>
      <c r="J4601" s="750" t="e">
        <f t="shared" si="54"/>
        <v>#DIV/0!</v>
      </c>
      <c r="K4601" s="398"/>
      <c r="L4601" s="398"/>
      <c r="M4601" s="682"/>
    </row>
    <row r="4602" spans="6:13" ht="25.5" hidden="1" x14ac:dyDescent="0.2">
      <c r="F4602" s="494">
        <v>452</v>
      </c>
      <c r="G4602" s="495" t="s">
        <v>4187</v>
      </c>
      <c r="H4602" s="397"/>
      <c r="I4602" s="397"/>
      <c r="J4602" s="750" t="e">
        <f t="shared" si="54"/>
        <v>#DIV/0!</v>
      </c>
      <c r="K4602" s="398"/>
      <c r="L4602" s="398"/>
      <c r="M4602" s="682"/>
    </row>
    <row r="4603" spans="6:13" ht="25.5" hidden="1" x14ac:dyDescent="0.2">
      <c r="F4603" s="494">
        <v>453</v>
      </c>
      <c r="G4603" s="495" t="s">
        <v>4188</v>
      </c>
      <c r="H4603" s="397"/>
      <c r="I4603" s="397"/>
      <c r="J4603" s="750" t="e">
        <f t="shared" si="54"/>
        <v>#DIV/0!</v>
      </c>
      <c r="K4603" s="398"/>
      <c r="L4603" s="398"/>
      <c r="M4603" s="682"/>
    </row>
    <row r="4604" spans="6:13" hidden="1" x14ac:dyDescent="0.2">
      <c r="F4604" s="494">
        <v>454</v>
      </c>
      <c r="G4604" s="495" t="s">
        <v>3803</v>
      </c>
      <c r="H4604" s="397"/>
      <c r="I4604" s="397"/>
      <c r="J4604" s="750" t="e">
        <f t="shared" si="54"/>
        <v>#DIV/0!</v>
      </c>
      <c r="K4604" s="398"/>
      <c r="L4604" s="398"/>
      <c r="M4604" s="682"/>
    </row>
    <row r="4605" spans="6:13" hidden="1" x14ac:dyDescent="0.2">
      <c r="F4605" s="494">
        <v>461</v>
      </c>
      <c r="G4605" s="495" t="s">
        <v>4169</v>
      </c>
      <c r="H4605" s="397"/>
      <c r="I4605" s="397"/>
      <c r="J4605" s="750" t="e">
        <f t="shared" si="54"/>
        <v>#DIV/0!</v>
      </c>
      <c r="K4605" s="398"/>
      <c r="L4605" s="398"/>
      <c r="M4605" s="682"/>
    </row>
    <row r="4606" spans="6:13" ht="25.5" hidden="1" x14ac:dyDescent="0.2">
      <c r="F4606" s="494">
        <v>462</v>
      </c>
      <c r="G4606" s="495" t="s">
        <v>3806</v>
      </c>
      <c r="H4606" s="397"/>
      <c r="I4606" s="397"/>
      <c r="J4606" s="750" t="e">
        <f t="shared" si="54"/>
        <v>#DIV/0!</v>
      </c>
      <c r="K4606" s="398"/>
      <c r="L4606" s="398"/>
      <c r="M4606" s="682"/>
    </row>
    <row r="4607" spans="6:13" hidden="1" x14ac:dyDescent="0.2">
      <c r="F4607" s="494">
        <v>4631</v>
      </c>
      <c r="G4607" s="495" t="s">
        <v>3807</v>
      </c>
      <c r="H4607" s="397"/>
      <c r="I4607" s="397"/>
      <c r="J4607" s="750" t="e">
        <f t="shared" si="54"/>
        <v>#DIV/0!</v>
      </c>
      <c r="K4607" s="398"/>
      <c r="L4607" s="398"/>
      <c r="M4607" s="682"/>
    </row>
    <row r="4608" spans="6:13" hidden="1" x14ac:dyDescent="0.2">
      <c r="F4608" s="494">
        <v>4632</v>
      </c>
      <c r="G4608" s="495" t="s">
        <v>3808</v>
      </c>
      <c r="H4608" s="397"/>
      <c r="I4608" s="397"/>
      <c r="J4608" s="750" t="e">
        <f t="shared" si="54"/>
        <v>#DIV/0!</v>
      </c>
      <c r="K4608" s="398"/>
      <c r="L4608" s="398"/>
      <c r="M4608" s="682"/>
    </row>
    <row r="4609" spans="5:13" ht="25.5" hidden="1" x14ac:dyDescent="0.2">
      <c r="F4609" s="494">
        <v>464</v>
      </c>
      <c r="G4609" s="495" t="s">
        <v>3809</v>
      </c>
      <c r="H4609" s="397"/>
      <c r="I4609" s="397"/>
      <c r="J4609" s="750" t="e">
        <f t="shared" si="54"/>
        <v>#DIV/0!</v>
      </c>
      <c r="K4609" s="398"/>
      <c r="L4609" s="398"/>
      <c r="M4609" s="682"/>
    </row>
    <row r="4610" spans="5:13" hidden="1" x14ac:dyDescent="0.2">
      <c r="F4610" s="494">
        <v>465</v>
      </c>
      <c r="G4610" s="495" t="s">
        <v>4170</v>
      </c>
      <c r="H4610" s="397"/>
      <c r="I4610" s="397"/>
      <c r="J4610" s="750" t="e">
        <f t="shared" si="54"/>
        <v>#DIV/0!</v>
      </c>
      <c r="K4610" s="398"/>
      <c r="L4610" s="398"/>
      <c r="M4610" s="682"/>
    </row>
    <row r="4611" spans="5:13" ht="13.5" thickBot="1" x14ac:dyDescent="0.25">
      <c r="E4611" s="464">
        <v>51</v>
      </c>
      <c r="F4611" s="494">
        <v>481</v>
      </c>
      <c r="G4611" s="580" t="s">
        <v>3816</v>
      </c>
      <c r="H4611" s="397">
        <v>586000</v>
      </c>
      <c r="I4611" s="397">
        <v>593402</v>
      </c>
      <c r="J4611" s="750">
        <f t="shared" si="54"/>
        <v>101.26313993174061</v>
      </c>
      <c r="K4611" s="398"/>
      <c r="L4611" s="398"/>
      <c r="M4611" s="682"/>
    </row>
    <row r="4612" spans="5:13" ht="13.5" hidden="1" thickBot="1" x14ac:dyDescent="0.25">
      <c r="F4612" s="494">
        <v>481</v>
      </c>
      <c r="G4612" s="495" t="s">
        <v>4189</v>
      </c>
      <c r="H4612" s="397"/>
      <c r="I4612" s="397"/>
      <c r="J4612" s="750" t="e">
        <f t="shared" si="54"/>
        <v>#DIV/0!</v>
      </c>
      <c r="K4612" s="398"/>
      <c r="L4612" s="398"/>
      <c r="M4612" s="682"/>
    </row>
    <row r="4613" spans="5:13" ht="13.5" hidden="1" thickBot="1" x14ac:dyDescent="0.25">
      <c r="F4613" s="494">
        <v>482</v>
      </c>
      <c r="G4613" s="495" t="s">
        <v>4190</v>
      </c>
      <c r="H4613" s="397"/>
      <c r="I4613" s="397"/>
      <c r="J4613" s="750" t="e">
        <f t="shared" si="54"/>
        <v>#DIV/0!</v>
      </c>
      <c r="K4613" s="398"/>
      <c r="L4613" s="398"/>
      <c r="M4613" s="682"/>
    </row>
    <row r="4614" spans="5:13" ht="13.5" hidden="1" thickBot="1" x14ac:dyDescent="0.25">
      <c r="F4614" s="494">
        <v>483</v>
      </c>
      <c r="G4614" s="497" t="s">
        <v>4191</v>
      </c>
      <c r="H4614" s="397"/>
      <c r="I4614" s="397"/>
      <c r="J4614" s="750" t="e">
        <f t="shared" si="54"/>
        <v>#DIV/0!</v>
      </c>
      <c r="K4614" s="398"/>
      <c r="L4614" s="398"/>
      <c r="M4614" s="682"/>
    </row>
    <row r="4615" spans="5:13" ht="39" hidden="1" thickBot="1" x14ac:dyDescent="0.25">
      <c r="F4615" s="494">
        <v>484</v>
      </c>
      <c r="G4615" s="495" t="s">
        <v>4192</v>
      </c>
      <c r="H4615" s="397"/>
      <c r="I4615" s="397"/>
      <c r="J4615" s="750" t="e">
        <f t="shared" si="54"/>
        <v>#DIV/0!</v>
      </c>
      <c r="K4615" s="398"/>
      <c r="L4615" s="398"/>
      <c r="M4615" s="682"/>
    </row>
    <row r="4616" spans="5:13" ht="26.25" hidden="1" thickBot="1" x14ac:dyDescent="0.25">
      <c r="F4616" s="494">
        <v>485</v>
      </c>
      <c r="G4616" s="495" t="s">
        <v>4193</v>
      </c>
      <c r="H4616" s="397"/>
      <c r="I4616" s="397"/>
      <c r="J4616" s="750" t="e">
        <f t="shared" si="54"/>
        <v>#DIV/0!</v>
      </c>
      <c r="K4616" s="398"/>
      <c r="L4616" s="398"/>
      <c r="M4616" s="682"/>
    </row>
    <row r="4617" spans="5:13" ht="26.25" hidden="1" thickBot="1" x14ac:dyDescent="0.25">
      <c r="F4617" s="494">
        <v>489</v>
      </c>
      <c r="G4617" s="495" t="s">
        <v>3821</v>
      </c>
      <c r="H4617" s="397"/>
      <c r="I4617" s="397"/>
      <c r="J4617" s="750" t="e">
        <f t="shared" si="54"/>
        <v>#DIV/0!</v>
      </c>
      <c r="K4617" s="398"/>
      <c r="L4617" s="398"/>
      <c r="M4617" s="682"/>
    </row>
    <row r="4618" spans="5:13" ht="26.25" hidden="1" thickBot="1" x14ac:dyDescent="0.25">
      <c r="F4618" s="494">
        <v>494</v>
      </c>
      <c r="G4618" s="495" t="s">
        <v>4171</v>
      </c>
      <c r="H4618" s="397"/>
      <c r="I4618" s="397"/>
      <c r="J4618" s="750" t="e">
        <f t="shared" si="54"/>
        <v>#DIV/0!</v>
      </c>
      <c r="K4618" s="398"/>
      <c r="L4618" s="398"/>
      <c r="M4618" s="682"/>
    </row>
    <row r="4619" spans="5:13" ht="26.25" hidden="1" thickBot="1" x14ac:dyDescent="0.25">
      <c r="F4619" s="494">
        <v>495</v>
      </c>
      <c r="G4619" s="495" t="s">
        <v>4172</v>
      </c>
      <c r="H4619" s="397"/>
      <c r="I4619" s="397"/>
      <c r="J4619" s="750" t="e">
        <f t="shared" si="54"/>
        <v>#DIV/0!</v>
      </c>
      <c r="K4619" s="398"/>
      <c r="L4619" s="398"/>
      <c r="M4619" s="682"/>
    </row>
    <row r="4620" spans="5:13" ht="39" hidden="1" thickBot="1" x14ac:dyDescent="0.25">
      <c r="F4620" s="494">
        <v>496</v>
      </c>
      <c r="G4620" s="495" t="s">
        <v>4173</v>
      </c>
      <c r="H4620" s="397"/>
      <c r="I4620" s="397"/>
      <c r="J4620" s="750" t="e">
        <f t="shared" si="54"/>
        <v>#DIV/0!</v>
      </c>
      <c r="K4620" s="398"/>
      <c r="L4620" s="398"/>
      <c r="M4620" s="682"/>
    </row>
    <row r="4621" spans="5:13" ht="26.25" hidden="1" thickBot="1" x14ac:dyDescent="0.25">
      <c r="F4621" s="494">
        <v>499</v>
      </c>
      <c r="G4621" s="495" t="s">
        <v>4174</v>
      </c>
      <c r="H4621" s="397"/>
      <c r="I4621" s="397"/>
      <c r="J4621" s="750" t="e">
        <f t="shared" ref="J4621:J4684" si="55">SUM(I4621/H4621)*100</f>
        <v>#DIV/0!</v>
      </c>
      <c r="K4621" s="398"/>
      <c r="L4621" s="398"/>
      <c r="M4621" s="682"/>
    </row>
    <row r="4622" spans="5:13" ht="13.5" hidden="1" thickBot="1" x14ac:dyDescent="0.25">
      <c r="F4622" s="494">
        <v>511</v>
      </c>
      <c r="G4622" s="497" t="s">
        <v>4194</v>
      </c>
      <c r="H4622" s="397"/>
      <c r="I4622" s="397"/>
      <c r="J4622" s="750" t="e">
        <f t="shared" si="55"/>
        <v>#DIV/0!</v>
      </c>
      <c r="K4622" s="398"/>
      <c r="L4622" s="398"/>
      <c r="M4622" s="682"/>
    </row>
    <row r="4623" spans="5:13" ht="13.5" hidden="1" thickBot="1" x14ac:dyDescent="0.25">
      <c r="F4623" s="494">
        <v>512</v>
      </c>
      <c r="G4623" s="497" t="s">
        <v>4195</v>
      </c>
      <c r="H4623" s="397"/>
      <c r="I4623" s="397"/>
      <c r="J4623" s="750" t="e">
        <f t="shared" si="55"/>
        <v>#DIV/0!</v>
      </c>
      <c r="K4623" s="398"/>
      <c r="L4623" s="398"/>
      <c r="M4623" s="682"/>
    </row>
    <row r="4624" spans="5:13" ht="13.5" hidden="1" thickBot="1" x14ac:dyDescent="0.25">
      <c r="F4624" s="494">
        <v>513</v>
      </c>
      <c r="G4624" s="497" t="s">
        <v>4196</v>
      </c>
      <c r="H4624" s="397"/>
      <c r="I4624" s="397"/>
      <c r="J4624" s="750" t="e">
        <f t="shared" si="55"/>
        <v>#DIV/0!</v>
      </c>
      <c r="K4624" s="398"/>
      <c r="L4624" s="398"/>
      <c r="M4624" s="682"/>
    </row>
    <row r="4625" spans="5:13" ht="13.5" hidden="1" thickBot="1" x14ac:dyDescent="0.25">
      <c r="F4625" s="494">
        <v>514</v>
      </c>
      <c r="G4625" s="495" t="s">
        <v>4197</v>
      </c>
      <c r="H4625" s="397"/>
      <c r="I4625" s="397"/>
      <c r="J4625" s="750" t="e">
        <f t="shared" si="55"/>
        <v>#DIV/0!</v>
      </c>
      <c r="K4625" s="398"/>
      <c r="L4625" s="398"/>
      <c r="M4625" s="682"/>
    </row>
    <row r="4626" spans="5:13" ht="13.5" hidden="1" thickBot="1" x14ac:dyDescent="0.25">
      <c r="F4626" s="494">
        <v>515</v>
      </c>
      <c r="G4626" s="495" t="s">
        <v>3832</v>
      </c>
      <c r="H4626" s="397"/>
      <c r="I4626" s="397"/>
      <c r="J4626" s="750" t="e">
        <f t="shared" si="55"/>
        <v>#DIV/0!</v>
      </c>
      <c r="K4626" s="398"/>
      <c r="L4626" s="398"/>
      <c r="M4626" s="682"/>
    </row>
    <row r="4627" spans="5:13" ht="13.5" hidden="1" thickBot="1" x14ac:dyDescent="0.25">
      <c r="F4627" s="494">
        <v>521</v>
      </c>
      <c r="G4627" s="495" t="s">
        <v>4198</v>
      </c>
      <c r="H4627" s="397"/>
      <c r="I4627" s="397"/>
      <c r="J4627" s="750" t="e">
        <f t="shared" si="55"/>
        <v>#DIV/0!</v>
      </c>
      <c r="K4627" s="398"/>
      <c r="L4627" s="398"/>
      <c r="M4627" s="682"/>
    </row>
    <row r="4628" spans="5:13" ht="13.5" hidden="1" thickBot="1" x14ac:dyDescent="0.25">
      <c r="F4628" s="494">
        <v>522</v>
      </c>
      <c r="G4628" s="495" t="s">
        <v>4199</v>
      </c>
      <c r="H4628" s="397"/>
      <c r="I4628" s="397"/>
      <c r="J4628" s="750" t="e">
        <f t="shared" si="55"/>
        <v>#DIV/0!</v>
      </c>
      <c r="K4628" s="398"/>
      <c r="L4628" s="398"/>
      <c r="M4628" s="682"/>
    </row>
    <row r="4629" spans="5:13" ht="13.5" hidden="1" thickBot="1" x14ac:dyDescent="0.25">
      <c r="F4629" s="494">
        <v>523</v>
      </c>
      <c r="G4629" s="495" t="s">
        <v>3837</v>
      </c>
      <c r="H4629" s="397"/>
      <c r="I4629" s="397"/>
      <c r="J4629" s="750" t="e">
        <f t="shared" si="55"/>
        <v>#DIV/0!</v>
      </c>
      <c r="K4629" s="398"/>
      <c r="L4629" s="398"/>
      <c r="M4629" s="682"/>
    </row>
    <row r="4630" spans="5:13" ht="13.5" hidden="1" thickBot="1" x14ac:dyDescent="0.25">
      <c r="F4630" s="494">
        <v>531</v>
      </c>
      <c r="G4630" s="496" t="s">
        <v>4175</v>
      </c>
      <c r="H4630" s="397"/>
      <c r="I4630" s="397"/>
      <c r="J4630" s="750" t="e">
        <f t="shared" si="55"/>
        <v>#DIV/0!</v>
      </c>
      <c r="K4630" s="398"/>
      <c r="L4630" s="398"/>
      <c r="M4630" s="682"/>
    </row>
    <row r="4631" spans="5:13" ht="13.5" hidden="1" thickBot="1" x14ac:dyDescent="0.25">
      <c r="F4631" s="494">
        <v>541</v>
      </c>
      <c r="G4631" s="495" t="s">
        <v>4200</v>
      </c>
      <c r="H4631" s="397"/>
      <c r="I4631" s="397"/>
      <c r="J4631" s="750" t="e">
        <f t="shared" si="55"/>
        <v>#DIV/0!</v>
      </c>
      <c r="K4631" s="398"/>
      <c r="L4631" s="398"/>
      <c r="M4631" s="682"/>
    </row>
    <row r="4632" spans="5:13" ht="13.5" hidden="1" thickBot="1" x14ac:dyDescent="0.25">
      <c r="F4632" s="494">
        <v>542</v>
      </c>
      <c r="G4632" s="495" t="s">
        <v>4201</v>
      </c>
      <c r="H4632" s="397"/>
      <c r="I4632" s="397"/>
      <c r="J4632" s="750" t="e">
        <f t="shared" si="55"/>
        <v>#DIV/0!</v>
      </c>
      <c r="K4632" s="398"/>
      <c r="L4632" s="398"/>
      <c r="M4632" s="682"/>
    </row>
    <row r="4633" spans="5:13" ht="13.5" hidden="1" thickBot="1" x14ac:dyDescent="0.25">
      <c r="F4633" s="494">
        <v>543</v>
      </c>
      <c r="G4633" s="495" t="s">
        <v>3842</v>
      </c>
      <c r="H4633" s="397"/>
      <c r="I4633" s="397"/>
      <c r="J4633" s="750" t="e">
        <f t="shared" si="55"/>
        <v>#DIV/0!</v>
      </c>
      <c r="K4633" s="398"/>
      <c r="L4633" s="398"/>
      <c r="M4633" s="682"/>
    </row>
    <row r="4634" spans="5:13" ht="39" hidden="1" thickBot="1" x14ac:dyDescent="0.25">
      <c r="F4634" s="494">
        <v>551</v>
      </c>
      <c r="G4634" s="495" t="s">
        <v>4176</v>
      </c>
      <c r="H4634" s="397"/>
      <c r="I4634" s="397"/>
      <c r="J4634" s="750" t="e">
        <f t="shared" si="55"/>
        <v>#DIV/0!</v>
      </c>
      <c r="K4634" s="398"/>
      <c r="L4634" s="398"/>
      <c r="M4634" s="682"/>
    </row>
    <row r="4635" spans="5:13" ht="13.5" hidden="1" thickBot="1" x14ac:dyDescent="0.25">
      <c r="F4635" s="498">
        <v>611</v>
      </c>
      <c r="G4635" s="499" t="s">
        <v>3848</v>
      </c>
      <c r="H4635" s="397"/>
      <c r="I4635" s="397"/>
      <c r="J4635" s="750" t="e">
        <f t="shared" si="55"/>
        <v>#DIV/0!</v>
      </c>
      <c r="K4635" s="398"/>
      <c r="L4635" s="398"/>
      <c r="M4635" s="682"/>
    </row>
    <row r="4636" spans="5:13" ht="13.5" hidden="1" thickBot="1" x14ac:dyDescent="0.25">
      <c r="F4636" s="498">
        <v>620</v>
      </c>
      <c r="G4636" s="499" t="s">
        <v>88</v>
      </c>
      <c r="H4636" s="397"/>
      <c r="I4636" s="397"/>
      <c r="J4636" s="750" t="e">
        <f t="shared" si="55"/>
        <v>#DIV/0!</v>
      </c>
      <c r="K4636" s="398"/>
      <c r="L4636" s="398"/>
      <c r="M4636" s="682"/>
    </row>
    <row r="4637" spans="5:13" x14ac:dyDescent="0.2">
      <c r="E4637" s="500"/>
      <c r="F4637" s="498"/>
      <c r="G4637" s="509" t="s">
        <v>4366</v>
      </c>
      <c r="H4637" s="400"/>
      <c r="I4637" s="400"/>
      <c r="J4637" s="750"/>
      <c r="K4637" s="401"/>
      <c r="L4637" s="402"/>
      <c r="M4637" s="682"/>
    </row>
    <row r="4638" spans="5:13" ht="13.5" thickBot="1" x14ac:dyDescent="0.25">
      <c r="E4638" s="502"/>
      <c r="F4638" s="503" t="s">
        <v>234</v>
      </c>
      <c r="G4638" s="504" t="s">
        <v>235</v>
      </c>
      <c r="H4638" s="403">
        <f>SUM(H4577:H4636)</f>
        <v>586000</v>
      </c>
      <c r="I4638" s="403">
        <f>SUM(I4611)</f>
        <v>593402</v>
      </c>
      <c r="J4638" s="750">
        <f t="shared" si="55"/>
        <v>101.26313993174061</v>
      </c>
      <c r="K4638" s="404"/>
      <c r="L4638" s="404"/>
      <c r="M4638" s="682"/>
    </row>
    <row r="4639" spans="5:13" ht="13.5" hidden="1" thickBot="1" x14ac:dyDescent="0.25">
      <c r="F4639" s="503" t="s">
        <v>236</v>
      </c>
      <c r="G4639" s="504" t="s">
        <v>237</v>
      </c>
      <c r="H4639" s="397"/>
      <c r="I4639" s="397"/>
      <c r="J4639" s="750" t="e">
        <f t="shared" si="55"/>
        <v>#DIV/0!</v>
      </c>
      <c r="K4639" s="398"/>
      <c r="L4639" s="404"/>
      <c r="M4639" s="682"/>
    </row>
    <row r="4640" spans="5:13" ht="13.5" hidden="1" thickBot="1" x14ac:dyDescent="0.25">
      <c r="F4640" s="503" t="s">
        <v>238</v>
      </c>
      <c r="G4640" s="504" t="s">
        <v>239</v>
      </c>
      <c r="H4640" s="397"/>
      <c r="I4640" s="397"/>
      <c r="J4640" s="750" t="e">
        <f t="shared" si="55"/>
        <v>#DIV/0!</v>
      </c>
      <c r="K4640" s="398"/>
      <c r="L4640" s="404"/>
      <c r="M4640" s="682"/>
    </row>
    <row r="4641" spans="5:13" ht="13.5" hidden="1" thickBot="1" x14ac:dyDescent="0.25">
      <c r="F4641" s="503" t="s">
        <v>240</v>
      </c>
      <c r="G4641" s="504" t="s">
        <v>241</v>
      </c>
      <c r="H4641" s="397"/>
      <c r="I4641" s="397"/>
      <c r="J4641" s="750" t="e">
        <f t="shared" si="55"/>
        <v>#DIV/0!</v>
      </c>
      <c r="K4641" s="398"/>
      <c r="L4641" s="404"/>
      <c r="M4641" s="682"/>
    </row>
    <row r="4642" spans="5:13" ht="13.5" hidden="1" thickBot="1" x14ac:dyDescent="0.25">
      <c r="F4642" s="503" t="s">
        <v>242</v>
      </c>
      <c r="G4642" s="504" t="s">
        <v>243</v>
      </c>
      <c r="H4642" s="397"/>
      <c r="I4642" s="397"/>
      <c r="J4642" s="750" t="e">
        <f t="shared" si="55"/>
        <v>#DIV/0!</v>
      </c>
      <c r="K4642" s="398"/>
      <c r="L4642" s="404"/>
      <c r="M4642" s="682"/>
    </row>
    <row r="4643" spans="5:13" ht="13.5" hidden="1" thickBot="1" x14ac:dyDescent="0.25">
      <c r="F4643" s="503" t="s">
        <v>244</v>
      </c>
      <c r="G4643" s="504" t="s">
        <v>245</v>
      </c>
      <c r="H4643" s="397"/>
      <c r="I4643" s="397"/>
      <c r="J4643" s="750" t="e">
        <f t="shared" si="55"/>
        <v>#DIV/0!</v>
      </c>
      <c r="K4643" s="398"/>
      <c r="L4643" s="404"/>
      <c r="M4643" s="682"/>
    </row>
    <row r="4644" spans="5:13" ht="13.5" hidden="1" thickBot="1" x14ac:dyDescent="0.25">
      <c r="F4644" s="503" t="s">
        <v>246</v>
      </c>
      <c r="G4644" s="504" t="s">
        <v>247</v>
      </c>
      <c r="H4644" s="397"/>
      <c r="I4644" s="397"/>
      <c r="J4644" s="750" t="e">
        <f t="shared" si="55"/>
        <v>#DIV/0!</v>
      </c>
      <c r="K4644" s="398"/>
      <c r="L4644" s="404"/>
      <c r="M4644" s="682"/>
    </row>
    <row r="4645" spans="5:13" ht="26.25" hidden="1" thickBot="1" x14ac:dyDescent="0.25">
      <c r="F4645" s="503" t="s">
        <v>248</v>
      </c>
      <c r="G4645" s="504" t="s">
        <v>249</v>
      </c>
      <c r="H4645" s="397"/>
      <c r="I4645" s="397"/>
      <c r="J4645" s="750" t="e">
        <f t="shared" si="55"/>
        <v>#DIV/0!</v>
      </c>
      <c r="K4645" s="398"/>
      <c r="L4645" s="404"/>
      <c r="M4645" s="682"/>
    </row>
    <row r="4646" spans="5:13" ht="13.5" hidden="1" thickBot="1" x14ac:dyDescent="0.25">
      <c r="F4646" s="503" t="s">
        <v>250</v>
      </c>
      <c r="G4646" s="504" t="s">
        <v>57</v>
      </c>
      <c r="H4646" s="397"/>
      <c r="I4646" s="397"/>
      <c r="J4646" s="750" t="e">
        <f t="shared" si="55"/>
        <v>#DIV/0!</v>
      </c>
      <c r="K4646" s="398"/>
      <c r="L4646" s="404"/>
      <c r="M4646" s="682"/>
    </row>
    <row r="4647" spans="5:13" ht="13.5" hidden="1" thickBot="1" x14ac:dyDescent="0.25">
      <c r="F4647" s="503" t="s">
        <v>251</v>
      </c>
      <c r="G4647" s="504" t="s">
        <v>252</v>
      </c>
      <c r="H4647" s="397"/>
      <c r="I4647" s="397"/>
      <c r="J4647" s="750" t="e">
        <f t="shared" si="55"/>
        <v>#DIV/0!</v>
      </c>
      <c r="K4647" s="398"/>
      <c r="L4647" s="404"/>
      <c r="M4647" s="682"/>
    </row>
    <row r="4648" spans="5:13" ht="13.5" hidden="1" thickBot="1" x14ac:dyDescent="0.25">
      <c r="F4648" s="503" t="s">
        <v>253</v>
      </c>
      <c r="G4648" s="504" t="s">
        <v>254</v>
      </c>
      <c r="H4648" s="397"/>
      <c r="I4648" s="397"/>
      <c r="J4648" s="750" t="e">
        <f t="shared" si="55"/>
        <v>#DIV/0!</v>
      </c>
      <c r="K4648" s="398"/>
      <c r="L4648" s="404"/>
      <c r="M4648" s="682"/>
    </row>
    <row r="4649" spans="5:13" ht="26.25" hidden="1" thickBot="1" x14ac:dyDescent="0.25">
      <c r="F4649" s="503" t="s">
        <v>255</v>
      </c>
      <c r="G4649" s="504" t="s">
        <v>256</v>
      </c>
      <c r="H4649" s="397"/>
      <c r="I4649" s="397"/>
      <c r="J4649" s="750" t="e">
        <f t="shared" si="55"/>
        <v>#DIV/0!</v>
      </c>
      <c r="K4649" s="398"/>
      <c r="L4649" s="404"/>
      <c r="M4649" s="682"/>
    </row>
    <row r="4650" spans="5:13" ht="26.25" hidden="1" thickBot="1" x14ac:dyDescent="0.25">
      <c r="F4650" s="503" t="s">
        <v>257</v>
      </c>
      <c r="G4650" s="504" t="s">
        <v>258</v>
      </c>
      <c r="H4650" s="397"/>
      <c r="I4650" s="397"/>
      <c r="J4650" s="750" t="e">
        <f t="shared" si="55"/>
        <v>#DIV/0!</v>
      </c>
      <c r="K4650" s="398"/>
      <c r="L4650" s="404"/>
      <c r="M4650" s="682"/>
    </row>
    <row r="4651" spans="5:13" ht="26.25" hidden="1" thickBot="1" x14ac:dyDescent="0.25">
      <c r="F4651" s="503" t="s">
        <v>259</v>
      </c>
      <c r="G4651" s="504" t="s">
        <v>260</v>
      </c>
      <c r="H4651" s="397"/>
      <c r="I4651" s="397"/>
      <c r="J4651" s="750" t="e">
        <f t="shared" si="55"/>
        <v>#DIV/0!</v>
      </c>
      <c r="K4651" s="398"/>
      <c r="L4651" s="404"/>
      <c r="M4651" s="682"/>
    </row>
    <row r="4652" spans="5:13" ht="26.25" hidden="1" thickBot="1" x14ac:dyDescent="0.25">
      <c r="F4652" s="503" t="s">
        <v>261</v>
      </c>
      <c r="G4652" s="504" t="s">
        <v>262</v>
      </c>
      <c r="H4652" s="397"/>
      <c r="I4652" s="397"/>
      <c r="J4652" s="750" t="e">
        <f t="shared" si="55"/>
        <v>#DIV/0!</v>
      </c>
      <c r="K4652" s="398"/>
      <c r="L4652" s="404"/>
      <c r="M4652" s="682"/>
    </row>
    <row r="4653" spans="5:13" ht="13.5" hidden="1" thickBot="1" x14ac:dyDescent="0.25">
      <c r="F4653" s="503" t="s">
        <v>263</v>
      </c>
      <c r="G4653" s="504" t="s">
        <v>264</v>
      </c>
      <c r="H4653" s="403"/>
      <c r="I4653" s="403"/>
      <c r="J4653" s="750" t="e">
        <f t="shared" si="55"/>
        <v>#DIV/0!</v>
      </c>
      <c r="K4653" s="404"/>
      <c r="L4653" s="404"/>
      <c r="M4653" s="682"/>
    </row>
    <row r="4654" spans="5:13" ht="11.25" customHeight="1" thickBot="1" x14ac:dyDescent="0.25">
      <c r="G4654" s="505" t="s">
        <v>4367</v>
      </c>
      <c r="H4654" s="405">
        <f>SUM(H4638:H4653)</f>
        <v>586000</v>
      </c>
      <c r="I4654" s="405">
        <f>SUM(I4611)</f>
        <v>593402</v>
      </c>
      <c r="J4654" s="750">
        <f t="shared" si="55"/>
        <v>101.26313993174061</v>
      </c>
      <c r="K4654" s="406">
        <f>SUM(K4639:K4653)</f>
        <v>0</v>
      </c>
      <c r="L4654" s="406"/>
      <c r="M4654" s="682"/>
    </row>
    <row r="4655" spans="5:13" ht="16.5" customHeight="1" collapsed="1" x14ac:dyDescent="0.2">
      <c r="E4655" s="500"/>
      <c r="F4655" s="498"/>
      <c r="G4655" s="506" t="s">
        <v>4255</v>
      </c>
      <c r="H4655" s="407"/>
      <c r="I4655" s="408"/>
      <c r="J4655" s="750"/>
      <c r="K4655" s="409"/>
      <c r="L4655" s="410"/>
      <c r="M4655" s="682"/>
    </row>
    <row r="4656" spans="5:13" ht="13.5" thickBot="1" x14ac:dyDescent="0.25">
      <c r="E4656" s="502"/>
      <c r="F4656" s="503" t="s">
        <v>234</v>
      </c>
      <c r="G4656" s="504" t="s">
        <v>235</v>
      </c>
      <c r="H4656" s="403">
        <f>SUM(H4577:H4636)</f>
        <v>586000</v>
      </c>
      <c r="I4656" s="403">
        <f>SUM(I4654)</f>
        <v>593402</v>
      </c>
      <c r="J4656" s="750">
        <f t="shared" si="55"/>
        <v>101.26313993174061</v>
      </c>
      <c r="K4656" s="404"/>
      <c r="L4656" s="404"/>
      <c r="M4656" s="682"/>
    </row>
    <row r="4657" spans="6:13" ht="13.5" hidden="1" thickBot="1" x14ac:dyDescent="0.25">
      <c r="F4657" s="503" t="s">
        <v>236</v>
      </c>
      <c r="G4657" s="504" t="s">
        <v>237</v>
      </c>
      <c r="H4657" s="397"/>
      <c r="I4657" s="397"/>
      <c r="J4657" s="750" t="e">
        <f t="shared" si="55"/>
        <v>#DIV/0!</v>
      </c>
      <c r="K4657" s="398"/>
      <c r="L4657" s="404"/>
      <c r="M4657" s="682"/>
    </row>
    <row r="4658" spans="6:13" ht="13.5" hidden="1" thickBot="1" x14ac:dyDescent="0.25">
      <c r="F4658" s="503" t="s">
        <v>238</v>
      </c>
      <c r="G4658" s="504" t="s">
        <v>239</v>
      </c>
      <c r="H4658" s="397"/>
      <c r="I4658" s="397"/>
      <c r="J4658" s="750" t="e">
        <f t="shared" si="55"/>
        <v>#DIV/0!</v>
      </c>
      <c r="K4658" s="398"/>
      <c r="L4658" s="404"/>
      <c r="M4658" s="682"/>
    </row>
    <row r="4659" spans="6:13" ht="13.5" hidden="1" thickBot="1" x14ac:dyDescent="0.25">
      <c r="F4659" s="503" t="s">
        <v>240</v>
      </c>
      <c r="G4659" s="504" t="s">
        <v>241</v>
      </c>
      <c r="H4659" s="397"/>
      <c r="I4659" s="397"/>
      <c r="J4659" s="750" t="e">
        <f t="shared" si="55"/>
        <v>#DIV/0!</v>
      </c>
      <c r="K4659" s="398"/>
      <c r="L4659" s="404"/>
      <c r="M4659" s="682"/>
    </row>
    <row r="4660" spans="6:13" ht="13.5" hidden="1" thickBot="1" x14ac:dyDescent="0.25">
      <c r="F4660" s="503" t="s">
        <v>242</v>
      </c>
      <c r="G4660" s="504" t="s">
        <v>243</v>
      </c>
      <c r="H4660" s="397"/>
      <c r="I4660" s="397"/>
      <c r="J4660" s="750" t="e">
        <f t="shared" si="55"/>
        <v>#DIV/0!</v>
      </c>
      <c r="K4660" s="398"/>
      <c r="L4660" s="404"/>
      <c r="M4660" s="682"/>
    </row>
    <row r="4661" spans="6:13" ht="13.5" hidden="1" thickBot="1" x14ac:dyDescent="0.25">
      <c r="F4661" s="503" t="s">
        <v>244</v>
      </c>
      <c r="G4661" s="504" t="s">
        <v>245</v>
      </c>
      <c r="H4661" s="397"/>
      <c r="I4661" s="397"/>
      <c r="J4661" s="750" t="e">
        <f t="shared" si="55"/>
        <v>#DIV/0!</v>
      </c>
      <c r="K4661" s="398"/>
      <c r="L4661" s="404"/>
      <c r="M4661" s="682"/>
    </row>
    <row r="4662" spans="6:13" ht="13.5" hidden="1" thickBot="1" x14ac:dyDescent="0.25">
      <c r="F4662" s="503" t="s">
        <v>246</v>
      </c>
      <c r="G4662" s="504" t="s">
        <v>247</v>
      </c>
      <c r="H4662" s="397"/>
      <c r="I4662" s="397"/>
      <c r="J4662" s="750" t="e">
        <f t="shared" si="55"/>
        <v>#DIV/0!</v>
      </c>
      <c r="K4662" s="398"/>
      <c r="L4662" s="404"/>
      <c r="M4662" s="682"/>
    </row>
    <row r="4663" spans="6:13" ht="26.25" hidden="1" thickBot="1" x14ac:dyDescent="0.25">
      <c r="F4663" s="503" t="s">
        <v>248</v>
      </c>
      <c r="G4663" s="504" t="s">
        <v>249</v>
      </c>
      <c r="H4663" s="397"/>
      <c r="I4663" s="397"/>
      <c r="J4663" s="750" t="e">
        <f t="shared" si="55"/>
        <v>#DIV/0!</v>
      </c>
      <c r="K4663" s="398"/>
      <c r="L4663" s="404"/>
      <c r="M4663" s="682"/>
    </row>
    <row r="4664" spans="6:13" ht="13.5" hidden="1" thickBot="1" x14ac:dyDescent="0.25">
      <c r="F4664" s="503" t="s">
        <v>250</v>
      </c>
      <c r="G4664" s="504" t="s">
        <v>57</v>
      </c>
      <c r="H4664" s="397"/>
      <c r="I4664" s="397"/>
      <c r="J4664" s="750" t="e">
        <f t="shared" si="55"/>
        <v>#DIV/0!</v>
      </c>
      <c r="K4664" s="398"/>
      <c r="L4664" s="404"/>
      <c r="M4664" s="682"/>
    </row>
    <row r="4665" spans="6:13" ht="13.5" hidden="1" thickBot="1" x14ac:dyDescent="0.25">
      <c r="F4665" s="503" t="s">
        <v>251</v>
      </c>
      <c r="G4665" s="504" t="s">
        <v>252</v>
      </c>
      <c r="H4665" s="397"/>
      <c r="I4665" s="397"/>
      <c r="J4665" s="750" t="e">
        <f t="shared" si="55"/>
        <v>#DIV/0!</v>
      </c>
      <c r="K4665" s="398"/>
      <c r="L4665" s="404"/>
      <c r="M4665" s="682"/>
    </row>
    <row r="4666" spans="6:13" ht="13.5" hidden="1" thickBot="1" x14ac:dyDescent="0.25">
      <c r="F4666" s="503" t="s">
        <v>253</v>
      </c>
      <c r="G4666" s="504" t="s">
        <v>254</v>
      </c>
      <c r="H4666" s="397"/>
      <c r="I4666" s="397"/>
      <c r="J4666" s="750" t="e">
        <f t="shared" si="55"/>
        <v>#DIV/0!</v>
      </c>
      <c r="K4666" s="398"/>
      <c r="L4666" s="404"/>
      <c r="M4666" s="682"/>
    </row>
    <row r="4667" spans="6:13" ht="26.25" hidden="1" thickBot="1" x14ac:dyDescent="0.25">
      <c r="F4667" s="503" t="s">
        <v>255</v>
      </c>
      <c r="G4667" s="504" t="s">
        <v>256</v>
      </c>
      <c r="H4667" s="397"/>
      <c r="I4667" s="397"/>
      <c r="J4667" s="750" t="e">
        <f t="shared" si="55"/>
        <v>#DIV/0!</v>
      </c>
      <c r="K4667" s="398"/>
      <c r="L4667" s="404"/>
      <c r="M4667" s="682"/>
    </row>
    <row r="4668" spans="6:13" ht="26.25" hidden="1" thickBot="1" x14ac:dyDescent="0.25">
      <c r="F4668" s="503" t="s">
        <v>257</v>
      </c>
      <c r="G4668" s="504" t="s">
        <v>258</v>
      </c>
      <c r="H4668" s="397"/>
      <c r="I4668" s="397"/>
      <c r="J4668" s="750" t="e">
        <f t="shared" si="55"/>
        <v>#DIV/0!</v>
      </c>
      <c r="K4668" s="398"/>
      <c r="L4668" s="404"/>
      <c r="M4668" s="682"/>
    </row>
    <row r="4669" spans="6:13" ht="26.25" hidden="1" thickBot="1" x14ac:dyDescent="0.25">
      <c r="F4669" s="503" t="s">
        <v>259</v>
      </c>
      <c r="G4669" s="504" t="s">
        <v>260</v>
      </c>
      <c r="H4669" s="397"/>
      <c r="I4669" s="397"/>
      <c r="J4669" s="750" t="e">
        <f t="shared" si="55"/>
        <v>#DIV/0!</v>
      </c>
      <c r="K4669" s="398"/>
      <c r="L4669" s="404"/>
      <c r="M4669" s="682"/>
    </row>
    <row r="4670" spans="6:13" ht="26.25" hidden="1" thickBot="1" x14ac:dyDescent="0.25">
      <c r="F4670" s="503" t="s">
        <v>261</v>
      </c>
      <c r="G4670" s="504" t="s">
        <v>262</v>
      </c>
      <c r="H4670" s="397"/>
      <c r="I4670" s="397"/>
      <c r="J4670" s="750" t="e">
        <f t="shared" si="55"/>
        <v>#DIV/0!</v>
      </c>
      <c r="K4670" s="398"/>
      <c r="L4670" s="404"/>
      <c r="M4670" s="682"/>
    </row>
    <row r="4671" spans="6:13" ht="13.5" hidden="1" thickBot="1" x14ac:dyDescent="0.25">
      <c r="F4671" s="503" t="s">
        <v>263</v>
      </c>
      <c r="G4671" s="504" t="s">
        <v>264</v>
      </c>
      <c r="H4671" s="403"/>
      <c r="I4671" s="403"/>
      <c r="J4671" s="750" t="e">
        <f t="shared" si="55"/>
        <v>#DIV/0!</v>
      </c>
      <c r="K4671" s="404"/>
      <c r="L4671" s="404"/>
      <c r="M4671" s="682"/>
    </row>
    <row r="4672" spans="6:13" ht="13.5" collapsed="1" thickBot="1" x14ac:dyDescent="0.25">
      <c r="G4672" s="505" t="s">
        <v>4256</v>
      </c>
      <c r="H4672" s="405">
        <f>SUM(H4656:H4671)</f>
        <v>586000</v>
      </c>
      <c r="I4672" s="405">
        <f>SUM(I4656)</f>
        <v>593402</v>
      </c>
      <c r="J4672" s="750">
        <f t="shared" si="55"/>
        <v>101.26313993174061</v>
      </c>
      <c r="K4672" s="406">
        <f>SUM(K4657:K4671)</f>
        <v>0</v>
      </c>
      <c r="L4672" s="406"/>
      <c r="M4672" s="682"/>
    </row>
    <row r="4673" spans="3:13" ht="2.25" customHeight="1" x14ac:dyDescent="0.2">
      <c r="G4673" s="510"/>
      <c r="H4673" s="411"/>
      <c r="I4673" s="411"/>
      <c r="J4673" s="750" t="e">
        <f t="shared" si="55"/>
        <v>#DIV/0!</v>
      </c>
      <c r="K4673" s="412"/>
      <c r="L4673" s="412"/>
      <c r="M4673" s="682"/>
    </row>
    <row r="4674" spans="3:13" x14ac:dyDescent="0.2">
      <c r="C4674" s="581" t="s">
        <v>4770</v>
      </c>
      <c r="G4674" s="510" t="s">
        <v>5124</v>
      </c>
      <c r="H4674" s="411"/>
      <c r="I4674" s="411"/>
      <c r="J4674" s="750"/>
      <c r="K4674" s="412"/>
      <c r="L4674" s="412"/>
      <c r="M4674" s="682"/>
    </row>
    <row r="4675" spans="3:13" ht="12.75" customHeight="1" x14ac:dyDescent="0.2">
      <c r="D4675" s="548" t="s">
        <v>3888</v>
      </c>
      <c r="G4675" s="514" t="s">
        <v>4218</v>
      </c>
      <c r="H4675" s="411"/>
      <c r="I4675" s="411"/>
      <c r="J4675" s="750"/>
      <c r="K4675" s="412"/>
      <c r="L4675" s="412"/>
      <c r="M4675" s="682"/>
    </row>
    <row r="4676" spans="3:13" hidden="1" x14ac:dyDescent="0.2">
      <c r="F4676" s="464">
        <v>411</v>
      </c>
      <c r="G4676" s="510" t="s">
        <v>4167</v>
      </c>
      <c r="H4676" s="411"/>
      <c r="I4676" s="411"/>
      <c r="J4676" s="750" t="e">
        <f t="shared" si="55"/>
        <v>#DIV/0!</v>
      </c>
      <c r="K4676" s="412"/>
      <c r="L4676" s="412"/>
      <c r="M4676" s="682"/>
    </row>
    <row r="4677" spans="3:13" hidden="1" x14ac:dyDescent="0.2">
      <c r="F4677" s="464">
        <v>412</v>
      </c>
      <c r="G4677" s="510" t="s">
        <v>3764</v>
      </c>
      <c r="H4677" s="411"/>
      <c r="I4677" s="411"/>
      <c r="J4677" s="750" t="e">
        <f t="shared" si="55"/>
        <v>#DIV/0!</v>
      </c>
      <c r="K4677" s="412"/>
      <c r="L4677" s="412"/>
      <c r="M4677" s="682"/>
    </row>
    <row r="4678" spans="3:13" hidden="1" x14ac:dyDescent="0.2">
      <c r="F4678" s="464">
        <v>413</v>
      </c>
      <c r="G4678" s="510" t="s">
        <v>4168</v>
      </c>
      <c r="H4678" s="411"/>
      <c r="I4678" s="411"/>
      <c r="J4678" s="750" t="e">
        <f t="shared" si="55"/>
        <v>#DIV/0!</v>
      </c>
      <c r="K4678" s="412"/>
      <c r="L4678" s="412"/>
      <c r="M4678" s="682"/>
    </row>
    <row r="4679" spans="3:13" hidden="1" x14ac:dyDescent="0.2">
      <c r="F4679" s="464">
        <v>414</v>
      </c>
      <c r="G4679" s="510" t="s">
        <v>3767</v>
      </c>
      <c r="H4679" s="411"/>
      <c r="I4679" s="411"/>
      <c r="J4679" s="750" t="e">
        <f t="shared" si="55"/>
        <v>#DIV/0!</v>
      </c>
      <c r="K4679" s="412"/>
      <c r="L4679" s="412"/>
      <c r="M4679" s="682"/>
    </row>
    <row r="4680" spans="3:13" hidden="1" x14ac:dyDescent="0.2">
      <c r="F4680" s="464">
        <v>415</v>
      </c>
      <c r="G4680" s="510" t="s">
        <v>4177</v>
      </c>
      <c r="H4680" s="411"/>
      <c r="I4680" s="411"/>
      <c r="J4680" s="750" t="e">
        <f t="shared" si="55"/>
        <v>#DIV/0!</v>
      </c>
      <c r="K4680" s="412"/>
      <c r="L4680" s="412"/>
      <c r="M4680" s="682"/>
    </row>
    <row r="4681" spans="3:13" ht="25.5" hidden="1" x14ac:dyDescent="0.2">
      <c r="F4681" s="464">
        <v>416</v>
      </c>
      <c r="G4681" s="510" t="s">
        <v>4178</v>
      </c>
      <c r="H4681" s="411"/>
      <c r="I4681" s="411"/>
      <c r="J4681" s="750" t="e">
        <f t="shared" si="55"/>
        <v>#DIV/0!</v>
      </c>
      <c r="K4681" s="412"/>
      <c r="L4681" s="412"/>
      <c r="M4681" s="682"/>
    </row>
    <row r="4682" spans="3:13" hidden="1" x14ac:dyDescent="0.2">
      <c r="F4682" s="464">
        <v>417</v>
      </c>
      <c r="G4682" s="510" t="s">
        <v>4179</v>
      </c>
      <c r="H4682" s="411"/>
      <c r="I4682" s="411"/>
      <c r="J4682" s="750" t="e">
        <f t="shared" si="55"/>
        <v>#DIV/0!</v>
      </c>
      <c r="K4682" s="412"/>
      <c r="L4682" s="412"/>
      <c r="M4682" s="682"/>
    </row>
    <row r="4683" spans="3:13" hidden="1" x14ac:dyDescent="0.2">
      <c r="F4683" s="464">
        <v>418</v>
      </c>
      <c r="G4683" s="510" t="s">
        <v>3773</v>
      </c>
      <c r="H4683" s="411"/>
      <c r="I4683" s="411"/>
      <c r="J4683" s="750" t="e">
        <f t="shared" si="55"/>
        <v>#DIV/0!</v>
      </c>
      <c r="K4683" s="412"/>
      <c r="L4683" s="412"/>
      <c r="M4683" s="682"/>
    </row>
    <row r="4684" spans="3:13" hidden="1" x14ac:dyDescent="0.2">
      <c r="F4684" s="464">
        <v>421</v>
      </c>
      <c r="G4684" s="510" t="s">
        <v>3777</v>
      </c>
      <c r="H4684" s="411"/>
      <c r="I4684" s="411"/>
      <c r="J4684" s="750" t="e">
        <f t="shared" si="55"/>
        <v>#DIV/0!</v>
      </c>
      <c r="K4684" s="412"/>
      <c r="L4684" s="412"/>
      <c r="M4684" s="682"/>
    </row>
    <row r="4685" spans="3:13" hidden="1" x14ac:dyDescent="0.2">
      <c r="F4685" s="464">
        <v>422</v>
      </c>
      <c r="G4685" s="510" t="s">
        <v>3778</v>
      </c>
      <c r="H4685" s="411"/>
      <c r="I4685" s="411"/>
      <c r="J4685" s="750" t="e">
        <f t="shared" ref="J4685:J4748" si="56">SUM(I4685/H4685)*100</f>
        <v>#DIV/0!</v>
      </c>
      <c r="K4685" s="412"/>
      <c r="L4685" s="412"/>
      <c r="M4685" s="682"/>
    </row>
    <row r="4686" spans="3:13" hidden="1" x14ac:dyDescent="0.2">
      <c r="F4686" s="464">
        <v>423</v>
      </c>
      <c r="G4686" s="510" t="s">
        <v>3779</v>
      </c>
      <c r="H4686" s="411"/>
      <c r="I4686" s="411"/>
      <c r="J4686" s="750" t="e">
        <f t="shared" si="56"/>
        <v>#DIV/0!</v>
      </c>
      <c r="K4686" s="412"/>
      <c r="L4686" s="412"/>
      <c r="M4686" s="682"/>
    </row>
    <row r="4687" spans="3:13" hidden="1" x14ac:dyDescent="0.2">
      <c r="F4687" s="464">
        <v>424</v>
      </c>
      <c r="G4687" s="510" t="s">
        <v>3781</v>
      </c>
      <c r="H4687" s="411"/>
      <c r="I4687" s="411"/>
      <c r="J4687" s="750" t="e">
        <f t="shared" si="56"/>
        <v>#DIV/0!</v>
      </c>
      <c r="K4687" s="412"/>
      <c r="L4687" s="412"/>
      <c r="M4687" s="682"/>
    </row>
    <row r="4688" spans="3:13" hidden="1" x14ac:dyDescent="0.2">
      <c r="F4688" s="464">
        <v>425</v>
      </c>
      <c r="G4688" s="510" t="s">
        <v>4180</v>
      </c>
      <c r="H4688" s="411"/>
      <c r="I4688" s="411"/>
      <c r="J4688" s="750" t="e">
        <f t="shared" si="56"/>
        <v>#DIV/0!</v>
      </c>
      <c r="K4688" s="412"/>
      <c r="L4688" s="412"/>
      <c r="M4688" s="682"/>
    </row>
    <row r="4689" spans="6:13" hidden="1" x14ac:dyDescent="0.2">
      <c r="F4689" s="464">
        <v>426</v>
      </c>
      <c r="G4689" s="510" t="s">
        <v>3785</v>
      </c>
      <c r="H4689" s="411"/>
      <c r="I4689" s="411"/>
      <c r="J4689" s="750" t="e">
        <f t="shared" si="56"/>
        <v>#DIV/0!</v>
      </c>
      <c r="K4689" s="412"/>
      <c r="L4689" s="412"/>
      <c r="M4689" s="682"/>
    </row>
    <row r="4690" spans="6:13" hidden="1" x14ac:dyDescent="0.2">
      <c r="F4690" s="464">
        <v>431</v>
      </c>
      <c r="G4690" s="510" t="s">
        <v>4181</v>
      </c>
      <c r="H4690" s="411"/>
      <c r="I4690" s="411"/>
      <c r="J4690" s="750" t="e">
        <f t="shared" si="56"/>
        <v>#DIV/0!</v>
      </c>
      <c r="K4690" s="412"/>
      <c r="L4690" s="412"/>
      <c r="M4690" s="682"/>
    </row>
    <row r="4691" spans="6:13" hidden="1" x14ac:dyDescent="0.2">
      <c r="F4691" s="464">
        <v>432</v>
      </c>
      <c r="G4691" s="510" t="s">
        <v>4182</v>
      </c>
      <c r="H4691" s="411"/>
      <c r="I4691" s="411"/>
      <c r="J4691" s="750" t="e">
        <f t="shared" si="56"/>
        <v>#DIV/0!</v>
      </c>
      <c r="K4691" s="412"/>
      <c r="L4691" s="412"/>
      <c r="M4691" s="682"/>
    </row>
    <row r="4692" spans="6:13" hidden="1" x14ac:dyDescent="0.2">
      <c r="F4692" s="464">
        <v>433</v>
      </c>
      <c r="G4692" s="510" t="s">
        <v>4183</v>
      </c>
      <c r="H4692" s="411"/>
      <c r="I4692" s="411"/>
      <c r="J4692" s="750" t="e">
        <f t="shared" si="56"/>
        <v>#DIV/0!</v>
      </c>
      <c r="K4692" s="412"/>
      <c r="L4692" s="412"/>
      <c r="M4692" s="682"/>
    </row>
    <row r="4693" spans="6:13" hidden="1" x14ac:dyDescent="0.2">
      <c r="F4693" s="464">
        <v>434</v>
      </c>
      <c r="G4693" s="510" t="s">
        <v>4184</v>
      </c>
      <c r="H4693" s="411"/>
      <c r="I4693" s="411"/>
      <c r="J4693" s="750" t="e">
        <f t="shared" si="56"/>
        <v>#DIV/0!</v>
      </c>
      <c r="K4693" s="412"/>
      <c r="L4693" s="412"/>
      <c r="M4693" s="682"/>
    </row>
    <row r="4694" spans="6:13" hidden="1" x14ac:dyDescent="0.2">
      <c r="F4694" s="464">
        <v>435</v>
      </c>
      <c r="G4694" s="510" t="s">
        <v>3792</v>
      </c>
      <c r="H4694" s="411"/>
      <c r="I4694" s="411"/>
      <c r="J4694" s="750" t="e">
        <f t="shared" si="56"/>
        <v>#DIV/0!</v>
      </c>
      <c r="K4694" s="412"/>
      <c r="L4694" s="412"/>
      <c r="M4694" s="682"/>
    </row>
    <row r="4695" spans="6:13" hidden="1" x14ac:dyDescent="0.2">
      <c r="F4695" s="464">
        <v>441</v>
      </c>
      <c r="G4695" s="510" t="s">
        <v>4185</v>
      </c>
      <c r="H4695" s="411"/>
      <c r="I4695" s="411"/>
      <c r="J4695" s="750" t="e">
        <f t="shared" si="56"/>
        <v>#DIV/0!</v>
      </c>
      <c r="K4695" s="412"/>
      <c r="L4695" s="412"/>
      <c r="M4695" s="682"/>
    </row>
    <row r="4696" spans="6:13" hidden="1" x14ac:dyDescent="0.2">
      <c r="F4696" s="464">
        <v>442</v>
      </c>
      <c r="G4696" s="510" t="s">
        <v>4186</v>
      </c>
      <c r="H4696" s="411"/>
      <c r="I4696" s="411"/>
      <c r="J4696" s="750" t="e">
        <f t="shared" si="56"/>
        <v>#DIV/0!</v>
      </c>
      <c r="K4696" s="412"/>
      <c r="L4696" s="412"/>
      <c r="M4696" s="682"/>
    </row>
    <row r="4697" spans="6:13" hidden="1" x14ac:dyDescent="0.2">
      <c r="F4697" s="464">
        <v>443</v>
      </c>
      <c r="G4697" s="510" t="s">
        <v>3797</v>
      </c>
      <c r="H4697" s="411"/>
      <c r="I4697" s="411"/>
      <c r="J4697" s="750" t="e">
        <f t="shared" si="56"/>
        <v>#DIV/0!</v>
      </c>
      <c r="K4697" s="412"/>
      <c r="L4697" s="412"/>
      <c r="M4697" s="682"/>
    </row>
    <row r="4698" spans="6:13" hidden="1" x14ac:dyDescent="0.2">
      <c r="F4698" s="464">
        <v>444</v>
      </c>
      <c r="G4698" s="510" t="s">
        <v>3798</v>
      </c>
      <c r="H4698" s="411"/>
      <c r="I4698" s="411"/>
      <c r="J4698" s="750" t="e">
        <f t="shared" si="56"/>
        <v>#DIV/0!</v>
      </c>
      <c r="K4698" s="412"/>
      <c r="L4698" s="412"/>
      <c r="M4698" s="682"/>
    </row>
    <row r="4699" spans="6:13" ht="25.5" hidden="1" x14ac:dyDescent="0.2">
      <c r="F4699" s="464">
        <v>4511</v>
      </c>
      <c r="G4699" s="510" t="s">
        <v>1692</v>
      </c>
      <c r="H4699" s="411"/>
      <c r="I4699" s="411"/>
      <c r="J4699" s="750" t="e">
        <f t="shared" si="56"/>
        <v>#DIV/0!</v>
      </c>
      <c r="K4699" s="412"/>
      <c r="L4699" s="412"/>
      <c r="M4699" s="682"/>
    </row>
    <row r="4700" spans="6:13" ht="38.25" hidden="1" x14ac:dyDescent="0.2">
      <c r="F4700" s="464">
        <v>4512</v>
      </c>
      <c r="G4700" s="510" t="s">
        <v>1701</v>
      </c>
      <c r="H4700" s="411"/>
      <c r="I4700" s="411"/>
      <c r="J4700" s="750" t="e">
        <f t="shared" si="56"/>
        <v>#DIV/0!</v>
      </c>
      <c r="K4700" s="412"/>
      <c r="L4700" s="412"/>
      <c r="M4700" s="682"/>
    </row>
    <row r="4701" spans="6:13" ht="25.5" hidden="1" x14ac:dyDescent="0.2">
      <c r="F4701" s="464">
        <v>452</v>
      </c>
      <c r="G4701" s="510" t="s">
        <v>4187</v>
      </c>
      <c r="H4701" s="411"/>
      <c r="I4701" s="411"/>
      <c r="J4701" s="750" t="e">
        <f t="shared" si="56"/>
        <v>#DIV/0!</v>
      </c>
      <c r="K4701" s="412"/>
      <c r="L4701" s="412"/>
      <c r="M4701" s="682"/>
    </row>
    <row r="4702" spans="6:13" ht="17.25" hidden="1" customHeight="1" x14ac:dyDescent="0.2">
      <c r="F4702" s="464">
        <v>453</v>
      </c>
      <c r="G4702" s="510" t="s">
        <v>4188</v>
      </c>
      <c r="H4702" s="411"/>
      <c r="I4702" s="411"/>
      <c r="J4702" s="750" t="e">
        <f t="shared" si="56"/>
        <v>#DIV/0!</v>
      </c>
      <c r="K4702" s="412"/>
      <c r="L4702" s="412"/>
      <c r="M4702" s="682"/>
    </row>
    <row r="4703" spans="6:13" hidden="1" x14ac:dyDescent="0.2">
      <c r="F4703" s="464">
        <v>454</v>
      </c>
      <c r="G4703" s="510" t="s">
        <v>3803</v>
      </c>
      <c r="H4703" s="411"/>
      <c r="I4703" s="411"/>
      <c r="J4703" s="750" t="e">
        <f t="shared" si="56"/>
        <v>#DIV/0!</v>
      </c>
      <c r="K4703" s="412"/>
      <c r="L4703" s="412"/>
      <c r="M4703" s="682"/>
    </row>
    <row r="4704" spans="6:13" hidden="1" x14ac:dyDescent="0.2">
      <c r="F4704" s="464">
        <v>461</v>
      </c>
      <c r="G4704" s="510" t="s">
        <v>4169</v>
      </c>
      <c r="H4704" s="411"/>
      <c r="I4704" s="411"/>
      <c r="J4704" s="750" t="e">
        <f t="shared" si="56"/>
        <v>#DIV/0!</v>
      </c>
      <c r="K4704" s="412"/>
      <c r="L4704" s="412"/>
      <c r="M4704" s="682"/>
    </row>
    <row r="4705" spans="5:13" ht="25.5" hidden="1" x14ac:dyDescent="0.2">
      <c r="F4705" s="464">
        <v>462</v>
      </c>
      <c r="G4705" s="510" t="s">
        <v>3806</v>
      </c>
      <c r="H4705" s="411"/>
      <c r="I4705" s="411"/>
      <c r="J4705" s="750" t="e">
        <f t="shared" si="56"/>
        <v>#DIV/0!</v>
      </c>
      <c r="K4705" s="412"/>
      <c r="L4705" s="412"/>
      <c r="M4705" s="682"/>
    </row>
    <row r="4706" spans="5:13" hidden="1" x14ac:dyDescent="0.2">
      <c r="F4706" s="464">
        <v>4631</v>
      </c>
      <c r="G4706" s="510" t="s">
        <v>3807</v>
      </c>
      <c r="H4706" s="411"/>
      <c r="I4706" s="411"/>
      <c r="J4706" s="750" t="e">
        <f t="shared" si="56"/>
        <v>#DIV/0!</v>
      </c>
      <c r="K4706" s="412"/>
      <c r="L4706" s="412"/>
      <c r="M4706" s="682"/>
    </row>
    <row r="4707" spans="5:13" ht="13.5" thickBot="1" x14ac:dyDescent="0.25">
      <c r="E4707" s="464">
        <v>52</v>
      </c>
      <c r="F4707" s="464">
        <v>4632</v>
      </c>
      <c r="G4707" s="564" t="s">
        <v>3808</v>
      </c>
      <c r="H4707" s="429">
        <v>931200</v>
      </c>
      <c r="I4707" s="429">
        <v>931200</v>
      </c>
      <c r="J4707" s="750">
        <f t="shared" si="56"/>
        <v>100</v>
      </c>
      <c r="K4707" s="430"/>
      <c r="L4707" s="431"/>
      <c r="M4707" s="682"/>
    </row>
    <row r="4708" spans="5:13" ht="25.5" hidden="1" x14ac:dyDescent="0.2">
      <c r="F4708" s="464">
        <v>464</v>
      </c>
      <c r="G4708" s="510" t="s">
        <v>3809</v>
      </c>
      <c r="H4708" s="411"/>
      <c r="I4708" s="411"/>
      <c r="J4708" s="750" t="e">
        <f t="shared" si="56"/>
        <v>#DIV/0!</v>
      </c>
      <c r="K4708" s="412"/>
      <c r="L4708" s="412"/>
      <c r="M4708" s="682"/>
    </row>
    <row r="4709" spans="5:13" hidden="1" x14ac:dyDescent="0.2">
      <c r="F4709" s="464">
        <v>465</v>
      </c>
      <c r="G4709" s="510" t="s">
        <v>4170</v>
      </c>
      <c r="H4709" s="411"/>
      <c r="I4709" s="411"/>
      <c r="J4709" s="750" t="e">
        <f t="shared" si="56"/>
        <v>#DIV/0!</v>
      </c>
      <c r="K4709" s="412"/>
      <c r="L4709" s="412"/>
      <c r="M4709" s="682"/>
    </row>
    <row r="4710" spans="5:13" hidden="1" x14ac:dyDescent="0.2">
      <c r="F4710" s="464">
        <v>472</v>
      </c>
      <c r="G4710" s="510" t="s">
        <v>3813</v>
      </c>
      <c r="H4710" s="411"/>
      <c r="I4710" s="411"/>
      <c r="J4710" s="750" t="e">
        <f t="shared" si="56"/>
        <v>#DIV/0!</v>
      </c>
      <c r="K4710" s="412"/>
      <c r="L4710" s="412"/>
      <c r="M4710" s="682"/>
    </row>
    <row r="4711" spans="5:13" hidden="1" x14ac:dyDescent="0.2">
      <c r="F4711" s="464">
        <v>481</v>
      </c>
      <c r="G4711" s="510" t="s">
        <v>4189</v>
      </c>
      <c r="H4711" s="411"/>
      <c r="I4711" s="411"/>
      <c r="J4711" s="750" t="e">
        <f t="shared" si="56"/>
        <v>#DIV/0!</v>
      </c>
      <c r="K4711" s="412"/>
      <c r="L4711" s="412"/>
      <c r="M4711" s="682"/>
    </row>
    <row r="4712" spans="5:13" hidden="1" x14ac:dyDescent="0.2">
      <c r="F4712" s="464">
        <v>482</v>
      </c>
      <c r="G4712" s="510" t="s">
        <v>4190</v>
      </c>
      <c r="H4712" s="411"/>
      <c r="I4712" s="411"/>
      <c r="J4712" s="750" t="e">
        <f t="shared" si="56"/>
        <v>#DIV/0!</v>
      </c>
      <c r="K4712" s="412"/>
      <c r="L4712" s="412"/>
      <c r="M4712" s="682"/>
    </row>
    <row r="4713" spans="5:13" hidden="1" x14ac:dyDescent="0.2">
      <c r="F4713" s="464">
        <v>483</v>
      </c>
      <c r="G4713" s="510" t="s">
        <v>4191</v>
      </c>
      <c r="H4713" s="411"/>
      <c r="I4713" s="411"/>
      <c r="J4713" s="750" t="e">
        <f t="shared" si="56"/>
        <v>#DIV/0!</v>
      </c>
      <c r="K4713" s="412"/>
      <c r="L4713" s="412"/>
      <c r="M4713" s="682"/>
    </row>
    <row r="4714" spans="5:13" ht="38.25" hidden="1" x14ac:dyDescent="0.2">
      <c r="F4714" s="464">
        <v>484</v>
      </c>
      <c r="G4714" s="510" t="s">
        <v>4192</v>
      </c>
      <c r="H4714" s="411"/>
      <c r="I4714" s="411"/>
      <c r="J4714" s="750" t="e">
        <f t="shared" si="56"/>
        <v>#DIV/0!</v>
      </c>
      <c r="K4714" s="412"/>
      <c r="L4714" s="412"/>
      <c r="M4714" s="682"/>
    </row>
    <row r="4715" spans="5:13" ht="25.5" hidden="1" x14ac:dyDescent="0.2">
      <c r="F4715" s="464">
        <v>485</v>
      </c>
      <c r="G4715" s="510" t="s">
        <v>4193</v>
      </c>
      <c r="H4715" s="411"/>
      <c r="I4715" s="411"/>
      <c r="J4715" s="750" t="e">
        <f t="shared" si="56"/>
        <v>#DIV/0!</v>
      </c>
      <c r="K4715" s="412"/>
      <c r="L4715" s="412"/>
      <c r="M4715" s="682"/>
    </row>
    <row r="4716" spans="5:13" ht="38.25" hidden="1" x14ac:dyDescent="0.2">
      <c r="F4716" s="464">
        <v>489</v>
      </c>
      <c r="G4716" s="510" t="s">
        <v>3821</v>
      </c>
      <c r="H4716" s="411"/>
      <c r="I4716" s="411"/>
      <c r="J4716" s="750" t="e">
        <f t="shared" si="56"/>
        <v>#DIV/0!</v>
      </c>
      <c r="K4716" s="412"/>
      <c r="L4716" s="412"/>
      <c r="M4716" s="682"/>
    </row>
    <row r="4717" spans="5:13" ht="25.5" hidden="1" x14ac:dyDescent="0.2">
      <c r="F4717" s="464">
        <v>494</v>
      </c>
      <c r="G4717" s="510" t="s">
        <v>4171</v>
      </c>
      <c r="H4717" s="411"/>
      <c r="I4717" s="411"/>
      <c r="J4717" s="750" t="e">
        <f t="shared" si="56"/>
        <v>#DIV/0!</v>
      </c>
      <c r="K4717" s="412"/>
      <c r="L4717" s="412"/>
      <c r="M4717" s="682"/>
    </row>
    <row r="4718" spans="5:13" ht="25.5" hidden="1" x14ac:dyDescent="0.2">
      <c r="F4718" s="464">
        <v>495</v>
      </c>
      <c r="G4718" s="510" t="s">
        <v>4172</v>
      </c>
      <c r="H4718" s="411"/>
      <c r="I4718" s="411"/>
      <c r="J4718" s="750" t="e">
        <f t="shared" si="56"/>
        <v>#DIV/0!</v>
      </c>
      <c r="K4718" s="412"/>
      <c r="L4718" s="412"/>
      <c r="M4718" s="682"/>
    </row>
    <row r="4719" spans="5:13" ht="38.25" hidden="1" x14ac:dyDescent="0.2">
      <c r="F4719" s="464">
        <v>496</v>
      </c>
      <c r="G4719" s="510" t="s">
        <v>4173</v>
      </c>
      <c r="H4719" s="411"/>
      <c r="I4719" s="411"/>
      <c r="J4719" s="750" t="e">
        <f t="shared" si="56"/>
        <v>#DIV/0!</v>
      </c>
      <c r="K4719" s="412"/>
      <c r="L4719" s="412"/>
      <c r="M4719" s="682"/>
    </row>
    <row r="4720" spans="5:13" ht="25.5" hidden="1" x14ac:dyDescent="0.2">
      <c r="F4720" s="464">
        <v>499</v>
      </c>
      <c r="G4720" s="510" t="s">
        <v>4174</v>
      </c>
      <c r="H4720" s="411"/>
      <c r="I4720" s="411"/>
      <c r="J4720" s="750" t="e">
        <f t="shared" si="56"/>
        <v>#DIV/0!</v>
      </c>
      <c r="K4720" s="412"/>
      <c r="L4720" s="412"/>
      <c r="M4720" s="682"/>
    </row>
    <row r="4721" spans="6:13" hidden="1" x14ac:dyDescent="0.2">
      <c r="F4721" s="464">
        <v>511</v>
      </c>
      <c r="G4721" s="510" t="s">
        <v>4194</v>
      </c>
      <c r="H4721" s="411"/>
      <c r="I4721" s="411"/>
      <c r="J4721" s="750" t="e">
        <f t="shared" si="56"/>
        <v>#DIV/0!</v>
      </c>
      <c r="K4721" s="412"/>
      <c r="L4721" s="412"/>
      <c r="M4721" s="682"/>
    </row>
    <row r="4722" spans="6:13" hidden="1" x14ac:dyDescent="0.2">
      <c r="F4722" s="464">
        <v>512</v>
      </c>
      <c r="G4722" s="510" t="s">
        <v>4195</v>
      </c>
      <c r="H4722" s="411"/>
      <c r="I4722" s="411"/>
      <c r="J4722" s="750" t="e">
        <f t="shared" si="56"/>
        <v>#DIV/0!</v>
      </c>
      <c r="K4722" s="412"/>
      <c r="L4722" s="412"/>
      <c r="M4722" s="682"/>
    </row>
    <row r="4723" spans="6:13" hidden="1" x14ac:dyDescent="0.2">
      <c r="F4723" s="464">
        <v>513</v>
      </c>
      <c r="G4723" s="510" t="s">
        <v>4196</v>
      </c>
      <c r="H4723" s="411"/>
      <c r="I4723" s="411"/>
      <c r="J4723" s="750" t="e">
        <f t="shared" si="56"/>
        <v>#DIV/0!</v>
      </c>
      <c r="K4723" s="412"/>
      <c r="L4723" s="412"/>
      <c r="M4723" s="682"/>
    </row>
    <row r="4724" spans="6:13" hidden="1" x14ac:dyDescent="0.2">
      <c r="F4724" s="464">
        <v>514</v>
      </c>
      <c r="G4724" s="510" t="s">
        <v>4197</v>
      </c>
      <c r="H4724" s="411"/>
      <c r="I4724" s="411"/>
      <c r="J4724" s="750" t="e">
        <f t="shared" si="56"/>
        <v>#DIV/0!</v>
      </c>
      <c r="K4724" s="412"/>
      <c r="L4724" s="412"/>
      <c r="M4724" s="682"/>
    </row>
    <row r="4725" spans="6:13" hidden="1" x14ac:dyDescent="0.2">
      <c r="F4725" s="464">
        <v>515</v>
      </c>
      <c r="G4725" s="510" t="s">
        <v>3832</v>
      </c>
      <c r="H4725" s="411"/>
      <c r="I4725" s="411"/>
      <c r="J4725" s="750" t="e">
        <f t="shared" si="56"/>
        <v>#DIV/0!</v>
      </c>
      <c r="K4725" s="412"/>
      <c r="L4725" s="412"/>
      <c r="M4725" s="682"/>
    </row>
    <row r="4726" spans="6:13" hidden="1" x14ac:dyDescent="0.2">
      <c r="F4726" s="464">
        <v>521</v>
      </c>
      <c r="G4726" s="510" t="s">
        <v>4198</v>
      </c>
      <c r="H4726" s="411"/>
      <c r="I4726" s="411"/>
      <c r="J4726" s="750" t="e">
        <f t="shared" si="56"/>
        <v>#DIV/0!</v>
      </c>
      <c r="K4726" s="412"/>
      <c r="L4726" s="412"/>
      <c r="M4726" s="682"/>
    </row>
    <row r="4727" spans="6:13" hidden="1" x14ac:dyDescent="0.2">
      <c r="F4727" s="464">
        <v>522</v>
      </c>
      <c r="G4727" s="510" t="s">
        <v>4199</v>
      </c>
      <c r="H4727" s="411"/>
      <c r="I4727" s="411"/>
      <c r="J4727" s="750" t="e">
        <f t="shared" si="56"/>
        <v>#DIV/0!</v>
      </c>
      <c r="K4727" s="412"/>
      <c r="L4727" s="412"/>
      <c r="M4727" s="682"/>
    </row>
    <row r="4728" spans="6:13" hidden="1" x14ac:dyDescent="0.2">
      <c r="F4728" s="464">
        <v>523</v>
      </c>
      <c r="G4728" s="510" t="s">
        <v>3837</v>
      </c>
      <c r="H4728" s="411"/>
      <c r="I4728" s="411"/>
      <c r="J4728" s="750" t="e">
        <f t="shared" si="56"/>
        <v>#DIV/0!</v>
      </c>
      <c r="K4728" s="412"/>
      <c r="L4728" s="412"/>
      <c r="M4728" s="682"/>
    </row>
    <row r="4729" spans="6:13" hidden="1" x14ac:dyDescent="0.2">
      <c r="F4729" s="464">
        <v>531</v>
      </c>
      <c r="G4729" s="510" t="s">
        <v>4175</v>
      </c>
      <c r="H4729" s="411"/>
      <c r="I4729" s="411"/>
      <c r="J4729" s="750" t="e">
        <f t="shared" si="56"/>
        <v>#DIV/0!</v>
      </c>
      <c r="K4729" s="412"/>
      <c r="L4729" s="412"/>
      <c r="M4729" s="682"/>
    </row>
    <row r="4730" spans="6:13" hidden="1" x14ac:dyDescent="0.2">
      <c r="F4730" s="464">
        <v>541</v>
      </c>
      <c r="G4730" s="510" t="s">
        <v>4200</v>
      </c>
      <c r="H4730" s="411"/>
      <c r="I4730" s="411"/>
      <c r="J4730" s="750" t="e">
        <f t="shared" si="56"/>
        <v>#DIV/0!</v>
      </c>
      <c r="K4730" s="412"/>
      <c r="L4730" s="412"/>
      <c r="M4730" s="682"/>
    </row>
    <row r="4731" spans="6:13" hidden="1" x14ac:dyDescent="0.2">
      <c r="F4731" s="464">
        <v>542</v>
      </c>
      <c r="G4731" s="510" t="s">
        <v>4201</v>
      </c>
      <c r="H4731" s="411"/>
      <c r="I4731" s="411"/>
      <c r="J4731" s="750" t="e">
        <f t="shared" si="56"/>
        <v>#DIV/0!</v>
      </c>
      <c r="K4731" s="412"/>
      <c r="L4731" s="412"/>
      <c r="M4731" s="682"/>
    </row>
    <row r="4732" spans="6:13" hidden="1" x14ac:dyDescent="0.2">
      <c r="F4732" s="464">
        <v>543</v>
      </c>
      <c r="G4732" s="510" t="s">
        <v>3842</v>
      </c>
      <c r="H4732" s="411"/>
      <c r="I4732" s="411"/>
      <c r="J4732" s="750" t="e">
        <f t="shared" si="56"/>
        <v>#DIV/0!</v>
      </c>
      <c r="K4732" s="412"/>
      <c r="L4732" s="412"/>
      <c r="M4732" s="682"/>
    </row>
    <row r="4733" spans="6:13" ht="38.25" hidden="1" x14ac:dyDescent="0.2">
      <c r="F4733" s="464">
        <v>551</v>
      </c>
      <c r="G4733" s="510" t="s">
        <v>4176</v>
      </c>
      <c r="H4733" s="411"/>
      <c r="I4733" s="411"/>
      <c r="J4733" s="750" t="e">
        <f t="shared" si="56"/>
        <v>#DIV/0!</v>
      </c>
      <c r="K4733" s="412"/>
      <c r="L4733" s="412"/>
      <c r="M4733" s="682"/>
    </row>
    <row r="4734" spans="6:13" hidden="1" x14ac:dyDescent="0.2">
      <c r="F4734" s="464">
        <v>611</v>
      </c>
      <c r="G4734" s="510" t="s">
        <v>3848</v>
      </c>
      <c r="H4734" s="411"/>
      <c r="I4734" s="411"/>
      <c r="J4734" s="750" t="e">
        <f t="shared" si="56"/>
        <v>#DIV/0!</v>
      </c>
      <c r="K4734" s="412"/>
      <c r="L4734" s="412"/>
      <c r="M4734" s="682"/>
    </row>
    <row r="4735" spans="6:13" hidden="1" x14ac:dyDescent="0.2">
      <c r="F4735" s="464">
        <v>620</v>
      </c>
      <c r="G4735" s="510" t="s">
        <v>88</v>
      </c>
      <c r="H4735" s="411"/>
      <c r="I4735" s="411"/>
      <c r="J4735" s="750" t="e">
        <f t="shared" si="56"/>
        <v>#DIV/0!</v>
      </c>
      <c r="K4735" s="412"/>
      <c r="L4735" s="412"/>
      <c r="M4735" s="682"/>
    </row>
    <row r="4736" spans="6:13" x14ac:dyDescent="0.2">
      <c r="G4736" s="510" t="s">
        <v>4366</v>
      </c>
      <c r="H4736" s="411"/>
      <c r="I4736" s="411"/>
      <c r="J4736" s="750"/>
      <c r="K4736" s="412"/>
      <c r="L4736" s="412"/>
      <c r="M4736" s="682"/>
    </row>
    <row r="4737" spans="6:13" ht="13.5" thickBot="1" x14ac:dyDescent="0.25">
      <c r="F4737" s="502" t="s">
        <v>234</v>
      </c>
      <c r="G4737" s="564" t="s">
        <v>235</v>
      </c>
      <c r="H4737" s="429">
        <f>SUM(H4676:H4735)</f>
        <v>931200</v>
      </c>
      <c r="I4737" s="429">
        <f>SUM(I4707)</f>
        <v>931200</v>
      </c>
      <c r="J4737" s="750">
        <f t="shared" si="56"/>
        <v>100</v>
      </c>
      <c r="K4737" s="430"/>
      <c r="L4737" s="431"/>
      <c r="M4737" s="682"/>
    </row>
    <row r="4738" spans="6:13" hidden="1" x14ac:dyDescent="0.2">
      <c r="F4738" s="464" t="s">
        <v>236</v>
      </c>
      <c r="G4738" s="510" t="s">
        <v>237</v>
      </c>
      <c r="H4738" s="411"/>
      <c r="I4738" s="411"/>
      <c r="J4738" s="750" t="e">
        <f t="shared" si="56"/>
        <v>#DIV/0!</v>
      </c>
      <c r="K4738" s="412"/>
      <c r="L4738" s="412"/>
      <c r="M4738" s="682"/>
    </row>
    <row r="4739" spans="6:13" hidden="1" x14ac:dyDescent="0.2">
      <c r="F4739" s="464" t="s">
        <v>238</v>
      </c>
      <c r="G4739" s="510" t="s">
        <v>239</v>
      </c>
      <c r="H4739" s="411"/>
      <c r="I4739" s="411"/>
      <c r="J4739" s="750" t="e">
        <f t="shared" si="56"/>
        <v>#DIV/0!</v>
      </c>
      <c r="K4739" s="412"/>
      <c r="L4739" s="412"/>
      <c r="M4739" s="682"/>
    </row>
    <row r="4740" spans="6:13" hidden="1" x14ac:dyDescent="0.2">
      <c r="F4740" s="464" t="s">
        <v>240</v>
      </c>
      <c r="G4740" s="510" t="s">
        <v>241</v>
      </c>
      <c r="H4740" s="411"/>
      <c r="I4740" s="411"/>
      <c r="J4740" s="750" t="e">
        <f t="shared" si="56"/>
        <v>#DIV/0!</v>
      </c>
      <c r="K4740" s="412"/>
      <c r="L4740" s="412"/>
      <c r="M4740" s="682"/>
    </row>
    <row r="4741" spans="6:13" hidden="1" x14ac:dyDescent="0.2">
      <c r="F4741" s="464" t="s">
        <v>242</v>
      </c>
      <c r="G4741" s="510" t="s">
        <v>243</v>
      </c>
      <c r="H4741" s="411"/>
      <c r="I4741" s="411"/>
      <c r="J4741" s="750" t="e">
        <f t="shared" si="56"/>
        <v>#DIV/0!</v>
      </c>
      <c r="K4741" s="412"/>
      <c r="L4741" s="412"/>
      <c r="M4741" s="682"/>
    </row>
    <row r="4742" spans="6:13" hidden="1" x14ac:dyDescent="0.2">
      <c r="F4742" s="464" t="s">
        <v>244</v>
      </c>
      <c r="G4742" s="510" t="s">
        <v>245</v>
      </c>
      <c r="H4742" s="411"/>
      <c r="I4742" s="411"/>
      <c r="J4742" s="750" t="e">
        <f t="shared" si="56"/>
        <v>#DIV/0!</v>
      </c>
      <c r="K4742" s="412"/>
      <c r="L4742" s="412"/>
      <c r="M4742" s="682"/>
    </row>
    <row r="4743" spans="6:13" hidden="1" x14ac:dyDescent="0.2">
      <c r="F4743" s="464" t="s">
        <v>246</v>
      </c>
      <c r="G4743" s="510" t="s">
        <v>247</v>
      </c>
      <c r="H4743" s="411"/>
      <c r="I4743" s="411"/>
      <c r="J4743" s="750" t="e">
        <f t="shared" si="56"/>
        <v>#DIV/0!</v>
      </c>
      <c r="K4743" s="412"/>
      <c r="L4743" s="412"/>
      <c r="M4743" s="682"/>
    </row>
    <row r="4744" spans="6:13" ht="25.5" hidden="1" x14ac:dyDescent="0.2">
      <c r="F4744" s="464" t="s">
        <v>248</v>
      </c>
      <c r="G4744" s="510" t="s">
        <v>249</v>
      </c>
      <c r="H4744" s="411"/>
      <c r="I4744" s="411"/>
      <c r="J4744" s="750" t="e">
        <f t="shared" si="56"/>
        <v>#DIV/0!</v>
      </c>
      <c r="K4744" s="412"/>
      <c r="L4744" s="412"/>
      <c r="M4744" s="682"/>
    </row>
    <row r="4745" spans="6:13" hidden="1" x14ac:dyDescent="0.2">
      <c r="F4745" s="464" t="s">
        <v>250</v>
      </c>
      <c r="G4745" s="510" t="s">
        <v>57</v>
      </c>
      <c r="H4745" s="411"/>
      <c r="I4745" s="411"/>
      <c r="J4745" s="750" t="e">
        <f t="shared" si="56"/>
        <v>#DIV/0!</v>
      </c>
      <c r="K4745" s="412"/>
      <c r="L4745" s="412"/>
      <c r="M4745" s="682"/>
    </row>
    <row r="4746" spans="6:13" hidden="1" x14ac:dyDescent="0.2">
      <c r="F4746" s="464" t="s">
        <v>251</v>
      </c>
      <c r="G4746" s="510" t="s">
        <v>252</v>
      </c>
      <c r="H4746" s="411"/>
      <c r="I4746" s="411"/>
      <c r="J4746" s="750" t="e">
        <f t="shared" si="56"/>
        <v>#DIV/0!</v>
      </c>
      <c r="K4746" s="412"/>
      <c r="L4746" s="412"/>
      <c r="M4746" s="682"/>
    </row>
    <row r="4747" spans="6:13" hidden="1" x14ac:dyDescent="0.2">
      <c r="F4747" s="464" t="s">
        <v>253</v>
      </c>
      <c r="G4747" s="510" t="s">
        <v>254</v>
      </c>
      <c r="H4747" s="411"/>
      <c r="I4747" s="411"/>
      <c r="J4747" s="750" t="e">
        <f t="shared" si="56"/>
        <v>#DIV/0!</v>
      </c>
      <c r="K4747" s="412"/>
      <c r="L4747" s="412"/>
      <c r="M4747" s="682"/>
    </row>
    <row r="4748" spans="6:13" ht="25.5" hidden="1" x14ac:dyDescent="0.2">
      <c r="F4748" s="464" t="s">
        <v>255</v>
      </c>
      <c r="G4748" s="510" t="s">
        <v>256</v>
      </c>
      <c r="H4748" s="411"/>
      <c r="I4748" s="411"/>
      <c r="J4748" s="750" t="e">
        <f t="shared" si="56"/>
        <v>#DIV/0!</v>
      </c>
      <c r="K4748" s="412"/>
      <c r="L4748" s="412"/>
      <c r="M4748" s="682"/>
    </row>
    <row r="4749" spans="6:13" ht="25.5" hidden="1" x14ac:dyDescent="0.2">
      <c r="F4749" s="464" t="s">
        <v>257</v>
      </c>
      <c r="G4749" s="510" t="s">
        <v>258</v>
      </c>
      <c r="H4749" s="411"/>
      <c r="I4749" s="411"/>
      <c r="J4749" s="750" t="e">
        <f t="shared" ref="J4749:J4812" si="57">SUM(I4749/H4749)*100</f>
        <v>#DIV/0!</v>
      </c>
      <c r="K4749" s="412"/>
      <c r="L4749" s="412"/>
      <c r="M4749" s="682"/>
    </row>
    <row r="4750" spans="6:13" ht="25.5" hidden="1" x14ac:dyDescent="0.2">
      <c r="F4750" s="464" t="s">
        <v>259</v>
      </c>
      <c r="G4750" s="510" t="s">
        <v>260</v>
      </c>
      <c r="H4750" s="411"/>
      <c r="I4750" s="411"/>
      <c r="J4750" s="750" t="e">
        <f t="shared" si="57"/>
        <v>#DIV/0!</v>
      </c>
      <c r="K4750" s="412"/>
      <c r="L4750" s="412"/>
      <c r="M4750" s="682"/>
    </row>
    <row r="4751" spans="6:13" ht="25.5" hidden="1" x14ac:dyDescent="0.2">
      <c r="F4751" s="464" t="s">
        <v>261</v>
      </c>
      <c r="G4751" s="510" t="s">
        <v>262</v>
      </c>
      <c r="H4751" s="411"/>
      <c r="I4751" s="411"/>
      <c r="J4751" s="750" t="e">
        <f t="shared" si="57"/>
        <v>#DIV/0!</v>
      </c>
      <c r="K4751" s="412"/>
      <c r="L4751" s="412"/>
      <c r="M4751" s="682"/>
    </row>
    <row r="4752" spans="6:13" hidden="1" x14ac:dyDescent="0.2">
      <c r="F4752" s="464" t="s">
        <v>263</v>
      </c>
      <c r="G4752" s="510" t="s">
        <v>264</v>
      </c>
      <c r="H4752" s="411"/>
      <c r="I4752" s="411"/>
      <c r="J4752" s="750" t="e">
        <f t="shared" si="57"/>
        <v>#DIV/0!</v>
      </c>
      <c r="K4752" s="412"/>
      <c r="L4752" s="412"/>
      <c r="M4752" s="682"/>
    </row>
    <row r="4753" spans="6:13" ht="13.5" customHeight="1" thickBot="1" x14ac:dyDescent="0.25">
      <c r="G4753" s="565" t="s">
        <v>4367</v>
      </c>
      <c r="H4753" s="432">
        <f>SUM(H4737:H4752)</f>
        <v>931200</v>
      </c>
      <c r="I4753" s="432">
        <f>SUM(I4737)</f>
        <v>931200</v>
      </c>
      <c r="J4753" s="750">
        <f t="shared" si="57"/>
        <v>100</v>
      </c>
      <c r="K4753" s="430">
        <f>SUM(K4738:K4752)</f>
        <v>0</v>
      </c>
      <c r="L4753" s="430"/>
      <c r="M4753" s="682"/>
    </row>
    <row r="4754" spans="6:13" x14ac:dyDescent="0.2">
      <c r="G4754" s="510" t="s">
        <v>5156</v>
      </c>
      <c r="H4754" s="411"/>
      <c r="I4754" s="411"/>
      <c r="J4754" s="750"/>
      <c r="K4754" s="412"/>
      <c r="L4754" s="412"/>
      <c r="M4754" s="682"/>
    </row>
    <row r="4755" spans="6:13" ht="15.75" customHeight="1" thickBot="1" x14ac:dyDescent="0.25">
      <c r="F4755" s="464" t="s">
        <v>234</v>
      </c>
      <c r="G4755" s="564" t="s">
        <v>235</v>
      </c>
      <c r="H4755" s="429">
        <f>SUM(H4676:H4735)</f>
        <v>931200</v>
      </c>
      <c r="I4755" s="429">
        <f>SUM(I4753)</f>
        <v>931200</v>
      </c>
      <c r="J4755" s="750">
        <f t="shared" si="57"/>
        <v>100</v>
      </c>
      <c r="K4755" s="430"/>
      <c r="L4755" s="431"/>
      <c r="M4755" s="682"/>
    </row>
    <row r="4756" spans="6:13" hidden="1" x14ac:dyDescent="0.2">
      <c r="F4756" s="464" t="s">
        <v>236</v>
      </c>
      <c r="G4756" s="510" t="s">
        <v>237</v>
      </c>
      <c r="H4756" s="411"/>
      <c r="I4756" s="411"/>
      <c r="J4756" s="750" t="e">
        <f t="shared" si="57"/>
        <v>#DIV/0!</v>
      </c>
      <c r="K4756" s="412"/>
      <c r="L4756" s="412"/>
      <c r="M4756" s="682"/>
    </row>
    <row r="4757" spans="6:13" hidden="1" x14ac:dyDescent="0.2">
      <c r="F4757" s="464" t="s">
        <v>238</v>
      </c>
      <c r="G4757" s="510" t="s">
        <v>239</v>
      </c>
      <c r="H4757" s="411"/>
      <c r="I4757" s="411"/>
      <c r="J4757" s="750" t="e">
        <f t="shared" si="57"/>
        <v>#DIV/0!</v>
      </c>
      <c r="K4757" s="412"/>
      <c r="L4757" s="412"/>
      <c r="M4757" s="682"/>
    </row>
    <row r="4758" spans="6:13" hidden="1" x14ac:dyDescent="0.2">
      <c r="F4758" s="464" t="s">
        <v>240</v>
      </c>
      <c r="G4758" s="510" t="s">
        <v>241</v>
      </c>
      <c r="H4758" s="411"/>
      <c r="I4758" s="411"/>
      <c r="J4758" s="750" t="e">
        <f t="shared" si="57"/>
        <v>#DIV/0!</v>
      </c>
      <c r="K4758" s="412"/>
      <c r="L4758" s="412"/>
      <c r="M4758" s="682"/>
    </row>
    <row r="4759" spans="6:13" hidden="1" x14ac:dyDescent="0.2">
      <c r="F4759" s="464" t="s">
        <v>242</v>
      </c>
      <c r="G4759" s="510" t="s">
        <v>243</v>
      </c>
      <c r="H4759" s="411"/>
      <c r="I4759" s="411"/>
      <c r="J4759" s="750" t="e">
        <f t="shared" si="57"/>
        <v>#DIV/0!</v>
      </c>
      <c r="K4759" s="412"/>
      <c r="L4759" s="412"/>
      <c r="M4759" s="682"/>
    </row>
    <row r="4760" spans="6:13" hidden="1" x14ac:dyDescent="0.2">
      <c r="F4760" s="464" t="s">
        <v>244</v>
      </c>
      <c r="G4760" s="510" t="s">
        <v>245</v>
      </c>
      <c r="H4760" s="411"/>
      <c r="I4760" s="411"/>
      <c r="J4760" s="750" t="e">
        <f t="shared" si="57"/>
        <v>#DIV/0!</v>
      </c>
      <c r="K4760" s="412"/>
      <c r="L4760" s="412"/>
      <c r="M4760" s="682"/>
    </row>
    <row r="4761" spans="6:13" hidden="1" x14ac:dyDescent="0.2">
      <c r="F4761" s="464" t="s">
        <v>246</v>
      </c>
      <c r="G4761" s="510" t="s">
        <v>247</v>
      </c>
      <c r="H4761" s="411"/>
      <c r="I4761" s="411"/>
      <c r="J4761" s="750" t="e">
        <f t="shared" si="57"/>
        <v>#DIV/0!</v>
      </c>
      <c r="K4761" s="412"/>
      <c r="L4761" s="412"/>
      <c r="M4761" s="682"/>
    </row>
    <row r="4762" spans="6:13" ht="25.5" hidden="1" x14ac:dyDescent="0.2">
      <c r="F4762" s="464" t="s">
        <v>248</v>
      </c>
      <c r="G4762" s="510" t="s">
        <v>249</v>
      </c>
      <c r="H4762" s="411"/>
      <c r="I4762" s="411"/>
      <c r="J4762" s="750" t="e">
        <f t="shared" si="57"/>
        <v>#DIV/0!</v>
      </c>
      <c r="K4762" s="412"/>
      <c r="L4762" s="412"/>
      <c r="M4762" s="682"/>
    </row>
    <row r="4763" spans="6:13" hidden="1" x14ac:dyDescent="0.2">
      <c r="F4763" s="464" t="s">
        <v>250</v>
      </c>
      <c r="G4763" s="510" t="s">
        <v>57</v>
      </c>
      <c r="H4763" s="411"/>
      <c r="I4763" s="411"/>
      <c r="J4763" s="750" t="e">
        <f t="shared" si="57"/>
        <v>#DIV/0!</v>
      </c>
      <c r="K4763" s="412"/>
      <c r="L4763" s="412"/>
      <c r="M4763" s="682"/>
    </row>
    <row r="4764" spans="6:13" hidden="1" x14ac:dyDescent="0.2">
      <c r="F4764" s="464" t="s">
        <v>251</v>
      </c>
      <c r="G4764" s="510" t="s">
        <v>252</v>
      </c>
      <c r="H4764" s="411"/>
      <c r="I4764" s="411"/>
      <c r="J4764" s="750" t="e">
        <f t="shared" si="57"/>
        <v>#DIV/0!</v>
      </c>
      <c r="K4764" s="412"/>
      <c r="L4764" s="412"/>
      <c r="M4764" s="682"/>
    </row>
    <row r="4765" spans="6:13" hidden="1" x14ac:dyDescent="0.2">
      <c r="F4765" s="464" t="s">
        <v>253</v>
      </c>
      <c r="G4765" s="510" t="s">
        <v>254</v>
      </c>
      <c r="H4765" s="411"/>
      <c r="I4765" s="411"/>
      <c r="J4765" s="750" t="e">
        <f t="shared" si="57"/>
        <v>#DIV/0!</v>
      </c>
      <c r="K4765" s="412"/>
      <c r="L4765" s="412"/>
      <c r="M4765" s="682"/>
    </row>
    <row r="4766" spans="6:13" ht="25.5" hidden="1" x14ac:dyDescent="0.2">
      <c r="F4766" s="464" t="s">
        <v>255</v>
      </c>
      <c r="G4766" s="510" t="s">
        <v>256</v>
      </c>
      <c r="H4766" s="411"/>
      <c r="I4766" s="411"/>
      <c r="J4766" s="750" t="e">
        <f t="shared" si="57"/>
        <v>#DIV/0!</v>
      </c>
      <c r="K4766" s="412"/>
      <c r="L4766" s="412"/>
      <c r="M4766" s="682"/>
    </row>
    <row r="4767" spans="6:13" ht="25.5" hidden="1" x14ac:dyDescent="0.2">
      <c r="F4767" s="464" t="s">
        <v>257</v>
      </c>
      <c r="G4767" s="510" t="s">
        <v>258</v>
      </c>
      <c r="H4767" s="411"/>
      <c r="I4767" s="411"/>
      <c r="J4767" s="750" t="e">
        <f t="shared" si="57"/>
        <v>#DIV/0!</v>
      </c>
      <c r="K4767" s="412"/>
      <c r="L4767" s="412"/>
      <c r="M4767" s="682"/>
    </row>
    <row r="4768" spans="6:13" ht="25.5" hidden="1" x14ac:dyDescent="0.2">
      <c r="F4768" s="464" t="s">
        <v>259</v>
      </c>
      <c r="G4768" s="510" t="s">
        <v>260</v>
      </c>
      <c r="H4768" s="411"/>
      <c r="I4768" s="411"/>
      <c r="J4768" s="750" t="e">
        <f t="shared" si="57"/>
        <v>#DIV/0!</v>
      </c>
      <c r="K4768" s="412"/>
      <c r="L4768" s="412"/>
      <c r="M4768" s="682"/>
    </row>
    <row r="4769" spans="3:13" ht="25.5" hidden="1" x14ac:dyDescent="0.2">
      <c r="F4769" s="464" t="s">
        <v>261</v>
      </c>
      <c r="G4769" s="510" t="s">
        <v>262</v>
      </c>
      <c r="H4769" s="411"/>
      <c r="I4769" s="411"/>
      <c r="J4769" s="750" t="e">
        <f t="shared" si="57"/>
        <v>#DIV/0!</v>
      </c>
      <c r="K4769" s="412"/>
      <c r="L4769" s="412"/>
      <c r="M4769" s="682"/>
    </row>
    <row r="4770" spans="3:13" hidden="1" x14ac:dyDescent="0.2">
      <c r="F4770" s="464" t="s">
        <v>263</v>
      </c>
      <c r="G4770" s="510" t="s">
        <v>264</v>
      </c>
      <c r="H4770" s="411"/>
      <c r="I4770" s="411"/>
      <c r="J4770" s="750" t="e">
        <f t="shared" si="57"/>
        <v>#DIV/0!</v>
      </c>
      <c r="K4770" s="412"/>
      <c r="L4770" s="412"/>
      <c r="M4770" s="682"/>
    </row>
    <row r="4771" spans="3:13" ht="18.75" customHeight="1" thickBot="1" x14ac:dyDescent="0.25">
      <c r="G4771" s="565" t="s">
        <v>5157</v>
      </c>
      <c r="H4771" s="432">
        <f>SUM(H4755:H4770)</f>
        <v>931200</v>
      </c>
      <c r="I4771" s="432">
        <f>SUM(I4753)</f>
        <v>931200</v>
      </c>
      <c r="J4771" s="750">
        <f t="shared" si="57"/>
        <v>100</v>
      </c>
      <c r="K4771" s="430">
        <f>SUM(K4756:K4770)</f>
        <v>0</v>
      </c>
      <c r="L4771" s="430"/>
      <c r="M4771" s="682"/>
    </row>
    <row r="4772" spans="3:13" ht="3" customHeight="1" x14ac:dyDescent="0.2">
      <c r="G4772" s="510"/>
      <c r="H4772" s="411"/>
      <c r="I4772" s="411"/>
      <c r="J4772" s="750" t="e">
        <f t="shared" si="57"/>
        <v>#DIV/0!</v>
      </c>
      <c r="K4772" s="412"/>
      <c r="L4772" s="412"/>
      <c r="M4772" s="682"/>
    </row>
    <row r="4773" spans="3:13" x14ac:dyDescent="0.2">
      <c r="C4773" s="581" t="s">
        <v>4771</v>
      </c>
      <c r="G4773" s="510" t="s">
        <v>5119</v>
      </c>
      <c r="H4773" s="411"/>
      <c r="I4773" s="411"/>
      <c r="J4773" s="750"/>
      <c r="K4773" s="412"/>
      <c r="L4773" s="412"/>
      <c r="M4773" s="682"/>
    </row>
    <row r="4774" spans="3:13" ht="21.75" customHeight="1" x14ac:dyDescent="0.2">
      <c r="D4774" s="464" t="s">
        <v>3888</v>
      </c>
      <c r="G4774" s="582" t="s">
        <v>4218</v>
      </c>
      <c r="H4774" s="411"/>
      <c r="I4774" s="411"/>
      <c r="J4774" s="750"/>
      <c r="K4774" s="412"/>
      <c r="L4774" s="412"/>
      <c r="M4774" s="682"/>
    </row>
    <row r="4775" spans="3:13" hidden="1" x14ac:dyDescent="0.2">
      <c r="F4775" s="464">
        <v>411</v>
      </c>
      <c r="G4775" s="510" t="s">
        <v>4167</v>
      </c>
      <c r="H4775" s="411"/>
      <c r="I4775" s="411"/>
      <c r="J4775" s="750" t="e">
        <f t="shared" si="57"/>
        <v>#DIV/0!</v>
      </c>
      <c r="K4775" s="412"/>
      <c r="L4775" s="412"/>
      <c r="M4775" s="682"/>
    </row>
    <row r="4776" spans="3:13" hidden="1" x14ac:dyDescent="0.2">
      <c r="F4776" s="464">
        <v>412</v>
      </c>
      <c r="G4776" s="510" t="s">
        <v>3764</v>
      </c>
      <c r="H4776" s="411"/>
      <c r="I4776" s="411"/>
      <c r="J4776" s="750" t="e">
        <f t="shared" si="57"/>
        <v>#DIV/0!</v>
      </c>
      <c r="K4776" s="412"/>
      <c r="L4776" s="412"/>
      <c r="M4776" s="682"/>
    </row>
    <row r="4777" spans="3:13" hidden="1" x14ac:dyDescent="0.2">
      <c r="F4777" s="464">
        <v>413</v>
      </c>
      <c r="G4777" s="510" t="s">
        <v>4168</v>
      </c>
      <c r="H4777" s="411"/>
      <c r="I4777" s="411"/>
      <c r="J4777" s="750" t="e">
        <f t="shared" si="57"/>
        <v>#DIV/0!</v>
      </c>
      <c r="K4777" s="412"/>
      <c r="L4777" s="412"/>
      <c r="M4777" s="682"/>
    </row>
    <row r="4778" spans="3:13" hidden="1" x14ac:dyDescent="0.2">
      <c r="F4778" s="464">
        <v>414</v>
      </c>
      <c r="G4778" s="510" t="s">
        <v>3767</v>
      </c>
      <c r="H4778" s="411"/>
      <c r="I4778" s="411"/>
      <c r="J4778" s="750" t="e">
        <f t="shared" si="57"/>
        <v>#DIV/0!</v>
      </c>
      <c r="K4778" s="412"/>
      <c r="L4778" s="412"/>
      <c r="M4778" s="682"/>
    </row>
    <row r="4779" spans="3:13" hidden="1" x14ac:dyDescent="0.2">
      <c r="F4779" s="464">
        <v>415</v>
      </c>
      <c r="G4779" s="510" t="s">
        <v>4177</v>
      </c>
      <c r="H4779" s="411"/>
      <c r="I4779" s="411"/>
      <c r="J4779" s="750" t="e">
        <f t="shared" si="57"/>
        <v>#DIV/0!</v>
      </c>
      <c r="K4779" s="412"/>
      <c r="L4779" s="412"/>
      <c r="M4779" s="682"/>
    </row>
    <row r="4780" spans="3:13" ht="25.5" hidden="1" x14ac:dyDescent="0.2">
      <c r="F4780" s="464">
        <v>416</v>
      </c>
      <c r="G4780" s="510" t="s">
        <v>4178</v>
      </c>
      <c r="H4780" s="411"/>
      <c r="I4780" s="411"/>
      <c r="J4780" s="750" t="e">
        <f t="shared" si="57"/>
        <v>#DIV/0!</v>
      </c>
      <c r="K4780" s="412"/>
      <c r="L4780" s="412"/>
      <c r="M4780" s="682"/>
    </row>
    <row r="4781" spans="3:13" hidden="1" x14ac:dyDescent="0.2">
      <c r="F4781" s="464">
        <v>417</v>
      </c>
      <c r="G4781" s="510" t="s">
        <v>4179</v>
      </c>
      <c r="H4781" s="411"/>
      <c r="I4781" s="411"/>
      <c r="J4781" s="750" t="e">
        <f t="shared" si="57"/>
        <v>#DIV/0!</v>
      </c>
      <c r="K4781" s="412"/>
      <c r="L4781" s="412"/>
      <c r="M4781" s="682"/>
    </row>
    <row r="4782" spans="3:13" hidden="1" x14ac:dyDescent="0.2">
      <c r="F4782" s="464">
        <v>418</v>
      </c>
      <c r="G4782" s="510" t="s">
        <v>3773</v>
      </c>
      <c r="H4782" s="411"/>
      <c r="I4782" s="411"/>
      <c r="J4782" s="750" t="e">
        <f t="shared" si="57"/>
        <v>#DIV/0!</v>
      </c>
      <c r="K4782" s="412"/>
      <c r="L4782" s="412"/>
      <c r="M4782" s="682"/>
    </row>
    <row r="4783" spans="3:13" hidden="1" x14ac:dyDescent="0.2">
      <c r="F4783" s="464">
        <v>421</v>
      </c>
      <c r="G4783" s="510" t="s">
        <v>3777</v>
      </c>
      <c r="H4783" s="411"/>
      <c r="I4783" s="411"/>
      <c r="J4783" s="750" t="e">
        <f t="shared" si="57"/>
        <v>#DIV/0!</v>
      </c>
      <c r="K4783" s="412"/>
      <c r="L4783" s="412"/>
      <c r="M4783" s="682"/>
    </row>
    <row r="4784" spans="3:13" hidden="1" x14ac:dyDescent="0.2">
      <c r="F4784" s="464">
        <v>422</v>
      </c>
      <c r="G4784" s="510" t="s">
        <v>3778</v>
      </c>
      <c r="H4784" s="411"/>
      <c r="I4784" s="411"/>
      <c r="J4784" s="750" t="e">
        <f t="shared" si="57"/>
        <v>#DIV/0!</v>
      </c>
      <c r="K4784" s="412"/>
      <c r="L4784" s="412"/>
      <c r="M4784" s="682"/>
    </row>
    <row r="4785" spans="6:13" hidden="1" x14ac:dyDescent="0.2">
      <c r="F4785" s="464">
        <v>423</v>
      </c>
      <c r="G4785" s="510" t="s">
        <v>3779</v>
      </c>
      <c r="H4785" s="411"/>
      <c r="I4785" s="411"/>
      <c r="J4785" s="750" t="e">
        <f t="shared" si="57"/>
        <v>#DIV/0!</v>
      </c>
      <c r="K4785" s="412"/>
      <c r="L4785" s="412"/>
      <c r="M4785" s="682"/>
    </row>
    <row r="4786" spans="6:13" hidden="1" x14ac:dyDescent="0.2">
      <c r="F4786" s="464">
        <v>424</v>
      </c>
      <c r="G4786" s="510" t="s">
        <v>3781</v>
      </c>
      <c r="H4786" s="411"/>
      <c r="I4786" s="411"/>
      <c r="J4786" s="750" t="e">
        <f t="shared" si="57"/>
        <v>#DIV/0!</v>
      </c>
      <c r="K4786" s="412"/>
      <c r="L4786" s="412"/>
      <c r="M4786" s="682"/>
    </row>
    <row r="4787" spans="6:13" hidden="1" x14ac:dyDescent="0.2">
      <c r="F4787" s="464">
        <v>425</v>
      </c>
      <c r="G4787" s="510" t="s">
        <v>4180</v>
      </c>
      <c r="H4787" s="411"/>
      <c r="I4787" s="411"/>
      <c r="J4787" s="750" t="e">
        <f t="shared" si="57"/>
        <v>#DIV/0!</v>
      </c>
      <c r="K4787" s="412"/>
      <c r="L4787" s="412"/>
      <c r="M4787" s="682"/>
    </row>
    <row r="4788" spans="6:13" hidden="1" x14ac:dyDescent="0.2">
      <c r="F4788" s="464">
        <v>426</v>
      </c>
      <c r="G4788" s="510" t="s">
        <v>3785</v>
      </c>
      <c r="H4788" s="411"/>
      <c r="I4788" s="411"/>
      <c r="J4788" s="750" t="e">
        <f t="shared" si="57"/>
        <v>#DIV/0!</v>
      </c>
      <c r="K4788" s="412"/>
      <c r="L4788" s="412"/>
      <c r="M4788" s="682"/>
    </row>
    <row r="4789" spans="6:13" hidden="1" x14ac:dyDescent="0.2">
      <c r="F4789" s="464">
        <v>431</v>
      </c>
      <c r="G4789" s="510" t="s">
        <v>4181</v>
      </c>
      <c r="H4789" s="411"/>
      <c r="I4789" s="411"/>
      <c r="J4789" s="750" t="e">
        <f t="shared" si="57"/>
        <v>#DIV/0!</v>
      </c>
      <c r="K4789" s="412"/>
      <c r="L4789" s="412"/>
      <c r="M4789" s="682"/>
    </row>
    <row r="4790" spans="6:13" hidden="1" x14ac:dyDescent="0.2">
      <c r="F4790" s="464">
        <v>432</v>
      </c>
      <c r="G4790" s="510" t="s">
        <v>4182</v>
      </c>
      <c r="H4790" s="411"/>
      <c r="I4790" s="411"/>
      <c r="J4790" s="750" t="e">
        <f t="shared" si="57"/>
        <v>#DIV/0!</v>
      </c>
      <c r="K4790" s="412"/>
      <c r="L4790" s="412"/>
      <c r="M4790" s="682"/>
    </row>
    <row r="4791" spans="6:13" hidden="1" x14ac:dyDescent="0.2">
      <c r="F4791" s="464">
        <v>433</v>
      </c>
      <c r="G4791" s="510" t="s">
        <v>4183</v>
      </c>
      <c r="H4791" s="411"/>
      <c r="I4791" s="411"/>
      <c r="J4791" s="750" t="e">
        <f t="shared" si="57"/>
        <v>#DIV/0!</v>
      </c>
      <c r="K4791" s="412"/>
      <c r="L4791" s="412"/>
      <c r="M4791" s="682"/>
    </row>
    <row r="4792" spans="6:13" hidden="1" x14ac:dyDescent="0.2">
      <c r="F4792" s="464">
        <v>434</v>
      </c>
      <c r="G4792" s="510" t="s">
        <v>4184</v>
      </c>
      <c r="H4792" s="411"/>
      <c r="I4792" s="411"/>
      <c r="J4792" s="750" t="e">
        <f t="shared" si="57"/>
        <v>#DIV/0!</v>
      </c>
      <c r="K4792" s="412"/>
      <c r="L4792" s="412"/>
      <c r="M4792" s="682"/>
    </row>
    <row r="4793" spans="6:13" hidden="1" x14ac:dyDescent="0.2">
      <c r="F4793" s="464">
        <v>435</v>
      </c>
      <c r="G4793" s="510" t="s">
        <v>3792</v>
      </c>
      <c r="H4793" s="411"/>
      <c r="I4793" s="411"/>
      <c r="J4793" s="750" t="e">
        <f t="shared" si="57"/>
        <v>#DIV/0!</v>
      </c>
      <c r="K4793" s="412"/>
      <c r="L4793" s="412"/>
      <c r="M4793" s="682"/>
    </row>
    <row r="4794" spans="6:13" hidden="1" x14ac:dyDescent="0.2">
      <c r="F4794" s="464">
        <v>441</v>
      </c>
      <c r="G4794" s="510" t="s">
        <v>4185</v>
      </c>
      <c r="H4794" s="411"/>
      <c r="I4794" s="411"/>
      <c r="J4794" s="750" t="e">
        <f t="shared" si="57"/>
        <v>#DIV/0!</v>
      </c>
      <c r="K4794" s="412"/>
      <c r="L4794" s="412"/>
      <c r="M4794" s="682"/>
    </row>
    <row r="4795" spans="6:13" hidden="1" x14ac:dyDescent="0.2">
      <c r="F4795" s="464">
        <v>442</v>
      </c>
      <c r="G4795" s="510" t="s">
        <v>4186</v>
      </c>
      <c r="H4795" s="411"/>
      <c r="I4795" s="411"/>
      <c r="J4795" s="750" t="e">
        <f t="shared" si="57"/>
        <v>#DIV/0!</v>
      </c>
      <c r="K4795" s="412"/>
      <c r="L4795" s="412"/>
      <c r="M4795" s="682"/>
    </row>
    <row r="4796" spans="6:13" hidden="1" x14ac:dyDescent="0.2">
      <c r="F4796" s="464">
        <v>443</v>
      </c>
      <c r="G4796" s="510" t="s">
        <v>3797</v>
      </c>
      <c r="H4796" s="411"/>
      <c r="I4796" s="411"/>
      <c r="J4796" s="750" t="e">
        <f t="shared" si="57"/>
        <v>#DIV/0!</v>
      </c>
      <c r="K4796" s="412"/>
      <c r="L4796" s="412"/>
      <c r="M4796" s="682"/>
    </row>
    <row r="4797" spans="6:13" hidden="1" x14ac:dyDescent="0.2">
      <c r="F4797" s="464">
        <v>444</v>
      </c>
      <c r="G4797" s="510" t="s">
        <v>3798</v>
      </c>
      <c r="H4797" s="411"/>
      <c r="I4797" s="411"/>
      <c r="J4797" s="750" t="e">
        <f t="shared" si="57"/>
        <v>#DIV/0!</v>
      </c>
      <c r="K4797" s="412"/>
      <c r="L4797" s="412"/>
      <c r="M4797" s="682"/>
    </row>
    <row r="4798" spans="6:13" ht="25.5" hidden="1" x14ac:dyDescent="0.2">
      <c r="F4798" s="464">
        <v>4511</v>
      </c>
      <c r="G4798" s="510" t="s">
        <v>1692</v>
      </c>
      <c r="H4798" s="411"/>
      <c r="I4798" s="411"/>
      <c r="J4798" s="750" t="e">
        <f t="shared" si="57"/>
        <v>#DIV/0!</v>
      </c>
      <c r="K4798" s="412"/>
      <c r="L4798" s="412"/>
      <c r="M4798" s="682"/>
    </row>
    <row r="4799" spans="6:13" ht="38.25" hidden="1" x14ac:dyDescent="0.2">
      <c r="F4799" s="464">
        <v>4512</v>
      </c>
      <c r="G4799" s="510" t="s">
        <v>1701</v>
      </c>
      <c r="H4799" s="411"/>
      <c r="I4799" s="411"/>
      <c r="J4799" s="750" t="e">
        <f t="shared" si="57"/>
        <v>#DIV/0!</v>
      </c>
      <c r="K4799" s="412"/>
      <c r="L4799" s="412"/>
      <c r="M4799" s="682"/>
    </row>
    <row r="4800" spans="6:13" ht="25.5" hidden="1" x14ac:dyDescent="0.2">
      <c r="F4800" s="464">
        <v>452</v>
      </c>
      <c r="G4800" s="510" t="s">
        <v>4187</v>
      </c>
      <c r="H4800" s="411"/>
      <c r="I4800" s="411"/>
      <c r="J4800" s="750" t="e">
        <f t="shared" si="57"/>
        <v>#DIV/0!</v>
      </c>
      <c r="K4800" s="412"/>
      <c r="L4800" s="412"/>
      <c r="M4800" s="682"/>
    </row>
    <row r="4801" spans="5:13" ht="25.5" hidden="1" x14ac:dyDescent="0.2">
      <c r="F4801" s="464">
        <v>453</v>
      </c>
      <c r="G4801" s="510" t="s">
        <v>4188</v>
      </c>
      <c r="H4801" s="411"/>
      <c r="I4801" s="411"/>
      <c r="J4801" s="750" t="e">
        <f t="shared" si="57"/>
        <v>#DIV/0!</v>
      </c>
      <c r="K4801" s="412"/>
      <c r="L4801" s="412"/>
      <c r="M4801" s="682"/>
    </row>
    <row r="4802" spans="5:13" hidden="1" x14ac:dyDescent="0.2">
      <c r="F4802" s="464">
        <v>454</v>
      </c>
      <c r="G4802" s="510" t="s">
        <v>3803</v>
      </c>
      <c r="H4802" s="411"/>
      <c r="I4802" s="411"/>
      <c r="J4802" s="750" t="e">
        <f t="shared" si="57"/>
        <v>#DIV/0!</v>
      </c>
      <c r="K4802" s="412"/>
      <c r="L4802" s="412"/>
      <c r="M4802" s="682"/>
    </row>
    <row r="4803" spans="5:13" hidden="1" x14ac:dyDescent="0.2">
      <c r="F4803" s="464">
        <v>461</v>
      </c>
      <c r="G4803" s="510" t="s">
        <v>4169</v>
      </c>
      <c r="H4803" s="411"/>
      <c r="I4803" s="411"/>
      <c r="J4803" s="750" t="e">
        <f t="shared" si="57"/>
        <v>#DIV/0!</v>
      </c>
      <c r="K4803" s="412"/>
      <c r="L4803" s="412"/>
      <c r="M4803" s="682"/>
    </row>
    <row r="4804" spans="5:13" ht="25.5" hidden="1" x14ac:dyDescent="0.2">
      <c r="F4804" s="464">
        <v>462</v>
      </c>
      <c r="G4804" s="510" t="s">
        <v>3806</v>
      </c>
      <c r="H4804" s="411"/>
      <c r="I4804" s="411"/>
      <c r="J4804" s="750" t="e">
        <f t="shared" si="57"/>
        <v>#DIV/0!</v>
      </c>
      <c r="K4804" s="412"/>
      <c r="L4804" s="412"/>
      <c r="M4804" s="682"/>
    </row>
    <row r="4805" spans="5:13" hidden="1" x14ac:dyDescent="0.2">
      <c r="F4805" s="464">
        <v>4631</v>
      </c>
      <c r="G4805" s="510" t="s">
        <v>3807</v>
      </c>
      <c r="H4805" s="411"/>
      <c r="I4805" s="411"/>
      <c r="J4805" s="750" t="e">
        <f t="shared" si="57"/>
        <v>#DIV/0!</v>
      </c>
      <c r="K4805" s="412"/>
      <c r="L4805" s="412"/>
      <c r="M4805" s="682"/>
    </row>
    <row r="4806" spans="5:13" ht="25.5" hidden="1" x14ac:dyDescent="0.2">
      <c r="F4806" s="464">
        <v>4632</v>
      </c>
      <c r="G4806" s="510" t="s">
        <v>3808</v>
      </c>
      <c r="H4806" s="411"/>
      <c r="I4806" s="411"/>
      <c r="J4806" s="750" t="e">
        <f t="shared" si="57"/>
        <v>#DIV/0!</v>
      </c>
      <c r="K4806" s="412"/>
      <c r="L4806" s="412"/>
      <c r="M4806" s="682"/>
    </row>
    <row r="4807" spans="5:13" ht="25.5" hidden="1" x14ac:dyDescent="0.2">
      <c r="F4807" s="464">
        <v>464</v>
      </c>
      <c r="G4807" s="510" t="s">
        <v>3809</v>
      </c>
      <c r="H4807" s="411"/>
      <c r="I4807" s="411"/>
      <c r="J4807" s="750" t="e">
        <f t="shared" si="57"/>
        <v>#DIV/0!</v>
      </c>
      <c r="K4807" s="412"/>
      <c r="L4807" s="412"/>
      <c r="M4807" s="682"/>
    </row>
    <row r="4808" spans="5:13" hidden="1" x14ac:dyDescent="0.2">
      <c r="F4808" s="464">
        <v>465</v>
      </c>
      <c r="G4808" s="510" t="s">
        <v>4170</v>
      </c>
      <c r="H4808" s="411"/>
      <c r="I4808" s="411"/>
      <c r="J4808" s="750" t="e">
        <f t="shared" si="57"/>
        <v>#DIV/0!</v>
      </c>
      <c r="K4808" s="412"/>
      <c r="L4808" s="412"/>
      <c r="M4808" s="682"/>
    </row>
    <row r="4809" spans="5:13" hidden="1" x14ac:dyDescent="0.2">
      <c r="F4809" s="464">
        <v>471</v>
      </c>
      <c r="G4809" s="510" t="s">
        <v>3813</v>
      </c>
      <c r="H4809" s="411"/>
      <c r="I4809" s="411"/>
      <c r="J4809" s="750" t="e">
        <f t="shared" si="57"/>
        <v>#DIV/0!</v>
      </c>
      <c r="K4809" s="412"/>
      <c r="L4809" s="412"/>
      <c r="M4809" s="682"/>
    </row>
    <row r="4810" spans="5:13" ht="13.5" thickBot="1" x14ac:dyDescent="0.25">
      <c r="E4810" s="464">
        <v>53</v>
      </c>
      <c r="F4810" s="464">
        <v>481</v>
      </c>
      <c r="G4810" s="564" t="s">
        <v>4189</v>
      </c>
      <c r="H4810" s="429">
        <v>1726000</v>
      </c>
      <c r="I4810" s="429">
        <v>1473088</v>
      </c>
      <c r="J4810" s="750">
        <f t="shared" si="57"/>
        <v>85.346929316338347</v>
      </c>
      <c r="K4810" s="430"/>
      <c r="L4810" s="431"/>
      <c r="M4810" s="682"/>
    </row>
    <row r="4811" spans="5:13" hidden="1" x14ac:dyDescent="0.2">
      <c r="F4811" s="464">
        <v>482</v>
      </c>
      <c r="G4811" s="510" t="s">
        <v>4190</v>
      </c>
      <c r="H4811" s="411"/>
      <c r="I4811" s="411"/>
      <c r="J4811" s="750" t="e">
        <f t="shared" si="57"/>
        <v>#DIV/0!</v>
      </c>
      <c r="K4811" s="412"/>
      <c r="L4811" s="412"/>
      <c r="M4811" s="682"/>
    </row>
    <row r="4812" spans="5:13" hidden="1" x14ac:dyDescent="0.2">
      <c r="F4812" s="464">
        <v>483</v>
      </c>
      <c r="G4812" s="510" t="s">
        <v>4191</v>
      </c>
      <c r="H4812" s="411"/>
      <c r="I4812" s="411"/>
      <c r="J4812" s="750" t="e">
        <f t="shared" si="57"/>
        <v>#DIV/0!</v>
      </c>
      <c r="K4812" s="412"/>
      <c r="L4812" s="412"/>
      <c r="M4812" s="682"/>
    </row>
    <row r="4813" spans="5:13" ht="38.25" hidden="1" x14ac:dyDescent="0.2">
      <c r="F4813" s="464">
        <v>484</v>
      </c>
      <c r="G4813" s="510" t="s">
        <v>4192</v>
      </c>
      <c r="H4813" s="411"/>
      <c r="I4813" s="411"/>
      <c r="J4813" s="750" t="e">
        <f t="shared" ref="J4813:J4876" si="58">SUM(I4813/H4813)*100</f>
        <v>#DIV/0!</v>
      </c>
      <c r="K4813" s="412"/>
      <c r="L4813" s="412"/>
      <c r="M4813" s="682"/>
    </row>
    <row r="4814" spans="5:13" ht="25.5" hidden="1" x14ac:dyDescent="0.2">
      <c r="F4814" s="464">
        <v>485</v>
      </c>
      <c r="G4814" s="510" t="s">
        <v>4193</v>
      </c>
      <c r="H4814" s="411"/>
      <c r="I4814" s="411"/>
      <c r="J4814" s="750" t="e">
        <f t="shared" si="58"/>
        <v>#DIV/0!</v>
      </c>
      <c r="K4814" s="412"/>
      <c r="L4814" s="412"/>
      <c r="M4814" s="682"/>
    </row>
    <row r="4815" spans="5:13" ht="38.25" hidden="1" x14ac:dyDescent="0.2">
      <c r="F4815" s="464">
        <v>489</v>
      </c>
      <c r="G4815" s="510" t="s">
        <v>3821</v>
      </c>
      <c r="H4815" s="411"/>
      <c r="I4815" s="411"/>
      <c r="J4815" s="750" t="e">
        <f t="shared" si="58"/>
        <v>#DIV/0!</v>
      </c>
      <c r="K4815" s="412"/>
      <c r="L4815" s="412"/>
      <c r="M4815" s="682"/>
    </row>
    <row r="4816" spans="5:13" ht="25.5" hidden="1" x14ac:dyDescent="0.2">
      <c r="F4816" s="464">
        <v>494</v>
      </c>
      <c r="G4816" s="510" t="s">
        <v>4171</v>
      </c>
      <c r="H4816" s="411"/>
      <c r="I4816" s="411"/>
      <c r="J4816" s="750" t="e">
        <f t="shared" si="58"/>
        <v>#DIV/0!</v>
      </c>
      <c r="K4816" s="412"/>
      <c r="L4816" s="412"/>
      <c r="M4816" s="682"/>
    </row>
    <row r="4817" spans="6:13" ht="25.5" hidden="1" x14ac:dyDescent="0.2">
      <c r="F4817" s="464">
        <v>495</v>
      </c>
      <c r="G4817" s="510" t="s">
        <v>4172</v>
      </c>
      <c r="H4817" s="411"/>
      <c r="I4817" s="411"/>
      <c r="J4817" s="750" t="e">
        <f t="shared" si="58"/>
        <v>#DIV/0!</v>
      </c>
      <c r="K4817" s="412"/>
      <c r="L4817" s="412"/>
      <c r="M4817" s="682"/>
    </row>
    <row r="4818" spans="6:13" ht="38.25" hidden="1" x14ac:dyDescent="0.2">
      <c r="F4818" s="464">
        <v>496</v>
      </c>
      <c r="G4818" s="510" t="s">
        <v>4173</v>
      </c>
      <c r="H4818" s="411"/>
      <c r="I4818" s="411"/>
      <c r="J4818" s="750" t="e">
        <f t="shared" si="58"/>
        <v>#DIV/0!</v>
      </c>
      <c r="K4818" s="412"/>
      <c r="L4818" s="412"/>
      <c r="M4818" s="682"/>
    </row>
    <row r="4819" spans="6:13" ht="25.5" hidden="1" x14ac:dyDescent="0.2">
      <c r="F4819" s="464">
        <v>499</v>
      </c>
      <c r="G4819" s="510" t="s">
        <v>4174</v>
      </c>
      <c r="H4819" s="411"/>
      <c r="I4819" s="411"/>
      <c r="J4819" s="750" t="e">
        <f t="shared" si="58"/>
        <v>#DIV/0!</v>
      </c>
      <c r="K4819" s="412"/>
      <c r="L4819" s="412"/>
      <c r="M4819" s="682"/>
    </row>
    <row r="4820" spans="6:13" hidden="1" x14ac:dyDescent="0.2">
      <c r="F4820" s="464">
        <v>511</v>
      </c>
      <c r="G4820" s="510" t="s">
        <v>4194</v>
      </c>
      <c r="H4820" s="411"/>
      <c r="I4820" s="411"/>
      <c r="J4820" s="750" t="e">
        <f t="shared" si="58"/>
        <v>#DIV/0!</v>
      </c>
      <c r="K4820" s="412"/>
      <c r="L4820" s="412"/>
      <c r="M4820" s="682"/>
    </row>
    <row r="4821" spans="6:13" hidden="1" x14ac:dyDescent="0.2">
      <c r="F4821" s="464">
        <v>512</v>
      </c>
      <c r="G4821" s="510" t="s">
        <v>4195</v>
      </c>
      <c r="H4821" s="411"/>
      <c r="I4821" s="411"/>
      <c r="J4821" s="750" t="e">
        <f t="shared" si="58"/>
        <v>#DIV/0!</v>
      </c>
      <c r="K4821" s="412"/>
      <c r="L4821" s="412"/>
      <c r="M4821" s="682"/>
    </row>
    <row r="4822" spans="6:13" hidden="1" x14ac:dyDescent="0.2">
      <c r="F4822" s="464">
        <v>513</v>
      </c>
      <c r="G4822" s="510" t="s">
        <v>4196</v>
      </c>
      <c r="H4822" s="411"/>
      <c r="I4822" s="411"/>
      <c r="J4822" s="750" t="e">
        <f t="shared" si="58"/>
        <v>#DIV/0!</v>
      </c>
      <c r="K4822" s="412"/>
      <c r="L4822" s="412"/>
      <c r="M4822" s="682"/>
    </row>
    <row r="4823" spans="6:13" hidden="1" x14ac:dyDescent="0.2">
      <c r="F4823" s="464">
        <v>514</v>
      </c>
      <c r="G4823" s="510" t="s">
        <v>4197</v>
      </c>
      <c r="H4823" s="411"/>
      <c r="I4823" s="411"/>
      <c r="J4823" s="750" t="e">
        <f t="shared" si="58"/>
        <v>#DIV/0!</v>
      </c>
      <c r="K4823" s="412"/>
      <c r="L4823" s="412"/>
      <c r="M4823" s="682"/>
    </row>
    <row r="4824" spans="6:13" hidden="1" x14ac:dyDescent="0.2">
      <c r="F4824" s="464">
        <v>515</v>
      </c>
      <c r="G4824" s="510" t="s">
        <v>3832</v>
      </c>
      <c r="H4824" s="411"/>
      <c r="I4824" s="411"/>
      <c r="J4824" s="750" t="e">
        <f t="shared" si="58"/>
        <v>#DIV/0!</v>
      </c>
      <c r="K4824" s="412"/>
      <c r="L4824" s="412"/>
      <c r="M4824" s="682"/>
    </row>
    <row r="4825" spans="6:13" hidden="1" x14ac:dyDescent="0.2">
      <c r="F4825" s="464">
        <v>521</v>
      </c>
      <c r="G4825" s="510" t="s">
        <v>4198</v>
      </c>
      <c r="H4825" s="411"/>
      <c r="I4825" s="411"/>
      <c r="J4825" s="750" t="e">
        <f t="shared" si="58"/>
        <v>#DIV/0!</v>
      </c>
      <c r="K4825" s="412"/>
      <c r="L4825" s="412"/>
      <c r="M4825" s="682"/>
    </row>
    <row r="4826" spans="6:13" hidden="1" x14ac:dyDescent="0.2">
      <c r="F4826" s="464">
        <v>522</v>
      </c>
      <c r="G4826" s="510" t="s">
        <v>4199</v>
      </c>
      <c r="H4826" s="411"/>
      <c r="I4826" s="411"/>
      <c r="J4826" s="750" t="e">
        <f t="shared" si="58"/>
        <v>#DIV/0!</v>
      </c>
      <c r="K4826" s="412"/>
      <c r="L4826" s="412"/>
      <c r="M4826" s="682"/>
    </row>
    <row r="4827" spans="6:13" hidden="1" x14ac:dyDescent="0.2">
      <c r="F4827" s="464">
        <v>523</v>
      </c>
      <c r="G4827" s="510" t="s">
        <v>3837</v>
      </c>
      <c r="H4827" s="411"/>
      <c r="I4827" s="411"/>
      <c r="J4827" s="750" t="e">
        <f t="shared" si="58"/>
        <v>#DIV/0!</v>
      </c>
      <c r="K4827" s="412"/>
      <c r="L4827" s="412"/>
      <c r="M4827" s="682"/>
    </row>
    <row r="4828" spans="6:13" hidden="1" x14ac:dyDescent="0.2">
      <c r="F4828" s="464">
        <v>531</v>
      </c>
      <c r="G4828" s="510" t="s">
        <v>4175</v>
      </c>
      <c r="H4828" s="411"/>
      <c r="I4828" s="411"/>
      <c r="J4828" s="750" t="e">
        <f t="shared" si="58"/>
        <v>#DIV/0!</v>
      </c>
      <c r="K4828" s="412"/>
      <c r="L4828" s="412"/>
      <c r="M4828" s="682"/>
    </row>
    <row r="4829" spans="6:13" hidden="1" x14ac:dyDescent="0.2">
      <c r="F4829" s="464">
        <v>541</v>
      </c>
      <c r="G4829" s="510" t="s">
        <v>4200</v>
      </c>
      <c r="H4829" s="411"/>
      <c r="I4829" s="411"/>
      <c r="J4829" s="750" t="e">
        <f t="shared" si="58"/>
        <v>#DIV/0!</v>
      </c>
      <c r="K4829" s="412"/>
      <c r="L4829" s="412"/>
      <c r="M4829" s="682"/>
    </row>
    <row r="4830" spans="6:13" hidden="1" x14ac:dyDescent="0.2">
      <c r="F4830" s="464">
        <v>542</v>
      </c>
      <c r="G4830" s="510" t="s">
        <v>4201</v>
      </c>
      <c r="H4830" s="411"/>
      <c r="I4830" s="411"/>
      <c r="J4830" s="750" t="e">
        <f t="shared" si="58"/>
        <v>#DIV/0!</v>
      </c>
      <c r="K4830" s="412"/>
      <c r="L4830" s="412"/>
      <c r="M4830" s="682"/>
    </row>
    <row r="4831" spans="6:13" hidden="1" x14ac:dyDescent="0.2">
      <c r="F4831" s="464">
        <v>543</v>
      </c>
      <c r="G4831" s="510" t="s">
        <v>3842</v>
      </c>
      <c r="H4831" s="411"/>
      <c r="I4831" s="411"/>
      <c r="J4831" s="750" t="e">
        <f t="shared" si="58"/>
        <v>#DIV/0!</v>
      </c>
      <c r="K4831" s="412"/>
      <c r="L4831" s="412"/>
      <c r="M4831" s="682"/>
    </row>
    <row r="4832" spans="6:13" ht="38.25" hidden="1" x14ac:dyDescent="0.2">
      <c r="F4832" s="464">
        <v>551</v>
      </c>
      <c r="G4832" s="510" t="s">
        <v>4176</v>
      </c>
      <c r="H4832" s="411"/>
      <c r="I4832" s="411"/>
      <c r="J4832" s="750" t="e">
        <f t="shared" si="58"/>
        <v>#DIV/0!</v>
      </c>
      <c r="K4832" s="412"/>
      <c r="L4832" s="412"/>
      <c r="M4832" s="682"/>
    </row>
    <row r="4833" spans="6:13" hidden="1" x14ac:dyDescent="0.2">
      <c r="F4833" s="464">
        <v>611</v>
      </c>
      <c r="G4833" s="510" t="s">
        <v>3848</v>
      </c>
      <c r="H4833" s="411"/>
      <c r="I4833" s="411"/>
      <c r="J4833" s="750" t="e">
        <f t="shared" si="58"/>
        <v>#DIV/0!</v>
      </c>
      <c r="K4833" s="412"/>
      <c r="L4833" s="412"/>
      <c r="M4833" s="682"/>
    </row>
    <row r="4834" spans="6:13" hidden="1" x14ac:dyDescent="0.2">
      <c r="F4834" s="464">
        <v>620</v>
      </c>
      <c r="G4834" s="510" t="s">
        <v>88</v>
      </c>
      <c r="H4834" s="411"/>
      <c r="I4834" s="411"/>
      <c r="J4834" s="750" t="e">
        <f t="shared" si="58"/>
        <v>#DIV/0!</v>
      </c>
      <c r="K4834" s="412"/>
      <c r="L4834" s="412"/>
      <c r="M4834" s="682"/>
    </row>
    <row r="4835" spans="6:13" x14ac:dyDescent="0.2">
      <c r="G4835" s="510" t="s">
        <v>4366</v>
      </c>
      <c r="H4835" s="411"/>
      <c r="I4835" s="411"/>
      <c r="J4835" s="750"/>
      <c r="K4835" s="412"/>
      <c r="L4835" s="412"/>
      <c r="M4835" s="682"/>
    </row>
    <row r="4836" spans="6:13" ht="13.5" thickBot="1" x14ac:dyDescent="0.25">
      <c r="F4836" s="464" t="s">
        <v>234</v>
      </c>
      <c r="G4836" s="564" t="s">
        <v>235</v>
      </c>
      <c r="H4836" s="429">
        <f>SUM(H4775:H4834)</f>
        <v>1726000</v>
      </c>
      <c r="I4836" s="429">
        <f>SUM(I4810)</f>
        <v>1473088</v>
      </c>
      <c r="J4836" s="750">
        <f t="shared" si="58"/>
        <v>85.346929316338347</v>
      </c>
      <c r="K4836" s="430"/>
      <c r="L4836" s="431"/>
      <c r="M4836" s="682"/>
    </row>
    <row r="4837" spans="6:13" hidden="1" x14ac:dyDescent="0.2">
      <c r="F4837" s="464" t="s">
        <v>236</v>
      </c>
      <c r="G4837" s="510" t="s">
        <v>237</v>
      </c>
      <c r="H4837" s="411"/>
      <c r="I4837" s="411"/>
      <c r="J4837" s="750" t="e">
        <f t="shared" si="58"/>
        <v>#DIV/0!</v>
      </c>
      <c r="K4837" s="412"/>
      <c r="L4837" s="412"/>
      <c r="M4837" s="682"/>
    </row>
    <row r="4838" spans="6:13" hidden="1" x14ac:dyDescent="0.2">
      <c r="F4838" s="464" t="s">
        <v>238</v>
      </c>
      <c r="G4838" s="510" t="s">
        <v>239</v>
      </c>
      <c r="H4838" s="411"/>
      <c r="I4838" s="411"/>
      <c r="J4838" s="750" t="e">
        <f t="shared" si="58"/>
        <v>#DIV/0!</v>
      </c>
      <c r="K4838" s="412"/>
      <c r="L4838" s="412"/>
      <c r="M4838" s="682"/>
    </row>
    <row r="4839" spans="6:13" hidden="1" x14ac:dyDescent="0.2">
      <c r="F4839" s="464" t="s">
        <v>240</v>
      </c>
      <c r="G4839" s="510" t="s">
        <v>241</v>
      </c>
      <c r="H4839" s="411"/>
      <c r="I4839" s="411"/>
      <c r="J4839" s="750" t="e">
        <f t="shared" si="58"/>
        <v>#DIV/0!</v>
      </c>
      <c r="K4839" s="412"/>
      <c r="L4839" s="412"/>
      <c r="M4839" s="682"/>
    </row>
    <row r="4840" spans="6:13" hidden="1" x14ac:dyDescent="0.2">
      <c r="F4840" s="464" t="s">
        <v>242</v>
      </c>
      <c r="G4840" s="510" t="s">
        <v>243</v>
      </c>
      <c r="H4840" s="411"/>
      <c r="I4840" s="411"/>
      <c r="J4840" s="750" t="e">
        <f t="shared" si="58"/>
        <v>#DIV/0!</v>
      </c>
      <c r="K4840" s="412"/>
      <c r="L4840" s="412"/>
      <c r="M4840" s="682"/>
    </row>
    <row r="4841" spans="6:13" hidden="1" x14ac:dyDescent="0.2">
      <c r="F4841" s="464" t="s">
        <v>244</v>
      </c>
      <c r="G4841" s="510" t="s">
        <v>245</v>
      </c>
      <c r="H4841" s="411"/>
      <c r="I4841" s="411"/>
      <c r="J4841" s="750" t="e">
        <f t="shared" si="58"/>
        <v>#DIV/0!</v>
      </c>
      <c r="K4841" s="412"/>
      <c r="L4841" s="412"/>
      <c r="M4841" s="682"/>
    </row>
    <row r="4842" spans="6:13" hidden="1" x14ac:dyDescent="0.2">
      <c r="F4842" s="464" t="s">
        <v>246</v>
      </c>
      <c r="G4842" s="510" t="s">
        <v>247</v>
      </c>
      <c r="H4842" s="411"/>
      <c r="I4842" s="411"/>
      <c r="J4842" s="750" t="e">
        <f t="shared" si="58"/>
        <v>#DIV/0!</v>
      </c>
      <c r="K4842" s="412"/>
      <c r="L4842" s="412"/>
      <c r="M4842" s="682"/>
    </row>
    <row r="4843" spans="6:13" ht="25.5" hidden="1" x14ac:dyDescent="0.2">
      <c r="F4843" s="464" t="s">
        <v>248</v>
      </c>
      <c r="G4843" s="510" t="s">
        <v>249</v>
      </c>
      <c r="H4843" s="411"/>
      <c r="I4843" s="411"/>
      <c r="J4843" s="750" t="e">
        <f t="shared" si="58"/>
        <v>#DIV/0!</v>
      </c>
      <c r="K4843" s="412"/>
      <c r="L4843" s="412"/>
      <c r="M4843" s="682"/>
    </row>
    <row r="4844" spans="6:13" hidden="1" x14ac:dyDescent="0.2">
      <c r="F4844" s="464" t="s">
        <v>250</v>
      </c>
      <c r="G4844" s="510" t="s">
        <v>57</v>
      </c>
      <c r="H4844" s="411"/>
      <c r="I4844" s="411"/>
      <c r="J4844" s="750" t="e">
        <f t="shared" si="58"/>
        <v>#DIV/0!</v>
      </c>
      <c r="K4844" s="412"/>
      <c r="L4844" s="412"/>
      <c r="M4844" s="682"/>
    </row>
    <row r="4845" spans="6:13" hidden="1" x14ac:dyDescent="0.2">
      <c r="F4845" s="464" t="s">
        <v>251</v>
      </c>
      <c r="G4845" s="510" t="s">
        <v>252</v>
      </c>
      <c r="H4845" s="411"/>
      <c r="I4845" s="411"/>
      <c r="J4845" s="750" t="e">
        <f t="shared" si="58"/>
        <v>#DIV/0!</v>
      </c>
      <c r="K4845" s="412"/>
      <c r="L4845" s="412"/>
      <c r="M4845" s="682"/>
    </row>
    <row r="4846" spans="6:13" hidden="1" x14ac:dyDescent="0.2">
      <c r="F4846" s="464" t="s">
        <v>253</v>
      </c>
      <c r="G4846" s="510" t="s">
        <v>254</v>
      </c>
      <c r="H4846" s="411"/>
      <c r="I4846" s="411"/>
      <c r="J4846" s="750" t="e">
        <f t="shared" si="58"/>
        <v>#DIV/0!</v>
      </c>
      <c r="K4846" s="412"/>
      <c r="L4846" s="412"/>
      <c r="M4846" s="682"/>
    </row>
    <row r="4847" spans="6:13" ht="25.5" hidden="1" x14ac:dyDescent="0.2">
      <c r="F4847" s="464" t="s">
        <v>255</v>
      </c>
      <c r="G4847" s="510" t="s">
        <v>256</v>
      </c>
      <c r="H4847" s="411"/>
      <c r="I4847" s="411"/>
      <c r="J4847" s="750" t="e">
        <f t="shared" si="58"/>
        <v>#DIV/0!</v>
      </c>
      <c r="K4847" s="412"/>
      <c r="L4847" s="412"/>
      <c r="M4847" s="682"/>
    </row>
    <row r="4848" spans="6:13" ht="25.5" hidden="1" x14ac:dyDescent="0.2">
      <c r="F4848" s="464" t="s">
        <v>257</v>
      </c>
      <c r="G4848" s="510" t="s">
        <v>258</v>
      </c>
      <c r="H4848" s="411"/>
      <c r="I4848" s="411"/>
      <c r="J4848" s="750" t="e">
        <f t="shared" si="58"/>
        <v>#DIV/0!</v>
      </c>
      <c r="K4848" s="412"/>
      <c r="L4848" s="412"/>
      <c r="M4848" s="682"/>
    </row>
    <row r="4849" spans="6:13" ht="25.5" hidden="1" x14ac:dyDescent="0.2">
      <c r="F4849" s="464" t="s">
        <v>259</v>
      </c>
      <c r="G4849" s="510" t="s">
        <v>260</v>
      </c>
      <c r="H4849" s="411"/>
      <c r="I4849" s="411"/>
      <c r="J4849" s="750" t="e">
        <f t="shared" si="58"/>
        <v>#DIV/0!</v>
      </c>
      <c r="K4849" s="412"/>
      <c r="L4849" s="412"/>
      <c r="M4849" s="682"/>
    </row>
    <row r="4850" spans="6:13" ht="25.5" hidden="1" x14ac:dyDescent="0.2">
      <c r="F4850" s="464" t="s">
        <v>261</v>
      </c>
      <c r="G4850" s="510" t="s">
        <v>262</v>
      </c>
      <c r="H4850" s="411"/>
      <c r="I4850" s="411"/>
      <c r="J4850" s="750" t="e">
        <f t="shared" si="58"/>
        <v>#DIV/0!</v>
      </c>
      <c r="K4850" s="412"/>
      <c r="L4850" s="412"/>
      <c r="M4850" s="682"/>
    </row>
    <row r="4851" spans="6:13" hidden="1" x14ac:dyDescent="0.2">
      <c r="F4851" s="464" t="s">
        <v>263</v>
      </c>
      <c r="G4851" s="510" t="s">
        <v>264</v>
      </c>
      <c r="H4851" s="411"/>
      <c r="I4851" s="411"/>
      <c r="J4851" s="750" t="e">
        <f t="shared" si="58"/>
        <v>#DIV/0!</v>
      </c>
      <c r="K4851" s="412"/>
      <c r="L4851" s="412"/>
      <c r="M4851" s="682"/>
    </row>
    <row r="4852" spans="6:13" ht="13.5" thickBot="1" x14ac:dyDescent="0.25">
      <c r="G4852" s="565" t="s">
        <v>4367</v>
      </c>
      <c r="H4852" s="432">
        <f>SUM(H4836:H4851)</f>
        <v>1726000</v>
      </c>
      <c r="I4852" s="432">
        <f>SUM(I4836)</f>
        <v>1473088</v>
      </c>
      <c r="J4852" s="750">
        <f t="shared" si="58"/>
        <v>85.346929316338347</v>
      </c>
      <c r="K4852" s="430">
        <f>SUM(K4837:K4851)</f>
        <v>0</v>
      </c>
      <c r="L4852" s="430"/>
      <c r="M4852" s="682"/>
    </row>
    <row r="4853" spans="6:13" x14ac:dyDescent="0.2">
      <c r="G4853" s="510" t="s">
        <v>5118</v>
      </c>
      <c r="H4853" s="411"/>
      <c r="I4853" s="411"/>
      <c r="J4853" s="750"/>
      <c r="K4853" s="412"/>
      <c r="L4853" s="412"/>
      <c r="M4853" s="682"/>
    </row>
    <row r="4854" spans="6:13" ht="13.5" thickBot="1" x14ac:dyDescent="0.25">
      <c r="F4854" s="464" t="s">
        <v>234</v>
      </c>
      <c r="G4854" s="564" t="s">
        <v>235</v>
      </c>
      <c r="H4854" s="429">
        <f>SUM(H4775:H4834)</f>
        <v>1726000</v>
      </c>
      <c r="I4854" s="429">
        <f>SUM(I4852)</f>
        <v>1473088</v>
      </c>
      <c r="J4854" s="750">
        <f t="shared" si="58"/>
        <v>85.346929316338347</v>
      </c>
      <c r="K4854" s="430"/>
      <c r="L4854" s="431"/>
      <c r="M4854" s="682"/>
    </row>
    <row r="4855" spans="6:13" hidden="1" x14ac:dyDescent="0.2">
      <c r="F4855" s="464" t="s">
        <v>236</v>
      </c>
      <c r="G4855" s="510" t="s">
        <v>237</v>
      </c>
      <c r="H4855" s="411"/>
      <c r="I4855" s="411"/>
      <c r="J4855" s="750" t="e">
        <f t="shared" si="58"/>
        <v>#DIV/0!</v>
      </c>
      <c r="K4855" s="412"/>
      <c r="L4855" s="412"/>
      <c r="M4855" s="682"/>
    </row>
    <row r="4856" spans="6:13" hidden="1" x14ac:dyDescent="0.2">
      <c r="F4856" s="464" t="s">
        <v>238</v>
      </c>
      <c r="G4856" s="510" t="s">
        <v>239</v>
      </c>
      <c r="H4856" s="411"/>
      <c r="I4856" s="411"/>
      <c r="J4856" s="750" t="e">
        <f t="shared" si="58"/>
        <v>#DIV/0!</v>
      </c>
      <c r="K4856" s="412"/>
      <c r="L4856" s="412"/>
      <c r="M4856" s="682"/>
    </row>
    <row r="4857" spans="6:13" hidden="1" x14ac:dyDescent="0.2">
      <c r="F4857" s="464" t="s">
        <v>240</v>
      </c>
      <c r="G4857" s="510" t="s">
        <v>241</v>
      </c>
      <c r="H4857" s="411"/>
      <c r="I4857" s="411"/>
      <c r="J4857" s="750" t="e">
        <f t="shared" si="58"/>
        <v>#DIV/0!</v>
      </c>
      <c r="K4857" s="412"/>
      <c r="L4857" s="412"/>
      <c r="M4857" s="682"/>
    </row>
    <row r="4858" spans="6:13" hidden="1" x14ac:dyDescent="0.2">
      <c r="F4858" s="464" t="s">
        <v>242</v>
      </c>
      <c r="G4858" s="510" t="s">
        <v>243</v>
      </c>
      <c r="H4858" s="411"/>
      <c r="I4858" s="411"/>
      <c r="J4858" s="750" t="e">
        <f t="shared" si="58"/>
        <v>#DIV/0!</v>
      </c>
      <c r="K4858" s="412"/>
      <c r="L4858" s="412"/>
      <c r="M4858" s="682"/>
    </row>
    <row r="4859" spans="6:13" hidden="1" x14ac:dyDescent="0.2">
      <c r="F4859" s="464" t="s">
        <v>244</v>
      </c>
      <c r="G4859" s="510" t="s">
        <v>245</v>
      </c>
      <c r="H4859" s="411"/>
      <c r="I4859" s="411"/>
      <c r="J4859" s="750" t="e">
        <f t="shared" si="58"/>
        <v>#DIV/0!</v>
      </c>
      <c r="K4859" s="412"/>
      <c r="L4859" s="412"/>
      <c r="M4859" s="682"/>
    </row>
    <row r="4860" spans="6:13" hidden="1" x14ac:dyDescent="0.2">
      <c r="F4860" s="464" t="s">
        <v>246</v>
      </c>
      <c r="G4860" s="510" t="s">
        <v>247</v>
      </c>
      <c r="H4860" s="411"/>
      <c r="I4860" s="411"/>
      <c r="J4860" s="750" t="e">
        <f t="shared" si="58"/>
        <v>#DIV/0!</v>
      </c>
      <c r="K4860" s="412"/>
      <c r="L4860" s="412"/>
      <c r="M4860" s="682"/>
    </row>
    <row r="4861" spans="6:13" ht="25.5" hidden="1" x14ac:dyDescent="0.2">
      <c r="F4861" s="464" t="s">
        <v>248</v>
      </c>
      <c r="G4861" s="510" t="s">
        <v>249</v>
      </c>
      <c r="H4861" s="411"/>
      <c r="I4861" s="411"/>
      <c r="J4861" s="750" t="e">
        <f t="shared" si="58"/>
        <v>#DIV/0!</v>
      </c>
      <c r="K4861" s="412"/>
      <c r="L4861" s="412"/>
      <c r="M4861" s="682"/>
    </row>
    <row r="4862" spans="6:13" hidden="1" x14ac:dyDescent="0.2">
      <c r="F4862" s="464" t="s">
        <v>250</v>
      </c>
      <c r="G4862" s="510" t="s">
        <v>57</v>
      </c>
      <c r="H4862" s="411"/>
      <c r="I4862" s="411"/>
      <c r="J4862" s="750" t="e">
        <f t="shared" si="58"/>
        <v>#DIV/0!</v>
      </c>
      <c r="K4862" s="412"/>
      <c r="L4862" s="412"/>
      <c r="M4862" s="682"/>
    </row>
    <row r="4863" spans="6:13" hidden="1" x14ac:dyDescent="0.2">
      <c r="F4863" s="464" t="s">
        <v>251</v>
      </c>
      <c r="G4863" s="510" t="s">
        <v>252</v>
      </c>
      <c r="H4863" s="411"/>
      <c r="I4863" s="411"/>
      <c r="J4863" s="750" t="e">
        <f t="shared" si="58"/>
        <v>#DIV/0!</v>
      </c>
      <c r="K4863" s="412"/>
      <c r="L4863" s="412"/>
      <c r="M4863" s="682"/>
    </row>
    <row r="4864" spans="6:13" hidden="1" x14ac:dyDescent="0.2">
      <c r="F4864" s="464" t="s">
        <v>253</v>
      </c>
      <c r="G4864" s="510" t="s">
        <v>254</v>
      </c>
      <c r="H4864" s="411"/>
      <c r="I4864" s="411"/>
      <c r="J4864" s="750" t="e">
        <f t="shared" si="58"/>
        <v>#DIV/0!</v>
      </c>
      <c r="K4864" s="412"/>
      <c r="L4864" s="412"/>
      <c r="M4864" s="682"/>
    </row>
    <row r="4865" spans="3:13" ht="25.5" hidden="1" x14ac:dyDescent="0.2">
      <c r="F4865" s="464" t="s">
        <v>255</v>
      </c>
      <c r="G4865" s="510" t="s">
        <v>256</v>
      </c>
      <c r="H4865" s="411"/>
      <c r="I4865" s="411"/>
      <c r="J4865" s="750" t="e">
        <f t="shared" si="58"/>
        <v>#DIV/0!</v>
      </c>
      <c r="K4865" s="412"/>
      <c r="L4865" s="412"/>
      <c r="M4865" s="682"/>
    </row>
    <row r="4866" spans="3:13" ht="25.5" hidden="1" x14ac:dyDescent="0.2">
      <c r="F4866" s="464" t="s">
        <v>257</v>
      </c>
      <c r="G4866" s="510" t="s">
        <v>258</v>
      </c>
      <c r="H4866" s="411"/>
      <c r="I4866" s="411"/>
      <c r="J4866" s="750" t="e">
        <f t="shared" si="58"/>
        <v>#DIV/0!</v>
      </c>
      <c r="K4866" s="412"/>
      <c r="L4866" s="412"/>
      <c r="M4866" s="682"/>
    </row>
    <row r="4867" spans="3:13" ht="25.5" hidden="1" x14ac:dyDescent="0.2">
      <c r="F4867" s="464" t="s">
        <v>259</v>
      </c>
      <c r="G4867" s="510" t="s">
        <v>260</v>
      </c>
      <c r="H4867" s="411"/>
      <c r="I4867" s="411"/>
      <c r="J4867" s="750" t="e">
        <f t="shared" si="58"/>
        <v>#DIV/0!</v>
      </c>
      <c r="K4867" s="412"/>
      <c r="L4867" s="412"/>
      <c r="M4867" s="682"/>
    </row>
    <row r="4868" spans="3:13" ht="25.5" hidden="1" x14ac:dyDescent="0.2">
      <c r="F4868" s="464" t="s">
        <v>261</v>
      </c>
      <c r="G4868" s="510" t="s">
        <v>262</v>
      </c>
      <c r="H4868" s="411"/>
      <c r="I4868" s="411"/>
      <c r="J4868" s="750" t="e">
        <f t="shared" si="58"/>
        <v>#DIV/0!</v>
      </c>
      <c r="K4868" s="412"/>
      <c r="L4868" s="412"/>
      <c r="M4868" s="682"/>
    </row>
    <row r="4869" spans="3:13" hidden="1" x14ac:dyDescent="0.2">
      <c r="F4869" s="464" t="s">
        <v>263</v>
      </c>
      <c r="G4869" s="510" t="s">
        <v>264</v>
      </c>
      <c r="H4869" s="411"/>
      <c r="I4869" s="411"/>
      <c r="J4869" s="750" t="e">
        <f t="shared" si="58"/>
        <v>#DIV/0!</v>
      </c>
      <c r="K4869" s="412"/>
      <c r="L4869" s="412"/>
      <c r="M4869" s="682"/>
    </row>
    <row r="4870" spans="3:13" ht="12" customHeight="1" thickBot="1" x14ac:dyDescent="0.25">
      <c r="G4870" s="565" t="s">
        <v>5117</v>
      </c>
      <c r="H4870" s="432">
        <f>SUM(H4854:H4869)</f>
        <v>1726000</v>
      </c>
      <c r="I4870" s="432">
        <f>SUM(I4852)</f>
        <v>1473088</v>
      </c>
      <c r="J4870" s="750">
        <f t="shared" si="58"/>
        <v>85.346929316338347</v>
      </c>
      <c r="K4870" s="430">
        <f>SUM(K4855:K4869)</f>
        <v>0</v>
      </c>
      <c r="L4870" s="430"/>
      <c r="M4870" s="682"/>
    </row>
    <row r="4871" spans="3:13" ht="1.5" hidden="1" customHeight="1" x14ac:dyDescent="0.2">
      <c r="G4871" s="510"/>
      <c r="H4871" s="411"/>
      <c r="I4871" s="411"/>
      <c r="J4871" s="750" t="e">
        <f t="shared" si="58"/>
        <v>#DIV/0!</v>
      </c>
      <c r="K4871" s="412"/>
      <c r="L4871" s="412"/>
      <c r="M4871" s="682"/>
    </row>
    <row r="4872" spans="3:13" x14ac:dyDescent="0.2">
      <c r="C4872" s="581" t="s">
        <v>4772</v>
      </c>
      <c r="G4872" s="510" t="s">
        <v>5122</v>
      </c>
      <c r="H4872" s="411"/>
      <c r="I4872" s="411"/>
      <c r="J4872" s="750"/>
      <c r="K4872" s="412"/>
      <c r="L4872" s="412"/>
      <c r="M4872" s="682"/>
    </row>
    <row r="4873" spans="3:13" ht="21.75" customHeight="1" x14ac:dyDescent="0.2">
      <c r="D4873" s="464" t="s">
        <v>3888</v>
      </c>
      <c r="G4873" s="582" t="s">
        <v>4218</v>
      </c>
      <c r="H4873" s="411"/>
      <c r="I4873" s="411"/>
      <c r="J4873" s="750"/>
      <c r="K4873" s="412"/>
      <c r="L4873" s="412"/>
      <c r="M4873" s="682"/>
    </row>
    <row r="4874" spans="3:13" hidden="1" x14ac:dyDescent="0.2">
      <c r="F4874" s="464">
        <v>411</v>
      </c>
      <c r="G4874" s="510" t="s">
        <v>4167</v>
      </c>
      <c r="H4874" s="411"/>
      <c r="I4874" s="411"/>
      <c r="J4874" s="750" t="e">
        <f t="shared" si="58"/>
        <v>#DIV/0!</v>
      </c>
      <c r="K4874" s="412"/>
      <c r="L4874" s="412"/>
      <c r="M4874" s="682"/>
    </row>
    <row r="4875" spans="3:13" hidden="1" x14ac:dyDescent="0.2">
      <c r="F4875" s="464">
        <v>412</v>
      </c>
      <c r="G4875" s="510" t="s">
        <v>3764</v>
      </c>
      <c r="H4875" s="411"/>
      <c r="I4875" s="411"/>
      <c r="J4875" s="750" t="e">
        <f t="shared" si="58"/>
        <v>#DIV/0!</v>
      </c>
      <c r="K4875" s="412"/>
      <c r="L4875" s="412"/>
      <c r="M4875" s="682"/>
    </row>
    <row r="4876" spans="3:13" hidden="1" x14ac:dyDescent="0.2">
      <c r="F4876" s="464">
        <v>413</v>
      </c>
      <c r="G4876" s="510" t="s">
        <v>4168</v>
      </c>
      <c r="H4876" s="411"/>
      <c r="I4876" s="411"/>
      <c r="J4876" s="750" t="e">
        <f t="shared" si="58"/>
        <v>#DIV/0!</v>
      </c>
      <c r="K4876" s="412"/>
      <c r="L4876" s="412"/>
      <c r="M4876" s="682"/>
    </row>
    <row r="4877" spans="3:13" hidden="1" x14ac:dyDescent="0.2">
      <c r="F4877" s="464">
        <v>414</v>
      </c>
      <c r="G4877" s="510" t="s">
        <v>3767</v>
      </c>
      <c r="H4877" s="411"/>
      <c r="I4877" s="411"/>
      <c r="J4877" s="750" t="e">
        <f t="shared" ref="J4877:J4940" si="59">SUM(I4877/H4877)*100</f>
        <v>#DIV/0!</v>
      </c>
      <c r="K4877" s="412"/>
      <c r="L4877" s="412"/>
      <c r="M4877" s="682"/>
    </row>
    <row r="4878" spans="3:13" hidden="1" x14ac:dyDescent="0.2">
      <c r="F4878" s="464">
        <v>415</v>
      </c>
      <c r="G4878" s="510" t="s">
        <v>4177</v>
      </c>
      <c r="H4878" s="411"/>
      <c r="I4878" s="411"/>
      <c r="J4878" s="750" t="e">
        <f t="shared" si="59"/>
        <v>#DIV/0!</v>
      </c>
      <c r="K4878" s="412"/>
      <c r="L4878" s="412"/>
      <c r="M4878" s="682"/>
    </row>
    <row r="4879" spans="3:13" ht="25.5" hidden="1" x14ac:dyDescent="0.2">
      <c r="F4879" s="464">
        <v>416</v>
      </c>
      <c r="G4879" s="510" t="s">
        <v>4178</v>
      </c>
      <c r="H4879" s="411"/>
      <c r="I4879" s="411"/>
      <c r="J4879" s="750" t="e">
        <f t="shared" si="59"/>
        <v>#DIV/0!</v>
      </c>
      <c r="K4879" s="412"/>
      <c r="L4879" s="412"/>
      <c r="M4879" s="682"/>
    </row>
    <row r="4880" spans="3:13" hidden="1" x14ac:dyDescent="0.2">
      <c r="F4880" s="464">
        <v>417</v>
      </c>
      <c r="G4880" s="510" t="s">
        <v>4179</v>
      </c>
      <c r="H4880" s="411"/>
      <c r="I4880" s="411"/>
      <c r="J4880" s="750" t="e">
        <f t="shared" si="59"/>
        <v>#DIV/0!</v>
      </c>
      <c r="K4880" s="412"/>
      <c r="L4880" s="412"/>
      <c r="M4880" s="682"/>
    </row>
    <row r="4881" spans="6:13" hidden="1" x14ac:dyDescent="0.2">
      <c r="F4881" s="464">
        <v>418</v>
      </c>
      <c r="G4881" s="510" t="s">
        <v>3773</v>
      </c>
      <c r="H4881" s="411"/>
      <c r="I4881" s="411"/>
      <c r="J4881" s="750" t="e">
        <f t="shared" si="59"/>
        <v>#DIV/0!</v>
      </c>
      <c r="K4881" s="412"/>
      <c r="L4881" s="412"/>
      <c r="M4881" s="682"/>
    </row>
    <row r="4882" spans="6:13" hidden="1" x14ac:dyDescent="0.2">
      <c r="F4882" s="464">
        <v>421</v>
      </c>
      <c r="G4882" s="510" t="s">
        <v>3777</v>
      </c>
      <c r="H4882" s="411"/>
      <c r="I4882" s="411"/>
      <c r="J4882" s="750" t="e">
        <f t="shared" si="59"/>
        <v>#DIV/0!</v>
      </c>
      <c r="K4882" s="412"/>
      <c r="L4882" s="412"/>
      <c r="M4882" s="682"/>
    </row>
    <row r="4883" spans="6:13" hidden="1" x14ac:dyDescent="0.2">
      <c r="F4883" s="464">
        <v>422</v>
      </c>
      <c r="G4883" s="510" t="s">
        <v>3778</v>
      </c>
      <c r="H4883" s="411"/>
      <c r="I4883" s="411"/>
      <c r="J4883" s="750" t="e">
        <f t="shared" si="59"/>
        <v>#DIV/0!</v>
      </c>
      <c r="K4883" s="412"/>
      <c r="L4883" s="412"/>
      <c r="M4883" s="682"/>
    </row>
    <row r="4884" spans="6:13" hidden="1" x14ac:dyDescent="0.2">
      <c r="F4884" s="464">
        <v>423</v>
      </c>
      <c r="G4884" s="510" t="s">
        <v>3779</v>
      </c>
      <c r="H4884" s="411"/>
      <c r="I4884" s="411"/>
      <c r="J4884" s="750" t="e">
        <f t="shared" si="59"/>
        <v>#DIV/0!</v>
      </c>
      <c r="K4884" s="412"/>
      <c r="L4884" s="412"/>
      <c r="M4884" s="682"/>
    </row>
    <row r="4885" spans="6:13" hidden="1" x14ac:dyDescent="0.2">
      <c r="F4885" s="464">
        <v>424</v>
      </c>
      <c r="G4885" s="510" t="s">
        <v>3781</v>
      </c>
      <c r="H4885" s="411"/>
      <c r="I4885" s="411"/>
      <c r="J4885" s="750" t="e">
        <f t="shared" si="59"/>
        <v>#DIV/0!</v>
      </c>
      <c r="K4885" s="412"/>
      <c r="L4885" s="412"/>
      <c r="M4885" s="682"/>
    </row>
    <row r="4886" spans="6:13" hidden="1" x14ac:dyDescent="0.2">
      <c r="F4886" s="464">
        <v>425</v>
      </c>
      <c r="G4886" s="510" t="s">
        <v>4180</v>
      </c>
      <c r="H4886" s="411"/>
      <c r="I4886" s="411"/>
      <c r="J4886" s="750" t="e">
        <f t="shared" si="59"/>
        <v>#DIV/0!</v>
      </c>
      <c r="K4886" s="412"/>
      <c r="L4886" s="412"/>
      <c r="M4886" s="682"/>
    </row>
    <row r="4887" spans="6:13" hidden="1" x14ac:dyDescent="0.2">
      <c r="F4887" s="464">
        <v>426</v>
      </c>
      <c r="G4887" s="510" t="s">
        <v>3785</v>
      </c>
      <c r="H4887" s="411"/>
      <c r="I4887" s="411"/>
      <c r="J4887" s="750" t="e">
        <f t="shared" si="59"/>
        <v>#DIV/0!</v>
      </c>
      <c r="K4887" s="412"/>
      <c r="L4887" s="412"/>
      <c r="M4887" s="682"/>
    </row>
    <row r="4888" spans="6:13" hidden="1" x14ac:dyDescent="0.2">
      <c r="F4888" s="464">
        <v>431</v>
      </c>
      <c r="G4888" s="510" t="s">
        <v>4181</v>
      </c>
      <c r="H4888" s="411"/>
      <c r="I4888" s="411"/>
      <c r="J4888" s="750" t="e">
        <f t="shared" si="59"/>
        <v>#DIV/0!</v>
      </c>
      <c r="K4888" s="412"/>
      <c r="L4888" s="412"/>
      <c r="M4888" s="682"/>
    </row>
    <row r="4889" spans="6:13" hidden="1" x14ac:dyDescent="0.2">
      <c r="F4889" s="464">
        <v>432</v>
      </c>
      <c r="G4889" s="510" t="s">
        <v>4182</v>
      </c>
      <c r="H4889" s="411"/>
      <c r="I4889" s="411"/>
      <c r="J4889" s="750" t="e">
        <f t="shared" si="59"/>
        <v>#DIV/0!</v>
      </c>
      <c r="K4889" s="412"/>
      <c r="L4889" s="412"/>
      <c r="M4889" s="682"/>
    </row>
    <row r="4890" spans="6:13" hidden="1" x14ac:dyDescent="0.2">
      <c r="F4890" s="464">
        <v>433</v>
      </c>
      <c r="G4890" s="510" t="s">
        <v>4183</v>
      </c>
      <c r="H4890" s="411"/>
      <c r="I4890" s="411"/>
      <c r="J4890" s="750" t="e">
        <f t="shared" si="59"/>
        <v>#DIV/0!</v>
      </c>
      <c r="K4890" s="412"/>
      <c r="L4890" s="412"/>
      <c r="M4890" s="682"/>
    </row>
    <row r="4891" spans="6:13" hidden="1" x14ac:dyDescent="0.2">
      <c r="F4891" s="464">
        <v>434</v>
      </c>
      <c r="G4891" s="510" t="s">
        <v>4184</v>
      </c>
      <c r="H4891" s="411"/>
      <c r="I4891" s="411"/>
      <c r="J4891" s="750" t="e">
        <f t="shared" si="59"/>
        <v>#DIV/0!</v>
      </c>
      <c r="K4891" s="412"/>
      <c r="L4891" s="412"/>
      <c r="M4891" s="682"/>
    </row>
    <row r="4892" spans="6:13" hidden="1" x14ac:dyDescent="0.2">
      <c r="F4892" s="464">
        <v>435</v>
      </c>
      <c r="G4892" s="510" t="s">
        <v>3792</v>
      </c>
      <c r="H4892" s="411"/>
      <c r="I4892" s="411"/>
      <c r="J4892" s="750" t="e">
        <f t="shared" si="59"/>
        <v>#DIV/0!</v>
      </c>
      <c r="K4892" s="412"/>
      <c r="L4892" s="412"/>
      <c r="M4892" s="682"/>
    </row>
    <row r="4893" spans="6:13" hidden="1" x14ac:dyDescent="0.2">
      <c r="F4893" s="464">
        <v>441</v>
      </c>
      <c r="G4893" s="510" t="s">
        <v>4185</v>
      </c>
      <c r="H4893" s="411"/>
      <c r="I4893" s="411"/>
      <c r="J4893" s="750" t="e">
        <f t="shared" si="59"/>
        <v>#DIV/0!</v>
      </c>
      <c r="K4893" s="412"/>
      <c r="L4893" s="412"/>
      <c r="M4893" s="682"/>
    </row>
    <row r="4894" spans="6:13" hidden="1" x14ac:dyDescent="0.2">
      <c r="F4894" s="464">
        <v>442</v>
      </c>
      <c r="G4894" s="510" t="s">
        <v>4186</v>
      </c>
      <c r="H4894" s="411"/>
      <c r="I4894" s="411"/>
      <c r="J4894" s="750" t="e">
        <f t="shared" si="59"/>
        <v>#DIV/0!</v>
      </c>
      <c r="K4894" s="412"/>
      <c r="L4894" s="412"/>
      <c r="M4894" s="682"/>
    </row>
    <row r="4895" spans="6:13" hidden="1" x14ac:dyDescent="0.2">
      <c r="F4895" s="464">
        <v>443</v>
      </c>
      <c r="G4895" s="510" t="s">
        <v>3797</v>
      </c>
      <c r="H4895" s="411"/>
      <c r="I4895" s="411"/>
      <c r="J4895" s="750" t="e">
        <f t="shared" si="59"/>
        <v>#DIV/0!</v>
      </c>
      <c r="K4895" s="412"/>
      <c r="L4895" s="412"/>
      <c r="M4895" s="682"/>
    </row>
    <row r="4896" spans="6:13" hidden="1" x14ac:dyDescent="0.2">
      <c r="F4896" s="464">
        <v>444</v>
      </c>
      <c r="G4896" s="510" t="s">
        <v>3798</v>
      </c>
      <c r="H4896" s="411"/>
      <c r="I4896" s="411"/>
      <c r="J4896" s="750" t="e">
        <f t="shared" si="59"/>
        <v>#DIV/0!</v>
      </c>
      <c r="K4896" s="412"/>
      <c r="L4896" s="412"/>
      <c r="M4896" s="682"/>
    </row>
    <row r="4897" spans="5:13" ht="25.5" hidden="1" x14ac:dyDescent="0.2">
      <c r="F4897" s="464">
        <v>4511</v>
      </c>
      <c r="G4897" s="510" t="s">
        <v>1692</v>
      </c>
      <c r="H4897" s="411"/>
      <c r="I4897" s="411"/>
      <c r="J4897" s="750" t="e">
        <f t="shared" si="59"/>
        <v>#DIV/0!</v>
      </c>
      <c r="K4897" s="412"/>
      <c r="L4897" s="412"/>
      <c r="M4897" s="682"/>
    </row>
    <row r="4898" spans="5:13" ht="38.25" hidden="1" x14ac:dyDescent="0.2">
      <c r="F4898" s="464">
        <v>4512</v>
      </c>
      <c r="G4898" s="510" t="s">
        <v>1701</v>
      </c>
      <c r="H4898" s="411"/>
      <c r="I4898" s="411"/>
      <c r="J4898" s="750" t="e">
        <f t="shared" si="59"/>
        <v>#DIV/0!</v>
      </c>
      <c r="K4898" s="412"/>
      <c r="L4898" s="412"/>
      <c r="M4898" s="682"/>
    </row>
    <row r="4899" spans="5:13" ht="25.5" hidden="1" x14ac:dyDescent="0.2">
      <c r="F4899" s="464">
        <v>452</v>
      </c>
      <c r="G4899" s="510" t="s">
        <v>4187</v>
      </c>
      <c r="H4899" s="411"/>
      <c r="I4899" s="411"/>
      <c r="J4899" s="750" t="e">
        <f t="shared" si="59"/>
        <v>#DIV/0!</v>
      </c>
      <c r="K4899" s="412"/>
      <c r="L4899" s="412"/>
      <c r="M4899" s="682"/>
    </row>
    <row r="4900" spans="5:13" ht="25.5" hidden="1" x14ac:dyDescent="0.2">
      <c r="F4900" s="464">
        <v>453</v>
      </c>
      <c r="G4900" s="510" t="s">
        <v>4188</v>
      </c>
      <c r="H4900" s="411"/>
      <c r="I4900" s="411"/>
      <c r="J4900" s="750" t="e">
        <f t="shared" si="59"/>
        <v>#DIV/0!</v>
      </c>
      <c r="K4900" s="412"/>
      <c r="L4900" s="412"/>
      <c r="M4900" s="682"/>
    </row>
    <row r="4901" spans="5:13" hidden="1" x14ac:dyDescent="0.2">
      <c r="F4901" s="464">
        <v>454</v>
      </c>
      <c r="G4901" s="510" t="s">
        <v>3803</v>
      </c>
      <c r="H4901" s="411"/>
      <c r="I4901" s="411"/>
      <c r="J4901" s="750" t="e">
        <f t="shared" si="59"/>
        <v>#DIV/0!</v>
      </c>
      <c r="K4901" s="412"/>
      <c r="L4901" s="412"/>
      <c r="M4901" s="682"/>
    </row>
    <row r="4902" spans="5:13" hidden="1" x14ac:dyDescent="0.2">
      <c r="F4902" s="464">
        <v>461</v>
      </c>
      <c r="G4902" s="510" t="s">
        <v>4169</v>
      </c>
      <c r="H4902" s="411"/>
      <c r="I4902" s="411"/>
      <c r="J4902" s="750" t="e">
        <f t="shared" si="59"/>
        <v>#DIV/0!</v>
      </c>
      <c r="K4902" s="412"/>
      <c r="L4902" s="412"/>
      <c r="M4902" s="682"/>
    </row>
    <row r="4903" spans="5:13" ht="25.5" hidden="1" x14ac:dyDescent="0.2">
      <c r="F4903" s="464">
        <v>462</v>
      </c>
      <c r="G4903" s="510" t="s">
        <v>3806</v>
      </c>
      <c r="H4903" s="411"/>
      <c r="I4903" s="411"/>
      <c r="J4903" s="750" t="e">
        <f t="shared" si="59"/>
        <v>#DIV/0!</v>
      </c>
      <c r="K4903" s="412"/>
      <c r="L4903" s="412"/>
      <c r="M4903" s="682"/>
    </row>
    <row r="4904" spans="5:13" hidden="1" x14ac:dyDescent="0.2">
      <c r="F4904" s="464">
        <v>4631</v>
      </c>
      <c r="G4904" s="510" t="s">
        <v>3807</v>
      </c>
      <c r="H4904" s="411"/>
      <c r="I4904" s="411"/>
      <c r="J4904" s="750" t="e">
        <f t="shared" si="59"/>
        <v>#DIV/0!</v>
      </c>
      <c r="K4904" s="412"/>
      <c r="L4904" s="412"/>
      <c r="M4904" s="682"/>
    </row>
    <row r="4905" spans="5:13" ht="25.5" hidden="1" x14ac:dyDescent="0.2">
      <c r="F4905" s="464">
        <v>4632</v>
      </c>
      <c r="G4905" s="510" t="s">
        <v>3808</v>
      </c>
      <c r="H4905" s="411"/>
      <c r="I4905" s="411"/>
      <c r="J4905" s="750" t="e">
        <f t="shared" si="59"/>
        <v>#DIV/0!</v>
      </c>
      <c r="K4905" s="412"/>
      <c r="L4905" s="412"/>
      <c r="M4905" s="682"/>
    </row>
    <row r="4906" spans="5:13" ht="25.5" hidden="1" x14ac:dyDescent="0.2">
      <c r="F4906" s="464">
        <v>464</v>
      </c>
      <c r="G4906" s="510" t="s">
        <v>3809</v>
      </c>
      <c r="H4906" s="411"/>
      <c r="I4906" s="411"/>
      <c r="J4906" s="750" t="e">
        <f t="shared" si="59"/>
        <v>#DIV/0!</v>
      </c>
      <c r="K4906" s="412"/>
      <c r="L4906" s="412"/>
      <c r="M4906" s="682"/>
    </row>
    <row r="4907" spans="5:13" hidden="1" x14ac:dyDescent="0.2">
      <c r="F4907" s="464">
        <v>465</v>
      </c>
      <c r="G4907" s="510" t="s">
        <v>4170</v>
      </c>
      <c r="H4907" s="411"/>
      <c r="I4907" s="411"/>
      <c r="J4907" s="750" t="e">
        <f t="shared" si="59"/>
        <v>#DIV/0!</v>
      </c>
      <c r="K4907" s="412"/>
      <c r="L4907" s="412"/>
      <c r="M4907" s="682"/>
    </row>
    <row r="4908" spans="5:13" hidden="1" x14ac:dyDescent="0.2">
      <c r="F4908" s="464">
        <v>471</v>
      </c>
      <c r="G4908" s="510" t="s">
        <v>3813</v>
      </c>
      <c r="H4908" s="411"/>
      <c r="I4908" s="411"/>
      <c r="J4908" s="750" t="e">
        <f t="shared" si="59"/>
        <v>#DIV/0!</v>
      </c>
      <c r="K4908" s="412"/>
      <c r="L4908" s="412"/>
      <c r="M4908" s="682"/>
    </row>
    <row r="4909" spans="5:13" ht="13.5" thickBot="1" x14ac:dyDescent="0.25">
      <c r="E4909" s="464">
        <v>54</v>
      </c>
      <c r="F4909" s="464">
        <v>481</v>
      </c>
      <c r="G4909" s="564" t="s">
        <v>4189</v>
      </c>
      <c r="H4909" s="429">
        <v>400000</v>
      </c>
      <c r="I4909" s="429">
        <v>148909</v>
      </c>
      <c r="J4909" s="750">
        <f t="shared" si="59"/>
        <v>37.227249999999998</v>
      </c>
      <c r="K4909" s="431">
        <v>914100</v>
      </c>
      <c r="L4909" s="431">
        <v>368497</v>
      </c>
      <c r="M4909" s="682"/>
    </row>
    <row r="4910" spans="5:13" hidden="1" x14ac:dyDescent="0.2">
      <c r="F4910" s="464">
        <v>482</v>
      </c>
      <c r="G4910" s="510" t="s">
        <v>4190</v>
      </c>
      <c r="H4910" s="411"/>
      <c r="I4910" s="411"/>
      <c r="J4910" s="750" t="e">
        <f t="shared" si="59"/>
        <v>#DIV/0!</v>
      </c>
      <c r="K4910" s="412"/>
      <c r="L4910" s="412"/>
      <c r="M4910" s="682"/>
    </row>
    <row r="4911" spans="5:13" hidden="1" x14ac:dyDescent="0.2">
      <c r="F4911" s="464">
        <v>483</v>
      </c>
      <c r="G4911" s="510" t="s">
        <v>4191</v>
      </c>
      <c r="H4911" s="411"/>
      <c r="I4911" s="411"/>
      <c r="J4911" s="750" t="e">
        <f t="shared" si="59"/>
        <v>#DIV/0!</v>
      </c>
      <c r="K4911" s="412"/>
      <c r="L4911" s="412"/>
      <c r="M4911" s="682"/>
    </row>
    <row r="4912" spans="5:13" ht="38.25" hidden="1" x14ac:dyDescent="0.2">
      <c r="F4912" s="464">
        <v>484</v>
      </c>
      <c r="G4912" s="510" t="s">
        <v>4192</v>
      </c>
      <c r="H4912" s="411"/>
      <c r="I4912" s="411"/>
      <c r="J4912" s="750" t="e">
        <f t="shared" si="59"/>
        <v>#DIV/0!</v>
      </c>
      <c r="K4912" s="412"/>
      <c r="L4912" s="412"/>
      <c r="M4912" s="682"/>
    </row>
    <row r="4913" spans="6:13" ht="25.5" hidden="1" x14ac:dyDescent="0.2">
      <c r="F4913" s="464">
        <v>485</v>
      </c>
      <c r="G4913" s="510" t="s">
        <v>4193</v>
      </c>
      <c r="H4913" s="411"/>
      <c r="I4913" s="411"/>
      <c r="J4913" s="750" t="e">
        <f t="shared" si="59"/>
        <v>#DIV/0!</v>
      </c>
      <c r="K4913" s="412"/>
      <c r="L4913" s="412"/>
      <c r="M4913" s="682"/>
    </row>
    <row r="4914" spans="6:13" ht="38.25" hidden="1" x14ac:dyDescent="0.2">
      <c r="F4914" s="464">
        <v>489</v>
      </c>
      <c r="G4914" s="510" t="s">
        <v>3821</v>
      </c>
      <c r="H4914" s="411"/>
      <c r="I4914" s="411"/>
      <c r="J4914" s="750" t="e">
        <f t="shared" si="59"/>
        <v>#DIV/0!</v>
      </c>
      <c r="K4914" s="412"/>
      <c r="L4914" s="412"/>
      <c r="M4914" s="682"/>
    </row>
    <row r="4915" spans="6:13" ht="25.5" hidden="1" x14ac:dyDescent="0.2">
      <c r="F4915" s="464">
        <v>494</v>
      </c>
      <c r="G4915" s="510" t="s">
        <v>4171</v>
      </c>
      <c r="H4915" s="411"/>
      <c r="I4915" s="411"/>
      <c r="J4915" s="750" t="e">
        <f t="shared" si="59"/>
        <v>#DIV/0!</v>
      </c>
      <c r="K4915" s="412"/>
      <c r="L4915" s="412"/>
      <c r="M4915" s="682"/>
    </row>
    <row r="4916" spans="6:13" ht="25.5" hidden="1" x14ac:dyDescent="0.2">
      <c r="F4916" s="464">
        <v>495</v>
      </c>
      <c r="G4916" s="510" t="s">
        <v>4172</v>
      </c>
      <c r="H4916" s="411"/>
      <c r="I4916" s="411"/>
      <c r="J4916" s="750" t="e">
        <f t="shared" si="59"/>
        <v>#DIV/0!</v>
      </c>
      <c r="K4916" s="412"/>
      <c r="L4916" s="412"/>
      <c r="M4916" s="682"/>
    </row>
    <row r="4917" spans="6:13" ht="38.25" hidden="1" x14ac:dyDescent="0.2">
      <c r="F4917" s="464">
        <v>496</v>
      </c>
      <c r="G4917" s="510" t="s">
        <v>4173</v>
      </c>
      <c r="H4917" s="411"/>
      <c r="I4917" s="411"/>
      <c r="J4917" s="750" t="e">
        <f t="shared" si="59"/>
        <v>#DIV/0!</v>
      </c>
      <c r="K4917" s="412"/>
      <c r="L4917" s="412"/>
      <c r="M4917" s="682"/>
    </row>
    <row r="4918" spans="6:13" ht="25.5" hidden="1" x14ac:dyDescent="0.2">
      <c r="F4918" s="464">
        <v>499</v>
      </c>
      <c r="G4918" s="510" t="s">
        <v>4174</v>
      </c>
      <c r="H4918" s="411"/>
      <c r="I4918" s="411"/>
      <c r="J4918" s="750" t="e">
        <f t="shared" si="59"/>
        <v>#DIV/0!</v>
      </c>
      <c r="K4918" s="412"/>
      <c r="L4918" s="412"/>
      <c r="M4918" s="682"/>
    </row>
    <row r="4919" spans="6:13" hidden="1" x14ac:dyDescent="0.2">
      <c r="F4919" s="464">
        <v>511</v>
      </c>
      <c r="G4919" s="510" t="s">
        <v>4194</v>
      </c>
      <c r="H4919" s="411"/>
      <c r="I4919" s="411"/>
      <c r="J4919" s="750" t="e">
        <f t="shared" si="59"/>
        <v>#DIV/0!</v>
      </c>
      <c r="K4919" s="412"/>
      <c r="L4919" s="412"/>
      <c r="M4919" s="682"/>
    </row>
    <row r="4920" spans="6:13" hidden="1" x14ac:dyDescent="0.2">
      <c r="F4920" s="464">
        <v>512</v>
      </c>
      <c r="G4920" s="510" t="s">
        <v>4195</v>
      </c>
      <c r="H4920" s="411"/>
      <c r="I4920" s="411"/>
      <c r="J4920" s="750" t="e">
        <f t="shared" si="59"/>
        <v>#DIV/0!</v>
      </c>
      <c r="K4920" s="412"/>
      <c r="L4920" s="412"/>
      <c r="M4920" s="682"/>
    </row>
    <row r="4921" spans="6:13" hidden="1" x14ac:dyDescent="0.2">
      <c r="F4921" s="464">
        <v>513</v>
      </c>
      <c r="G4921" s="510" t="s">
        <v>4196</v>
      </c>
      <c r="H4921" s="411"/>
      <c r="I4921" s="411"/>
      <c r="J4921" s="750" t="e">
        <f t="shared" si="59"/>
        <v>#DIV/0!</v>
      </c>
      <c r="K4921" s="412"/>
      <c r="L4921" s="412"/>
      <c r="M4921" s="682"/>
    </row>
    <row r="4922" spans="6:13" hidden="1" x14ac:dyDescent="0.2">
      <c r="F4922" s="464">
        <v>514</v>
      </c>
      <c r="G4922" s="510" t="s">
        <v>4197</v>
      </c>
      <c r="H4922" s="411"/>
      <c r="I4922" s="411"/>
      <c r="J4922" s="750" t="e">
        <f t="shared" si="59"/>
        <v>#DIV/0!</v>
      </c>
      <c r="K4922" s="412"/>
      <c r="L4922" s="412"/>
      <c r="M4922" s="682"/>
    </row>
    <row r="4923" spans="6:13" hidden="1" x14ac:dyDescent="0.2">
      <c r="F4923" s="464">
        <v>515</v>
      </c>
      <c r="G4923" s="510" t="s">
        <v>3832</v>
      </c>
      <c r="H4923" s="411"/>
      <c r="I4923" s="411"/>
      <c r="J4923" s="750" t="e">
        <f t="shared" si="59"/>
        <v>#DIV/0!</v>
      </c>
      <c r="K4923" s="412"/>
      <c r="L4923" s="412"/>
      <c r="M4923" s="682"/>
    </row>
    <row r="4924" spans="6:13" hidden="1" x14ac:dyDescent="0.2">
      <c r="F4924" s="464">
        <v>521</v>
      </c>
      <c r="G4924" s="510" t="s">
        <v>4198</v>
      </c>
      <c r="H4924" s="411"/>
      <c r="I4924" s="411"/>
      <c r="J4924" s="750" t="e">
        <f t="shared" si="59"/>
        <v>#DIV/0!</v>
      </c>
      <c r="K4924" s="412"/>
      <c r="L4924" s="412"/>
      <c r="M4924" s="682"/>
    </row>
    <row r="4925" spans="6:13" hidden="1" x14ac:dyDescent="0.2">
      <c r="F4925" s="464">
        <v>522</v>
      </c>
      <c r="G4925" s="510" t="s">
        <v>4199</v>
      </c>
      <c r="H4925" s="411"/>
      <c r="I4925" s="411"/>
      <c r="J4925" s="750" t="e">
        <f t="shared" si="59"/>
        <v>#DIV/0!</v>
      </c>
      <c r="K4925" s="412"/>
      <c r="L4925" s="412"/>
      <c r="M4925" s="682"/>
    </row>
    <row r="4926" spans="6:13" hidden="1" x14ac:dyDescent="0.2">
      <c r="F4926" s="464">
        <v>523</v>
      </c>
      <c r="G4926" s="510" t="s">
        <v>3837</v>
      </c>
      <c r="H4926" s="411"/>
      <c r="I4926" s="411"/>
      <c r="J4926" s="750" t="e">
        <f t="shared" si="59"/>
        <v>#DIV/0!</v>
      </c>
      <c r="K4926" s="412"/>
      <c r="L4926" s="412"/>
      <c r="M4926" s="682"/>
    </row>
    <row r="4927" spans="6:13" hidden="1" x14ac:dyDescent="0.2">
      <c r="F4927" s="464">
        <v>531</v>
      </c>
      <c r="G4927" s="510" t="s">
        <v>4175</v>
      </c>
      <c r="H4927" s="411"/>
      <c r="I4927" s="411"/>
      <c r="J4927" s="750" t="e">
        <f t="shared" si="59"/>
        <v>#DIV/0!</v>
      </c>
      <c r="K4927" s="412"/>
      <c r="L4927" s="412"/>
      <c r="M4927" s="682"/>
    </row>
    <row r="4928" spans="6:13" hidden="1" x14ac:dyDescent="0.2">
      <c r="F4928" s="464">
        <v>541</v>
      </c>
      <c r="G4928" s="510" t="s">
        <v>4200</v>
      </c>
      <c r="H4928" s="411"/>
      <c r="I4928" s="411"/>
      <c r="J4928" s="750" t="e">
        <f t="shared" si="59"/>
        <v>#DIV/0!</v>
      </c>
      <c r="K4928" s="412"/>
      <c r="L4928" s="412"/>
      <c r="M4928" s="682"/>
    </row>
    <row r="4929" spans="6:13" hidden="1" x14ac:dyDescent="0.2">
      <c r="F4929" s="464">
        <v>542</v>
      </c>
      <c r="G4929" s="510" t="s">
        <v>4201</v>
      </c>
      <c r="H4929" s="411"/>
      <c r="I4929" s="411"/>
      <c r="J4929" s="750" t="e">
        <f t="shared" si="59"/>
        <v>#DIV/0!</v>
      </c>
      <c r="K4929" s="412"/>
      <c r="L4929" s="412"/>
      <c r="M4929" s="682"/>
    </row>
    <row r="4930" spans="6:13" hidden="1" x14ac:dyDescent="0.2">
      <c r="F4930" s="464">
        <v>543</v>
      </c>
      <c r="G4930" s="510" t="s">
        <v>3842</v>
      </c>
      <c r="H4930" s="411"/>
      <c r="I4930" s="411"/>
      <c r="J4930" s="750" t="e">
        <f t="shared" si="59"/>
        <v>#DIV/0!</v>
      </c>
      <c r="K4930" s="412"/>
      <c r="L4930" s="412"/>
      <c r="M4930" s="682"/>
    </row>
    <row r="4931" spans="6:13" ht="38.25" hidden="1" x14ac:dyDescent="0.2">
      <c r="F4931" s="464">
        <v>551</v>
      </c>
      <c r="G4931" s="510" t="s">
        <v>4176</v>
      </c>
      <c r="H4931" s="411"/>
      <c r="I4931" s="411"/>
      <c r="J4931" s="750" t="e">
        <f t="shared" si="59"/>
        <v>#DIV/0!</v>
      </c>
      <c r="K4931" s="412"/>
      <c r="L4931" s="412"/>
      <c r="M4931" s="682"/>
    </row>
    <row r="4932" spans="6:13" hidden="1" x14ac:dyDescent="0.2">
      <c r="F4932" s="464">
        <v>611</v>
      </c>
      <c r="G4932" s="510" t="s">
        <v>3848</v>
      </c>
      <c r="H4932" s="411"/>
      <c r="I4932" s="411"/>
      <c r="J4932" s="750" t="e">
        <f t="shared" si="59"/>
        <v>#DIV/0!</v>
      </c>
      <c r="K4932" s="412"/>
      <c r="L4932" s="412"/>
      <c r="M4932" s="682"/>
    </row>
    <row r="4933" spans="6:13" hidden="1" x14ac:dyDescent="0.2">
      <c r="F4933" s="464">
        <v>620</v>
      </c>
      <c r="G4933" s="510" t="s">
        <v>88</v>
      </c>
      <c r="H4933" s="411"/>
      <c r="I4933" s="411"/>
      <c r="J4933" s="750" t="e">
        <f t="shared" si="59"/>
        <v>#DIV/0!</v>
      </c>
      <c r="K4933" s="412"/>
      <c r="L4933" s="412"/>
      <c r="M4933" s="682"/>
    </row>
    <row r="4934" spans="6:13" x14ac:dyDescent="0.2">
      <c r="G4934" s="510" t="s">
        <v>4366</v>
      </c>
      <c r="H4934" s="411"/>
      <c r="I4934" s="411"/>
      <c r="J4934" s="750"/>
      <c r="K4934" s="412"/>
      <c r="L4934" s="412"/>
      <c r="M4934" s="682"/>
    </row>
    <row r="4935" spans="6:13" x14ac:dyDescent="0.2">
      <c r="F4935" s="464" t="s">
        <v>234</v>
      </c>
      <c r="G4935" s="566" t="s">
        <v>235</v>
      </c>
      <c r="H4935" s="403">
        <f>SUM(H4874:H4933)</f>
        <v>400000</v>
      </c>
      <c r="I4935" s="403">
        <f>SUM(I4909)</f>
        <v>148909</v>
      </c>
      <c r="J4935" s="750">
        <f t="shared" si="59"/>
        <v>37.227249999999998</v>
      </c>
      <c r="K4935" s="412"/>
      <c r="L4935" s="404"/>
      <c r="M4935" s="682"/>
    </row>
    <row r="4936" spans="6:13" hidden="1" x14ac:dyDescent="0.2">
      <c r="F4936" s="464" t="s">
        <v>236</v>
      </c>
      <c r="G4936" s="510" t="s">
        <v>237</v>
      </c>
      <c r="H4936" s="411"/>
      <c r="I4936" s="411"/>
      <c r="J4936" s="750" t="e">
        <f t="shared" si="59"/>
        <v>#DIV/0!</v>
      </c>
      <c r="K4936" s="412"/>
      <c r="L4936" s="412"/>
      <c r="M4936" s="682"/>
    </row>
    <row r="4937" spans="6:13" hidden="1" x14ac:dyDescent="0.2">
      <c r="F4937" s="464" t="s">
        <v>238</v>
      </c>
      <c r="G4937" s="510" t="s">
        <v>239</v>
      </c>
      <c r="H4937" s="411"/>
      <c r="I4937" s="411"/>
      <c r="J4937" s="750" t="e">
        <f t="shared" si="59"/>
        <v>#DIV/0!</v>
      </c>
      <c r="K4937" s="412"/>
      <c r="L4937" s="412"/>
      <c r="M4937" s="682"/>
    </row>
    <row r="4938" spans="6:13" hidden="1" x14ac:dyDescent="0.2">
      <c r="F4938" s="464" t="s">
        <v>240</v>
      </c>
      <c r="G4938" s="510" t="s">
        <v>241</v>
      </c>
      <c r="H4938" s="411"/>
      <c r="I4938" s="411"/>
      <c r="J4938" s="750" t="e">
        <f t="shared" si="59"/>
        <v>#DIV/0!</v>
      </c>
      <c r="K4938" s="412"/>
      <c r="L4938" s="412"/>
      <c r="M4938" s="682"/>
    </row>
    <row r="4939" spans="6:13" hidden="1" x14ac:dyDescent="0.2">
      <c r="F4939" s="464" t="s">
        <v>242</v>
      </c>
      <c r="G4939" s="510" t="s">
        <v>243</v>
      </c>
      <c r="H4939" s="411"/>
      <c r="I4939" s="411"/>
      <c r="J4939" s="750" t="e">
        <f t="shared" si="59"/>
        <v>#DIV/0!</v>
      </c>
      <c r="K4939" s="412"/>
      <c r="L4939" s="412"/>
      <c r="M4939" s="682"/>
    </row>
    <row r="4940" spans="6:13" hidden="1" x14ac:dyDescent="0.2">
      <c r="F4940" s="464" t="s">
        <v>244</v>
      </c>
      <c r="G4940" s="510" t="s">
        <v>245</v>
      </c>
      <c r="H4940" s="411"/>
      <c r="I4940" s="411"/>
      <c r="J4940" s="750" t="e">
        <f t="shared" si="59"/>
        <v>#DIV/0!</v>
      </c>
      <c r="K4940" s="412"/>
      <c r="L4940" s="412"/>
      <c r="M4940" s="682"/>
    </row>
    <row r="4941" spans="6:13" x14ac:dyDescent="0.2">
      <c r="F4941" s="464" t="s">
        <v>246</v>
      </c>
      <c r="G4941" s="568" t="s">
        <v>247</v>
      </c>
      <c r="H4941" s="411"/>
      <c r="I4941" s="411"/>
      <c r="J4941" s="750"/>
      <c r="K4941" s="404">
        <f>SUM(K4909)</f>
        <v>914100</v>
      </c>
      <c r="L4941" s="404">
        <f>SUM(L4909)</f>
        <v>368497</v>
      </c>
      <c r="M4941" s="682"/>
    </row>
    <row r="4942" spans="6:13" ht="25.5" hidden="1" x14ac:dyDescent="0.2">
      <c r="F4942" s="464" t="s">
        <v>248</v>
      </c>
      <c r="G4942" s="510" t="s">
        <v>249</v>
      </c>
      <c r="H4942" s="411"/>
      <c r="I4942" s="411"/>
      <c r="J4942" s="750" t="e">
        <f t="shared" ref="J4942:J5004" si="60">SUM(I4942/H4942)*100</f>
        <v>#DIV/0!</v>
      </c>
      <c r="K4942" s="412"/>
      <c r="L4942" s="412"/>
      <c r="M4942" s="682"/>
    </row>
    <row r="4943" spans="6:13" hidden="1" x14ac:dyDescent="0.2">
      <c r="F4943" s="464" t="s">
        <v>250</v>
      </c>
      <c r="G4943" s="510" t="s">
        <v>57</v>
      </c>
      <c r="H4943" s="411"/>
      <c r="I4943" s="411"/>
      <c r="J4943" s="750" t="e">
        <f t="shared" si="60"/>
        <v>#DIV/0!</v>
      </c>
      <c r="K4943" s="412"/>
      <c r="L4943" s="412"/>
      <c r="M4943" s="682"/>
    </row>
    <row r="4944" spans="6:13" hidden="1" x14ac:dyDescent="0.2">
      <c r="F4944" s="464" t="s">
        <v>251</v>
      </c>
      <c r="G4944" s="510" t="s">
        <v>252</v>
      </c>
      <c r="H4944" s="411"/>
      <c r="I4944" s="411"/>
      <c r="J4944" s="750" t="e">
        <f t="shared" si="60"/>
        <v>#DIV/0!</v>
      </c>
      <c r="K4944" s="412"/>
      <c r="L4944" s="412"/>
      <c r="M4944" s="682"/>
    </row>
    <row r="4945" spans="6:13" hidden="1" x14ac:dyDescent="0.2">
      <c r="F4945" s="464" t="s">
        <v>253</v>
      </c>
      <c r="G4945" s="510" t="s">
        <v>254</v>
      </c>
      <c r="H4945" s="411"/>
      <c r="I4945" s="411"/>
      <c r="J4945" s="750" t="e">
        <f t="shared" si="60"/>
        <v>#DIV/0!</v>
      </c>
      <c r="K4945" s="412"/>
      <c r="L4945" s="412"/>
      <c r="M4945" s="682"/>
    </row>
    <row r="4946" spans="6:13" ht="25.5" hidden="1" x14ac:dyDescent="0.2">
      <c r="F4946" s="464" t="s">
        <v>255</v>
      </c>
      <c r="G4946" s="510" t="s">
        <v>256</v>
      </c>
      <c r="H4946" s="411"/>
      <c r="I4946" s="411"/>
      <c r="J4946" s="750" t="e">
        <f t="shared" si="60"/>
        <v>#DIV/0!</v>
      </c>
      <c r="K4946" s="412"/>
      <c r="L4946" s="412"/>
      <c r="M4946" s="682"/>
    </row>
    <row r="4947" spans="6:13" ht="25.5" hidden="1" x14ac:dyDescent="0.2">
      <c r="F4947" s="464" t="s">
        <v>257</v>
      </c>
      <c r="G4947" s="510" t="s">
        <v>258</v>
      </c>
      <c r="H4947" s="411"/>
      <c r="I4947" s="411"/>
      <c r="J4947" s="750" t="e">
        <f t="shared" si="60"/>
        <v>#DIV/0!</v>
      </c>
      <c r="K4947" s="412"/>
      <c r="L4947" s="412"/>
      <c r="M4947" s="682"/>
    </row>
    <row r="4948" spans="6:13" ht="25.5" hidden="1" x14ac:dyDescent="0.2">
      <c r="F4948" s="464" t="s">
        <v>259</v>
      </c>
      <c r="G4948" s="510" t="s">
        <v>260</v>
      </c>
      <c r="H4948" s="411"/>
      <c r="I4948" s="411"/>
      <c r="J4948" s="750" t="e">
        <f t="shared" si="60"/>
        <v>#DIV/0!</v>
      </c>
      <c r="K4948" s="412"/>
      <c r="L4948" s="412"/>
      <c r="M4948" s="682"/>
    </row>
    <row r="4949" spans="6:13" ht="25.5" hidden="1" x14ac:dyDescent="0.2">
      <c r="F4949" s="464" t="s">
        <v>261</v>
      </c>
      <c r="G4949" s="510" t="s">
        <v>262</v>
      </c>
      <c r="H4949" s="411"/>
      <c r="I4949" s="411"/>
      <c r="J4949" s="750" t="e">
        <f t="shared" si="60"/>
        <v>#DIV/0!</v>
      </c>
      <c r="K4949" s="412"/>
      <c r="L4949" s="412"/>
      <c r="M4949" s="682"/>
    </row>
    <row r="4950" spans="6:13" ht="15.75" hidden="1" customHeight="1" x14ac:dyDescent="0.2">
      <c r="F4950" s="464" t="s">
        <v>263</v>
      </c>
      <c r="G4950" s="510" t="s">
        <v>264</v>
      </c>
      <c r="H4950" s="411"/>
      <c r="I4950" s="411"/>
      <c r="J4950" s="750" t="e">
        <f t="shared" si="60"/>
        <v>#DIV/0!</v>
      </c>
      <c r="K4950" s="412"/>
      <c r="L4950" s="412"/>
      <c r="M4950" s="682"/>
    </row>
    <row r="4951" spans="6:13" ht="11.25" customHeight="1" thickBot="1" x14ac:dyDescent="0.25">
      <c r="G4951" s="565" t="s">
        <v>4367</v>
      </c>
      <c r="H4951" s="432">
        <f>SUM(H4935:H4950)</f>
        <v>400000</v>
      </c>
      <c r="I4951" s="432">
        <f>SUM(I4935)</f>
        <v>148909</v>
      </c>
      <c r="J4951" s="750">
        <f t="shared" si="60"/>
        <v>37.227249999999998</v>
      </c>
      <c r="K4951" s="430">
        <f>SUM(K4936:K4950)</f>
        <v>914100</v>
      </c>
      <c r="L4951" s="430">
        <f>SUM(L4909)</f>
        <v>368497</v>
      </c>
      <c r="M4951" s="682"/>
    </row>
    <row r="4952" spans="6:13" x14ac:dyDescent="0.2">
      <c r="G4952" s="510" t="s">
        <v>5120</v>
      </c>
      <c r="H4952" s="411"/>
      <c r="I4952" s="411"/>
      <c r="J4952" s="750"/>
      <c r="K4952" s="412"/>
      <c r="L4952" s="412"/>
      <c r="M4952" s="682"/>
    </row>
    <row r="4953" spans="6:13" x14ac:dyDescent="0.2">
      <c r="F4953" s="502" t="s">
        <v>234</v>
      </c>
      <c r="G4953" s="566" t="s">
        <v>235</v>
      </c>
      <c r="H4953" s="403">
        <f>SUM(H4874:H4933)</f>
        <v>400000</v>
      </c>
      <c r="I4953" s="403">
        <f>SUM(I4951)</f>
        <v>148909</v>
      </c>
      <c r="J4953" s="750">
        <f t="shared" si="60"/>
        <v>37.227249999999998</v>
      </c>
      <c r="K4953" s="412"/>
      <c r="L4953" s="404"/>
      <c r="M4953" s="682"/>
    </row>
    <row r="4954" spans="6:13" hidden="1" x14ac:dyDescent="0.2">
      <c r="F4954" s="502" t="s">
        <v>236</v>
      </c>
      <c r="G4954" s="510" t="s">
        <v>237</v>
      </c>
      <c r="H4954" s="411"/>
      <c r="I4954" s="411"/>
      <c r="J4954" s="750" t="e">
        <f t="shared" si="60"/>
        <v>#DIV/0!</v>
      </c>
      <c r="K4954" s="412"/>
      <c r="L4954" s="412"/>
      <c r="M4954" s="682"/>
    </row>
    <row r="4955" spans="6:13" hidden="1" x14ac:dyDescent="0.2">
      <c r="F4955" s="502" t="s">
        <v>238</v>
      </c>
      <c r="G4955" s="510" t="s">
        <v>239</v>
      </c>
      <c r="H4955" s="411"/>
      <c r="I4955" s="411"/>
      <c r="J4955" s="750" t="e">
        <f t="shared" si="60"/>
        <v>#DIV/0!</v>
      </c>
      <c r="K4955" s="412"/>
      <c r="L4955" s="412"/>
      <c r="M4955" s="682"/>
    </row>
    <row r="4956" spans="6:13" hidden="1" x14ac:dyDescent="0.2">
      <c r="F4956" s="502" t="s">
        <v>240</v>
      </c>
      <c r="G4956" s="510" t="s">
        <v>241</v>
      </c>
      <c r="H4956" s="411"/>
      <c r="I4956" s="411"/>
      <c r="J4956" s="750" t="e">
        <f t="shared" si="60"/>
        <v>#DIV/0!</v>
      </c>
      <c r="K4956" s="412"/>
      <c r="L4956" s="412"/>
      <c r="M4956" s="682"/>
    </row>
    <row r="4957" spans="6:13" hidden="1" x14ac:dyDescent="0.2">
      <c r="F4957" s="502" t="s">
        <v>242</v>
      </c>
      <c r="G4957" s="510" t="s">
        <v>243</v>
      </c>
      <c r="H4957" s="411"/>
      <c r="I4957" s="411"/>
      <c r="J4957" s="750" t="e">
        <f t="shared" si="60"/>
        <v>#DIV/0!</v>
      </c>
      <c r="K4957" s="412"/>
      <c r="L4957" s="412"/>
      <c r="M4957" s="682"/>
    </row>
    <row r="4958" spans="6:13" hidden="1" x14ac:dyDescent="0.2">
      <c r="F4958" s="502" t="s">
        <v>244</v>
      </c>
      <c r="G4958" s="510" t="s">
        <v>245</v>
      </c>
      <c r="H4958" s="411"/>
      <c r="I4958" s="411"/>
      <c r="J4958" s="750" t="e">
        <f t="shared" si="60"/>
        <v>#DIV/0!</v>
      </c>
      <c r="K4958" s="412"/>
      <c r="L4958" s="412"/>
      <c r="M4958" s="682"/>
    </row>
    <row r="4959" spans="6:13" x14ac:dyDescent="0.2">
      <c r="F4959" s="502" t="s">
        <v>246</v>
      </c>
      <c r="G4959" s="510" t="s">
        <v>247</v>
      </c>
      <c r="H4959" s="411"/>
      <c r="I4959" s="411"/>
      <c r="J4959" s="750"/>
      <c r="K4959" s="404">
        <f>SUM(K4951)</f>
        <v>914100</v>
      </c>
      <c r="L4959" s="404">
        <f>SUM(L4951)</f>
        <v>368497</v>
      </c>
      <c r="M4959" s="682"/>
    </row>
    <row r="4960" spans="6:13" ht="25.5" hidden="1" x14ac:dyDescent="0.2">
      <c r="F4960" s="464" t="s">
        <v>248</v>
      </c>
      <c r="G4960" s="510" t="s">
        <v>249</v>
      </c>
      <c r="H4960" s="411"/>
      <c r="I4960" s="411"/>
      <c r="J4960" s="750" t="e">
        <f t="shared" si="60"/>
        <v>#DIV/0!</v>
      </c>
      <c r="K4960" s="412"/>
      <c r="L4960" s="412"/>
      <c r="M4960" s="682"/>
    </row>
    <row r="4961" spans="6:13" hidden="1" x14ac:dyDescent="0.2">
      <c r="F4961" s="464" t="s">
        <v>250</v>
      </c>
      <c r="G4961" s="510" t="s">
        <v>57</v>
      </c>
      <c r="H4961" s="411"/>
      <c r="I4961" s="411"/>
      <c r="J4961" s="750" t="e">
        <f t="shared" si="60"/>
        <v>#DIV/0!</v>
      </c>
      <c r="K4961" s="412"/>
      <c r="L4961" s="412"/>
      <c r="M4961" s="682"/>
    </row>
    <row r="4962" spans="6:13" hidden="1" x14ac:dyDescent="0.2">
      <c r="F4962" s="464" t="s">
        <v>251</v>
      </c>
      <c r="G4962" s="510" t="s">
        <v>252</v>
      </c>
      <c r="H4962" s="411"/>
      <c r="I4962" s="411"/>
      <c r="J4962" s="750" t="e">
        <f t="shared" si="60"/>
        <v>#DIV/0!</v>
      </c>
      <c r="K4962" s="412"/>
      <c r="L4962" s="412"/>
      <c r="M4962" s="682"/>
    </row>
    <row r="4963" spans="6:13" hidden="1" x14ac:dyDescent="0.2">
      <c r="F4963" s="464" t="s">
        <v>253</v>
      </c>
      <c r="G4963" s="510" t="s">
        <v>254</v>
      </c>
      <c r="H4963" s="411"/>
      <c r="I4963" s="411"/>
      <c r="J4963" s="750" t="e">
        <f t="shared" si="60"/>
        <v>#DIV/0!</v>
      </c>
      <c r="K4963" s="412"/>
      <c r="L4963" s="412"/>
      <c r="M4963" s="682"/>
    </row>
    <row r="4964" spans="6:13" ht="25.5" hidden="1" x14ac:dyDescent="0.2">
      <c r="F4964" s="464" t="s">
        <v>255</v>
      </c>
      <c r="G4964" s="510" t="s">
        <v>256</v>
      </c>
      <c r="H4964" s="411"/>
      <c r="I4964" s="411"/>
      <c r="J4964" s="750" t="e">
        <f t="shared" si="60"/>
        <v>#DIV/0!</v>
      </c>
      <c r="K4964" s="412"/>
      <c r="L4964" s="412"/>
      <c r="M4964" s="682"/>
    </row>
    <row r="4965" spans="6:13" ht="25.5" hidden="1" x14ac:dyDescent="0.2">
      <c r="F4965" s="464" t="s">
        <v>257</v>
      </c>
      <c r="G4965" s="510" t="s">
        <v>258</v>
      </c>
      <c r="H4965" s="411"/>
      <c r="I4965" s="411"/>
      <c r="J4965" s="750" t="e">
        <f t="shared" si="60"/>
        <v>#DIV/0!</v>
      </c>
      <c r="K4965" s="412"/>
      <c r="L4965" s="412"/>
      <c r="M4965" s="682"/>
    </row>
    <row r="4966" spans="6:13" ht="25.5" hidden="1" x14ac:dyDescent="0.2">
      <c r="F4966" s="464" t="s">
        <v>259</v>
      </c>
      <c r="G4966" s="510" t="s">
        <v>260</v>
      </c>
      <c r="H4966" s="411"/>
      <c r="I4966" s="411"/>
      <c r="J4966" s="750" t="e">
        <f t="shared" si="60"/>
        <v>#DIV/0!</v>
      </c>
      <c r="K4966" s="412"/>
      <c r="L4966" s="412"/>
      <c r="M4966" s="682"/>
    </row>
    <row r="4967" spans="6:13" ht="25.5" hidden="1" x14ac:dyDescent="0.2">
      <c r="F4967" s="464" t="s">
        <v>261</v>
      </c>
      <c r="G4967" s="510" t="s">
        <v>262</v>
      </c>
      <c r="H4967" s="411"/>
      <c r="I4967" s="411"/>
      <c r="J4967" s="750" t="e">
        <f t="shared" si="60"/>
        <v>#DIV/0!</v>
      </c>
      <c r="K4967" s="412"/>
      <c r="L4967" s="412"/>
      <c r="M4967" s="682"/>
    </row>
    <row r="4968" spans="6:13" hidden="1" x14ac:dyDescent="0.2">
      <c r="F4968" s="464" t="s">
        <v>263</v>
      </c>
      <c r="G4968" s="510" t="s">
        <v>264</v>
      </c>
      <c r="H4968" s="411"/>
      <c r="I4968" s="411"/>
      <c r="J4968" s="750" t="e">
        <f t="shared" si="60"/>
        <v>#DIV/0!</v>
      </c>
      <c r="K4968" s="412"/>
      <c r="L4968" s="412"/>
      <c r="M4968" s="682"/>
    </row>
    <row r="4969" spans="6:13" ht="13.5" thickBot="1" x14ac:dyDescent="0.25">
      <c r="G4969" s="565" t="s">
        <v>5121</v>
      </c>
      <c r="H4969" s="432">
        <f>SUM(H4953:H4968)</f>
        <v>400000</v>
      </c>
      <c r="I4969" s="432">
        <f>SUM(I4953)</f>
        <v>148909</v>
      </c>
      <c r="J4969" s="750">
        <f t="shared" si="60"/>
        <v>37.227249999999998</v>
      </c>
      <c r="K4969" s="430">
        <f>SUM(K4954:K4968)</f>
        <v>914100</v>
      </c>
      <c r="L4969" s="430">
        <f>SUM(L4959)</f>
        <v>368497</v>
      </c>
      <c r="M4969" s="682"/>
    </row>
    <row r="4970" spans="6:13" hidden="1" x14ac:dyDescent="0.2">
      <c r="G4970" s="510"/>
      <c r="H4970" s="411"/>
      <c r="I4970" s="411"/>
      <c r="J4970" s="750" t="e">
        <f t="shared" si="60"/>
        <v>#DIV/0!</v>
      </c>
      <c r="K4970" s="412"/>
      <c r="L4970" s="412"/>
      <c r="M4970" s="682"/>
    </row>
    <row r="4971" spans="6:13" hidden="1" x14ac:dyDescent="0.2">
      <c r="G4971" s="510"/>
      <c r="H4971" s="411"/>
      <c r="I4971" s="411"/>
      <c r="J4971" s="750" t="e">
        <f t="shared" si="60"/>
        <v>#DIV/0!</v>
      </c>
      <c r="K4971" s="412"/>
      <c r="L4971" s="412"/>
      <c r="M4971" s="682"/>
    </row>
    <row r="4972" spans="6:13" hidden="1" x14ac:dyDescent="0.2">
      <c r="G4972" s="510"/>
      <c r="H4972" s="411"/>
      <c r="I4972" s="411"/>
      <c r="J4972" s="750" t="e">
        <f t="shared" si="60"/>
        <v>#DIV/0!</v>
      </c>
      <c r="K4972" s="412"/>
      <c r="L4972" s="412"/>
      <c r="M4972" s="682"/>
    </row>
    <row r="4973" spans="6:13" hidden="1" x14ac:dyDescent="0.2">
      <c r="G4973" s="510"/>
      <c r="H4973" s="411"/>
      <c r="I4973" s="411"/>
      <c r="J4973" s="750" t="e">
        <f t="shared" si="60"/>
        <v>#DIV/0!</v>
      </c>
      <c r="K4973" s="412"/>
      <c r="L4973" s="412"/>
      <c r="M4973" s="682"/>
    </row>
    <row r="4974" spans="6:13" hidden="1" x14ac:dyDescent="0.2">
      <c r="G4974" s="510"/>
      <c r="H4974" s="411"/>
      <c r="I4974" s="411"/>
      <c r="J4974" s="750" t="e">
        <f t="shared" si="60"/>
        <v>#DIV/0!</v>
      </c>
      <c r="K4974" s="412"/>
      <c r="L4974" s="412"/>
      <c r="M4974" s="682"/>
    </row>
    <row r="4975" spans="6:13" hidden="1" x14ac:dyDescent="0.2">
      <c r="G4975" s="510"/>
      <c r="H4975" s="411"/>
      <c r="I4975" s="411"/>
      <c r="J4975" s="750" t="e">
        <f t="shared" si="60"/>
        <v>#DIV/0!</v>
      </c>
      <c r="K4975" s="412"/>
      <c r="L4975" s="412"/>
      <c r="M4975" s="682"/>
    </row>
    <row r="4976" spans="6:13" hidden="1" x14ac:dyDescent="0.2">
      <c r="G4976" s="510"/>
      <c r="H4976" s="411"/>
      <c r="I4976" s="411"/>
      <c r="J4976" s="750" t="e">
        <f t="shared" si="60"/>
        <v>#DIV/0!</v>
      </c>
      <c r="K4976" s="412"/>
      <c r="L4976" s="412"/>
      <c r="M4976" s="682"/>
    </row>
    <row r="4977" spans="1:27" hidden="1" x14ac:dyDescent="0.2">
      <c r="G4977" s="510"/>
      <c r="H4977" s="411"/>
      <c r="I4977" s="411"/>
      <c r="J4977" s="750" t="e">
        <f t="shared" si="60"/>
        <v>#DIV/0!</v>
      </c>
      <c r="K4977" s="412"/>
      <c r="L4977" s="412"/>
      <c r="M4977" s="682"/>
    </row>
    <row r="4978" spans="1:27" hidden="1" x14ac:dyDescent="0.2">
      <c r="G4978" s="510"/>
      <c r="H4978" s="411"/>
      <c r="I4978" s="411"/>
      <c r="J4978" s="750" t="e">
        <f t="shared" si="60"/>
        <v>#DIV/0!</v>
      </c>
      <c r="K4978" s="412"/>
      <c r="L4978" s="412"/>
      <c r="M4978" s="682"/>
    </row>
    <row r="4979" spans="1:27" s="530" customFormat="1" hidden="1" x14ac:dyDescent="0.2">
      <c r="A4979" s="526"/>
      <c r="B4979" s="527"/>
      <c r="C4979" s="534"/>
      <c r="D4979" s="535"/>
      <c r="E4979" s="535"/>
      <c r="F4979" s="167"/>
      <c r="G4979" s="513"/>
      <c r="H4979" s="422"/>
      <c r="I4979" s="422"/>
      <c r="J4979" s="750" t="e">
        <f t="shared" si="60"/>
        <v>#DIV/0!</v>
      </c>
      <c r="K4979" s="423"/>
      <c r="L4979" s="424"/>
      <c r="M4979" s="682"/>
      <c r="N4979" s="171"/>
      <c r="O4979" s="171"/>
      <c r="P4979" s="171"/>
      <c r="Q4979" s="171"/>
      <c r="R4979" s="171"/>
      <c r="S4979" s="171"/>
      <c r="T4979" s="171"/>
      <c r="U4979" s="171"/>
      <c r="V4979" s="171"/>
      <c r="W4979" s="171"/>
      <c r="X4979" s="171"/>
      <c r="Y4979" s="171"/>
      <c r="Z4979" s="171"/>
      <c r="AA4979" s="171"/>
    </row>
    <row r="4980" spans="1:27" s="530" customFormat="1" x14ac:dyDescent="0.2">
      <c r="A4980" s="526"/>
      <c r="B4980" s="527"/>
      <c r="C4980" s="534"/>
      <c r="D4980" s="535"/>
      <c r="E4980" s="535"/>
      <c r="F4980" s="498"/>
      <c r="G4980" s="511" t="s">
        <v>4250</v>
      </c>
      <c r="H4980" s="413"/>
      <c r="I4980" s="413"/>
      <c r="J4980" s="750"/>
      <c r="K4980" s="414"/>
      <c r="L4980" s="415"/>
      <c r="M4980" s="682"/>
      <c r="N4980" s="171"/>
      <c r="O4980" s="171"/>
      <c r="P4980" s="171"/>
      <c r="Q4980" s="171"/>
      <c r="R4980" s="171"/>
      <c r="S4980" s="171"/>
      <c r="T4980" s="171"/>
      <c r="U4980" s="171"/>
      <c r="V4980" s="171"/>
      <c r="W4980" s="171"/>
      <c r="X4980" s="171"/>
      <c r="Y4980" s="171"/>
      <c r="Z4980" s="171"/>
      <c r="AA4980" s="171"/>
    </row>
    <row r="4981" spans="1:27" s="530" customFormat="1" x14ac:dyDescent="0.2">
      <c r="A4981" s="526"/>
      <c r="B4981" s="527"/>
      <c r="C4981" s="534"/>
      <c r="D4981" s="535"/>
      <c r="E4981" s="535"/>
      <c r="F4981" s="503" t="s">
        <v>234</v>
      </c>
      <c r="G4981" s="504" t="s">
        <v>235</v>
      </c>
      <c r="H4981" s="403">
        <f>SUM(H4953,H4854,H4755,H4656,H4415,H4315)</f>
        <v>8900200</v>
      </c>
      <c r="I4981" s="403">
        <f>SUM(I4953,I4854,I4755,I4656,I4415,I4315)</f>
        <v>6432678.2699999996</v>
      </c>
      <c r="J4981" s="750">
        <f t="shared" si="60"/>
        <v>72.275659760454815</v>
      </c>
      <c r="K4981" s="404"/>
      <c r="L4981" s="404"/>
      <c r="M4981" s="682"/>
      <c r="N4981" s="171"/>
      <c r="O4981" s="171"/>
      <c r="P4981" s="171"/>
      <c r="Q4981" s="171"/>
      <c r="R4981" s="171"/>
      <c r="S4981" s="171"/>
      <c r="T4981" s="171"/>
      <c r="U4981" s="171"/>
      <c r="V4981" s="171"/>
      <c r="W4981" s="171"/>
      <c r="X4981" s="171"/>
      <c r="Y4981" s="171"/>
      <c r="Z4981" s="171"/>
      <c r="AA4981" s="171"/>
    </row>
    <row r="4982" spans="1:27" s="530" customFormat="1" hidden="1" x14ac:dyDescent="0.2">
      <c r="A4982" s="526"/>
      <c r="B4982" s="527"/>
      <c r="C4982" s="534"/>
      <c r="D4982" s="535"/>
      <c r="E4982" s="535"/>
      <c r="F4982" s="503" t="s">
        <v>236</v>
      </c>
      <c r="G4982" s="504" t="s">
        <v>237</v>
      </c>
      <c r="H4982" s="397"/>
      <c r="I4982" s="397"/>
      <c r="J4982" s="750" t="e">
        <f t="shared" si="60"/>
        <v>#DIV/0!</v>
      </c>
      <c r="K4982" s="398"/>
      <c r="L4982" s="404"/>
      <c r="M4982" s="682"/>
      <c r="N4982" s="171"/>
      <c r="O4982" s="171"/>
      <c r="P4982" s="171"/>
      <c r="Q4982" s="171"/>
      <c r="R4982" s="171"/>
      <c r="S4982" s="171"/>
      <c r="T4982" s="171"/>
      <c r="U4982" s="171"/>
      <c r="V4982" s="171"/>
      <c r="W4982" s="171"/>
      <c r="X4982" s="171"/>
      <c r="Y4982" s="171"/>
      <c r="Z4982" s="171"/>
      <c r="AA4982" s="171"/>
    </row>
    <row r="4983" spans="1:27" s="530" customFormat="1" hidden="1" x14ac:dyDescent="0.2">
      <c r="A4983" s="526"/>
      <c r="B4983" s="527"/>
      <c r="C4983" s="534"/>
      <c r="D4983" s="535"/>
      <c r="E4983" s="535"/>
      <c r="F4983" s="503" t="s">
        <v>238</v>
      </c>
      <c r="G4983" s="504" t="s">
        <v>239</v>
      </c>
      <c r="H4983" s="397"/>
      <c r="I4983" s="397"/>
      <c r="J4983" s="750" t="e">
        <f t="shared" si="60"/>
        <v>#DIV/0!</v>
      </c>
      <c r="K4983" s="398"/>
      <c r="L4983" s="404"/>
      <c r="M4983" s="682"/>
      <c r="N4983" s="171"/>
      <c r="O4983" s="171"/>
      <c r="P4983" s="171"/>
      <c r="Q4983" s="171"/>
      <c r="R4983" s="171"/>
      <c r="S4983" s="171"/>
      <c r="T4983" s="171"/>
      <c r="U4983" s="171"/>
      <c r="V4983" s="171"/>
      <c r="W4983" s="171"/>
      <c r="X4983" s="171"/>
      <c r="Y4983" s="171"/>
      <c r="Z4983" s="171"/>
      <c r="AA4983" s="171"/>
    </row>
    <row r="4984" spans="1:27" s="530" customFormat="1" hidden="1" x14ac:dyDescent="0.2">
      <c r="A4984" s="526"/>
      <c r="B4984" s="527"/>
      <c r="C4984" s="534"/>
      <c r="D4984" s="535"/>
      <c r="E4984" s="535"/>
      <c r="F4984" s="503" t="s">
        <v>240</v>
      </c>
      <c r="G4984" s="504" t="s">
        <v>241</v>
      </c>
      <c r="H4984" s="397"/>
      <c r="I4984" s="397"/>
      <c r="J4984" s="750" t="e">
        <f t="shared" si="60"/>
        <v>#DIV/0!</v>
      </c>
      <c r="K4984" s="398"/>
      <c r="L4984" s="404"/>
      <c r="M4984" s="682"/>
      <c r="N4984" s="171"/>
      <c r="O4984" s="171"/>
      <c r="P4984" s="171"/>
      <c r="Q4984" s="171"/>
      <c r="R4984" s="171"/>
      <c r="S4984" s="171"/>
      <c r="T4984" s="171"/>
      <c r="U4984" s="171"/>
      <c r="V4984" s="171"/>
      <c r="W4984" s="171"/>
      <c r="X4984" s="171"/>
      <c r="Y4984" s="171"/>
      <c r="Z4984" s="171"/>
      <c r="AA4984" s="171"/>
    </row>
    <row r="4985" spans="1:27" s="530" customFormat="1" hidden="1" x14ac:dyDescent="0.2">
      <c r="A4985" s="526"/>
      <c r="B4985" s="527"/>
      <c r="C4985" s="534"/>
      <c r="D4985" s="535"/>
      <c r="E4985" s="535"/>
      <c r="F4985" s="503" t="s">
        <v>242</v>
      </c>
      <c r="G4985" s="504" t="s">
        <v>243</v>
      </c>
      <c r="H4985" s="397"/>
      <c r="I4985" s="397"/>
      <c r="J4985" s="750" t="e">
        <f t="shared" si="60"/>
        <v>#DIV/0!</v>
      </c>
      <c r="K4985" s="398"/>
      <c r="L4985" s="404"/>
      <c r="M4985" s="682"/>
      <c r="N4985" s="171"/>
      <c r="O4985" s="171"/>
      <c r="P4985" s="171"/>
      <c r="Q4985" s="171"/>
      <c r="R4985" s="171"/>
      <c r="S4985" s="171"/>
      <c r="T4985" s="171"/>
      <c r="U4985" s="171"/>
      <c r="V4985" s="171"/>
      <c r="W4985" s="171"/>
      <c r="X4985" s="171"/>
      <c r="Y4985" s="171"/>
      <c r="Z4985" s="171"/>
      <c r="AA4985" s="171"/>
    </row>
    <row r="4986" spans="1:27" s="530" customFormat="1" hidden="1" x14ac:dyDescent="0.2">
      <c r="A4986" s="526"/>
      <c r="B4986" s="527"/>
      <c r="C4986" s="534"/>
      <c r="D4986" s="535"/>
      <c r="E4986" s="535"/>
      <c r="F4986" s="503" t="s">
        <v>244</v>
      </c>
      <c r="G4986" s="504" t="s">
        <v>245</v>
      </c>
      <c r="H4986" s="397"/>
      <c r="I4986" s="397"/>
      <c r="J4986" s="750" t="e">
        <f t="shared" si="60"/>
        <v>#DIV/0!</v>
      </c>
      <c r="K4986" s="398"/>
      <c r="L4986" s="404"/>
      <c r="M4986" s="682"/>
      <c r="N4986" s="171"/>
      <c r="O4986" s="171"/>
      <c r="P4986" s="171"/>
      <c r="Q4986" s="171"/>
      <c r="R4986" s="171"/>
      <c r="S4986" s="171"/>
      <c r="T4986" s="171"/>
      <c r="U4986" s="171"/>
      <c r="V4986" s="171"/>
      <c r="W4986" s="171"/>
      <c r="X4986" s="171"/>
      <c r="Y4986" s="171"/>
      <c r="Z4986" s="171"/>
      <c r="AA4986" s="171"/>
    </row>
    <row r="4987" spans="1:27" s="530" customFormat="1" x14ac:dyDescent="0.2">
      <c r="A4987" s="526"/>
      <c r="B4987" s="527"/>
      <c r="C4987" s="534"/>
      <c r="D4987" s="535"/>
      <c r="E4987" s="535"/>
      <c r="F4987" s="503" t="s">
        <v>246</v>
      </c>
      <c r="G4987" s="504" t="s">
        <v>247</v>
      </c>
      <c r="H4987" s="397"/>
      <c r="I4987" s="397"/>
      <c r="J4987" s="750"/>
      <c r="K4987" s="398">
        <f>SUM(K4969,K4442)</f>
        <v>1154100</v>
      </c>
      <c r="L4987" s="404">
        <f>SUM(L4442,L4969)</f>
        <v>608497</v>
      </c>
      <c r="M4987" s="682"/>
      <c r="N4987" s="171"/>
      <c r="O4987" s="171"/>
      <c r="P4987" s="171"/>
      <c r="Q4987" s="171"/>
      <c r="R4987" s="171"/>
      <c r="S4987" s="171"/>
      <c r="T4987" s="171"/>
      <c r="U4987" s="171"/>
      <c r="V4987" s="171"/>
      <c r="W4987" s="171"/>
      <c r="X4987" s="171"/>
      <c r="Y4987" s="171"/>
      <c r="Z4987" s="171"/>
      <c r="AA4987" s="171"/>
    </row>
    <row r="4988" spans="1:27" s="530" customFormat="1" ht="25.5" hidden="1" x14ac:dyDescent="0.2">
      <c r="A4988" s="526"/>
      <c r="B4988" s="527"/>
      <c r="C4988" s="534"/>
      <c r="D4988" s="535"/>
      <c r="E4988" s="535"/>
      <c r="F4988" s="503" t="s">
        <v>248</v>
      </c>
      <c r="G4988" s="504" t="s">
        <v>249</v>
      </c>
      <c r="H4988" s="397"/>
      <c r="I4988" s="397"/>
      <c r="J4988" s="750" t="e">
        <f t="shared" si="60"/>
        <v>#DIV/0!</v>
      </c>
      <c r="K4988" s="398"/>
      <c r="L4988" s="404"/>
      <c r="M4988" s="682"/>
      <c r="N4988" s="171"/>
      <c r="O4988" s="171"/>
      <c r="P4988" s="171"/>
      <c r="Q4988" s="171"/>
      <c r="R4988" s="171"/>
      <c r="S4988" s="171"/>
      <c r="T4988" s="171"/>
      <c r="U4988" s="171"/>
      <c r="V4988" s="171"/>
      <c r="W4988" s="171"/>
      <c r="X4988" s="171"/>
      <c r="Y4988" s="171"/>
      <c r="Z4988" s="171"/>
      <c r="AA4988" s="171"/>
    </row>
    <row r="4989" spans="1:27" s="530" customFormat="1" hidden="1" x14ac:dyDescent="0.2">
      <c r="A4989" s="526"/>
      <c r="B4989" s="527"/>
      <c r="C4989" s="534"/>
      <c r="D4989" s="535"/>
      <c r="E4989" s="535"/>
      <c r="F4989" s="503" t="s">
        <v>250</v>
      </c>
      <c r="G4989" s="504" t="s">
        <v>57</v>
      </c>
      <c r="H4989" s="397"/>
      <c r="I4989" s="397"/>
      <c r="J4989" s="750" t="e">
        <f t="shared" si="60"/>
        <v>#DIV/0!</v>
      </c>
      <c r="K4989" s="398"/>
      <c r="L4989" s="404"/>
      <c r="M4989" s="682"/>
      <c r="N4989" s="171"/>
      <c r="O4989" s="171"/>
      <c r="P4989" s="171"/>
      <c r="Q4989" s="171"/>
      <c r="R4989" s="171"/>
      <c r="S4989" s="171"/>
      <c r="T4989" s="171"/>
      <c r="U4989" s="171"/>
      <c r="V4989" s="171"/>
      <c r="W4989" s="171"/>
      <c r="X4989" s="171"/>
      <c r="Y4989" s="171"/>
      <c r="Z4989" s="171"/>
      <c r="AA4989" s="171"/>
    </row>
    <row r="4990" spans="1:27" s="530" customFormat="1" hidden="1" x14ac:dyDescent="0.2">
      <c r="A4990" s="526"/>
      <c r="B4990" s="527"/>
      <c r="C4990" s="534"/>
      <c r="D4990" s="535"/>
      <c r="E4990" s="535"/>
      <c r="F4990" s="503" t="s">
        <v>251</v>
      </c>
      <c r="G4990" s="504" t="s">
        <v>252</v>
      </c>
      <c r="H4990" s="397"/>
      <c r="I4990" s="397"/>
      <c r="J4990" s="750" t="e">
        <f t="shared" si="60"/>
        <v>#DIV/0!</v>
      </c>
      <c r="K4990" s="398"/>
      <c r="L4990" s="404"/>
      <c r="M4990" s="682"/>
      <c r="N4990" s="171"/>
      <c r="O4990" s="171"/>
      <c r="P4990" s="171"/>
      <c r="Q4990" s="171"/>
      <c r="R4990" s="171"/>
      <c r="S4990" s="171"/>
      <c r="T4990" s="171"/>
      <c r="U4990" s="171"/>
      <c r="V4990" s="171"/>
      <c r="W4990" s="171"/>
      <c r="X4990" s="171"/>
      <c r="Y4990" s="171"/>
      <c r="Z4990" s="171"/>
      <c r="AA4990" s="171"/>
    </row>
    <row r="4991" spans="1:27" s="530" customFormat="1" hidden="1" x14ac:dyDescent="0.2">
      <c r="A4991" s="526"/>
      <c r="B4991" s="527"/>
      <c r="C4991" s="534"/>
      <c r="D4991" s="535"/>
      <c r="E4991" s="535"/>
      <c r="F4991" s="503" t="s">
        <v>253</v>
      </c>
      <c r="G4991" s="504" t="s">
        <v>254</v>
      </c>
      <c r="H4991" s="397"/>
      <c r="I4991" s="397"/>
      <c r="J4991" s="750" t="e">
        <f t="shared" si="60"/>
        <v>#DIV/0!</v>
      </c>
      <c r="K4991" s="398"/>
      <c r="L4991" s="404"/>
      <c r="M4991" s="682"/>
      <c r="N4991" s="171"/>
      <c r="O4991" s="171"/>
      <c r="P4991" s="171"/>
      <c r="Q4991" s="171"/>
      <c r="R4991" s="171"/>
      <c r="S4991" s="171"/>
      <c r="T4991" s="171"/>
      <c r="U4991" s="171"/>
      <c r="V4991" s="171"/>
      <c r="W4991" s="171"/>
      <c r="X4991" s="171"/>
      <c r="Y4991" s="171"/>
      <c r="Z4991" s="171"/>
      <c r="AA4991" s="171"/>
    </row>
    <row r="4992" spans="1:27" s="530" customFormat="1" ht="25.5" hidden="1" x14ac:dyDescent="0.2">
      <c r="A4992" s="526"/>
      <c r="B4992" s="527"/>
      <c r="C4992" s="534"/>
      <c r="D4992" s="535"/>
      <c r="E4992" s="535"/>
      <c r="F4992" s="503" t="s">
        <v>255</v>
      </c>
      <c r="G4992" s="504" t="s">
        <v>256</v>
      </c>
      <c r="H4992" s="397"/>
      <c r="I4992" s="397"/>
      <c r="J4992" s="750" t="e">
        <f t="shared" si="60"/>
        <v>#DIV/0!</v>
      </c>
      <c r="K4992" s="398"/>
      <c r="L4992" s="404"/>
      <c r="M4992" s="682"/>
      <c r="N4992" s="171"/>
      <c r="O4992" s="171"/>
      <c r="P4992" s="171"/>
      <c r="Q4992" s="171"/>
      <c r="R4992" s="171"/>
      <c r="S4992" s="171"/>
      <c r="T4992" s="171"/>
      <c r="U4992" s="171"/>
      <c r="V4992" s="171"/>
      <c r="W4992" s="171"/>
      <c r="X4992" s="171"/>
      <c r="Y4992" s="171"/>
      <c r="Z4992" s="171"/>
      <c r="AA4992" s="171"/>
    </row>
    <row r="4993" spans="1:27" s="530" customFormat="1" ht="25.5" hidden="1" x14ac:dyDescent="0.2">
      <c r="A4993" s="526"/>
      <c r="B4993" s="527"/>
      <c r="C4993" s="534"/>
      <c r="D4993" s="535"/>
      <c r="E4993" s="535"/>
      <c r="F4993" s="503" t="s">
        <v>257</v>
      </c>
      <c r="G4993" s="504" t="s">
        <v>258</v>
      </c>
      <c r="H4993" s="397"/>
      <c r="I4993" s="397"/>
      <c r="J4993" s="750" t="e">
        <f t="shared" si="60"/>
        <v>#DIV/0!</v>
      </c>
      <c r="K4993" s="398"/>
      <c r="L4993" s="404"/>
      <c r="M4993" s="682"/>
      <c r="N4993" s="171"/>
      <c r="O4993" s="171"/>
      <c r="P4993" s="171"/>
      <c r="Q4993" s="171"/>
      <c r="R4993" s="171"/>
      <c r="S4993" s="171"/>
      <c r="T4993" s="171"/>
      <c r="U4993" s="171"/>
      <c r="V4993" s="171"/>
      <c r="W4993" s="171"/>
      <c r="X4993" s="171"/>
      <c r="Y4993" s="171"/>
      <c r="Z4993" s="171"/>
      <c r="AA4993" s="171"/>
    </row>
    <row r="4994" spans="1:27" s="530" customFormat="1" ht="25.5" hidden="1" x14ac:dyDescent="0.2">
      <c r="A4994" s="526"/>
      <c r="B4994" s="527"/>
      <c r="C4994" s="534"/>
      <c r="D4994" s="535"/>
      <c r="E4994" s="535"/>
      <c r="F4994" s="503" t="s">
        <v>259</v>
      </c>
      <c r="G4994" s="504" t="s">
        <v>260</v>
      </c>
      <c r="H4994" s="397"/>
      <c r="I4994" s="397"/>
      <c r="J4994" s="750" t="e">
        <f t="shared" si="60"/>
        <v>#DIV/0!</v>
      </c>
      <c r="K4994" s="398"/>
      <c r="L4994" s="404"/>
      <c r="M4994" s="682"/>
      <c r="N4994" s="171"/>
      <c r="O4994" s="171"/>
      <c r="P4994" s="171"/>
      <c r="Q4994" s="171"/>
      <c r="R4994" s="171"/>
      <c r="S4994" s="171"/>
      <c r="T4994" s="171"/>
      <c r="U4994" s="171"/>
      <c r="V4994" s="171"/>
      <c r="W4994" s="171"/>
      <c r="X4994" s="171"/>
      <c r="Y4994" s="171"/>
      <c r="Z4994" s="171"/>
      <c r="AA4994" s="171"/>
    </row>
    <row r="4995" spans="1:27" s="530" customFormat="1" ht="25.5" hidden="1" x14ac:dyDescent="0.2">
      <c r="A4995" s="526"/>
      <c r="B4995" s="527"/>
      <c r="C4995" s="534"/>
      <c r="D4995" s="535"/>
      <c r="E4995" s="535"/>
      <c r="F4995" s="503" t="s">
        <v>261</v>
      </c>
      <c r="G4995" s="504" t="s">
        <v>262</v>
      </c>
      <c r="H4995" s="397"/>
      <c r="I4995" s="397"/>
      <c r="J4995" s="750" t="e">
        <f t="shared" si="60"/>
        <v>#DIV/0!</v>
      </c>
      <c r="K4995" s="398"/>
      <c r="L4995" s="404"/>
      <c r="M4995" s="682"/>
      <c r="N4995" s="171"/>
      <c r="O4995" s="171"/>
      <c r="P4995" s="171"/>
      <c r="Q4995" s="171"/>
      <c r="R4995" s="171"/>
      <c r="S4995" s="171"/>
      <c r="T4995" s="171"/>
      <c r="U4995" s="171"/>
      <c r="V4995" s="171"/>
      <c r="W4995" s="171"/>
      <c r="X4995" s="171"/>
      <c r="Y4995" s="171"/>
      <c r="Z4995" s="171"/>
      <c r="AA4995" s="171"/>
    </row>
    <row r="4996" spans="1:27" s="530" customFormat="1" ht="15" customHeight="1" thickBot="1" x14ac:dyDescent="0.25">
      <c r="A4996" s="526"/>
      <c r="B4996" s="527"/>
      <c r="C4996" s="534"/>
      <c r="D4996" s="535"/>
      <c r="E4996" s="535"/>
      <c r="F4996" s="503" t="s">
        <v>257</v>
      </c>
      <c r="G4996" s="504" t="s">
        <v>258</v>
      </c>
      <c r="H4996" s="403">
        <v>200000</v>
      </c>
      <c r="I4996" s="403">
        <v>0</v>
      </c>
      <c r="J4996" s="750">
        <f t="shared" si="60"/>
        <v>0</v>
      </c>
      <c r="K4996" s="404"/>
      <c r="L4996" s="404"/>
      <c r="M4996" s="682"/>
      <c r="N4996" s="171"/>
      <c r="O4996" s="171"/>
      <c r="P4996" s="171"/>
      <c r="Q4996" s="171"/>
      <c r="R4996" s="171"/>
      <c r="S4996" s="171"/>
      <c r="T4996" s="171"/>
      <c r="U4996" s="171"/>
      <c r="V4996" s="171"/>
      <c r="W4996" s="171"/>
      <c r="X4996" s="171"/>
      <c r="Y4996" s="171"/>
      <c r="Z4996" s="171"/>
      <c r="AA4996" s="171"/>
    </row>
    <row r="4997" spans="1:27" s="530" customFormat="1" ht="13.5" thickBot="1" x14ac:dyDescent="0.25">
      <c r="A4997" s="526"/>
      <c r="B4997" s="527"/>
      <c r="C4997" s="534"/>
      <c r="D4997" s="535"/>
      <c r="E4997" s="535"/>
      <c r="F4997" s="464"/>
      <c r="G4997" s="505" t="s">
        <v>4251</v>
      </c>
      <c r="H4997" s="405">
        <f>SUM(H4981:H4996)</f>
        <v>9100200</v>
      </c>
      <c r="I4997" s="405">
        <f>SUM(I4981)</f>
        <v>6432678.2699999996</v>
      </c>
      <c r="J4997" s="750">
        <f t="shared" si="60"/>
        <v>70.687218632557531</v>
      </c>
      <c r="K4997" s="406">
        <f>SUM(K4987)</f>
        <v>1154100</v>
      </c>
      <c r="L4997" s="406">
        <f>SUM(L4987)</f>
        <v>608497</v>
      </c>
      <c r="M4997" s="682"/>
      <c r="N4997" s="171"/>
      <c r="O4997" s="171"/>
      <c r="P4997" s="171"/>
      <c r="Q4997" s="171"/>
      <c r="R4997" s="171"/>
      <c r="S4997" s="171"/>
      <c r="T4997" s="171"/>
      <c r="U4997" s="171"/>
      <c r="V4997" s="171"/>
      <c r="W4997" s="171"/>
      <c r="X4997" s="171"/>
      <c r="Y4997" s="171"/>
      <c r="Z4997" s="171"/>
      <c r="AA4997" s="171"/>
    </row>
    <row r="4998" spans="1:27" s="530" customFormat="1" ht="15.75" customHeight="1" x14ac:dyDescent="0.2">
      <c r="A4998" s="526"/>
      <c r="B4998" s="527"/>
      <c r="C4998" s="583"/>
      <c r="E4998" s="464"/>
      <c r="G4998" s="180"/>
      <c r="H4998" s="422"/>
      <c r="I4998" s="422"/>
      <c r="J4998" s="750"/>
      <c r="K4998" s="423"/>
      <c r="L4998" s="424"/>
      <c r="M4998" s="682"/>
      <c r="N4998" s="171"/>
      <c r="O4998" s="171"/>
      <c r="P4998" s="171"/>
      <c r="Q4998" s="171"/>
      <c r="R4998" s="171"/>
      <c r="S4998" s="171"/>
      <c r="T4998" s="171"/>
      <c r="U4998" s="171"/>
      <c r="V4998" s="171"/>
      <c r="W4998" s="171"/>
      <c r="X4998" s="171"/>
      <c r="Y4998" s="171"/>
      <c r="Z4998" s="171"/>
      <c r="AA4998" s="171"/>
    </row>
    <row r="4999" spans="1:27" s="530" customFormat="1" hidden="1" x14ac:dyDescent="0.2">
      <c r="A4999" s="526"/>
      <c r="B4999" s="527"/>
      <c r="C4999" s="534"/>
      <c r="D4999" s="535"/>
      <c r="E4999" s="535"/>
      <c r="F4999" s="167"/>
      <c r="G4999" s="513"/>
      <c r="H4999" s="422"/>
      <c r="I4999" s="422"/>
      <c r="J4999" s="750"/>
      <c r="K4999" s="423"/>
      <c r="L4999" s="424"/>
      <c r="M4999" s="682"/>
      <c r="N4999" s="171"/>
      <c r="O4999" s="171"/>
      <c r="P4999" s="171"/>
      <c r="Q4999" s="171"/>
      <c r="R4999" s="171"/>
      <c r="S4999" s="171"/>
      <c r="T4999" s="171"/>
      <c r="U4999" s="171"/>
      <c r="V4999" s="171"/>
      <c r="W4999" s="171"/>
      <c r="X4999" s="171"/>
      <c r="Y4999" s="171"/>
      <c r="Z4999" s="171"/>
      <c r="AA4999" s="171"/>
    </row>
    <row r="5000" spans="1:27" s="530" customFormat="1" x14ac:dyDescent="0.2">
      <c r="A5000" s="526"/>
      <c r="B5000" s="527"/>
      <c r="C5000" s="528" t="s">
        <v>3591</v>
      </c>
      <c r="D5000" s="528"/>
      <c r="E5000" s="536"/>
      <c r="F5000" s="536"/>
      <c r="G5000" s="529" t="s">
        <v>4257</v>
      </c>
      <c r="H5000" s="425"/>
      <c r="I5000" s="425"/>
      <c r="J5000" s="750"/>
      <c r="K5000" s="243"/>
      <c r="L5000" s="243"/>
      <c r="M5000" s="682"/>
      <c r="N5000" s="171"/>
      <c r="O5000" s="171"/>
      <c r="P5000" s="171"/>
      <c r="Q5000" s="171"/>
      <c r="R5000" s="171"/>
      <c r="S5000" s="171"/>
      <c r="T5000" s="171"/>
      <c r="U5000" s="171"/>
      <c r="V5000" s="171"/>
      <c r="W5000" s="171"/>
      <c r="X5000" s="171"/>
      <c r="Y5000" s="171"/>
      <c r="Z5000" s="171"/>
      <c r="AA5000" s="171"/>
    </row>
    <row r="5001" spans="1:27" ht="24" customHeight="1" x14ac:dyDescent="0.2">
      <c r="C5001" s="489" t="s">
        <v>4127</v>
      </c>
      <c r="D5001" s="490"/>
      <c r="G5001" s="491" t="s">
        <v>4122</v>
      </c>
      <c r="H5001" s="397"/>
      <c r="I5001" s="397"/>
      <c r="J5001" s="750"/>
      <c r="K5001" s="398"/>
      <c r="L5001" s="398"/>
      <c r="M5001" s="682"/>
    </row>
    <row r="5002" spans="1:27" s="530" customFormat="1" x14ac:dyDescent="0.2">
      <c r="A5002" s="526"/>
      <c r="B5002" s="527"/>
      <c r="C5002" s="528"/>
      <c r="D5002" s="569" t="s">
        <v>4002</v>
      </c>
      <c r="E5002" s="538"/>
      <c r="F5002" s="538"/>
      <c r="G5002" s="539" t="s">
        <v>202</v>
      </c>
      <c r="H5002" s="425"/>
      <c r="I5002" s="425"/>
      <c r="J5002" s="750"/>
      <c r="K5002" s="243"/>
      <c r="L5002" s="243"/>
      <c r="M5002" s="682"/>
      <c r="N5002" s="171"/>
      <c r="O5002" s="171"/>
      <c r="P5002" s="171"/>
      <c r="Q5002" s="171"/>
      <c r="R5002" s="171"/>
      <c r="S5002" s="171"/>
      <c r="T5002" s="171"/>
      <c r="U5002" s="171"/>
      <c r="V5002" s="171"/>
      <c r="W5002" s="171"/>
      <c r="X5002" s="171"/>
      <c r="Y5002" s="171"/>
      <c r="Z5002" s="171"/>
      <c r="AA5002" s="171"/>
    </row>
    <row r="5003" spans="1:27" hidden="1" x14ac:dyDescent="0.2">
      <c r="F5003" s="494">
        <v>411</v>
      </c>
      <c r="G5003" s="495" t="s">
        <v>4167</v>
      </c>
      <c r="H5003" s="397"/>
      <c r="I5003" s="397"/>
      <c r="J5003" s="750" t="e">
        <f t="shared" si="60"/>
        <v>#DIV/0!</v>
      </c>
      <c r="K5003" s="398"/>
      <c r="L5003" s="398"/>
      <c r="M5003" s="682"/>
    </row>
    <row r="5004" spans="1:27" hidden="1" x14ac:dyDescent="0.2">
      <c r="F5004" s="494">
        <v>412</v>
      </c>
      <c r="G5004" s="496" t="s">
        <v>3764</v>
      </c>
      <c r="H5004" s="397"/>
      <c r="I5004" s="397"/>
      <c r="J5004" s="750" t="e">
        <f t="shared" si="60"/>
        <v>#DIV/0!</v>
      </c>
      <c r="K5004" s="398"/>
      <c r="L5004" s="398"/>
      <c r="M5004" s="682"/>
    </row>
    <row r="5005" spans="1:27" hidden="1" x14ac:dyDescent="0.2">
      <c r="F5005" s="494">
        <v>413</v>
      </c>
      <c r="G5005" s="495" t="s">
        <v>4168</v>
      </c>
      <c r="H5005" s="397"/>
      <c r="I5005" s="397"/>
      <c r="J5005" s="750" t="e">
        <f t="shared" ref="J5005:J5068" si="61">SUM(I5005/H5005)*100</f>
        <v>#DIV/0!</v>
      </c>
      <c r="K5005" s="398"/>
      <c r="L5005" s="398"/>
      <c r="M5005" s="682"/>
    </row>
    <row r="5006" spans="1:27" hidden="1" x14ac:dyDescent="0.2">
      <c r="F5006" s="494">
        <v>414</v>
      </c>
      <c r="G5006" s="495" t="s">
        <v>3767</v>
      </c>
      <c r="H5006" s="397"/>
      <c r="I5006" s="397"/>
      <c r="J5006" s="750" t="e">
        <f t="shared" si="61"/>
        <v>#DIV/0!</v>
      </c>
      <c r="K5006" s="398"/>
      <c r="L5006" s="398"/>
      <c r="M5006" s="682"/>
    </row>
    <row r="5007" spans="1:27" hidden="1" x14ac:dyDescent="0.2">
      <c r="F5007" s="494">
        <v>415</v>
      </c>
      <c r="G5007" s="495" t="s">
        <v>4177</v>
      </c>
      <c r="H5007" s="397"/>
      <c r="I5007" s="397"/>
      <c r="J5007" s="750" t="e">
        <f t="shared" si="61"/>
        <v>#DIV/0!</v>
      </c>
      <c r="K5007" s="398"/>
      <c r="L5007" s="398"/>
      <c r="M5007" s="682"/>
    </row>
    <row r="5008" spans="1:27" ht="25.5" hidden="1" x14ac:dyDescent="0.2">
      <c r="F5008" s="494">
        <v>416</v>
      </c>
      <c r="G5008" s="495" t="s">
        <v>4178</v>
      </c>
      <c r="H5008" s="397"/>
      <c r="I5008" s="397"/>
      <c r="J5008" s="750" t="e">
        <f t="shared" si="61"/>
        <v>#DIV/0!</v>
      </c>
      <c r="K5008" s="398"/>
      <c r="L5008" s="398"/>
      <c r="M5008" s="682"/>
    </row>
    <row r="5009" spans="5:13" hidden="1" x14ac:dyDescent="0.2">
      <c r="F5009" s="494">
        <v>417</v>
      </c>
      <c r="G5009" s="495" t="s">
        <v>4179</v>
      </c>
      <c r="H5009" s="397"/>
      <c r="I5009" s="397"/>
      <c r="J5009" s="750" t="e">
        <f t="shared" si="61"/>
        <v>#DIV/0!</v>
      </c>
      <c r="K5009" s="398"/>
      <c r="L5009" s="398"/>
      <c r="M5009" s="682"/>
    </row>
    <row r="5010" spans="5:13" hidden="1" x14ac:dyDescent="0.2">
      <c r="F5010" s="494">
        <v>418</v>
      </c>
      <c r="G5010" s="495" t="s">
        <v>3773</v>
      </c>
      <c r="H5010" s="397"/>
      <c r="I5010" s="397"/>
      <c r="J5010" s="750" t="e">
        <f t="shared" si="61"/>
        <v>#DIV/0!</v>
      </c>
      <c r="K5010" s="398"/>
      <c r="L5010" s="398"/>
      <c r="M5010" s="682"/>
    </row>
    <row r="5011" spans="5:13" hidden="1" x14ac:dyDescent="0.2">
      <c r="F5011" s="494">
        <v>421</v>
      </c>
      <c r="G5011" s="495" t="s">
        <v>3777</v>
      </c>
      <c r="H5011" s="397"/>
      <c r="I5011" s="397"/>
      <c r="J5011" s="750" t="e">
        <f t="shared" si="61"/>
        <v>#DIV/0!</v>
      </c>
      <c r="K5011" s="398"/>
      <c r="L5011" s="398"/>
      <c r="M5011" s="682"/>
    </row>
    <row r="5012" spans="5:13" hidden="1" x14ac:dyDescent="0.2">
      <c r="F5012" s="494">
        <v>422</v>
      </c>
      <c r="G5012" s="495" t="s">
        <v>3778</v>
      </c>
      <c r="H5012" s="397"/>
      <c r="I5012" s="397"/>
      <c r="J5012" s="750" t="e">
        <f t="shared" si="61"/>
        <v>#DIV/0!</v>
      </c>
      <c r="K5012" s="398"/>
      <c r="L5012" s="398"/>
      <c r="M5012" s="682"/>
    </row>
    <row r="5013" spans="5:13" hidden="1" x14ac:dyDescent="0.2">
      <c r="F5013" s="494">
        <v>423</v>
      </c>
      <c r="G5013" s="495" t="s">
        <v>3779</v>
      </c>
      <c r="H5013" s="397"/>
      <c r="I5013" s="397"/>
      <c r="J5013" s="750" t="e">
        <f t="shared" si="61"/>
        <v>#DIV/0!</v>
      </c>
      <c r="K5013" s="398"/>
      <c r="L5013" s="398"/>
      <c r="M5013" s="682"/>
    </row>
    <row r="5014" spans="5:13" x14ac:dyDescent="0.2">
      <c r="E5014" s="464">
        <v>55</v>
      </c>
      <c r="F5014" s="494">
        <v>464</v>
      </c>
      <c r="G5014" s="584" t="s">
        <v>1759</v>
      </c>
      <c r="H5014" s="397">
        <v>2850000</v>
      </c>
      <c r="I5014" s="397">
        <v>2680822.4</v>
      </c>
      <c r="J5014" s="750">
        <f t="shared" si="61"/>
        <v>94.063943859649129</v>
      </c>
      <c r="K5014" s="398"/>
      <c r="L5014" s="398"/>
      <c r="M5014" s="682"/>
    </row>
    <row r="5015" spans="5:13" ht="13.5" thickBot="1" x14ac:dyDescent="0.25">
      <c r="E5015" s="464">
        <v>56</v>
      </c>
      <c r="F5015" s="494">
        <v>464</v>
      </c>
      <c r="G5015" s="585" t="s">
        <v>1770</v>
      </c>
      <c r="H5015" s="397">
        <v>800000</v>
      </c>
      <c r="I5015" s="397">
        <v>445013.62</v>
      </c>
      <c r="J5015" s="750">
        <f t="shared" si="61"/>
        <v>55.6267025</v>
      </c>
      <c r="K5015" s="398"/>
      <c r="L5015" s="398"/>
      <c r="M5015" s="682"/>
    </row>
    <row r="5016" spans="5:13" ht="13.5" hidden="1" thickBot="1" x14ac:dyDescent="0.25">
      <c r="F5016" s="494">
        <v>426</v>
      </c>
      <c r="G5016" s="495" t="s">
        <v>3785</v>
      </c>
      <c r="H5016" s="397"/>
      <c r="I5016" s="397"/>
      <c r="J5016" s="750" t="e">
        <f t="shared" si="61"/>
        <v>#DIV/0!</v>
      </c>
      <c r="K5016" s="398"/>
      <c r="L5016" s="398"/>
      <c r="M5016" s="682"/>
    </row>
    <row r="5017" spans="5:13" ht="13.5" hidden="1" thickBot="1" x14ac:dyDescent="0.25">
      <c r="F5017" s="494">
        <v>431</v>
      </c>
      <c r="G5017" s="495" t="s">
        <v>4181</v>
      </c>
      <c r="H5017" s="397"/>
      <c r="I5017" s="397"/>
      <c r="J5017" s="750" t="e">
        <f t="shared" si="61"/>
        <v>#DIV/0!</v>
      </c>
      <c r="K5017" s="398"/>
      <c r="L5017" s="398"/>
      <c r="M5017" s="682"/>
    </row>
    <row r="5018" spans="5:13" ht="13.5" hidden="1" thickBot="1" x14ac:dyDescent="0.25">
      <c r="F5018" s="494">
        <v>432</v>
      </c>
      <c r="G5018" s="495" t="s">
        <v>4182</v>
      </c>
      <c r="H5018" s="397"/>
      <c r="I5018" s="397"/>
      <c r="J5018" s="750" t="e">
        <f t="shared" si="61"/>
        <v>#DIV/0!</v>
      </c>
      <c r="K5018" s="398"/>
      <c r="L5018" s="398"/>
      <c r="M5018" s="682"/>
    </row>
    <row r="5019" spans="5:13" ht="13.5" hidden="1" thickBot="1" x14ac:dyDescent="0.25">
      <c r="F5019" s="494">
        <v>433</v>
      </c>
      <c r="G5019" s="495" t="s">
        <v>4183</v>
      </c>
      <c r="H5019" s="397"/>
      <c r="I5019" s="397"/>
      <c r="J5019" s="750" t="e">
        <f t="shared" si="61"/>
        <v>#DIV/0!</v>
      </c>
      <c r="K5019" s="398"/>
      <c r="L5019" s="398"/>
      <c r="M5019" s="682"/>
    </row>
    <row r="5020" spans="5:13" ht="13.5" hidden="1" thickBot="1" x14ac:dyDescent="0.25">
      <c r="F5020" s="494">
        <v>434</v>
      </c>
      <c r="G5020" s="495" t="s">
        <v>4184</v>
      </c>
      <c r="H5020" s="397"/>
      <c r="I5020" s="397"/>
      <c r="J5020" s="750" t="e">
        <f t="shared" si="61"/>
        <v>#DIV/0!</v>
      </c>
      <c r="K5020" s="398"/>
      <c r="L5020" s="398"/>
      <c r="M5020" s="682"/>
    </row>
    <row r="5021" spans="5:13" ht="13.5" hidden="1" thickBot="1" x14ac:dyDescent="0.25">
      <c r="F5021" s="494">
        <v>435</v>
      </c>
      <c r="G5021" s="495" t="s">
        <v>3792</v>
      </c>
      <c r="H5021" s="397"/>
      <c r="I5021" s="397"/>
      <c r="J5021" s="750" t="e">
        <f t="shared" si="61"/>
        <v>#DIV/0!</v>
      </c>
      <c r="K5021" s="398"/>
      <c r="L5021" s="398"/>
      <c r="M5021" s="682"/>
    </row>
    <row r="5022" spans="5:13" ht="13.5" hidden="1" thickBot="1" x14ac:dyDescent="0.25">
      <c r="F5022" s="494">
        <v>441</v>
      </c>
      <c r="G5022" s="495" t="s">
        <v>4185</v>
      </c>
      <c r="H5022" s="397"/>
      <c r="I5022" s="397"/>
      <c r="J5022" s="750" t="e">
        <f t="shared" si="61"/>
        <v>#DIV/0!</v>
      </c>
      <c r="K5022" s="398"/>
      <c r="L5022" s="398"/>
      <c r="M5022" s="682"/>
    </row>
    <row r="5023" spans="5:13" ht="13.5" hidden="1" thickBot="1" x14ac:dyDescent="0.25">
      <c r="F5023" s="494">
        <v>442</v>
      </c>
      <c r="G5023" s="495" t="s">
        <v>4186</v>
      </c>
      <c r="H5023" s="397"/>
      <c r="I5023" s="397"/>
      <c r="J5023" s="750" t="e">
        <f t="shared" si="61"/>
        <v>#DIV/0!</v>
      </c>
      <c r="K5023" s="398"/>
      <c r="L5023" s="398"/>
      <c r="M5023" s="682"/>
    </row>
    <row r="5024" spans="5:13" ht="13.5" hidden="1" thickBot="1" x14ac:dyDescent="0.25">
      <c r="F5024" s="494">
        <v>443</v>
      </c>
      <c r="G5024" s="495" t="s">
        <v>3797</v>
      </c>
      <c r="H5024" s="397"/>
      <c r="I5024" s="397"/>
      <c r="J5024" s="750" t="e">
        <f t="shared" si="61"/>
        <v>#DIV/0!</v>
      </c>
      <c r="K5024" s="398"/>
      <c r="L5024" s="398"/>
      <c r="M5024" s="682"/>
    </row>
    <row r="5025" spans="6:13" ht="13.5" hidden="1" thickBot="1" x14ac:dyDescent="0.25">
      <c r="F5025" s="494">
        <v>444</v>
      </c>
      <c r="G5025" s="495" t="s">
        <v>3798</v>
      </c>
      <c r="H5025" s="397"/>
      <c r="I5025" s="397"/>
      <c r="J5025" s="750" t="e">
        <f t="shared" si="61"/>
        <v>#DIV/0!</v>
      </c>
      <c r="K5025" s="398"/>
      <c r="L5025" s="398"/>
      <c r="M5025" s="682"/>
    </row>
    <row r="5026" spans="6:13" ht="26.25" hidden="1" thickBot="1" x14ac:dyDescent="0.25">
      <c r="F5026" s="494">
        <v>4511</v>
      </c>
      <c r="G5026" s="466" t="s">
        <v>1692</v>
      </c>
      <c r="H5026" s="397"/>
      <c r="I5026" s="397"/>
      <c r="J5026" s="750" t="e">
        <f t="shared" si="61"/>
        <v>#DIV/0!</v>
      </c>
      <c r="K5026" s="398"/>
      <c r="L5026" s="398"/>
      <c r="M5026" s="682"/>
    </row>
    <row r="5027" spans="6:13" ht="26.25" hidden="1" thickBot="1" x14ac:dyDescent="0.25">
      <c r="F5027" s="494">
        <v>4512</v>
      </c>
      <c r="G5027" s="466" t="s">
        <v>1701</v>
      </c>
      <c r="H5027" s="397"/>
      <c r="I5027" s="397"/>
      <c r="J5027" s="750" t="e">
        <f t="shared" si="61"/>
        <v>#DIV/0!</v>
      </c>
      <c r="K5027" s="398"/>
      <c r="L5027" s="398"/>
      <c r="M5027" s="682"/>
    </row>
    <row r="5028" spans="6:13" ht="26.25" hidden="1" thickBot="1" x14ac:dyDescent="0.25">
      <c r="F5028" s="494">
        <v>452</v>
      </c>
      <c r="G5028" s="495" t="s">
        <v>4187</v>
      </c>
      <c r="H5028" s="397"/>
      <c r="I5028" s="397"/>
      <c r="J5028" s="750" t="e">
        <f t="shared" si="61"/>
        <v>#DIV/0!</v>
      </c>
      <c r="K5028" s="398"/>
      <c r="L5028" s="398"/>
      <c r="M5028" s="682"/>
    </row>
    <row r="5029" spans="6:13" ht="26.25" hidden="1" thickBot="1" x14ac:dyDescent="0.25">
      <c r="F5029" s="494">
        <v>453</v>
      </c>
      <c r="G5029" s="495" t="s">
        <v>4188</v>
      </c>
      <c r="H5029" s="397"/>
      <c r="I5029" s="397"/>
      <c r="J5029" s="750" t="e">
        <f t="shared" si="61"/>
        <v>#DIV/0!</v>
      </c>
      <c r="K5029" s="398"/>
      <c r="L5029" s="398"/>
      <c r="M5029" s="682"/>
    </row>
    <row r="5030" spans="6:13" ht="13.5" hidden="1" thickBot="1" x14ac:dyDescent="0.25">
      <c r="F5030" s="494">
        <v>454</v>
      </c>
      <c r="G5030" s="495" t="s">
        <v>3803</v>
      </c>
      <c r="H5030" s="397"/>
      <c r="I5030" s="397"/>
      <c r="J5030" s="750" t="e">
        <f t="shared" si="61"/>
        <v>#DIV/0!</v>
      </c>
      <c r="K5030" s="398"/>
      <c r="L5030" s="398"/>
      <c r="M5030" s="682"/>
    </row>
    <row r="5031" spans="6:13" ht="13.5" hidden="1" thickBot="1" x14ac:dyDescent="0.25">
      <c r="F5031" s="494">
        <v>461</v>
      </c>
      <c r="G5031" s="495" t="s">
        <v>4169</v>
      </c>
      <c r="H5031" s="397"/>
      <c r="I5031" s="397"/>
      <c r="J5031" s="750" t="e">
        <f t="shared" si="61"/>
        <v>#DIV/0!</v>
      </c>
      <c r="K5031" s="398"/>
      <c r="L5031" s="398"/>
      <c r="M5031" s="682"/>
    </row>
    <row r="5032" spans="6:13" ht="26.25" hidden="1" thickBot="1" x14ac:dyDescent="0.25">
      <c r="F5032" s="494">
        <v>462</v>
      </c>
      <c r="G5032" s="495" t="s">
        <v>3806</v>
      </c>
      <c r="H5032" s="397"/>
      <c r="I5032" s="397"/>
      <c r="J5032" s="750" t="e">
        <f t="shared" si="61"/>
        <v>#DIV/0!</v>
      </c>
      <c r="K5032" s="398"/>
      <c r="L5032" s="398"/>
      <c r="M5032" s="682"/>
    </row>
    <row r="5033" spans="6:13" ht="13.5" hidden="1" thickBot="1" x14ac:dyDescent="0.25">
      <c r="F5033" s="494">
        <v>4631</v>
      </c>
      <c r="G5033" s="495" t="s">
        <v>3807</v>
      </c>
      <c r="H5033" s="397"/>
      <c r="I5033" s="397"/>
      <c r="J5033" s="750" t="e">
        <f t="shared" si="61"/>
        <v>#DIV/0!</v>
      </c>
      <c r="K5033" s="398"/>
      <c r="L5033" s="398"/>
      <c r="M5033" s="682"/>
    </row>
    <row r="5034" spans="6:13" ht="13.5" hidden="1" thickBot="1" x14ac:dyDescent="0.25">
      <c r="F5034" s="494">
        <v>4632</v>
      </c>
      <c r="G5034" s="495" t="s">
        <v>3808</v>
      </c>
      <c r="H5034" s="397"/>
      <c r="I5034" s="397"/>
      <c r="J5034" s="750" t="e">
        <f t="shared" si="61"/>
        <v>#DIV/0!</v>
      </c>
      <c r="K5034" s="398"/>
      <c r="L5034" s="398"/>
      <c r="M5034" s="682"/>
    </row>
    <row r="5035" spans="6:13" ht="26.25" hidden="1" thickBot="1" x14ac:dyDescent="0.25">
      <c r="F5035" s="494">
        <v>464</v>
      </c>
      <c r="G5035" s="495" t="s">
        <v>3809</v>
      </c>
      <c r="H5035" s="397"/>
      <c r="I5035" s="397"/>
      <c r="J5035" s="750" t="e">
        <f t="shared" si="61"/>
        <v>#DIV/0!</v>
      </c>
      <c r="K5035" s="398"/>
      <c r="L5035" s="398"/>
      <c r="M5035" s="682"/>
    </row>
    <row r="5036" spans="6:13" ht="13.5" hidden="1" thickBot="1" x14ac:dyDescent="0.25">
      <c r="F5036" s="494">
        <v>465</v>
      </c>
      <c r="G5036" s="495" t="s">
        <v>4170</v>
      </c>
      <c r="H5036" s="397"/>
      <c r="I5036" s="397"/>
      <c r="J5036" s="750" t="e">
        <f t="shared" si="61"/>
        <v>#DIV/0!</v>
      </c>
      <c r="K5036" s="398"/>
      <c r="L5036" s="398"/>
      <c r="M5036" s="682"/>
    </row>
    <row r="5037" spans="6:13" ht="13.5" hidden="1" thickBot="1" x14ac:dyDescent="0.25">
      <c r="F5037" s="494">
        <v>472</v>
      </c>
      <c r="G5037" s="495" t="s">
        <v>3813</v>
      </c>
      <c r="H5037" s="397"/>
      <c r="I5037" s="397"/>
      <c r="J5037" s="750" t="e">
        <f t="shared" si="61"/>
        <v>#DIV/0!</v>
      </c>
      <c r="K5037" s="398"/>
      <c r="L5037" s="398"/>
      <c r="M5037" s="682"/>
    </row>
    <row r="5038" spans="6:13" ht="13.5" hidden="1" thickBot="1" x14ac:dyDescent="0.25">
      <c r="F5038" s="494">
        <v>481</v>
      </c>
      <c r="G5038" s="495" t="s">
        <v>4189</v>
      </c>
      <c r="H5038" s="397"/>
      <c r="I5038" s="397"/>
      <c r="J5038" s="750" t="e">
        <f t="shared" si="61"/>
        <v>#DIV/0!</v>
      </c>
      <c r="K5038" s="398"/>
      <c r="L5038" s="398"/>
      <c r="M5038" s="682"/>
    </row>
    <row r="5039" spans="6:13" ht="13.5" hidden="1" thickBot="1" x14ac:dyDescent="0.25">
      <c r="F5039" s="494">
        <v>482</v>
      </c>
      <c r="G5039" s="495" t="s">
        <v>4190</v>
      </c>
      <c r="H5039" s="397"/>
      <c r="I5039" s="397"/>
      <c r="J5039" s="750" t="e">
        <f t="shared" si="61"/>
        <v>#DIV/0!</v>
      </c>
      <c r="K5039" s="398"/>
      <c r="L5039" s="398"/>
      <c r="M5039" s="682"/>
    </row>
    <row r="5040" spans="6:13" ht="13.5" hidden="1" thickBot="1" x14ac:dyDescent="0.25">
      <c r="F5040" s="494">
        <v>483</v>
      </c>
      <c r="G5040" s="497" t="s">
        <v>4191</v>
      </c>
      <c r="H5040" s="397"/>
      <c r="I5040" s="397"/>
      <c r="J5040" s="750" t="e">
        <f t="shared" si="61"/>
        <v>#DIV/0!</v>
      </c>
      <c r="K5040" s="398"/>
      <c r="L5040" s="398"/>
      <c r="M5040" s="682"/>
    </row>
    <row r="5041" spans="6:13" ht="39" hidden="1" thickBot="1" x14ac:dyDescent="0.25">
      <c r="F5041" s="494">
        <v>484</v>
      </c>
      <c r="G5041" s="495" t="s">
        <v>4192</v>
      </c>
      <c r="H5041" s="397"/>
      <c r="I5041" s="397"/>
      <c r="J5041" s="750" t="e">
        <f t="shared" si="61"/>
        <v>#DIV/0!</v>
      </c>
      <c r="K5041" s="398"/>
      <c r="L5041" s="398"/>
      <c r="M5041" s="682"/>
    </row>
    <row r="5042" spans="6:13" ht="26.25" hidden="1" thickBot="1" x14ac:dyDescent="0.25">
      <c r="F5042" s="494">
        <v>485</v>
      </c>
      <c r="G5042" s="495" t="s">
        <v>4193</v>
      </c>
      <c r="H5042" s="397"/>
      <c r="I5042" s="397"/>
      <c r="J5042" s="750" t="e">
        <f t="shared" si="61"/>
        <v>#DIV/0!</v>
      </c>
      <c r="K5042" s="398"/>
      <c r="L5042" s="398"/>
      <c r="M5042" s="682"/>
    </row>
    <row r="5043" spans="6:13" ht="26.25" hidden="1" thickBot="1" x14ac:dyDescent="0.25">
      <c r="F5043" s="494">
        <v>489</v>
      </c>
      <c r="G5043" s="495" t="s">
        <v>3821</v>
      </c>
      <c r="H5043" s="397"/>
      <c r="I5043" s="397"/>
      <c r="J5043" s="750" t="e">
        <f t="shared" si="61"/>
        <v>#DIV/0!</v>
      </c>
      <c r="K5043" s="398"/>
      <c r="L5043" s="398"/>
      <c r="M5043" s="682"/>
    </row>
    <row r="5044" spans="6:13" ht="26.25" hidden="1" thickBot="1" x14ac:dyDescent="0.25">
      <c r="F5044" s="494">
        <v>494</v>
      </c>
      <c r="G5044" s="495" t="s">
        <v>4171</v>
      </c>
      <c r="H5044" s="397"/>
      <c r="I5044" s="397"/>
      <c r="J5044" s="750" t="e">
        <f t="shared" si="61"/>
        <v>#DIV/0!</v>
      </c>
      <c r="K5044" s="398"/>
      <c r="L5044" s="398"/>
      <c r="M5044" s="682"/>
    </row>
    <row r="5045" spans="6:13" ht="26.25" hidden="1" thickBot="1" x14ac:dyDescent="0.25">
      <c r="F5045" s="494">
        <v>495</v>
      </c>
      <c r="G5045" s="495" t="s">
        <v>4172</v>
      </c>
      <c r="H5045" s="397"/>
      <c r="I5045" s="397"/>
      <c r="J5045" s="750" t="e">
        <f t="shared" si="61"/>
        <v>#DIV/0!</v>
      </c>
      <c r="K5045" s="398"/>
      <c r="L5045" s="398"/>
      <c r="M5045" s="682"/>
    </row>
    <row r="5046" spans="6:13" ht="39" hidden="1" thickBot="1" x14ac:dyDescent="0.25">
      <c r="F5046" s="494">
        <v>496</v>
      </c>
      <c r="G5046" s="495" t="s">
        <v>4173</v>
      </c>
      <c r="H5046" s="397"/>
      <c r="I5046" s="397"/>
      <c r="J5046" s="750" t="e">
        <f t="shared" si="61"/>
        <v>#DIV/0!</v>
      </c>
      <c r="K5046" s="398"/>
      <c r="L5046" s="398"/>
      <c r="M5046" s="682"/>
    </row>
    <row r="5047" spans="6:13" ht="26.25" hidden="1" thickBot="1" x14ac:dyDescent="0.25">
      <c r="F5047" s="494">
        <v>499</v>
      </c>
      <c r="G5047" s="495" t="s">
        <v>4174</v>
      </c>
      <c r="H5047" s="397"/>
      <c r="I5047" s="397"/>
      <c r="J5047" s="750" t="e">
        <f t="shared" si="61"/>
        <v>#DIV/0!</v>
      </c>
      <c r="K5047" s="398"/>
      <c r="L5047" s="398"/>
      <c r="M5047" s="682"/>
    </row>
    <row r="5048" spans="6:13" ht="13.5" hidden="1" thickBot="1" x14ac:dyDescent="0.25">
      <c r="F5048" s="494">
        <v>511</v>
      </c>
      <c r="G5048" s="497" t="s">
        <v>4194</v>
      </c>
      <c r="H5048" s="397"/>
      <c r="I5048" s="397"/>
      <c r="J5048" s="750" t="e">
        <f t="shared" si="61"/>
        <v>#DIV/0!</v>
      </c>
      <c r="K5048" s="398"/>
      <c r="L5048" s="398"/>
      <c r="M5048" s="682"/>
    </row>
    <row r="5049" spans="6:13" ht="13.5" hidden="1" thickBot="1" x14ac:dyDescent="0.25">
      <c r="F5049" s="494">
        <v>512</v>
      </c>
      <c r="G5049" s="497" t="s">
        <v>4195</v>
      </c>
      <c r="H5049" s="397"/>
      <c r="I5049" s="397"/>
      <c r="J5049" s="750" t="e">
        <f t="shared" si="61"/>
        <v>#DIV/0!</v>
      </c>
      <c r="K5049" s="398"/>
      <c r="L5049" s="398"/>
      <c r="M5049" s="682"/>
    </row>
    <row r="5050" spans="6:13" ht="13.5" hidden="1" thickBot="1" x14ac:dyDescent="0.25">
      <c r="F5050" s="494">
        <v>513</v>
      </c>
      <c r="G5050" s="497" t="s">
        <v>4196</v>
      </c>
      <c r="H5050" s="397"/>
      <c r="I5050" s="397"/>
      <c r="J5050" s="750" t="e">
        <f t="shared" si="61"/>
        <v>#DIV/0!</v>
      </c>
      <c r="K5050" s="398"/>
      <c r="L5050" s="398"/>
      <c r="M5050" s="682"/>
    </row>
    <row r="5051" spans="6:13" ht="13.5" hidden="1" thickBot="1" x14ac:dyDescent="0.25">
      <c r="F5051" s="494">
        <v>514</v>
      </c>
      <c r="G5051" s="495" t="s">
        <v>4197</v>
      </c>
      <c r="H5051" s="397"/>
      <c r="I5051" s="397"/>
      <c r="J5051" s="750" t="e">
        <f t="shared" si="61"/>
        <v>#DIV/0!</v>
      </c>
      <c r="K5051" s="398"/>
      <c r="L5051" s="398"/>
      <c r="M5051" s="682"/>
    </row>
    <row r="5052" spans="6:13" ht="13.5" hidden="1" thickBot="1" x14ac:dyDescent="0.25">
      <c r="F5052" s="494">
        <v>515</v>
      </c>
      <c r="G5052" s="495" t="s">
        <v>3832</v>
      </c>
      <c r="H5052" s="397"/>
      <c r="I5052" s="397"/>
      <c r="J5052" s="750" t="e">
        <f t="shared" si="61"/>
        <v>#DIV/0!</v>
      </c>
      <c r="K5052" s="398"/>
      <c r="L5052" s="398"/>
      <c r="M5052" s="682"/>
    </row>
    <row r="5053" spans="6:13" ht="13.5" hidden="1" thickBot="1" x14ac:dyDescent="0.25">
      <c r="F5053" s="494">
        <v>521</v>
      </c>
      <c r="G5053" s="495" t="s">
        <v>4198</v>
      </c>
      <c r="H5053" s="397"/>
      <c r="I5053" s="397"/>
      <c r="J5053" s="750" t="e">
        <f t="shared" si="61"/>
        <v>#DIV/0!</v>
      </c>
      <c r="K5053" s="398"/>
      <c r="L5053" s="398"/>
      <c r="M5053" s="682"/>
    </row>
    <row r="5054" spans="6:13" ht="13.5" hidden="1" thickBot="1" x14ac:dyDescent="0.25">
      <c r="F5054" s="494">
        <v>522</v>
      </c>
      <c r="G5054" s="495" t="s">
        <v>4199</v>
      </c>
      <c r="H5054" s="397"/>
      <c r="I5054" s="397"/>
      <c r="J5054" s="750" t="e">
        <f t="shared" si="61"/>
        <v>#DIV/0!</v>
      </c>
      <c r="K5054" s="398"/>
      <c r="L5054" s="398"/>
      <c r="M5054" s="682"/>
    </row>
    <row r="5055" spans="6:13" ht="13.5" hidden="1" thickBot="1" x14ac:dyDescent="0.25">
      <c r="F5055" s="494">
        <v>523</v>
      </c>
      <c r="G5055" s="495" t="s">
        <v>3837</v>
      </c>
      <c r="H5055" s="397"/>
      <c r="I5055" s="397"/>
      <c r="J5055" s="750" t="e">
        <f t="shared" si="61"/>
        <v>#DIV/0!</v>
      </c>
      <c r="K5055" s="398"/>
      <c r="L5055" s="398"/>
      <c r="M5055" s="682"/>
    </row>
    <row r="5056" spans="6:13" ht="13.5" hidden="1" thickBot="1" x14ac:dyDescent="0.25">
      <c r="F5056" s="494">
        <v>531</v>
      </c>
      <c r="G5056" s="496" t="s">
        <v>4175</v>
      </c>
      <c r="H5056" s="397"/>
      <c r="I5056" s="397"/>
      <c r="J5056" s="750" t="e">
        <f t="shared" si="61"/>
        <v>#DIV/0!</v>
      </c>
      <c r="K5056" s="398"/>
      <c r="L5056" s="398"/>
      <c r="M5056" s="682"/>
    </row>
    <row r="5057" spans="5:13" ht="13.5" hidden="1" thickBot="1" x14ac:dyDescent="0.25">
      <c r="F5057" s="494">
        <v>541</v>
      </c>
      <c r="G5057" s="495" t="s">
        <v>4200</v>
      </c>
      <c r="H5057" s="397"/>
      <c r="I5057" s="397"/>
      <c r="J5057" s="750" t="e">
        <f t="shared" si="61"/>
        <v>#DIV/0!</v>
      </c>
      <c r="K5057" s="398"/>
      <c r="L5057" s="398"/>
      <c r="M5057" s="682"/>
    </row>
    <row r="5058" spans="5:13" ht="13.5" hidden="1" thickBot="1" x14ac:dyDescent="0.25">
      <c r="F5058" s="494">
        <v>542</v>
      </c>
      <c r="G5058" s="495" t="s">
        <v>4201</v>
      </c>
      <c r="H5058" s="397"/>
      <c r="I5058" s="397"/>
      <c r="J5058" s="750" t="e">
        <f t="shared" si="61"/>
        <v>#DIV/0!</v>
      </c>
      <c r="K5058" s="398"/>
      <c r="L5058" s="398"/>
      <c r="M5058" s="682"/>
    </row>
    <row r="5059" spans="5:13" ht="13.5" hidden="1" thickBot="1" x14ac:dyDescent="0.25">
      <c r="F5059" s="494">
        <v>543</v>
      </c>
      <c r="G5059" s="495" t="s">
        <v>3842</v>
      </c>
      <c r="H5059" s="397"/>
      <c r="I5059" s="397"/>
      <c r="J5059" s="750" t="e">
        <f t="shared" si="61"/>
        <v>#DIV/0!</v>
      </c>
      <c r="K5059" s="398"/>
      <c r="L5059" s="398"/>
      <c r="M5059" s="682"/>
    </row>
    <row r="5060" spans="5:13" ht="39" hidden="1" thickBot="1" x14ac:dyDescent="0.25">
      <c r="F5060" s="494">
        <v>551</v>
      </c>
      <c r="G5060" s="495" t="s">
        <v>4176</v>
      </c>
      <c r="H5060" s="397"/>
      <c r="I5060" s="397"/>
      <c r="J5060" s="750" t="e">
        <f t="shared" si="61"/>
        <v>#DIV/0!</v>
      </c>
      <c r="K5060" s="398"/>
      <c r="L5060" s="398"/>
      <c r="M5060" s="682"/>
    </row>
    <row r="5061" spans="5:13" ht="13.5" hidden="1" thickBot="1" x14ac:dyDescent="0.25">
      <c r="F5061" s="498">
        <v>611</v>
      </c>
      <c r="G5061" s="499" t="s">
        <v>3848</v>
      </c>
      <c r="H5061" s="397"/>
      <c r="I5061" s="397"/>
      <c r="J5061" s="750" t="e">
        <f t="shared" si="61"/>
        <v>#DIV/0!</v>
      </c>
      <c r="K5061" s="398"/>
      <c r="L5061" s="398"/>
      <c r="M5061" s="682"/>
    </row>
    <row r="5062" spans="5:13" ht="13.5" hidden="1" thickBot="1" x14ac:dyDescent="0.25">
      <c r="F5062" s="498">
        <v>620</v>
      </c>
      <c r="G5062" s="499" t="s">
        <v>88</v>
      </c>
      <c r="H5062" s="397"/>
      <c r="I5062" s="397"/>
      <c r="J5062" s="750" t="e">
        <f t="shared" si="61"/>
        <v>#DIV/0!</v>
      </c>
      <c r="K5062" s="398"/>
      <c r="L5062" s="398"/>
      <c r="M5062" s="682"/>
    </row>
    <row r="5063" spans="5:13" x14ac:dyDescent="0.2">
      <c r="E5063" s="500"/>
      <c r="F5063" s="498"/>
      <c r="G5063" s="509" t="s">
        <v>4368</v>
      </c>
      <c r="H5063" s="400"/>
      <c r="I5063" s="400"/>
      <c r="J5063" s="750"/>
      <c r="K5063" s="401"/>
      <c r="L5063" s="402"/>
      <c r="M5063" s="682"/>
    </row>
    <row r="5064" spans="5:13" ht="13.5" thickBot="1" x14ac:dyDescent="0.25">
      <c r="E5064" s="502"/>
      <c r="F5064" s="503" t="s">
        <v>234</v>
      </c>
      <c r="G5064" s="504" t="s">
        <v>235</v>
      </c>
      <c r="H5064" s="403">
        <f>SUM(H5003:H5062)</f>
        <v>3650000</v>
      </c>
      <c r="I5064" s="403">
        <f>SUM(I5014:I5015)</f>
        <v>3125836.02</v>
      </c>
      <c r="J5064" s="750">
        <f t="shared" si="61"/>
        <v>85.639343013698635</v>
      </c>
      <c r="K5064" s="404"/>
      <c r="L5064" s="404"/>
      <c r="M5064" s="682"/>
    </row>
    <row r="5065" spans="5:13" ht="13.5" hidden="1" thickBot="1" x14ac:dyDescent="0.25">
      <c r="F5065" s="503" t="s">
        <v>236</v>
      </c>
      <c r="G5065" s="504" t="s">
        <v>237</v>
      </c>
      <c r="H5065" s="397"/>
      <c r="I5065" s="397"/>
      <c r="J5065" s="750" t="e">
        <f t="shared" si="61"/>
        <v>#DIV/0!</v>
      </c>
      <c r="K5065" s="398"/>
      <c r="L5065" s="404"/>
      <c r="M5065" s="682"/>
    </row>
    <row r="5066" spans="5:13" ht="13.5" hidden="1" thickBot="1" x14ac:dyDescent="0.25">
      <c r="F5066" s="503" t="s">
        <v>238</v>
      </c>
      <c r="G5066" s="504" t="s">
        <v>239</v>
      </c>
      <c r="H5066" s="397"/>
      <c r="I5066" s="397"/>
      <c r="J5066" s="750" t="e">
        <f t="shared" si="61"/>
        <v>#DIV/0!</v>
      </c>
      <c r="K5066" s="398"/>
      <c r="L5066" s="404"/>
      <c r="M5066" s="682"/>
    </row>
    <row r="5067" spans="5:13" ht="13.5" hidden="1" thickBot="1" x14ac:dyDescent="0.25">
      <c r="F5067" s="503" t="s">
        <v>240</v>
      </c>
      <c r="G5067" s="504" t="s">
        <v>241</v>
      </c>
      <c r="H5067" s="397"/>
      <c r="I5067" s="397"/>
      <c r="J5067" s="750" t="e">
        <f t="shared" si="61"/>
        <v>#DIV/0!</v>
      </c>
      <c r="K5067" s="398"/>
      <c r="L5067" s="404"/>
      <c r="M5067" s="682"/>
    </row>
    <row r="5068" spans="5:13" ht="13.5" hidden="1" thickBot="1" x14ac:dyDescent="0.25">
      <c r="F5068" s="503" t="s">
        <v>242</v>
      </c>
      <c r="G5068" s="504" t="s">
        <v>243</v>
      </c>
      <c r="H5068" s="397"/>
      <c r="I5068" s="397"/>
      <c r="J5068" s="750" t="e">
        <f t="shared" si="61"/>
        <v>#DIV/0!</v>
      </c>
      <c r="K5068" s="398"/>
      <c r="L5068" s="404"/>
      <c r="M5068" s="682"/>
    </row>
    <row r="5069" spans="5:13" ht="13.5" hidden="1" thickBot="1" x14ac:dyDescent="0.25">
      <c r="F5069" s="503" t="s">
        <v>244</v>
      </c>
      <c r="G5069" s="504" t="s">
        <v>245</v>
      </c>
      <c r="H5069" s="397"/>
      <c r="I5069" s="397"/>
      <c r="J5069" s="750" t="e">
        <f t="shared" ref="J5069:J5132" si="62">SUM(I5069/H5069)*100</f>
        <v>#DIV/0!</v>
      </c>
      <c r="K5069" s="398"/>
      <c r="L5069" s="404"/>
      <c r="M5069" s="682"/>
    </row>
    <row r="5070" spans="5:13" ht="13.5" hidden="1" thickBot="1" x14ac:dyDescent="0.25">
      <c r="F5070" s="503" t="s">
        <v>246</v>
      </c>
      <c r="G5070" s="504" t="s">
        <v>247</v>
      </c>
      <c r="H5070" s="397"/>
      <c r="I5070" s="397"/>
      <c r="J5070" s="750" t="e">
        <f t="shared" si="62"/>
        <v>#DIV/0!</v>
      </c>
      <c r="K5070" s="398"/>
      <c r="L5070" s="404"/>
      <c r="M5070" s="682"/>
    </row>
    <row r="5071" spans="5:13" ht="26.25" hidden="1" thickBot="1" x14ac:dyDescent="0.25">
      <c r="F5071" s="503" t="s">
        <v>248</v>
      </c>
      <c r="G5071" s="504" t="s">
        <v>249</v>
      </c>
      <c r="H5071" s="397"/>
      <c r="I5071" s="397"/>
      <c r="J5071" s="750" t="e">
        <f t="shared" si="62"/>
        <v>#DIV/0!</v>
      </c>
      <c r="K5071" s="398"/>
      <c r="L5071" s="404"/>
      <c r="M5071" s="682"/>
    </row>
    <row r="5072" spans="5:13" ht="13.5" hidden="1" thickBot="1" x14ac:dyDescent="0.25">
      <c r="F5072" s="503" t="s">
        <v>250</v>
      </c>
      <c r="G5072" s="504" t="s">
        <v>57</v>
      </c>
      <c r="H5072" s="397"/>
      <c r="I5072" s="397"/>
      <c r="J5072" s="750" t="e">
        <f t="shared" si="62"/>
        <v>#DIV/0!</v>
      </c>
      <c r="K5072" s="398"/>
      <c r="L5072" s="404"/>
      <c r="M5072" s="682"/>
    </row>
    <row r="5073" spans="5:13" ht="13.5" hidden="1" thickBot="1" x14ac:dyDescent="0.25">
      <c r="F5073" s="503" t="s">
        <v>251</v>
      </c>
      <c r="G5073" s="504" t="s">
        <v>252</v>
      </c>
      <c r="H5073" s="397"/>
      <c r="I5073" s="397"/>
      <c r="J5073" s="750" t="e">
        <f t="shared" si="62"/>
        <v>#DIV/0!</v>
      </c>
      <c r="K5073" s="398"/>
      <c r="L5073" s="404"/>
      <c r="M5073" s="682"/>
    </row>
    <row r="5074" spans="5:13" ht="13.5" hidden="1" thickBot="1" x14ac:dyDescent="0.25">
      <c r="F5074" s="503" t="s">
        <v>253</v>
      </c>
      <c r="G5074" s="504" t="s">
        <v>254</v>
      </c>
      <c r="H5074" s="397"/>
      <c r="I5074" s="397"/>
      <c r="J5074" s="750" t="e">
        <f t="shared" si="62"/>
        <v>#DIV/0!</v>
      </c>
      <c r="K5074" s="398"/>
      <c r="L5074" s="404"/>
      <c r="M5074" s="682"/>
    </row>
    <row r="5075" spans="5:13" ht="26.25" hidden="1" thickBot="1" x14ac:dyDescent="0.25">
      <c r="F5075" s="503" t="s">
        <v>255</v>
      </c>
      <c r="G5075" s="504" t="s">
        <v>256</v>
      </c>
      <c r="H5075" s="397"/>
      <c r="I5075" s="397"/>
      <c r="J5075" s="750" t="e">
        <f t="shared" si="62"/>
        <v>#DIV/0!</v>
      </c>
      <c r="K5075" s="398"/>
      <c r="L5075" s="404"/>
      <c r="M5075" s="682"/>
    </row>
    <row r="5076" spans="5:13" ht="26.25" hidden="1" thickBot="1" x14ac:dyDescent="0.25">
      <c r="F5076" s="503" t="s">
        <v>257</v>
      </c>
      <c r="G5076" s="504" t="s">
        <v>258</v>
      </c>
      <c r="H5076" s="397"/>
      <c r="I5076" s="397"/>
      <c r="J5076" s="750" t="e">
        <f t="shared" si="62"/>
        <v>#DIV/0!</v>
      </c>
      <c r="K5076" s="398"/>
      <c r="L5076" s="404"/>
      <c r="M5076" s="682"/>
    </row>
    <row r="5077" spans="5:13" ht="26.25" hidden="1" thickBot="1" x14ac:dyDescent="0.25">
      <c r="F5077" s="503" t="s">
        <v>259</v>
      </c>
      <c r="G5077" s="504" t="s">
        <v>260</v>
      </c>
      <c r="H5077" s="397"/>
      <c r="I5077" s="397"/>
      <c r="J5077" s="750" t="e">
        <f t="shared" si="62"/>
        <v>#DIV/0!</v>
      </c>
      <c r="K5077" s="398"/>
      <c r="L5077" s="404"/>
      <c r="M5077" s="682"/>
    </row>
    <row r="5078" spans="5:13" ht="26.25" hidden="1" thickBot="1" x14ac:dyDescent="0.25">
      <c r="F5078" s="503" t="s">
        <v>261</v>
      </c>
      <c r="G5078" s="504" t="s">
        <v>262</v>
      </c>
      <c r="H5078" s="397"/>
      <c r="I5078" s="397"/>
      <c r="J5078" s="750" t="e">
        <f t="shared" si="62"/>
        <v>#DIV/0!</v>
      </c>
      <c r="K5078" s="398"/>
      <c r="L5078" s="404"/>
      <c r="M5078" s="682"/>
    </row>
    <row r="5079" spans="5:13" ht="13.5" hidden="1" thickBot="1" x14ac:dyDescent="0.25">
      <c r="F5079" s="503" t="s">
        <v>263</v>
      </c>
      <c r="G5079" s="504" t="s">
        <v>264</v>
      </c>
      <c r="H5079" s="403"/>
      <c r="I5079" s="403"/>
      <c r="J5079" s="750" t="e">
        <f t="shared" si="62"/>
        <v>#DIV/0!</v>
      </c>
      <c r="K5079" s="404"/>
      <c r="L5079" s="404"/>
      <c r="M5079" s="682"/>
    </row>
    <row r="5080" spans="5:13" ht="13.5" thickBot="1" x14ac:dyDescent="0.25">
      <c r="G5080" s="505" t="s">
        <v>4369</v>
      </c>
      <c r="H5080" s="405">
        <f>SUM(H5064:H5079)</f>
        <v>3650000</v>
      </c>
      <c r="I5080" s="405">
        <f>SUM(I5064)</f>
        <v>3125836.02</v>
      </c>
      <c r="J5080" s="750">
        <f t="shared" si="62"/>
        <v>85.639343013698635</v>
      </c>
      <c r="K5080" s="406">
        <f>SUM(K5065:K5079)</f>
        <v>0</v>
      </c>
      <c r="L5080" s="406"/>
      <c r="M5080" s="682"/>
    </row>
    <row r="5081" spans="5:13" ht="19.5" customHeight="1" collapsed="1" x14ac:dyDescent="0.2">
      <c r="E5081" s="500"/>
      <c r="F5081" s="498"/>
      <c r="G5081" s="506" t="s">
        <v>4258</v>
      </c>
      <c r="H5081" s="407"/>
      <c r="I5081" s="408"/>
      <c r="J5081" s="750"/>
      <c r="K5081" s="409"/>
      <c r="L5081" s="410"/>
      <c r="M5081" s="682"/>
    </row>
    <row r="5082" spans="5:13" ht="13.5" thickBot="1" x14ac:dyDescent="0.25">
      <c r="E5082" s="502"/>
      <c r="F5082" s="503" t="s">
        <v>234</v>
      </c>
      <c r="G5082" s="504" t="s">
        <v>235</v>
      </c>
      <c r="H5082" s="403">
        <f>SUM(H5003:H5062)</f>
        <v>3650000</v>
      </c>
      <c r="I5082" s="403">
        <f>SUM(I5064)</f>
        <v>3125836.02</v>
      </c>
      <c r="J5082" s="750">
        <f t="shared" si="62"/>
        <v>85.639343013698635</v>
      </c>
      <c r="K5082" s="404"/>
      <c r="L5082" s="404"/>
      <c r="M5082" s="682"/>
    </row>
    <row r="5083" spans="5:13" ht="13.5" hidden="1" thickBot="1" x14ac:dyDescent="0.25">
      <c r="F5083" s="503" t="s">
        <v>236</v>
      </c>
      <c r="G5083" s="504" t="s">
        <v>237</v>
      </c>
      <c r="H5083" s="397"/>
      <c r="I5083" s="397"/>
      <c r="J5083" s="750" t="e">
        <f t="shared" si="62"/>
        <v>#DIV/0!</v>
      </c>
      <c r="K5083" s="398"/>
      <c r="L5083" s="404"/>
      <c r="M5083" s="682"/>
    </row>
    <row r="5084" spans="5:13" ht="13.5" hidden="1" thickBot="1" x14ac:dyDescent="0.25">
      <c r="F5084" s="503" t="s">
        <v>238</v>
      </c>
      <c r="G5084" s="504" t="s">
        <v>239</v>
      </c>
      <c r="H5084" s="397"/>
      <c r="I5084" s="397"/>
      <c r="J5084" s="750" t="e">
        <f t="shared" si="62"/>
        <v>#DIV/0!</v>
      </c>
      <c r="K5084" s="398"/>
      <c r="L5084" s="404"/>
      <c r="M5084" s="682"/>
    </row>
    <row r="5085" spans="5:13" ht="13.5" hidden="1" thickBot="1" x14ac:dyDescent="0.25">
      <c r="F5085" s="503" t="s">
        <v>240</v>
      </c>
      <c r="G5085" s="504" t="s">
        <v>241</v>
      </c>
      <c r="H5085" s="397"/>
      <c r="I5085" s="397"/>
      <c r="J5085" s="750" t="e">
        <f t="shared" si="62"/>
        <v>#DIV/0!</v>
      </c>
      <c r="K5085" s="398"/>
      <c r="L5085" s="404"/>
      <c r="M5085" s="682"/>
    </row>
    <row r="5086" spans="5:13" ht="13.5" hidden="1" thickBot="1" x14ac:dyDescent="0.25">
      <c r="F5086" s="503" t="s">
        <v>242</v>
      </c>
      <c r="G5086" s="504" t="s">
        <v>243</v>
      </c>
      <c r="H5086" s="397"/>
      <c r="I5086" s="397"/>
      <c r="J5086" s="750" t="e">
        <f t="shared" si="62"/>
        <v>#DIV/0!</v>
      </c>
      <c r="K5086" s="398"/>
      <c r="L5086" s="404"/>
      <c r="M5086" s="682"/>
    </row>
    <row r="5087" spans="5:13" ht="13.5" hidden="1" thickBot="1" x14ac:dyDescent="0.25">
      <c r="F5087" s="503" t="s">
        <v>244</v>
      </c>
      <c r="G5087" s="504" t="s">
        <v>245</v>
      </c>
      <c r="H5087" s="397"/>
      <c r="I5087" s="397"/>
      <c r="J5087" s="750" t="e">
        <f t="shared" si="62"/>
        <v>#DIV/0!</v>
      </c>
      <c r="K5087" s="398"/>
      <c r="L5087" s="404"/>
      <c r="M5087" s="682"/>
    </row>
    <row r="5088" spans="5:13" ht="13.5" hidden="1" thickBot="1" x14ac:dyDescent="0.25">
      <c r="F5088" s="503" t="s">
        <v>246</v>
      </c>
      <c r="G5088" s="504" t="s">
        <v>247</v>
      </c>
      <c r="H5088" s="397"/>
      <c r="I5088" s="397"/>
      <c r="J5088" s="750" t="e">
        <f t="shared" si="62"/>
        <v>#DIV/0!</v>
      </c>
      <c r="K5088" s="398"/>
      <c r="L5088" s="404"/>
      <c r="M5088" s="682"/>
    </row>
    <row r="5089" spans="1:27" ht="26.25" hidden="1" thickBot="1" x14ac:dyDescent="0.25">
      <c r="F5089" s="503" t="s">
        <v>248</v>
      </c>
      <c r="G5089" s="504" t="s">
        <v>249</v>
      </c>
      <c r="H5089" s="397"/>
      <c r="I5089" s="397"/>
      <c r="J5089" s="750" t="e">
        <f t="shared" si="62"/>
        <v>#DIV/0!</v>
      </c>
      <c r="K5089" s="398"/>
      <c r="L5089" s="404"/>
      <c r="M5089" s="682"/>
    </row>
    <row r="5090" spans="1:27" ht="13.5" hidden="1" thickBot="1" x14ac:dyDescent="0.25">
      <c r="F5090" s="503" t="s">
        <v>250</v>
      </c>
      <c r="G5090" s="504" t="s">
        <v>57</v>
      </c>
      <c r="H5090" s="397"/>
      <c r="I5090" s="397"/>
      <c r="J5090" s="750" t="e">
        <f t="shared" si="62"/>
        <v>#DIV/0!</v>
      </c>
      <c r="K5090" s="398"/>
      <c r="L5090" s="404"/>
      <c r="M5090" s="682"/>
    </row>
    <row r="5091" spans="1:27" ht="13.5" hidden="1" thickBot="1" x14ac:dyDescent="0.25">
      <c r="F5091" s="503" t="s">
        <v>251</v>
      </c>
      <c r="G5091" s="504" t="s">
        <v>252</v>
      </c>
      <c r="H5091" s="397"/>
      <c r="I5091" s="397"/>
      <c r="J5091" s="750" t="e">
        <f t="shared" si="62"/>
        <v>#DIV/0!</v>
      </c>
      <c r="K5091" s="398"/>
      <c r="L5091" s="404"/>
      <c r="M5091" s="682"/>
    </row>
    <row r="5092" spans="1:27" ht="13.5" hidden="1" thickBot="1" x14ac:dyDescent="0.25">
      <c r="F5092" s="503" t="s">
        <v>253</v>
      </c>
      <c r="G5092" s="504" t="s">
        <v>254</v>
      </c>
      <c r="H5092" s="397"/>
      <c r="I5092" s="397"/>
      <c r="J5092" s="750" t="e">
        <f t="shared" si="62"/>
        <v>#DIV/0!</v>
      </c>
      <c r="K5092" s="398"/>
      <c r="L5092" s="404"/>
      <c r="M5092" s="682"/>
    </row>
    <row r="5093" spans="1:27" ht="26.25" hidden="1" thickBot="1" x14ac:dyDescent="0.25">
      <c r="F5093" s="503" t="s">
        <v>255</v>
      </c>
      <c r="G5093" s="504" t="s">
        <v>256</v>
      </c>
      <c r="H5093" s="397"/>
      <c r="I5093" s="397"/>
      <c r="J5093" s="750" t="e">
        <f t="shared" si="62"/>
        <v>#DIV/0!</v>
      </c>
      <c r="K5093" s="398"/>
      <c r="L5093" s="404"/>
      <c r="M5093" s="682"/>
    </row>
    <row r="5094" spans="1:27" ht="26.25" hidden="1" thickBot="1" x14ac:dyDescent="0.25">
      <c r="F5094" s="503" t="s">
        <v>257</v>
      </c>
      <c r="G5094" s="504" t="s">
        <v>258</v>
      </c>
      <c r="H5094" s="397"/>
      <c r="I5094" s="397"/>
      <c r="J5094" s="750" t="e">
        <f t="shared" si="62"/>
        <v>#DIV/0!</v>
      </c>
      <c r="K5094" s="398"/>
      <c r="L5094" s="404"/>
      <c r="M5094" s="682"/>
    </row>
    <row r="5095" spans="1:27" ht="26.25" hidden="1" thickBot="1" x14ac:dyDescent="0.25">
      <c r="F5095" s="503" t="s">
        <v>259</v>
      </c>
      <c r="G5095" s="504" t="s">
        <v>260</v>
      </c>
      <c r="H5095" s="397"/>
      <c r="I5095" s="397"/>
      <c r="J5095" s="750" t="e">
        <f t="shared" si="62"/>
        <v>#DIV/0!</v>
      </c>
      <c r="K5095" s="398"/>
      <c r="L5095" s="404"/>
      <c r="M5095" s="682"/>
    </row>
    <row r="5096" spans="1:27" ht="26.25" hidden="1" thickBot="1" x14ac:dyDescent="0.25">
      <c r="F5096" s="503" t="s">
        <v>261</v>
      </c>
      <c r="G5096" s="504" t="s">
        <v>262</v>
      </c>
      <c r="H5096" s="397"/>
      <c r="I5096" s="397"/>
      <c r="J5096" s="750" t="e">
        <f t="shared" si="62"/>
        <v>#DIV/0!</v>
      </c>
      <c r="K5096" s="398"/>
      <c r="L5096" s="404"/>
      <c r="M5096" s="682"/>
    </row>
    <row r="5097" spans="1:27" ht="13.5" hidden="1" thickBot="1" x14ac:dyDescent="0.25">
      <c r="F5097" s="503" t="s">
        <v>263</v>
      </c>
      <c r="G5097" s="504" t="s">
        <v>264</v>
      </c>
      <c r="H5097" s="403"/>
      <c r="I5097" s="403"/>
      <c r="J5097" s="750" t="e">
        <f t="shared" si="62"/>
        <v>#DIV/0!</v>
      </c>
      <c r="K5097" s="404"/>
      <c r="L5097" s="404"/>
      <c r="M5097" s="682"/>
    </row>
    <row r="5098" spans="1:27" ht="13.5" collapsed="1" thickBot="1" x14ac:dyDescent="0.25">
      <c r="G5098" s="505" t="s">
        <v>4259</v>
      </c>
      <c r="H5098" s="405">
        <f>SUM(H5082:H5097)</f>
        <v>3650000</v>
      </c>
      <c r="I5098" s="405">
        <f>SUM(I5082)</f>
        <v>3125836.02</v>
      </c>
      <c r="J5098" s="750">
        <f t="shared" si="62"/>
        <v>85.639343013698635</v>
      </c>
      <c r="K5098" s="406">
        <f>SUM(K5083:K5097)</f>
        <v>0</v>
      </c>
      <c r="L5098" s="406"/>
      <c r="M5098" s="682"/>
    </row>
    <row r="5099" spans="1:27" s="530" customFormat="1" hidden="1" x14ac:dyDescent="0.2">
      <c r="A5099" s="526"/>
      <c r="B5099" s="527"/>
      <c r="C5099" s="534"/>
      <c r="D5099" s="535"/>
      <c r="E5099" s="535"/>
      <c r="F5099" s="167"/>
      <c r="G5099" s="513"/>
      <c r="H5099" s="422"/>
      <c r="I5099" s="422"/>
      <c r="J5099" s="750" t="e">
        <f t="shared" si="62"/>
        <v>#DIV/0!</v>
      </c>
      <c r="K5099" s="423"/>
      <c r="L5099" s="424"/>
      <c r="M5099" s="682"/>
      <c r="N5099" s="171"/>
      <c r="O5099" s="171"/>
      <c r="P5099" s="171"/>
      <c r="Q5099" s="171"/>
      <c r="R5099" s="171"/>
      <c r="S5099" s="171"/>
      <c r="T5099" s="171"/>
      <c r="U5099" s="171"/>
      <c r="V5099" s="171"/>
      <c r="W5099" s="171"/>
      <c r="X5099" s="171"/>
      <c r="Y5099" s="171"/>
      <c r="Z5099" s="171"/>
      <c r="AA5099" s="171"/>
    </row>
    <row r="5100" spans="1:27" hidden="1" x14ac:dyDescent="0.2">
      <c r="C5100" s="489" t="s">
        <v>4800</v>
      </c>
      <c r="D5100" s="490"/>
      <c r="G5100" s="491" t="s">
        <v>5075</v>
      </c>
      <c r="H5100" s="397"/>
      <c r="I5100" s="397"/>
      <c r="J5100" s="750" t="e">
        <f t="shared" si="62"/>
        <v>#DIV/0!</v>
      </c>
      <c r="K5100" s="398"/>
      <c r="L5100" s="398"/>
      <c r="M5100" s="682"/>
    </row>
    <row r="5101" spans="1:27" hidden="1" x14ac:dyDescent="0.2">
      <c r="C5101" s="489"/>
      <c r="D5101" s="492">
        <v>733</v>
      </c>
      <c r="E5101" s="492"/>
      <c r="F5101" s="492"/>
      <c r="G5101" s="586" t="s">
        <v>200</v>
      </c>
      <c r="H5101" s="397"/>
      <c r="I5101" s="397"/>
      <c r="J5101" s="750" t="e">
        <f t="shared" si="62"/>
        <v>#DIV/0!</v>
      </c>
      <c r="K5101" s="398"/>
      <c r="L5101" s="398"/>
      <c r="M5101" s="682"/>
    </row>
    <row r="5102" spans="1:27" hidden="1" x14ac:dyDescent="0.2">
      <c r="F5102" s="494">
        <v>411</v>
      </c>
      <c r="G5102" s="495" t="s">
        <v>4167</v>
      </c>
      <c r="H5102" s="397"/>
      <c r="I5102" s="397"/>
      <c r="J5102" s="750" t="e">
        <f t="shared" si="62"/>
        <v>#DIV/0!</v>
      </c>
      <c r="K5102" s="398"/>
      <c r="L5102" s="398"/>
      <c r="M5102" s="682"/>
    </row>
    <row r="5103" spans="1:27" hidden="1" x14ac:dyDescent="0.2">
      <c r="F5103" s="494">
        <v>412</v>
      </c>
      <c r="G5103" s="496" t="s">
        <v>3764</v>
      </c>
      <c r="H5103" s="397"/>
      <c r="I5103" s="397"/>
      <c r="J5103" s="750" t="e">
        <f t="shared" si="62"/>
        <v>#DIV/0!</v>
      </c>
      <c r="K5103" s="398"/>
      <c r="L5103" s="398"/>
      <c r="M5103" s="682"/>
    </row>
    <row r="5104" spans="1:27" hidden="1" x14ac:dyDescent="0.2">
      <c r="F5104" s="494">
        <v>413</v>
      </c>
      <c r="G5104" s="495" t="s">
        <v>4168</v>
      </c>
      <c r="H5104" s="397"/>
      <c r="I5104" s="397"/>
      <c r="J5104" s="750" t="e">
        <f t="shared" si="62"/>
        <v>#DIV/0!</v>
      </c>
      <c r="K5104" s="398"/>
      <c r="L5104" s="398"/>
      <c r="M5104" s="682"/>
    </row>
    <row r="5105" spans="6:13" hidden="1" x14ac:dyDescent="0.2">
      <c r="F5105" s="494">
        <v>414</v>
      </c>
      <c r="G5105" s="495" t="s">
        <v>3767</v>
      </c>
      <c r="H5105" s="397"/>
      <c r="I5105" s="397"/>
      <c r="J5105" s="750" t="e">
        <f t="shared" si="62"/>
        <v>#DIV/0!</v>
      </c>
      <c r="K5105" s="398"/>
      <c r="L5105" s="398"/>
      <c r="M5105" s="682"/>
    </row>
    <row r="5106" spans="6:13" hidden="1" x14ac:dyDescent="0.2">
      <c r="F5106" s="494">
        <v>415</v>
      </c>
      <c r="G5106" s="495" t="s">
        <v>4177</v>
      </c>
      <c r="H5106" s="397"/>
      <c r="I5106" s="397"/>
      <c r="J5106" s="750" t="e">
        <f t="shared" si="62"/>
        <v>#DIV/0!</v>
      </c>
      <c r="K5106" s="398"/>
      <c r="L5106" s="398"/>
      <c r="M5106" s="682"/>
    </row>
    <row r="5107" spans="6:13" ht="25.5" hidden="1" x14ac:dyDescent="0.2">
      <c r="F5107" s="494">
        <v>416</v>
      </c>
      <c r="G5107" s="495" t="s">
        <v>4178</v>
      </c>
      <c r="H5107" s="397"/>
      <c r="I5107" s="397"/>
      <c r="J5107" s="750" t="e">
        <f t="shared" si="62"/>
        <v>#DIV/0!</v>
      </c>
      <c r="K5107" s="398"/>
      <c r="L5107" s="398"/>
      <c r="M5107" s="682"/>
    </row>
    <row r="5108" spans="6:13" hidden="1" x14ac:dyDescent="0.2">
      <c r="F5108" s="494">
        <v>417</v>
      </c>
      <c r="G5108" s="495" t="s">
        <v>4179</v>
      </c>
      <c r="H5108" s="397"/>
      <c r="I5108" s="397"/>
      <c r="J5108" s="750" t="e">
        <f t="shared" si="62"/>
        <v>#DIV/0!</v>
      </c>
      <c r="K5108" s="398"/>
      <c r="L5108" s="398"/>
      <c r="M5108" s="682"/>
    </row>
    <row r="5109" spans="6:13" hidden="1" x14ac:dyDescent="0.2">
      <c r="F5109" s="494">
        <v>418</v>
      </c>
      <c r="G5109" s="495" t="s">
        <v>3773</v>
      </c>
      <c r="H5109" s="397"/>
      <c r="I5109" s="397"/>
      <c r="J5109" s="750" t="e">
        <f t="shared" si="62"/>
        <v>#DIV/0!</v>
      </c>
      <c r="K5109" s="398"/>
      <c r="L5109" s="398"/>
      <c r="M5109" s="682"/>
    </row>
    <row r="5110" spans="6:13" hidden="1" x14ac:dyDescent="0.2">
      <c r="F5110" s="494">
        <v>421</v>
      </c>
      <c r="G5110" s="495" t="s">
        <v>3777</v>
      </c>
      <c r="H5110" s="397"/>
      <c r="I5110" s="397"/>
      <c r="J5110" s="750" t="e">
        <f t="shared" si="62"/>
        <v>#DIV/0!</v>
      </c>
      <c r="K5110" s="398"/>
      <c r="L5110" s="398"/>
      <c r="M5110" s="682"/>
    </row>
    <row r="5111" spans="6:13" hidden="1" x14ac:dyDescent="0.2">
      <c r="F5111" s="494">
        <v>422</v>
      </c>
      <c r="G5111" s="495" t="s">
        <v>3778</v>
      </c>
      <c r="H5111" s="397"/>
      <c r="I5111" s="397"/>
      <c r="J5111" s="750" t="e">
        <f t="shared" si="62"/>
        <v>#DIV/0!</v>
      </c>
      <c r="K5111" s="398"/>
      <c r="L5111" s="398"/>
      <c r="M5111" s="682"/>
    </row>
    <row r="5112" spans="6:13" hidden="1" x14ac:dyDescent="0.2">
      <c r="F5112" s="494">
        <v>423</v>
      </c>
      <c r="G5112" s="495" t="s">
        <v>3779</v>
      </c>
      <c r="H5112" s="397"/>
      <c r="I5112" s="397"/>
      <c r="J5112" s="750" t="e">
        <f t="shared" si="62"/>
        <v>#DIV/0!</v>
      </c>
      <c r="K5112" s="398"/>
      <c r="L5112" s="398"/>
      <c r="M5112" s="682"/>
    </row>
    <row r="5113" spans="6:13" hidden="1" x14ac:dyDescent="0.2">
      <c r="F5113" s="494">
        <v>424</v>
      </c>
      <c r="G5113" s="495" t="s">
        <v>3781</v>
      </c>
      <c r="H5113" s="397"/>
      <c r="I5113" s="397"/>
      <c r="J5113" s="750" t="e">
        <f t="shared" si="62"/>
        <v>#DIV/0!</v>
      </c>
      <c r="K5113" s="398"/>
      <c r="L5113" s="398"/>
      <c r="M5113" s="682"/>
    </row>
    <row r="5114" spans="6:13" hidden="1" x14ac:dyDescent="0.2">
      <c r="F5114" s="494">
        <v>425</v>
      </c>
      <c r="G5114" s="495" t="s">
        <v>4180</v>
      </c>
      <c r="H5114" s="397"/>
      <c r="I5114" s="397"/>
      <c r="J5114" s="750" t="e">
        <f t="shared" si="62"/>
        <v>#DIV/0!</v>
      </c>
      <c r="K5114" s="398"/>
      <c r="L5114" s="398"/>
      <c r="M5114" s="682"/>
    </row>
    <row r="5115" spans="6:13" hidden="1" x14ac:dyDescent="0.2">
      <c r="F5115" s="494">
        <v>426</v>
      </c>
      <c r="G5115" s="495" t="s">
        <v>3785</v>
      </c>
      <c r="H5115" s="397"/>
      <c r="I5115" s="397"/>
      <c r="J5115" s="750" t="e">
        <f t="shared" si="62"/>
        <v>#DIV/0!</v>
      </c>
      <c r="K5115" s="398"/>
      <c r="L5115" s="398"/>
      <c r="M5115" s="682"/>
    </row>
    <row r="5116" spans="6:13" hidden="1" x14ac:dyDescent="0.2">
      <c r="F5116" s="494">
        <v>431</v>
      </c>
      <c r="G5116" s="495" t="s">
        <v>4181</v>
      </c>
      <c r="H5116" s="397"/>
      <c r="I5116" s="397"/>
      <c r="J5116" s="750" t="e">
        <f t="shared" si="62"/>
        <v>#DIV/0!</v>
      </c>
      <c r="K5116" s="398"/>
      <c r="L5116" s="398"/>
      <c r="M5116" s="682"/>
    </row>
    <row r="5117" spans="6:13" hidden="1" x14ac:dyDescent="0.2">
      <c r="F5117" s="494">
        <v>432</v>
      </c>
      <c r="G5117" s="495" t="s">
        <v>4182</v>
      </c>
      <c r="H5117" s="397"/>
      <c r="I5117" s="397"/>
      <c r="J5117" s="750" t="e">
        <f t="shared" si="62"/>
        <v>#DIV/0!</v>
      </c>
      <c r="K5117" s="398"/>
      <c r="L5117" s="398"/>
      <c r="M5117" s="682"/>
    </row>
    <row r="5118" spans="6:13" hidden="1" x14ac:dyDescent="0.2">
      <c r="F5118" s="494">
        <v>433</v>
      </c>
      <c r="G5118" s="495" t="s">
        <v>4183</v>
      </c>
      <c r="H5118" s="397"/>
      <c r="I5118" s="397"/>
      <c r="J5118" s="750" t="e">
        <f t="shared" si="62"/>
        <v>#DIV/0!</v>
      </c>
      <c r="K5118" s="398"/>
      <c r="L5118" s="398"/>
      <c r="M5118" s="682"/>
    </row>
    <row r="5119" spans="6:13" hidden="1" x14ac:dyDescent="0.2">
      <c r="F5119" s="494">
        <v>434</v>
      </c>
      <c r="G5119" s="495" t="s">
        <v>4184</v>
      </c>
      <c r="H5119" s="397"/>
      <c r="I5119" s="397"/>
      <c r="J5119" s="750" t="e">
        <f t="shared" si="62"/>
        <v>#DIV/0!</v>
      </c>
      <c r="K5119" s="398"/>
      <c r="L5119" s="398"/>
      <c r="M5119" s="682"/>
    </row>
    <row r="5120" spans="6:13" hidden="1" x14ac:dyDescent="0.2">
      <c r="F5120" s="494">
        <v>435</v>
      </c>
      <c r="G5120" s="495" t="s">
        <v>3792</v>
      </c>
      <c r="H5120" s="397"/>
      <c r="I5120" s="397"/>
      <c r="J5120" s="750" t="e">
        <f t="shared" si="62"/>
        <v>#DIV/0!</v>
      </c>
      <c r="K5120" s="398"/>
      <c r="L5120" s="398"/>
      <c r="M5120" s="682"/>
    </row>
    <row r="5121" spans="6:13" hidden="1" x14ac:dyDescent="0.2">
      <c r="F5121" s="494">
        <v>441</v>
      </c>
      <c r="G5121" s="495" t="s">
        <v>4185</v>
      </c>
      <c r="H5121" s="397"/>
      <c r="I5121" s="397"/>
      <c r="J5121" s="750" t="e">
        <f t="shared" si="62"/>
        <v>#DIV/0!</v>
      </c>
      <c r="K5121" s="398"/>
      <c r="L5121" s="398"/>
      <c r="M5121" s="682"/>
    </row>
    <row r="5122" spans="6:13" hidden="1" x14ac:dyDescent="0.2">
      <c r="F5122" s="494">
        <v>442</v>
      </c>
      <c r="G5122" s="495" t="s">
        <v>4186</v>
      </c>
      <c r="H5122" s="397"/>
      <c r="I5122" s="397"/>
      <c r="J5122" s="750" t="e">
        <f t="shared" si="62"/>
        <v>#DIV/0!</v>
      </c>
      <c r="K5122" s="398"/>
      <c r="L5122" s="398"/>
      <c r="M5122" s="682"/>
    </row>
    <row r="5123" spans="6:13" hidden="1" x14ac:dyDescent="0.2">
      <c r="F5123" s="494">
        <v>443</v>
      </c>
      <c r="G5123" s="495" t="s">
        <v>3797</v>
      </c>
      <c r="H5123" s="397"/>
      <c r="I5123" s="397"/>
      <c r="J5123" s="750" t="e">
        <f t="shared" si="62"/>
        <v>#DIV/0!</v>
      </c>
      <c r="K5123" s="398"/>
      <c r="L5123" s="398"/>
      <c r="M5123" s="682"/>
    </row>
    <row r="5124" spans="6:13" hidden="1" x14ac:dyDescent="0.2">
      <c r="F5124" s="494">
        <v>444</v>
      </c>
      <c r="G5124" s="495" t="s">
        <v>3798</v>
      </c>
      <c r="H5124" s="397"/>
      <c r="I5124" s="397"/>
      <c r="J5124" s="750" t="e">
        <f t="shared" si="62"/>
        <v>#DIV/0!</v>
      </c>
      <c r="K5124" s="398"/>
      <c r="L5124" s="398"/>
      <c r="M5124" s="682"/>
    </row>
    <row r="5125" spans="6:13" ht="25.5" hidden="1" x14ac:dyDescent="0.2">
      <c r="F5125" s="494">
        <v>4511</v>
      </c>
      <c r="G5125" s="466" t="s">
        <v>1692</v>
      </c>
      <c r="H5125" s="397"/>
      <c r="I5125" s="397"/>
      <c r="J5125" s="750" t="e">
        <f t="shared" si="62"/>
        <v>#DIV/0!</v>
      </c>
      <c r="K5125" s="398"/>
      <c r="L5125" s="398"/>
      <c r="M5125" s="682"/>
    </row>
    <row r="5126" spans="6:13" ht="25.5" hidden="1" x14ac:dyDescent="0.2">
      <c r="F5126" s="494">
        <v>4512</v>
      </c>
      <c r="G5126" s="466" t="s">
        <v>1701</v>
      </c>
      <c r="H5126" s="397"/>
      <c r="I5126" s="397"/>
      <c r="J5126" s="750" t="e">
        <f t="shared" si="62"/>
        <v>#DIV/0!</v>
      </c>
      <c r="K5126" s="398"/>
      <c r="L5126" s="398"/>
      <c r="M5126" s="682"/>
    </row>
    <row r="5127" spans="6:13" ht="25.5" hidden="1" x14ac:dyDescent="0.2">
      <c r="F5127" s="494">
        <v>452</v>
      </c>
      <c r="G5127" s="495" t="s">
        <v>4187</v>
      </c>
      <c r="H5127" s="397"/>
      <c r="I5127" s="397"/>
      <c r="J5127" s="750" t="e">
        <f t="shared" si="62"/>
        <v>#DIV/0!</v>
      </c>
      <c r="K5127" s="398"/>
      <c r="L5127" s="398"/>
      <c r="M5127" s="682"/>
    </row>
    <row r="5128" spans="6:13" ht="25.5" hidden="1" x14ac:dyDescent="0.2">
      <c r="F5128" s="494">
        <v>453</v>
      </c>
      <c r="G5128" s="495" t="s">
        <v>4188</v>
      </c>
      <c r="H5128" s="397"/>
      <c r="I5128" s="397"/>
      <c r="J5128" s="750" t="e">
        <f t="shared" si="62"/>
        <v>#DIV/0!</v>
      </c>
      <c r="K5128" s="398"/>
      <c r="L5128" s="398"/>
      <c r="M5128" s="682"/>
    </row>
    <row r="5129" spans="6:13" hidden="1" x14ac:dyDescent="0.2">
      <c r="F5129" s="494">
        <v>454</v>
      </c>
      <c r="G5129" s="495" t="s">
        <v>3803</v>
      </c>
      <c r="H5129" s="397"/>
      <c r="I5129" s="397"/>
      <c r="J5129" s="750" t="e">
        <f t="shared" si="62"/>
        <v>#DIV/0!</v>
      </c>
      <c r="K5129" s="398"/>
      <c r="L5129" s="398"/>
      <c r="M5129" s="682"/>
    </row>
    <row r="5130" spans="6:13" hidden="1" x14ac:dyDescent="0.2">
      <c r="F5130" s="494">
        <v>461</v>
      </c>
      <c r="G5130" s="495" t="s">
        <v>4169</v>
      </c>
      <c r="H5130" s="397"/>
      <c r="I5130" s="397"/>
      <c r="J5130" s="750" t="e">
        <f t="shared" si="62"/>
        <v>#DIV/0!</v>
      </c>
      <c r="K5130" s="398"/>
      <c r="L5130" s="398"/>
      <c r="M5130" s="682"/>
    </row>
    <row r="5131" spans="6:13" ht="25.5" hidden="1" x14ac:dyDescent="0.2">
      <c r="F5131" s="494">
        <v>462</v>
      </c>
      <c r="G5131" s="495" t="s">
        <v>3806</v>
      </c>
      <c r="H5131" s="397"/>
      <c r="I5131" s="397"/>
      <c r="J5131" s="750" t="e">
        <f t="shared" si="62"/>
        <v>#DIV/0!</v>
      </c>
      <c r="K5131" s="398"/>
      <c r="L5131" s="398"/>
      <c r="M5131" s="682"/>
    </row>
    <row r="5132" spans="6:13" hidden="1" x14ac:dyDescent="0.2">
      <c r="F5132" s="494">
        <v>4631</v>
      </c>
      <c r="G5132" s="495" t="s">
        <v>3807</v>
      </c>
      <c r="H5132" s="397"/>
      <c r="I5132" s="397"/>
      <c r="J5132" s="750" t="e">
        <f t="shared" si="62"/>
        <v>#DIV/0!</v>
      </c>
      <c r="K5132" s="398"/>
      <c r="L5132" s="398"/>
      <c r="M5132" s="682"/>
    </row>
    <row r="5133" spans="6:13" hidden="1" x14ac:dyDescent="0.2">
      <c r="F5133" s="494">
        <v>4632</v>
      </c>
      <c r="G5133" s="495" t="s">
        <v>3808</v>
      </c>
      <c r="H5133" s="397"/>
      <c r="I5133" s="397"/>
      <c r="J5133" s="750" t="e">
        <f t="shared" ref="J5133:J5196" si="63">SUM(I5133/H5133)*100</f>
        <v>#DIV/0!</v>
      </c>
      <c r="K5133" s="398"/>
      <c r="L5133" s="398"/>
      <c r="M5133" s="682"/>
    </row>
    <row r="5134" spans="6:13" ht="25.5" hidden="1" x14ac:dyDescent="0.2">
      <c r="F5134" s="494">
        <v>464</v>
      </c>
      <c r="G5134" s="495" t="s">
        <v>3809</v>
      </c>
      <c r="H5134" s="397"/>
      <c r="I5134" s="397"/>
      <c r="J5134" s="750" t="e">
        <f t="shared" si="63"/>
        <v>#DIV/0!</v>
      </c>
      <c r="K5134" s="398"/>
      <c r="L5134" s="398"/>
      <c r="M5134" s="682"/>
    </row>
    <row r="5135" spans="6:13" hidden="1" x14ac:dyDescent="0.2">
      <c r="F5135" s="494">
        <v>465</v>
      </c>
      <c r="G5135" s="495" t="s">
        <v>4170</v>
      </c>
      <c r="H5135" s="397"/>
      <c r="I5135" s="397"/>
      <c r="J5135" s="750" t="e">
        <f t="shared" si="63"/>
        <v>#DIV/0!</v>
      </c>
      <c r="K5135" s="398"/>
      <c r="L5135" s="398"/>
      <c r="M5135" s="682"/>
    </row>
    <row r="5136" spans="6:13" hidden="1" x14ac:dyDescent="0.2">
      <c r="F5136" s="494">
        <v>472</v>
      </c>
      <c r="G5136" s="495" t="s">
        <v>3813</v>
      </c>
      <c r="H5136" s="397"/>
      <c r="I5136" s="397"/>
      <c r="J5136" s="750" t="e">
        <f t="shared" si="63"/>
        <v>#DIV/0!</v>
      </c>
      <c r="K5136" s="398"/>
      <c r="L5136" s="398"/>
      <c r="M5136" s="682"/>
    </row>
    <row r="5137" spans="6:13" hidden="1" x14ac:dyDescent="0.2">
      <c r="F5137" s="494">
        <v>481</v>
      </c>
      <c r="G5137" s="495" t="s">
        <v>4189</v>
      </c>
      <c r="H5137" s="397"/>
      <c r="I5137" s="397"/>
      <c r="J5137" s="750" t="e">
        <f t="shared" si="63"/>
        <v>#DIV/0!</v>
      </c>
      <c r="K5137" s="398"/>
      <c r="L5137" s="398"/>
      <c r="M5137" s="682"/>
    </row>
    <row r="5138" spans="6:13" hidden="1" x14ac:dyDescent="0.2">
      <c r="F5138" s="494">
        <v>482</v>
      </c>
      <c r="G5138" s="495" t="s">
        <v>4190</v>
      </c>
      <c r="H5138" s="397"/>
      <c r="I5138" s="397"/>
      <c r="J5138" s="750" t="e">
        <f t="shared" si="63"/>
        <v>#DIV/0!</v>
      </c>
      <c r="K5138" s="398"/>
      <c r="L5138" s="398"/>
      <c r="M5138" s="682"/>
    </row>
    <row r="5139" spans="6:13" hidden="1" x14ac:dyDescent="0.2">
      <c r="F5139" s="494">
        <v>483</v>
      </c>
      <c r="G5139" s="497" t="s">
        <v>4191</v>
      </c>
      <c r="H5139" s="397"/>
      <c r="I5139" s="397"/>
      <c r="J5139" s="750" t="e">
        <f t="shared" si="63"/>
        <v>#DIV/0!</v>
      </c>
      <c r="K5139" s="398"/>
      <c r="L5139" s="398"/>
      <c r="M5139" s="682"/>
    </row>
    <row r="5140" spans="6:13" ht="38.25" hidden="1" x14ac:dyDescent="0.2">
      <c r="F5140" s="494">
        <v>484</v>
      </c>
      <c r="G5140" s="495" t="s">
        <v>4192</v>
      </c>
      <c r="H5140" s="397"/>
      <c r="I5140" s="397"/>
      <c r="J5140" s="750" t="e">
        <f t="shared" si="63"/>
        <v>#DIV/0!</v>
      </c>
      <c r="K5140" s="398"/>
      <c r="L5140" s="398"/>
      <c r="M5140" s="682"/>
    </row>
    <row r="5141" spans="6:13" ht="25.5" hidden="1" x14ac:dyDescent="0.2">
      <c r="F5141" s="494">
        <v>485</v>
      </c>
      <c r="G5141" s="495" t="s">
        <v>4193</v>
      </c>
      <c r="H5141" s="397"/>
      <c r="I5141" s="397"/>
      <c r="J5141" s="750" t="e">
        <f t="shared" si="63"/>
        <v>#DIV/0!</v>
      </c>
      <c r="K5141" s="398"/>
      <c r="L5141" s="398"/>
      <c r="M5141" s="682"/>
    </row>
    <row r="5142" spans="6:13" ht="25.5" hidden="1" x14ac:dyDescent="0.2">
      <c r="F5142" s="494">
        <v>489</v>
      </c>
      <c r="G5142" s="495" t="s">
        <v>3821</v>
      </c>
      <c r="H5142" s="397"/>
      <c r="I5142" s="397"/>
      <c r="J5142" s="750" t="e">
        <f t="shared" si="63"/>
        <v>#DIV/0!</v>
      </c>
      <c r="K5142" s="398"/>
      <c r="L5142" s="398"/>
      <c r="M5142" s="682"/>
    </row>
    <row r="5143" spans="6:13" ht="25.5" hidden="1" x14ac:dyDescent="0.2">
      <c r="F5143" s="494">
        <v>494</v>
      </c>
      <c r="G5143" s="495" t="s">
        <v>4171</v>
      </c>
      <c r="H5143" s="397"/>
      <c r="I5143" s="397"/>
      <c r="J5143" s="750" t="e">
        <f t="shared" si="63"/>
        <v>#DIV/0!</v>
      </c>
      <c r="K5143" s="398"/>
      <c r="L5143" s="398"/>
      <c r="M5143" s="682"/>
    </row>
    <row r="5144" spans="6:13" ht="25.5" hidden="1" x14ac:dyDescent="0.2">
      <c r="F5144" s="494">
        <v>495</v>
      </c>
      <c r="G5144" s="495" t="s">
        <v>4172</v>
      </c>
      <c r="H5144" s="397"/>
      <c r="I5144" s="397"/>
      <c r="J5144" s="750" t="e">
        <f t="shared" si="63"/>
        <v>#DIV/0!</v>
      </c>
      <c r="K5144" s="398"/>
      <c r="L5144" s="398"/>
      <c r="M5144" s="682"/>
    </row>
    <row r="5145" spans="6:13" ht="38.25" hidden="1" x14ac:dyDescent="0.2">
      <c r="F5145" s="494">
        <v>496</v>
      </c>
      <c r="G5145" s="495" t="s">
        <v>4173</v>
      </c>
      <c r="H5145" s="397"/>
      <c r="I5145" s="397"/>
      <c r="J5145" s="750" t="e">
        <f t="shared" si="63"/>
        <v>#DIV/0!</v>
      </c>
      <c r="K5145" s="398"/>
      <c r="L5145" s="398"/>
      <c r="M5145" s="682"/>
    </row>
    <row r="5146" spans="6:13" ht="25.5" hidden="1" x14ac:dyDescent="0.2">
      <c r="F5146" s="494">
        <v>499</v>
      </c>
      <c r="G5146" s="495" t="s">
        <v>4174</v>
      </c>
      <c r="H5146" s="397"/>
      <c r="I5146" s="397"/>
      <c r="J5146" s="750" t="e">
        <f t="shared" si="63"/>
        <v>#DIV/0!</v>
      </c>
      <c r="K5146" s="398"/>
      <c r="L5146" s="398"/>
      <c r="M5146" s="682"/>
    </row>
    <row r="5147" spans="6:13" hidden="1" x14ac:dyDescent="0.2">
      <c r="F5147" s="494">
        <v>511</v>
      </c>
      <c r="G5147" s="497" t="s">
        <v>4194</v>
      </c>
      <c r="H5147" s="397"/>
      <c r="I5147" s="397"/>
      <c r="J5147" s="750" t="e">
        <f t="shared" si="63"/>
        <v>#DIV/0!</v>
      </c>
      <c r="K5147" s="398"/>
      <c r="L5147" s="398"/>
      <c r="M5147" s="682"/>
    </row>
    <row r="5148" spans="6:13" hidden="1" x14ac:dyDescent="0.2">
      <c r="F5148" s="494">
        <v>512</v>
      </c>
      <c r="G5148" s="497" t="s">
        <v>4195</v>
      </c>
      <c r="H5148" s="397"/>
      <c r="I5148" s="397"/>
      <c r="J5148" s="750" t="e">
        <f t="shared" si="63"/>
        <v>#DIV/0!</v>
      </c>
      <c r="K5148" s="398"/>
      <c r="L5148" s="398"/>
      <c r="M5148" s="682"/>
    </row>
    <row r="5149" spans="6:13" hidden="1" x14ac:dyDescent="0.2">
      <c r="F5149" s="494">
        <v>513</v>
      </c>
      <c r="G5149" s="497" t="s">
        <v>4196</v>
      </c>
      <c r="H5149" s="397"/>
      <c r="I5149" s="397"/>
      <c r="J5149" s="750" t="e">
        <f t="shared" si="63"/>
        <v>#DIV/0!</v>
      </c>
      <c r="K5149" s="398"/>
      <c r="L5149" s="398"/>
      <c r="M5149" s="682"/>
    </row>
    <row r="5150" spans="6:13" hidden="1" x14ac:dyDescent="0.2">
      <c r="F5150" s="494">
        <v>514</v>
      </c>
      <c r="G5150" s="495" t="s">
        <v>4197</v>
      </c>
      <c r="H5150" s="397"/>
      <c r="I5150" s="397"/>
      <c r="J5150" s="750" t="e">
        <f t="shared" si="63"/>
        <v>#DIV/0!</v>
      </c>
      <c r="K5150" s="398"/>
      <c r="L5150" s="398"/>
      <c r="M5150" s="682"/>
    </row>
    <row r="5151" spans="6:13" hidden="1" x14ac:dyDescent="0.2">
      <c r="F5151" s="494">
        <v>515</v>
      </c>
      <c r="G5151" s="495" t="s">
        <v>3832</v>
      </c>
      <c r="H5151" s="397"/>
      <c r="I5151" s="397"/>
      <c r="J5151" s="750" t="e">
        <f t="shared" si="63"/>
        <v>#DIV/0!</v>
      </c>
      <c r="K5151" s="398"/>
      <c r="L5151" s="398"/>
      <c r="M5151" s="682"/>
    </row>
    <row r="5152" spans="6:13" hidden="1" x14ac:dyDescent="0.2">
      <c r="F5152" s="494">
        <v>521</v>
      </c>
      <c r="G5152" s="495" t="s">
        <v>4198</v>
      </c>
      <c r="H5152" s="397"/>
      <c r="I5152" s="397"/>
      <c r="J5152" s="750" t="e">
        <f t="shared" si="63"/>
        <v>#DIV/0!</v>
      </c>
      <c r="K5152" s="398"/>
      <c r="L5152" s="398"/>
      <c r="M5152" s="682"/>
    </row>
    <row r="5153" spans="5:13" hidden="1" x14ac:dyDescent="0.2">
      <c r="F5153" s="494">
        <v>522</v>
      </c>
      <c r="G5153" s="495" t="s">
        <v>4199</v>
      </c>
      <c r="H5153" s="397"/>
      <c r="I5153" s="397"/>
      <c r="J5153" s="750" t="e">
        <f t="shared" si="63"/>
        <v>#DIV/0!</v>
      </c>
      <c r="K5153" s="398"/>
      <c r="L5153" s="398"/>
      <c r="M5153" s="682"/>
    </row>
    <row r="5154" spans="5:13" hidden="1" x14ac:dyDescent="0.2">
      <c r="F5154" s="494">
        <v>523</v>
      </c>
      <c r="G5154" s="495" t="s">
        <v>3837</v>
      </c>
      <c r="H5154" s="397"/>
      <c r="I5154" s="397"/>
      <c r="J5154" s="750" t="e">
        <f t="shared" si="63"/>
        <v>#DIV/0!</v>
      </c>
      <c r="K5154" s="398"/>
      <c r="L5154" s="398"/>
      <c r="M5154" s="682"/>
    </row>
    <row r="5155" spans="5:13" hidden="1" x14ac:dyDescent="0.2">
      <c r="F5155" s="494">
        <v>531</v>
      </c>
      <c r="G5155" s="496" t="s">
        <v>4175</v>
      </c>
      <c r="H5155" s="397"/>
      <c r="I5155" s="397"/>
      <c r="J5155" s="750" t="e">
        <f t="shared" si="63"/>
        <v>#DIV/0!</v>
      </c>
      <c r="K5155" s="398"/>
      <c r="L5155" s="398"/>
      <c r="M5155" s="682"/>
    </row>
    <row r="5156" spans="5:13" hidden="1" x14ac:dyDescent="0.2">
      <c r="F5156" s="494">
        <v>541</v>
      </c>
      <c r="G5156" s="495" t="s">
        <v>4200</v>
      </c>
      <c r="H5156" s="397"/>
      <c r="I5156" s="397"/>
      <c r="J5156" s="750" t="e">
        <f t="shared" si="63"/>
        <v>#DIV/0!</v>
      </c>
      <c r="K5156" s="398"/>
      <c r="L5156" s="398"/>
      <c r="M5156" s="682"/>
    </row>
    <row r="5157" spans="5:13" hidden="1" x14ac:dyDescent="0.2">
      <c r="F5157" s="494">
        <v>542</v>
      </c>
      <c r="G5157" s="495" t="s">
        <v>4201</v>
      </c>
      <c r="H5157" s="397"/>
      <c r="I5157" s="397"/>
      <c r="J5157" s="750" t="e">
        <f t="shared" si="63"/>
        <v>#DIV/0!</v>
      </c>
      <c r="K5157" s="398"/>
      <c r="L5157" s="398"/>
      <c r="M5157" s="682"/>
    </row>
    <row r="5158" spans="5:13" hidden="1" x14ac:dyDescent="0.2">
      <c r="F5158" s="494">
        <v>543</v>
      </c>
      <c r="G5158" s="495" t="s">
        <v>3842</v>
      </c>
      <c r="H5158" s="397"/>
      <c r="I5158" s="397"/>
      <c r="J5158" s="750" t="e">
        <f t="shared" si="63"/>
        <v>#DIV/0!</v>
      </c>
      <c r="K5158" s="398"/>
      <c r="L5158" s="398"/>
      <c r="M5158" s="682"/>
    </row>
    <row r="5159" spans="5:13" ht="38.25" hidden="1" x14ac:dyDescent="0.2">
      <c r="F5159" s="494">
        <v>551</v>
      </c>
      <c r="G5159" s="495" t="s">
        <v>4176</v>
      </c>
      <c r="H5159" s="397"/>
      <c r="I5159" s="397"/>
      <c r="J5159" s="750" t="e">
        <f t="shared" si="63"/>
        <v>#DIV/0!</v>
      </c>
      <c r="K5159" s="398"/>
      <c r="L5159" s="398"/>
      <c r="M5159" s="682"/>
    </row>
    <row r="5160" spans="5:13" hidden="1" x14ac:dyDescent="0.2">
      <c r="F5160" s="498">
        <v>611</v>
      </c>
      <c r="G5160" s="499" t="s">
        <v>3848</v>
      </c>
      <c r="H5160" s="397"/>
      <c r="I5160" s="397"/>
      <c r="J5160" s="750" t="e">
        <f t="shared" si="63"/>
        <v>#DIV/0!</v>
      </c>
      <c r="K5160" s="398"/>
      <c r="L5160" s="398"/>
      <c r="M5160" s="682"/>
    </row>
    <row r="5161" spans="5:13" hidden="1" x14ac:dyDescent="0.2">
      <c r="F5161" s="498">
        <v>620</v>
      </c>
      <c r="G5161" s="499" t="s">
        <v>88</v>
      </c>
      <c r="H5161" s="397"/>
      <c r="I5161" s="397"/>
      <c r="J5161" s="750" t="e">
        <f t="shared" si="63"/>
        <v>#DIV/0!</v>
      </c>
      <c r="K5161" s="398"/>
      <c r="L5161" s="398"/>
      <c r="M5161" s="682"/>
    </row>
    <row r="5162" spans="5:13" hidden="1" x14ac:dyDescent="0.2">
      <c r="E5162" s="500"/>
      <c r="F5162" s="498"/>
      <c r="G5162" s="509" t="s">
        <v>4470</v>
      </c>
      <c r="H5162" s="400"/>
      <c r="I5162" s="400"/>
      <c r="J5162" s="750" t="e">
        <f t="shared" si="63"/>
        <v>#DIV/0!</v>
      </c>
      <c r="K5162" s="401"/>
      <c r="L5162" s="402"/>
      <c r="M5162" s="682"/>
    </row>
    <row r="5163" spans="5:13" hidden="1" x14ac:dyDescent="0.2">
      <c r="E5163" s="502"/>
      <c r="F5163" s="503" t="s">
        <v>234</v>
      </c>
      <c r="G5163" s="504" t="s">
        <v>235</v>
      </c>
      <c r="H5163" s="403">
        <f>SUM(H5102:H5161)</f>
        <v>0</v>
      </c>
      <c r="I5163" s="403"/>
      <c r="J5163" s="750" t="e">
        <f t="shared" si="63"/>
        <v>#DIV/0!</v>
      </c>
      <c r="K5163" s="404"/>
      <c r="L5163" s="404"/>
      <c r="M5163" s="682"/>
    </row>
    <row r="5164" spans="5:13" hidden="1" x14ac:dyDescent="0.2">
      <c r="F5164" s="503" t="s">
        <v>236</v>
      </c>
      <c r="G5164" s="504" t="s">
        <v>237</v>
      </c>
      <c r="H5164" s="397"/>
      <c r="I5164" s="397"/>
      <c r="J5164" s="750" t="e">
        <f t="shared" si="63"/>
        <v>#DIV/0!</v>
      </c>
      <c r="K5164" s="398"/>
      <c r="L5164" s="404"/>
      <c r="M5164" s="682"/>
    </row>
    <row r="5165" spans="5:13" hidden="1" x14ac:dyDescent="0.2">
      <c r="F5165" s="503" t="s">
        <v>238</v>
      </c>
      <c r="G5165" s="504" t="s">
        <v>239</v>
      </c>
      <c r="H5165" s="397"/>
      <c r="I5165" s="397"/>
      <c r="J5165" s="750" t="e">
        <f t="shared" si="63"/>
        <v>#DIV/0!</v>
      </c>
      <c r="K5165" s="398"/>
      <c r="L5165" s="404"/>
      <c r="M5165" s="682"/>
    </row>
    <row r="5166" spans="5:13" hidden="1" x14ac:dyDescent="0.2">
      <c r="F5166" s="503" t="s">
        <v>240</v>
      </c>
      <c r="G5166" s="504" t="s">
        <v>241</v>
      </c>
      <c r="H5166" s="397"/>
      <c r="I5166" s="397"/>
      <c r="J5166" s="750" t="e">
        <f t="shared" si="63"/>
        <v>#DIV/0!</v>
      </c>
      <c r="K5166" s="398"/>
      <c r="L5166" s="404"/>
      <c r="M5166" s="682"/>
    </row>
    <row r="5167" spans="5:13" hidden="1" x14ac:dyDescent="0.2">
      <c r="F5167" s="503" t="s">
        <v>242</v>
      </c>
      <c r="G5167" s="504" t="s">
        <v>243</v>
      </c>
      <c r="H5167" s="397"/>
      <c r="I5167" s="397"/>
      <c r="J5167" s="750" t="e">
        <f t="shared" si="63"/>
        <v>#DIV/0!</v>
      </c>
      <c r="K5167" s="398"/>
      <c r="L5167" s="404"/>
      <c r="M5167" s="682"/>
    </row>
    <row r="5168" spans="5:13" hidden="1" x14ac:dyDescent="0.2">
      <c r="F5168" s="503" t="s">
        <v>244</v>
      </c>
      <c r="G5168" s="504" t="s">
        <v>245</v>
      </c>
      <c r="H5168" s="397"/>
      <c r="I5168" s="397"/>
      <c r="J5168" s="750" t="e">
        <f t="shared" si="63"/>
        <v>#DIV/0!</v>
      </c>
      <c r="K5168" s="398"/>
      <c r="L5168" s="404"/>
      <c r="M5168" s="682"/>
    </row>
    <row r="5169" spans="5:13" hidden="1" x14ac:dyDescent="0.2">
      <c r="F5169" s="503" t="s">
        <v>246</v>
      </c>
      <c r="G5169" s="504" t="s">
        <v>247</v>
      </c>
      <c r="H5169" s="397"/>
      <c r="I5169" s="397"/>
      <c r="J5169" s="750" t="e">
        <f t="shared" si="63"/>
        <v>#DIV/0!</v>
      </c>
      <c r="K5169" s="398"/>
      <c r="L5169" s="404"/>
      <c r="M5169" s="682"/>
    </row>
    <row r="5170" spans="5:13" ht="25.5" hidden="1" x14ac:dyDescent="0.2">
      <c r="F5170" s="503" t="s">
        <v>248</v>
      </c>
      <c r="G5170" s="504" t="s">
        <v>249</v>
      </c>
      <c r="H5170" s="397"/>
      <c r="I5170" s="397"/>
      <c r="J5170" s="750" t="e">
        <f t="shared" si="63"/>
        <v>#DIV/0!</v>
      </c>
      <c r="K5170" s="398"/>
      <c r="L5170" s="404"/>
      <c r="M5170" s="682"/>
    </row>
    <row r="5171" spans="5:13" hidden="1" x14ac:dyDescent="0.2">
      <c r="F5171" s="503" t="s">
        <v>250</v>
      </c>
      <c r="G5171" s="504" t="s">
        <v>57</v>
      </c>
      <c r="H5171" s="397"/>
      <c r="I5171" s="397"/>
      <c r="J5171" s="750" t="e">
        <f t="shared" si="63"/>
        <v>#DIV/0!</v>
      </c>
      <c r="K5171" s="398"/>
      <c r="L5171" s="404"/>
      <c r="M5171" s="682"/>
    </row>
    <row r="5172" spans="5:13" hidden="1" x14ac:dyDescent="0.2">
      <c r="F5172" s="503" t="s">
        <v>251</v>
      </c>
      <c r="G5172" s="504" t="s">
        <v>252</v>
      </c>
      <c r="H5172" s="397"/>
      <c r="I5172" s="397"/>
      <c r="J5172" s="750" t="e">
        <f t="shared" si="63"/>
        <v>#DIV/0!</v>
      </c>
      <c r="K5172" s="398"/>
      <c r="L5172" s="404"/>
      <c r="M5172" s="682"/>
    </row>
    <row r="5173" spans="5:13" hidden="1" x14ac:dyDescent="0.2">
      <c r="F5173" s="503" t="s">
        <v>253</v>
      </c>
      <c r="G5173" s="504" t="s">
        <v>254</v>
      </c>
      <c r="H5173" s="397"/>
      <c r="I5173" s="397"/>
      <c r="J5173" s="750" t="e">
        <f t="shared" si="63"/>
        <v>#DIV/0!</v>
      </c>
      <c r="K5173" s="398"/>
      <c r="L5173" s="404"/>
      <c r="M5173" s="682"/>
    </row>
    <row r="5174" spans="5:13" ht="25.5" hidden="1" x14ac:dyDescent="0.2">
      <c r="F5174" s="503" t="s">
        <v>255</v>
      </c>
      <c r="G5174" s="504" t="s">
        <v>256</v>
      </c>
      <c r="H5174" s="397"/>
      <c r="I5174" s="397"/>
      <c r="J5174" s="750" t="e">
        <f t="shared" si="63"/>
        <v>#DIV/0!</v>
      </c>
      <c r="K5174" s="398"/>
      <c r="L5174" s="404"/>
      <c r="M5174" s="682"/>
    </row>
    <row r="5175" spans="5:13" ht="25.5" hidden="1" x14ac:dyDescent="0.2">
      <c r="F5175" s="503" t="s">
        <v>257</v>
      </c>
      <c r="G5175" s="504" t="s">
        <v>258</v>
      </c>
      <c r="H5175" s="397"/>
      <c r="I5175" s="397"/>
      <c r="J5175" s="750" t="e">
        <f t="shared" si="63"/>
        <v>#DIV/0!</v>
      </c>
      <c r="K5175" s="398"/>
      <c r="L5175" s="404"/>
      <c r="M5175" s="682"/>
    </row>
    <row r="5176" spans="5:13" ht="25.5" hidden="1" x14ac:dyDescent="0.2">
      <c r="F5176" s="503" t="s">
        <v>259</v>
      </c>
      <c r="G5176" s="504" t="s">
        <v>260</v>
      </c>
      <c r="H5176" s="397"/>
      <c r="I5176" s="397"/>
      <c r="J5176" s="750" t="e">
        <f t="shared" si="63"/>
        <v>#DIV/0!</v>
      </c>
      <c r="K5176" s="398"/>
      <c r="L5176" s="404"/>
      <c r="M5176" s="682"/>
    </row>
    <row r="5177" spans="5:13" ht="25.5" hidden="1" x14ac:dyDescent="0.2">
      <c r="F5177" s="503" t="s">
        <v>261</v>
      </c>
      <c r="G5177" s="504" t="s">
        <v>262</v>
      </c>
      <c r="H5177" s="397"/>
      <c r="I5177" s="397"/>
      <c r="J5177" s="750" t="e">
        <f t="shared" si="63"/>
        <v>#DIV/0!</v>
      </c>
      <c r="K5177" s="398"/>
      <c r="L5177" s="404"/>
      <c r="M5177" s="682"/>
    </row>
    <row r="5178" spans="5:13" hidden="1" x14ac:dyDescent="0.2">
      <c r="F5178" s="503" t="s">
        <v>263</v>
      </c>
      <c r="G5178" s="504" t="s">
        <v>264</v>
      </c>
      <c r="H5178" s="403"/>
      <c r="I5178" s="403"/>
      <c r="J5178" s="750" t="e">
        <f t="shared" si="63"/>
        <v>#DIV/0!</v>
      </c>
      <c r="K5178" s="404"/>
      <c r="L5178" s="404"/>
      <c r="M5178" s="682"/>
    </row>
    <row r="5179" spans="5:13" ht="13.5" hidden="1" thickBot="1" x14ac:dyDescent="0.25">
      <c r="G5179" s="505" t="s">
        <v>4370</v>
      </c>
      <c r="H5179" s="405">
        <f>SUM(H5163:H5178)</f>
        <v>0</v>
      </c>
      <c r="I5179" s="405"/>
      <c r="J5179" s="750" t="e">
        <f t="shared" si="63"/>
        <v>#DIV/0!</v>
      </c>
      <c r="K5179" s="406">
        <f>SUM(K5164:K5178)</f>
        <v>0</v>
      </c>
      <c r="L5179" s="406"/>
      <c r="M5179" s="682"/>
    </row>
    <row r="5180" spans="5:13" hidden="1" collapsed="1" x14ac:dyDescent="0.2">
      <c r="E5180" s="500"/>
      <c r="F5180" s="498"/>
      <c r="G5180" s="506" t="s">
        <v>5041</v>
      </c>
      <c r="H5180" s="407"/>
      <c r="I5180" s="408"/>
      <c r="J5180" s="750" t="e">
        <f t="shared" si="63"/>
        <v>#DIV/0!</v>
      </c>
      <c r="K5180" s="409"/>
      <c r="L5180" s="410"/>
      <c r="M5180" s="682"/>
    </row>
    <row r="5181" spans="5:13" hidden="1" x14ac:dyDescent="0.2">
      <c r="E5181" s="502"/>
      <c r="F5181" s="503" t="s">
        <v>234</v>
      </c>
      <c r="G5181" s="504" t="s">
        <v>235</v>
      </c>
      <c r="H5181" s="403">
        <f>SUM(H5102:H5161)</f>
        <v>0</v>
      </c>
      <c r="I5181" s="403"/>
      <c r="J5181" s="750" t="e">
        <f t="shared" si="63"/>
        <v>#DIV/0!</v>
      </c>
      <c r="K5181" s="404"/>
      <c r="L5181" s="404"/>
      <c r="M5181" s="682"/>
    </row>
    <row r="5182" spans="5:13" hidden="1" x14ac:dyDescent="0.2">
      <c r="F5182" s="503" t="s">
        <v>236</v>
      </c>
      <c r="G5182" s="504" t="s">
        <v>237</v>
      </c>
      <c r="H5182" s="397"/>
      <c r="I5182" s="397"/>
      <c r="J5182" s="750" t="e">
        <f t="shared" si="63"/>
        <v>#DIV/0!</v>
      </c>
      <c r="K5182" s="398"/>
      <c r="L5182" s="404"/>
      <c r="M5182" s="682"/>
    </row>
    <row r="5183" spans="5:13" hidden="1" x14ac:dyDescent="0.2">
      <c r="F5183" s="503" t="s">
        <v>238</v>
      </c>
      <c r="G5183" s="504" t="s">
        <v>239</v>
      </c>
      <c r="H5183" s="397"/>
      <c r="I5183" s="397"/>
      <c r="J5183" s="750" t="e">
        <f t="shared" si="63"/>
        <v>#DIV/0!</v>
      </c>
      <c r="K5183" s="398"/>
      <c r="L5183" s="404"/>
      <c r="M5183" s="682"/>
    </row>
    <row r="5184" spans="5:13" hidden="1" x14ac:dyDescent="0.2">
      <c r="F5184" s="503" t="s">
        <v>240</v>
      </c>
      <c r="G5184" s="504" t="s">
        <v>241</v>
      </c>
      <c r="H5184" s="397"/>
      <c r="I5184" s="397"/>
      <c r="J5184" s="750" t="e">
        <f t="shared" si="63"/>
        <v>#DIV/0!</v>
      </c>
      <c r="K5184" s="398"/>
      <c r="L5184" s="404"/>
      <c r="M5184" s="682"/>
    </row>
    <row r="5185" spans="1:27" hidden="1" x14ac:dyDescent="0.2">
      <c r="F5185" s="503" t="s">
        <v>242</v>
      </c>
      <c r="G5185" s="504" t="s">
        <v>243</v>
      </c>
      <c r="H5185" s="397"/>
      <c r="I5185" s="397"/>
      <c r="J5185" s="750" t="e">
        <f t="shared" si="63"/>
        <v>#DIV/0!</v>
      </c>
      <c r="K5185" s="398"/>
      <c r="L5185" s="404"/>
      <c r="M5185" s="682"/>
    </row>
    <row r="5186" spans="1:27" hidden="1" x14ac:dyDescent="0.2">
      <c r="F5186" s="503" t="s">
        <v>244</v>
      </c>
      <c r="G5186" s="504" t="s">
        <v>245</v>
      </c>
      <c r="H5186" s="397"/>
      <c r="I5186" s="397"/>
      <c r="J5186" s="750" t="e">
        <f t="shared" si="63"/>
        <v>#DIV/0!</v>
      </c>
      <c r="K5186" s="398"/>
      <c r="L5186" s="404"/>
      <c r="M5186" s="682"/>
    </row>
    <row r="5187" spans="1:27" hidden="1" x14ac:dyDescent="0.2">
      <c r="F5187" s="503" t="s">
        <v>246</v>
      </c>
      <c r="G5187" s="504" t="s">
        <v>247</v>
      </c>
      <c r="H5187" s="397"/>
      <c r="I5187" s="397"/>
      <c r="J5187" s="750" t="e">
        <f t="shared" si="63"/>
        <v>#DIV/0!</v>
      </c>
      <c r="K5187" s="398"/>
      <c r="L5187" s="404"/>
      <c r="M5187" s="682"/>
    </row>
    <row r="5188" spans="1:27" ht="25.5" hidden="1" x14ac:dyDescent="0.2">
      <c r="F5188" s="503" t="s">
        <v>248</v>
      </c>
      <c r="G5188" s="504" t="s">
        <v>249</v>
      </c>
      <c r="H5188" s="397"/>
      <c r="I5188" s="397"/>
      <c r="J5188" s="750" t="e">
        <f t="shared" si="63"/>
        <v>#DIV/0!</v>
      </c>
      <c r="K5188" s="398"/>
      <c r="L5188" s="404"/>
      <c r="M5188" s="682"/>
    </row>
    <row r="5189" spans="1:27" hidden="1" x14ac:dyDescent="0.2">
      <c r="F5189" s="503" t="s">
        <v>250</v>
      </c>
      <c r="G5189" s="504" t="s">
        <v>57</v>
      </c>
      <c r="H5189" s="397"/>
      <c r="I5189" s="397"/>
      <c r="J5189" s="750" t="e">
        <f t="shared" si="63"/>
        <v>#DIV/0!</v>
      </c>
      <c r="K5189" s="398"/>
      <c r="L5189" s="404"/>
      <c r="M5189" s="682"/>
    </row>
    <row r="5190" spans="1:27" hidden="1" x14ac:dyDescent="0.2">
      <c r="F5190" s="503" t="s">
        <v>251</v>
      </c>
      <c r="G5190" s="504" t="s">
        <v>252</v>
      </c>
      <c r="H5190" s="397"/>
      <c r="I5190" s="397"/>
      <c r="J5190" s="750" t="e">
        <f t="shared" si="63"/>
        <v>#DIV/0!</v>
      </c>
      <c r="K5190" s="398"/>
      <c r="L5190" s="404"/>
      <c r="M5190" s="682"/>
    </row>
    <row r="5191" spans="1:27" hidden="1" x14ac:dyDescent="0.2">
      <c r="F5191" s="503" t="s">
        <v>253</v>
      </c>
      <c r="G5191" s="504" t="s">
        <v>254</v>
      </c>
      <c r="H5191" s="397"/>
      <c r="I5191" s="397"/>
      <c r="J5191" s="750" t="e">
        <f t="shared" si="63"/>
        <v>#DIV/0!</v>
      </c>
      <c r="K5191" s="398"/>
      <c r="L5191" s="404"/>
      <c r="M5191" s="682"/>
    </row>
    <row r="5192" spans="1:27" ht="25.5" hidden="1" x14ac:dyDescent="0.2">
      <c r="F5192" s="503" t="s">
        <v>255</v>
      </c>
      <c r="G5192" s="504" t="s">
        <v>256</v>
      </c>
      <c r="H5192" s="397"/>
      <c r="I5192" s="397"/>
      <c r="J5192" s="750" t="e">
        <f t="shared" si="63"/>
        <v>#DIV/0!</v>
      </c>
      <c r="K5192" s="398"/>
      <c r="L5192" s="404"/>
      <c r="M5192" s="682"/>
    </row>
    <row r="5193" spans="1:27" ht="25.5" hidden="1" x14ac:dyDescent="0.2">
      <c r="F5193" s="503" t="s">
        <v>257</v>
      </c>
      <c r="G5193" s="504" t="s">
        <v>258</v>
      </c>
      <c r="H5193" s="397"/>
      <c r="I5193" s="397"/>
      <c r="J5193" s="750" t="e">
        <f t="shared" si="63"/>
        <v>#DIV/0!</v>
      </c>
      <c r="K5193" s="398"/>
      <c r="L5193" s="404"/>
      <c r="M5193" s="682"/>
    </row>
    <row r="5194" spans="1:27" ht="25.5" hidden="1" x14ac:dyDescent="0.2">
      <c r="F5194" s="503" t="s">
        <v>259</v>
      </c>
      <c r="G5194" s="504" t="s">
        <v>260</v>
      </c>
      <c r="H5194" s="397"/>
      <c r="I5194" s="397"/>
      <c r="J5194" s="750" t="e">
        <f t="shared" si="63"/>
        <v>#DIV/0!</v>
      </c>
      <c r="K5194" s="398"/>
      <c r="L5194" s="404"/>
      <c r="M5194" s="682"/>
    </row>
    <row r="5195" spans="1:27" ht="25.5" hidden="1" x14ac:dyDescent="0.2">
      <c r="F5195" s="503" t="s">
        <v>261</v>
      </c>
      <c r="G5195" s="504" t="s">
        <v>262</v>
      </c>
      <c r="H5195" s="397"/>
      <c r="I5195" s="397"/>
      <c r="J5195" s="750" t="e">
        <f t="shared" si="63"/>
        <v>#DIV/0!</v>
      </c>
      <c r="K5195" s="398"/>
      <c r="L5195" s="404"/>
      <c r="M5195" s="682"/>
    </row>
    <row r="5196" spans="1:27" hidden="1" x14ac:dyDescent="0.2">
      <c r="F5196" s="503" t="s">
        <v>263</v>
      </c>
      <c r="G5196" s="504" t="s">
        <v>264</v>
      </c>
      <c r="H5196" s="403"/>
      <c r="I5196" s="403"/>
      <c r="J5196" s="750" t="e">
        <f t="shared" si="63"/>
        <v>#DIV/0!</v>
      </c>
      <c r="K5196" s="404"/>
      <c r="L5196" s="404"/>
      <c r="M5196" s="682"/>
    </row>
    <row r="5197" spans="1:27" ht="13.5" hidden="1" collapsed="1" thickBot="1" x14ac:dyDescent="0.25">
      <c r="G5197" s="505" t="s">
        <v>5004</v>
      </c>
      <c r="H5197" s="405">
        <f>SUM(H5181:H5196)</f>
        <v>0</v>
      </c>
      <c r="I5197" s="405"/>
      <c r="J5197" s="750" t="e">
        <f t="shared" ref="J5197:J5260" si="64">SUM(I5197/H5197)*100</f>
        <v>#DIV/0!</v>
      </c>
      <c r="K5197" s="406">
        <f>SUM(K5182:K5196)</f>
        <v>0</v>
      </c>
      <c r="L5197" s="406"/>
      <c r="M5197" s="682"/>
    </row>
    <row r="5198" spans="1:27" s="530" customFormat="1" hidden="1" x14ac:dyDescent="0.2">
      <c r="A5198" s="526"/>
      <c r="B5198" s="527"/>
      <c r="C5198" s="534"/>
      <c r="D5198" s="535"/>
      <c r="E5198" s="535"/>
      <c r="F5198" s="167"/>
      <c r="G5198" s="513"/>
      <c r="H5198" s="422"/>
      <c r="I5198" s="422"/>
      <c r="J5198" s="750" t="e">
        <f t="shared" si="64"/>
        <v>#DIV/0!</v>
      </c>
      <c r="K5198" s="423"/>
      <c r="L5198" s="424"/>
      <c r="M5198" s="682"/>
      <c r="N5198" s="171"/>
      <c r="O5198" s="171"/>
      <c r="P5198" s="171"/>
      <c r="Q5198" s="171"/>
      <c r="R5198" s="171"/>
      <c r="S5198" s="171"/>
      <c r="T5198" s="171"/>
      <c r="U5198" s="171"/>
      <c r="V5198" s="171"/>
      <c r="W5198" s="171"/>
      <c r="X5198" s="171"/>
      <c r="Y5198" s="171"/>
      <c r="Z5198" s="171"/>
      <c r="AA5198" s="171"/>
    </row>
    <row r="5199" spans="1:27" s="530" customFormat="1" x14ac:dyDescent="0.2">
      <c r="A5199" s="526"/>
      <c r="B5199" s="527"/>
      <c r="C5199" s="534"/>
      <c r="D5199" s="535"/>
      <c r="E5199" s="535"/>
      <c r="F5199" s="498"/>
      <c r="G5199" s="511" t="s">
        <v>4266</v>
      </c>
      <c r="H5199" s="413"/>
      <c r="I5199" s="413"/>
      <c r="J5199" s="750"/>
      <c r="K5199" s="414"/>
      <c r="L5199" s="415"/>
      <c r="M5199" s="682"/>
      <c r="N5199" s="171"/>
      <c r="O5199" s="171"/>
      <c r="P5199" s="171"/>
      <c r="Q5199" s="171"/>
      <c r="R5199" s="171"/>
      <c r="S5199" s="171"/>
      <c r="T5199" s="171"/>
      <c r="U5199" s="171"/>
      <c r="V5199" s="171"/>
      <c r="W5199" s="171"/>
      <c r="X5199" s="171"/>
      <c r="Y5199" s="171"/>
      <c r="Z5199" s="171"/>
      <c r="AA5199" s="171"/>
    </row>
    <row r="5200" spans="1:27" s="530" customFormat="1" ht="13.5" thickBot="1" x14ac:dyDescent="0.25">
      <c r="A5200" s="526"/>
      <c r="B5200" s="527"/>
      <c r="C5200" s="534"/>
      <c r="D5200" s="535"/>
      <c r="E5200" s="535"/>
      <c r="F5200" s="503" t="s">
        <v>234</v>
      </c>
      <c r="G5200" s="504" t="s">
        <v>235</v>
      </c>
      <c r="H5200" s="403">
        <f>SUM(H5181,H5082)</f>
        <v>3650000</v>
      </c>
      <c r="I5200" s="403">
        <f>SUM(I5098)</f>
        <v>3125836.02</v>
      </c>
      <c r="J5200" s="750">
        <f t="shared" si="64"/>
        <v>85.639343013698635</v>
      </c>
      <c r="K5200" s="404"/>
      <c r="L5200" s="404"/>
      <c r="M5200" s="682"/>
      <c r="N5200" s="171"/>
      <c r="O5200" s="171"/>
      <c r="P5200" s="171"/>
      <c r="Q5200" s="171"/>
      <c r="R5200" s="171"/>
      <c r="S5200" s="171"/>
      <c r="T5200" s="171"/>
      <c r="U5200" s="171"/>
      <c r="V5200" s="171"/>
      <c r="W5200" s="171"/>
      <c r="X5200" s="171"/>
      <c r="Y5200" s="171"/>
      <c r="Z5200" s="171"/>
      <c r="AA5200" s="171"/>
    </row>
    <row r="5201" spans="1:27" s="530" customFormat="1" ht="13.5" hidden="1" thickBot="1" x14ac:dyDescent="0.25">
      <c r="A5201" s="526"/>
      <c r="B5201" s="527"/>
      <c r="C5201" s="534"/>
      <c r="D5201" s="535"/>
      <c r="E5201" s="535"/>
      <c r="F5201" s="503" t="s">
        <v>236</v>
      </c>
      <c r="G5201" s="504" t="s">
        <v>237</v>
      </c>
      <c r="H5201" s="397"/>
      <c r="I5201" s="397"/>
      <c r="J5201" s="750" t="e">
        <f t="shared" si="64"/>
        <v>#DIV/0!</v>
      </c>
      <c r="K5201" s="398"/>
      <c r="L5201" s="404"/>
      <c r="M5201" s="682"/>
      <c r="N5201" s="171"/>
      <c r="O5201" s="171"/>
      <c r="P5201" s="171"/>
      <c r="Q5201" s="171"/>
      <c r="R5201" s="171"/>
      <c r="S5201" s="171"/>
      <c r="T5201" s="171"/>
      <c r="U5201" s="171"/>
      <c r="V5201" s="171"/>
      <c r="W5201" s="171"/>
      <c r="X5201" s="171"/>
      <c r="Y5201" s="171"/>
      <c r="Z5201" s="171"/>
      <c r="AA5201" s="171"/>
    </row>
    <row r="5202" spans="1:27" s="530" customFormat="1" ht="13.5" hidden="1" thickBot="1" x14ac:dyDescent="0.25">
      <c r="A5202" s="526"/>
      <c r="B5202" s="527"/>
      <c r="C5202" s="534"/>
      <c r="D5202" s="535"/>
      <c r="E5202" s="535"/>
      <c r="F5202" s="503" t="s">
        <v>238</v>
      </c>
      <c r="G5202" s="504" t="s">
        <v>239</v>
      </c>
      <c r="H5202" s="397"/>
      <c r="I5202" s="397"/>
      <c r="J5202" s="750" t="e">
        <f t="shared" si="64"/>
        <v>#DIV/0!</v>
      </c>
      <c r="K5202" s="398"/>
      <c r="L5202" s="404"/>
      <c r="M5202" s="682"/>
      <c r="N5202" s="171"/>
      <c r="O5202" s="171"/>
      <c r="P5202" s="171"/>
      <c r="Q5202" s="171"/>
      <c r="R5202" s="171"/>
      <c r="S5202" s="171"/>
      <c r="T5202" s="171"/>
      <c r="U5202" s="171"/>
      <c r="V5202" s="171"/>
      <c r="W5202" s="171"/>
      <c r="X5202" s="171"/>
      <c r="Y5202" s="171"/>
      <c r="Z5202" s="171"/>
      <c r="AA5202" s="171"/>
    </row>
    <row r="5203" spans="1:27" s="530" customFormat="1" ht="13.5" hidden="1" thickBot="1" x14ac:dyDescent="0.25">
      <c r="A5203" s="526"/>
      <c r="B5203" s="527"/>
      <c r="C5203" s="534"/>
      <c r="D5203" s="535"/>
      <c r="E5203" s="535"/>
      <c r="F5203" s="503" t="s">
        <v>240</v>
      </c>
      <c r="G5203" s="504" t="s">
        <v>241</v>
      </c>
      <c r="H5203" s="397"/>
      <c r="I5203" s="397"/>
      <c r="J5203" s="750" t="e">
        <f t="shared" si="64"/>
        <v>#DIV/0!</v>
      </c>
      <c r="K5203" s="398"/>
      <c r="L5203" s="404"/>
      <c r="M5203" s="682"/>
      <c r="N5203" s="171"/>
      <c r="O5203" s="171"/>
      <c r="P5203" s="171"/>
      <c r="Q5203" s="171"/>
      <c r="R5203" s="171"/>
      <c r="S5203" s="171"/>
      <c r="T5203" s="171"/>
      <c r="U5203" s="171"/>
      <c r="V5203" s="171"/>
      <c r="W5203" s="171"/>
      <c r="X5203" s="171"/>
      <c r="Y5203" s="171"/>
      <c r="Z5203" s="171"/>
      <c r="AA5203" s="171"/>
    </row>
    <row r="5204" spans="1:27" s="530" customFormat="1" ht="13.5" hidden="1" thickBot="1" x14ac:dyDescent="0.25">
      <c r="A5204" s="526"/>
      <c r="B5204" s="527"/>
      <c r="C5204" s="534"/>
      <c r="D5204" s="535"/>
      <c r="E5204" s="535"/>
      <c r="F5204" s="503" t="s">
        <v>242</v>
      </c>
      <c r="G5204" s="504" t="s">
        <v>243</v>
      </c>
      <c r="H5204" s="397"/>
      <c r="I5204" s="397"/>
      <c r="J5204" s="750" t="e">
        <f t="shared" si="64"/>
        <v>#DIV/0!</v>
      </c>
      <c r="K5204" s="398"/>
      <c r="L5204" s="404"/>
      <c r="M5204" s="682"/>
      <c r="N5204" s="171"/>
      <c r="O5204" s="171"/>
      <c r="P5204" s="171"/>
      <c r="Q5204" s="171"/>
      <c r="R5204" s="171"/>
      <c r="S5204" s="171"/>
      <c r="T5204" s="171"/>
      <c r="U5204" s="171"/>
      <c r="V5204" s="171"/>
      <c r="W5204" s="171"/>
      <c r="X5204" s="171"/>
      <c r="Y5204" s="171"/>
      <c r="Z5204" s="171"/>
      <c r="AA5204" s="171"/>
    </row>
    <row r="5205" spans="1:27" s="530" customFormat="1" ht="13.5" hidden="1" thickBot="1" x14ac:dyDescent="0.25">
      <c r="A5205" s="526"/>
      <c r="B5205" s="527"/>
      <c r="C5205" s="534"/>
      <c r="D5205" s="535"/>
      <c r="E5205" s="535"/>
      <c r="F5205" s="503" t="s">
        <v>244</v>
      </c>
      <c r="G5205" s="504" t="s">
        <v>245</v>
      </c>
      <c r="H5205" s="397"/>
      <c r="I5205" s="397"/>
      <c r="J5205" s="750" t="e">
        <f t="shared" si="64"/>
        <v>#DIV/0!</v>
      </c>
      <c r="K5205" s="398"/>
      <c r="L5205" s="404"/>
      <c r="M5205" s="682"/>
      <c r="N5205" s="171"/>
      <c r="O5205" s="171"/>
      <c r="P5205" s="171"/>
      <c r="Q5205" s="171"/>
      <c r="R5205" s="171"/>
      <c r="S5205" s="171"/>
      <c r="T5205" s="171"/>
      <c r="U5205" s="171"/>
      <c r="V5205" s="171"/>
      <c r="W5205" s="171"/>
      <c r="X5205" s="171"/>
      <c r="Y5205" s="171"/>
      <c r="Z5205" s="171"/>
      <c r="AA5205" s="171"/>
    </row>
    <row r="5206" spans="1:27" s="530" customFormat="1" ht="13.5" hidden="1" thickBot="1" x14ac:dyDescent="0.25">
      <c r="A5206" s="526"/>
      <c r="B5206" s="527"/>
      <c r="C5206" s="534"/>
      <c r="D5206" s="535"/>
      <c r="E5206" s="535"/>
      <c r="F5206" s="503" t="s">
        <v>246</v>
      </c>
      <c r="G5206" s="504" t="s">
        <v>247</v>
      </c>
      <c r="H5206" s="397"/>
      <c r="I5206" s="397"/>
      <c r="J5206" s="750" t="e">
        <f t="shared" si="64"/>
        <v>#DIV/0!</v>
      </c>
      <c r="K5206" s="398"/>
      <c r="L5206" s="404"/>
      <c r="M5206" s="682"/>
      <c r="N5206" s="171"/>
      <c r="O5206" s="171"/>
      <c r="P5206" s="171"/>
      <c r="Q5206" s="171"/>
      <c r="R5206" s="171"/>
      <c r="S5206" s="171"/>
      <c r="T5206" s="171"/>
      <c r="U5206" s="171"/>
      <c r="V5206" s="171"/>
      <c r="W5206" s="171"/>
      <c r="X5206" s="171"/>
      <c r="Y5206" s="171"/>
      <c r="Z5206" s="171"/>
      <c r="AA5206" s="171"/>
    </row>
    <row r="5207" spans="1:27" s="530" customFormat="1" ht="26.25" hidden="1" thickBot="1" x14ac:dyDescent="0.25">
      <c r="A5207" s="526"/>
      <c r="B5207" s="527"/>
      <c r="C5207" s="534"/>
      <c r="D5207" s="535"/>
      <c r="E5207" s="535"/>
      <c r="F5207" s="503" t="s">
        <v>248</v>
      </c>
      <c r="G5207" s="504" t="s">
        <v>249</v>
      </c>
      <c r="H5207" s="397"/>
      <c r="I5207" s="397"/>
      <c r="J5207" s="750" t="e">
        <f t="shared" si="64"/>
        <v>#DIV/0!</v>
      </c>
      <c r="K5207" s="398"/>
      <c r="L5207" s="404"/>
      <c r="M5207" s="682"/>
      <c r="N5207" s="171"/>
      <c r="O5207" s="171"/>
      <c r="P5207" s="171"/>
      <c r="Q5207" s="171"/>
      <c r="R5207" s="171"/>
      <c r="S5207" s="171"/>
      <c r="T5207" s="171"/>
      <c r="U5207" s="171"/>
      <c r="V5207" s="171"/>
      <c r="W5207" s="171"/>
      <c r="X5207" s="171"/>
      <c r="Y5207" s="171"/>
      <c r="Z5207" s="171"/>
      <c r="AA5207" s="171"/>
    </row>
    <row r="5208" spans="1:27" s="530" customFormat="1" ht="13.5" hidden="1" thickBot="1" x14ac:dyDescent="0.25">
      <c r="A5208" s="526"/>
      <c r="B5208" s="527"/>
      <c r="C5208" s="534"/>
      <c r="D5208" s="535"/>
      <c r="E5208" s="535"/>
      <c r="F5208" s="503" t="s">
        <v>250</v>
      </c>
      <c r="G5208" s="504" t="s">
        <v>57</v>
      </c>
      <c r="H5208" s="397"/>
      <c r="I5208" s="397"/>
      <c r="J5208" s="750" t="e">
        <f t="shared" si="64"/>
        <v>#DIV/0!</v>
      </c>
      <c r="K5208" s="398"/>
      <c r="L5208" s="404"/>
      <c r="M5208" s="682"/>
      <c r="N5208" s="171"/>
      <c r="O5208" s="171"/>
      <c r="P5208" s="171"/>
      <c r="Q5208" s="171"/>
      <c r="R5208" s="171"/>
      <c r="S5208" s="171"/>
      <c r="T5208" s="171"/>
      <c r="U5208" s="171"/>
      <c r="V5208" s="171"/>
      <c r="W5208" s="171"/>
      <c r="X5208" s="171"/>
      <c r="Y5208" s="171"/>
      <c r="Z5208" s="171"/>
      <c r="AA5208" s="171"/>
    </row>
    <row r="5209" spans="1:27" s="530" customFormat="1" ht="13.5" hidden="1" thickBot="1" x14ac:dyDescent="0.25">
      <c r="A5209" s="526"/>
      <c r="B5209" s="527"/>
      <c r="C5209" s="534"/>
      <c r="D5209" s="535"/>
      <c r="E5209" s="535"/>
      <c r="F5209" s="503" t="s">
        <v>251</v>
      </c>
      <c r="G5209" s="504" t="s">
        <v>252</v>
      </c>
      <c r="H5209" s="397"/>
      <c r="I5209" s="397"/>
      <c r="J5209" s="750" t="e">
        <f t="shared" si="64"/>
        <v>#DIV/0!</v>
      </c>
      <c r="K5209" s="398"/>
      <c r="L5209" s="404"/>
      <c r="M5209" s="682"/>
      <c r="N5209" s="171"/>
      <c r="O5209" s="171"/>
      <c r="P5209" s="171"/>
      <c r="Q5209" s="171"/>
      <c r="R5209" s="171"/>
      <c r="S5209" s="171"/>
      <c r="T5209" s="171"/>
      <c r="U5209" s="171"/>
      <c r="V5209" s="171"/>
      <c r="W5209" s="171"/>
      <c r="X5209" s="171"/>
      <c r="Y5209" s="171"/>
      <c r="Z5209" s="171"/>
      <c r="AA5209" s="171"/>
    </row>
    <row r="5210" spans="1:27" s="530" customFormat="1" ht="13.5" hidden="1" thickBot="1" x14ac:dyDescent="0.25">
      <c r="A5210" s="526"/>
      <c r="B5210" s="527"/>
      <c r="C5210" s="534"/>
      <c r="D5210" s="535"/>
      <c r="E5210" s="535"/>
      <c r="F5210" s="503" t="s">
        <v>253</v>
      </c>
      <c r="G5210" s="504" t="s">
        <v>254</v>
      </c>
      <c r="H5210" s="397"/>
      <c r="I5210" s="397"/>
      <c r="J5210" s="750" t="e">
        <f t="shared" si="64"/>
        <v>#DIV/0!</v>
      </c>
      <c r="K5210" s="398"/>
      <c r="L5210" s="404"/>
      <c r="M5210" s="682"/>
      <c r="N5210" s="171"/>
      <c r="O5210" s="171"/>
      <c r="P5210" s="171"/>
      <c r="Q5210" s="171"/>
      <c r="R5210" s="171"/>
      <c r="S5210" s="171"/>
      <c r="T5210" s="171"/>
      <c r="U5210" s="171"/>
      <c r="V5210" s="171"/>
      <c r="W5210" s="171"/>
      <c r="X5210" s="171"/>
      <c r="Y5210" s="171"/>
      <c r="Z5210" s="171"/>
      <c r="AA5210" s="171"/>
    </row>
    <row r="5211" spans="1:27" s="530" customFormat="1" ht="26.25" hidden="1" thickBot="1" x14ac:dyDescent="0.25">
      <c r="A5211" s="526"/>
      <c r="B5211" s="527"/>
      <c r="C5211" s="534"/>
      <c r="D5211" s="535"/>
      <c r="E5211" s="535"/>
      <c r="F5211" s="503" t="s">
        <v>255</v>
      </c>
      <c r="G5211" s="504" t="s">
        <v>256</v>
      </c>
      <c r="H5211" s="397"/>
      <c r="I5211" s="397"/>
      <c r="J5211" s="750" t="e">
        <f t="shared" si="64"/>
        <v>#DIV/0!</v>
      </c>
      <c r="K5211" s="398"/>
      <c r="L5211" s="404"/>
      <c r="M5211" s="682"/>
      <c r="N5211" s="171"/>
      <c r="O5211" s="171"/>
      <c r="P5211" s="171"/>
      <c r="Q5211" s="171"/>
      <c r="R5211" s="171"/>
      <c r="S5211" s="171"/>
      <c r="T5211" s="171"/>
      <c r="U5211" s="171"/>
      <c r="V5211" s="171"/>
      <c r="W5211" s="171"/>
      <c r="X5211" s="171"/>
      <c r="Y5211" s="171"/>
      <c r="Z5211" s="171"/>
      <c r="AA5211" s="171"/>
    </row>
    <row r="5212" spans="1:27" s="530" customFormat="1" ht="26.25" hidden="1" thickBot="1" x14ac:dyDescent="0.25">
      <c r="A5212" s="526"/>
      <c r="B5212" s="527"/>
      <c r="C5212" s="534"/>
      <c r="D5212" s="535"/>
      <c r="E5212" s="535"/>
      <c r="F5212" s="503" t="s">
        <v>257</v>
      </c>
      <c r="G5212" s="504" t="s">
        <v>258</v>
      </c>
      <c r="H5212" s="397"/>
      <c r="I5212" s="397"/>
      <c r="J5212" s="750" t="e">
        <f t="shared" si="64"/>
        <v>#DIV/0!</v>
      </c>
      <c r="K5212" s="398"/>
      <c r="L5212" s="404"/>
      <c r="M5212" s="682"/>
      <c r="N5212" s="171"/>
      <c r="O5212" s="171"/>
      <c r="P5212" s="171"/>
      <c r="Q5212" s="171"/>
      <c r="R5212" s="171"/>
      <c r="S5212" s="171"/>
      <c r="T5212" s="171"/>
      <c r="U5212" s="171"/>
      <c r="V5212" s="171"/>
      <c r="W5212" s="171"/>
      <c r="X5212" s="171"/>
      <c r="Y5212" s="171"/>
      <c r="Z5212" s="171"/>
      <c r="AA5212" s="171"/>
    </row>
    <row r="5213" spans="1:27" s="530" customFormat="1" ht="26.25" hidden="1" thickBot="1" x14ac:dyDescent="0.25">
      <c r="A5213" s="526"/>
      <c r="B5213" s="527"/>
      <c r="C5213" s="534"/>
      <c r="D5213" s="535"/>
      <c r="E5213" s="535"/>
      <c r="F5213" s="503" t="s">
        <v>259</v>
      </c>
      <c r="G5213" s="504" t="s">
        <v>260</v>
      </c>
      <c r="H5213" s="397"/>
      <c r="I5213" s="397"/>
      <c r="J5213" s="750" t="e">
        <f t="shared" si="64"/>
        <v>#DIV/0!</v>
      </c>
      <c r="K5213" s="398"/>
      <c r="L5213" s="404"/>
      <c r="M5213" s="682"/>
      <c r="N5213" s="171"/>
      <c r="O5213" s="171"/>
      <c r="P5213" s="171"/>
      <c r="Q5213" s="171"/>
      <c r="R5213" s="171"/>
      <c r="S5213" s="171"/>
      <c r="T5213" s="171"/>
      <c r="U5213" s="171"/>
      <c r="V5213" s="171"/>
      <c r="W5213" s="171"/>
      <c r="X5213" s="171"/>
      <c r="Y5213" s="171"/>
      <c r="Z5213" s="171"/>
      <c r="AA5213" s="171"/>
    </row>
    <row r="5214" spans="1:27" s="530" customFormat="1" ht="26.25" hidden="1" thickBot="1" x14ac:dyDescent="0.25">
      <c r="A5214" s="526"/>
      <c r="B5214" s="527"/>
      <c r="C5214" s="534"/>
      <c r="D5214" s="535"/>
      <c r="E5214" s="535"/>
      <c r="F5214" s="503" t="s">
        <v>261</v>
      </c>
      <c r="G5214" s="504" t="s">
        <v>262</v>
      </c>
      <c r="H5214" s="397"/>
      <c r="I5214" s="397"/>
      <c r="J5214" s="750" t="e">
        <f t="shared" si="64"/>
        <v>#DIV/0!</v>
      </c>
      <c r="K5214" s="398"/>
      <c r="L5214" s="404"/>
      <c r="M5214" s="682"/>
      <c r="N5214" s="171"/>
      <c r="O5214" s="171"/>
      <c r="P5214" s="171"/>
      <c r="Q5214" s="171"/>
      <c r="R5214" s="171"/>
      <c r="S5214" s="171"/>
      <c r="T5214" s="171"/>
      <c r="U5214" s="171"/>
      <c r="V5214" s="171"/>
      <c r="W5214" s="171"/>
      <c r="X5214" s="171"/>
      <c r="Y5214" s="171"/>
      <c r="Z5214" s="171"/>
      <c r="AA5214" s="171"/>
    </row>
    <row r="5215" spans="1:27" s="530" customFormat="1" ht="13.5" hidden="1" thickBot="1" x14ac:dyDescent="0.25">
      <c r="A5215" s="526"/>
      <c r="B5215" s="527"/>
      <c r="C5215" s="534"/>
      <c r="D5215" s="535"/>
      <c r="E5215" s="535"/>
      <c r="F5215" s="503" t="s">
        <v>263</v>
      </c>
      <c r="G5215" s="504" t="s">
        <v>264</v>
      </c>
      <c r="H5215" s="403"/>
      <c r="I5215" s="403"/>
      <c r="J5215" s="750" t="e">
        <f t="shared" si="64"/>
        <v>#DIV/0!</v>
      </c>
      <c r="K5215" s="404"/>
      <c r="L5215" s="404"/>
      <c r="M5215" s="682"/>
      <c r="N5215" s="171"/>
      <c r="O5215" s="171"/>
      <c r="P5215" s="171"/>
      <c r="Q5215" s="171"/>
      <c r="R5215" s="171"/>
      <c r="S5215" s="171"/>
      <c r="T5215" s="171"/>
      <c r="U5215" s="171"/>
      <c r="V5215" s="171"/>
      <c r="W5215" s="171"/>
      <c r="X5215" s="171"/>
      <c r="Y5215" s="171"/>
      <c r="Z5215" s="171"/>
      <c r="AA5215" s="171"/>
    </row>
    <row r="5216" spans="1:27" s="530" customFormat="1" ht="13.5" thickBot="1" x14ac:dyDescent="0.25">
      <c r="A5216" s="526"/>
      <c r="B5216" s="527"/>
      <c r="C5216" s="534"/>
      <c r="D5216" s="535"/>
      <c r="E5216" s="535"/>
      <c r="F5216" s="464"/>
      <c r="G5216" s="505" t="s">
        <v>4267</v>
      </c>
      <c r="H5216" s="405">
        <f>SUM(H5200:H5215)</f>
        <v>3650000</v>
      </c>
      <c r="I5216" s="405">
        <f>SUM(I5200)</f>
        <v>3125836.02</v>
      </c>
      <c r="J5216" s="750">
        <f t="shared" si="64"/>
        <v>85.639343013698635</v>
      </c>
      <c r="K5216" s="406">
        <f>SUM(K5201:K5215)</f>
        <v>0</v>
      </c>
      <c r="L5216" s="406"/>
      <c r="M5216" s="682"/>
      <c r="N5216" s="171"/>
      <c r="O5216" s="171"/>
      <c r="P5216" s="171"/>
      <c r="Q5216" s="171"/>
      <c r="R5216" s="171"/>
      <c r="S5216" s="171"/>
      <c r="T5216" s="171"/>
      <c r="U5216" s="171"/>
      <c r="V5216" s="171"/>
      <c r="W5216" s="171"/>
      <c r="X5216" s="171"/>
      <c r="Y5216" s="171"/>
      <c r="Z5216" s="171"/>
      <c r="AA5216" s="171"/>
    </row>
    <row r="5217" spans="1:27" s="530" customFormat="1" x14ac:dyDescent="0.2">
      <c r="A5217" s="526"/>
      <c r="B5217" s="527"/>
      <c r="C5217" s="534"/>
      <c r="D5217" s="535"/>
      <c r="E5217" s="535"/>
      <c r="F5217" s="167"/>
      <c r="G5217" s="513"/>
      <c r="H5217" s="422"/>
      <c r="I5217" s="422"/>
      <c r="J5217" s="750"/>
      <c r="K5217" s="423"/>
      <c r="L5217" s="424"/>
      <c r="M5217" s="682"/>
      <c r="N5217" s="171"/>
      <c r="O5217" s="171"/>
      <c r="P5217" s="171"/>
      <c r="Q5217" s="171"/>
      <c r="R5217" s="171"/>
      <c r="S5217" s="171"/>
      <c r="T5217" s="171"/>
      <c r="U5217" s="171"/>
      <c r="V5217" s="171"/>
      <c r="W5217" s="171"/>
      <c r="X5217" s="171"/>
      <c r="Y5217" s="171"/>
      <c r="Z5217" s="171"/>
      <c r="AA5217" s="171"/>
    </row>
    <row r="5218" spans="1:27" s="530" customFormat="1" hidden="1" x14ac:dyDescent="0.2">
      <c r="A5218" s="526"/>
      <c r="B5218" s="527"/>
      <c r="C5218" s="534"/>
      <c r="D5218" s="535"/>
      <c r="E5218" s="535"/>
      <c r="F5218" s="167"/>
      <c r="G5218" s="513"/>
      <c r="H5218" s="422"/>
      <c r="I5218" s="422"/>
      <c r="J5218" s="750"/>
      <c r="K5218" s="423"/>
      <c r="L5218" s="424"/>
      <c r="M5218" s="682"/>
      <c r="N5218" s="171"/>
      <c r="O5218" s="171"/>
      <c r="P5218" s="171"/>
      <c r="Q5218" s="171"/>
      <c r="R5218" s="171"/>
      <c r="S5218" s="171"/>
      <c r="T5218" s="171"/>
      <c r="U5218" s="171"/>
      <c r="V5218" s="171"/>
      <c r="W5218" s="171"/>
      <c r="X5218" s="171"/>
      <c r="Y5218" s="171"/>
      <c r="Z5218" s="171"/>
      <c r="AA5218" s="171"/>
    </row>
    <row r="5219" spans="1:27" ht="25.5" x14ac:dyDescent="0.2">
      <c r="C5219" s="489" t="s">
        <v>3597</v>
      </c>
      <c r="D5219" s="490"/>
      <c r="G5219" s="513" t="s">
        <v>4310</v>
      </c>
      <c r="H5219" s="397"/>
      <c r="I5219" s="397"/>
      <c r="J5219" s="750"/>
      <c r="K5219" s="398"/>
      <c r="L5219" s="398"/>
      <c r="M5219" s="682"/>
    </row>
    <row r="5220" spans="1:27" ht="28.5" customHeight="1" x14ac:dyDescent="0.2">
      <c r="C5220" s="489" t="s">
        <v>4128</v>
      </c>
      <c r="D5220" s="490"/>
      <c r="G5220" s="513" t="s">
        <v>4129</v>
      </c>
      <c r="H5220" s="397"/>
      <c r="I5220" s="397"/>
      <c r="J5220" s="750"/>
      <c r="K5220" s="398"/>
      <c r="L5220" s="398"/>
      <c r="M5220" s="682"/>
    </row>
    <row r="5221" spans="1:27" s="530" customFormat="1" x14ac:dyDescent="0.2">
      <c r="A5221" s="526"/>
      <c r="B5221" s="527"/>
      <c r="C5221" s="528"/>
      <c r="D5221" s="569" t="s">
        <v>4009</v>
      </c>
      <c r="E5221" s="538"/>
      <c r="F5221" s="538"/>
      <c r="G5221" s="539" t="s">
        <v>206</v>
      </c>
      <c r="H5221" s="425"/>
      <c r="I5221" s="425"/>
      <c r="J5221" s="750"/>
      <c r="K5221" s="243"/>
      <c r="L5221" s="243"/>
      <c r="M5221" s="682"/>
      <c r="N5221" s="171"/>
      <c r="O5221" s="171"/>
      <c r="P5221" s="171"/>
      <c r="Q5221" s="171"/>
      <c r="R5221" s="171"/>
      <c r="S5221" s="171"/>
      <c r="T5221" s="171"/>
      <c r="U5221" s="171"/>
      <c r="V5221" s="171"/>
      <c r="W5221" s="171"/>
      <c r="X5221" s="171"/>
      <c r="Y5221" s="171"/>
      <c r="Z5221" s="171"/>
      <c r="AA5221" s="171"/>
    </row>
    <row r="5222" spans="1:27" hidden="1" x14ac:dyDescent="0.2">
      <c r="C5222" s="489"/>
      <c r="F5222" s="494">
        <v>411</v>
      </c>
      <c r="G5222" s="495" t="s">
        <v>4167</v>
      </c>
      <c r="H5222" s="397"/>
      <c r="I5222" s="397"/>
      <c r="J5222" s="750" t="e">
        <f t="shared" si="64"/>
        <v>#DIV/0!</v>
      </c>
      <c r="K5222" s="398"/>
      <c r="L5222" s="398"/>
      <c r="M5222" s="682"/>
    </row>
    <row r="5223" spans="1:27" hidden="1" x14ac:dyDescent="0.2">
      <c r="C5223" s="489"/>
      <c r="F5223" s="494">
        <v>412</v>
      </c>
      <c r="G5223" s="496" t="s">
        <v>3764</v>
      </c>
      <c r="H5223" s="397"/>
      <c r="I5223" s="397"/>
      <c r="J5223" s="750" t="e">
        <f t="shared" si="64"/>
        <v>#DIV/0!</v>
      </c>
      <c r="K5223" s="398"/>
      <c r="L5223" s="398"/>
      <c r="M5223" s="682"/>
    </row>
    <row r="5224" spans="1:27" hidden="1" x14ac:dyDescent="0.2">
      <c r="C5224" s="489"/>
      <c r="F5224" s="494">
        <v>413</v>
      </c>
      <c r="G5224" s="495" t="s">
        <v>4168</v>
      </c>
      <c r="H5224" s="397"/>
      <c r="I5224" s="397"/>
      <c r="J5224" s="750" t="e">
        <f t="shared" si="64"/>
        <v>#DIV/0!</v>
      </c>
      <c r="K5224" s="398"/>
      <c r="L5224" s="398"/>
      <c r="M5224" s="682"/>
    </row>
    <row r="5225" spans="1:27" hidden="1" x14ac:dyDescent="0.2">
      <c r="C5225" s="489"/>
      <c r="F5225" s="494">
        <v>414</v>
      </c>
      <c r="G5225" s="495" t="s">
        <v>3767</v>
      </c>
      <c r="H5225" s="397"/>
      <c r="I5225" s="397"/>
      <c r="J5225" s="750" t="e">
        <f t="shared" si="64"/>
        <v>#DIV/0!</v>
      </c>
      <c r="K5225" s="398"/>
      <c r="L5225" s="398"/>
      <c r="M5225" s="682"/>
    </row>
    <row r="5226" spans="1:27" hidden="1" x14ac:dyDescent="0.2">
      <c r="C5226" s="489"/>
      <c r="F5226" s="494">
        <v>415</v>
      </c>
      <c r="G5226" s="495" t="s">
        <v>4177</v>
      </c>
      <c r="H5226" s="397"/>
      <c r="I5226" s="397"/>
      <c r="J5226" s="750" t="e">
        <f t="shared" si="64"/>
        <v>#DIV/0!</v>
      </c>
      <c r="K5226" s="398"/>
      <c r="L5226" s="398"/>
      <c r="M5226" s="682"/>
    </row>
    <row r="5227" spans="1:27" ht="25.5" hidden="1" x14ac:dyDescent="0.2">
      <c r="C5227" s="489"/>
      <c r="F5227" s="494">
        <v>416</v>
      </c>
      <c r="G5227" s="495" t="s">
        <v>4178</v>
      </c>
      <c r="H5227" s="397"/>
      <c r="I5227" s="397"/>
      <c r="J5227" s="750" t="e">
        <f t="shared" si="64"/>
        <v>#DIV/0!</v>
      </c>
      <c r="K5227" s="398"/>
      <c r="L5227" s="398"/>
      <c r="M5227" s="682"/>
    </row>
    <row r="5228" spans="1:27" hidden="1" x14ac:dyDescent="0.2">
      <c r="C5228" s="489"/>
      <c r="F5228" s="494">
        <v>417</v>
      </c>
      <c r="G5228" s="495" t="s">
        <v>4179</v>
      </c>
      <c r="H5228" s="397"/>
      <c r="I5228" s="397"/>
      <c r="J5228" s="750" t="e">
        <f t="shared" si="64"/>
        <v>#DIV/0!</v>
      </c>
      <c r="K5228" s="398"/>
      <c r="L5228" s="398"/>
      <c r="M5228" s="682"/>
    </row>
    <row r="5229" spans="1:27" hidden="1" x14ac:dyDescent="0.2">
      <c r="C5229" s="489"/>
      <c r="F5229" s="494">
        <v>418</v>
      </c>
      <c r="G5229" s="495" t="s">
        <v>3773</v>
      </c>
      <c r="H5229" s="397"/>
      <c r="I5229" s="397"/>
      <c r="J5229" s="750" t="e">
        <f t="shared" si="64"/>
        <v>#DIV/0!</v>
      </c>
      <c r="K5229" s="398"/>
      <c r="L5229" s="398"/>
      <c r="M5229" s="682"/>
    </row>
    <row r="5230" spans="1:27" hidden="1" x14ac:dyDescent="0.2">
      <c r="C5230" s="489"/>
      <c r="F5230" s="494">
        <v>421</v>
      </c>
      <c r="G5230" s="495" t="s">
        <v>3777</v>
      </c>
      <c r="H5230" s="397"/>
      <c r="I5230" s="397"/>
      <c r="J5230" s="750" t="e">
        <f t="shared" si="64"/>
        <v>#DIV/0!</v>
      </c>
      <c r="K5230" s="398"/>
      <c r="L5230" s="398"/>
      <c r="M5230" s="682"/>
    </row>
    <row r="5231" spans="1:27" hidden="1" x14ac:dyDescent="0.2">
      <c r="C5231" s="489"/>
      <c r="F5231" s="494">
        <v>422</v>
      </c>
      <c r="G5231" s="495" t="s">
        <v>3778</v>
      </c>
      <c r="H5231" s="397"/>
      <c r="I5231" s="397"/>
      <c r="J5231" s="750" t="e">
        <f t="shared" si="64"/>
        <v>#DIV/0!</v>
      </c>
      <c r="K5231" s="398"/>
      <c r="L5231" s="398"/>
      <c r="M5231" s="682"/>
    </row>
    <row r="5232" spans="1:27" hidden="1" x14ac:dyDescent="0.2">
      <c r="C5232" s="489"/>
      <c r="F5232" s="494">
        <v>423</v>
      </c>
      <c r="G5232" s="495" t="s">
        <v>3779</v>
      </c>
      <c r="H5232" s="397"/>
      <c r="I5232" s="397"/>
      <c r="J5232" s="750" t="e">
        <f t="shared" si="64"/>
        <v>#DIV/0!</v>
      </c>
      <c r="K5232" s="398"/>
      <c r="L5232" s="398"/>
      <c r="M5232" s="682"/>
    </row>
    <row r="5233" spans="3:13" hidden="1" x14ac:dyDescent="0.2">
      <c r="C5233" s="489"/>
      <c r="F5233" s="494">
        <v>424</v>
      </c>
      <c r="G5233" s="495" t="s">
        <v>3781</v>
      </c>
      <c r="H5233" s="397"/>
      <c r="I5233" s="397"/>
      <c r="J5233" s="750" t="e">
        <f t="shared" si="64"/>
        <v>#DIV/0!</v>
      </c>
      <c r="K5233" s="398"/>
      <c r="L5233" s="398"/>
      <c r="M5233" s="682"/>
    </row>
    <row r="5234" spans="3:13" hidden="1" x14ac:dyDescent="0.2">
      <c r="C5234" s="489"/>
      <c r="F5234" s="494">
        <v>425</v>
      </c>
      <c r="G5234" s="495" t="s">
        <v>4180</v>
      </c>
      <c r="H5234" s="397"/>
      <c r="I5234" s="397"/>
      <c r="J5234" s="750" t="e">
        <f t="shared" si="64"/>
        <v>#DIV/0!</v>
      </c>
      <c r="K5234" s="398"/>
      <c r="L5234" s="398"/>
      <c r="M5234" s="682"/>
    </row>
    <row r="5235" spans="3:13" hidden="1" x14ac:dyDescent="0.2">
      <c r="C5235" s="489"/>
      <c r="F5235" s="494">
        <v>426</v>
      </c>
      <c r="G5235" s="495" t="s">
        <v>3785</v>
      </c>
      <c r="H5235" s="397"/>
      <c r="I5235" s="397"/>
      <c r="J5235" s="750" t="e">
        <f t="shared" si="64"/>
        <v>#DIV/0!</v>
      </c>
      <c r="K5235" s="398"/>
      <c r="L5235" s="398"/>
      <c r="M5235" s="682"/>
    </row>
    <row r="5236" spans="3:13" hidden="1" x14ac:dyDescent="0.2">
      <c r="C5236" s="489"/>
      <c r="F5236" s="494">
        <v>431</v>
      </c>
      <c r="G5236" s="495" t="s">
        <v>4181</v>
      </c>
      <c r="H5236" s="397"/>
      <c r="I5236" s="397"/>
      <c r="J5236" s="750" t="e">
        <f t="shared" si="64"/>
        <v>#DIV/0!</v>
      </c>
      <c r="K5236" s="398"/>
      <c r="L5236" s="398"/>
      <c r="M5236" s="682"/>
    </row>
    <row r="5237" spans="3:13" hidden="1" x14ac:dyDescent="0.2">
      <c r="C5237" s="489"/>
      <c r="F5237" s="494">
        <v>432</v>
      </c>
      <c r="G5237" s="495" t="s">
        <v>4182</v>
      </c>
      <c r="H5237" s="397"/>
      <c r="I5237" s="397"/>
      <c r="J5237" s="750" t="e">
        <f t="shared" si="64"/>
        <v>#DIV/0!</v>
      </c>
      <c r="K5237" s="398"/>
      <c r="L5237" s="398"/>
      <c r="M5237" s="682"/>
    </row>
    <row r="5238" spans="3:13" hidden="1" x14ac:dyDescent="0.2">
      <c r="C5238" s="489"/>
      <c r="F5238" s="494">
        <v>433</v>
      </c>
      <c r="G5238" s="495" t="s">
        <v>4183</v>
      </c>
      <c r="H5238" s="397"/>
      <c r="I5238" s="397"/>
      <c r="J5238" s="750" t="e">
        <f t="shared" si="64"/>
        <v>#DIV/0!</v>
      </c>
      <c r="K5238" s="398"/>
      <c r="L5238" s="398"/>
      <c r="M5238" s="682"/>
    </row>
    <row r="5239" spans="3:13" hidden="1" x14ac:dyDescent="0.2">
      <c r="C5239" s="489"/>
      <c r="F5239" s="494">
        <v>434</v>
      </c>
      <c r="G5239" s="495" t="s">
        <v>4184</v>
      </c>
      <c r="H5239" s="397"/>
      <c r="I5239" s="397"/>
      <c r="J5239" s="750" t="e">
        <f t="shared" si="64"/>
        <v>#DIV/0!</v>
      </c>
      <c r="K5239" s="398"/>
      <c r="L5239" s="398"/>
      <c r="M5239" s="682"/>
    </row>
    <row r="5240" spans="3:13" hidden="1" x14ac:dyDescent="0.2">
      <c r="C5240" s="489"/>
      <c r="F5240" s="494">
        <v>435</v>
      </c>
      <c r="G5240" s="495" t="s">
        <v>3792</v>
      </c>
      <c r="H5240" s="397"/>
      <c r="I5240" s="397"/>
      <c r="J5240" s="750" t="e">
        <f t="shared" si="64"/>
        <v>#DIV/0!</v>
      </c>
      <c r="K5240" s="398"/>
      <c r="L5240" s="398"/>
      <c r="M5240" s="682"/>
    </row>
    <row r="5241" spans="3:13" hidden="1" x14ac:dyDescent="0.2">
      <c r="C5241" s="489"/>
      <c r="F5241" s="494">
        <v>441</v>
      </c>
      <c r="G5241" s="495" t="s">
        <v>4185</v>
      </c>
      <c r="H5241" s="397"/>
      <c r="I5241" s="397"/>
      <c r="J5241" s="750" t="e">
        <f t="shared" si="64"/>
        <v>#DIV/0!</v>
      </c>
      <c r="K5241" s="398"/>
      <c r="L5241" s="398"/>
      <c r="M5241" s="682"/>
    </row>
    <row r="5242" spans="3:13" hidden="1" x14ac:dyDescent="0.2">
      <c r="C5242" s="489"/>
      <c r="F5242" s="494">
        <v>442</v>
      </c>
      <c r="G5242" s="495" t="s">
        <v>4186</v>
      </c>
      <c r="H5242" s="397"/>
      <c r="I5242" s="397"/>
      <c r="J5242" s="750" t="e">
        <f t="shared" si="64"/>
        <v>#DIV/0!</v>
      </c>
      <c r="K5242" s="398"/>
      <c r="L5242" s="398"/>
      <c r="M5242" s="682"/>
    </row>
    <row r="5243" spans="3:13" hidden="1" x14ac:dyDescent="0.2">
      <c r="C5243" s="489"/>
      <c r="F5243" s="494">
        <v>443</v>
      </c>
      <c r="G5243" s="495" t="s">
        <v>3797</v>
      </c>
      <c r="H5243" s="397"/>
      <c r="I5243" s="397"/>
      <c r="J5243" s="750" t="e">
        <f t="shared" si="64"/>
        <v>#DIV/0!</v>
      </c>
      <c r="K5243" s="398"/>
      <c r="L5243" s="398"/>
      <c r="M5243" s="682"/>
    </row>
    <row r="5244" spans="3:13" hidden="1" x14ac:dyDescent="0.2">
      <c r="C5244" s="489"/>
      <c r="F5244" s="494">
        <v>444</v>
      </c>
      <c r="G5244" s="495" t="s">
        <v>3798</v>
      </c>
      <c r="H5244" s="397"/>
      <c r="I5244" s="397"/>
      <c r="J5244" s="750" t="e">
        <f t="shared" si="64"/>
        <v>#DIV/0!</v>
      </c>
      <c r="K5244" s="398"/>
      <c r="L5244" s="398"/>
      <c r="M5244" s="682"/>
    </row>
    <row r="5245" spans="3:13" ht="25.5" hidden="1" x14ac:dyDescent="0.2">
      <c r="C5245" s="489"/>
      <c r="F5245" s="494">
        <v>4511</v>
      </c>
      <c r="G5245" s="466" t="s">
        <v>1692</v>
      </c>
      <c r="H5245" s="397"/>
      <c r="I5245" s="397"/>
      <c r="J5245" s="750" t="e">
        <f t="shared" si="64"/>
        <v>#DIV/0!</v>
      </c>
      <c r="K5245" s="398"/>
      <c r="L5245" s="398"/>
      <c r="M5245" s="682"/>
    </row>
    <row r="5246" spans="3:13" ht="16.5" hidden="1" customHeight="1" x14ac:dyDescent="0.2">
      <c r="C5246" s="489"/>
      <c r="F5246" s="494">
        <v>4512</v>
      </c>
      <c r="G5246" s="466" t="s">
        <v>1701</v>
      </c>
      <c r="H5246" s="397"/>
      <c r="I5246" s="397"/>
      <c r="J5246" s="750" t="e">
        <f t="shared" si="64"/>
        <v>#DIV/0!</v>
      </c>
      <c r="K5246" s="398"/>
      <c r="L5246" s="398"/>
      <c r="M5246" s="682"/>
    </row>
    <row r="5247" spans="3:13" ht="25.5" hidden="1" x14ac:dyDescent="0.2">
      <c r="C5247" s="489"/>
      <c r="F5247" s="494">
        <v>452</v>
      </c>
      <c r="G5247" s="495" t="s">
        <v>4187</v>
      </c>
      <c r="H5247" s="397"/>
      <c r="I5247" s="397"/>
      <c r="J5247" s="750" t="e">
        <f t="shared" si="64"/>
        <v>#DIV/0!</v>
      </c>
      <c r="K5247" s="398"/>
      <c r="L5247" s="398"/>
      <c r="M5247" s="682"/>
    </row>
    <row r="5248" spans="3:13" ht="25.5" hidden="1" x14ac:dyDescent="0.2">
      <c r="C5248" s="489"/>
      <c r="F5248" s="494">
        <v>453</v>
      </c>
      <c r="G5248" s="495" t="s">
        <v>4188</v>
      </c>
      <c r="H5248" s="397"/>
      <c r="I5248" s="397"/>
      <c r="J5248" s="750" t="e">
        <f t="shared" si="64"/>
        <v>#DIV/0!</v>
      </c>
      <c r="K5248" s="398"/>
      <c r="L5248" s="398"/>
      <c r="M5248" s="682"/>
    </row>
    <row r="5249" spans="3:13" hidden="1" x14ac:dyDescent="0.2">
      <c r="C5249" s="489"/>
      <c r="F5249" s="494">
        <v>454</v>
      </c>
      <c r="G5249" s="495" t="s">
        <v>3803</v>
      </c>
      <c r="H5249" s="397"/>
      <c r="I5249" s="397"/>
      <c r="J5249" s="750" t="e">
        <f t="shared" si="64"/>
        <v>#DIV/0!</v>
      </c>
      <c r="K5249" s="398"/>
      <c r="L5249" s="398"/>
      <c r="M5249" s="682"/>
    </row>
    <row r="5250" spans="3:13" hidden="1" x14ac:dyDescent="0.2">
      <c r="C5250" s="489"/>
      <c r="F5250" s="494">
        <v>461</v>
      </c>
      <c r="G5250" s="495" t="s">
        <v>4169</v>
      </c>
      <c r="H5250" s="397"/>
      <c r="I5250" s="397"/>
      <c r="J5250" s="750" t="e">
        <f t="shared" si="64"/>
        <v>#DIV/0!</v>
      </c>
      <c r="K5250" s="398"/>
      <c r="L5250" s="398"/>
      <c r="M5250" s="682"/>
    </row>
    <row r="5251" spans="3:13" ht="25.5" hidden="1" x14ac:dyDescent="0.2">
      <c r="C5251" s="489"/>
      <c r="F5251" s="494">
        <v>462</v>
      </c>
      <c r="G5251" s="495" t="s">
        <v>3806</v>
      </c>
      <c r="H5251" s="397"/>
      <c r="I5251" s="397"/>
      <c r="J5251" s="750" t="e">
        <f t="shared" si="64"/>
        <v>#DIV/0!</v>
      </c>
      <c r="K5251" s="398"/>
      <c r="L5251" s="398"/>
      <c r="M5251" s="682"/>
    </row>
    <row r="5252" spans="3:13" hidden="1" x14ac:dyDescent="0.2">
      <c r="C5252" s="489"/>
      <c r="F5252" s="494">
        <v>4631</v>
      </c>
      <c r="G5252" s="495" t="s">
        <v>3807</v>
      </c>
      <c r="H5252" s="397"/>
      <c r="I5252" s="397"/>
      <c r="J5252" s="750" t="e">
        <f t="shared" si="64"/>
        <v>#DIV/0!</v>
      </c>
      <c r="K5252" s="398"/>
      <c r="L5252" s="398"/>
      <c r="M5252" s="682"/>
    </row>
    <row r="5253" spans="3:13" hidden="1" x14ac:dyDescent="0.2">
      <c r="C5253" s="489"/>
      <c r="F5253" s="494">
        <v>4632</v>
      </c>
      <c r="G5253" s="495" t="s">
        <v>3808</v>
      </c>
      <c r="H5253" s="397"/>
      <c r="I5253" s="397"/>
      <c r="J5253" s="750" t="e">
        <f t="shared" si="64"/>
        <v>#DIV/0!</v>
      </c>
      <c r="K5253" s="398"/>
      <c r="L5253" s="398"/>
      <c r="M5253" s="682"/>
    </row>
    <row r="5254" spans="3:13" ht="25.5" hidden="1" x14ac:dyDescent="0.2">
      <c r="C5254" s="489"/>
      <c r="F5254" s="494">
        <v>464</v>
      </c>
      <c r="G5254" s="495" t="s">
        <v>3809</v>
      </c>
      <c r="H5254" s="397"/>
      <c r="I5254" s="397"/>
      <c r="J5254" s="750" t="e">
        <f t="shared" si="64"/>
        <v>#DIV/0!</v>
      </c>
      <c r="K5254" s="398"/>
      <c r="L5254" s="398"/>
      <c r="M5254" s="682"/>
    </row>
    <row r="5255" spans="3:13" hidden="1" x14ac:dyDescent="0.2">
      <c r="C5255" s="489"/>
      <c r="F5255" s="494">
        <v>465</v>
      </c>
      <c r="G5255" s="495" t="s">
        <v>4170</v>
      </c>
      <c r="H5255" s="397"/>
      <c r="I5255" s="397"/>
      <c r="J5255" s="750" t="e">
        <f t="shared" si="64"/>
        <v>#DIV/0!</v>
      </c>
      <c r="K5255" s="398"/>
      <c r="L5255" s="398"/>
      <c r="M5255" s="682"/>
    </row>
    <row r="5256" spans="3:13" hidden="1" x14ac:dyDescent="0.2">
      <c r="C5256" s="489"/>
      <c r="F5256" s="494">
        <v>472</v>
      </c>
      <c r="G5256" s="495" t="s">
        <v>3813</v>
      </c>
      <c r="H5256" s="397"/>
      <c r="I5256" s="397"/>
      <c r="J5256" s="750" t="e">
        <f t="shared" si="64"/>
        <v>#DIV/0!</v>
      </c>
      <c r="K5256" s="398"/>
      <c r="L5256" s="398"/>
      <c r="M5256" s="682"/>
    </row>
    <row r="5257" spans="3:13" ht="13.5" thickBot="1" x14ac:dyDescent="0.25">
      <c r="C5257" s="489"/>
      <c r="E5257" s="464">
        <v>57</v>
      </c>
      <c r="F5257" s="494">
        <v>481</v>
      </c>
      <c r="G5257" s="495" t="s">
        <v>4189</v>
      </c>
      <c r="H5257" s="397">
        <v>9410000</v>
      </c>
      <c r="I5257" s="397">
        <v>8903849.6099999994</v>
      </c>
      <c r="J5257" s="750">
        <f t="shared" si="64"/>
        <v>94.621143570669503</v>
      </c>
      <c r="K5257" s="398"/>
      <c r="L5257" s="398"/>
      <c r="M5257" s="682"/>
    </row>
    <row r="5258" spans="3:13" ht="13.5" hidden="1" thickBot="1" x14ac:dyDescent="0.25">
      <c r="C5258" s="489"/>
      <c r="F5258" s="494">
        <v>482</v>
      </c>
      <c r="G5258" s="495" t="s">
        <v>4190</v>
      </c>
      <c r="H5258" s="397"/>
      <c r="I5258" s="397"/>
      <c r="J5258" s="750" t="e">
        <f t="shared" si="64"/>
        <v>#DIV/0!</v>
      </c>
      <c r="K5258" s="398"/>
      <c r="L5258" s="398"/>
      <c r="M5258" s="682"/>
    </row>
    <row r="5259" spans="3:13" ht="13.5" hidden="1" thickBot="1" x14ac:dyDescent="0.25">
      <c r="C5259" s="489"/>
      <c r="F5259" s="494">
        <v>483</v>
      </c>
      <c r="G5259" s="497" t="s">
        <v>4191</v>
      </c>
      <c r="H5259" s="397"/>
      <c r="I5259" s="397"/>
      <c r="J5259" s="750" t="e">
        <f t="shared" si="64"/>
        <v>#DIV/0!</v>
      </c>
      <c r="K5259" s="398"/>
      <c r="L5259" s="398"/>
      <c r="M5259" s="682"/>
    </row>
    <row r="5260" spans="3:13" ht="39" hidden="1" thickBot="1" x14ac:dyDescent="0.25">
      <c r="C5260" s="489"/>
      <c r="F5260" s="494">
        <v>484</v>
      </c>
      <c r="G5260" s="495" t="s">
        <v>4192</v>
      </c>
      <c r="H5260" s="397"/>
      <c r="I5260" s="397"/>
      <c r="J5260" s="750" t="e">
        <f t="shared" si="64"/>
        <v>#DIV/0!</v>
      </c>
      <c r="K5260" s="398"/>
      <c r="L5260" s="398"/>
      <c r="M5260" s="682"/>
    </row>
    <row r="5261" spans="3:13" ht="26.25" hidden="1" thickBot="1" x14ac:dyDescent="0.25">
      <c r="C5261" s="489"/>
      <c r="F5261" s="494">
        <v>485</v>
      </c>
      <c r="G5261" s="495" t="s">
        <v>4193</v>
      </c>
      <c r="H5261" s="397"/>
      <c r="I5261" s="397"/>
      <c r="J5261" s="750" t="e">
        <f t="shared" ref="J5261:J5324" si="65">SUM(I5261/H5261)*100</f>
        <v>#DIV/0!</v>
      </c>
      <c r="K5261" s="398"/>
      <c r="L5261" s="398"/>
      <c r="M5261" s="682"/>
    </row>
    <row r="5262" spans="3:13" ht="26.25" hidden="1" thickBot="1" x14ac:dyDescent="0.25">
      <c r="C5262" s="489"/>
      <c r="F5262" s="494">
        <v>489</v>
      </c>
      <c r="G5262" s="495" t="s">
        <v>3821</v>
      </c>
      <c r="H5262" s="397"/>
      <c r="I5262" s="397"/>
      <c r="J5262" s="750" t="e">
        <f t="shared" si="65"/>
        <v>#DIV/0!</v>
      </c>
      <c r="K5262" s="398"/>
      <c r="L5262" s="398"/>
      <c r="M5262" s="682"/>
    </row>
    <row r="5263" spans="3:13" ht="26.25" hidden="1" thickBot="1" x14ac:dyDescent="0.25">
      <c r="C5263" s="489"/>
      <c r="F5263" s="494">
        <v>494</v>
      </c>
      <c r="G5263" s="495" t="s">
        <v>4171</v>
      </c>
      <c r="H5263" s="397"/>
      <c r="I5263" s="397"/>
      <c r="J5263" s="750" t="e">
        <f t="shared" si="65"/>
        <v>#DIV/0!</v>
      </c>
      <c r="K5263" s="398"/>
      <c r="L5263" s="398"/>
      <c r="M5263" s="682"/>
    </row>
    <row r="5264" spans="3:13" ht="26.25" hidden="1" thickBot="1" x14ac:dyDescent="0.25">
      <c r="C5264" s="489"/>
      <c r="F5264" s="494">
        <v>495</v>
      </c>
      <c r="G5264" s="495" t="s">
        <v>4172</v>
      </c>
      <c r="H5264" s="397"/>
      <c r="I5264" s="397"/>
      <c r="J5264" s="750" t="e">
        <f t="shared" si="65"/>
        <v>#DIV/0!</v>
      </c>
      <c r="K5264" s="398"/>
      <c r="L5264" s="398"/>
      <c r="M5264" s="682"/>
    </row>
    <row r="5265" spans="3:13" ht="39" hidden="1" thickBot="1" x14ac:dyDescent="0.25">
      <c r="C5265" s="489"/>
      <c r="F5265" s="494">
        <v>496</v>
      </c>
      <c r="G5265" s="495" t="s">
        <v>4173</v>
      </c>
      <c r="H5265" s="397"/>
      <c r="I5265" s="397"/>
      <c r="J5265" s="750" t="e">
        <f t="shared" si="65"/>
        <v>#DIV/0!</v>
      </c>
      <c r="K5265" s="398"/>
      <c r="L5265" s="398"/>
      <c r="M5265" s="682"/>
    </row>
    <row r="5266" spans="3:13" ht="26.25" hidden="1" thickBot="1" x14ac:dyDescent="0.25">
      <c r="C5266" s="489"/>
      <c r="F5266" s="494">
        <v>499</v>
      </c>
      <c r="G5266" s="495" t="s">
        <v>4174</v>
      </c>
      <c r="H5266" s="397"/>
      <c r="I5266" s="397"/>
      <c r="J5266" s="750" t="e">
        <f t="shared" si="65"/>
        <v>#DIV/0!</v>
      </c>
      <c r="K5266" s="398"/>
      <c r="L5266" s="398"/>
      <c r="M5266" s="682"/>
    </row>
    <row r="5267" spans="3:13" ht="13.5" hidden="1" thickBot="1" x14ac:dyDescent="0.25">
      <c r="C5267" s="489"/>
      <c r="F5267" s="494">
        <v>511</v>
      </c>
      <c r="G5267" s="497" t="s">
        <v>4194</v>
      </c>
      <c r="H5267" s="397"/>
      <c r="I5267" s="397"/>
      <c r="J5267" s="750" t="e">
        <f t="shared" si="65"/>
        <v>#DIV/0!</v>
      </c>
      <c r="K5267" s="398"/>
      <c r="L5267" s="398"/>
      <c r="M5267" s="682"/>
    </row>
    <row r="5268" spans="3:13" ht="13.5" hidden="1" thickBot="1" x14ac:dyDescent="0.25">
      <c r="C5268" s="489"/>
      <c r="F5268" s="494">
        <v>512</v>
      </c>
      <c r="G5268" s="497" t="s">
        <v>4195</v>
      </c>
      <c r="H5268" s="397"/>
      <c r="I5268" s="397"/>
      <c r="J5268" s="750" t="e">
        <f t="shared" si="65"/>
        <v>#DIV/0!</v>
      </c>
      <c r="K5268" s="398"/>
      <c r="L5268" s="398"/>
      <c r="M5268" s="682"/>
    </row>
    <row r="5269" spans="3:13" ht="13.5" hidden="1" thickBot="1" x14ac:dyDescent="0.25">
      <c r="C5269" s="489"/>
      <c r="F5269" s="494">
        <v>513</v>
      </c>
      <c r="G5269" s="497" t="s">
        <v>4196</v>
      </c>
      <c r="H5269" s="397"/>
      <c r="I5269" s="397"/>
      <c r="J5269" s="750" t="e">
        <f t="shared" si="65"/>
        <v>#DIV/0!</v>
      </c>
      <c r="K5269" s="398"/>
      <c r="L5269" s="398"/>
      <c r="M5269" s="682"/>
    </row>
    <row r="5270" spans="3:13" ht="13.5" hidden="1" thickBot="1" x14ac:dyDescent="0.25">
      <c r="C5270" s="489"/>
      <c r="F5270" s="494">
        <v>514</v>
      </c>
      <c r="G5270" s="495" t="s">
        <v>4197</v>
      </c>
      <c r="H5270" s="397"/>
      <c r="I5270" s="397"/>
      <c r="J5270" s="750" t="e">
        <f t="shared" si="65"/>
        <v>#DIV/0!</v>
      </c>
      <c r="K5270" s="398"/>
      <c r="L5270" s="398"/>
      <c r="M5270" s="682"/>
    </row>
    <row r="5271" spans="3:13" ht="13.5" hidden="1" thickBot="1" x14ac:dyDescent="0.25">
      <c r="C5271" s="489"/>
      <c r="F5271" s="494">
        <v>515</v>
      </c>
      <c r="G5271" s="495" t="s">
        <v>3832</v>
      </c>
      <c r="H5271" s="397"/>
      <c r="I5271" s="397"/>
      <c r="J5271" s="750" t="e">
        <f t="shared" si="65"/>
        <v>#DIV/0!</v>
      </c>
      <c r="K5271" s="398"/>
      <c r="L5271" s="398"/>
      <c r="M5271" s="682"/>
    </row>
    <row r="5272" spans="3:13" ht="13.5" hidden="1" thickBot="1" x14ac:dyDescent="0.25">
      <c r="C5272" s="489"/>
      <c r="F5272" s="494">
        <v>521</v>
      </c>
      <c r="G5272" s="495" t="s">
        <v>4198</v>
      </c>
      <c r="H5272" s="397"/>
      <c r="I5272" s="397"/>
      <c r="J5272" s="750" t="e">
        <f t="shared" si="65"/>
        <v>#DIV/0!</v>
      </c>
      <c r="K5272" s="398"/>
      <c r="L5272" s="398"/>
      <c r="M5272" s="682"/>
    </row>
    <row r="5273" spans="3:13" ht="13.5" hidden="1" thickBot="1" x14ac:dyDescent="0.25">
      <c r="C5273" s="489"/>
      <c r="F5273" s="494">
        <v>522</v>
      </c>
      <c r="G5273" s="495" t="s">
        <v>4199</v>
      </c>
      <c r="H5273" s="397"/>
      <c r="I5273" s="397"/>
      <c r="J5273" s="750" t="e">
        <f t="shared" si="65"/>
        <v>#DIV/0!</v>
      </c>
      <c r="K5273" s="398"/>
      <c r="L5273" s="398"/>
      <c r="M5273" s="682"/>
    </row>
    <row r="5274" spans="3:13" ht="13.5" hidden="1" thickBot="1" x14ac:dyDescent="0.25">
      <c r="C5274" s="489"/>
      <c r="F5274" s="494">
        <v>523</v>
      </c>
      <c r="G5274" s="495" t="s">
        <v>3837</v>
      </c>
      <c r="H5274" s="397"/>
      <c r="I5274" s="397"/>
      <c r="J5274" s="750" t="e">
        <f t="shared" si="65"/>
        <v>#DIV/0!</v>
      </c>
      <c r="K5274" s="398"/>
      <c r="L5274" s="398"/>
      <c r="M5274" s="682"/>
    </row>
    <row r="5275" spans="3:13" ht="13.5" hidden="1" thickBot="1" x14ac:dyDescent="0.25">
      <c r="C5275" s="489"/>
      <c r="F5275" s="494">
        <v>531</v>
      </c>
      <c r="G5275" s="496" t="s">
        <v>4175</v>
      </c>
      <c r="H5275" s="397"/>
      <c r="I5275" s="397"/>
      <c r="J5275" s="750" t="e">
        <f t="shared" si="65"/>
        <v>#DIV/0!</v>
      </c>
      <c r="K5275" s="398"/>
      <c r="L5275" s="398"/>
      <c r="M5275" s="682"/>
    </row>
    <row r="5276" spans="3:13" ht="13.5" hidden="1" thickBot="1" x14ac:dyDescent="0.25">
      <c r="C5276" s="489"/>
      <c r="F5276" s="494">
        <v>541</v>
      </c>
      <c r="G5276" s="495" t="s">
        <v>4200</v>
      </c>
      <c r="H5276" s="397"/>
      <c r="I5276" s="397"/>
      <c r="J5276" s="750" t="e">
        <f t="shared" si="65"/>
        <v>#DIV/0!</v>
      </c>
      <c r="K5276" s="398"/>
      <c r="L5276" s="398"/>
      <c r="M5276" s="682"/>
    </row>
    <row r="5277" spans="3:13" ht="13.5" hidden="1" thickBot="1" x14ac:dyDescent="0.25">
      <c r="C5277" s="489"/>
      <c r="F5277" s="494">
        <v>542</v>
      </c>
      <c r="G5277" s="495" t="s">
        <v>4201</v>
      </c>
      <c r="H5277" s="397"/>
      <c r="I5277" s="397"/>
      <c r="J5277" s="750" t="e">
        <f t="shared" si="65"/>
        <v>#DIV/0!</v>
      </c>
      <c r="K5277" s="398"/>
      <c r="L5277" s="398"/>
      <c r="M5277" s="682"/>
    </row>
    <row r="5278" spans="3:13" ht="13.5" hidden="1" thickBot="1" x14ac:dyDescent="0.25">
      <c r="C5278" s="489"/>
      <c r="F5278" s="494">
        <v>543</v>
      </c>
      <c r="G5278" s="495" t="s">
        <v>3842</v>
      </c>
      <c r="H5278" s="397"/>
      <c r="I5278" s="397"/>
      <c r="J5278" s="750" t="e">
        <f t="shared" si="65"/>
        <v>#DIV/0!</v>
      </c>
      <c r="K5278" s="398"/>
      <c r="L5278" s="398"/>
      <c r="M5278" s="682"/>
    </row>
    <row r="5279" spans="3:13" ht="39" hidden="1" thickBot="1" x14ac:dyDescent="0.25">
      <c r="C5279" s="489"/>
      <c r="F5279" s="494">
        <v>551</v>
      </c>
      <c r="G5279" s="495" t="s">
        <v>4176</v>
      </c>
      <c r="H5279" s="397"/>
      <c r="I5279" s="397"/>
      <c r="J5279" s="750" t="e">
        <f t="shared" si="65"/>
        <v>#DIV/0!</v>
      </c>
      <c r="K5279" s="398"/>
      <c r="L5279" s="398"/>
      <c r="M5279" s="682"/>
    </row>
    <row r="5280" spans="3:13" ht="13.5" hidden="1" thickBot="1" x14ac:dyDescent="0.25">
      <c r="C5280" s="489"/>
      <c r="F5280" s="498">
        <v>611</v>
      </c>
      <c r="G5280" s="499" t="s">
        <v>3848</v>
      </c>
      <c r="H5280" s="397"/>
      <c r="I5280" s="397"/>
      <c r="J5280" s="750" t="e">
        <f t="shared" si="65"/>
        <v>#DIV/0!</v>
      </c>
      <c r="K5280" s="398"/>
      <c r="L5280" s="398"/>
      <c r="M5280" s="682"/>
    </row>
    <row r="5281" spans="3:13" ht="13.5" hidden="1" thickBot="1" x14ac:dyDescent="0.25">
      <c r="C5281" s="489"/>
      <c r="F5281" s="498">
        <v>620</v>
      </c>
      <c r="G5281" s="499" t="s">
        <v>88</v>
      </c>
      <c r="H5281" s="397"/>
      <c r="I5281" s="397"/>
      <c r="J5281" s="750" t="e">
        <f t="shared" si="65"/>
        <v>#DIV/0!</v>
      </c>
      <c r="K5281" s="398"/>
      <c r="L5281" s="398"/>
      <c r="M5281" s="682"/>
    </row>
    <row r="5282" spans="3:13" x14ac:dyDescent="0.2">
      <c r="C5282" s="489"/>
      <c r="E5282" s="500"/>
      <c r="F5282" s="498"/>
      <c r="G5282" s="509" t="s">
        <v>4371</v>
      </c>
      <c r="H5282" s="400"/>
      <c r="I5282" s="400"/>
      <c r="J5282" s="750"/>
      <c r="K5282" s="401"/>
      <c r="L5282" s="402"/>
      <c r="M5282" s="682"/>
    </row>
    <row r="5283" spans="3:13" ht="13.5" thickBot="1" x14ac:dyDescent="0.25">
      <c r="C5283" s="489"/>
      <c r="E5283" s="502"/>
      <c r="F5283" s="503" t="s">
        <v>234</v>
      </c>
      <c r="G5283" s="504" t="s">
        <v>235</v>
      </c>
      <c r="H5283" s="403">
        <f>SUM(H5222:H5281)</f>
        <v>9410000</v>
      </c>
      <c r="I5283" s="403">
        <f>SUM(I5257)</f>
        <v>8903849.6099999994</v>
      </c>
      <c r="J5283" s="750">
        <f t="shared" si="65"/>
        <v>94.621143570669503</v>
      </c>
      <c r="K5283" s="404"/>
      <c r="L5283" s="404"/>
      <c r="M5283" s="682"/>
    </row>
    <row r="5284" spans="3:13" ht="13.5" hidden="1" thickBot="1" x14ac:dyDescent="0.25">
      <c r="C5284" s="489"/>
      <c r="F5284" s="503" t="s">
        <v>236</v>
      </c>
      <c r="G5284" s="504" t="s">
        <v>237</v>
      </c>
      <c r="H5284" s="397"/>
      <c r="I5284" s="397"/>
      <c r="J5284" s="750" t="e">
        <f t="shared" si="65"/>
        <v>#DIV/0!</v>
      </c>
      <c r="K5284" s="398"/>
      <c r="L5284" s="404"/>
      <c r="M5284" s="682"/>
    </row>
    <row r="5285" spans="3:13" ht="13.5" hidden="1" thickBot="1" x14ac:dyDescent="0.25">
      <c r="C5285" s="489"/>
      <c r="F5285" s="503" t="s">
        <v>238</v>
      </c>
      <c r="G5285" s="504" t="s">
        <v>239</v>
      </c>
      <c r="H5285" s="397"/>
      <c r="I5285" s="397"/>
      <c r="J5285" s="750" t="e">
        <f t="shared" si="65"/>
        <v>#DIV/0!</v>
      </c>
      <c r="K5285" s="398"/>
      <c r="L5285" s="404"/>
      <c r="M5285" s="682"/>
    </row>
    <row r="5286" spans="3:13" ht="13.5" hidden="1" thickBot="1" x14ac:dyDescent="0.25">
      <c r="C5286" s="489"/>
      <c r="F5286" s="503" t="s">
        <v>240</v>
      </c>
      <c r="G5286" s="504" t="s">
        <v>241</v>
      </c>
      <c r="H5286" s="397"/>
      <c r="I5286" s="397"/>
      <c r="J5286" s="750" t="e">
        <f t="shared" si="65"/>
        <v>#DIV/0!</v>
      </c>
      <c r="K5286" s="398"/>
      <c r="L5286" s="404"/>
      <c r="M5286" s="682"/>
    </row>
    <row r="5287" spans="3:13" ht="13.5" hidden="1" thickBot="1" x14ac:dyDescent="0.25">
      <c r="C5287" s="489"/>
      <c r="F5287" s="503" t="s">
        <v>242</v>
      </c>
      <c r="G5287" s="504" t="s">
        <v>243</v>
      </c>
      <c r="H5287" s="397"/>
      <c r="I5287" s="397"/>
      <c r="J5287" s="750" t="e">
        <f t="shared" si="65"/>
        <v>#DIV/0!</v>
      </c>
      <c r="K5287" s="398"/>
      <c r="L5287" s="404"/>
      <c r="M5287" s="682"/>
    </row>
    <row r="5288" spans="3:13" ht="13.5" hidden="1" thickBot="1" x14ac:dyDescent="0.25">
      <c r="C5288" s="489"/>
      <c r="F5288" s="503" t="s">
        <v>244</v>
      </c>
      <c r="G5288" s="504" t="s">
        <v>245</v>
      </c>
      <c r="H5288" s="397"/>
      <c r="I5288" s="397"/>
      <c r="J5288" s="750" t="e">
        <f t="shared" si="65"/>
        <v>#DIV/0!</v>
      </c>
      <c r="K5288" s="398"/>
      <c r="L5288" s="404"/>
      <c r="M5288" s="682"/>
    </row>
    <row r="5289" spans="3:13" ht="13.5" hidden="1" thickBot="1" x14ac:dyDescent="0.25">
      <c r="C5289" s="489"/>
      <c r="F5289" s="503" t="s">
        <v>246</v>
      </c>
      <c r="G5289" s="504" t="s">
        <v>247</v>
      </c>
      <c r="H5289" s="397"/>
      <c r="I5289" s="397"/>
      <c r="J5289" s="750" t="e">
        <f t="shared" si="65"/>
        <v>#DIV/0!</v>
      </c>
      <c r="K5289" s="398"/>
      <c r="L5289" s="404"/>
      <c r="M5289" s="682"/>
    </row>
    <row r="5290" spans="3:13" ht="26.25" hidden="1" thickBot="1" x14ac:dyDescent="0.25">
      <c r="C5290" s="489"/>
      <c r="F5290" s="503" t="s">
        <v>248</v>
      </c>
      <c r="G5290" s="504" t="s">
        <v>249</v>
      </c>
      <c r="H5290" s="397"/>
      <c r="I5290" s="397"/>
      <c r="J5290" s="750" t="e">
        <f t="shared" si="65"/>
        <v>#DIV/0!</v>
      </c>
      <c r="K5290" s="398"/>
      <c r="L5290" s="404"/>
      <c r="M5290" s="682"/>
    </row>
    <row r="5291" spans="3:13" ht="13.5" hidden="1" thickBot="1" x14ac:dyDescent="0.25">
      <c r="C5291" s="489"/>
      <c r="F5291" s="503" t="s">
        <v>250</v>
      </c>
      <c r="G5291" s="504" t="s">
        <v>57</v>
      </c>
      <c r="H5291" s="397"/>
      <c r="I5291" s="397"/>
      <c r="J5291" s="750" t="e">
        <f t="shared" si="65"/>
        <v>#DIV/0!</v>
      </c>
      <c r="K5291" s="398"/>
      <c r="L5291" s="404"/>
      <c r="M5291" s="682"/>
    </row>
    <row r="5292" spans="3:13" ht="13.5" hidden="1" thickBot="1" x14ac:dyDescent="0.25">
      <c r="C5292" s="489"/>
      <c r="F5292" s="503" t="s">
        <v>251</v>
      </c>
      <c r="G5292" s="504" t="s">
        <v>252</v>
      </c>
      <c r="H5292" s="397"/>
      <c r="I5292" s="397"/>
      <c r="J5292" s="750" t="e">
        <f t="shared" si="65"/>
        <v>#DIV/0!</v>
      </c>
      <c r="K5292" s="398"/>
      <c r="L5292" s="404"/>
      <c r="M5292" s="682"/>
    </row>
    <row r="5293" spans="3:13" ht="13.5" hidden="1" thickBot="1" x14ac:dyDescent="0.25">
      <c r="C5293" s="489"/>
      <c r="F5293" s="503" t="s">
        <v>253</v>
      </c>
      <c r="G5293" s="504" t="s">
        <v>254</v>
      </c>
      <c r="H5293" s="397"/>
      <c r="I5293" s="397"/>
      <c r="J5293" s="750" t="e">
        <f t="shared" si="65"/>
        <v>#DIV/0!</v>
      </c>
      <c r="K5293" s="398"/>
      <c r="L5293" s="404"/>
      <c r="M5293" s="682"/>
    </row>
    <row r="5294" spans="3:13" ht="26.25" hidden="1" thickBot="1" x14ac:dyDescent="0.25">
      <c r="C5294" s="489"/>
      <c r="F5294" s="503" t="s">
        <v>255</v>
      </c>
      <c r="G5294" s="504" t="s">
        <v>256</v>
      </c>
      <c r="H5294" s="397"/>
      <c r="I5294" s="397"/>
      <c r="J5294" s="750" t="e">
        <f t="shared" si="65"/>
        <v>#DIV/0!</v>
      </c>
      <c r="K5294" s="398"/>
      <c r="L5294" s="404"/>
      <c r="M5294" s="682"/>
    </row>
    <row r="5295" spans="3:13" ht="26.25" hidden="1" thickBot="1" x14ac:dyDescent="0.25">
      <c r="C5295" s="489"/>
      <c r="F5295" s="503" t="s">
        <v>257</v>
      </c>
      <c r="G5295" s="504" t="s">
        <v>258</v>
      </c>
      <c r="H5295" s="397"/>
      <c r="I5295" s="397"/>
      <c r="J5295" s="750" t="e">
        <f t="shared" si="65"/>
        <v>#DIV/0!</v>
      </c>
      <c r="K5295" s="398"/>
      <c r="L5295" s="404"/>
      <c r="M5295" s="682"/>
    </row>
    <row r="5296" spans="3:13" ht="26.25" hidden="1" thickBot="1" x14ac:dyDescent="0.25">
      <c r="C5296" s="489"/>
      <c r="F5296" s="503" t="s">
        <v>259</v>
      </c>
      <c r="G5296" s="504" t="s">
        <v>260</v>
      </c>
      <c r="H5296" s="397"/>
      <c r="I5296" s="397"/>
      <c r="J5296" s="750" t="e">
        <f t="shared" si="65"/>
        <v>#DIV/0!</v>
      </c>
      <c r="K5296" s="398"/>
      <c r="L5296" s="404"/>
      <c r="M5296" s="682"/>
    </row>
    <row r="5297" spans="3:13" ht="26.25" hidden="1" thickBot="1" x14ac:dyDescent="0.25">
      <c r="C5297" s="489"/>
      <c r="F5297" s="503" t="s">
        <v>261</v>
      </c>
      <c r="G5297" s="504" t="s">
        <v>262</v>
      </c>
      <c r="H5297" s="397"/>
      <c r="I5297" s="397"/>
      <c r="J5297" s="750" t="e">
        <f t="shared" si="65"/>
        <v>#DIV/0!</v>
      </c>
      <c r="K5297" s="398"/>
      <c r="L5297" s="404"/>
      <c r="M5297" s="682"/>
    </row>
    <row r="5298" spans="3:13" ht="13.5" hidden="1" thickBot="1" x14ac:dyDescent="0.25">
      <c r="C5298" s="489"/>
      <c r="F5298" s="503" t="s">
        <v>263</v>
      </c>
      <c r="G5298" s="504" t="s">
        <v>264</v>
      </c>
      <c r="H5298" s="403"/>
      <c r="I5298" s="403"/>
      <c r="J5298" s="750" t="e">
        <f t="shared" si="65"/>
        <v>#DIV/0!</v>
      </c>
      <c r="K5298" s="404"/>
      <c r="L5298" s="404"/>
      <c r="M5298" s="682"/>
    </row>
    <row r="5299" spans="3:13" ht="13.5" thickBot="1" x14ac:dyDescent="0.25">
      <c r="C5299" s="489"/>
      <c r="G5299" s="505" t="s">
        <v>4311</v>
      </c>
      <c r="H5299" s="405">
        <f>SUM(H5283:H5298)</f>
        <v>9410000</v>
      </c>
      <c r="I5299" s="405">
        <f>SUM(I5283:I5298)</f>
        <v>8903849.6099999994</v>
      </c>
      <c r="J5299" s="750">
        <f t="shared" si="65"/>
        <v>94.621143570669503</v>
      </c>
      <c r="K5299" s="406">
        <f>SUM(K5284:K5298)</f>
        <v>0</v>
      </c>
      <c r="L5299" s="406"/>
      <c r="M5299" s="682"/>
    </row>
    <row r="5300" spans="3:13" ht="25.5" collapsed="1" x14ac:dyDescent="0.2">
      <c r="C5300" s="489"/>
      <c r="E5300" s="500"/>
      <c r="F5300" s="498"/>
      <c r="G5300" s="506" t="s">
        <v>4372</v>
      </c>
      <c r="H5300" s="407"/>
      <c r="I5300" s="408"/>
      <c r="J5300" s="750"/>
      <c r="K5300" s="409"/>
      <c r="L5300" s="410"/>
      <c r="M5300" s="682"/>
    </row>
    <row r="5301" spans="3:13" ht="13.5" thickBot="1" x14ac:dyDescent="0.25">
      <c r="C5301" s="489"/>
      <c r="E5301" s="502"/>
      <c r="F5301" s="503" t="s">
        <v>234</v>
      </c>
      <c r="G5301" s="504" t="s">
        <v>235</v>
      </c>
      <c r="H5301" s="403">
        <f>SUM(H5222:H5281)</f>
        <v>9410000</v>
      </c>
      <c r="I5301" s="403">
        <f>SUM(I5299)</f>
        <v>8903849.6099999994</v>
      </c>
      <c r="J5301" s="750">
        <f t="shared" si="65"/>
        <v>94.621143570669503</v>
      </c>
      <c r="K5301" s="404"/>
      <c r="L5301" s="404"/>
      <c r="M5301" s="682"/>
    </row>
    <row r="5302" spans="3:13" ht="13.5" hidden="1" thickBot="1" x14ac:dyDescent="0.25">
      <c r="C5302" s="489"/>
      <c r="F5302" s="503" t="s">
        <v>236</v>
      </c>
      <c r="G5302" s="504" t="s">
        <v>237</v>
      </c>
      <c r="H5302" s="397"/>
      <c r="I5302" s="397"/>
      <c r="J5302" s="750" t="e">
        <f t="shared" si="65"/>
        <v>#DIV/0!</v>
      </c>
      <c r="K5302" s="398"/>
      <c r="L5302" s="404"/>
      <c r="M5302" s="682"/>
    </row>
    <row r="5303" spans="3:13" ht="13.5" hidden="1" thickBot="1" x14ac:dyDescent="0.25">
      <c r="C5303" s="489"/>
      <c r="F5303" s="503" t="s">
        <v>238</v>
      </c>
      <c r="G5303" s="504" t="s">
        <v>239</v>
      </c>
      <c r="H5303" s="397"/>
      <c r="I5303" s="397"/>
      <c r="J5303" s="750" t="e">
        <f t="shared" si="65"/>
        <v>#DIV/0!</v>
      </c>
      <c r="K5303" s="398"/>
      <c r="L5303" s="404"/>
      <c r="M5303" s="682"/>
    </row>
    <row r="5304" spans="3:13" ht="13.5" hidden="1" thickBot="1" x14ac:dyDescent="0.25">
      <c r="C5304" s="489"/>
      <c r="F5304" s="503" t="s">
        <v>240</v>
      </c>
      <c r="G5304" s="504" t="s">
        <v>241</v>
      </c>
      <c r="H5304" s="397"/>
      <c r="I5304" s="397"/>
      <c r="J5304" s="750" t="e">
        <f t="shared" si="65"/>
        <v>#DIV/0!</v>
      </c>
      <c r="K5304" s="398"/>
      <c r="L5304" s="404"/>
      <c r="M5304" s="682"/>
    </row>
    <row r="5305" spans="3:13" ht="13.5" hidden="1" thickBot="1" x14ac:dyDescent="0.25">
      <c r="C5305" s="489"/>
      <c r="F5305" s="503" t="s">
        <v>242</v>
      </c>
      <c r="G5305" s="504" t="s">
        <v>243</v>
      </c>
      <c r="H5305" s="397"/>
      <c r="I5305" s="397"/>
      <c r="J5305" s="750" t="e">
        <f t="shared" si="65"/>
        <v>#DIV/0!</v>
      </c>
      <c r="K5305" s="398"/>
      <c r="L5305" s="404"/>
      <c r="M5305" s="682"/>
    </row>
    <row r="5306" spans="3:13" ht="13.5" hidden="1" thickBot="1" x14ac:dyDescent="0.25">
      <c r="C5306" s="489"/>
      <c r="F5306" s="503" t="s">
        <v>244</v>
      </c>
      <c r="G5306" s="504" t="s">
        <v>245</v>
      </c>
      <c r="H5306" s="397"/>
      <c r="I5306" s="397"/>
      <c r="J5306" s="750" t="e">
        <f t="shared" si="65"/>
        <v>#DIV/0!</v>
      </c>
      <c r="K5306" s="398"/>
      <c r="L5306" s="404"/>
      <c r="M5306" s="682"/>
    </row>
    <row r="5307" spans="3:13" ht="13.5" hidden="1" thickBot="1" x14ac:dyDescent="0.25">
      <c r="C5307" s="489"/>
      <c r="F5307" s="503" t="s">
        <v>246</v>
      </c>
      <c r="G5307" s="504" t="s">
        <v>247</v>
      </c>
      <c r="H5307" s="397"/>
      <c r="I5307" s="397"/>
      <c r="J5307" s="750" t="e">
        <f t="shared" si="65"/>
        <v>#DIV/0!</v>
      </c>
      <c r="K5307" s="398"/>
      <c r="L5307" s="404"/>
      <c r="M5307" s="682"/>
    </row>
    <row r="5308" spans="3:13" ht="26.25" hidden="1" thickBot="1" x14ac:dyDescent="0.25">
      <c r="C5308" s="489"/>
      <c r="F5308" s="503" t="s">
        <v>248</v>
      </c>
      <c r="G5308" s="504" t="s">
        <v>249</v>
      </c>
      <c r="H5308" s="397"/>
      <c r="I5308" s="397"/>
      <c r="J5308" s="750" t="e">
        <f t="shared" si="65"/>
        <v>#DIV/0!</v>
      </c>
      <c r="K5308" s="398"/>
      <c r="L5308" s="404"/>
      <c r="M5308" s="682"/>
    </row>
    <row r="5309" spans="3:13" ht="13.5" hidden="1" thickBot="1" x14ac:dyDescent="0.25">
      <c r="C5309" s="489"/>
      <c r="F5309" s="503" t="s">
        <v>250</v>
      </c>
      <c r="G5309" s="504" t="s">
        <v>57</v>
      </c>
      <c r="H5309" s="397"/>
      <c r="I5309" s="397"/>
      <c r="J5309" s="750" t="e">
        <f t="shared" si="65"/>
        <v>#DIV/0!</v>
      </c>
      <c r="K5309" s="398"/>
      <c r="L5309" s="404"/>
      <c r="M5309" s="682"/>
    </row>
    <row r="5310" spans="3:13" ht="13.5" hidden="1" thickBot="1" x14ac:dyDescent="0.25">
      <c r="C5310" s="489"/>
      <c r="F5310" s="503" t="s">
        <v>251</v>
      </c>
      <c r="G5310" s="504" t="s">
        <v>252</v>
      </c>
      <c r="H5310" s="397"/>
      <c r="I5310" s="397"/>
      <c r="J5310" s="750" t="e">
        <f t="shared" si="65"/>
        <v>#DIV/0!</v>
      </c>
      <c r="K5310" s="398"/>
      <c r="L5310" s="404"/>
      <c r="M5310" s="682"/>
    </row>
    <row r="5311" spans="3:13" ht="13.5" hidden="1" thickBot="1" x14ac:dyDescent="0.25">
      <c r="C5311" s="489"/>
      <c r="F5311" s="503" t="s">
        <v>253</v>
      </c>
      <c r="G5311" s="504" t="s">
        <v>254</v>
      </c>
      <c r="H5311" s="397"/>
      <c r="I5311" s="397"/>
      <c r="J5311" s="750" t="e">
        <f t="shared" si="65"/>
        <v>#DIV/0!</v>
      </c>
      <c r="K5311" s="398"/>
      <c r="L5311" s="404"/>
      <c r="M5311" s="682"/>
    </row>
    <row r="5312" spans="3:13" ht="26.25" hidden="1" thickBot="1" x14ac:dyDescent="0.25">
      <c r="C5312" s="489"/>
      <c r="F5312" s="503" t="s">
        <v>255</v>
      </c>
      <c r="G5312" s="504" t="s">
        <v>256</v>
      </c>
      <c r="H5312" s="397"/>
      <c r="I5312" s="397"/>
      <c r="J5312" s="750" t="e">
        <f t="shared" si="65"/>
        <v>#DIV/0!</v>
      </c>
      <c r="K5312" s="398"/>
      <c r="L5312" s="404"/>
      <c r="M5312" s="682"/>
    </row>
    <row r="5313" spans="1:27" ht="26.25" hidden="1" thickBot="1" x14ac:dyDescent="0.25">
      <c r="C5313" s="489"/>
      <c r="F5313" s="503" t="s">
        <v>257</v>
      </c>
      <c r="G5313" s="504" t="s">
        <v>258</v>
      </c>
      <c r="H5313" s="397"/>
      <c r="I5313" s="397"/>
      <c r="J5313" s="750" t="e">
        <f t="shared" si="65"/>
        <v>#DIV/0!</v>
      </c>
      <c r="K5313" s="398"/>
      <c r="L5313" s="404"/>
      <c r="M5313" s="682"/>
    </row>
    <row r="5314" spans="1:27" ht="26.25" hidden="1" thickBot="1" x14ac:dyDescent="0.25">
      <c r="C5314" s="489"/>
      <c r="F5314" s="503" t="s">
        <v>259</v>
      </c>
      <c r="G5314" s="504" t="s">
        <v>260</v>
      </c>
      <c r="H5314" s="397"/>
      <c r="I5314" s="397"/>
      <c r="J5314" s="750" t="e">
        <f t="shared" si="65"/>
        <v>#DIV/0!</v>
      </c>
      <c r="K5314" s="398"/>
      <c r="L5314" s="404"/>
      <c r="M5314" s="682"/>
    </row>
    <row r="5315" spans="1:27" ht="26.25" hidden="1" thickBot="1" x14ac:dyDescent="0.25">
      <c r="C5315" s="489"/>
      <c r="F5315" s="503" t="s">
        <v>261</v>
      </c>
      <c r="G5315" s="504" t="s">
        <v>262</v>
      </c>
      <c r="H5315" s="397"/>
      <c r="I5315" s="397"/>
      <c r="J5315" s="750" t="e">
        <f t="shared" si="65"/>
        <v>#DIV/0!</v>
      </c>
      <c r="K5315" s="398"/>
      <c r="L5315" s="404"/>
      <c r="M5315" s="682"/>
    </row>
    <row r="5316" spans="1:27" ht="13.5" hidden="1" thickBot="1" x14ac:dyDescent="0.25">
      <c r="C5316" s="489"/>
      <c r="F5316" s="503" t="s">
        <v>263</v>
      </c>
      <c r="G5316" s="504" t="s">
        <v>264</v>
      </c>
      <c r="H5316" s="403"/>
      <c r="I5316" s="403"/>
      <c r="J5316" s="750" t="e">
        <f t="shared" si="65"/>
        <v>#DIV/0!</v>
      </c>
      <c r="K5316" s="404"/>
      <c r="L5316" s="404"/>
      <c r="M5316" s="682"/>
    </row>
    <row r="5317" spans="1:27" ht="13.5" collapsed="1" thickBot="1" x14ac:dyDescent="0.25">
      <c r="C5317" s="489"/>
      <c r="G5317" s="505" t="s">
        <v>4373</v>
      </c>
      <c r="H5317" s="405">
        <f>SUM(H5301:H5316)</f>
        <v>9410000</v>
      </c>
      <c r="I5317" s="405">
        <f>SUM(I5301)</f>
        <v>8903849.6099999994</v>
      </c>
      <c r="J5317" s="750">
        <f t="shared" si="65"/>
        <v>94.621143570669503</v>
      </c>
      <c r="K5317" s="406">
        <f>SUM(K5302:K5316)</f>
        <v>0</v>
      </c>
      <c r="L5317" s="406"/>
      <c r="M5317" s="682"/>
    </row>
    <row r="5318" spans="1:27" hidden="1" x14ac:dyDescent="0.2">
      <c r="C5318" s="489"/>
      <c r="G5318" s="513"/>
      <c r="H5318" s="397"/>
      <c r="I5318" s="397"/>
      <c r="J5318" s="750" t="e">
        <f t="shared" si="65"/>
        <v>#DIV/0!</v>
      </c>
      <c r="K5318" s="398"/>
      <c r="L5318" s="398"/>
      <c r="M5318" s="682"/>
    </row>
    <row r="5319" spans="1:27" ht="38.25" hidden="1" x14ac:dyDescent="0.2">
      <c r="C5319" s="489" t="s">
        <v>4130</v>
      </c>
      <c r="G5319" s="513" t="s">
        <v>4131</v>
      </c>
      <c r="H5319" s="397"/>
      <c r="I5319" s="397"/>
      <c r="J5319" s="750" t="e">
        <f t="shared" si="65"/>
        <v>#DIV/0!</v>
      </c>
      <c r="K5319" s="398"/>
      <c r="L5319" s="398"/>
      <c r="M5319" s="682"/>
    </row>
    <row r="5320" spans="1:27" s="530" customFormat="1" hidden="1" x14ac:dyDescent="0.2">
      <c r="A5320" s="526"/>
      <c r="B5320" s="527"/>
      <c r="C5320" s="528"/>
      <c r="D5320" s="569" t="s">
        <v>4009</v>
      </c>
      <c r="E5320" s="538"/>
      <c r="F5320" s="538"/>
      <c r="G5320" s="539" t="s">
        <v>206</v>
      </c>
      <c r="H5320" s="425"/>
      <c r="I5320" s="425"/>
      <c r="J5320" s="750" t="e">
        <f t="shared" si="65"/>
        <v>#DIV/0!</v>
      </c>
      <c r="K5320" s="243"/>
      <c r="L5320" s="243"/>
      <c r="M5320" s="682"/>
      <c r="N5320" s="171"/>
      <c r="O5320" s="171"/>
      <c r="P5320" s="171"/>
      <c r="Q5320" s="171"/>
      <c r="R5320" s="171"/>
      <c r="S5320" s="171"/>
      <c r="T5320" s="171"/>
      <c r="U5320" s="171"/>
      <c r="V5320" s="171"/>
      <c r="W5320" s="171"/>
      <c r="X5320" s="171"/>
      <c r="Y5320" s="171"/>
      <c r="Z5320" s="171"/>
      <c r="AA5320" s="171"/>
    </row>
    <row r="5321" spans="1:27" hidden="1" x14ac:dyDescent="0.2">
      <c r="C5321" s="489"/>
      <c r="F5321" s="494">
        <v>411</v>
      </c>
      <c r="G5321" s="495" t="s">
        <v>4167</v>
      </c>
      <c r="H5321" s="397"/>
      <c r="I5321" s="397"/>
      <c r="J5321" s="750" t="e">
        <f t="shared" si="65"/>
        <v>#DIV/0!</v>
      </c>
      <c r="K5321" s="398"/>
      <c r="L5321" s="398"/>
      <c r="M5321" s="682"/>
    </row>
    <row r="5322" spans="1:27" hidden="1" x14ac:dyDescent="0.2">
      <c r="C5322" s="489"/>
      <c r="F5322" s="494">
        <v>412</v>
      </c>
      <c r="G5322" s="496" t="s">
        <v>3764</v>
      </c>
      <c r="H5322" s="397"/>
      <c r="I5322" s="397"/>
      <c r="J5322" s="750" t="e">
        <f t="shared" si="65"/>
        <v>#DIV/0!</v>
      </c>
      <c r="K5322" s="398"/>
      <c r="L5322" s="398"/>
      <c r="M5322" s="682"/>
    </row>
    <row r="5323" spans="1:27" hidden="1" x14ac:dyDescent="0.2">
      <c r="C5323" s="489"/>
      <c r="F5323" s="494">
        <v>413</v>
      </c>
      <c r="G5323" s="495" t="s">
        <v>4168</v>
      </c>
      <c r="H5323" s="397"/>
      <c r="I5323" s="397"/>
      <c r="J5323" s="750" t="e">
        <f t="shared" si="65"/>
        <v>#DIV/0!</v>
      </c>
      <c r="K5323" s="398"/>
      <c r="L5323" s="398"/>
      <c r="M5323" s="682"/>
    </row>
    <row r="5324" spans="1:27" hidden="1" x14ac:dyDescent="0.2">
      <c r="C5324" s="489"/>
      <c r="F5324" s="494">
        <v>414</v>
      </c>
      <c r="G5324" s="495" t="s">
        <v>3767</v>
      </c>
      <c r="H5324" s="397"/>
      <c r="I5324" s="397"/>
      <c r="J5324" s="750" t="e">
        <f t="shared" si="65"/>
        <v>#DIV/0!</v>
      </c>
      <c r="K5324" s="398"/>
      <c r="L5324" s="398"/>
      <c r="M5324" s="682"/>
    </row>
    <row r="5325" spans="1:27" hidden="1" x14ac:dyDescent="0.2">
      <c r="C5325" s="489"/>
      <c r="F5325" s="494">
        <v>415</v>
      </c>
      <c r="G5325" s="495" t="s">
        <v>4177</v>
      </c>
      <c r="H5325" s="397"/>
      <c r="I5325" s="397"/>
      <c r="J5325" s="750" t="e">
        <f t="shared" ref="J5325:J5388" si="66">SUM(I5325/H5325)*100</f>
        <v>#DIV/0!</v>
      </c>
      <c r="K5325" s="398"/>
      <c r="L5325" s="398"/>
      <c r="M5325" s="682"/>
    </row>
    <row r="5326" spans="1:27" ht="25.5" hidden="1" x14ac:dyDescent="0.2">
      <c r="C5326" s="489"/>
      <c r="F5326" s="494">
        <v>416</v>
      </c>
      <c r="G5326" s="495" t="s">
        <v>4178</v>
      </c>
      <c r="H5326" s="397"/>
      <c r="I5326" s="397"/>
      <c r="J5326" s="750" t="e">
        <f t="shared" si="66"/>
        <v>#DIV/0!</v>
      </c>
      <c r="K5326" s="398"/>
      <c r="L5326" s="398"/>
      <c r="M5326" s="682"/>
    </row>
    <row r="5327" spans="1:27" hidden="1" x14ac:dyDescent="0.2">
      <c r="C5327" s="489"/>
      <c r="F5327" s="494">
        <v>417</v>
      </c>
      <c r="G5327" s="495" t="s">
        <v>4179</v>
      </c>
      <c r="H5327" s="397"/>
      <c r="I5327" s="397"/>
      <c r="J5327" s="750" t="e">
        <f t="shared" si="66"/>
        <v>#DIV/0!</v>
      </c>
      <c r="K5327" s="398"/>
      <c r="L5327" s="398"/>
      <c r="M5327" s="682"/>
    </row>
    <row r="5328" spans="1:27" hidden="1" x14ac:dyDescent="0.2">
      <c r="C5328" s="489"/>
      <c r="F5328" s="494">
        <v>418</v>
      </c>
      <c r="G5328" s="495" t="s">
        <v>3773</v>
      </c>
      <c r="H5328" s="397"/>
      <c r="I5328" s="397"/>
      <c r="J5328" s="750" t="e">
        <f t="shared" si="66"/>
        <v>#DIV/0!</v>
      </c>
      <c r="K5328" s="398"/>
      <c r="L5328" s="398"/>
      <c r="M5328" s="682"/>
    </row>
    <row r="5329" spans="3:13" hidden="1" x14ac:dyDescent="0.2">
      <c r="C5329" s="489"/>
      <c r="F5329" s="494">
        <v>421</v>
      </c>
      <c r="G5329" s="495" t="s">
        <v>3777</v>
      </c>
      <c r="H5329" s="397"/>
      <c r="I5329" s="397"/>
      <c r="J5329" s="750" t="e">
        <f t="shared" si="66"/>
        <v>#DIV/0!</v>
      </c>
      <c r="K5329" s="398"/>
      <c r="L5329" s="398"/>
      <c r="M5329" s="682"/>
    </row>
    <row r="5330" spans="3:13" hidden="1" x14ac:dyDescent="0.2">
      <c r="C5330" s="489"/>
      <c r="F5330" s="494">
        <v>422</v>
      </c>
      <c r="G5330" s="495" t="s">
        <v>3778</v>
      </c>
      <c r="H5330" s="397"/>
      <c r="I5330" s="397"/>
      <c r="J5330" s="750" t="e">
        <f t="shared" si="66"/>
        <v>#DIV/0!</v>
      </c>
      <c r="K5330" s="398"/>
      <c r="L5330" s="398"/>
      <c r="M5330" s="682"/>
    </row>
    <row r="5331" spans="3:13" hidden="1" x14ac:dyDescent="0.2">
      <c r="C5331" s="489"/>
      <c r="F5331" s="494">
        <v>423</v>
      </c>
      <c r="G5331" s="495" t="s">
        <v>3779</v>
      </c>
      <c r="H5331" s="397"/>
      <c r="I5331" s="397"/>
      <c r="J5331" s="750" t="e">
        <f t="shared" si="66"/>
        <v>#DIV/0!</v>
      </c>
      <c r="K5331" s="398"/>
      <c r="L5331" s="398"/>
      <c r="M5331" s="682"/>
    </row>
    <row r="5332" spans="3:13" hidden="1" x14ac:dyDescent="0.2">
      <c r="C5332" s="489"/>
      <c r="F5332" s="494">
        <v>424</v>
      </c>
      <c r="G5332" s="495" t="s">
        <v>3781</v>
      </c>
      <c r="H5332" s="397"/>
      <c r="I5332" s="397"/>
      <c r="J5332" s="750" t="e">
        <f t="shared" si="66"/>
        <v>#DIV/0!</v>
      </c>
      <c r="K5332" s="398"/>
      <c r="L5332" s="398"/>
      <c r="M5332" s="682"/>
    </row>
    <row r="5333" spans="3:13" hidden="1" x14ac:dyDescent="0.2">
      <c r="C5333" s="489"/>
      <c r="F5333" s="494">
        <v>425</v>
      </c>
      <c r="G5333" s="495" t="s">
        <v>4180</v>
      </c>
      <c r="H5333" s="397"/>
      <c r="I5333" s="397"/>
      <c r="J5333" s="750" t="e">
        <f t="shared" si="66"/>
        <v>#DIV/0!</v>
      </c>
      <c r="K5333" s="398"/>
      <c r="L5333" s="398"/>
      <c r="M5333" s="682"/>
    </row>
    <row r="5334" spans="3:13" hidden="1" x14ac:dyDescent="0.2">
      <c r="C5334" s="489"/>
      <c r="F5334" s="494">
        <v>426</v>
      </c>
      <c r="G5334" s="495" t="s">
        <v>3785</v>
      </c>
      <c r="H5334" s="397"/>
      <c r="I5334" s="397"/>
      <c r="J5334" s="750" t="e">
        <f t="shared" si="66"/>
        <v>#DIV/0!</v>
      </c>
      <c r="K5334" s="398"/>
      <c r="L5334" s="398"/>
      <c r="M5334" s="682"/>
    </row>
    <row r="5335" spans="3:13" hidden="1" x14ac:dyDescent="0.2">
      <c r="C5335" s="489"/>
      <c r="F5335" s="494">
        <v>431</v>
      </c>
      <c r="G5335" s="495" t="s">
        <v>4181</v>
      </c>
      <c r="H5335" s="397"/>
      <c r="I5335" s="397"/>
      <c r="J5335" s="750" t="e">
        <f t="shared" si="66"/>
        <v>#DIV/0!</v>
      </c>
      <c r="K5335" s="398"/>
      <c r="L5335" s="398"/>
      <c r="M5335" s="682"/>
    </row>
    <row r="5336" spans="3:13" hidden="1" x14ac:dyDescent="0.2">
      <c r="C5336" s="489"/>
      <c r="F5336" s="494">
        <v>432</v>
      </c>
      <c r="G5336" s="495" t="s">
        <v>4182</v>
      </c>
      <c r="H5336" s="397"/>
      <c r="I5336" s="397"/>
      <c r="J5336" s="750" t="e">
        <f t="shared" si="66"/>
        <v>#DIV/0!</v>
      </c>
      <c r="K5336" s="398"/>
      <c r="L5336" s="398"/>
      <c r="M5336" s="682"/>
    </row>
    <row r="5337" spans="3:13" hidden="1" x14ac:dyDescent="0.2">
      <c r="C5337" s="489"/>
      <c r="F5337" s="494">
        <v>433</v>
      </c>
      <c r="G5337" s="495" t="s">
        <v>4183</v>
      </c>
      <c r="H5337" s="397"/>
      <c r="I5337" s="397"/>
      <c r="J5337" s="750" t="e">
        <f t="shared" si="66"/>
        <v>#DIV/0!</v>
      </c>
      <c r="K5337" s="398"/>
      <c r="L5337" s="398"/>
      <c r="M5337" s="682"/>
    </row>
    <row r="5338" spans="3:13" hidden="1" x14ac:dyDescent="0.2">
      <c r="C5338" s="489"/>
      <c r="F5338" s="494">
        <v>434</v>
      </c>
      <c r="G5338" s="495" t="s">
        <v>4184</v>
      </c>
      <c r="H5338" s="397"/>
      <c r="I5338" s="397"/>
      <c r="J5338" s="750" t="e">
        <f t="shared" si="66"/>
        <v>#DIV/0!</v>
      </c>
      <c r="K5338" s="398"/>
      <c r="L5338" s="398"/>
      <c r="M5338" s="682"/>
    </row>
    <row r="5339" spans="3:13" hidden="1" x14ac:dyDescent="0.2">
      <c r="C5339" s="489"/>
      <c r="F5339" s="494">
        <v>435</v>
      </c>
      <c r="G5339" s="495" t="s">
        <v>3792</v>
      </c>
      <c r="H5339" s="397"/>
      <c r="I5339" s="397"/>
      <c r="J5339" s="750" t="e">
        <f t="shared" si="66"/>
        <v>#DIV/0!</v>
      </c>
      <c r="K5339" s="398"/>
      <c r="L5339" s="398"/>
      <c r="M5339" s="682"/>
    </row>
    <row r="5340" spans="3:13" hidden="1" x14ac:dyDescent="0.2">
      <c r="C5340" s="489"/>
      <c r="F5340" s="494">
        <v>441</v>
      </c>
      <c r="G5340" s="495" t="s">
        <v>4185</v>
      </c>
      <c r="H5340" s="397"/>
      <c r="I5340" s="397"/>
      <c r="J5340" s="750" t="e">
        <f t="shared" si="66"/>
        <v>#DIV/0!</v>
      </c>
      <c r="K5340" s="398"/>
      <c r="L5340" s="398"/>
      <c r="M5340" s="682"/>
    </row>
    <row r="5341" spans="3:13" hidden="1" x14ac:dyDescent="0.2">
      <c r="C5341" s="489"/>
      <c r="F5341" s="494">
        <v>442</v>
      </c>
      <c r="G5341" s="495" t="s">
        <v>4186</v>
      </c>
      <c r="H5341" s="397"/>
      <c r="I5341" s="397"/>
      <c r="J5341" s="750" t="e">
        <f t="shared" si="66"/>
        <v>#DIV/0!</v>
      </c>
      <c r="K5341" s="398"/>
      <c r="L5341" s="398"/>
      <c r="M5341" s="682"/>
    </row>
    <row r="5342" spans="3:13" hidden="1" x14ac:dyDescent="0.2">
      <c r="C5342" s="489"/>
      <c r="F5342" s="494">
        <v>443</v>
      </c>
      <c r="G5342" s="495" t="s">
        <v>3797</v>
      </c>
      <c r="H5342" s="397"/>
      <c r="I5342" s="397"/>
      <c r="J5342" s="750" t="e">
        <f t="shared" si="66"/>
        <v>#DIV/0!</v>
      </c>
      <c r="K5342" s="398"/>
      <c r="L5342" s="398"/>
      <c r="M5342" s="682"/>
    </row>
    <row r="5343" spans="3:13" hidden="1" x14ac:dyDescent="0.2">
      <c r="C5343" s="489"/>
      <c r="F5343" s="494">
        <v>444</v>
      </c>
      <c r="G5343" s="495" t="s">
        <v>3798</v>
      </c>
      <c r="H5343" s="397"/>
      <c r="I5343" s="397"/>
      <c r="J5343" s="750" t="e">
        <f t="shared" si="66"/>
        <v>#DIV/0!</v>
      </c>
      <c r="K5343" s="398"/>
      <c r="L5343" s="398"/>
      <c r="M5343" s="682"/>
    </row>
    <row r="5344" spans="3:13" ht="25.5" hidden="1" x14ac:dyDescent="0.2">
      <c r="C5344" s="489"/>
      <c r="F5344" s="494">
        <v>4511</v>
      </c>
      <c r="G5344" s="466" t="s">
        <v>1692</v>
      </c>
      <c r="H5344" s="397"/>
      <c r="I5344" s="397"/>
      <c r="J5344" s="750" t="e">
        <f t="shared" si="66"/>
        <v>#DIV/0!</v>
      </c>
      <c r="K5344" s="398"/>
      <c r="L5344" s="398"/>
      <c r="M5344" s="682"/>
    </row>
    <row r="5345" spans="3:13" ht="25.5" hidden="1" x14ac:dyDescent="0.2">
      <c r="C5345" s="489"/>
      <c r="F5345" s="494">
        <v>4512</v>
      </c>
      <c r="G5345" s="466" t="s">
        <v>1701</v>
      </c>
      <c r="H5345" s="397"/>
      <c r="I5345" s="397"/>
      <c r="J5345" s="750" t="e">
        <f t="shared" si="66"/>
        <v>#DIV/0!</v>
      </c>
      <c r="K5345" s="398"/>
      <c r="L5345" s="398"/>
      <c r="M5345" s="682"/>
    </row>
    <row r="5346" spans="3:13" ht="25.5" hidden="1" x14ac:dyDescent="0.2">
      <c r="C5346" s="489"/>
      <c r="F5346" s="494">
        <v>452</v>
      </c>
      <c r="G5346" s="495" t="s">
        <v>4187</v>
      </c>
      <c r="H5346" s="397"/>
      <c r="I5346" s="397"/>
      <c r="J5346" s="750" t="e">
        <f t="shared" si="66"/>
        <v>#DIV/0!</v>
      </c>
      <c r="K5346" s="398"/>
      <c r="L5346" s="398"/>
      <c r="M5346" s="682"/>
    </row>
    <row r="5347" spans="3:13" ht="25.5" hidden="1" x14ac:dyDescent="0.2">
      <c r="C5347" s="489"/>
      <c r="F5347" s="494">
        <v>453</v>
      </c>
      <c r="G5347" s="495" t="s">
        <v>4188</v>
      </c>
      <c r="H5347" s="397"/>
      <c r="I5347" s="397"/>
      <c r="J5347" s="750" t="e">
        <f t="shared" si="66"/>
        <v>#DIV/0!</v>
      </c>
      <c r="K5347" s="398"/>
      <c r="L5347" s="398"/>
      <c r="M5347" s="682"/>
    </row>
    <row r="5348" spans="3:13" hidden="1" x14ac:dyDescent="0.2">
      <c r="C5348" s="489"/>
      <c r="F5348" s="494">
        <v>454</v>
      </c>
      <c r="G5348" s="495" t="s">
        <v>3803</v>
      </c>
      <c r="H5348" s="397"/>
      <c r="I5348" s="397"/>
      <c r="J5348" s="750" t="e">
        <f t="shared" si="66"/>
        <v>#DIV/0!</v>
      </c>
      <c r="K5348" s="398"/>
      <c r="L5348" s="398"/>
      <c r="M5348" s="682"/>
    </row>
    <row r="5349" spans="3:13" hidden="1" x14ac:dyDescent="0.2">
      <c r="C5349" s="489"/>
      <c r="F5349" s="494">
        <v>461</v>
      </c>
      <c r="G5349" s="495" t="s">
        <v>4169</v>
      </c>
      <c r="H5349" s="397"/>
      <c r="I5349" s="397"/>
      <c r="J5349" s="750" t="e">
        <f t="shared" si="66"/>
        <v>#DIV/0!</v>
      </c>
      <c r="K5349" s="398"/>
      <c r="L5349" s="398"/>
      <c r="M5349" s="682"/>
    </row>
    <row r="5350" spans="3:13" ht="25.5" hidden="1" x14ac:dyDescent="0.2">
      <c r="C5350" s="489"/>
      <c r="F5350" s="494">
        <v>462</v>
      </c>
      <c r="G5350" s="495" t="s">
        <v>3806</v>
      </c>
      <c r="H5350" s="397"/>
      <c r="I5350" s="397"/>
      <c r="J5350" s="750" t="e">
        <f t="shared" si="66"/>
        <v>#DIV/0!</v>
      </c>
      <c r="K5350" s="398"/>
      <c r="L5350" s="398"/>
      <c r="M5350" s="682"/>
    </row>
    <row r="5351" spans="3:13" hidden="1" x14ac:dyDescent="0.2">
      <c r="C5351" s="489"/>
      <c r="F5351" s="494">
        <v>4631</v>
      </c>
      <c r="G5351" s="495" t="s">
        <v>3807</v>
      </c>
      <c r="H5351" s="397"/>
      <c r="I5351" s="397"/>
      <c r="J5351" s="750" t="e">
        <f t="shared" si="66"/>
        <v>#DIV/0!</v>
      </c>
      <c r="K5351" s="398"/>
      <c r="L5351" s="398"/>
      <c r="M5351" s="682"/>
    </row>
    <row r="5352" spans="3:13" hidden="1" x14ac:dyDescent="0.2">
      <c r="C5352" s="489"/>
      <c r="F5352" s="494">
        <v>4632</v>
      </c>
      <c r="G5352" s="495" t="s">
        <v>3808</v>
      </c>
      <c r="H5352" s="397"/>
      <c r="I5352" s="397"/>
      <c r="J5352" s="750" t="e">
        <f t="shared" si="66"/>
        <v>#DIV/0!</v>
      </c>
      <c r="K5352" s="398"/>
      <c r="L5352" s="398"/>
      <c r="M5352" s="682"/>
    </row>
    <row r="5353" spans="3:13" ht="25.5" hidden="1" x14ac:dyDescent="0.2">
      <c r="C5353" s="489"/>
      <c r="F5353" s="494">
        <v>464</v>
      </c>
      <c r="G5353" s="495" t="s">
        <v>3809</v>
      </c>
      <c r="H5353" s="397"/>
      <c r="I5353" s="397"/>
      <c r="J5353" s="750" t="e">
        <f t="shared" si="66"/>
        <v>#DIV/0!</v>
      </c>
      <c r="K5353" s="398"/>
      <c r="L5353" s="398"/>
      <c r="M5353" s="682"/>
    </row>
    <row r="5354" spans="3:13" hidden="1" x14ac:dyDescent="0.2">
      <c r="C5354" s="489"/>
      <c r="F5354" s="494">
        <v>465</v>
      </c>
      <c r="G5354" s="495" t="s">
        <v>4170</v>
      </c>
      <c r="H5354" s="397"/>
      <c r="I5354" s="397"/>
      <c r="J5354" s="750" t="e">
        <f t="shared" si="66"/>
        <v>#DIV/0!</v>
      </c>
      <c r="K5354" s="398"/>
      <c r="L5354" s="398"/>
      <c r="M5354" s="682"/>
    </row>
    <row r="5355" spans="3:13" hidden="1" x14ac:dyDescent="0.2">
      <c r="C5355" s="489"/>
      <c r="F5355" s="494">
        <v>472</v>
      </c>
      <c r="G5355" s="495" t="s">
        <v>3813</v>
      </c>
      <c r="H5355" s="397"/>
      <c r="I5355" s="397"/>
      <c r="J5355" s="750" t="e">
        <f t="shared" si="66"/>
        <v>#DIV/0!</v>
      </c>
      <c r="K5355" s="398"/>
      <c r="L5355" s="398"/>
      <c r="M5355" s="682"/>
    </row>
    <row r="5356" spans="3:13" hidden="1" x14ac:dyDescent="0.2">
      <c r="C5356" s="489"/>
      <c r="F5356" s="494">
        <v>481</v>
      </c>
      <c r="G5356" s="495" t="s">
        <v>4189</v>
      </c>
      <c r="H5356" s="397"/>
      <c r="I5356" s="397"/>
      <c r="J5356" s="750" t="e">
        <f t="shared" si="66"/>
        <v>#DIV/0!</v>
      </c>
      <c r="K5356" s="398"/>
      <c r="L5356" s="398"/>
      <c r="M5356" s="682"/>
    </row>
    <row r="5357" spans="3:13" hidden="1" x14ac:dyDescent="0.2">
      <c r="C5357" s="489"/>
      <c r="F5357" s="494">
        <v>482</v>
      </c>
      <c r="G5357" s="495" t="s">
        <v>4190</v>
      </c>
      <c r="H5357" s="397"/>
      <c r="I5357" s="397"/>
      <c r="J5357" s="750" t="e">
        <f t="shared" si="66"/>
        <v>#DIV/0!</v>
      </c>
      <c r="K5357" s="398"/>
      <c r="L5357" s="398"/>
      <c r="M5357" s="682"/>
    </row>
    <row r="5358" spans="3:13" hidden="1" x14ac:dyDescent="0.2">
      <c r="C5358" s="489"/>
      <c r="F5358" s="494">
        <v>483</v>
      </c>
      <c r="G5358" s="497" t="s">
        <v>4191</v>
      </c>
      <c r="H5358" s="397"/>
      <c r="I5358" s="397"/>
      <c r="J5358" s="750" t="e">
        <f t="shared" si="66"/>
        <v>#DIV/0!</v>
      </c>
      <c r="K5358" s="398"/>
      <c r="L5358" s="398"/>
      <c r="M5358" s="682"/>
    </row>
    <row r="5359" spans="3:13" ht="38.25" hidden="1" x14ac:dyDescent="0.2">
      <c r="C5359" s="489"/>
      <c r="F5359" s="494">
        <v>484</v>
      </c>
      <c r="G5359" s="495" t="s">
        <v>4192</v>
      </c>
      <c r="H5359" s="397"/>
      <c r="I5359" s="397"/>
      <c r="J5359" s="750" t="e">
        <f t="shared" si="66"/>
        <v>#DIV/0!</v>
      </c>
      <c r="K5359" s="398"/>
      <c r="L5359" s="398"/>
      <c r="M5359" s="682"/>
    </row>
    <row r="5360" spans="3:13" ht="25.5" hidden="1" x14ac:dyDescent="0.2">
      <c r="C5360" s="489"/>
      <c r="F5360" s="494">
        <v>485</v>
      </c>
      <c r="G5360" s="495" t="s">
        <v>4193</v>
      </c>
      <c r="H5360" s="397"/>
      <c r="I5360" s="397"/>
      <c r="J5360" s="750" t="e">
        <f t="shared" si="66"/>
        <v>#DIV/0!</v>
      </c>
      <c r="K5360" s="398"/>
      <c r="L5360" s="398"/>
      <c r="M5360" s="682"/>
    </row>
    <row r="5361" spans="3:13" ht="25.5" hidden="1" x14ac:dyDescent="0.2">
      <c r="C5361" s="489"/>
      <c r="F5361" s="494">
        <v>489</v>
      </c>
      <c r="G5361" s="495" t="s">
        <v>3821</v>
      </c>
      <c r="H5361" s="397"/>
      <c r="I5361" s="397"/>
      <c r="J5361" s="750" t="e">
        <f t="shared" si="66"/>
        <v>#DIV/0!</v>
      </c>
      <c r="K5361" s="398"/>
      <c r="L5361" s="398"/>
      <c r="M5361" s="682"/>
    </row>
    <row r="5362" spans="3:13" ht="25.5" hidden="1" x14ac:dyDescent="0.2">
      <c r="C5362" s="489"/>
      <c r="F5362" s="494">
        <v>494</v>
      </c>
      <c r="G5362" s="495" t="s">
        <v>4171</v>
      </c>
      <c r="H5362" s="397"/>
      <c r="I5362" s="397"/>
      <c r="J5362" s="750" t="e">
        <f t="shared" si="66"/>
        <v>#DIV/0!</v>
      </c>
      <c r="K5362" s="398"/>
      <c r="L5362" s="398"/>
      <c r="M5362" s="682"/>
    </row>
    <row r="5363" spans="3:13" ht="25.5" hidden="1" x14ac:dyDescent="0.2">
      <c r="C5363" s="489"/>
      <c r="F5363" s="494">
        <v>495</v>
      </c>
      <c r="G5363" s="495" t="s">
        <v>4172</v>
      </c>
      <c r="H5363" s="397"/>
      <c r="I5363" s="397"/>
      <c r="J5363" s="750" t="e">
        <f t="shared" si="66"/>
        <v>#DIV/0!</v>
      </c>
      <c r="K5363" s="398"/>
      <c r="L5363" s="398"/>
      <c r="M5363" s="682"/>
    </row>
    <row r="5364" spans="3:13" ht="38.25" hidden="1" x14ac:dyDescent="0.2">
      <c r="C5364" s="489"/>
      <c r="F5364" s="494">
        <v>496</v>
      </c>
      <c r="G5364" s="495" t="s">
        <v>4173</v>
      </c>
      <c r="H5364" s="397"/>
      <c r="I5364" s="397"/>
      <c r="J5364" s="750" t="e">
        <f t="shared" si="66"/>
        <v>#DIV/0!</v>
      </c>
      <c r="K5364" s="398"/>
      <c r="L5364" s="398"/>
      <c r="M5364" s="682"/>
    </row>
    <row r="5365" spans="3:13" ht="25.5" hidden="1" x14ac:dyDescent="0.2">
      <c r="C5365" s="489"/>
      <c r="F5365" s="494">
        <v>499</v>
      </c>
      <c r="G5365" s="495" t="s">
        <v>4174</v>
      </c>
      <c r="H5365" s="397"/>
      <c r="I5365" s="397"/>
      <c r="J5365" s="750" t="e">
        <f t="shared" si="66"/>
        <v>#DIV/0!</v>
      </c>
      <c r="K5365" s="398"/>
      <c r="L5365" s="398"/>
      <c r="M5365" s="682"/>
    </row>
    <row r="5366" spans="3:13" hidden="1" x14ac:dyDescent="0.2">
      <c r="C5366" s="489"/>
      <c r="F5366" s="494">
        <v>511</v>
      </c>
      <c r="G5366" s="497" t="s">
        <v>4194</v>
      </c>
      <c r="H5366" s="397"/>
      <c r="I5366" s="397"/>
      <c r="J5366" s="750" t="e">
        <f t="shared" si="66"/>
        <v>#DIV/0!</v>
      </c>
      <c r="K5366" s="398"/>
      <c r="L5366" s="398"/>
      <c r="M5366" s="682"/>
    </row>
    <row r="5367" spans="3:13" hidden="1" x14ac:dyDescent="0.2">
      <c r="C5367" s="489"/>
      <c r="F5367" s="494">
        <v>512</v>
      </c>
      <c r="G5367" s="497" t="s">
        <v>4195</v>
      </c>
      <c r="H5367" s="397"/>
      <c r="I5367" s="397"/>
      <c r="J5367" s="750" t="e">
        <f t="shared" si="66"/>
        <v>#DIV/0!</v>
      </c>
      <c r="K5367" s="398"/>
      <c r="L5367" s="398"/>
      <c r="M5367" s="682"/>
    </row>
    <row r="5368" spans="3:13" hidden="1" x14ac:dyDescent="0.2">
      <c r="C5368" s="489"/>
      <c r="F5368" s="494">
        <v>513</v>
      </c>
      <c r="G5368" s="497" t="s">
        <v>4196</v>
      </c>
      <c r="H5368" s="397"/>
      <c r="I5368" s="397"/>
      <c r="J5368" s="750" t="e">
        <f t="shared" si="66"/>
        <v>#DIV/0!</v>
      </c>
      <c r="K5368" s="398"/>
      <c r="L5368" s="398"/>
      <c r="M5368" s="682"/>
    </row>
    <row r="5369" spans="3:13" hidden="1" x14ac:dyDescent="0.2">
      <c r="C5369" s="489"/>
      <c r="F5369" s="494">
        <v>514</v>
      </c>
      <c r="G5369" s="495" t="s">
        <v>4197</v>
      </c>
      <c r="H5369" s="397"/>
      <c r="I5369" s="397"/>
      <c r="J5369" s="750" t="e">
        <f t="shared" si="66"/>
        <v>#DIV/0!</v>
      </c>
      <c r="K5369" s="398"/>
      <c r="L5369" s="398"/>
      <c r="M5369" s="682"/>
    </row>
    <row r="5370" spans="3:13" hidden="1" x14ac:dyDescent="0.2">
      <c r="C5370" s="489"/>
      <c r="F5370" s="494">
        <v>515</v>
      </c>
      <c r="G5370" s="495" t="s">
        <v>3832</v>
      </c>
      <c r="H5370" s="397"/>
      <c r="I5370" s="397"/>
      <c r="J5370" s="750" t="e">
        <f t="shared" si="66"/>
        <v>#DIV/0!</v>
      </c>
      <c r="K5370" s="398"/>
      <c r="L5370" s="398"/>
      <c r="M5370" s="682"/>
    </row>
    <row r="5371" spans="3:13" hidden="1" x14ac:dyDescent="0.2">
      <c r="C5371" s="489"/>
      <c r="F5371" s="494">
        <v>521</v>
      </c>
      <c r="G5371" s="495" t="s">
        <v>4198</v>
      </c>
      <c r="H5371" s="397"/>
      <c r="I5371" s="397"/>
      <c r="J5371" s="750" t="e">
        <f t="shared" si="66"/>
        <v>#DIV/0!</v>
      </c>
      <c r="K5371" s="398"/>
      <c r="L5371" s="398"/>
      <c r="M5371" s="682"/>
    </row>
    <row r="5372" spans="3:13" hidden="1" x14ac:dyDescent="0.2">
      <c r="C5372" s="489"/>
      <c r="F5372" s="494">
        <v>522</v>
      </c>
      <c r="G5372" s="495" t="s">
        <v>4199</v>
      </c>
      <c r="H5372" s="397"/>
      <c r="I5372" s="397"/>
      <c r="J5372" s="750" t="e">
        <f t="shared" si="66"/>
        <v>#DIV/0!</v>
      </c>
      <c r="K5372" s="398"/>
      <c r="L5372" s="398"/>
      <c r="M5372" s="682"/>
    </row>
    <row r="5373" spans="3:13" hidden="1" x14ac:dyDescent="0.2">
      <c r="C5373" s="489"/>
      <c r="F5373" s="494">
        <v>523</v>
      </c>
      <c r="G5373" s="495" t="s">
        <v>3837</v>
      </c>
      <c r="H5373" s="397"/>
      <c r="I5373" s="397"/>
      <c r="J5373" s="750" t="e">
        <f t="shared" si="66"/>
        <v>#DIV/0!</v>
      </c>
      <c r="K5373" s="398"/>
      <c r="L5373" s="398"/>
      <c r="M5373" s="682"/>
    </row>
    <row r="5374" spans="3:13" hidden="1" x14ac:dyDescent="0.2">
      <c r="C5374" s="489"/>
      <c r="F5374" s="494">
        <v>531</v>
      </c>
      <c r="G5374" s="496" t="s">
        <v>4175</v>
      </c>
      <c r="H5374" s="397"/>
      <c r="I5374" s="397"/>
      <c r="J5374" s="750" t="e">
        <f t="shared" si="66"/>
        <v>#DIV/0!</v>
      </c>
      <c r="K5374" s="398"/>
      <c r="L5374" s="398"/>
      <c r="M5374" s="682"/>
    </row>
    <row r="5375" spans="3:13" hidden="1" x14ac:dyDescent="0.2">
      <c r="C5375" s="489"/>
      <c r="F5375" s="494">
        <v>541</v>
      </c>
      <c r="G5375" s="495" t="s">
        <v>4200</v>
      </c>
      <c r="H5375" s="397"/>
      <c r="I5375" s="397"/>
      <c r="J5375" s="750" t="e">
        <f t="shared" si="66"/>
        <v>#DIV/0!</v>
      </c>
      <c r="K5375" s="398"/>
      <c r="L5375" s="398"/>
      <c r="M5375" s="682"/>
    </row>
    <row r="5376" spans="3:13" hidden="1" x14ac:dyDescent="0.2">
      <c r="C5376" s="489"/>
      <c r="F5376" s="494">
        <v>542</v>
      </c>
      <c r="G5376" s="495" t="s">
        <v>4201</v>
      </c>
      <c r="H5376" s="397"/>
      <c r="I5376" s="397"/>
      <c r="J5376" s="750" t="e">
        <f t="shared" si="66"/>
        <v>#DIV/0!</v>
      </c>
      <c r="K5376" s="398"/>
      <c r="L5376" s="398"/>
      <c r="M5376" s="682"/>
    </row>
    <row r="5377" spans="3:13" hidden="1" x14ac:dyDescent="0.2">
      <c r="C5377" s="489"/>
      <c r="F5377" s="494">
        <v>543</v>
      </c>
      <c r="G5377" s="495" t="s">
        <v>3842</v>
      </c>
      <c r="H5377" s="397"/>
      <c r="I5377" s="397"/>
      <c r="J5377" s="750" t="e">
        <f t="shared" si="66"/>
        <v>#DIV/0!</v>
      </c>
      <c r="K5377" s="398"/>
      <c r="L5377" s="398"/>
      <c r="M5377" s="682"/>
    </row>
    <row r="5378" spans="3:13" ht="38.25" hidden="1" x14ac:dyDescent="0.2">
      <c r="C5378" s="489"/>
      <c r="F5378" s="494">
        <v>551</v>
      </c>
      <c r="G5378" s="495" t="s">
        <v>4176</v>
      </c>
      <c r="H5378" s="397"/>
      <c r="I5378" s="397"/>
      <c r="J5378" s="750" t="e">
        <f t="shared" si="66"/>
        <v>#DIV/0!</v>
      </c>
      <c r="K5378" s="398"/>
      <c r="L5378" s="398"/>
      <c r="M5378" s="682"/>
    </row>
    <row r="5379" spans="3:13" hidden="1" x14ac:dyDescent="0.2">
      <c r="C5379" s="489"/>
      <c r="F5379" s="498">
        <v>611</v>
      </c>
      <c r="G5379" s="499" t="s">
        <v>3848</v>
      </c>
      <c r="H5379" s="397"/>
      <c r="I5379" s="397"/>
      <c r="J5379" s="750" t="e">
        <f t="shared" si="66"/>
        <v>#DIV/0!</v>
      </c>
      <c r="K5379" s="398"/>
      <c r="L5379" s="398"/>
      <c r="M5379" s="682"/>
    </row>
    <row r="5380" spans="3:13" hidden="1" x14ac:dyDescent="0.2">
      <c r="C5380" s="489"/>
      <c r="F5380" s="498">
        <v>620</v>
      </c>
      <c r="G5380" s="499" t="s">
        <v>88</v>
      </c>
      <c r="H5380" s="397"/>
      <c r="I5380" s="397"/>
      <c r="J5380" s="750" t="e">
        <f t="shared" si="66"/>
        <v>#DIV/0!</v>
      </c>
      <c r="K5380" s="398"/>
      <c r="L5380" s="398"/>
      <c r="M5380" s="682"/>
    </row>
    <row r="5381" spans="3:13" hidden="1" x14ac:dyDescent="0.2">
      <c r="C5381" s="489"/>
      <c r="E5381" s="500"/>
      <c r="F5381" s="498"/>
      <c r="G5381" s="509" t="s">
        <v>4371</v>
      </c>
      <c r="H5381" s="400"/>
      <c r="I5381" s="400"/>
      <c r="J5381" s="750" t="e">
        <f t="shared" si="66"/>
        <v>#DIV/0!</v>
      </c>
      <c r="K5381" s="401"/>
      <c r="L5381" s="402"/>
      <c r="M5381" s="682"/>
    </row>
    <row r="5382" spans="3:13" hidden="1" x14ac:dyDescent="0.2">
      <c r="C5382" s="489"/>
      <c r="E5382" s="502"/>
      <c r="F5382" s="503" t="s">
        <v>234</v>
      </c>
      <c r="G5382" s="504" t="s">
        <v>235</v>
      </c>
      <c r="H5382" s="403">
        <f>SUM(H5321:H5380)</f>
        <v>0</v>
      </c>
      <c r="I5382" s="403"/>
      <c r="J5382" s="750" t="e">
        <f t="shared" si="66"/>
        <v>#DIV/0!</v>
      </c>
      <c r="K5382" s="404"/>
      <c r="L5382" s="404"/>
      <c r="M5382" s="682"/>
    </row>
    <row r="5383" spans="3:13" hidden="1" x14ac:dyDescent="0.2">
      <c r="C5383" s="489"/>
      <c r="F5383" s="503" t="s">
        <v>236</v>
      </c>
      <c r="G5383" s="504" t="s">
        <v>237</v>
      </c>
      <c r="H5383" s="397"/>
      <c r="I5383" s="397"/>
      <c r="J5383" s="750" t="e">
        <f t="shared" si="66"/>
        <v>#DIV/0!</v>
      </c>
      <c r="K5383" s="398"/>
      <c r="L5383" s="404"/>
      <c r="M5383" s="682"/>
    </row>
    <row r="5384" spans="3:13" hidden="1" x14ac:dyDescent="0.2">
      <c r="C5384" s="489"/>
      <c r="F5384" s="503" t="s">
        <v>238</v>
      </c>
      <c r="G5384" s="504" t="s">
        <v>239</v>
      </c>
      <c r="H5384" s="397"/>
      <c r="I5384" s="397"/>
      <c r="J5384" s="750" t="e">
        <f t="shared" si="66"/>
        <v>#DIV/0!</v>
      </c>
      <c r="K5384" s="398"/>
      <c r="L5384" s="404"/>
      <c r="M5384" s="682"/>
    </row>
    <row r="5385" spans="3:13" hidden="1" x14ac:dyDescent="0.2">
      <c r="C5385" s="489"/>
      <c r="F5385" s="503" t="s">
        <v>240</v>
      </c>
      <c r="G5385" s="504" t="s">
        <v>241</v>
      </c>
      <c r="H5385" s="397"/>
      <c r="I5385" s="397"/>
      <c r="J5385" s="750" t="e">
        <f t="shared" si="66"/>
        <v>#DIV/0!</v>
      </c>
      <c r="K5385" s="398"/>
      <c r="L5385" s="404"/>
      <c r="M5385" s="682"/>
    </row>
    <row r="5386" spans="3:13" hidden="1" x14ac:dyDescent="0.2">
      <c r="C5386" s="489"/>
      <c r="F5386" s="503" t="s">
        <v>242</v>
      </c>
      <c r="G5386" s="504" t="s">
        <v>243</v>
      </c>
      <c r="H5386" s="397"/>
      <c r="I5386" s="397"/>
      <c r="J5386" s="750" t="e">
        <f t="shared" si="66"/>
        <v>#DIV/0!</v>
      </c>
      <c r="K5386" s="398"/>
      <c r="L5386" s="404"/>
      <c r="M5386" s="682"/>
    </row>
    <row r="5387" spans="3:13" hidden="1" x14ac:dyDescent="0.2">
      <c r="C5387" s="489"/>
      <c r="F5387" s="503" t="s">
        <v>244</v>
      </c>
      <c r="G5387" s="504" t="s">
        <v>245</v>
      </c>
      <c r="H5387" s="397"/>
      <c r="I5387" s="397"/>
      <c r="J5387" s="750" t="e">
        <f t="shared" si="66"/>
        <v>#DIV/0!</v>
      </c>
      <c r="K5387" s="398"/>
      <c r="L5387" s="404"/>
      <c r="M5387" s="682"/>
    </row>
    <row r="5388" spans="3:13" hidden="1" x14ac:dyDescent="0.2">
      <c r="C5388" s="489"/>
      <c r="F5388" s="503" t="s">
        <v>246</v>
      </c>
      <c r="G5388" s="504" t="s">
        <v>247</v>
      </c>
      <c r="H5388" s="397"/>
      <c r="I5388" s="397"/>
      <c r="J5388" s="750" t="e">
        <f t="shared" si="66"/>
        <v>#DIV/0!</v>
      </c>
      <c r="K5388" s="398"/>
      <c r="L5388" s="404"/>
      <c r="M5388" s="682"/>
    </row>
    <row r="5389" spans="3:13" ht="25.5" hidden="1" x14ac:dyDescent="0.2">
      <c r="C5389" s="489"/>
      <c r="F5389" s="503" t="s">
        <v>248</v>
      </c>
      <c r="G5389" s="504" t="s">
        <v>249</v>
      </c>
      <c r="H5389" s="397"/>
      <c r="I5389" s="397"/>
      <c r="J5389" s="750" t="e">
        <f t="shared" ref="J5389:J5452" si="67">SUM(I5389/H5389)*100</f>
        <v>#DIV/0!</v>
      </c>
      <c r="K5389" s="398"/>
      <c r="L5389" s="404"/>
      <c r="M5389" s="682"/>
    </row>
    <row r="5390" spans="3:13" hidden="1" x14ac:dyDescent="0.2">
      <c r="C5390" s="489"/>
      <c r="F5390" s="503" t="s">
        <v>250</v>
      </c>
      <c r="G5390" s="504" t="s">
        <v>57</v>
      </c>
      <c r="H5390" s="397"/>
      <c r="I5390" s="397"/>
      <c r="J5390" s="750" t="e">
        <f t="shared" si="67"/>
        <v>#DIV/0!</v>
      </c>
      <c r="K5390" s="398"/>
      <c r="L5390" s="404"/>
      <c r="M5390" s="682"/>
    </row>
    <row r="5391" spans="3:13" hidden="1" x14ac:dyDescent="0.2">
      <c r="C5391" s="489"/>
      <c r="F5391" s="503" t="s">
        <v>251</v>
      </c>
      <c r="G5391" s="504" t="s">
        <v>252</v>
      </c>
      <c r="H5391" s="397"/>
      <c r="I5391" s="397"/>
      <c r="J5391" s="750" t="e">
        <f t="shared" si="67"/>
        <v>#DIV/0!</v>
      </c>
      <c r="K5391" s="398"/>
      <c r="L5391" s="404"/>
      <c r="M5391" s="682"/>
    </row>
    <row r="5392" spans="3:13" hidden="1" x14ac:dyDescent="0.2">
      <c r="C5392" s="489"/>
      <c r="F5392" s="503" t="s">
        <v>253</v>
      </c>
      <c r="G5392" s="504" t="s">
        <v>254</v>
      </c>
      <c r="H5392" s="397"/>
      <c r="I5392" s="397"/>
      <c r="J5392" s="750" t="e">
        <f t="shared" si="67"/>
        <v>#DIV/0!</v>
      </c>
      <c r="K5392" s="398"/>
      <c r="L5392" s="404"/>
      <c r="M5392" s="682"/>
    </row>
    <row r="5393" spans="3:13" ht="25.5" hidden="1" x14ac:dyDescent="0.2">
      <c r="C5393" s="489"/>
      <c r="F5393" s="503" t="s">
        <v>255</v>
      </c>
      <c r="G5393" s="504" t="s">
        <v>256</v>
      </c>
      <c r="H5393" s="397"/>
      <c r="I5393" s="397"/>
      <c r="J5393" s="750" t="e">
        <f t="shared" si="67"/>
        <v>#DIV/0!</v>
      </c>
      <c r="K5393" s="398"/>
      <c r="L5393" s="404"/>
      <c r="M5393" s="682"/>
    </row>
    <row r="5394" spans="3:13" ht="25.5" hidden="1" x14ac:dyDescent="0.2">
      <c r="C5394" s="489"/>
      <c r="F5394" s="503" t="s">
        <v>257</v>
      </c>
      <c r="G5394" s="504" t="s">
        <v>258</v>
      </c>
      <c r="H5394" s="397"/>
      <c r="I5394" s="397"/>
      <c r="J5394" s="750" t="e">
        <f t="shared" si="67"/>
        <v>#DIV/0!</v>
      </c>
      <c r="K5394" s="398"/>
      <c r="L5394" s="404"/>
      <c r="M5394" s="682"/>
    </row>
    <row r="5395" spans="3:13" ht="25.5" hidden="1" x14ac:dyDescent="0.2">
      <c r="C5395" s="489"/>
      <c r="F5395" s="503" t="s">
        <v>259</v>
      </c>
      <c r="G5395" s="504" t="s">
        <v>260</v>
      </c>
      <c r="H5395" s="397"/>
      <c r="I5395" s="397"/>
      <c r="J5395" s="750" t="e">
        <f t="shared" si="67"/>
        <v>#DIV/0!</v>
      </c>
      <c r="K5395" s="398"/>
      <c r="L5395" s="404"/>
      <c r="M5395" s="682"/>
    </row>
    <row r="5396" spans="3:13" ht="25.5" hidden="1" x14ac:dyDescent="0.2">
      <c r="C5396" s="489"/>
      <c r="F5396" s="503" t="s">
        <v>261</v>
      </c>
      <c r="G5396" s="504" t="s">
        <v>262</v>
      </c>
      <c r="H5396" s="397"/>
      <c r="I5396" s="397"/>
      <c r="J5396" s="750" t="e">
        <f t="shared" si="67"/>
        <v>#DIV/0!</v>
      </c>
      <c r="K5396" s="398"/>
      <c r="L5396" s="404"/>
      <c r="M5396" s="682"/>
    </row>
    <row r="5397" spans="3:13" hidden="1" x14ac:dyDescent="0.2">
      <c r="C5397" s="489"/>
      <c r="F5397" s="503" t="s">
        <v>263</v>
      </c>
      <c r="G5397" s="504" t="s">
        <v>264</v>
      </c>
      <c r="H5397" s="403"/>
      <c r="I5397" s="403"/>
      <c r="J5397" s="750" t="e">
        <f t="shared" si="67"/>
        <v>#DIV/0!</v>
      </c>
      <c r="K5397" s="404"/>
      <c r="L5397" s="404"/>
      <c r="M5397" s="682"/>
    </row>
    <row r="5398" spans="3:13" ht="13.5" hidden="1" thickBot="1" x14ac:dyDescent="0.25">
      <c r="C5398" s="489"/>
      <c r="G5398" s="505" t="s">
        <v>4311</v>
      </c>
      <c r="H5398" s="405">
        <f>SUM(H5382:H5397)</f>
        <v>0</v>
      </c>
      <c r="I5398" s="405"/>
      <c r="J5398" s="750" t="e">
        <f t="shared" si="67"/>
        <v>#DIV/0!</v>
      </c>
      <c r="K5398" s="406">
        <f>SUM(K5383:K5397)</f>
        <v>0</v>
      </c>
      <c r="L5398" s="406"/>
      <c r="M5398" s="682"/>
    </row>
    <row r="5399" spans="3:13" ht="25.5" hidden="1" collapsed="1" x14ac:dyDescent="0.2">
      <c r="C5399" s="489"/>
      <c r="E5399" s="500"/>
      <c r="F5399" s="498"/>
      <c r="G5399" s="506" t="s">
        <v>4374</v>
      </c>
      <c r="H5399" s="407"/>
      <c r="I5399" s="408"/>
      <c r="J5399" s="750" t="e">
        <f t="shared" si="67"/>
        <v>#DIV/0!</v>
      </c>
      <c r="K5399" s="409"/>
      <c r="L5399" s="410"/>
      <c r="M5399" s="682"/>
    </row>
    <row r="5400" spans="3:13" hidden="1" x14ac:dyDescent="0.2">
      <c r="C5400" s="489"/>
      <c r="E5400" s="502"/>
      <c r="F5400" s="503" t="s">
        <v>234</v>
      </c>
      <c r="G5400" s="504" t="s">
        <v>235</v>
      </c>
      <c r="H5400" s="403">
        <f>SUM(H5321:H5380)</f>
        <v>0</v>
      </c>
      <c r="I5400" s="403"/>
      <c r="J5400" s="750" t="e">
        <f t="shared" si="67"/>
        <v>#DIV/0!</v>
      </c>
      <c r="K5400" s="404"/>
      <c r="L5400" s="404"/>
      <c r="M5400" s="682"/>
    </row>
    <row r="5401" spans="3:13" hidden="1" x14ac:dyDescent="0.2">
      <c r="C5401" s="489"/>
      <c r="F5401" s="503" t="s">
        <v>236</v>
      </c>
      <c r="G5401" s="504" t="s">
        <v>237</v>
      </c>
      <c r="H5401" s="397"/>
      <c r="I5401" s="397"/>
      <c r="J5401" s="750" t="e">
        <f t="shared" si="67"/>
        <v>#DIV/0!</v>
      </c>
      <c r="K5401" s="398"/>
      <c r="L5401" s="404"/>
      <c r="M5401" s="682"/>
    </row>
    <row r="5402" spans="3:13" hidden="1" x14ac:dyDescent="0.2">
      <c r="C5402" s="489"/>
      <c r="F5402" s="503" t="s">
        <v>238</v>
      </c>
      <c r="G5402" s="504" t="s">
        <v>239</v>
      </c>
      <c r="H5402" s="397"/>
      <c r="I5402" s="397"/>
      <c r="J5402" s="750" t="e">
        <f t="shared" si="67"/>
        <v>#DIV/0!</v>
      </c>
      <c r="K5402" s="398"/>
      <c r="L5402" s="404"/>
      <c r="M5402" s="682"/>
    </row>
    <row r="5403" spans="3:13" hidden="1" x14ac:dyDescent="0.2">
      <c r="C5403" s="489"/>
      <c r="F5403" s="503" t="s">
        <v>240</v>
      </c>
      <c r="G5403" s="504" t="s">
        <v>241</v>
      </c>
      <c r="H5403" s="397"/>
      <c r="I5403" s="397"/>
      <c r="J5403" s="750" t="e">
        <f t="shared" si="67"/>
        <v>#DIV/0!</v>
      </c>
      <c r="K5403" s="398"/>
      <c r="L5403" s="404"/>
      <c r="M5403" s="682"/>
    </row>
    <row r="5404" spans="3:13" hidden="1" x14ac:dyDescent="0.2">
      <c r="C5404" s="489"/>
      <c r="F5404" s="503" t="s">
        <v>242</v>
      </c>
      <c r="G5404" s="504" t="s">
        <v>243</v>
      </c>
      <c r="H5404" s="397"/>
      <c r="I5404" s="397"/>
      <c r="J5404" s="750" t="e">
        <f t="shared" si="67"/>
        <v>#DIV/0!</v>
      </c>
      <c r="K5404" s="398"/>
      <c r="L5404" s="404"/>
      <c r="M5404" s="682"/>
    </row>
    <row r="5405" spans="3:13" hidden="1" x14ac:dyDescent="0.2">
      <c r="C5405" s="489"/>
      <c r="F5405" s="503" t="s">
        <v>244</v>
      </c>
      <c r="G5405" s="504" t="s">
        <v>245</v>
      </c>
      <c r="H5405" s="397"/>
      <c r="I5405" s="397"/>
      <c r="J5405" s="750" t="e">
        <f t="shared" si="67"/>
        <v>#DIV/0!</v>
      </c>
      <c r="K5405" s="398"/>
      <c r="L5405" s="404"/>
      <c r="M5405" s="682"/>
    </row>
    <row r="5406" spans="3:13" hidden="1" x14ac:dyDescent="0.2">
      <c r="C5406" s="489"/>
      <c r="F5406" s="503" t="s">
        <v>246</v>
      </c>
      <c r="G5406" s="504" t="s">
        <v>247</v>
      </c>
      <c r="H5406" s="397"/>
      <c r="I5406" s="397"/>
      <c r="J5406" s="750" t="e">
        <f t="shared" si="67"/>
        <v>#DIV/0!</v>
      </c>
      <c r="K5406" s="398"/>
      <c r="L5406" s="404"/>
      <c r="M5406" s="682"/>
    </row>
    <row r="5407" spans="3:13" ht="25.5" hidden="1" x14ac:dyDescent="0.2">
      <c r="C5407" s="489"/>
      <c r="F5407" s="503" t="s">
        <v>248</v>
      </c>
      <c r="G5407" s="504" t="s">
        <v>249</v>
      </c>
      <c r="H5407" s="397"/>
      <c r="I5407" s="397"/>
      <c r="J5407" s="750" t="e">
        <f t="shared" si="67"/>
        <v>#DIV/0!</v>
      </c>
      <c r="K5407" s="398"/>
      <c r="L5407" s="404"/>
      <c r="M5407" s="682"/>
    </row>
    <row r="5408" spans="3:13" hidden="1" x14ac:dyDescent="0.2">
      <c r="C5408" s="489"/>
      <c r="F5408" s="503" t="s">
        <v>250</v>
      </c>
      <c r="G5408" s="504" t="s">
        <v>57</v>
      </c>
      <c r="H5408" s="397"/>
      <c r="I5408" s="397"/>
      <c r="J5408" s="750" t="e">
        <f t="shared" si="67"/>
        <v>#DIV/0!</v>
      </c>
      <c r="K5408" s="398"/>
      <c r="L5408" s="404"/>
      <c r="M5408" s="682"/>
    </row>
    <row r="5409" spans="1:27" hidden="1" x14ac:dyDescent="0.2">
      <c r="C5409" s="489"/>
      <c r="F5409" s="503" t="s">
        <v>251</v>
      </c>
      <c r="G5409" s="504" t="s">
        <v>252</v>
      </c>
      <c r="H5409" s="397"/>
      <c r="I5409" s="397"/>
      <c r="J5409" s="750" t="e">
        <f t="shared" si="67"/>
        <v>#DIV/0!</v>
      </c>
      <c r="K5409" s="398"/>
      <c r="L5409" s="404"/>
      <c r="M5409" s="682"/>
    </row>
    <row r="5410" spans="1:27" hidden="1" x14ac:dyDescent="0.2">
      <c r="C5410" s="489"/>
      <c r="F5410" s="503" t="s">
        <v>253</v>
      </c>
      <c r="G5410" s="504" t="s">
        <v>254</v>
      </c>
      <c r="H5410" s="397"/>
      <c r="I5410" s="397"/>
      <c r="J5410" s="750" t="e">
        <f t="shared" si="67"/>
        <v>#DIV/0!</v>
      </c>
      <c r="K5410" s="398"/>
      <c r="L5410" s="404"/>
      <c r="M5410" s="682"/>
    </row>
    <row r="5411" spans="1:27" ht="25.5" hidden="1" x14ac:dyDescent="0.2">
      <c r="C5411" s="489"/>
      <c r="F5411" s="503" t="s">
        <v>255</v>
      </c>
      <c r="G5411" s="504" t="s">
        <v>256</v>
      </c>
      <c r="H5411" s="397"/>
      <c r="I5411" s="397"/>
      <c r="J5411" s="750" t="e">
        <f t="shared" si="67"/>
        <v>#DIV/0!</v>
      </c>
      <c r="K5411" s="398"/>
      <c r="L5411" s="404"/>
      <c r="M5411" s="682"/>
    </row>
    <row r="5412" spans="1:27" ht="25.5" hidden="1" x14ac:dyDescent="0.2">
      <c r="C5412" s="489"/>
      <c r="F5412" s="503" t="s">
        <v>257</v>
      </c>
      <c r="G5412" s="504" t="s">
        <v>258</v>
      </c>
      <c r="H5412" s="397"/>
      <c r="I5412" s="397"/>
      <c r="J5412" s="750" t="e">
        <f t="shared" si="67"/>
        <v>#DIV/0!</v>
      </c>
      <c r="K5412" s="398"/>
      <c r="L5412" s="404"/>
      <c r="M5412" s="682"/>
    </row>
    <row r="5413" spans="1:27" ht="25.5" hidden="1" x14ac:dyDescent="0.2">
      <c r="C5413" s="489"/>
      <c r="F5413" s="503" t="s">
        <v>259</v>
      </c>
      <c r="G5413" s="504" t="s">
        <v>260</v>
      </c>
      <c r="H5413" s="397"/>
      <c r="I5413" s="397"/>
      <c r="J5413" s="750" t="e">
        <f t="shared" si="67"/>
        <v>#DIV/0!</v>
      </c>
      <c r="K5413" s="398"/>
      <c r="L5413" s="404"/>
      <c r="M5413" s="682"/>
    </row>
    <row r="5414" spans="1:27" ht="25.5" hidden="1" x14ac:dyDescent="0.2">
      <c r="C5414" s="489"/>
      <c r="F5414" s="503" t="s">
        <v>261</v>
      </c>
      <c r="G5414" s="504" t="s">
        <v>262</v>
      </c>
      <c r="H5414" s="397"/>
      <c r="I5414" s="397"/>
      <c r="J5414" s="750" t="e">
        <f t="shared" si="67"/>
        <v>#DIV/0!</v>
      </c>
      <c r="K5414" s="398"/>
      <c r="L5414" s="404"/>
      <c r="M5414" s="682"/>
    </row>
    <row r="5415" spans="1:27" hidden="1" x14ac:dyDescent="0.2">
      <c r="C5415" s="489"/>
      <c r="F5415" s="503" t="s">
        <v>263</v>
      </c>
      <c r="G5415" s="504" t="s">
        <v>264</v>
      </c>
      <c r="H5415" s="403"/>
      <c r="I5415" s="403"/>
      <c r="J5415" s="750" t="e">
        <f t="shared" si="67"/>
        <v>#DIV/0!</v>
      </c>
      <c r="K5415" s="404"/>
      <c r="L5415" s="404"/>
      <c r="M5415" s="682"/>
    </row>
    <row r="5416" spans="1:27" ht="13.5" hidden="1" collapsed="1" thickBot="1" x14ac:dyDescent="0.25">
      <c r="C5416" s="489"/>
      <c r="G5416" s="505" t="s">
        <v>4375</v>
      </c>
      <c r="H5416" s="405">
        <f>SUM(H5400:H5415)</f>
        <v>0</v>
      </c>
      <c r="I5416" s="405"/>
      <c r="J5416" s="750" t="e">
        <f t="shared" si="67"/>
        <v>#DIV/0!</v>
      </c>
      <c r="K5416" s="406">
        <f>SUM(K5401:K5415)</f>
        <v>0</v>
      </c>
      <c r="L5416" s="406"/>
      <c r="M5416" s="682"/>
    </row>
    <row r="5417" spans="1:27" hidden="1" x14ac:dyDescent="0.2">
      <c r="C5417" s="489"/>
      <c r="G5417" s="513"/>
      <c r="H5417" s="397"/>
      <c r="I5417" s="397"/>
      <c r="J5417" s="750" t="e">
        <f t="shared" si="67"/>
        <v>#DIV/0!</v>
      </c>
      <c r="K5417" s="398"/>
      <c r="L5417" s="398"/>
      <c r="M5417" s="682"/>
    </row>
    <row r="5418" spans="1:27" hidden="1" x14ac:dyDescent="0.2">
      <c r="C5418" s="489" t="s">
        <v>4132</v>
      </c>
      <c r="G5418" s="513" t="s">
        <v>4133</v>
      </c>
      <c r="H5418" s="397"/>
      <c r="I5418" s="397"/>
      <c r="J5418" s="750" t="e">
        <f t="shared" si="67"/>
        <v>#DIV/0!</v>
      </c>
      <c r="K5418" s="398"/>
      <c r="L5418" s="398"/>
      <c r="M5418" s="682"/>
    </row>
    <row r="5419" spans="1:27" s="530" customFormat="1" hidden="1" x14ac:dyDescent="0.2">
      <c r="A5419" s="526"/>
      <c r="B5419" s="527"/>
      <c r="C5419" s="528"/>
      <c r="D5419" s="569" t="s">
        <v>4009</v>
      </c>
      <c r="E5419" s="538"/>
      <c r="F5419" s="538"/>
      <c r="G5419" s="539" t="s">
        <v>206</v>
      </c>
      <c r="H5419" s="425"/>
      <c r="I5419" s="425"/>
      <c r="J5419" s="750" t="e">
        <f t="shared" si="67"/>
        <v>#DIV/0!</v>
      </c>
      <c r="K5419" s="243"/>
      <c r="L5419" s="243"/>
      <c r="M5419" s="682"/>
      <c r="N5419" s="171"/>
      <c r="O5419" s="171"/>
      <c r="P5419" s="171"/>
      <c r="Q5419" s="171"/>
      <c r="R5419" s="171"/>
      <c r="S5419" s="171"/>
      <c r="T5419" s="171"/>
      <c r="U5419" s="171"/>
      <c r="V5419" s="171"/>
      <c r="W5419" s="171"/>
      <c r="X5419" s="171"/>
      <c r="Y5419" s="171"/>
      <c r="Z5419" s="171"/>
      <c r="AA5419" s="171"/>
    </row>
    <row r="5420" spans="1:27" hidden="1" x14ac:dyDescent="0.2">
      <c r="F5420" s="494">
        <v>411</v>
      </c>
      <c r="G5420" s="495" t="s">
        <v>4167</v>
      </c>
      <c r="H5420" s="397"/>
      <c r="I5420" s="397"/>
      <c r="J5420" s="750" t="e">
        <f t="shared" si="67"/>
        <v>#DIV/0!</v>
      </c>
      <c r="K5420" s="398"/>
      <c r="L5420" s="398"/>
      <c r="M5420" s="682"/>
    </row>
    <row r="5421" spans="1:27" hidden="1" x14ac:dyDescent="0.2">
      <c r="F5421" s="494">
        <v>412</v>
      </c>
      <c r="G5421" s="496" t="s">
        <v>3764</v>
      </c>
      <c r="H5421" s="397"/>
      <c r="I5421" s="397"/>
      <c r="J5421" s="750" t="e">
        <f t="shared" si="67"/>
        <v>#DIV/0!</v>
      </c>
      <c r="K5421" s="398"/>
      <c r="L5421" s="398"/>
      <c r="M5421" s="682"/>
    </row>
    <row r="5422" spans="1:27" hidden="1" x14ac:dyDescent="0.2">
      <c r="F5422" s="494">
        <v>413</v>
      </c>
      <c r="G5422" s="495" t="s">
        <v>4168</v>
      </c>
      <c r="H5422" s="397"/>
      <c r="I5422" s="397"/>
      <c r="J5422" s="750" t="e">
        <f t="shared" si="67"/>
        <v>#DIV/0!</v>
      </c>
      <c r="K5422" s="398"/>
      <c r="L5422" s="398"/>
      <c r="M5422" s="682"/>
    </row>
    <row r="5423" spans="1:27" hidden="1" x14ac:dyDescent="0.2">
      <c r="F5423" s="494">
        <v>414</v>
      </c>
      <c r="G5423" s="495" t="s">
        <v>3767</v>
      </c>
      <c r="H5423" s="397"/>
      <c r="I5423" s="397"/>
      <c r="J5423" s="750" t="e">
        <f t="shared" si="67"/>
        <v>#DIV/0!</v>
      </c>
      <c r="K5423" s="398"/>
      <c r="L5423" s="398"/>
      <c r="M5423" s="682"/>
    </row>
    <row r="5424" spans="1:27" hidden="1" x14ac:dyDescent="0.2">
      <c r="F5424" s="494">
        <v>415</v>
      </c>
      <c r="G5424" s="495" t="s">
        <v>4177</v>
      </c>
      <c r="H5424" s="397"/>
      <c r="I5424" s="397"/>
      <c r="J5424" s="750" t="e">
        <f t="shared" si="67"/>
        <v>#DIV/0!</v>
      </c>
      <c r="K5424" s="398"/>
      <c r="L5424" s="398"/>
      <c r="M5424" s="682"/>
    </row>
    <row r="5425" spans="6:13" ht="25.5" hidden="1" x14ac:dyDescent="0.2">
      <c r="F5425" s="494">
        <v>416</v>
      </c>
      <c r="G5425" s="495" t="s">
        <v>4178</v>
      </c>
      <c r="H5425" s="397"/>
      <c r="I5425" s="397"/>
      <c r="J5425" s="750" t="e">
        <f t="shared" si="67"/>
        <v>#DIV/0!</v>
      </c>
      <c r="K5425" s="398"/>
      <c r="L5425" s="398"/>
      <c r="M5425" s="682"/>
    </row>
    <row r="5426" spans="6:13" hidden="1" x14ac:dyDescent="0.2">
      <c r="F5426" s="494">
        <v>417</v>
      </c>
      <c r="G5426" s="495" t="s">
        <v>4179</v>
      </c>
      <c r="H5426" s="397"/>
      <c r="I5426" s="397"/>
      <c r="J5426" s="750" t="e">
        <f t="shared" si="67"/>
        <v>#DIV/0!</v>
      </c>
      <c r="K5426" s="398"/>
      <c r="L5426" s="398"/>
      <c r="M5426" s="682"/>
    </row>
    <row r="5427" spans="6:13" hidden="1" x14ac:dyDescent="0.2">
      <c r="F5427" s="494">
        <v>418</v>
      </c>
      <c r="G5427" s="495" t="s">
        <v>3773</v>
      </c>
      <c r="H5427" s="397"/>
      <c r="I5427" s="397"/>
      <c r="J5427" s="750" t="e">
        <f t="shared" si="67"/>
        <v>#DIV/0!</v>
      </c>
      <c r="K5427" s="398"/>
      <c r="L5427" s="398"/>
      <c r="M5427" s="682"/>
    </row>
    <row r="5428" spans="6:13" hidden="1" x14ac:dyDescent="0.2">
      <c r="F5428" s="494">
        <v>421</v>
      </c>
      <c r="G5428" s="495" t="s">
        <v>3777</v>
      </c>
      <c r="H5428" s="397"/>
      <c r="I5428" s="397"/>
      <c r="J5428" s="750" t="e">
        <f t="shared" si="67"/>
        <v>#DIV/0!</v>
      </c>
      <c r="K5428" s="398"/>
      <c r="L5428" s="398"/>
      <c r="M5428" s="682"/>
    </row>
    <row r="5429" spans="6:13" hidden="1" x14ac:dyDescent="0.2">
      <c r="F5429" s="494">
        <v>422</v>
      </c>
      <c r="G5429" s="495" t="s">
        <v>3778</v>
      </c>
      <c r="H5429" s="397"/>
      <c r="I5429" s="397"/>
      <c r="J5429" s="750" t="e">
        <f t="shared" si="67"/>
        <v>#DIV/0!</v>
      </c>
      <c r="K5429" s="398"/>
      <c r="L5429" s="398"/>
      <c r="M5429" s="682"/>
    </row>
    <row r="5430" spans="6:13" hidden="1" x14ac:dyDescent="0.2">
      <c r="F5430" s="494">
        <v>423</v>
      </c>
      <c r="G5430" s="495" t="s">
        <v>3779</v>
      </c>
      <c r="H5430" s="397"/>
      <c r="I5430" s="397"/>
      <c r="J5430" s="750" t="e">
        <f t="shared" si="67"/>
        <v>#DIV/0!</v>
      </c>
      <c r="K5430" s="398"/>
      <c r="L5430" s="398"/>
      <c r="M5430" s="682"/>
    </row>
    <row r="5431" spans="6:13" hidden="1" x14ac:dyDescent="0.2">
      <c r="F5431" s="494">
        <v>424</v>
      </c>
      <c r="G5431" s="495" t="s">
        <v>3781</v>
      </c>
      <c r="H5431" s="397"/>
      <c r="I5431" s="397"/>
      <c r="J5431" s="750" t="e">
        <f t="shared" si="67"/>
        <v>#DIV/0!</v>
      </c>
      <c r="K5431" s="398"/>
      <c r="L5431" s="398"/>
      <c r="M5431" s="682"/>
    </row>
    <row r="5432" spans="6:13" hidden="1" x14ac:dyDescent="0.2">
      <c r="F5432" s="494">
        <v>425</v>
      </c>
      <c r="G5432" s="495" t="s">
        <v>4180</v>
      </c>
      <c r="H5432" s="397"/>
      <c r="I5432" s="397"/>
      <c r="J5432" s="750" t="e">
        <f t="shared" si="67"/>
        <v>#DIV/0!</v>
      </c>
      <c r="K5432" s="398"/>
      <c r="L5432" s="398"/>
      <c r="M5432" s="682"/>
    </row>
    <row r="5433" spans="6:13" hidden="1" x14ac:dyDescent="0.2">
      <c r="F5433" s="494">
        <v>426</v>
      </c>
      <c r="G5433" s="495" t="s">
        <v>3785</v>
      </c>
      <c r="H5433" s="397"/>
      <c r="I5433" s="397"/>
      <c r="J5433" s="750" t="e">
        <f t="shared" si="67"/>
        <v>#DIV/0!</v>
      </c>
      <c r="K5433" s="398"/>
      <c r="L5433" s="398"/>
      <c r="M5433" s="682"/>
    </row>
    <row r="5434" spans="6:13" hidden="1" x14ac:dyDescent="0.2">
      <c r="F5434" s="494">
        <v>431</v>
      </c>
      <c r="G5434" s="495" t="s">
        <v>4181</v>
      </c>
      <c r="H5434" s="397"/>
      <c r="I5434" s="397"/>
      <c r="J5434" s="750" t="e">
        <f t="shared" si="67"/>
        <v>#DIV/0!</v>
      </c>
      <c r="K5434" s="398"/>
      <c r="L5434" s="398"/>
      <c r="M5434" s="682"/>
    </row>
    <row r="5435" spans="6:13" hidden="1" x14ac:dyDescent="0.2">
      <c r="F5435" s="494">
        <v>432</v>
      </c>
      <c r="G5435" s="495" t="s">
        <v>4182</v>
      </c>
      <c r="H5435" s="397"/>
      <c r="I5435" s="397"/>
      <c r="J5435" s="750" t="e">
        <f t="shared" si="67"/>
        <v>#DIV/0!</v>
      </c>
      <c r="K5435" s="398"/>
      <c r="L5435" s="398"/>
      <c r="M5435" s="682"/>
    </row>
    <row r="5436" spans="6:13" hidden="1" x14ac:dyDescent="0.2">
      <c r="F5436" s="494">
        <v>433</v>
      </c>
      <c r="G5436" s="495" t="s">
        <v>4183</v>
      </c>
      <c r="H5436" s="397"/>
      <c r="I5436" s="397"/>
      <c r="J5436" s="750" t="e">
        <f t="shared" si="67"/>
        <v>#DIV/0!</v>
      </c>
      <c r="K5436" s="398"/>
      <c r="L5436" s="398"/>
      <c r="M5436" s="682"/>
    </row>
    <row r="5437" spans="6:13" hidden="1" x14ac:dyDescent="0.2">
      <c r="F5437" s="494">
        <v>434</v>
      </c>
      <c r="G5437" s="495" t="s">
        <v>4184</v>
      </c>
      <c r="H5437" s="397"/>
      <c r="I5437" s="397"/>
      <c r="J5437" s="750" t="e">
        <f t="shared" si="67"/>
        <v>#DIV/0!</v>
      </c>
      <c r="K5437" s="398"/>
      <c r="L5437" s="398"/>
      <c r="M5437" s="682"/>
    </row>
    <row r="5438" spans="6:13" hidden="1" x14ac:dyDescent="0.2">
      <c r="F5438" s="494">
        <v>435</v>
      </c>
      <c r="G5438" s="495" t="s">
        <v>3792</v>
      </c>
      <c r="H5438" s="397"/>
      <c r="I5438" s="397"/>
      <c r="J5438" s="750" t="e">
        <f t="shared" si="67"/>
        <v>#DIV/0!</v>
      </c>
      <c r="K5438" s="398"/>
      <c r="L5438" s="398"/>
      <c r="M5438" s="682"/>
    </row>
    <row r="5439" spans="6:13" hidden="1" x14ac:dyDescent="0.2">
      <c r="F5439" s="494">
        <v>441</v>
      </c>
      <c r="G5439" s="495" t="s">
        <v>4185</v>
      </c>
      <c r="H5439" s="397"/>
      <c r="I5439" s="397"/>
      <c r="J5439" s="750" t="e">
        <f t="shared" si="67"/>
        <v>#DIV/0!</v>
      </c>
      <c r="K5439" s="398"/>
      <c r="L5439" s="398"/>
      <c r="M5439" s="682"/>
    </row>
    <row r="5440" spans="6:13" hidden="1" x14ac:dyDescent="0.2">
      <c r="F5440" s="494">
        <v>442</v>
      </c>
      <c r="G5440" s="495" t="s">
        <v>4186</v>
      </c>
      <c r="H5440" s="397"/>
      <c r="I5440" s="397"/>
      <c r="J5440" s="750" t="e">
        <f t="shared" si="67"/>
        <v>#DIV/0!</v>
      </c>
      <c r="K5440" s="398"/>
      <c r="L5440" s="398"/>
      <c r="M5440" s="682"/>
    </row>
    <row r="5441" spans="6:13" hidden="1" x14ac:dyDescent="0.2">
      <c r="F5441" s="494">
        <v>443</v>
      </c>
      <c r="G5441" s="495" t="s">
        <v>3797</v>
      </c>
      <c r="H5441" s="397"/>
      <c r="I5441" s="397"/>
      <c r="J5441" s="750" t="e">
        <f t="shared" si="67"/>
        <v>#DIV/0!</v>
      </c>
      <c r="K5441" s="398"/>
      <c r="L5441" s="398"/>
      <c r="M5441" s="682"/>
    </row>
    <row r="5442" spans="6:13" hidden="1" x14ac:dyDescent="0.2">
      <c r="F5442" s="494">
        <v>444</v>
      </c>
      <c r="G5442" s="495" t="s">
        <v>3798</v>
      </c>
      <c r="H5442" s="397"/>
      <c r="I5442" s="397"/>
      <c r="J5442" s="750" t="e">
        <f t="shared" si="67"/>
        <v>#DIV/0!</v>
      </c>
      <c r="K5442" s="398"/>
      <c r="L5442" s="398"/>
      <c r="M5442" s="682"/>
    </row>
    <row r="5443" spans="6:13" ht="25.5" hidden="1" x14ac:dyDescent="0.2">
      <c r="F5443" s="494">
        <v>4511</v>
      </c>
      <c r="G5443" s="466" t="s">
        <v>1692</v>
      </c>
      <c r="H5443" s="397"/>
      <c r="I5443" s="397"/>
      <c r="J5443" s="750" t="e">
        <f t="shared" si="67"/>
        <v>#DIV/0!</v>
      </c>
      <c r="K5443" s="398"/>
      <c r="L5443" s="398"/>
      <c r="M5443" s="682"/>
    </row>
    <row r="5444" spans="6:13" ht="25.5" hidden="1" x14ac:dyDescent="0.2">
      <c r="F5444" s="494">
        <v>4512</v>
      </c>
      <c r="G5444" s="466" t="s">
        <v>1701</v>
      </c>
      <c r="H5444" s="397"/>
      <c r="I5444" s="397"/>
      <c r="J5444" s="750" t="e">
        <f t="shared" si="67"/>
        <v>#DIV/0!</v>
      </c>
      <c r="K5444" s="398"/>
      <c r="L5444" s="398"/>
      <c r="M5444" s="682"/>
    </row>
    <row r="5445" spans="6:13" ht="25.5" hidden="1" x14ac:dyDescent="0.2">
      <c r="F5445" s="494">
        <v>452</v>
      </c>
      <c r="G5445" s="495" t="s">
        <v>4187</v>
      </c>
      <c r="H5445" s="397"/>
      <c r="I5445" s="397"/>
      <c r="J5445" s="750" t="e">
        <f t="shared" si="67"/>
        <v>#DIV/0!</v>
      </c>
      <c r="K5445" s="398"/>
      <c r="L5445" s="398"/>
      <c r="M5445" s="682"/>
    </row>
    <row r="5446" spans="6:13" ht="25.5" hidden="1" x14ac:dyDescent="0.2">
      <c r="F5446" s="494">
        <v>453</v>
      </c>
      <c r="G5446" s="495" t="s">
        <v>4188</v>
      </c>
      <c r="H5446" s="397"/>
      <c r="I5446" s="397"/>
      <c r="J5446" s="750" t="e">
        <f t="shared" si="67"/>
        <v>#DIV/0!</v>
      </c>
      <c r="K5446" s="398"/>
      <c r="L5446" s="398"/>
      <c r="M5446" s="682"/>
    </row>
    <row r="5447" spans="6:13" hidden="1" x14ac:dyDescent="0.2">
      <c r="F5447" s="494">
        <v>454</v>
      </c>
      <c r="G5447" s="495" t="s">
        <v>3803</v>
      </c>
      <c r="H5447" s="397"/>
      <c r="I5447" s="397"/>
      <c r="J5447" s="750" t="e">
        <f t="shared" si="67"/>
        <v>#DIV/0!</v>
      </c>
      <c r="K5447" s="398"/>
      <c r="L5447" s="398"/>
      <c r="M5447" s="682"/>
    </row>
    <row r="5448" spans="6:13" hidden="1" x14ac:dyDescent="0.2">
      <c r="F5448" s="494">
        <v>461</v>
      </c>
      <c r="G5448" s="495" t="s">
        <v>4169</v>
      </c>
      <c r="H5448" s="397"/>
      <c r="I5448" s="397"/>
      <c r="J5448" s="750" t="e">
        <f t="shared" si="67"/>
        <v>#DIV/0!</v>
      </c>
      <c r="K5448" s="398"/>
      <c r="L5448" s="398"/>
      <c r="M5448" s="682"/>
    </row>
    <row r="5449" spans="6:13" ht="25.5" hidden="1" x14ac:dyDescent="0.2">
      <c r="F5449" s="494">
        <v>462</v>
      </c>
      <c r="G5449" s="495" t="s">
        <v>3806</v>
      </c>
      <c r="H5449" s="397"/>
      <c r="I5449" s="397"/>
      <c r="J5449" s="750" t="e">
        <f t="shared" si="67"/>
        <v>#DIV/0!</v>
      </c>
      <c r="K5449" s="398"/>
      <c r="L5449" s="398"/>
      <c r="M5449" s="682"/>
    </row>
    <row r="5450" spans="6:13" hidden="1" x14ac:dyDescent="0.2">
      <c r="F5450" s="494">
        <v>4631</v>
      </c>
      <c r="G5450" s="495" t="s">
        <v>3807</v>
      </c>
      <c r="H5450" s="397"/>
      <c r="I5450" s="397"/>
      <c r="J5450" s="750" t="e">
        <f t="shared" si="67"/>
        <v>#DIV/0!</v>
      </c>
      <c r="K5450" s="398"/>
      <c r="L5450" s="398"/>
      <c r="M5450" s="682"/>
    </row>
    <row r="5451" spans="6:13" hidden="1" x14ac:dyDescent="0.2">
      <c r="F5451" s="494">
        <v>4632</v>
      </c>
      <c r="G5451" s="495" t="s">
        <v>3808</v>
      </c>
      <c r="H5451" s="397"/>
      <c r="I5451" s="397"/>
      <c r="J5451" s="750" t="e">
        <f t="shared" si="67"/>
        <v>#DIV/0!</v>
      </c>
      <c r="K5451" s="398"/>
      <c r="L5451" s="398"/>
      <c r="M5451" s="682"/>
    </row>
    <row r="5452" spans="6:13" ht="25.5" hidden="1" x14ac:dyDescent="0.2">
      <c r="F5452" s="494">
        <v>464</v>
      </c>
      <c r="G5452" s="495" t="s">
        <v>3809</v>
      </c>
      <c r="H5452" s="397"/>
      <c r="I5452" s="397"/>
      <c r="J5452" s="750" t="e">
        <f t="shared" si="67"/>
        <v>#DIV/0!</v>
      </c>
      <c r="K5452" s="398"/>
      <c r="L5452" s="398"/>
      <c r="M5452" s="682"/>
    </row>
    <row r="5453" spans="6:13" hidden="1" x14ac:dyDescent="0.2">
      <c r="F5453" s="494">
        <v>465</v>
      </c>
      <c r="G5453" s="495" t="s">
        <v>4170</v>
      </c>
      <c r="H5453" s="397"/>
      <c r="I5453" s="397"/>
      <c r="J5453" s="750" t="e">
        <f t="shared" ref="J5453:J5516" si="68">SUM(I5453/H5453)*100</f>
        <v>#DIV/0!</v>
      </c>
      <c r="K5453" s="398"/>
      <c r="L5453" s="398"/>
      <c r="M5453" s="682"/>
    </row>
    <row r="5454" spans="6:13" hidden="1" x14ac:dyDescent="0.2">
      <c r="F5454" s="494">
        <v>472</v>
      </c>
      <c r="G5454" s="495" t="s">
        <v>3813</v>
      </c>
      <c r="H5454" s="397"/>
      <c r="I5454" s="397"/>
      <c r="J5454" s="750" t="e">
        <f t="shared" si="68"/>
        <v>#DIV/0!</v>
      </c>
      <c r="K5454" s="398"/>
      <c r="L5454" s="398"/>
      <c r="M5454" s="682"/>
    </row>
    <row r="5455" spans="6:13" hidden="1" x14ac:dyDescent="0.2">
      <c r="F5455" s="494">
        <v>481</v>
      </c>
      <c r="G5455" s="495" t="s">
        <v>4189</v>
      </c>
      <c r="H5455" s="397"/>
      <c r="I5455" s="397"/>
      <c r="J5455" s="750" t="e">
        <f t="shared" si="68"/>
        <v>#DIV/0!</v>
      </c>
      <c r="K5455" s="398"/>
      <c r="L5455" s="398"/>
      <c r="M5455" s="682"/>
    </row>
    <row r="5456" spans="6:13" hidden="1" x14ac:dyDescent="0.2">
      <c r="F5456" s="494">
        <v>482</v>
      </c>
      <c r="G5456" s="495" t="s">
        <v>4190</v>
      </c>
      <c r="H5456" s="397"/>
      <c r="I5456" s="397"/>
      <c r="J5456" s="750" t="e">
        <f t="shared" si="68"/>
        <v>#DIV/0!</v>
      </c>
      <c r="K5456" s="398"/>
      <c r="L5456" s="398"/>
      <c r="M5456" s="682"/>
    </row>
    <row r="5457" spans="6:13" hidden="1" x14ac:dyDescent="0.2">
      <c r="F5457" s="494">
        <v>483</v>
      </c>
      <c r="G5457" s="497" t="s">
        <v>4191</v>
      </c>
      <c r="H5457" s="397"/>
      <c r="I5457" s="397"/>
      <c r="J5457" s="750" t="e">
        <f t="shared" si="68"/>
        <v>#DIV/0!</v>
      </c>
      <c r="K5457" s="398"/>
      <c r="L5457" s="398"/>
      <c r="M5457" s="682"/>
    </row>
    <row r="5458" spans="6:13" ht="38.25" hidden="1" x14ac:dyDescent="0.2">
      <c r="F5458" s="494">
        <v>484</v>
      </c>
      <c r="G5458" s="495" t="s">
        <v>4192</v>
      </c>
      <c r="H5458" s="397"/>
      <c r="I5458" s="397"/>
      <c r="J5458" s="750" t="e">
        <f t="shared" si="68"/>
        <v>#DIV/0!</v>
      </c>
      <c r="K5458" s="398"/>
      <c r="L5458" s="398"/>
      <c r="M5458" s="682"/>
    </row>
    <row r="5459" spans="6:13" ht="25.5" hidden="1" x14ac:dyDescent="0.2">
      <c r="F5459" s="494">
        <v>485</v>
      </c>
      <c r="G5459" s="495" t="s">
        <v>4193</v>
      </c>
      <c r="H5459" s="397"/>
      <c r="I5459" s="397"/>
      <c r="J5459" s="750" t="e">
        <f t="shared" si="68"/>
        <v>#DIV/0!</v>
      </c>
      <c r="K5459" s="398"/>
      <c r="L5459" s="398"/>
      <c r="M5459" s="682"/>
    </row>
    <row r="5460" spans="6:13" ht="25.5" hidden="1" x14ac:dyDescent="0.2">
      <c r="F5460" s="494">
        <v>489</v>
      </c>
      <c r="G5460" s="495" t="s">
        <v>3821</v>
      </c>
      <c r="H5460" s="397"/>
      <c r="I5460" s="397"/>
      <c r="J5460" s="750" t="e">
        <f t="shared" si="68"/>
        <v>#DIV/0!</v>
      </c>
      <c r="K5460" s="398"/>
      <c r="L5460" s="398"/>
      <c r="M5460" s="682"/>
    </row>
    <row r="5461" spans="6:13" ht="25.5" hidden="1" x14ac:dyDescent="0.2">
      <c r="F5461" s="494">
        <v>494</v>
      </c>
      <c r="G5461" s="495" t="s">
        <v>4171</v>
      </c>
      <c r="H5461" s="397"/>
      <c r="I5461" s="397"/>
      <c r="J5461" s="750" t="e">
        <f t="shared" si="68"/>
        <v>#DIV/0!</v>
      </c>
      <c r="K5461" s="398"/>
      <c r="L5461" s="398"/>
      <c r="M5461" s="682"/>
    </row>
    <row r="5462" spans="6:13" ht="25.5" hidden="1" x14ac:dyDescent="0.2">
      <c r="F5462" s="494">
        <v>495</v>
      </c>
      <c r="G5462" s="495" t="s">
        <v>4172</v>
      </c>
      <c r="H5462" s="397"/>
      <c r="I5462" s="397"/>
      <c r="J5462" s="750" t="e">
        <f t="shared" si="68"/>
        <v>#DIV/0!</v>
      </c>
      <c r="K5462" s="398"/>
      <c r="L5462" s="398"/>
      <c r="M5462" s="682"/>
    </row>
    <row r="5463" spans="6:13" ht="38.25" hidden="1" x14ac:dyDescent="0.2">
      <c r="F5463" s="494">
        <v>496</v>
      </c>
      <c r="G5463" s="495" t="s">
        <v>4173</v>
      </c>
      <c r="H5463" s="397"/>
      <c r="I5463" s="397"/>
      <c r="J5463" s="750" t="e">
        <f t="shared" si="68"/>
        <v>#DIV/0!</v>
      </c>
      <c r="K5463" s="398"/>
      <c r="L5463" s="398"/>
      <c r="M5463" s="682"/>
    </row>
    <row r="5464" spans="6:13" ht="25.5" hidden="1" x14ac:dyDescent="0.2">
      <c r="F5464" s="494">
        <v>499</v>
      </c>
      <c r="G5464" s="495" t="s">
        <v>4174</v>
      </c>
      <c r="H5464" s="397"/>
      <c r="I5464" s="397"/>
      <c r="J5464" s="750" t="e">
        <f t="shared" si="68"/>
        <v>#DIV/0!</v>
      </c>
      <c r="K5464" s="398"/>
      <c r="L5464" s="398"/>
      <c r="M5464" s="682"/>
    </row>
    <row r="5465" spans="6:13" hidden="1" x14ac:dyDescent="0.2">
      <c r="F5465" s="494">
        <v>511</v>
      </c>
      <c r="G5465" s="497" t="s">
        <v>4194</v>
      </c>
      <c r="H5465" s="397"/>
      <c r="I5465" s="397"/>
      <c r="J5465" s="750" t="e">
        <f t="shared" si="68"/>
        <v>#DIV/0!</v>
      </c>
      <c r="K5465" s="398"/>
      <c r="L5465" s="398"/>
      <c r="M5465" s="682"/>
    </row>
    <row r="5466" spans="6:13" hidden="1" x14ac:dyDescent="0.2">
      <c r="F5466" s="494">
        <v>512</v>
      </c>
      <c r="G5466" s="497" t="s">
        <v>4195</v>
      </c>
      <c r="H5466" s="397"/>
      <c r="I5466" s="397"/>
      <c r="J5466" s="750" t="e">
        <f t="shared" si="68"/>
        <v>#DIV/0!</v>
      </c>
      <c r="K5466" s="398"/>
      <c r="L5466" s="398"/>
      <c r="M5466" s="682"/>
    </row>
    <row r="5467" spans="6:13" hidden="1" x14ac:dyDescent="0.2">
      <c r="F5467" s="494">
        <v>513</v>
      </c>
      <c r="G5467" s="497" t="s">
        <v>4196</v>
      </c>
      <c r="H5467" s="397"/>
      <c r="I5467" s="397"/>
      <c r="J5467" s="750" t="e">
        <f t="shared" si="68"/>
        <v>#DIV/0!</v>
      </c>
      <c r="K5467" s="398"/>
      <c r="L5467" s="398"/>
      <c r="M5467" s="682"/>
    </row>
    <row r="5468" spans="6:13" hidden="1" x14ac:dyDescent="0.2">
      <c r="F5468" s="494">
        <v>514</v>
      </c>
      <c r="G5468" s="495" t="s">
        <v>4197</v>
      </c>
      <c r="H5468" s="397"/>
      <c r="I5468" s="397"/>
      <c r="J5468" s="750" t="e">
        <f t="shared" si="68"/>
        <v>#DIV/0!</v>
      </c>
      <c r="K5468" s="398"/>
      <c r="L5468" s="398"/>
      <c r="M5468" s="682"/>
    </row>
    <row r="5469" spans="6:13" hidden="1" x14ac:dyDescent="0.2">
      <c r="F5469" s="494">
        <v>515</v>
      </c>
      <c r="G5469" s="495" t="s">
        <v>3832</v>
      </c>
      <c r="H5469" s="397"/>
      <c r="I5469" s="397"/>
      <c r="J5469" s="750" t="e">
        <f t="shared" si="68"/>
        <v>#DIV/0!</v>
      </c>
      <c r="K5469" s="398"/>
      <c r="L5469" s="398"/>
      <c r="M5469" s="682"/>
    </row>
    <row r="5470" spans="6:13" hidden="1" x14ac:dyDescent="0.2">
      <c r="F5470" s="494">
        <v>521</v>
      </c>
      <c r="G5470" s="495" t="s">
        <v>4198</v>
      </c>
      <c r="H5470" s="397"/>
      <c r="I5470" s="397"/>
      <c r="J5470" s="750" t="e">
        <f t="shared" si="68"/>
        <v>#DIV/0!</v>
      </c>
      <c r="K5470" s="398"/>
      <c r="L5470" s="398"/>
      <c r="M5470" s="682"/>
    </row>
    <row r="5471" spans="6:13" hidden="1" x14ac:dyDescent="0.2">
      <c r="F5471" s="494">
        <v>522</v>
      </c>
      <c r="G5471" s="495" t="s">
        <v>4199</v>
      </c>
      <c r="H5471" s="397"/>
      <c r="I5471" s="397"/>
      <c r="J5471" s="750" t="e">
        <f t="shared" si="68"/>
        <v>#DIV/0!</v>
      </c>
      <c r="K5471" s="398"/>
      <c r="L5471" s="398"/>
      <c r="M5471" s="682"/>
    </row>
    <row r="5472" spans="6:13" hidden="1" x14ac:dyDescent="0.2">
      <c r="F5472" s="494">
        <v>523</v>
      </c>
      <c r="G5472" s="495" t="s">
        <v>3837</v>
      </c>
      <c r="H5472" s="397"/>
      <c r="I5472" s="397"/>
      <c r="J5472" s="750" t="e">
        <f t="shared" si="68"/>
        <v>#DIV/0!</v>
      </c>
      <c r="K5472" s="398"/>
      <c r="L5472" s="398"/>
      <c r="M5472" s="682"/>
    </row>
    <row r="5473" spans="5:13" hidden="1" x14ac:dyDescent="0.2">
      <c r="F5473" s="494">
        <v>531</v>
      </c>
      <c r="G5473" s="496" t="s">
        <v>4175</v>
      </c>
      <c r="H5473" s="397"/>
      <c r="I5473" s="397"/>
      <c r="J5473" s="750" t="e">
        <f t="shared" si="68"/>
        <v>#DIV/0!</v>
      </c>
      <c r="K5473" s="398"/>
      <c r="L5473" s="398"/>
      <c r="M5473" s="682"/>
    </row>
    <row r="5474" spans="5:13" hidden="1" x14ac:dyDescent="0.2">
      <c r="F5474" s="494">
        <v>541</v>
      </c>
      <c r="G5474" s="495" t="s">
        <v>4200</v>
      </c>
      <c r="H5474" s="397"/>
      <c r="I5474" s="397"/>
      <c r="J5474" s="750" t="e">
        <f t="shared" si="68"/>
        <v>#DIV/0!</v>
      </c>
      <c r="K5474" s="398"/>
      <c r="L5474" s="398"/>
      <c r="M5474" s="682"/>
    </row>
    <row r="5475" spans="5:13" hidden="1" x14ac:dyDescent="0.2">
      <c r="F5475" s="494">
        <v>542</v>
      </c>
      <c r="G5475" s="495" t="s">
        <v>4201</v>
      </c>
      <c r="H5475" s="397"/>
      <c r="I5475" s="397"/>
      <c r="J5475" s="750" t="e">
        <f t="shared" si="68"/>
        <v>#DIV/0!</v>
      </c>
      <c r="K5475" s="398"/>
      <c r="L5475" s="398"/>
      <c r="M5475" s="682"/>
    </row>
    <row r="5476" spans="5:13" hidden="1" x14ac:dyDescent="0.2">
      <c r="F5476" s="494">
        <v>543</v>
      </c>
      <c r="G5476" s="495" t="s">
        <v>3842</v>
      </c>
      <c r="H5476" s="397"/>
      <c r="I5476" s="397"/>
      <c r="J5476" s="750" t="e">
        <f t="shared" si="68"/>
        <v>#DIV/0!</v>
      </c>
      <c r="K5476" s="398"/>
      <c r="L5476" s="398"/>
      <c r="M5476" s="682"/>
    </row>
    <row r="5477" spans="5:13" ht="38.25" hidden="1" x14ac:dyDescent="0.2">
      <c r="F5477" s="494">
        <v>551</v>
      </c>
      <c r="G5477" s="495" t="s">
        <v>4176</v>
      </c>
      <c r="H5477" s="397"/>
      <c r="I5477" s="397"/>
      <c r="J5477" s="750" t="e">
        <f t="shared" si="68"/>
        <v>#DIV/0!</v>
      </c>
      <c r="K5477" s="398"/>
      <c r="L5477" s="398"/>
      <c r="M5477" s="682"/>
    </row>
    <row r="5478" spans="5:13" hidden="1" x14ac:dyDescent="0.2">
      <c r="F5478" s="498">
        <v>611</v>
      </c>
      <c r="G5478" s="499" t="s">
        <v>3848</v>
      </c>
      <c r="H5478" s="397"/>
      <c r="I5478" s="397"/>
      <c r="J5478" s="750" t="e">
        <f t="shared" si="68"/>
        <v>#DIV/0!</v>
      </c>
      <c r="K5478" s="398"/>
      <c r="L5478" s="398"/>
      <c r="M5478" s="682"/>
    </row>
    <row r="5479" spans="5:13" hidden="1" x14ac:dyDescent="0.2">
      <c r="F5479" s="498">
        <v>620</v>
      </c>
      <c r="G5479" s="499" t="s">
        <v>88</v>
      </c>
      <c r="H5479" s="397"/>
      <c r="I5479" s="397"/>
      <c r="J5479" s="750" t="e">
        <f t="shared" si="68"/>
        <v>#DIV/0!</v>
      </c>
      <c r="K5479" s="398"/>
      <c r="L5479" s="398"/>
      <c r="M5479" s="682"/>
    </row>
    <row r="5480" spans="5:13" hidden="1" x14ac:dyDescent="0.2">
      <c r="E5480" s="500"/>
      <c r="F5480" s="498"/>
      <c r="G5480" s="509" t="s">
        <v>4371</v>
      </c>
      <c r="H5480" s="400"/>
      <c r="I5480" s="400"/>
      <c r="J5480" s="750" t="e">
        <f t="shared" si="68"/>
        <v>#DIV/0!</v>
      </c>
      <c r="K5480" s="401"/>
      <c r="L5480" s="402"/>
      <c r="M5480" s="682"/>
    </row>
    <row r="5481" spans="5:13" hidden="1" x14ac:dyDescent="0.2">
      <c r="E5481" s="502"/>
      <c r="F5481" s="503" t="s">
        <v>234</v>
      </c>
      <c r="G5481" s="504" t="s">
        <v>235</v>
      </c>
      <c r="H5481" s="403">
        <f>SUM(H5420:H5479)</f>
        <v>0</v>
      </c>
      <c r="I5481" s="403"/>
      <c r="J5481" s="750" t="e">
        <f t="shared" si="68"/>
        <v>#DIV/0!</v>
      </c>
      <c r="K5481" s="404"/>
      <c r="L5481" s="404"/>
      <c r="M5481" s="682"/>
    </row>
    <row r="5482" spans="5:13" hidden="1" x14ac:dyDescent="0.2">
      <c r="F5482" s="503" t="s">
        <v>236</v>
      </c>
      <c r="G5482" s="504" t="s">
        <v>237</v>
      </c>
      <c r="H5482" s="397"/>
      <c r="I5482" s="397"/>
      <c r="J5482" s="750" t="e">
        <f t="shared" si="68"/>
        <v>#DIV/0!</v>
      </c>
      <c r="K5482" s="398"/>
      <c r="L5482" s="404"/>
      <c r="M5482" s="682"/>
    </row>
    <row r="5483" spans="5:13" hidden="1" x14ac:dyDescent="0.2">
      <c r="F5483" s="503" t="s">
        <v>238</v>
      </c>
      <c r="G5483" s="504" t="s">
        <v>239</v>
      </c>
      <c r="H5483" s="397"/>
      <c r="I5483" s="397"/>
      <c r="J5483" s="750" t="e">
        <f t="shared" si="68"/>
        <v>#DIV/0!</v>
      </c>
      <c r="K5483" s="398"/>
      <c r="L5483" s="404"/>
      <c r="M5483" s="682"/>
    </row>
    <row r="5484" spans="5:13" hidden="1" x14ac:dyDescent="0.2">
      <c r="F5484" s="503" t="s">
        <v>240</v>
      </c>
      <c r="G5484" s="504" t="s">
        <v>241</v>
      </c>
      <c r="H5484" s="397"/>
      <c r="I5484" s="397"/>
      <c r="J5484" s="750" t="e">
        <f t="shared" si="68"/>
        <v>#DIV/0!</v>
      </c>
      <c r="K5484" s="398"/>
      <c r="L5484" s="404"/>
      <c r="M5484" s="682"/>
    </row>
    <row r="5485" spans="5:13" hidden="1" x14ac:dyDescent="0.2">
      <c r="F5485" s="503" t="s">
        <v>242</v>
      </c>
      <c r="G5485" s="504" t="s">
        <v>243</v>
      </c>
      <c r="H5485" s="397"/>
      <c r="I5485" s="397"/>
      <c r="J5485" s="750" t="e">
        <f t="shared" si="68"/>
        <v>#DIV/0!</v>
      </c>
      <c r="K5485" s="398"/>
      <c r="L5485" s="404"/>
      <c r="M5485" s="682"/>
    </row>
    <row r="5486" spans="5:13" hidden="1" x14ac:dyDescent="0.2">
      <c r="F5486" s="503" t="s">
        <v>244</v>
      </c>
      <c r="G5486" s="504" t="s">
        <v>245</v>
      </c>
      <c r="H5486" s="397"/>
      <c r="I5486" s="397"/>
      <c r="J5486" s="750" t="e">
        <f t="shared" si="68"/>
        <v>#DIV/0!</v>
      </c>
      <c r="K5486" s="398"/>
      <c r="L5486" s="404"/>
      <c r="M5486" s="682"/>
    </row>
    <row r="5487" spans="5:13" hidden="1" x14ac:dyDescent="0.2">
      <c r="F5487" s="503" t="s">
        <v>246</v>
      </c>
      <c r="G5487" s="504" t="s">
        <v>247</v>
      </c>
      <c r="H5487" s="397"/>
      <c r="I5487" s="397"/>
      <c r="J5487" s="750" t="e">
        <f t="shared" si="68"/>
        <v>#DIV/0!</v>
      </c>
      <c r="K5487" s="398"/>
      <c r="L5487" s="404"/>
      <c r="M5487" s="682"/>
    </row>
    <row r="5488" spans="5:13" ht="25.5" hidden="1" x14ac:dyDescent="0.2">
      <c r="F5488" s="503" t="s">
        <v>248</v>
      </c>
      <c r="G5488" s="504" t="s">
        <v>249</v>
      </c>
      <c r="H5488" s="397"/>
      <c r="I5488" s="397"/>
      <c r="J5488" s="750" t="e">
        <f t="shared" si="68"/>
        <v>#DIV/0!</v>
      </c>
      <c r="K5488" s="398"/>
      <c r="L5488" s="404"/>
      <c r="M5488" s="682"/>
    </row>
    <row r="5489" spans="5:13" hidden="1" x14ac:dyDescent="0.2">
      <c r="F5489" s="503" t="s">
        <v>250</v>
      </c>
      <c r="G5489" s="504" t="s">
        <v>57</v>
      </c>
      <c r="H5489" s="397"/>
      <c r="I5489" s="397"/>
      <c r="J5489" s="750" t="e">
        <f t="shared" si="68"/>
        <v>#DIV/0!</v>
      </c>
      <c r="K5489" s="398"/>
      <c r="L5489" s="404"/>
      <c r="M5489" s="682"/>
    </row>
    <row r="5490" spans="5:13" hidden="1" x14ac:dyDescent="0.2">
      <c r="F5490" s="503" t="s">
        <v>251</v>
      </c>
      <c r="G5490" s="504" t="s">
        <v>252</v>
      </c>
      <c r="H5490" s="397"/>
      <c r="I5490" s="397"/>
      <c r="J5490" s="750" t="e">
        <f t="shared" si="68"/>
        <v>#DIV/0!</v>
      </c>
      <c r="K5490" s="398"/>
      <c r="L5490" s="404"/>
      <c r="M5490" s="682"/>
    </row>
    <row r="5491" spans="5:13" hidden="1" x14ac:dyDescent="0.2">
      <c r="F5491" s="503" t="s">
        <v>253</v>
      </c>
      <c r="G5491" s="504" t="s">
        <v>254</v>
      </c>
      <c r="H5491" s="397"/>
      <c r="I5491" s="397"/>
      <c r="J5491" s="750" t="e">
        <f t="shared" si="68"/>
        <v>#DIV/0!</v>
      </c>
      <c r="K5491" s="398"/>
      <c r="L5491" s="404"/>
      <c r="M5491" s="682"/>
    </row>
    <row r="5492" spans="5:13" ht="25.5" hidden="1" x14ac:dyDescent="0.2">
      <c r="F5492" s="503" t="s">
        <v>255</v>
      </c>
      <c r="G5492" s="504" t="s">
        <v>256</v>
      </c>
      <c r="H5492" s="397"/>
      <c r="I5492" s="397"/>
      <c r="J5492" s="750" t="e">
        <f t="shared" si="68"/>
        <v>#DIV/0!</v>
      </c>
      <c r="K5492" s="398"/>
      <c r="L5492" s="404"/>
      <c r="M5492" s="682"/>
    </row>
    <row r="5493" spans="5:13" ht="25.5" hidden="1" x14ac:dyDescent="0.2">
      <c r="F5493" s="503" t="s">
        <v>257</v>
      </c>
      <c r="G5493" s="504" t="s">
        <v>258</v>
      </c>
      <c r="H5493" s="397"/>
      <c r="I5493" s="397"/>
      <c r="J5493" s="750" t="e">
        <f t="shared" si="68"/>
        <v>#DIV/0!</v>
      </c>
      <c r="K5493" s="398"/>
      <c r="L5493" s="404"/>
      <c r="M5493" s="682"/>
    </row>
    <row r="5494" spans="5:13" ht="25.5" hidden="1" x14ac:dyDescent="0.2">
      <c r="F5494" s="503" t="s">
        <v>259</v>
      </c>
      <c r="G5494" s="504" t="s">
        <v>260</v>
      </c>
      <c r="H5494" s="397"/>
      <c r="I5494" s="397"/>
      <c r="J5494" s="750" t="e">
        <f t="shared" si="68"/>
        <v>#DIV/0!</v>
      </c>
      <c r="K5494" s="398"/>
      <c r="L5494" s="404"/>
      <c r="M5494" s="682"/>
    </row>
    <row r="5495" spans="5:13" ht="25.5" hidden="1" x14ac:dyDescent="0.2">
      <c r="F5495" s="503" t="s">
        <v>261</v>
      </c>
      <c r="G5495" s="504" t="s">
        <v>262</v>
      </c>
      <c r="H5495" s="397"/>
      <c r="I5495" s="397"/>
      <c r="J5495" s="750" t="e">
        <f t="shared" si="68"/>
        <v>#DIV/0!</v>
      </c>
      <c r="K5495" s="398"/>
      <c r="L5495" s="404"/>
      <c r="M5495" s="682"/>
    </row>
    <row r="5496" spans="5:13" hidden="1" x14ac:dyDescent="0.2">
      <c r="F5496" s="503" t="s">
        <v>263</v>
      </c>
      <c r="G5496" s="504" t="s">
        <v>264</v>
      </c>
      <c r="H5496" s="403"/>
      <c r="I5496" s="403"/>
      <c r="J5496" s="750" t="e">
        <f t="shared" si="68"/>
        <v>#DIV/0!</v>
      </c>
      <c r="K5496" s="404"/>
      <c r="L5496" s="404"/>
      <c r="M5496" s="682"/>
    </row>
    <row r="5497" spans="5:13" ht="13.5" hidden="1" thickBot="1" x14ac:dyDescent="0.25">
      <c r="G5497" s="505" t="s">
        <v>4311</v>
      </c>
      <c r="H5497" s="405">
        <f>SUM(H5481:H5496)</f>
        <v>0</v>
      </c>
      <c r="I5497" s="405"/>
      <c r="J5497" s="750" t="e">
        <f t="shared" si="68"/>
        <v>#DIV/0!</v>
      </c>
      <c r="K5497" s="406">
        <f>SUM(K5482:K5496)</f>
        <v>0</v>
      </c>
      <c r="L5497" s="406"/>
      <c r="M5497" s="682"/>
    </row>
    <row r="5498" spans="5:13" ht="25.5" hidden="1" collapsed="1" x14ac:dyDescent="0.2">
      <c r="E5498" s="500"/>
      <c r="F5498" s="498"/>
      <c r="G5498" s="506" t="s">
        <v>4376</v>
      </c>
      <c r="H5498" s="407"/>
      <c r="I5498" s="408"/>
      <c r="J5498" s="750" t="e">
        <f t="shared" si="68"/>
        <v>#DIV/0!</v>
      </c>
      <c r="K5498" s="409"/>
      <c r="L5498" s="410"/>
      <c r="M5498" s="682"/>
    </row>
    <row r="5499" spans="5:13" hidden="1" x14ac:dyDescent="0.2">
      <c r="E5499" s="502"/>
      <c r="F5499" s="503" t="s">
        <v>234</v>
      </c>
      <c r="G5499" s="504" t="s">
        <v>235</v>
      </c>
      <c r="H5499" s="403">
        <f>SUM(H5420:H5479)</f>
        <v>0</v>
      </c>
      <c r="I5499" s="403"/>
      <c r="J5499" s="750" t="e">
        <f t="shared" si="68"/>
        <v>#DIV/0!</v>
      </c>
      <c r="K5499" s="404"/>
      <c r="L5499" s="404"/>
      <c r="M5499" s="682"/>
    </row>
    <row r="5500" spans="5:13" hidden="1" x14ac:dyDescent="0.2">
      <c r="F5500" s="503" t="s">
        <v>236</v>
      </c>
      <c r="G5500" s="504" t="s">
        <v>237</v>
      </c>
      <c r="H5500" s="397"/>
      <c r="I5500" s="397"/>
      <c r="J5500" s="750" t="e">
        <f t="shared" si="68"/>
        <v>#DIV/0!</v>
      </c>
      <c r="K5500" s="398"/>
      <c r="L5500" s="404"/>
      <c r="M5500" s="682"/>
    </row>
    <row r="5501" spans="5:13" hidden="1" x14ac:dyDescent="0.2">
      <c r="F5501" s="503" t="s">
        <v>238</v>
      </c>
      <c r="G5501" s="504" t="s">
        <v>239</v>
      </c>
      <c r="H5501" s="397"/>
      <c r="I5501" s="397"/>
      <c r="J5501" s="750" t="e">
        <f t="shared" si="68"/>
        <v>#DIV/0!</v>
      </c>
      <c r="K5501" s="398"/>
      <c r="L5501" s="404"/>
      <c r="M5501" s="682"/>
    </row>
    <row r="5502" spans="5:13" hidden="1" x14ac:dyDescent="0.2">
      <c r="F5502" s="503" t="s">
        <v>240</v>
      </c>
      <c r="G5502" s="504" t="s">
        <v>241</v>
      </c>
      <c r="H5502" s="397"/>
      <c r="I5502" s="397"/>
      <c r="J5502" s="750" t="e">
        <f t="shared" si="68"/>
        <v>#DIV/0!</v>
      </c>
      <c r="K5502" s="398"/>
      <c r="L5502" s="404"/>
      <c r="M5502" s="682"/>
    </row>
    <row r="5503" spans="5:13" hidden="1" x14ac:dyDescent="0.2">
      <c r="F5503" s="503" t="s">
        <v>242</v>
      </c>
      <c r="G5503" s="504" t="s">
        <v>243</v>
      </c>
      <c r="H5503" s="397"/>
      <c r="I5503" s="397"/>
      <c r="J5503" s="750" t="e">
        <f t="shared" si="68"/>
        <v>#DIV/0!</v>
      </c>
      <c r="K5503" s="398"/>
      <c r="L5503" s="404"/>
      <c r="M5503" s="682"/>
    </row>
    <row r="5504" spans="5:13" hidden="1" x14ac:dyDescent="0.2">
      <c r="F5504" s="503" t="s">
        <v>244</v>
      </c>
      <c r="G5504" s="504" t="s">
        <v>245</v>
      </c>
      <c r="H5504" s="397"/>
      <c r="I5504" s="397"/>
      <c r="J5504" s="750" t="e">
        <f t="shared" si="68"/>
        <v>#DIV/0!</v>
      </c>
      <c r="K5504" s="398"/>
      <c r="L5504" s="404"/>
      <c r="M5504" s="682"/>
    </row>
    <row r="5505" spans="1:27" hidden="1" x14ac:dyDescent="0.2">
      <c r="F5505" s="503" t="s">
        <v>246</v>
      </c>
      <c r="G5505" s="504" t="s">
        <v>247</v>
      </c>
      <c r="H5505" s="397"/>
      <c r="I5505" s="397"/>
      <c r="J5505" s="750" t="e">
        <f t="shared" si="68"/>
        <v>#DIV/0!</v>
      </c>
      <c r="K5505" s="398"/>
      <c r="L5505" s="404"/>
      <c r="M5505" s="682"/>
    </row>
    <row r="5506" spans="1:27" ht="25.5" hidden="1" x14ac:dyDescent="0.2">
      <c r="F5506" s="503" t="s">
        <v>248</v>
      </c>
      <c r="G5506" s="504" t="s">
        <v>249</v>
      </c>
      <c r="H5506" s="397"/>
      <c r="I5506" s="397"/>
      <c r="J5506" s="750" t="e">
        <f t="shared" si="68"/>
        <v>#DIV/0!</v>
      </c>
      <c r="K5506" s="398"/>
      <c r="L5506" s="404"/>
      <c r="M5506" s="682"/>
    </row>
    <row r="5507" spans="1:27" hidden="1" x14ac:dyDescent="0.2">
      <c r="F5507" s="503" t="s">
        <v>250</v>
      </c>
      <c r="G5507" s="504" t="s">
        <v>57</v>
      </c>
      <c r="H5507" s="397"/>
      <c r="I5507" s="397"/>
      <c r="J5507" s="750" t="e">
        <f t="shared" si="68"/>
        <v>#DIV/0!</v>
      </c>
      <c r="K5507" s="398"/>
      <c r="L5507" s="404"/>
      <c r="M5507" s="682"/>
    </row>
    <row r="5508" spans="1:27" hidden="1" x14ac:dyDescent="0.2">
      <c r="F5508" s="503" t="s">
        <v>251</v>
      </c>
      <c r="G5508" s="504" t="s">
        <v>252</v>
      </c>
      <c r="H5508" s="397"/>
      <c r="I5508" s="397"/>
      <c r="J5508" s="750" t="e">
        <f t="shared" si="68"/>
        <v>#DIV/0!</v>
      </c>
      <c r="K5508" s="398"/>
      <c r="L5508" s="404"/>
      <c r="M5508" s="682"/>
    </row>
    <row r="5509" spans="1:27" hidden="1" x14ac:dyDescent="0.2">
      <c r="F5509" s="503" t="s">
        <v>253</v>
      </c>
      <c r="G5509" s="504" t="s">
        <v>254</v>
      </c>
      <c r="H5509" s="397"/>
      <c r="I5509" s="397"/>
      <c r="J5509" s="750" t="e">
        <f t="shared" si="68"/>
        <v>#DIV/0!</v>
      </c>
      <c r="K5509" s="398"/>
      <c r="L5509" s="404"/>
      <c r="M5509" s="682"/>
    </row>
    <row r="5510" spans="1:27" ht="25.5" hidden="1" x14ac:dyDescent="0.2">
      <c r="F5510" s="503" t="s">
        <v>255</v>
      </c>
      <c r="G5510" s="504" t="s">
        <v>256</v>
      </c>
      <c r="H5510" s="397"/>
      <c r="I5510" s="397"/>
      <c r="J5510" s="750" t="e">
        <f t="shared" si="68"/>
        <v>#DIV/0!</v>
      </c>
      <c r="K5510" s="398"/>
      <c r="L5510" s="404"/>
      <c r="M5510" s="682"/>
    </row>
    <row r="5511" spans="1:27" ht="25.5" hidden="1" x14ac:dyDescent="0.2">
      <c r="F5511" s="503" t="s">
        <v>257</v>
      </c>
      <c r="G5511" s="504" t="s">
        <v>258</v>
      </c>
      <c r="H5511" s="397"/>
      <c r="I5511" s="397"/>
      <c r="J5511" s="750" t="e">
        <f t="shared" si="68"/>
        <v>#DIV/0!</v>
      </c>
      <c r="K5511" s="398"/>
      <c r="L5511" s="404"/>
      <c r="M5511" s="682"/>
    </row>
    <row r="5512" spans="1:27" ht="25.5" hidden="1" x14ac:dyDescent="0.2">
      <c r="F5512" s="503" t="s">
        <v>259</v>
      </c>
      <c r="G5512" s="504" t="s">
        <v>260</v>
      </c>
      <c r="H5512" s="397"/>
      <c r="I5512" s="397"/>
      <c r="J5512" s="750" t="e">
        <f t="shared" si="68"/>
        <v>#DIV/0!</v>
      </c>
      <c r="K5512" s="398"/>
      <c r="L5512" s="404"/>
      <c r="M5512" s="682"/>
    </row>
    <row r="5513" spans="1:27" ht="25.5" hidden="1" x14ac:dyDescent="0.2">
      <c r="F5513" s="503" t="s">
        <v>261</v>
      </c>
      <c r="G5513" s="504" t="s">
        <v>262</v>
      </c>
      <c r="H5513" s="397"/>
      <c r="I5513" s="397"/>
      <c r="J5513" s="750" t="e">
        <f t="shared" si="68"/>
        <v>#DIV/0!</v>
      </c>
      <c r="K5513" s="398"/>
      <c r="L5513" s="404"/>
      <c r="M5513" s="682"/>
    </row>
    <row r="5514" spans="1:27" hidden="1" x14ac:dyDescent="0.2">
      <c r="F5514" s="503" t="s">
        <v>263</v>
      </c>
      <c r="G5514" s="504" t="s">
        <v>264</v>
      </c>
      <c r="H5514" s="403"/>
      <c r="I5514" s="403"/>
      <c r="J5514" s="750" t="e">
        <f t="shared" si="68"/>
        <v>#DIV/0!</v>
      </c>
      <c r="K5514" s="404"/>
      <c r="L5514" s="404"/>
      <c r="M5514" s="682"/>
    </row>
    <row r="5515" spans="1:27" ht="13.5" hidden="1" collapsed="1" thickBot="1" x14ac:dyDescent="0.25">
      <c r="G5515" s="505" t="s">
        <v>4377</v>
      </c>
      <c r="H5515" s="405">
        <f>SUM(H5499:H5514)</f>
        <v>0</v>
      </c>
      <c r="I5515" s="405"/>
      <c r="J5515" s="750" t="e">
        <f t="shared" si="68"/>
        <v>#DIV/0!</v>
      </c>
      <c r="K5515" s="406">
        <f>SUM(K5500:K5514)</f>
        <v>0</v>
      </c>
      <c r="L5515" s="406"/>
      <c r="M5515" s="682"/>
    </row>
    <row r="5516" spans="1:27" hidden="1" x14ac:dyDescent="0.2">
      <c r="G5516" s="513"/>
      <c r="H5516" s="397"/>
      <c r="I5516" s="397"/>
      <c r="J5516" s="750" t="e">
        <f t="shared" si="68"/>
        <v>#DIV/0!</v>
      </c>
      <c r="K5516" s="398"/>
      <c r="L5516" s="398"/>
      <c r="M5516" s="682"/>
    </row>
    <row r="5517" spans="1:27" s="530" customFormat="1" x14ac:dyDescent="0.2">
      <c r="A5517" s="526"/>
      <c r="B5517" s="527"/>
      <c r="C5517" s="534"/>
      <c r="D5517" s="535"/>
      <c r="E5517" s="535"/>
      <c r="F5517" s="498"/>
      <c r="G5517" s="511" t="s">
        <v>4312</v>
      </c>
      <c r="H5517" s="413"/>
      <c r="I5517" s="413"/>
      <c r="J5517" s="750"/>
      <c r="K5517" s="414"/>
      <c r="L5517" s="415"/>
      <c r="M5517" s="682"/>
      <c r="N5517" s="171"/>
      <c r="O5517" s="171"/>
      <c r="P5517" s="171"/>
      <c r="Q5517" s="171"/>
      <c r="R5517" s="171"/>
      <c r="S5517" s="171"/>
      <c r="T5517" s="171"/>
      <c r="U5517" s="171"/>
      <c r="V5517" s="171"/>
      <c r="W5517" s="171"/>
      <c r="X5517" s="171"/>
      <c r="Y5517" s="171"/>
      <c r="Z5517" s="171"/>
      <c r="AA5517" s="171"/>
    </row>
    <row r="5518" spans="1:27" s="530" customFormat="1" ht="21.75" customHeight="1" thickBot="1" x14ac:dyDescent="0.25">
      <c r="A5518" s="526"/>
      <c r="B5518" s="527"/>
      <c r="C5518" s="534"/>
      <c r="D5518" s="535"/>
      <c r="E5518" s="535"/>
      <c r="F5518" s="503" t="s">
        <v>234</v>
      </c>
      <c r="G5518" s="504" t="s">
        <v>235</v>
      </c>
      <c r="H5518" s="403">
        <f>SUM(H5499,H5400,H5301)</f>
        <v>9410000</v>
      </c>
      <c r="I5518" s="403">
        <f>SUM(I5317)</f>
        <v>8903849.6099999994</v>
      </c>
      <c r="J5518" s="750">
        <f t="shared" ref="J5518:J5580" si="69">SUM(I5518/H5518)*100</f>
        <v>94.621143570669503</v>
      </c>
      <c r="K5518" s="404"/>
      <c r="L5518" s="404"/>
      <c r="M5518" s="682"/>
      <c r="N5518" s="171"/>
      <c r="O5518" s="171"/>
      <c r="P5518" s="171"/>
      <c r="Q5518" s="171"/>
      <c r="R5518" s="171"/>
      <c r="S5518" s="171"/>
      <c r="T5518" s="171"/>
      <c r="U5518" s="171"/>
      <c r="V5518" s="171"/>
      <c r="W5518" s="171"/>
      <c r="X5518" s="171"/>
      <c r="Y5518" s="171"/>
      <c r="Z5518" s="171"/>
      <c r="AA5518" s="171"/>
    </row>
    <row r="5519" spans="1:27" s="530" customFormat="1" ht="13.5" hidden="1" thickBot="1" x14ac:dyDescent="0.25">
      <c r="A5519" s="526"/>
      <c r="B5519" s="527"/>
      <c r="C5519" s="534"/>
      <c r="D5519" s="535"/>
      <c r="E5519" s="535"/>
      <c r="F5519" s="503" t="s">
        <v>236</v>
      </c>
      <c r="G5519" s="504" t="s">
        <v>237</v>
      </c>
      <c r="H5519" s="397"/>
      <c r="I5519" s="397"/>
      <c r="J5519" s="750" t="e">
        <f t="shared" si="69"/>
        <v>#DIV/0!</v>
      </c>
      <c r="K5519" s="398"/>
      <c r="L5519" s="404"/>
      <c r="M5519" s="682"/>
      <c r="N5519" s="171"/>
      <c r="O5519" s="171"/>
      <c r="P5519" s="171"/>
      <c r="Q5519" s="171"/>
      <c r="R5519" s="171"/>
      <c r="S5519" s="171"/>
      <c r="T5519" s="171"/>
      <c r="U5519" s="171"/>
      <c r="V5519" s="171"/>
      <c r="W5519" s="171"/>
      <c r="X5519" s="171"/>
      <c r="Y5519" s="171"/>
      <c r="Z5519" s="171"/>
      <c r="AA5519" s="171"/>
    </row>
    <row r="5520" spans="1:27" s="530" customFormat="1" ht="13.5" hidden="1" thickBot="1" x14ac:dyDescent="0.25">
      <c r="A5520" s="526"/>
      <c r="B5520" s="527"/>
      <c r="C5520" s="534"/>
      <c r="D5520" s="535"/>
      <c r="E5520" s="535"/>
      <c r="F5520" s="503" t="s">
        <v>238</v>
      </c>
      <c r="G5520" s="504" t="s">
        <v>239</v>
      </c>
      <c r="H5520" s="397"/>
      <c r="I5520" s="397"/>
      <c r="J5520" s="750" t="e">
        <f t="shared" si="69"/>
        <v>#DIV/0!</v>
      </c>
      <c r="K5520" s="398"/>
      <c r="L5520" s="404"/>
      <c r="M5520" s="682"/>
      <c r="N5520" s="171"/>
      <c r="O5520" s="171"/>
      <c r="P5520" s="171"/>
      <c r="Q5520" s="171"/>
      <c r="R5520" s="171"/>
      <c r="S5520" s="171"/>
      <c r="T5520" s="171"/>
      <c r="U5520" s="171"/>
      <c r="V5520" s="171"/>
      <c r="W5520" s="171"/>
      <c r="X5520" s="171"/>
      <c r="Y5520" s="171"/>
      <c r="Z5520" s="171"/>
      <c r="AA5520" s="171"/>
    </row>
    <row r="5521" spans="1:27" s="530" customFormat="1" ht="13.5" hidden="1" thickBot="1" x14ac:dyDescent="0.25">
      <c r="A5521" s="526"/>
      <c r="B5521" s="527"/>
      <c r="C5521" s="534"/>
      <c r="D5521" s="535"/>
      <c r="E5521" s="535"/>
      <c r="F5521" s="503" t="s">
        <v>240</v>
      </c>
      <c r="G5521" s="504" t="s">
        <v>241</v>
      </c>
      <c r="H5521" s="397"/>
      <c r="I5521" s="397"/>
      <c r="J5521" s="750" t="e">
        <f t="shared" si="69"/>
        <v>#DIV/0!</v>
      </c>
      <c r="K5521" s="398"/>
      <c r="L5521" s="404"/>
      <c r="M5521" s="682"/>
      <c r="N5521" s="171"/>
      <c r="O5521" s="171"/>
      <c r="P5521" s="171"/>
      <c r="Q5521" s="171"/>
      <c r="R5521" s="171"/>
      <c r="S5521" s="171"/>
      <c r="T5521" s="171"/>
      <c r="U5521" s="171"/>
      <c r="V5521" s="171"/>
      <c r="W5521" s="171"/>
      <c r="X5521" s="171"/>
      <c r="Y5521" s="171"/>
      <c r="Z5521" s="171"/>
      <c r="AA5521" s="171"/>
    </row>
    <row r="5522" spans="1:27" s="530" customFormat="1" ht="13.5" hidden="1" thickBot="1" x14ac:dyDescent="0.25">
      <c r="A5522" s="526"/>
      <c r="B5522" s="527"/>
      <c r="C5522" s="534"/>
      <c r="D5522" s="535"/>
      <c r="E5522" s="535"/>
      <c r="F5522" s="503" t="s">
        <v>242</v>
      </c>
      <c r="G5522" s="504" t="s">
        <v>243</v>
      </c>
      <c r="H5522" s="397"/>
      <c r="I5522" s="397"/>
      <c r="J5522" s="750" t="e">
        <f t="shared" si="69"/>
        <v>#DIV/0!</v>
      </c>
      <c r="K5522" s="398"/>
      <c r="L5522" s="404"/>
      <c r="M5522" s="682"/>
      <c r="N5522" s="171"/>
      <c r="O5522" s="171"/>
      <c r="P5522" s="171"/>
      <c r="Q5522" s="171"/>
      <c r="R5522" s="171"/>
      <c r="S5522" s="171"/>
      <c r="T5522" s="171"/>
      <c r="U5522" s="171"/>
      <c r="V5522" s="171"/>
      <c r="W5522" s="171"/>
      <c r="X5522" s="171"/>
      <c r="Y5522" s="171"/>
      <c r="Z5522" s="171"/>
      <c r="AA5522" s="171"/>
    </row>
    <row r="5523" spans="1:27" s="530" customFormat="1" ht="13.5" hidden="1" thickBot="1" x14ac:dyDescent="0.25">
      <c r="A5523" s="526"/>
      <c r="B5523" s="527"/>
      <c r="C5523" s="534"/>
      <c r="D5523" s="535"/>
      <c r="E5523" s="535"/>
      <c r="F5523" s="503" t="s">
        <v>244</v>
      </c>
      <c r="G5523" s="504" t="s">
        <v>245</v>
      </c>
      <c r="H5523" s="397"/>
      <c r="I5523" s="397"/>
      <c r="J5523" s="750" t="e">
        <f t="shared" si="69"/>
        <v>#DIV/0!</v>
      </c>
      <c r="K5523" s="398"/>
      <c r="L5523" s="404"/>
      <c r="M5523" s="682"/>
      <c r="N5523" s="171"/>
      <c r="O5523" s="171"/>
      <c r="P5523" s="171"/>
      <c r="Q5523" s="171"/>
      <c r="R5523" s="171"/>
      <c r="S5523" s="171"/>
      <c r="T5523" s="171"/>
      <c r="U5523" s="171"/>
      <c r="V5523" s="171"/>
      <c r="W5523" s="171"/>
      <c r="X5523" s="171"/>
      <c r="Y5523" s="171"/>
      <c r="Z5523" s="171"/>
      <c r="AA5523" s="171"/>
    </row>
    <row r="5524" spans="1:27" s="530" customFormat="1" ht="13.5" hidden="1" thickBot="1" x14ac:dyDescent="0.25">
      <c r="A5524" s="526"/>
      <c r="B5524" s="527"/>
      <c r="C5524" s="534"/>
      <c r="D5524" s="535"/>
      <c r="E5524" s="535"/>
      <c r="F5524" s="503" t="s">
        <v>246</v>
      </c>
      <c r="G5524" s="504" t="s">
        <v>247</v>
      </c>
      <c r="H5524" s="397"/>
      <c r="I5524" s="397"/>
      <c r="J5524" s="750" t="e">
        <f t="shared" si="69"/>
        <v>#DIV/0!</v>
      </c>
      <c r="K5524" s="398"/>
      <c r="L5524" s="404"/>
      <c r="M5524" s="682"/>
      <c r="N5524" s="171"/>
      <c r="O5524" s="171"/>
      <c r="P5524" s="171"/>
      <c r="Q5524" s="171"/>
      <c r="R5524" s="171"/>
      <c r="S5524" s="171"/>
      <c r="T5524" s="171"/>
      <c r="U5524" s="171"/>
      <c r="V5524" s="171"/>
      <c r="W5524" s="171"/>
      <c r="X5524" s="171"/>
      <c r="Y5524" s="171"/>
      <c r="Z5524" s="171"/>
      <c r="AA5524" s="171"/>
    </row>
    <row r="5525" spans="1:27" s="530" customFormat="1" ht="26.25" hidden="1" thickBot="1" x14ac:dyDescent="0.25">
      <c r="A5525" s="526"/>
      <c r="B5525" s="527"/>
      <c r="C5525" s="534"/>
      <c r="D5525" s="535"/>
      <c r="E5525" s="535"/>
      <c r="F5525" s="503" t="s">
        <v>248</v>
      </c>
      <c r="G5525" s="504" t="s">
        <v>249</v>
      </c>
      <c r="H5525" s="397"/>
      <c r="I5525" s="397"/>
      <c r="J5525" s="750" t="e">
        <f t="shared" si="69"/>
        <v>#DIV/0!</v>
      </c>
      <c r="K5525" s="398"/>
      <c r="L5525" s="404"/>
      <c r="M5525" s="682"/>
      <c r="N5525" s="171"/>
      <c r="O5525" s="171"/>
      <c r="P5525" s="171"/>
      <c r="Q5525" s="171"/>
      <c r="R5525" s="171"/>
      <c r="S5525" s="171"/>
      <c r="T5525" s="171"/>
      <c r="U5525" s="171"/>
      <c r="V5525" s="171"/>
      <c r="W5525" s="171"/>
      <c r="X5525" s="171"/>
      <c r="Y5525" s="171"/>
      <c r="Z5525" s="171"/>
      <c r="AA5525" s="171"/>
    </row>
    <row r="5526" spans="1:27" s="530" customFormat="1" ht="13.5" hidden="1" thickBot="1" x14ac:dyDescent="0.25">
      <c r="A5526" s="526"/>
      <c r="B5526" s="527"/>
      <c r="C5526" s="534"/>
      <c r="D5526" s="535"/>
      <c r="E5526" s="535"/>
      <c r="F5526" s="503" t="s">
        <v>250</v>
      </c>
      <c r="G5526" s="504" t="s">
        <v>57</v>
      </c>
      <c r="H5526" s="397"/>
      <c r="I5526" s="397"/>
      <c r="J5526" s="750" t="e">
        <f t="shared" si="69"/>
        <v>#DIV/0!</v>
      </c>
      <c r="K5526" s="398"/>
      <c r="L5526" s="404"/>
      <c r="M5526" s="682"/>
      <c r="N5526" s="171"/>
      <c r="O5526" s="171"/>
      <c r="P5526" s="171"/>
      <c r="Q5526" s="171"/>
      <c r="R5526" s="171"/>
      <c r="S5526" s="171"/>
      <c r="T5526" s="171"/>
      <c r="U5526" s="171"/>
      <c r="V5526" s="171"/>
      <c r="W5526" s="171"/>
      <c r="X5526" s="171"/>
      <c r="Y5526" s="171"/>
      <c r="Z5526" s="171"/>
      <c r="AA5526" s="171"/>
    </row>
    <row r="5527" spans="1:27" s="530" customFormat="1" ht="13.5" hidden="1" thickBot="1" x14ac:dyDescent="0.25">
      <c r="A5527" s="526"/>
      <c r="B5527" s="527"/>
      <c r="C5527" s="534"/>
      <c r="D5527" s="535"/>
      <c r="E5527" s="535"/>
      <c r="F5527" s="503" t="s">
        <v>251</v>
      </c>
      <c r="G5527" s="504" t="s">
        <v>252</v>
      </c>
      <c r="H5527" s="397"/>
      <c r="I5527" s="397"/>
      <c r="J5527" s="750" t="e">
        <f t="shared" si="69"/>
        <v>#DIV/0!</v>
      </c>
      <c r="K5527" s="398"/>
      <c r="L5527" s="404"/>
      <c r="M5527" s="682"/>
      <c r="N5527" s="171"/>
      <c r="O5527" s="171"/>
      <c r="P5527" s="171"/>
      <c r="Q5527" s="171"/>
      <c r="R5527" s="171"/>
      <c r="S5527" s="171"/>
      <c r="T5527" s="171"/>
      <c r="U5527" s="171"/>
      <c r="V5527" s="171"/>
      <c r="W5527" s="171"/>
      <c r="X5527" s="171"/>
      <c r="Y5527" s="171"/>
      <c r="Z5527" s="171"/>
      <c r="AA5527" s="171"/>
    </row>
    <row r="5528" spans="1:27" s="530" customFormat="1" ht="13.5" hidden="1" thickBot="1" x14ac:dyDescent="0.25">
      <c r="A5528" s="526"/>
      <c r="B5528" s="527"/>
      <c r="C5528" s="534"/>
      <c r="D5528" s="535"/>
      <c r="E5528" s="535"/>
      <c r="F5528" s="503" t="s">
        <v>253</v>
      </c>
      <c r="G5528" s="504" t="s">
        <v>254</v>
      </c>
      <c r="H5528" s="397"/>
      <c r="I5528" s="397"/>
      <c r="J5528" s="750" t="e">
        <f t="shared" si="69"/>
        <v>#DIV/0!</v>
      </c>
      <c r="K5528" s="398"/>
      <c r="L5528" s="404"/>
      <c r="M5528" s="682"/>
      <c r="N5528" s="171"/>
      <c r="O5528" s="171"/>
      <c r="P5528" s="171"/>
      <c r="Q5528" s="171"/>
      <c r="R5528" s="171"/>
      <c r="S5528" s="171"/>
      <c r="T5528" s="171"/>
      <c r="U5528" s="171"/>
      <c r="V5528" s="171"/>
      <c r="W5528" s="171"/>
      <c r="X5528" s="171"/>
      <c r="Y5528" s="171"/>
      <c r="Z5528" s="171"/>
      <c r="AA5528" s="171"/>
    </row>
    <row r="5529" spans="1:27" s="530" customFormat="1" ht="26.25" hidden="1" thickBot="1" x14ac:dyDescent="0.25">
      <c r="A5529" s="526"/>
      <c r="B5529" s="527"/>
      <c r="C5529" s="534"/>
      <c r="D5529" s="535"/>
      <c r="E5529" s="535"/>
      <c r="F5529" s="503" t="s">
        <v>255</v>
      </c>
      <c r="G5529" s="504" t="s">
        <v>256</v>
      </c>
      <c r="H5529" s="397"/>
      <c r="I5529" s="397"/>
      <c r="J5529" s="750" t="e">
        <f t="shared" si="69"/>
        <v>#DIV/0!</v>
      </c>
      <c r="K5529" s="398"/>
      <c r="L5529" s="404"/>
      <c r="M5529" s="682"/>
      <c r="N5529" s="171"/>
      <c r="O5529" s="171"/>
      <c r="P5529" s="171"/>
      <c r="Q5529" s="171"/>
      <c r="R5529" s="171"/>
      <c r="S5529" s="171"/>
      <c r="T5529" s="171"/>
      <c r="U5529" s="171"/>
      <c r="V5529" s="171"/>
      <c r="W5529" s="171"/>
      <c r="X5529" s="171"/>
      <c r="Y5529" s="171"/>
      <c r="Z5529" s="171"/>
      <c r="AA5529" s="171"/>
    </row>
    <row r="5530" spans="1:27" s="530" customFormat="1" ht="26.25" hidden="1" thickBot="1" x14ac:dyDescent="0.25">
      <c r="A5530" s="526"/>
      <c r="B5530" s="527"/>
      <c r="C5530" s="534"/>
      <c r="D5530" s="535"/>
      <c r="E5530" s="535"/>
      <c r="F5530" s="503" t="s">
        <v>257</v>
      </c>
      <c r="G5530" s="504" t="s">
        <v>258</v>
      </c>
      <c r="H5530" s="397"/>
      <c r="I5530" s="397"/>
      <c r="J5530" s="750" t="e">
        <f t="shared" si="69"/>
        <v>#DIV/0!</v>
      </c>
      <c r="K5530" s="398"/>
      <c r="L5530" s="404"/>
      <c r="M5530" s="682"/>
      <c r="N5530" s="171"/>
      <c r="O5530" s="171"/>
      <c r="P5530" s="171"/>
      <c r="Q5530" s="171"/>
      <c r="R5530" s="171"/>
      <c r="S5530" s="171"/>
      <c r="T5530" s="171"/>
      <c r="U5530" s="171"/>
      <c r="V5530" s="171"/>
      <c r="W5530" s="171"/>
      <c r="X5530" s="171"/>
      <c r="Y5530" s="171"/>
      <c r="Z5530" s="171"/>
      <c r="AA5530" s="171"/>
    </row>
    <row r="5531" spans="1:27" s="530" customFormat="1" ht="26.25" hidden="1" thickBot="1" x14ac:dyDescent="0.25">
      <c r="A5531" s="526"/>
      <c r="B5531" s="527"/>
      <c r="C5531" s="534"/>
      <c r="D5531" s="535"/>
      <c r="E5531" s="535"/>
      <c r="F5531" s="503" t="s">
        <v>259</v>
      </c>
      <c r="G5531" s="504" t="s">
        <v>260</v>
      </c>
      <c r="H5531" s="397"/>
      <c r="I5531" s="397"/>
      <c r="J5531" s="750" t="e">
        <f t="shared" si="69"/>
        <v>#DIV/0!</v>
      </c>
      <c r="K5531" s="398"/>
      <c r="L5531" s="404"/>
      <c r="M5531" s="682"/>
      <c r="N5531" s="171"/>
      <c r="O5531" s="171"/>
      <c r="P5531" s="171"/>
      <c r="Q5531" s="171"/>
      <c r="R5531" s="171"/>
      <c r="S5531" s="171"/>
      <c r="T5531" s="171"/>
      <c r="U5531" s="171"/>
      <c r="V5531" s="171"/>
      <c r="W5531" s="171"/>
      <c r="X5531" s="171"/>
      <c r="Y5531" s="171"/>
      <c r="Z5531" s="171"/>
      <c r="AA5531" s="171"/>
    </row>
    <row r="5532" spans="1:27" s="530" customFormat="1" ht="26.25" hidden="1" thickBot="1" x14ac:dyDescent="0.25">
      <c r="A5532" s="526"/>
      <c r="B5532" s="527"/>
      <c r="C5532" s="534"/>
      <c r="D5532" s="535"/>
      <c r="E5532" s="535"/>
      <c r="F5532" s="503" t="s">
        <v>261</v>
      </c>
      <c r="G5532" s="504" t="s">
        <v>262</v>
      </c>
      <c r="H5532" s="397"/>
      <c r="I5532" s="397"/>
      <c r="J5532" s="750" t="e">
        <f t="shared" si="69"/>
        <v>#DIV/0!</v>
      </c>
      <c r="K5532" s="398"/>
      <c r="L5532" s="404"/>
      <c r="M5532" s="682"/>
      <c r="N5532" s="171"/>
      <c r="O5532" s="171"/>
      <c r="P5532" s="171"/>
      <c r="Q5532" s="171"/>
      <c r="R5532" s="171"/>
      <c r="S5532" s="171"/>
      <c r="T5532" s="171"/>
      <c r="U5532" s="171"/>
      <c r="V5532" s="171"/>
      <c r="W5532" s="171"/>
      <c r="X5532" s="171"/>
      <c r="Y5532" s="171"/>
      <c r="Z5532" s="171"/>
      <c r="AA5532" s="171"/>
    </row>
    <row r="5533" spans="1:27" s="530" customFormat="1" ht="13.5" hidden="1" thickBot="1" x14ac:dyDescent="0.25">
      <c r="A5533" s="526"/>
      <c r="B5533" s="527"/>
      <c r="C5533" s="534"/>
      <c r="D5533" s="535"/>
      <c r="E5533" s="535"/>
      <c r="F5533" s="503" t="s">
        <v>263</v>
      </c>
      <c r="G5533" s="504" t="s">
        <v>264</v>
      </c>
      <c r="H5533" s="403"/>
      <c r="I5533" s="403"/>
      <c r="J5533" s="750" t="e">
        <f t="shared" si="69"/>
        <v>#DIV/0!</v>
      </c>
      <c r="K5533" s="404"/>
      <c r="L5533" s="404"/>
      <c r="M5533" s="682"/>
      <c r="N5533" s="171"/>
      <c r="O5533" s="171"/>
      <c r="P5533" s="171"/>
      <c r="Q5533" s="171"/>
      <c r="R5533" s="171"/>
      <c r="S5533" s="171"/>
      <c r="T5533" s="171"/>
      <c r="U5533" s="171"/>
      <c r="V5533" s="171"/>
      <c r="W5533" s="171"/>
      <c r="X5533" s="171"/>
      <c r="Y5533" s="171"/>
      <c r="Z5533" s="171"/>
      <c r="AA5533" s="171"/>
    </row>
    <row r="5534" spans="1:27" s="530" customFormat="1" ht="13.5" thickBot="1" x14ac:dyDescent="0.25">
      <c r="A5534" s="526"/>
      <c r="B5534" s="527"/>
      <c r="C5534" s="534"/>
      <c r="D5534" s="535"/>
      <c r="E5534" s="535"/>
      <c r="F5534" s="464"/>
      <c r="G5534" s="505" t="s">
        <v>4313</v>
      </c>
      <c r="H5534" s="405">
        <f>SUM(H5518:H5533)</f>
        <v>9410000</v>
      </c>
      <c r="I5534" s="405">
        <f>SUM(I5317)</f>
        <v>8903849.6099999994</v>
      </c>
      <c r="J5534" s="750">
        <f t="shared" si="69"/>
        <v>94.621143570669503</v>
      </c>
      <c r="K5534" s="406">
        <f>SUM(K5519:K5533)</f>
        <v>0</v>
      </c>
      <c r="L5534" s="406"/>
      <c r="M5534" s="682"/>
      <c r="N5534" s="171"/>
      <c r="O5534" s="171"/>
      <c r="P5534" s="171"/>
      <c r="Q5534" s="171"/>
      <c r="R5534" s="171"/>
      <c r="S5534" s="171"/>
      <c r="T5534" s="171"/>
      <c r="U5534" s="171"/>
      <c r="V5534" s="171"/>
      <c r="W5534" s="171"/>
      <c r="X5534" s="171"/>
      <c r="Y5534" s="171"/>
      <c r="Z5534" s="171"/>
      <c r="AA5534" s="171"/>
    </row>
    <row r="5535" spans="1:27" s="530" customFormat="1" x14ac:dyDescent="0.2">
      <c r="A5535" s="526"/>
      <c r="B5535" s="527"/>
      <c r="C5535" s="534"/>
      <c r="D5535" s="535"/>
      <c r="E5535" s="535"/>
      <c r="F5535" s="464"/>
      <c r="G5535" s="510"/>
      <c r="H5535" s="411"/>
      <c r="I5535" s="411"/>
      <c r="J5535" s="750"/>
      <c r="K5535" s="412"/>
      <c r="L5535" s="412"/>
      <c r="M5535" s="682"/>
      <c r="N5535" s="171"/>
      <c r="O5535" s="171"/>
      <c r="P5535" s="171"/>
      <c r="Q5535" s="171"/>
      <c r="R5535" s="171"/>
      <c r="S5535" s="171"/>
      <c r="T5535" s="171"/>
      <c r="U5535" s="171"/>
      <c r="V5535" s="171"/>
      <c r="W5535" s="171"/>
      <c r="X5535" s="171"/>
      <c r="Y5535" s="171"/>
      <c r="Z5535" s="171"/>
      <c r="AA5535" s="171"/>
    </row>
    <row r="5536" spans="1:27" s="530" customFormat="1" x14ac:dyDescent="0.2">
      <c r="A5536" s="526"/>
      <c r="B5536" s="527"/>
      <c r="C5536" s="489" t="s">
        <v>3594</v>
      </c>
      <c r="D5536" s="490"/>
      <c r="E5536" s="464"/>
      <c r="F5536" s="464"/>
      <c r="G5536" s="513" t="s">
        <v>4315</v>
      </c>
      <c r="H5536" s="397"/>
      <c r="I5536" s="397"/>
      <c r="J5536" s="750"/>
      <c r="K5536" s="398"/>
      <c r="L5536" s="398"/>
      <c r="M5536" s="682"/>
      <c r="N5536" s="171"/>
      <c r="O5536" s="171"/>
      <c r="P5536" s="171"/>
      <c r="Q5536" s="171"/>
      <c r="R5536" s="171"/>
      <c r="S5536" s="171"/>
      <c r="T5536" s="171"/>
      <c r="U5536" s="171"/>
      <c r="V5536" s="171"/>
      <c r="W5536" s="171"/>
      <c r="X5536" s="171"/>
      <c r="Y5536" s="171"/>
      <c r="Z5536" s="171"/>
      <c r="AA5536" s="171"/>
    </row>
    <row r="5537" spans="1:27" s="530" customFormat="1" ht="25.5" x14ac:dyDescent="0.2">
      <c r="A5537" s="526"/>
      <c r="B5537" s="527"/>
      <c r="C5537" s="489" t="s">
        <v>4126</v>
      </c>
      <c r="D5537" s="490"/>
      <c r="E5537" s="464"/>
      <c r="F5537" s="464"/>
      <c r="G5537" s="513" t="s">
        <v>4124</v>
      </c>
      <c r="H5537" s="397"/>
      <c r="I5537" s="397"/>
      <c r="J5537" s="750"/>
      <c r="K5537" s="398"/>
      <c r="L5537" s="398"/>
      <c r="M5537" s="682"/>
      <c r="N5537" s="171"/>
      <c r="O5537" s="171"/>
      <c r="P5537" s="171"/>
      <c r="Q5537" s="171"/>
      <c r="R5537" s="171"/>
      <c r="S5537" s="171"/>
      <c r="T5537" s="171"/>
      <c r="U5537" s="171"/>
      <c r="V5537" s="171"/>
      <c r="W5537" s="171"/>
      <c r="X5537" s="171"/>
      <c r="Y5537" s="171"/>
      <c r="Z5537" s="171"/>
      <c r="AA5537" s="171"/>
    </row>
    <row r="5538" spans="1:27" s="530" customFormat="1" ht="20.25" customHeight="1" x14ac:dyDescent="0.2">
      <c r="A5538" s="526"/>
      <c r="B5538" s="527"/>
      <c r="C5538" s="528"/>
      <c r="D5538" s="569" t="s">
        <v>4019</v>
      </c>
      <c r="E5538" s="538"/>
      <c r="F5538" s="538"/>
      <c r="G5538" s="587" t="s">
        <v>211</v>
      </c>
      <c r="H5538" s="425"/>
      <c r="I5538" s="425"/>
      <c r="J5538" s="750"/>
      <c r="K5538" s="243"/>
      <c r="L5538" s="243"/>
      <c r="M5538" s="682"/>
      <c r="N5538" s="171"/>
      <c r="O5538" s="171"/>
      <c r="P5538" s="171"/>
      <c r="Q5538" s="171"/>
      <c r="R5538" s="171"/>
      <c r="S5538" s="171"/>
      <c r="T5538" s="171"/>
      <c r="U5538" s="171"/>
      <c r="V5538" s="171"/>
      <c r="W5538" s="171"/>
      <c r="X5538" s="171"/>
      <c r="Y5538" s="171"/>
      <c r="Z5538" s="171"/>
      <c r="AA5538" s="171"/>
    </row>
    <row r="5539" spans="1:27" s="530" customFormat="1" hidden="1" x14ac:dyDescent="0.2">
      <c r="A5539" s="526"/>
      <c r="B5539" s="527"/>
      <c r="C5539" s="489"/>
      <c r="D5539" s="464"/>
      <c r="E5539" s="464"/>
      <c r="F5539" s="494">
        <v>411</v>
      </c>
      <c r="G5539" s="495" t="s">
        <v>4167</v>
      </c>
      <c r="H5539" s="397"/>
      <c r="I5539" s="397"/>
      <c r="J5539" s="750" t="e">
        <f t="shared" si="69"/>
        <v>#DIV/0!</v>
      </c>
      <c r="K5539" s="398"/>
      <c r="L5539" s="398"/>
      <c r="M5539" s="682"/>
      <c r="N5539" s="171"/>
      <c r="O5539" s="171"/>
      <c r="P5539" s="171"/>
      <c r="Q5539" s="171"/>
      <c r="R5539" s="171"/>
      <c r="S5539" s="171"/>
      <c r="T5539" s="171"/>
      <c r="U5539" s="171"/>
      <c r="V5539" s="171"/>
      <c r="W5539" s="171"/>
      <c r="X5539" s="171"/>
      <c r="Y5539" s="171"/>
      <c r="Z5539" s="171"/>
      <c r="AA5539" s="171"/>
    </row>
    <row r="5540" spans="1:27" s="530" customFormat="1" hidden="1" x14ac:dyDescent="0.2">
      <c r="A5540" s="526"/>
      <c r="B5540" s="527"/>
      <c r="C5540" s="489"/>
      <c r="D5540" s="464"/>
      <c r="E5540" s="464"/>
      <c r="F5540" s="494">
        <v>412</v>
      </c>
      <c r="G5540" s="496" t="s">
        <v>3764</v>
      </c>
      <c r="H5540" s="397"/>
      <c r="I5540" s="397"/>
      <c r="J5540" s="750" t="e">
        <f t="shared" si="69"/>
        <v>#DIV/0!</v>
      </c>
      <c r="K5540" s="398"/>
      <c r="L5540" s="398"/>
      <c r="M5540" s="682"/>
      <c r="N5540" s="171"/>
      <c r="O5540" s="171"/>
      <c r="P5540" s="171"/>
      <c r="Q5540" s="171"/>
      <c r="R5540" s="171"/>
      <c r="S5540" s="171"/>
      <c r="T5540" s="171"/>
      <c r="U5540" s="171"/>
      <c r="V5540" s="171"/>
      <c r="W5540" s="171"/>
      <c r="X5540" s="171"/>
      <c r="Y5540" s="171"/>
      <c r="Z5540" s="171"/>
      <c r="AA5540" s="171"/>
    </row>
    <row r="5541" spans="1:27" s="530" customFormat="1" hidden="1" x14ac:dyDescent="0.2">
      <c r="A5541" s="526"/>
      <c r="B5541" s="527"/>
      <c r="C5541" s="489"/>
      <c r="D5541" s="464"/>
      <c r="E5541" s="464"/>
      <c r="F5541" s="494">
        <v>413</v>
      </c>
      <c r="G5541" s="495" t="s">
        <v>4168</v>
      </c>
      <c r="H5541" s="397"/>
      <c r="I5541" s="397"/>
      <c r="J5541" s="750" t="e">
        <f t="shared" si="69"/>
        <v>#DIV/0!</v>
      </c>
      <c r="K5541" s="398"/>
      <c r="L5541" s="398"/>
      <c r="M5541" s="682"/>
      <c r="N5541" s="171"/>
      <c r="O5541" s="171"/>
      <c r="P5541" s="171"/>
      <c r="Q5541" s="171"/>
      <c r="R5541" s="171"/>
      <c r="S5541" s="171"/>
      <c r="T5541" s="171"/>
      <c r="U5541" s="171"/>
      <c r="V5541" s="171"/>
      <c r="W5541" s="171"/>
      <c r="X5541" s="171"/>
      <c r="Y5541" s="171"/>
      <c r="Z5541" s="171"/>
      <c r="AA5541" s="171"/>
    </row>
    <row r="5542" spans="1:27" s="530" customFormat="1" hidden="1" x14ac:dyDescent="0.2">
      <c r="A5542" s="526"/>
      <c r="B5542" s="527"/>
      <c r="C5542" s="489"/>
      <c r="D5542" s="464"/>
      <c r="E5542" s="464"/>
      <c r="F5542" s="494">
        <v>414</v>
      </c>
      <c r="G5542" s="495" t="s">
        <v>3767</v>
      </c>
      <c r="H5542" s="397"/>
      <c r="I5542" s="397"/>
      <c r="J5542" s="750" t="e">
        <f t="shared" si="69"/>
        <v>#DIV/0!</v>
      </c>
      <c r="K5542" s="398"/>
      <c r="L5542" s="398"/>
      <c r="M5542" s="682"/>
      <c r="N5542" s="171"/>
      <c r="O5542" s="171"/>
      <c r="P5542" s="171"/>
      <c r="Q5542" s="171"/>
      <c r="R5542" s="171"/>
      <c r="S5542" s="171"/>
      <c r="T5542" s="171"/>
      <c r="U5542" s="171"/>
      <c r="V5542" s="171"/>
      <c r="W5542" s="171"/>
      <c r="X5542" s="171"/>
      <c r="Y5542" s="171"/>
      <c r="Z5542" s="171"/>
      <c r="AA5542" s="171"/>
    </row>
    <row r="5543" spans="1:27" s="530" customFormat="1" hidden="1" x14ac:dyDescent="0.2">
      <c r="A5543" s="526"/>
      <c r="B5543" s="527"/>
      <c r="C5543" s="489"/>
      <c r="D5543" s="464"/>
      <c r="E5543" s="464"/>
      <c r="F5543" s="494">
        <v>415</v>
      </c>
      <c r="G5543" s="495" t="s">
        <v>4177</v>
      </c>
      <c r="H5543" s="397"/>
      <c r="I5543" s="397"/>
      <c r="J5543" s="750" t="e">
        <f t="shared" si="69"/>
        <v>#DIV/0!</v>
      </c>
      <c r="K5543" s="398"/>
      <c r="L5543" s="398"/>
      <c r="M5543" s="682"/>
      <c r="N5543" s="171"/>
      <c r="O5543" s="171"/>
      <c r="P5543" s="171"/>
      <c r="Q5543" s="171"/>
      <c r="R5543" s="171"/>
      <c r="S5543" s="171"/>
      <c r="T5543" s="171"/>
      <c r="U5543" s="171"/>
      <c r="V5543" s="171"/>
      <c r="W5543" s="171"/>
      <c r="X5543" s="171"/>
      <c r="Y5543" s="171"/>
      <c r="Z5543" s="171"/>
      <c r="AA5543" s="171"/>
    </row>
    <row r="5544" spans="1:27" s="530" customFormat="1" ht="25.5" hidden="1" x14ac:dyDescent="0.2">
      <c r="A5544" s="526"/>
      <c r="B5544" s="527"/>
      <c r="C5544" s="489"/>
      <c r="D5544" s="464"/>
      <c r="E5544" s="464"/>
      <c r="F5544" s="494">
        <v>416</v>
      </c>
      <c r="G5544" s="495" t="s">
        <v>4178</v>
      </c>
      <c r="H5544" s="397"/>
      <c r="I5544" s="397"/>
      <c r="J5544" s="750" t="e">
        <f t="shared" si="69"/>
        <v>#DIV/0!</v>
      </c>
      <c r="K5544" s="398"/>
      <c r="L5544" s="398"/>
      <c r="M5544" s="682"/>
      <c r="N5544" s="171"/>
      <c r="O5544" s="171"/>
      <c r="P5544" s="171"/>
      <c r="Q5544" s="171"/>
      <c r="R5544" s="171"/>
      <c r="S5544" s="171"/>
      <c r="T5544" s="171"/>
      <c r="U5544" s="171"/>
      <c r="V5544" s="171"/>
      <c r="W5544" s="171"/>
      <c r="X5544" s="171"/>
      <c r="Y5544" s="171"/>
      <c r="Z5544" s="171"/>
      <c r="AA5544" s="171"/>
    </row>
    <row r="5545" spans="1:27" s="530" customFormat="1" hidden="1" x14ac:dyDescent="0.2">
      <c r="A5545" s="526"/>
      <c r="B5545" s="527"/>
      <c r="C5545" s="489"/>
      <c r="D5545" s="464"/>
      <c r="E5545" s="464"/>
      <c r="F5545" s="494">
        <v>417</v>
      </c>
      <c r="G5545" s="495" t="s">
        <v>4179</v>
      </c>
      <c r="H5545" s="397"/>
      <c r="I5545" s="397"/>
      <c r="J5545" s="750" t="e">
        <f t="shared" si="69"/>
        <v>#DIV/0!</v>
      </c>
      <c r="K5545" s="398"/>
      <c r="L5545" s="398"/>
      <c r="M5545" s="682"/>
      <c r="N5545" s="171"/>
      <c r="O5545" s="171"/>
      <c r="P5545" s="171"/>
      <c r="Q5545" s="171"/>
      <c r="R5545" s="171"/>
      <c r="S5545" s="171"/>
      <c r="T5545" s="171"/>
      <c r="U5545" s="171"/>
      <c r="V5545" s="171"/>
      <c r="W5545" s="171"/>
      <c r="X5545" s="171"/>
      <c r="Y5545" s="171"/>
      <c r="Z5545" s="171"/>
      <c r="AA5545" s="171"/>
    </row>
    <row r="5546" spans="1:27" s="530" customFormat="1" hidden="1" x14ac:dyDescent="0.2">
      <c r="A5546" s="526"/>
      <c r="B5546" s="527"/>
      <c r="C5546" s="489"/>
      <c r="D5546" s="464"/>
      <c r="E5546" s="464"/>
      <c r="F5546" s="494">
        <v>418</v>
      </c>
      <c r="G5546" s="495" t="s">
        <v>3773</v>
      </c>
      <c r="H5546" s="397"/>
      <c r="I5546" s="397"/>
      <c r="J5546" s="750" t="e">
        <f t="shared" si="69"/>
        <v>#DIV/0!</v>
      </c>
      <c r="K5546" s="398"/>
      <c r="L5546" s="398"/>
      <c r="M5546" s="682"/>
      <c r="N5546" s="171"/>
      <c r="O5546" s="171"/>
      <c r="P5546" s="171"/>
      <c r="Q5546" s="171"/>
      <c r="R5546" s="171"/>
      <c r="S5546" s="171"/>
      <c r="T5546" s="171"/>
      <c r="U5546" s="171"/>
      <c r="V5546" s="171"/>
      <c r="W5546" s="171"/>
      <c r="X5546" s="171"/>
      <c r="Y5546" s="171"/>
      <c r="Z5546" s="171"/>
      <c r="AA5546" s="171"/>
    </row>
    <row r="5547" spans="1:27" s="530" customFormat="1" hidden="1" x14ac:dyDescent="0.2">
      <c r="A5547" s="526"/>
      <c r="B5547" s="527"/>
      <c r="C5547" s="489"/>
      <c r="D5547" s="464"/>
      <c r="E5547" s="464"/>
      <c r="F5547" s="494">
        <v>421</v>
      </c>
      <c r="G5547" s="495" t="s">
        <v>3777</v>
      </c>
      <c r="H5547" s="397"/>
      <c r="I5547" s="397"/>
      <c r="J5547" s="750" t="e">
        <f t="shared" si="69"/>
        <v>#DIV/0!</v>
      </c>
      <c r="K5547" s="398"/>
      <c r="L5547" s="398"/>
      <c r="M5547" s="682"/>
      <c r="N5547" s="171"/>
      <c r="O5547" s="171"/>
      <c r="P5547" s="171"/>
      <c r="Q5547" s="171"/>
      <c r="R5547" s="171"/>
      <c r="S5547" s="171"/>
      <c r="T5547" s="171"/>
      <c r="U5547" s="171"/>
      <c r="V5547" s="171"/>
      <c r="W5547" s="171"/>
      <c r="X5547" s="171"/>
      <c r="Y5547" s="171"/>
      <c r="Z5547" s="171"/>
      <c r="AA5547" s="171"/>
    </row>
    <row r="5548" spans="1:27" s="530" customFormat="1" hidden="1" x14ac:dyDescent="0.2">
      <c r="A5548" s="526"/>
      <c r="B5548" s="527"/>
      <c r="C5548" s="489"/>
      <c r="D5548" s="464"/>
      <c r="E5548" s="464"/>
      <c r="F5548" s="494">
        <v>422</v>
      </c>
      <c r="G5548" s="495" t="s">
        <v>3778</v>
      </c>
      <c r="H5548" s="397"/>
      <c r="I5548" s="397"/>
      <c r="J5548" s="750" t="e">
        <f t="shared" si="69"/>
        <v>#DIV/0!</v>
      </c>
      <c r="K5548" s="398"/>
      <c r="L5548" s="398"/>
      <c r="M5548" s="682"/>
      <c r="N5548" s="171"/>
      <c r="O5548" s="171"/>
      <c r="P5548" s="171"/>
      <c r="Q5548" s="171"/>
      <c r="R5548" s="171"/>
      <c r="S5548" s="171"/>
      <c r="T5548" s="171"/>
      <c r="U5548" s="171"/>
      <c r="V5548" s="171"/>
      <c r="W5548" s="171"/>
      <c r="X5548" s="171"/>
      <c r="Y5548" s="171"/>
      <c r="Z5548" s="171"/>
      <c r="AA5548" s="171"/>
    </row>
    <row r="5549" spans="1:27" s="530" customFormat="1" hidden="1" x14ac:dyDescent="0.2">
      <c r="A5549" s="526"/>
      <c r="B5549" s="527"/>
      <c r="C5549" s="489"/>
      <c r="D5549" s="464"/>
      <c r="E5549" s="464"/>
      <c r="F5549" s="494">
        <v>423</v>
      </c>
      <c r="G5549" s="495" t="s">
        <v>3779</v>
      </c>
      <c r="H5549" s="397"/>
      <c r="I5549" s="397"/>
      <c r="J5549" s="750" t="e">
        <f t="shared" si="69"/>
        <v>#DIV/0!</v>
      </c>
      <c r="K5549" s="398"/>
      <c r="L5549" s="398"/>
      <c r="M5549" s="682"/>
      <c r="N5549" s="171"/>
      <c r="O5549" s="171"/>
      <c r="P5549" s="171"/>
      <c r="Q5549" s="171"/>
      <c r="R5549" s="171"/>
      <c r="S5549" s="171"/>
      <c r="T5549" s="171"/>
      <c r="U5549" s="171"/>
      <c r="V5549" s="171"/>
      <c r="W5549" s="171"/>
      <c r="X5549" s="171"/>
      <c r="Y5549" s="171"/>
      <c r="Z5549" s="171"/>
      <c r="AA5549" s="171"/>
    </row>
    <row r="5550" spans="1:27" s="530" customFormat="1" hidden="1" x14ac:dyDescent="0.2">
      <c r="A5550" s="526"/>
      <c r="B5550" s="527"/>
      <c r="C5550" s="489"/>
      <c r="D5550" s="464"/>
      <c r="E5550" s="464"/>
      <c r="F5550" s="494">
        <v>424</v>
      </c>
      <c r="G5550" s="495" t="s">
        <v>3781</v>
      </c>
      <c r="H5550" s="397"/>
      <c r="I5550" s="397"/>
      <c r="J5550" s="750" t="e">
        <f t="shared" si="69"/>
        <v>#DIV/0!</v>
      </c>
      <c r="K5550" s="398"/>
      <c r="L5550" s="398"/>
      <c r="M5550" s="682"/>
      <c r="N5550" s="171"/>
      <c r="O5550" s="171"/>
      <c r="P5550" s="171"/>
      <c r="Q5550" s="171"/>
      <c r="R5550" s="171"/>
      <c r="S5550" s="171"/>
      <c r="T5550" s="171"/>
      <c r="U5550" s="171"/>
      <c r="V5550" s="171"/>
      <c r="W5550" s="171"/>
      <c r="X5550" s="171"/>
      <c r="Y5550" s="171"/>
      <c r="Z5550" s="171"/>
      <c r="AA5550" s="171"/>
    </row>
    <row r="5551" spans="1:27" s="530" customFormat="1" hidden="1" x14ac:dyDescent="0.2">
      <c r="A5551" s="526"/>
      <c r="B5551" s="527"/>
      <c r="C5551" s="489"/>
      <c r="D5551" s="464"/>
      <c r="E5551" s="464"/>
      <c r="F5551" s="494">
        <v>425</v>
      </c>
      <c r="G5551" s="495" t="s">
        <v>4180</v>
      </c>
      <c r="H5551" s="397"/>
      <c r="I5551" s="397"/>
      <c r="J5551" s="750" t="e">
        <f t="shared" si="69"/>
        <v>#DIV/0!</v>
      </c>
      <c r="K5551" s="398"/>
      <c r="L5551" s="398"/>
      <c r="M5551" s="682"/>
      <c r="N5551" s="171"/>
      <c r="O5551" s="171"/>
      <c r="P5551" s="171"/>
      <c r="Q5551" s="171"/>
      <c r="R5551" s="171"/>
      <c r="S5551" s="171"/>
      <c r="T5551" s="171"/>
      <c r="U5551" s="171"/>
      <c r="V5551" s="171"/>
      <c r="W5551" s="171"/>
      <c r="X5551" s="171"/>
      <c r="Y5551" s="171"/>
      <c r="Z5551" s="171"/>
      <c r="AA5551" s="171"/>
    </row>
    <row r="5552" spans="1:27" s="530" customFormat="1" hidden="1" x14ac:dyDescent="0.2">
      <c r="A5552" s="526"/>
      <c r="B5552" s="527"/>
      <c r="C5552" s="489"/>
      <c r="D5552" s="464"/>
      <c r="E5552" s="464"/>
      <c r="F5552" s="494">
        <v>426</v>
      </c>
      <c r="G5552" s="495" t="s">
        <v>3785</v>
      </c>
      <c r="H5552" s="397"/>
      <c r="I5552" s="397"/>
      <c r="J5552" s="750" t="e">
        <f t="shared" si="69"/>
        <v>#DIV/0!</v>
      </c>
      <c r="K5552" s="398"/>
      <c r="L5552" s="398"/>
      <c r="M5552" s="682"/>
      <c r="N5552" s="171"/>
      <c r="O5552" s="171"/>
      <c r="P5552" s="171"/>
      <c r="Q5552" s="171"/>
      <c r="R5552" s="171"/>
      <c r="S5552" s="171"/>
      <c r="T5552" s="171"/>
      <c r="U5552" s="171"/>
      <c r="V5552" s="171"/>
      <c r="W5552" s="171"/>
      <c r="X5552" s="171"/>
      <c r="Y5552" s="171"/>
      <c r="Z5552" s="171"/>
      <c r="AA5552" s="171"/>
    </row>
    <row r="5553" spans="1:27" s="530" customFormat="1" hidden="1" x14ac:dyDescent="0.2">
      <c r="A5553" s="526"/>
      <c r="B5553" s="527"/>
      <c r="C5553" s="489"/>
      <c r="D5553" s="464"/>
      <c r="E5553" s="464"/>
      <c r="F5553" s="494">
        <v>431</v>
      </c>
      <c r="G5553" s="495" t="s">
        <v>4181</v>
      </c>
      <c r="H5553" s="397"/>
      <c r="I5553" s="397"/>
      <c r="J5553" s="750" t="e">
        <f t="shared" si="69"/>
        <v>#DIV/0!</v>
      </c>
      <c r="K5553" s="398"/>
      <c r="L5553" s="398"/>
      <c r="M5553" s="682"/>
      <c r="N5553" s="171"/>
      <c r="O5553" s="171"/>
      <c r="P5553" s="171"/>
      <c r="Q5553" s="171"/>
      <c r="R5553" s="171"/>
      <c r="S5553" s="171"/>
      <c r="T5553" s="171"/>
      <c r="U5553" s="171"/>
      <c r="V5553" s="171"/>
      <c r="W5553" s="171"/>
      <c r="X5553" s="171"/>
      <c r="Y5553" s="171"/>
      <c r="Z5553" s="171"/>
      <c r="AA5553" s="171"/>
    </row>
    <row r="5554" spans="1:27" s="530" customFormat="1" hidden="1" x14ac:dyDescent="0.2">
      <c r="A5554" s="526"/>
      <c r="B5554" s="527"/>
      <c r="C5554" s="489"/>
      <c r="D5554" s="464"/>
      <c r="E5554" s="464"/>
      <c r="F5554" s="494">
        <v>432</v>
      </c>
      <c r="G5554" s="495" t="s">
        <v>4182</v>
      </c>
      <c r="H5554" s="397"/>
      <c r="I5554" s="397"/>
      <c r="J5554" s="750" t="e">
        <f t="shared" si="69"/>
        <v>#DIV/0!</v>
      </c>
      <c r="K5554" s="398"/>
      <c r="L5554" s="398"/>
      <c r="M5554" s="682"/>
      <c r="N5554" s="171"/>
      <c r="O5554" s="171"/>
      <c r="P5554" s="171"/>
      <c r="Q5554" s="171"/>
      <c r="R5554" s="171"/>
      <c r="S5554" s="171"/>
      <c r="T5554" s="171"/>
      <c r="U5554" s="171"/>
      <c r="V5554" s="171"/>
      <c r="W5554" s="171"/>
      <c r="X5554" s="171"/>
      <c r="Y5554" s="171"/>
      <c r="Z5554" s="171"/>
      <c r="AA5554" s="171"/>
    </row>
    <row r="5555" spans="1:27" s="530" customFormat="1" hidden="1" x14ac:dyDescent="0.2">
      <c r="A5555" s="526"/>
      <c r="B5555" s="527"/>
      <c r="C5555" s="489"/>
      <c r="D5555" s="464"/>
      <c r="E5555" s="464"/>
      <c r="F5555" s="494">
        <v>433</v>
      </c>
      <c r="G5555" s="495" t="s">
        <v>4183</v>
      </c>
      <c r="H5555" s="397"/>
      <c r="I5555" s="397"/>
      <c r="J5555" s="750" t="e">
        <f t="shared" si="69"/>
        <v>#DIV/0!</v>
      </c>
      <c r="K5555" s="398"/>
      <c r="L5555" s="398"/>
      <c r="M5555" s="682"/>
      <c r="N5555" s="171"/>
      <c r="O5555" s="171"/>
      <c r="P5555" s="171"/>
      <c r="Q5555" s="171"/>
      <c r="R5555" s="171"/>
      <c r="S5555" s="171"/>
      <c r="T5555" s="171"/>
      <c r="U5555" s="171"/>
      <c r="V5555" s="171"/>
      <c r="W5555" s="171"/>
      <c r="X5555" s="171"/>
      <c r="Y5555" s="171"/>
      <c r="Z5555" s="171"/>
      <c r="AA5555" s="171"/>
    </row>
    <row r="5556" spans="1:27" s="530" customFormat="1" hidden="1" x14ac:dyDescent="0.2">
      <c r="A5556" s="526"/>
      <c r="B5556" s="527"/>
      <c r="C5556" s="489"/>
      <c r="D5556" s="464"/>
      <c r="E5556" s="464"/>
      <c r="F5556" s="494">
        <v>434</v>
      </c>
      <c r="G5556" s="495" t="s">
        <v>4184</v>
      </c>
      <c r="H5556" s="397"/>
      <c r="I5556" s="397"/>
      <c r="J5556" s="750" t="e">
        <f t="shared" si="69"/>
        <v>#DIV/0!</v>
      </c>
      <c r="K5556" s="398"/>
      <c r="L5556" s="398"/>
      <c r="M5556" s="682"/>
      <c r="N5556" s="171"/>
      <c r="O5556" s="171"/>
      <c r="P5556" s="171"/>
      <c r="Q5556" s="171"/>
      <c r="R5556" s="171"/>
      <c r="S5556" s="171"/>
      <c r="T5556" s="171"/>
      <c r="U5556" s="171"/>
      <c r="V5556" s="171"/>
      <c r="W5556" s="171"/>
      <c r="X5556" s="171"/>
      <c r="Y5556" s="171"/>
      <c r="Z5556" s="171"/>
      <c r="AA5556" s="171"/>
    </row>
    <row r="5557" spans="1:27" s="530" customFormat="1" hidden="1" x14ac:dyDescent="0.2">
      <c r="A5557" s="526"/>
      <c r="B5557" s="527"/>
      <c r="C5557" s="489"/>
      <c r="D5557" s="464"/>
      <c r="E5557" s="464"/>
      <c r="F5557" s="494">
        <v>435</v>
      </c>
      <c r="G5557" s="495" t="s">
        <v>3792</v>
      </c>
      <c r="H5557" s="397"/>
      <c r="I5557" s="397"/>
      <c r="J5557" s="750" t="e">
        <f t="shared" si="69"/>
        <v>#DIV/0!</v>
      </c>
      <c r="K5557" s="398"/>
      <c r="L5557" s="398"/>
      <c r="M5557" s="682"/>
      <c r="N5557" s="171"/>
      <c r="O5557" s="171"/>
      <c r="P5557" s="171"/>
      <c r="Q5557" s="171"/>
      <c r="R5557" s="171"/>
      <c r="S5557" s="171"/>
      <c r="T5557" s="171"/>
      <c r="U5557" s="171"/>
      <c r="V5557" s="171"/>
      <c r="W5557" s="171"/>
      <c r="X5557" s="171"/>
      <c r="Y5557" s="171"/>
      <c r="Z5557" s="171"/>
      <c r="AA5557" s="171"/>
    </row>
    <row r="5558" spans="1:27" s="530" customFormat="1" hidden="1" x14ac:dyDescent="0.2">
      <c r="A5558" s="526"/>
      <c r="B5558" s="527"/>
      <c r="C5558" s="489"/>
      <c r="D5558" s="464"/>
      <c r="E5558" s="464"/>
      <c r="F5558" s="494">
        <v>441</v>
      </c>
      <c r="G5558" s="495" t="s">
        <v>4185</v>
      </c>
      <c r="H5558" s="397"/>
      <c r="I5558" s="397"/>
      <c r="J5558" s="750" t="e">
        <f t="shared" si="69"/>
        <v>#DIV/0!</v>
      </c>
      <c r="K5558" s="398"/>
      <c r="L5558" s="398"/>
      <c r="M5558" s="682"/>
      <c r="N5558" s="171"/>
      <c r="O5558" s="171"/>
      <c r="P5558" s="171"/>
      <c r="Q5558" s="171"/>
      <c r="R5558" s="171"/>
      <c r="S5558" s="171"/>
      <c r="T5558" s="171"/>
      <c r="U5558" s="171"/>
      <c r="V5558" s="171"/>
      <c r="W5558" s="171"/>
      <c r="X5558" s="171"/>
      <c r="Y5558" s="171"/>
      <c r="Z5558" s="171"/>
      <c r="AA5558" s="171"/>
    </row>
    <row r="5559" spans="1:27" s="530" customFormat="1" hidden="1" x14ac:dyDescent="0.2">
      <c r="A5559" s="526"/>
      <c r="B5559" s="527"/>
      <c r="C5559" s="489"/>
      <c r="D5559" s="464"/>
      <c r="E5559" s="464"/>
      <c r="F5559" s="494">
        <v>442</v>
      </c>
      <c r="G5559" s="495" t="s">
        <v>4186</v>
      </c>
      <c r="H5559" s="397"/>
      <c r="I5559" s="397"/>
      <c r="J5559" s="750" t="e">
        <f t="shared" si="69"/>
        <v>#DIV/0!</v>
      </c>
      <c r="K5559" s="398"/>
      <c r="L5559" s="398"/>
      <c r="M5559" s="682"/>
      <c r="N5559" s="171"/>
      <c r="O5559" s="171"/>
      <c r="P5559" s="171"/>
      <c r="Q5559" s="171"/>
      <c r="R5559" s="171"/>
      <c r="S5559" s="171"/>
      <c r="T5559" s="171"/>
      <c r="U5559" s="171"/>
      <c r="V5559" s="171"/>
      <c r="W5559" s="171"/>
      <c r="X5559" s="171"/>
      <c r="Y5559" s="171"/>
      <c r="Z5559" s="171"/>
      <c r="AA5559" s="171"/>
    </row>
    <row r="5560" spans="1:27" s="530" customFormat="1" hidden="1" x14ac:dyDescent="0.2">
      <c r="A5560" s="526"/>
      <c r="B5560" s="527"/>
      <c r="C5560" s="489"/>
      <c r="D5560" s="464"/>
      <c r="E5560" s="464"/>
      <c r="F5560" s="494">
        <v>443</v>
      </c>
      <c r="G5560" s="495" t="s">
        <v>3797</v>
      </c>
      <c r="H5560" s="397"/>
      <c r="I5560" s="397"/>
      <c r="J5560" s="750" t="e">
        <f t="shared" si="69"/>
        <v>#DIV/0!</v>
      </c>
      <c r="K5560" s="398"/>
      <c r="L5560" s="398"/>
      <c r="M5560" s="682"/>
      <c r="N5560" s="171"/>
      <c r="O5560" s="171"/>
      <c r="P5560" s="171"/>
      <c r="Q5560" s="171"/>
      <c r="R5560" s="171"/>
      <c r="S5560" s="171"/>
      <c r="T5560" s="171"/>
      <c r="U5560" s="171"/>
      <c r="V5560" s="171"/>
      <c r="W5560" s="171"/>
      <c r="X5560" s="171"/>
      <c r="Y5560" s="171"/>
      <c r="Z5560" s="171"/>
      <c r="AA5560" s="171"/>
    </row>
    <row r="5561" spans="1:27" s="530" customFormat="1" hidden="1" x14ac:dyDescent="0.2">
      <c r="A5561" s="526"/>
      <c r="B5561" s="527"/>
      <c r="C5561" s="489"/>
      <c r="D5561" s="464"/>
      <c r="E5561" s="464"/>
      <c r="F5561" s="494">
        <v>444</v>
      </c>
      <c r="G5561" s="495" t="s">
        <v>3798</v>
      </c>
      <c r="H5561" s="397"/>
      <c r="I5561" s="397"/>
      <c r="J5561" s="750" t="e">
        <f t="shared" si="69"/>
        <v>#DIV/0!</v>
      </c>
      <c r="K5561" s="398"/>
      <c r="L5561" s="398"/>
      <c r="M5561" s="682"/>
      <c r="N5561" s="171"/>
      <c r="O5561" s="171"/>
      <c r="P5561" s="171"/>
      <c r="Q5561" s="171"/>
      <c r="R5561" s="171"/>
      <c r="S5561" s="171"/>
      <c r="T5561" s="171"/>
      <c r="U5561" s="171"/>
      <c r="V5561" s="171"/>
      <c r="W5561" s="171"/>
      <c r="X5561" s="171"/>
      <c r="Y5561" s="171"/>
      <c r="Z5561" s="171"/>
      <c r="AA5561" s="171"/>
    </row>
    <row r="5562" spans="1:27" s="530" customFormat="1" ht="25.5" hidden="1" x14ac:dyDescent="0.2">
      <c r="A5562" s="526"/>
      <c r="B5562" s="527"/>
      <c r="C5562" s="489"/>
      <c r="D5562" s="464"/>
      <c r="E5562" s="464"/>
      <c r="F5562" s="494">
        <v>4511</v>
      </c>
      <c r="G5562" s="466" t="s">
        <v>1692</v>
      </c>
      <c r="H5562" s="397"/>
      <c r="I5562" s="397"/>
      <c r="J5562" s="750" t="e">
        <f t="shared" si="69"/>
        <v>#DIV/0!</v>
      </c>
      <c r="K5562" s="398"/>
      <c r="L5562" s="398"/>
      <c r="M5562" s="682"/>
      <c r="N5562" s="171"/>
      <c r="O5562" s="171"/>
      <c r="P5562" s="171"/>
      <c r="Q5562" s="171"/>
      <c r="R5562" s="171"/>
      <c r="S5562" s="171"/>
      <c r="T5562" s="171"/>
      <c r="U5562" s="171"/>
      <c r="V5562" s="171"/>
      <c r="W5562" s="171"/>
      <c r="X5562" s="171"/>
      <c r="Y5562" s="171"/>
      <c r="Z5562" s="171"/>
      <c r="AA5562" s="171"/>
    </row>
    <row r="5563" spans="1:27" s="530" customFormat="1" ht="25.5" hidden="1" x14ac:dyDescent="0.2">
      <c r="A5563" s="526"/>
      <c r="B5563" s="527"/>
      <c r="C5563" s="489"/>
      <c r="D5563" s="464"/>
      <c r="E5563" s="464"/>
      <c r="F5563" s="494">
        <v>4512</v>
      </c>
      <c r="G5563" s="466" t="s">
        <v>1701</v>
      </c>
      <c r="H5563" s="397"/>
      <c r="I5563" s="397"/>
      <c r="J5563" s="750" t="e">
        <f t="shared" si="69"/>
        <v>#DIV/0!</v>
      </c>
      <c r="K5563" s="398"/>
      <c r="L5563" s="398"/>
      <c r="M5563" s="682"/>
      <c r="N5563" s="171"/>
      <c r="O5563" s="171"/>
      <c r="P5563" s="171"/>
      <c r="Q5563" s="171"/>
      <c r="R5563" s="171"/>
      <c r="S5563" s="171"/>
      <c r="T5563" s="171"/>
      <c r="U5563" s="171"/>
      <c r="V5563" s="171"/>
      <c r="W5563" s="171"/>
      <c r="X5563" s="171"/>
      <c r="Y5563" s="171"/>
      <c r="Z5563" s="171"/>
      <c r="AA5563" s="171"/>
    </row>
    <row r="5564" spans="1:27" s="530" customFormat="1" ht="25.5" hidden="1" x14ac:dyDescent="0.2">
      <c r="A5564" s="526"/>
      <c r="B5564" s="527"/>
      <c r="C5564" s="489"/>
      <c r="D5564" s="464"/>
      <c r="E5564" s="464"/>
      <c r="F5564" s="494">
        <v>452</v>
      </c>
      <c r="G5564" s="495" t="s">
        <v>4187</v>
      </c>
      <c r="H5564" s="397"/>
      <c r="I5564" s="397"/>
      <c r="J5564" s="750" t="e">
        <f t="shared" si="69"/>
        <v>#DIV/0!</v>
      </c>
      <c r="K5564" s="398"/>
      <c r="L5564" s="398"/>
      <c r="M5564" s="682"/>
      <c r="N5564" s="171"/>
      <c r="O5564" s="171"/>
      <c r="P5564" s="171"/>
      <c r="Q5564" s="171"/>
      <c r="R5564" s="171"/>
      <c r="S5564" s="171"/>
      <c r="T5564" s="171"/>
      <c r="U5564" s="171"/>
      <c r="V5564" s="171"/>
      <c r="W5564" s="171"/>
      <c r="X5564" s="171"/>
      <c r="Y5564" s="171"/>
      <c r="Z5564" s="171"/>
      <c r="AA5564" s="171"/>
    </row>
    <row r="5565" spans="1:27" s="530" customFormat="1" ht="25.5" hidden="1" x14ac:dyDescent="0.2">
      <c r="A5565" s="526"/>
      <c r="B5565" s="527"/>
      <c r="C5565" s="489"/>
      <c r="D5565" s="464"/>
      <c r="E5565" s="464"/>
      <c r="F5565" s="494">
        <v>453</v>
      </c>
      <c r="G5565" s="495" t="s">
        <v>4188</v>
      </c>
      <c r="H5565" s="397"/>
      <c r="I5565" s="397"/>
      <c r="J5565" s="750" t="e">
        <f t="shared" si="69"/>
        <v>#DIV/0!</v>
      </c>
      <c r="K5565" s="398"/>
      <c r="L5565" s="398"/>
      <c r="M5565" s="682"/>
      <c r="N5565" s="171"/>
      <c r="O5565" s="171"/>
      <c r="P5565" s="171"/>
      <c r="Q5565" s="171"/>
      <c r="R5565" s="171"/>
      <c r="S5565" s="171"/>
      <c r="T5565" s="171"/>
      <c r="U5565" s="171"/>
      <c r="V5565" s="171"/>
      <c r="W5565" s="171"/>
      <c r="X5565" s="171"/>
      <c r="Y5565" s="171"/>
      <c r="Z5565" s="171"/>
      <c r="AA5565" s="171"/>
    </row>
    <row r="5566" spans="1:27" s="530" customFormat="1" hidden="1" x14ac:dyDescent="0.2">
      <c r="A5566" s="526"/>
      <c r="B5566" s="527"/>
      <c r="C5566" s="489"/>
      <c r="D5566" s="464"/>
      <c r="E5566" s="464"/>
      <c r="F5566" s="494">
        <v>454</v>
      </c>
      <c r="G5566" s="495" t="s">
        <v>3803</v>
      </c>
      <c r="H5566" s="397"/>
      <c r="I5566" s="397"/>
      <c r="J5566" s="750" t="e">
        <f t="shared" si="69"/>
        <v>#DIV/0!</v>
      </c>
      <c r="K5566" s="398"/>
      <c r="L5566" s="398"/>
      <c r="M5566" s="682"/>
      <c r="N5566" s="171"/>
      <c r="O5566" s="171"/>
      <c r="P5566" s="171"/>
      <c r="Q5566" s="171"/>
      <c r="R5566" s="171"/>
      <c r="S5566" s="171"/>
      <c r="T5566" s="171"/>
      <c r="U5566" s="171"/>
      <c r="V5566" s="171"/>
      <c r="W5566" s="171"/>
      <c r="X5566" s="171"/>
      <c r="Y5566" s="171"/>
      <c r="Z5566" s="171"/>
      <c r="AA5566" s="171"/>
    </row>
    <row r="5567" spans="1:27" s="530" customFormat="1" hidden="1" x14ac:dyDescent="0.2">
      <c r="A5567" s="526"/>
      <c r="B5567" s="527"/>
      <c r="C5567" s="489"/>
      <c r="D5567" s="464"/>
      <c r="E5567" s="464"/>
      <c r="F5567" s="494">
        <v>461</v>
      </c>
      <c r="G5567" s="495" t="s">
        <v>4169</v>
      </c>
      <c r="H5567" s="397"/>
      <c r="I5567" s="397"/>
      <c r="J5567" s="750" t="e">
        <f t="shared" si="69"/>
        <v>#DIV/0!</v>
      </c>
      <c r="K5567" s="398"/>
      <c r="L5567" s="398"/>
      <c r="M5567" s="682"/>
      <c r="N5567" s="171"/>
      <c r="O5567" s="171"/>
      <c r="P5567" s="171"/>
      <c r="Q5567" s="171"/>
      <c r="R5567" s="171"/>
      <c r="S5567" s="171"/>
      <c r="T5567" s="171"/>
      <c r="U5567" s="171"/>
      <c r="V5567" s="171"/>
      <c r="W5567" s="171"/>
      <c r="X5567" s="171"/>
      <c r="Y5567" s="171"/>
      <c r="Z5567" s="171"/>
      <c r="AA5567" s="171"/>
    </row>
    <row r="5568" spans="1:27" s="530" customFormat="1" ht="25.5" hidden="1" x14ac:dyDescent="0.2">
      <c r="A5568" s="526"/>
      <c r="B5568" s="527"/>
      <c r="C5568" s="489"/>
      <c r="D5568" s="464"/>
      <c r="E5568" s="464"/>
      <c r="F5568" s="494">
        <v>462</v>
      </c>
      <c r="G5568" s="495" t="s">
        <v>3806</v>
      </c>
      <c r="H5568" s="397"/>
      <c r="I5568" s="397"/>
      <c r="J5568" s="750" t="e">
        <f t="shared" si="69"/>
        <v>#DIV/0!</v>
      </c>
      <c r="K5568" s="398"/>
      <c r="L5568" s="398"/>
      <c r="M5568" s="682"/>
      <c r="N5568" s="171"/>
      <c r="O5568" s="171"/>
      <c r="P5568" s="171"/>
      <c r="Q5568" s="171"/>
      <c r="R5568" s="171"/>
      <c r="S5568" s="171"/>
      <c r="T5568" s="171"/>
      <c r="U5568" s="171"/>
      <c r="V5568" s="171"/>
      <c r="W5568" s="171"/>
      <c r="X5568" s="171"/>
      <c r="Y5568" s="171"/>
      <c r="Z5568" s="171"/>
      <c r="AA5568" s="171"/>
    </row>
    <row r="5569" spans="1:27" s="530" customFormat="1" hidden="1" x14ac:dyDescent="0.2">
      <c r="A5569" s="526"/>
      <c r="B5569" s="527"/>
      <c r="C5569" s="489"/>
      <c r="D5569" s="464"/>
      <c r="E5569" s="464"/>
      <c r="F5569" s="494">
        <v>4631</v>
      </c>
      <c r="G5569" s="495" t="s">
        <v>3807</v>
      </c>
      <c r="H5569" s="397"/>
      <c r="I5569" s="397"/>
      <c r="J5569" s="750" t="e">
        <f t="shared" si="69"/>
        <v>#DIV/0!</v>
      </c>
      <c r="K5569" s="398"/>
      <c r="L5569" s="398"/>
      <c r="M5569" s="682"/>
      <c r="N5569" s="171"/>
      <c r="O5569" s="171"/>
      <c r="P5569" s="171"/>
      <c r="Q5569" s="171"/>
      <c r="R5569" s="171"/>
      <c r="S5569" s="171"/>
      <c r="T5569" s="171"/>
      <c r="U5569" s="171"/>
      <c r="V5569" s="171"/>
      <c r="W5569" s="171"/>
      <c r="X5569" s="171"/>
      <c r="Y5569" s="171"/>
      <c r="Z5569" s="171"/>
      <c r="AA5569" s="171"/>
    </row>
    <row r="5570" spans="1:27" s="530" customFormat="1" hidden="1" x14ac:dyDescent="0.2">
      <c r="A5570" s="526"/>
      <c r="B5570" s="527"/>
      <c r="C5570" s="489"/>
      <c r="D5570" s="464"/>
      <c r="E5570" s="464"/>
      <c r="F5570" s="494">
        <v>4632</v>
      </c>
      <c r="G5570" s="495" t="s">
        <v>3808</v>
      </c>
      <c r="H5570" s="397"/>
      <c r="I5570" s="397"/>
      <c r="J5570" s="750" t="e">
        <f t="shared" si="69"/>
        <v>#DIV/0!</v>
      </c>
      <c r="K5570" s="398"/>
      <c r="L5570" s="398"/>
      <c r="M5570" s="682"/>
      <c r="N5570" s="171"/>
      <c r="O5570" s="171"/>
      <c r="P5570" s="171"/>
      <c r="Q5570" s="171"/>
      <c r="R5570" s="171"/>
      <c r="S5570" s="171"/>
      <c r="T5570" s="171"/>
      <c r="U5570" s="171"/>
      <c r="V5570" s="171"/>
      <c r="W5570" s="171"/>
      <c r="X5570" s="171"/>
      <c r="Y5570" s="171"/>
      <c r="Z5570" s="171"/>
      <c r="AA5570" s="171"/>
    </row>
    <row r="5571" spans="1:27" s="530" customFormat="1" ht="25.5" hidden="1" x14ac:dyDescent="0.2">
      <c r="A5571" s="526"/>
      <c r="B5571" s="527"/>
      <c r="C5571" s="489"/>
      <c r="D5571" s="464"/>
      <c r="E5571" s="464"/>
      <c r="F5571" s="494">
        <v>464</v>
      </c>
      <c r="G5571" s="495" t="s">
        <v>3809</v>
      </c>
      <c r="H5571" s="397"/>
      <c r="I5571" s="397"/>
      <c r="J5571" s="750" t="e">
        <f t="shared" si="69"/>
        <v>#DIV/0!</v>
      </c>
      <c r="K5571" s="398"/>
      <c r="L5571" s="398"/>
      <c r="M5571" s="682"/>
      <c r="N5571" s="171"/>
      <c r="O5571" s="171"/>
      <c r="P5571" s="171"/>
      <c r="Q5571" s="171"/>
      <c r="R5571" s="171"/>
      <c r="S5571" s="171"/>
      <c r="T5571" s="171"/>
      <c r="U5571" s="171"/>
      <c r="V5571" s="171"/>
      <c r="W5571" s="171"/>
      <c r="X5571" s="171"/>
      <c r="Y5571" s="171"/>
      <c r="Z5571" s="171"/>
      <c r="AA5571" s="171"/>
    </row>
    <row r="5572" spans="1:27" s="530" customFormat="1" hidden="1" x14ac:dyDescent="0.2">
      <c r="A5572" s="526"/>
      <c r="B5572" s="527"/>
      <c r="C5572" s="489"/>
      <c r="D5572" s="464"/>
      <c r="E5572" s="464"/>
      <c r="F5572" s="494">
        <v>465</v>
      </c>
      <c r="G5572" s="495" t="s">
        <v>4170</v>
      </c>
      <c r="H5572" s="397"/>
      <c r="I5572" s="397"/>
      <c r="J5572" s="750" t="e">
        <f t="shared" si="69"/>
        <v>#DIV/0!</v>
      </c>
      <c r="K5572" s="398"/>
      <c r="L5572" s="398"/>
      <c r="M5572" s="682"/>
      <c r="N5572" s="171"/>
      <c r="O5572" s="171"/>
      <c r="P5572" s="171"/>
      <c r="Q5572" s="171"/>
      <c r="R5572" s="171"/>
      <c r="S5572" s="171"/>
      <c r="T5572" s="171"/>
      <c r="U5572" s="171"/>
      <c r="V5572" s="171"/>
      <c r="W5572" s="171"/>
      <c r="X5572" s="171"/>
      <c r="Y5572" s="171"/>
      <c r="Z5572" s="171"/>
      <c r="AA5572" s="171"/>
    </row>
    <row r="5573" spans="1:27" s="530" customFormat="1" hidden="1" x14ac:dyDescent="0.2">
      <c r="A5573" s="526"/>
      <c r="B5573" s="527"/>
      <c r="C5573" s="489"/>
      <c r="D5573" s="464"/>
      <c r="E5573" s="464"/>
      <c r="F5573" s="494">
        <v>472</v>
      </c>
      <c r="G5573" s="495" t="s">
        <v>3813</v>
      </c>
      <c r="H5573" s="397"/>
      <c r="I5573" s="397"/>
      <c r="J5573" s="750" t="e">
        <f t="shared" si="69"/>
        <v>#DIV/0!</v>
      </c>
      <c r="K5573" s="398"/>
      <c r="L5573" s="398"/>
      <c r="M5573" s="682"/>
      <c r="N5573" s="171"/>
      <c r="O5573" s="171"/>
      <c r="P5573" s="171"/>
      <c r="Q5573" s="171"/>
      <c r="R5573" s="171"/>
      <c r="S5573" s="171"/>
      <c r="T5573" s="171"/>
      <c r="U5573" s="171"/>
      <c r="V5573" s="171"/>
      <c r="W5573" s="171"/>
      <c r="X5573" s="171"/>
      <c r="Y5573" s="171"/>
      <c r="Z5573" s="171"/>
      <c r="AA5573" s="171"/>
    </row>
    <row r="5574" spans="1:27" s="530" customFormat="1" ht="13.5" thickBot="1" x14ac:dyDescent="0.25">
      <c r="A5574" s="526"/>
      <c r="B5574" s="527"/>
      <c r="C5574" s="489"/>
      <c r="D5574" s="464"/>
      <c r="E5574" s="464">
        <v>58</v>
      </c>
      <c r="F5574" s="494">
        <v>481</v>
      </c>
      <c r="G5574" s="495" t="s">
        <v>4189</v>
      </c>
      <c r="H5574" s="397">
        <v>3972000</v>
      </c>
      <c r="I5574" s="397">
        <v>3618935</v>
      </c>
      <c r="J5574" s="750">
        <f t="shared" si="69"/>
        <v>91.11115307150051</v>
      </c>
      <c r="K5574" s="398"/>
      <c r="L5574" s="398"/>
      <c r="M5574" s="682"/>
      <c r="N5574" s="171"/>
      <c r="O5574" s="171"/>
      <c r="P5574" s="171"/>
      <c r="Q5574" s="171"/>
      <c r="R5574" s="171"/>
      <c r="S5574" s="171"/>
      <c r="T5574" s="171"/>
      <c r="U5574" s="171"/>
      <c r="V5574" s="171"/>
      <c r="W5574" s="171"/>
      <c r="X5574" s="171"/>
      <c r="Y5574" s="171"/>
      <c r="Z5574" s="171"/>
      <c r="AA5574" s="171"/>
    </row>
    <row r="5575" spans="1:27" s="530" customFormat="1" ht="13.5" hidden="1" thickBot="1" x14ac:dyDescent="0.25">
      <c r="A5575" s="526"/>
      <c r="B5575" s="527"/>
      <c r="C5575" s="489"/>
      <c r="D5575" s="464"/>
      <c r="E5575" s="464"/>
      <c r="F5575" s="494">
        <v>482</v>
      </c>
      <c r="G5575" s="495" t="s">
        <v>4190</v>
      </c>
      <c r="H5575" s="397"/>
      <c r="I5575" s="397"/>
      <c r="J5575" s="750" t="e">
        <f t="shared" si="69"/>
        <v>#DIV/0!</v>
      </c>
      <c r="K5575" s="398"/>
      <c r="L5575" s="398"/>
      <c r="M5575" s="682"/>
      <c r="N5575" s="171"/>
      <c r="O5575" s="171"/>
      <c r="P5575" s="171"/>
      <c r="Q5575" s="171"/>
      <c r="R5575" s="171"/>
      <c r="S5575" s="171"/>
      <c r="T5575" s="171"/>
      <c r="U5575" s="171"/>
      <c r="V5575" s="171"/>
      <c r="W5575" s="171"/>
      <c r="X5575" s="171"/>
      <c r="Y5575" s="171"/>
      <c r="Z5575" s="171"/>
      <c r="AA5575" s="171"/>
    </row>
    <row r="5576" spans="1:27" s="530" customFormat="1" ht="13.5" hidden="1" thickBot="1" x14ac:dyDescent="0.25">
      <c r="A5576" s="526"/>
      <c r="B5576" s="527"/>
      <c r="C5576" s="489"/>
      <c r="D5576" s="464"/>
      <c r="E5576" s="464"/>
      <c r="F5576" s="494">
        <v>483</v>
      </c>
      <c r="G5576" s="497" t="s">
        <v>4191</v>
      </c>
      <c r="H5576" s="397"/>
      <c r="I5576" s="397"/>
      <c r="J5576" s="750" t="e">
        <f t="shared" si="69"/>
        <v>#DIV/0!</v>
      </c>
      <c r="K5576" s="398"/>
      <c r="L5576" s="398"/>
      <c r="M5576" s="682"/>
      <c r="N5576" s="171"/>
      <c r="O5576" s="171"/>
      <c r="P5576" s="171"/>
      <c r="Q5576" s="171"/>
      <c r="R5576" s="171"/>
      <c r="S5576" s="171"/>
      <c r="T5576" s="171"/>
      <c r="U5576" s="171"/>
      <c r="V5576" s="171"/>
      <c r="W5576" s="171"/>
      <c r="X5576" s="171"/>
      <c r="Y5576" s="171"/>
      <c r="Z5576" s="171"/>
      <c r="AA5576" s="171"/>
    </row>
    <row r="5577" spans="1:27" s="530" customFormat="1" ht="39" hidden="1" thickBot="1" x14ac:dyDescent="0.25">
      <c r="A5577" s="526"/>
      <c r="B5577" s="527"/>
      <c r="C5577" s="489"/>
      <c r="D5577" s="464"/>
      <c r="E5577" s="464"/>
      <c r="F5577" s="494">
        <v>484</v>
      </c>
      <c r="G5577" s="495" t="s">
        <v>4192</v>
      </c>
      <c r="H5577" s="397"/>
      <c r="I5577" s="397"/>
      <c r="J5577" s="750" t="e">
        <f t="shared" si="69"/>
        <v>#DIV/0!</v>
      </c>
      <c r="K5577" s="398"/>
      <c r="L5577" s="398"/>
      <c r="M5577" s="682"/>
      <c r="N5577" s="171"/>
      <c r="O5577" s="171"/>
      <c r="P5577" s="171"/>
      <c r="Q5577" s="171"/>
      <c r="R5577" s="171"/>
      <c r="S5577" s="171"/>
      <c r="T5577" s="171"/>
      <c r="U5577" s="171"/>
      <c r="V5577" s="171"/>
      <c r="W5577" s="171"/>
      <c r="X5577" s="171"/>
      <c r="Y5577" s="171"/>
      <c r="Z5577" s="171"/>
      <c r="AA5577" s="171"/>
    </row>
    <row r="5578" spans="1:27" s="530" customFormat="1" ht="26.25" hidden="1" thickBot="1" x14ac:dyDescent="0.25">
      <c r="A5578" s="526"/>
      <c r="B5578" s="527"/>
      <c r="C5578" s="489"/>
      <c r="D5578" s="464"/>
      <c r="E5578" s="464"/>
      <c r="F5578" s="494">
        <v>485</v>
      </c>
      <c r="G5578" s="495" t="s">
        <v>4193</v>
      </c>
      <c r="H5578" s="397"/>
      <c r="I5578" s="397"/>
      <c r="J5578" s="750" t="e">
        <f t="shared" si="69"/>
        <v>#DIV/0!</v>
      </c>
      <c r="K5578" s="398"/>
      <c r="L5578" s="398"/>
      <c r="M5578" s="682"/>
      <c r="N5578" s="171"/>
      <c r="O5578" s="171"/>
      <c r="P5578" s="171"/>
      <c r="Q5578" s="171"/>
      <c r="R5578" s="171"/>
      <c r="S5578" s="171"/>
      <c r="T5578" s="171"/>
      <c r="U5578" s="171"/>
      <c r="V5578" s="171"/>
      <c r="W5578" s="171"/>
      <c r="X5578" s="171"/>
      <c r="Y5578" s="171"/>
      <c r="Z5578" s="171"/>
      <c r="AA5578" s="171"/>
    </row>
    <row r="5579" spans="1:27" s="530" customFormat="1" ht="26.25" hidden="1" thickBot="1" x14ac:dyDescent="0.25">
      <c r="A5579" s="526"/>
      <c r="B5579" s="527"/>
      <c r="C5579" s="489"/>
      <c r="D5579" s="464"/>
      <c r="E5579" s="464"/>
      <c r="F5579" s="494">
        <v>489</v>
      </c>
      <c r="G5579" s="495" t="s">
        <v>3821</v>
      </c>
      <c r="H5579" s="397"/>
      <c r="I5579" s="397"/>
      <c r="J5579" s="750" t="e">
        <f t="shared" si="69"/>
        <v>#DIV/0!</v>
      </c>
      <c r="K5579" s="398"/>
      <c r="L5579" s="398"/>
      <c r="M5579" s="682"/>
      <c r="N5579" s="171"/>
      <c r="O5579" s="171"/>
      <c r="P5579" s="171"/>
      <c r="Q5579" s="171"/>
      <c r="R5579" s="171"/>
      <c r="S5579" s="171"/>
      <c r="T5579" s="171"/>
      <c r="U5579" s="171"/>
      <c r="V5579" s="171"/>
      <c r="W5579" s="171"/>
      <c r="X5579" s="171"/>
      <c r="Y5579" s="171"/>
      <c r="Z5579" s="171"/>
      <c r="AA5579" s="171"/>
    </row>
    <row r="5580" spans="1:27" s="530" customFormat="1" ht="26.25" hidden="1" thickBot="1" x14ac:dyDescent="0.25">
      <c r="A5580" s="526"/>
      <c r="B5580" s="527"/>
      <c r="C5580" s="489"/>
      <c r="D5580" s="464"/>
      <c r="E5580" s="464"/>
      <c r="F5580" s="494">
        <v>494</v>
      </c>
      <c r="G5580" s="495" t="s">
        <v>4171</v>
      </c>
      <c r="H5580" s="397"/>
      <c r="I5580" s="397"/>
      <c r="J5580" s="750" t="e">
        <f t="shared" si="69"/>
        <v>#DIV/0!</v>
      </c>
      <c r="K5580" s="398"/>
      <c r="L5580" s="398"/>
      <c r="M5580" s="682"/>
      <c r="N5580" s="171"/>
      <c r="O5580" s="171"/>
      <c r="P5580" s="171"/>
      <c r="Q5580" s="171"/>
      <c r="R5580" s="171"/>
      <c r="S5580" s="171"/>
      <c r="T5580" s="171"/>
      <c r="U5580" s="171"/>
      <c r="V5580" s="171"/>
      <c r="W5580" s="171"/>
      <c r="X5580" s="171"/>
      <c r="Y5580" s="171"/>
      <c r="Z5580" s="171"/>
      <c r="AA5580" s="171"/>
    </row>
    <row r="5581" spans="1:27" s="530" customFormat="1" ht="26.25" hidden="1" thickBot="1" x14ac:dyDescent="0.25">
      <c r="A5581" s="526"/>
      <c r="B5581" s="527"/>
      <c r="C5581" s="489"/>
      <c r="D5581" s="464"/>
      <c r="E5581" s="464"/>
      <c r="F5581" s="494">
        <v>495</v>
      </c>
      <c r="G5581" s="495" t="s">
        <v>4172</v>
      </c>
      <c r="H5581" s="397"/>
      <c r="I5581" s="397"/>
      <c r="J5581" s="750" t="e">
        <f t="shared" ref="J5581:J5644" si="70">SUM(I5581/H5581)*100</f>
        <v>#DIV/0!</v>
      </c>
      <c r="K5581" s="398"/>
      <c r="L5581" s="398"/>
      <c r="M5581" s="682"/>
      <c r="N5581" s="171"/>
      <c r="O5581" s="171"/>
      <c r="P5581" s="171"/>
      <c r="Q5581" s="171"/>
      <c r="R5581" s="171"/>
      <c r="S5581" s="171"/>
      <c r="T5581" s="171"/>
      <c r="U5581" s="171"/>
      <c r="V5581" s="171"/>
      <c r="W5581" s="171"/>
      <c r="X5581" s="171"/>
      <c r="Y5581" s="171"/>
      <c r="Z5581" s="171"/>
      <c r="AA5581" s="171"/>
    </row>
    <row r="5582" spans="1:27" s="530" customFormat="1" ht="39" hidden="1" thickBot="1" x14ac:dyDescent="0.25">
      <c r="A5582" s="526"/>
      <c r="B5582" s="527"/>
      <c r="C5582" s="489"/>
      <c r="D5582" s="464"/>
      <c r="E5582" s="464"/>
      <c r="F5582" s="494">
        <v>496</v>
      </c>
      <c r="G5582" s="495" t="s">
        <v>4173</v>
      </c>
      <c r="H5582" s="397"/>
      <c r="I5582" s="397"/>
      <c r="J5582" s="750" t="e">
        <f t="shared" si="70"/>
        <v>#DIV/0!</v>
      </c>
      <c r="K5582" s="398"/>
      <c r="L5582" s="398"/>
      <c r="M5582" s="682"/>
      <c r="N5582" s="171"/>
      <c r="O5582" s="171"/>
      <c r="P5582" s="171"/>
      <c r="Q5582" s="171"/>
      <c r="R5582" s="171"/>
      <c r="S5582" s="171"/>
      <c r="T5582" s="171"/>
      <c r="U5582" s="171"/>
      <c r="V5582" s="171"/>
      <c r="W5582" s="171"/>
      <c r="X5582" s="171"/>
      <c r="Y5582" s="171"/>
      <c r="Z5582" s="171"/>
      <c r="AA5582" s="171"/>
    </row>
    <row r="5583" spans="1:27" s="530" customFormat="1" ht="26.25" hidden="1" thickBot="1" x14ac:dyDescent="0.25">
      <c r="A5583" s="526"/>
      <c r="B5583" s="527"/>
      <c r="C5583" s="489"/>
      <c r="D5583" s="464"/>
      <c r="E5583" s="464"/>
      <c r="F5583" s="494">
        <v>499</v>
      </c>
      <c r="G5583" s="495" t="s">
        <v>4174</v>
      </c>
      <c r="H5583" s="397"/>
      <c r="I5583" s="397"/>
      <c r="J5583" s="750" t="e">
        <f t="shared" si="70"/>
        <v>#DIV/0!</v>
      </c>
      <c r="K5583" s="398"/>
      <c r="L5583" s="398"/>
      <c r="M5583" s="682"/>
      <c r="N5583" s="171"/>
      <c r="O5583" s="171"/>
      <c r="P5583" s="171"/>
      <c r="Q5583" s="171"/>
      <c r="R5583" s="171"/>
      <c r="S5583" s="171"/>
      <c r="T5583" s="171"/>
      <c r="U5583" s="171"/>
      <c r="V5583" s="171"/>
      <c r="W5583" s="171"/>
      <c r="X5583" s="171"/>
      <c r="Y5583" s="171"/>
      <c r="Z5583" s="171"/>
      <c r="AA5583" s="171"/>
    </row>
    <row r="5584" spans="1:27" s="530" customFormat="1" ht="13.5" hidden="1" thickBot="1" x14ac:dyDescent="0.25">
      <c r="A5584" s="526"/>
      <c r="B5584" s="527"/>
      <c r="C5584" s="489"/>
      <c r="D5584" s="464"/>
      <c r="E5584" s="464"/>
      <c r="F5584" s="494">
        <v>511</v>
      </c>
      <c r="G5584" s="497" t="s">
        <v>4194</v>
      </c>
      <c r="H5584" s="397"/>
      <c r="I5584" s="397"/>
      <c r="J5584" s="750" t="e">
        <f t="shared" si="70"/>
        <v>#DIV/0!</v>
      </c>
      <c r="K5584" s="398"/>
      <c r="L5584" s="398"/>
      <c r="M5584" s="682"/>
      <c r="N5584" s="171"/>
      <c r="O5584" s="171"/>
      <c r="P5584" s="171"/>
      <c r="Q5584" s="171"/>
      <c r="R5584" s="171"/>
      <c r="S5584" s="171"/>
      <c r="T5584" s="171"/>
      <c r="U5584" s="171"/>
      <c r="V5584" s="171"/>
      <c r="W5584" s="171"/>
      <c r="X5584" s="171"/>
      <c r="Y5584" s="171"/>
      <c r="Z5584" s="171"/>
      <c r="AA5584" s="171"/>
    </row>
    <row r="5585" spans="1:27" s="530" customFormat="1" ht="13.5" hidden="1" thickBot="1" x14ac:dyDescent="0.25">
      <c r="A5585" s="526"/>
      <c r="B5585" s="527"/>
      <c r="C5585" s="489"/>
      <c r="D5585" s="464"/>
      <c r="E5585" s="464"/>
      <c r="F5585" s="494">
        <v>512</v>
      </c>
      <c r="G5585" s="497" t="s">
        <v>4195</v>
      </c>
      <c r="H5585" s="397"/>
      <c r="I5585" s="397"/>
      <c r="J5585" s="750" t="e">
        <f t="shared" si="70"/>
        <v>#DIV/0!</v>
      </c>
      <c r="K5585" s="398"/>
      <c r="L5585" s="398"/>
      <c r="M5585" s="682"/>
      <c r="N5585" s="171"/>
      <c r="O5585" s="171"/>
      <c r="P5585" s="171"/>
      <c r="Q5585" s="171"/>
      <c r="R5585" s="171"/>
      <c r="S5585" s="171"/>
      <c r="T5585" s="171"/>
      <c r="U5585" s="171"/>
      <c r="V5585" s="171"/>
      <c r="W5585" s="171"/>
      <c r="X5585" s="171"/>
      <c r="Y5585" s="171"/>
      <c r="Z5585" s="171"/>
      <c r="AA5585" s="171"/>
    </row>
    <row r="5586" spans="1:27" s="530" customFormat="1" ht="13.5" hidden="1" thickBot="1" x14ac:dyDescent="0.25">
      <c r="A5586" s="526"/>
      <c r="B5586" s="527"/>
      <c r="C5586" s="489"/>
      <c r="D5586" s="464"/>
      <c r="E5586" s="464"/>
      <c r="F5586" s="494">
        <v>513</v>
      </c>
      <c r="G5586" s="497" t="s">
        <v>4196</v>
      </c>
      <c r="H5586" s="397"/>
      <c r="I5586" s="397"/>
      <c r="J5586" s="750" t="e">
        <f t="shared" si="70"/>
        <v>#DIV/0!</v>
      </c>
      <c r="K5586" s="398"/>
      <c r="L5586" s="398"/>
      <c r="M5586" s="682"/>
      <c r="N5586" s="171"/>
      <c r="O5586" s="171"/>
      <c r="P5586" s="171"/>
      <c r="Q5586" s="171"/>
      <c r="R5586" s="171"/>
      <c r="S5586" s="171"/>
      <c r="T5586" s="171"/>
      <c r="U5586" s="171"/>
      <c r="V5586" s="171"/>
      <c r="W5586" s="171"/>
      <c r="X5586" s="171"/>
      <c r="Y5586" s="171"/>
      <c r="Z5586" s="171"/>
      <c r="AA5586" s="171"/>
    </row>
    <row r="5587" spans="1:27" s="530" customFormat="1" ht="13.5" hidden="1" thickBot="1" x14ac:dyDescent="0.25">
      <c r="A5587" s="526"/>
      <c r="B5587" s="527"/>
      <c r="C5587" s="489"/>
      <c r="D5587" s="464"/>
      <c r="E5587" s="464"/>
      <c r="F5587" s="494">
        <v>514</v>
      </c>
      <c r="G5587" s="495" t="s">
        <v>4197</v>
      </c>
      <c r="H5587" s="397"/>
      <c r="I5587" s="397"/>
      <c r="J5587" s="750" t="e">
        <f t="shared" si="70"/>
        <v>#DIV/0!</v>
      </c>
      <c r="K5587" s="398"/>
      <c r="L5587" s="398"/>
      <c r="M5587" s="682"/>
      <c r="N5587" s="171"/>
      <c r="O5587" s="171"/>
      <c r="P5587" s="171"/>
      <c r="Q5587" s="171"/>
      <c r="R5587" s="171"/>
      <c r="S5587" s="171"/>
      <c r="T5587" s="171"/>
      <c r="U5587" s="171"/>
      <c r="V5587" s="171"/>
      <c r="W5587" s="171"/>
      <c r="X5587" s="171"/>
      <c r="Y5587" s="171"/>
      <c r="Z5587" s="171"/>
      <c r="AA5587" s="171"/>
    </row>
    <row r="5588" spans="1:27" s="530" customFormat="1" ht="13.5" hidden="1" thickBot="1" x14ac:dyDescent="0.25">
      <c r="A5588" s="526"/>
      <c r="B5588" s="527"/>
      <c r="C5588" s="489"/>
      <c r="D5588" s="464"/>
      <c r="E5588" s="464"/>
      <c r="F5588" s="494">
        <v>515</v>
      </c>
      <c r="G5588" s="495" t="s">
        <v>3832</v>
      </c>
      <c r="H5588" s="397"/>
      <c r="I5588" s="397"/>
      <c r="J5588" s="750" t="e">
        <f t="shared" si="70"/>
        <v>#DIV/0!</v>
      </c>
      <c r="K5588" s="398"/>
      <c r="L5588" s="398"/>
      <c r="M5588" s="682"/>
      <c r="N5588" s="171"/>
      <c r="O5588" s="171"/>
      <c r="P5588" s="171"/>
      <c r="Q5588" s="171"/>
      <c r="R5588" s="171"/>
      <c r="S5588" s="171"/>
      <c r="T5588" s="171"/>
      <c r="U5588" s="171"/>
      <c r="V5588" s="171"/>
      <c r="W5588" s="171"/>
      <c r="X5588" s="171"/>
      <c r="Y5588" s="171"/>
      <c r="Z5588" s="171"/>
      <c r="AA5588" s="171"/>
    </row>
    <row r="5589" spans="1:27" s="530" customFormat="1" ht="13.5" hidden="1" thickBot="1" x14ac:dyDescent="0.25">
      <c r="A5589" s="526"/>
      <c r="B5589" s="527"/>
      <c r="C5589" s="489"/>
      <c r="D5589" s="464"/>
      <c r="E5589" s="464"/>
      <c r="F5589" s="494">
        <v>521</v>
      </c>
      <c r="G5589" s="495" t="s">
        <v>4198</v>
      </c>
      <c r="H5589" s="397"/>
      <c r="I5589" s="397"/>
      <c r="J5589" s="750" t="e">
        <f t="shared" si="70"/>
        <v>#DIV/0!</v>
      </c>
      <c r="K5589" s="398"/>
      <c r="L5589" s="398"/>
      <c r="M5589" s="682"/>
      <c r="N5589" s="171"/>
      <c r="O5589" s="171"/>
      <c r="P5589" s="171"/>
      <c r="Q5589" s="171"/>
      <c r="R5589" s="171"/>
      <c r="S5589" s="171"/>
      <c r="T5589" s="171"/>
      <c r="U5589" s="171"/>
      <c r="V5589" s="171"/>
      <c r="W5589" s="171"/>
      <c r="X5589" s="171"/>
      <c r="Y5589" s="171"/>
      <c r="Z5589" s="171"/>
      <c r="AA5589" s="171"/>
    </row>
    <row r="5590" spans="1:27" s="530" customFormat="1" ht="13.5" hidden="1" thickBot="1" x14ac:dyDescent="0.25">
      <c r="A5590" s="526"/>
      <c r="B5590" s="527"/>
      <c r="C5590" s="489"/>
      <c r="D5590" s="464"/>
      <c r="E5590" s="464"/>
      <c r="F5590" s="494">
        <v>522</v>
      </c>
      <c r="G5590" s="495" t="s">
        <v>4199</v>
      </c>
      <c r="H5590" s="397"/>
      <c r="I5590" s="397"/>
      <c r="J5590" s="750" t="e">
        <f t="shared" si="70"/>
        <v>#DIV/0!</v>
      </c>
      <c r="K5590" s="398"/>
      <c r="L5590" s="398"/>
      <c r="M5590" s="682"/>
      <c r="N5590" s="171"/>
      <c r="O5590" s="171"/>
      <c r="P5590" s="171"/>
      <c r="Q5590" s="171"/>
      <c r="R5590" s="171"/>
      <c r="S5590" s="171"/>
      <c r="T5590" s="171"/>
      <c r="U5590" s="171"/>
      <c r="V5590" s="171"/>
      <c r="W5590" s="171"/>
      <c r="X5590" s="171"/>
      <c r="Y5590" s="171"/>
      <c r="Z5590" s="171"/>
      <c r="AA5590" s="171"/>
    </row>
    <row r="5591" spans="1:27" s="530" customFormat="1" ht="13.5" hidden="1" thickBot="1" x14ac:dyDescent="0.25">
      <c r="A5591" s="526"/>
      <c r="B5591" s="527"/>
      <c r="C5591" s="489"/>
      <c r="D5591" s="464"/>
      <c r="E5591" s="464"/>
      <c r="F5591" s="494">
        <v>523</v>
      </c>
      <c r="G5591" s="495" t="s">
        <v>3837</v>
      </c>
      <c r="H5591" s="397"/>
      <c r="I5591" s="397"/>
      <c r="J5591" s="750" t="e">
        <f t="shared" si="70"/>
        <v>#DIV/0!</v>
      </c>
      <c r="K5591" s="398"/>
      <c r="L5591" s="398"/>
      <c r="M5591" s="682"/>
      <c r="N5591" s="171"/>
      <c r="O5591" s="171"/>
      <c r="P5591" s="171"/>
      <c r="Q5591" s="171"/>
      <c r="R5591" s="171"/>
      <c r="S5591" s="171"/>
      <c r="T5591" s="171"/>
      <c r="U5591" s="171"/>
      <c r="V5591" s="171"/>
      <c r="W5591" s="171"/>
      <c r="X5591" s="171"/>
      <c r="Y5591" s="171"/>
      <c r="Z5591" s="171"/>
      <c r="AA5591" s="171"/>
    </row>
    <row r="5592" spans="1:27" s="530" customFormat="1" ht="13.5" hidden="1" thickBot="1" x14ac:dyDescent="0.25">
      <c r="A5592" s="526"/>
      <c r="B5592" s="527"/>
      <c r="C5592" s="489"/>
      <c r="D5592" s="464"/>
      <c r="E5592" s="464"/>
      <c r="F5592" s="494">
        <v>531</v>
      </c>
      <c r="G5592" s="496" t="s">
        <v>4175</v>
      </c>
      <c r="H5592" s="397"/>
      <c r="I5592" s="397"/>
      <c r="J5592" s="750" t="e">
        <f t="shared" si="70"/>
        <v>#DIV/0!</v>
      </c>
      <c r="K5592" s="398"/>
      <c r="L5592" s="398"/>
      <c r="M5592" s="682"/>
      <c r="N5592" s="171"/>
      <c r="O5592" s="171"/>
      <c r="P5592" s="171"/>
      <c r="Q5592" s="171"/>
      <c r="R5592" s="171"/>
      <c r="S5592" s="171"/>
      <c r="T5592" s="171"/>
      <c r="U5592" s="171"/>
      <c r="V5592" s="171"/>
      <c r="W5592" s="171"/>
      <c r="X5592" s="171"/>
      <c r="Y5592" s="171"/>
      <c r="Z5592" s="171"/>
      <c r="AA5592" s="171"/>
    </row>
    <row r="5593" spans="1:27" s="530" customFormat="1" ht="13.5" hidden="1" thickBot="1" x14ac:dyDescent="0.25">
      <c r="A5593" s="526"/>
      <c r="B5593" s="527"/>
      <c r="C5593" s="489"/>
      <c r="D5593" s="464"/>
      <c r="E5593" s="464"/>
      <c r="F5593" s="494">
        <v>541</v>
      </c>
      <c r="G5593" s="495" t="s">
        <v>4200</v>
      </c>
      <c r="H5593" s="397"/>
      <c r="I5593" s="397"/>
      <c r="J5593" s="750" t="e">
        <f t="shared" si="70"/>
        <v>#DIV/0!</v>
      </c>
      <c r="K5593" s="398"/>
      <c r="L5593" s="398"/>
      <c r="M5593" s="682"/>
      <c r="N5593" s="171"/>
      <c r="O5593" s="171"/>
      <c r="P5593" s="171"/>
      <c r="Q5593" s="171"/>
      <c r="R5593" s="171"/>
      <c r="S5593" s="171"/>
      <c r="T5593" s="171"/>
      <c r="U5593" s="171"/>
      <c r="V5593" s="171"/>
      <c r="W5593" s="171"/>
      <c r="X5593" s="171"/>
      <c r="Y5593" s="171"/>
      <c r="Z5593" s="171"/>
      <c r="AA5593" s="171"/>
    </row>
    <row r="5594" spans="1:27" s="530" customFormat="1" ht="13.5" hidden="1" thickBot="1" x14ac:dyDescent="0.25">
      <c r="A5594" s="526"/>
      <c r="B5594" s="527"/>
      <c r="C5594" s="489"/>
      <c r="D5594" s="464"/>
      <c r="E5594" s="464"/>
      <c r="F5594" s="494">
        <v>542</v>
      </c>
      <c r="G5594" s="495" t="s">
        <v>4201</v>
      </c>
      <c r="H5594" s="397"/>
      <c r="I5594" s="397"/>
      <c r="J5594" s="750" t="e">
        <f t="shared" si="70"/>
        <v>#DIV/0!</v>
      </c>
      <c r="K5594" s="398"/>
      <c r="L5594" s="398"/>
      <c r="M5594" s="682"/>
      <c r="N5594" s="171"/>
      <c r="O5594" s="171"/>
      <c r="P5594" s="171"/>
      <c r="Q5594" s="171"/>
      <c r="R5594" s="171"/>
      <c r="S5594" s="171"/>
      <c r="T5594" s="171"/>
      <c r="U5594" s="171"/>
      <c r="V5594" s="171"/>
      <c r="W5594" s="171"/>
      <c r="X5594" s="171"/>
      <c r="Y5594" s="171"/>
      <c r="Z5594" s="171"/>
      <c r="AA5594" s="171"/>
    </row>
    <row r="5595" spans="1:27" s="530" customFormat="1" ht="13.5" hidden="1" thickBot="1" x14ac:dyDescent="0.25">
      <c r="A5595" s="526"/>
      <c r="B5595" s="527"/>
      <c r="C5595" s="489"/>
      <c r="D5595" s="464"/>
      <c r="E5595" s="464"/>
      <c r="F5595" s="494">
        <v>543</v>
      </c>
      <c r="G5595" s="495" t="s">
        <v>3842</v>
      </c>
      <c r="H5595" s="397"/>
      <c r="I5595" s="397"/>
      <c r="J5595" s="750" t="e">
        <f t="shared" si="70"/>
        <v>#DIV/0!</v>
      </c>
      <c r="K5595" s="398"/>
      <c r="L5595" s="398"/>
      <c r="M5595" s="682"/>
      <c r="N5595" s="171"/>
      <c r="O5595" s="171"/>
      <c r="P5595" s="171"/>
      <c r="Q5595" s="171"/>
      <c r="R5595" s="171"/>
      <c r="S5595" s="171"/>
      <c r="T5595" s="171"/>
      <c r="U5595" s="171"/>
      <c r="V5595" s="171"/>
      <c r="W5595" s="171"/>
      <c r="X5595" s="171"/>
      <c r="Y5595" s="171"/>
      <c r="Z5595" s="171"/>
      <c r="AA5595" s="171"/>
    </row>
    <row r="5596" spans="1:27" s="530" customFormat="1" ht="39" hidden="1" thickBot="1" x14ac:dyDescent="0.25">
      <c r="A5596" s="526"/>
      <c r="B5596" s="527"/>
      <c r="C5596" s="489"/>
      <c r="D5596" s="464"/>
      <c r="E5596" s="464"/>
      <c r="F5596" s="494">
        <v>551</v>
      </c>
      <c r="G5596" s="495" t="s">
        <v>4176</v>
      </c>
      <c r="H5596" s="397"/>
      <c r="I5596" s="397"/>
      <c r="J5596" s="750" t="e">
        <f t="shared" si="70"/>
        <v>#DIV/0!</v>
      </c>
      <c r="K5596" s="398"/>
      <c r="L5596" s="398"/>
      <c r="M5596" s="682"/>
      <c r="N5596" s="171"/>
      <c r="O5596" s="171"/>
      <c r="P5596" s="171"/>
      <c r="Q5596" s="171"/>
      <c r="R5596" s="171"/>
      <c r="S5596" s="171"/>
      <c r="T5596" s="171"/>
      <c r="U5596" s="171"/>
      <c r="V5596" s="171"/>
      <c r="W5596" s="171"/>
      <c r="X5596" s="171"/>
      <c r="Y5596" s="171"/>
      <c r="Z5596" s="171"/>
      <c r="AA5596" s="171"/>
    </row>
    <row r="5597" spans="1:27" s="530" customFormat="1" ht="13.5" hidden="1" thickBot="1" x14ac:dyDescent="0.25">
      <c r="A5597" s="526"/>
      <c r="B5597" s="527"/>
      <c r="C5597" s="489"/>
      <c r="D5597" s="464"/>
      <c r="E5597" s="464"/>
      <c r="F5597" s="498">
        <v>611</v>
      </c>
      <c r="G5597" s="499" t="s">
        <v>3848</v>
      </c>
      <c r="H5597" s="397"/>
      <c r="I5597" s="397"/>
      <c r="J5597" s="750" t="e">
        <f t="shared" si="70"/>
        <v>#DIV/0!</v>
      </c>
      <c r="K5597" s="398"/>
      <c r="L5597" s="398"/>
      <c r="M5597" s="682"/>
      <c r="N5597" s="171"/>
      <c r="O5597" s="171"/>
      <c r="P5597" s="171"/>
      <c r="Q5597" s="171"/>
      <c r="R5597" s="171"/>
      <c r="S5597" s="171"/>
      <c r="T5597" s="171"/>
      <c r="U5597" s="171"/>
      <c r="V5597" s="171"/>
      <c r="W5597" s="171"/>
      <c r="X5597" s="171"/>
      <c r="Y5597" s="171"/>
      <c r="Z5597" s="171"/>
      <c r="AA5597" s="171"/>
    </row>
    <row r="5598" spans="1:27" s="530" customFormat="1" ht="13.5" hidden="1" thickBot="1" x14ac:dyDescent="0.25">
      <c r="A5598" s="526"/>
      <c r="B5598" s="527"/>
      <c r="C5598" s="489"/>
      <c r="D5598" s="464"/>
      <c r="E5598" s="464"/>
      <c r="F5598" s="498">
        <v>620</v>
      </c>
      <c r="G5598" s="499" t="s">
        <v>88</v>
      </c>
      <c r="H5598" s="397"/>
      <c r="I5598" s="397"/>
      <c r="J5598" s="750" t="e">
        <f t="shared" si="70"/>
        <v>#DIV/0!</v>
      </c>
      <c r="K5598" s="398"/>
      <c r="L5598" s="398"/>
      <c r="M5598" s="682"/>
      <c r="N5598" s="171"/>
      <c r="O5598" s="171"/>
      <c r="P5598" s="171"/>
      <c r="Q5598" s="171"/>
      <c r="R5598" s="171"/>
      <c r="S5598" s="171"/>
      <c r="T5598" s="171"/>
      <c r="U5598" s="171"/>
      <c r="V5598" s="171"/>
      <c r="W5598" s="171"/>
      <c r="X5598" s="171"/>
      <c r="Y5598" s="171"/>
      <c r="Z5598" s="171"/>
      <c r="AA5598" s="171"/>
    </row>
    <row r="5599" spans="1:27" s="530" customFormat="1" x14ac:dyDescent="0.2">
      <c r="A5599" s="526"/>
      <c r="B5599" s="527"/>
      <c r="C5599" s="489"/>
      <c r="D5599" s="464"/>
      <c r="E5599" s="500"/>
      <c r="F5599" s="498"/>
      <c r="G5599" s="509" t="s">
        <v>5131</v>
      </c>
      <c r="H5599" s="400"/>
      <c r="I5599" s="400"/>
      <c r="J5599" s="750"/>
      <c r="K5599" s="401"/>
      <c r="L5599" s="402"/>
      <c r="M5599" s="682"/>
      <c r="N5599" s="171"/>
      <c r="O5599" s="171"/>
      <c r="P5599" s="171"/>
      <c r="Q5599" s="171"/>
      <c r="R5599" s="171"/>
      <c r="S5599" s="171"/>
      <c r="T5599" s="171"/>
      <c r="U5599" s="171"/>
      <c r="V5599" s="171"/>
      <c r="W5599" s="171"/>
      <c r="X5599" s="171"/>
      <c r="Y5599" s="171"/>
      <c r="Z5599" s="171"/>
      <c r="AA5599" s="171"/>
    </row>
    <row r="5600" spans="1:27" s="530" customFormat="1" ht="13.5" thickBot="1" x14ac:dyDescent="0.25">
      <c r="A5600" s="526"/>
      <c r="B5600" s="527"/>
      <c r="C5600" s="489"/>
      <c r="D5600" s="464"/>
      <c r="E5600" s="502"/>
      <c r="F5600" s="503" t="s">
        <v>234</v>
      </c>
      <c r="G5600" s="504" t="s">
        <v>235</v>
      </c>
      <c r="H5600" s="403">
        <f>SUM(H5539:H5598)</f>
        <v>3972000</v>
      </c>
      <c r="I5600" s="403">
        <f>SUM(I5574)</f>
        <v>3618935</v>
      </c>
      <c r="J5600" s="750">
        <f t="shared" si="70"/>
        <v>91.11115307150051</v>
      </c>
      <c r="K5600" s="404"/>
      <c r="L5600" s="404"/>
      <c r="M5600" s="682"/>
      <c r="N5600" s="171"/>
      <c r="O5600" s="171"/>
      <c r="P5600" s="171"/>
      <c r="Q5600" s="171"/>
      <c r="R5600" s="171"/>
      <c r="S5600" s="171"/>
      <c r="T5600" s="171"/>
      <c r="U5600" s="171"/>
      <c r="V5600" s="171"/>
      <c r="W5600" s="171"/>
      <c r="X5600" s="171"/>
      <c r="Y5600" s="171"/>
      <c r="Z5600" s="171"/>
      <c r="AA5600" s="171"/>
    </row>
    <row r="5601" spans="1:27" s="530" customFormat="1" ht="13.5" hidden="1" thickBot="1" x14ac:dyDescent="0.25">
      <c r="A5601" s="526"/>
      <c r="B5601" s="527"/>
      <c r="C5601" s="489"/>
      <c r="D5601" s="464"/>
      <c r="E5601" s="464"/>
      <c r="F5601" s="503" t="s">
        <v>236</v>
      </c>
      <c r="G5601" s="504" t="s">
        <v>237</v>
      </c>
      <c r="H5601" s="397"/>
      <c r="I5601" s="397"/>
      <c r="J5601" s="750" t="e">
        <f t="shared" si="70"/>
        <v>#DIV/0!</v>
      </c>
      <c r="K5601" s="398"/>
      <c r="L5601" s="404"/>
      <c r="M5601" s="682"/>
      <c r="N5601" s="171"/>
      <c r="O5601" s="171"/>
      <c r="P5601" s="171"/>
      <c r="Q5601" s="171"/>
      <c r="R5601" s="171"/>
      <c r="S5601" s="171"/>
      <c r="T5601" s="171"/>
      <c r="U5601" s="171"/>
      <c r="V5601" s="171"/>
      <c r="W5601" s="171"/>
      <c r="X5601" s="171"/>
      <c r="Y5601" s="171"/>
      <c r="Z5601" s="171"/>
      <c r="AA5601" s="171"/>
    </row>
    <row r="5602" spans="1:27" s="530" customFormat="1" ht="13.5" hidden="1" thickBot="1" x14ac:dyDescent="0.25">
      <c r="A5602" s="526"/>
      <c r="B5602" s="527"/>
      <c r="C5602" s="489"/>
      <c r="D5602" s="464"/>
      <c r="E5602" s="464"/>
      <c r="F5602" s="503" t="s">
        <v>238</v>
      </c>
      <c r="G5602" s="504" t="s">
        <v>239</v>
      </c>
      <c r="H5602" s="397"/>
      <c r="I5602" s="397"/>
      <c r="J5602" s="750" t="e">
        <f t="shared" si="70"/>
        <v>#DIV/0!</v>
      </c>
      <c r="K5602" s="398"/>
      <c r="L5602" s="404"/>
      <c r="M5602" s="682"/>
      <c r="N5602" s="171"/>
      <c r="O5602" s="171"/>
      <c r="P5602" s="171"/>
      <c r="Q5602" s="171"/>
      <c r="R5602" s="171"/>
      <c r="S5602" s="171"/>
      <c r="T5602" s="171"/>
      <c r="U5602" s="171"/>
      <c r="V5602" s="171"/>
      <c r="W5602" s="171"/>
      <c r="X5602" s="171"/>
      <c r="Y5602" s="171"/>
      <c r="Z5602" s="171"/>
      <c r="AA5602" s="171"/>
    </row>
    <row r="5603" spans="1:27" s="530" customFormat="1" ht="13.5" hidden="1" thickBot="1" x14ac:dyDescent="0.25">
      <c r="A5603" s="526"/>
      <c r="B5603" s="527"/>
      <c r="C5603" s="489"/>
      <c r="D5603" s="464"/>
      <c r="E5603" s="464"/>
      <c r="F5603" s="503" t="s">
        <v>240</v>
      </c>
      <c r="G5603" s="504" t="s">
        <v>241</v>
      </c>
      <c r="H5603" s="397"/>
      <c r="I5603" s="397"/>
      <c r="J5603" s="750" t="e">
        <f t="shared" si="70"/>
        <v>#DIV/0!</v>
      </c>
      <c r="K5603" s="398"/>
      <c r="L5603" s="404"/>
      <c r="M5603" s="682"/>
      <c r="N5603" s="171"/>
      <c r="O5603" s="171"/>
      <c r="P5603" s="171"/>
      <c r="Q5603" s="171"/>
      <c r="R5603" s="171"/>
      <c r="S5603" s="171"/>
      <c r="T5603" s="171"/>
      <c r="U5603" s="171"/>
      <c r="V5603" s="171"/>
      <c r="W5603" s="171"/>
      <c r="X5603" s="171"/>
      <c r="Y5603" s="171"/>
      <c r="Z5603" s="171"/>
      <c r="AA5603" s="171"/>
    </row>
    <row r="5604" spans="1:27" s="530" customFormat="1" ht="13.5" hidden="1" thickBot="1" x14ac:dyDescent="0.25">
      <c r="A5604" s="526"/>
      <c r="B5604" s="527"/>
      <c r="C5604" s="489"/>
      <c r="D5604" s="464"/>
      <c r="E5604" s="464"/>
      <c r="F5604" s="503" t="s">
        <v>242</v>
      </c>
      <c r="G5604" s="504" t="s">
        <v>243</v>
      </c>
      <c r="H5604" s="397"/>
      <c r="I5604" s="397"/>
      <c r="J5604" s="750" t="e">
        <f t="shared" si="70"/>
        <v>#DIV/0!</v>
      </c>
      <c r="K5604" s="398"/>
      <c r="L5604" s="404"/>
      <c r="M5604" s="682"/>
      <c r="N5604" s="171"/>
      <c r="O5604" s="171"/>
      <c r="P5604" s="171"/>
      <c r="Q5604" s="171"/>
      <c r="R5604" s="171"/>
      <c r="S5604" s="171"/>
      <c r="T5604" s="171"/>
      <c r="U5604" s="171"/>
      <c r="V5604" s="171"/>
      <c r="W5604" s="171"/>
      <c r="X5604" s="171"/>
      <c r="Y5604" s="171"/>
      <c r="Z5604" s="171"/>
      <c r="AA5604" s="171"/>
    </row>
    <row r="5605" spans="1:27" s="530" customFormat="1" ht="13.5" hidden="1" thickBot="1" x14ac:dyDescent="0.25">
      <c r="A5605" s="526"/>
      <c r="B5605" s="527"/>
      <c r="C5605" s="489"/>
      <c r="D5605" s="464"/>
      <c r="E5605" s="464"/>
      <c r="F5605" s="503" t="s">
        <v>244</v>
      </c>
      <c r="G5605" s="504" t="s">
        <v>245</v>
      </c>
      <c r="H5605" s="397"/>
      <c r="I5605" s="397"/>
      <c r="J5605" s="750" t="e">
        <f t="shared" si="70"/>
        <v>#DIV/0!</v>
      </c>
      <c r="K5605" s="398"/>
      <c r="L5605" s="404"/>
      <c r="M5605" s="682"/>
      <c r="N5605" s="171"/>
      <c r="O5605" s="171"/>
      <c r="P5605" s="171"/>
      <c r="Q5605" s="171"/>
      <c r="R5605" s="171"/>
      <c r="S5605" s="171"/>
      <c r="T5605" s="171"/>
      <c r="U5605" s="171"/>
      <c r="V5605" s="171"/>
      <c r="W5605" s="171"/>
      <c r="X5605" s="171"/>
      <c r="Y5605" s="171"/>
      <c r="Z5605" s="171"/>
      <c r="AA5605" s="171"/>
    </row>
    <row r="5606" spans="1:27" s="530" customFormat="1" ht="13.5" hidden="1" thickBot="1" x14ac:dyDescent="0.25">
      <c r="A5606" s="526"/>
      <c r="B5606" s="527"/>
      <c r="C5606" s="489"/>
      <c r="D5606" s="464"/>
      <c r="E5606" s="464"/>
      <c r="F5606" s="503" t="s">
        <v>246</v>
      </c>
      <c r="G5606" s="504" t="s">
        <v>247</v>
      </c>
      <c r="H5606" s="397"/>
      <c r="I5606" s="397"/>
      <c r="J5606" s="750" t="e">
        <f t="shared" si="70"/>
        <v>#DIV/0!</v>
      </c>
      <c r="K5606" s="398"/>
      <c r="L5606" s="404"/>
      <c r="M5606" s="682"/>
      <c r="N5606" s="171"/>
      <c r="O5606" s="171"/>
      <c r="P5606" s="171"/>
      <c r="Q5606" s="171"/>
      <c r="R5606" s="171"/>
      <c r="S5606" s="171"/>
      <c r="T5606" s="171"/>
      <c r="U5606" s="171"/>
      <c r="V5606" s="171"/>
      <c r="W5606" s="171"/>
      <c r="X5606" s="171"/>
      <c r="Y5606" s="171"/>
      <c r="Z5606" s="171"/>
      <c r="AA5606" s="171"/>
    </row>
    <row r="5607" spans="1:27" s="530" customFormat="1" ht="26.25" hidden="1" thickBot="1" x14ac:dyDescent="0.25">
      <c r="A5607" s="526"/>
      <c r="B5607" s="527"/>
      <c r="C5607" s="489"/>
      <c r="D5607" s="464"/>
      <c r="E5607" s="464"/>
      <c r="F5607" s="503" t="s">
        <v>248</v>
      </c>
      <c r="G5607" s="504" t="s">
        <v>249</v>
      </c>
      <c r="H5607" s="397"/>
      <c r="I5607" s="397"/>
      <c r="J5607" s="750" t="e">
        <f t="shared" si="70"/>
        <v>#DIV/0!</v>
      </c>
      <c r="K5607" s="398"/>
      <c r="L5607" s="404"/>
      <c r="M5607" s="682"/>
      <c r="N5607" s="171"/>
      <c r="O5607" s="171"/>
      <c r="P5607" s="171"/>
      <c r="Q5607" s="171"/>
      <c r="R5607" s="171"/>
      <c r="S5607" s="171"/>
      <c r="T5607" s="171"/>
      <c r="U5607" s="171"/>
      <c r="V5607" s="171"/>
      <c r="W5607" s="171"/>
      <c r="X5607" s="171"/>
      <c r="Y5607" s="171"/>
      <c r="Z5607" s="171"/>
      <c r="AA5607" s="171"/>
    </row>
    <row r="5608" spans="1:27" s="530" customFormat="1" ht="13.5" hidden="1" thickBot="1" x14ac:dyDescent="0.25">
      <c r="A5608" s="526"/>
      <c r="B5608" s="527"/>
      <c r="C5608" s="489"/>
      <c r="D5608" s="464"/>
      <c r="E5608" s="464"/>
      <c r="F5608" s="503" t="s">
        <v>250</v>
      </c>
      <c r="G5608" s="504" t="s">
        <v>57</v>
      </c>
      <c r="H5608" s="397"/>
      <c r="I5608" s="397"/>
      <c r="J5608" s="750" t="e">
        <f t="shared" si="70"/>
        <v>#DIV/0!</v>
      </c>
      <c r="K5608" s="398"/>
      <c r="L5608" s="404"/>
      <c r="M5608" s="682"/>
      <c r="N5608" s="171"/>
      <c r="O5608" s="171"/>
      <c r="P5608" s="171"/>
      <c r="Q5608" s="171"/>
      <c r="R5608" s="171"/>
      <c r="S5608" s="171"/>
      <c r="T5608" s="171"/>
      <c r="U5608" s="171"/>
      <c r="V5608" s="171"/>
      <c r="W5608" s="171"/>
      <c r="X5608" s="171"/>
      <c r="Y5608" s="171"/>
      <c r="Z5608" s="171"/>
      <c r="AA5608" s="171"/>
    </row>
    <row r="5609" spans="1:27" s="530" customFormat="1" ht="13.5" hidden="1" thickBot="1" x14ac:dyDescent="0.25">
      <c r="A5609" s="526"/>
      <c r="B5609" s="527"/>
      <c r="C5609" s="489"/>
      <c r="D5609" s="464"/>
      <c r="E5609" s="464"/>
      <c r="F5609" s="503" t="s">
        <v>251</v>
      </c>
      <c r="G5609" s="504" t="s">
        <v>252</v>
      </c>
      <c r="H5609" s="397"/>
      <c r="I5609" s="397"/>
      <c r="J5609" s="750" t="e">
        <f t="shared" si="70"/>
        <v>#DIV/0!</v>
      </c>
      <c r="K5609" s="398"/>
      <c r="L5609" s="404"/>
      <c r="M5609" s="682"/>
      <c r="N5609" s="171"/>
      <c r="O5609" s="171"/>
      <c r="P5609" s="171"/>
      <c r="Q5609" s="171"/>
      <c r="R5609" s="171"/>
      <c r="S5609" s="171"/>
      <c r="T5609" s="171"/>
      <c r="U5609" s="171"/>
      <c r="V5609" s="171"/>
      <c r="W5609" s="171"/>
      <c r="X5609" s="171"/>
      <c r="Y5609" s="171"/>
      <c r="Z5609" s="171"/>
      <c r="AA5609" s="171"/>
    </row>
    <row r="5610" spans="1:27" s="530" customFormat="1" ht="13.5" hidden="1" thickBot="1" x14ac:dyDescent="0.25">
      <c r="A5610" s="526"/>
      <c r="B5610" s="527"/>
      <c r="C5610" s="489"/>
      <c r="D5610" s="464"/>
      <c r="E5610" s="464"/>
      <c r="F5610" s="503" t="s">
        <v>253</v>
      </c>
      <c r="G5610" s="504" t="s">
        <v>254</v>
      </c>
      <c r="H5610" s="397"/>
      <c r="I5610" s="397"/>
      <c r="J5610" s="750" t="e">
        <f t="shared" si="70"/>
        <v>#DIV/0!</v>
      </c>
      <c r="K5610" s="398"/>
      <c r="L5610" s="404"/>
      <c r="M5610" s="682"/>
      <c r="N5610" s="171"/>
      <c r="O5610" s="171"/>
      <c r="P5610" s="171"/>
      <c r="Q5610" s="171"/>
      <c r="R5610" s="171"/>
      <c r="S5610" s="171"/>
      <c r="T5610" s="171"/>
      <c r="U5610" s="171"/>
      <c r="V5610" s="171"/>
      <c r="W5610" s="171"/>
      <c r="X5610" s="171"/>
      <c r="Y5610" s="171"/>
      <c r="Z5610" s="171"/>
      <c r="AA5610" s="171"/>
    </row>
    <row r="5611" spans="1:27" s="530" customFormat="1" ht="26.25" hidden="1" thickBot="1" x14ac:dyDescent="0.25">
      <c r="A5611" s="526"/>
      <c r="B5611" s="527"/>
      <c r="C5611" s="489"/>
      <c r="D5611" s="464"/>
      <c r="E5611" s="464"/>
      <c r="F5611" s="503" t="s">
        <v>255</v>
      </c>
      <c r="G5611" s="504" t="s">
        <v>256</v>
      </c>
      <c r="H5611" s="397"/>
      <c r="I5611" s="397"/>
      <c r="J5611" s="750" t="e">
        <f t="shared" si="70"/>
        <v>#DIV/0!</v>
      </c>
      <c r="K5611" s="398"/>
      <c r="L5611" s="404"/>
      <c r="M5611" s="682"/>
      <c r="N5611" s="171"/>
      <c r="O5611" s="171"/>
      <c r="P5611" s="171"/>
      <c r="Q5611" s="171"/>
      <c r="R5611" s="171"/>
      <c r="S5611" s="171"/>
      <c r="T5611" s="171"/>
      <c r="U5611" s="171"/>
      <c r="V5611" s="171"/>
      <c r="W5611" s="171"/>
      <c r="X5611" s="171"/>
      <c r="Y5611" s="171"/>
      <c r="Z5611" s="171"/>
      <c r="AA5611" s="171"/>
    </row>
    <row r="5612" spans="1:27" s="530" customFormat="1" ht="26.25" hidden="1" thickBot="1" x14ac:dyDescent="0.25">
      <c r="A5612" s="526"/>
      <c r="B5612" s="527"/>
      <c r="C5612" s="489"/>
      <c r="D5612" s="464"/>
      <c r="E5612" s="464"/>
      <c r="F5612" s="503" t="s">
        <v>257</v>
      </c>
      <c r="G5612" s="504" t="s">
        <v>258</v>
      </c>
      <c r="H5612" s="397"/>
      <c r="I5612" s="397"/>
      <c r="J5612" s="750" t="e">
        <f t="shared" si="70"/>
        <v>#DIV/0!</v>
      </c>
      <c r="K5612" s="398"/>
      <c r="L5612" s="404"/>
      <c r="M5612" s="682"/>
      <c r="N5612" s="171"/>
      <c r="O5612" s="171"/>
      <c r="P5612" s="171"/>
      <c r="Q5612" s="171"/>
      <c r="R5612" s="171"/>
      <c r="S5612" s="171"/>
      <c r="T5612" s="171"/>
      <c r="U5612" s="171"/>
      <c r="V5612" s="171"/>
      <c r="W5612" s="171"/>
      <c r="X5612" s="171"/>
      <c r="Y5612" s="171"/>
      <c r="Z5612" s="171"/>
      <c r="AA5612" s="171"/>
    </row>
    <row r="5613" spans="1:27" s="530" customFormat="1" ht="26.25" hidden="1" thickBot="1" x14ac:dyDescent="0.25">
      <c r="A5613" s="526"/>
      <c r="B5613" s="527"/>
      <c r="C5613" s="489"/>
      <c r="D5613" s="464"/>
      <c r="E5613" s="464"/>
      <c r="F5613" s="503" t="s">
        <v>259</v>
      </c>
      <c r="G5613" s="504" t="s">
        <v>260</v>
      </c>
      <c r="H5613" s="397"/>
      <c r="I5613" s="397"/>
      <c r="J5613" s="750" t="e">
        <f t="shared" si="70"/>
        <v>#DIV/0!</v>
      </c>
      <c r="K5613" s="398"/>
      <c r="L5613" s="404"/>
      <c r="M5613" s="682"/>
      <c r="N5613" s="171"/>
      <c r="O5613" s="171"/>
      <c r="P5613" s="171"/>
      <c r="Q5613" s="171"/>
      <c r="R5613" s="171"/>
      <c r="S5613" s="171"/>
      <c r="T5613" s="171"/>
      <c r="U5613" s="171"/>
      <c r="V5613" s="171"/>
      <c r="W5613" s="171"/>
      <c r="X5613" s="171"/>
      <c r="Y5613" s="171"/>
      <c r="Z5613" s="171"/>
      <c r="AA5613" s="171"/>
    </row>
    <row r="5614" spans="1:27" s="530" customFormat="1" ht="26.25" hidden="1" thickBot="1" x14ac:dyDescent="0.25">
      <c r="A5614" s="526"/>
      <c r="B5614" s="527"/>
      <c r="C5614" s="489"/>
      <c r="D5614" s="464"/>
      <c r="E5614" s="464"/>
      <c r="F5614" s="503" t="s">
        <v>261</v>
      </c>
      <c r="G5614" s="504" t="s">
        <v>262</v>
      </c>
      <c r="H5614" s="397"/>
      <c r="I5614" s="397"/>
      <c r="J5614" s="750" t="e">
        <f t="shared" si="70"/>
        <v>#DIV/0!</v>
      </c>
      <c r="K5614" s="398"/>
      <c r="L5614" s="404"/>
      <c r="M5614" s="682"/>
      <c r="N5614" s="171"/>
      <c r="O5614" s="171"/>
      <c r="P5614" s="171"/>
      <c r="Q5614" s="171"/>
      <c r="R5614" s="171"/>
      <c r="S5614" s="171"/>
      <c r="T5614" s="171"/>
      <c r="U5614" s="171"/>
      <c r="V5614" s="171"/>
      <c r="W5614" s="171"/>
      <c r="X5614" s="171"/>
      <c r="Y5614" s="171"/>
      <c r="Z5614" s="171"/>
      <c r="AA5614" s="171"/>
    </row>
    <row r="5615" spans="1:27" s="530" customFormat="1" ht="13.5" hidden="1" thickBot="1" x14ac:dyDescent="0.25">
      <c r="A5615" s="526"/>
      <c r="B5615" s="527"/>
      <c r="C5615" s="489"/>
      <c r="D5615" s="464"/>
      <c r="E5615" s="464"/>
      <c r="F5615" s="503" t="s">
        <v>263</v>
      </c>
      <c r="G5615" s="504" t="s">
        <v>264</v>
      </c>
      <c r="H5615" s="403"/>
      <c r="I5615" s="403"/>
      <c r="J5615" s="750" t="e">
        <f t="shared" si="70"/>
        <v>#DIV/0!</v>
      </c>
      <c r="K5615" s="404"/>
      <c r="L5615" s="404"/>
      <c r="M5615" s="682"/>
      <c r="N5615" s="171"/>
      <c r="O5615" s="171"/>
      <c r="P5615" s="171"/>
      <c r="Q5615" s="171"/>
      <c r="R5615" s="171"/>
      <c r="S5615" s="171"/>
      <c r="T5615" s="171"/>
      <c r="U5615" s="171"/>
      <c r="V5615" s="171"/>
      <c r="W5615" s="171"/>
      <c r="X5615" s="171"/>
      <c r="Y5615" s="171"/>
      <c r="Z5615" s="171"/>
      <c r="AA5615" s="171"/>
    </row>
    <row r="5616" spans="1:27" s="530" customFormat="1" ht="13.5" thickBot="1" x14ac:dyDescent="0.25">
      <c r="A5616" s="526"/>
      <c r="B5616" s="527"/>
      <c r="C5616" s="489"/>
      <c r="D5616" s="464"/>
      <c r="E5616" s="464"/>
      <c r="F5616" s="464"/>
      <c r="G5616" s="505" t="s">
        <v>5132</v>
      </c>
      <c r="H5616" s="405">
        <f>SUM(H5600:H5615)</f>
        <v>3972000</v>
      </c>
      <c r="I5616" s="405">
        <f>SUM(I5600)</f>
        <v>3618935</v>
      </c>
      <c r="J5616" s="750">
        <f t="shared" si="70"/>
        <v>91.11115307150051</v>
      </c>
      <c r="K5616" s="406">
        <f>SUM(K5601:K5615)</f>
        <v>0</v>
      </c>
      <c r="L5616" s="406"/>
      <c r="M5616" s="682"/>
      <c r="N5616" s="171"/>
      <c r="O5616" s="171"/>
      <c r="P5616" s="171"/>
      <c r="Q5616" s="171"/>
      <c r="R5616" s="171"/>
      <c r="S5616" s="171"/>
      <c r="T5616" s="171"/>
      <c r="U5616" s="171"/>
      <c r="V5616" s="171"/>
      <c r="W5616" s="171"/>
      <c r="X5616" s="171"/>
      <c r="Y5616" s="171"/>
      <c r="Z5616" s="171"/>
      <c r="AA5616" s="171"/>
    </row>
    <row r="5617" spans="1:27" s="530" customFormat="1" ht="17.25" customHeight="1" x14ac:dyDescent="0.2">
      <c r="A5617" s="526"/>
      <c r="B5617" s="527"/>
      <c r="C5617" s="489"/>
      <c r="D5617" s="464"/>
      <c r="E5617" s="500"/>
      <c r="F5617" s="498"/>
      <c r="G5617" s="506" t="s">
        <v>5133</v>
      </c>
      <c r="H5617" s="407"/>
      <c r="I5617" s="408"/>
      <c r="J5617" s="750"/>
      <c r="K5617" s="409"/>
      <c r="L5617" s="410"/>
      <c r="M5617" s="682"/>
      <c r="N5617" s="171"/>
      <c r="O5617" s="171"/>
      <c r="P5617" s="171"/>
      <c r="Q5617" s="171"/>
      <c r="R5617" s="171"/>
      <c r="S5617" s="171"/>
      <c r="T5617" s="171"/>
      <c r="U5617" s="171"/>
      <c r="V5617" s="171"/>
      <c r="W5617" s="171"/>
      <c r="X5617" s="171"/>
      <c r="Y5617" s="171"/>
      <c r="Z5617" s="171"/>
      <c r="AA5617" s="171"/>
    </row>
    <row r="5618" spans="1:27" s="530" customFormat="1" ht="13.5" thickBot="1" x14ac:dyDescent="0.25">
      <c r="A5618" s="526"/>
      <c r="B5618" s="527"/>
      <c r="C5618" s="489"/>
      <c r="D5618" s="464"/>
      <c r="E5618" s="502"/>
      <c r="F5618" s="503" t="s">
        <v>234</v>
      </c>
      <c r="G5618" s="504" t="s">
        <v>235</v>
      </c>
      <c r="H5618" s="403">
        <f>SUM(H5539:H5598)</f>
        <v>3972000</v>
      </c>
      <c r="I5618" s="403">
        <f>SUM(I5616)</f>
        <v>3618935</v>
      </c>
      <c r="J5618" s="750">
        <f t="shared" si="70"/>
        <v>91.11115307150051</v>
      </c>
      <c r="K5618" s="404"/>
      <c r="L5618" s="404"/>
      <c r="M5618" s="682"/>
      <c r="N5618" s="171"/>
      <c r="O5618" s="171"/>
      <c r="P5618" s="171"/>
      <c r="Q5618" s="171"/>
      <c r="R5618" s="171"/>
      <c r="S5618" s="171"/>
      <c r="T5618" s="171"/>
      <c r="U5618" s="171"/>
      <c r="V5618" s="171"/>
      <c r="W5618" s="171"/>
      <c r="X5618" s="171"/>
      <c r="Y5618" s="171"/>
      <c r="Z5618" s="171"/>
      <c r="AA5618" s="171"/>
    </row>
    <row r="5619" spans="1:27" s="530" customFormat="1" ht="13.5" hidden="1" thickBot="1" x14ac:dyDescent="0.25">
      <c r="A5619" s="526"/>
      <c r="B5619" s="527"/>
      <c r="C5619" s="489"/>
      <c r="D5619" s="464"/>
      <c r="E5619" s="464"/>
      <c r="F5619" s="503" t="s">
        <v>236</v>
      </c>
      <c r="G5619" s="504" t="s">
        <v>237</v>
      </c>
      <c r="H5619" s="397"/>
      <c r="I5619" s="397"/>
      <c r="J5619" s="750" t="e">
        <f t="shared" si="70"/>
        <v>#DIV/0!</v>
      </c>
      <c r="K5619" s="398"/>
      <c r="L5619" s="404"/>
      <c r="M5619" s="682"/>
      <c r="N5619" s="171"/>
      <c r="O5619" s="171"/>
      <c r="P5619" s="171"/>
      <c r="Q5619" s="171"/>
      <c r="R5619" s="171"/>
      <c r="S5619" s="171"/>
      <c r="T5619" s="171"/>
      <c r="U5619" s="171"/>
      <c r="V5619" s="171"/>
      <c r="W5619" s="171"/>
      <c r="X5619" s="171"/>
      <c r="Y5619" s="171"/>
      <c r="Z5619" s="171"/>
      <c r="AA5619" s="171"/>
    </row>
    <row r="5620" spans="1:27" s="530" customFormat="1" ht="13.5" hidden="1" thickBot="1" x14ac:dyDescent="0.25">
      <c r="A5620" s="526"/>
      <c r="B5620" s="527"/>
      <c r="C5620" s="489"/>
      <c r="D5620" s="464"/>
      <c r="E5620" s="464"/>
      <c r="F5620" s="503" t="s">
        <v>238</v>
      </c>
      <c r="G5620" s="504" t="s">
        <v>239</v>
      </c>
      <c r="H5620" s="397"/>
      <c r="I5620" s="397"/>
      <c r="J5620" s="750" t="e">
        <f t="shared" si="70"/>
        <v>#DIV/0!</v>
      </c>
      <c r="K5620" s="398"/>
      <c r="L5620" s="404"/>
      <c r="M5620" s="682"/>
      <c r="N5620" s="171"/>
      <c r="O5620" s="171"/>
      <c r="P5620" s="171"/>
      <c r="Q5620" s="171"/>
      <c r="R5620" s="171"/>
      <c r="S5620" s="171"/>
      <c r="T5620" s="171"/>
      <c r="U5620" s="171"/>
      <c r="V5620" s="171"/>
      <c r="W5620" s="171"/>
      <c r="X5620" s="171"/>
      <c r="Y5620" s="171"/>
      <c r="Z5620" s="171"/>
      <c r="AA5620" s="171"/>
    </row>
    <row r="5621" spans="1:27" s="530" customFormat="1" ht="13.5" hidden="1" thickBot="1" x14ac:dyDescent="0.25">
      <c r="A5621" s="526"/>
      <c r="B5621" s="527"/>
      <c r="C5621" s="489"/>
      <c r="D5621" s="464"/>
      <c r="E5621" s="464"/>
      <c r="F5621" s="503" t="s">
        <v>240</v>
      </c>
      <c r="G5621" s="504" t="s">
        <v>241</v>
      </c>
      <c r="H5621" s="397"/>
      <c r="I5621" s="397"/>
      <c r="J5621" s="750" t="e">
        <f t="shared" si="70"/>
        <v>#DIV/0!</v>
      </c>
      <c r="K5621" s="398"/>
      <c r="L5621" s="404"/>
      <c r="M5621" s="682"/>
      <c r="N5621" s="171"/>
      <c r="O5621" s="171"/>
      <c r="P5621" s="171"/>
      <c r="Q5621" s="171"/>
      <c r="R5621" s="171"/>
      <c r="S5621" s="171"/>
      <c r="T5621" s="171"/>
      <c r="U5621" s="171"/>
      <c r="V5621" s="171"/>
      <c r="W5621" s="171"/>
      <c r="X5621" s="171"/>
      <c r="Y5621" s="171"/>
      <c r="Z5621" s="171"/>
      <c r="AA5621" s="171"/>
    </row>
    <row r="5622" spans="1:27" s="530" customFormat="1" ht="13.5" hidden="1" thickBot="1" x14ac:dyDescent="0.25">
      <c r="A5622" s="526"/>
      <c r="B5622" s="527"/>
      <c r="C5622" s="489"/>
      <c r="D5622" s="464"/>
      <c r="E5622" s="464"/>
      <c r="F5622" s="503" t="s">
        <v>242</v>
      </c>
      <c r="G5622" s="504" t="s">
        <v>243</v>
      </c>
      <c r="H5622" s="397"/>
      <c r="I5622" s="397"/>
      <c r="J5622" s="750" t="e">
        <f t="shared" si="70"/>
        <v>#DIV/0!</v>
      </c>
      <c r="K5622" s="398"/>
      <c r="L5622" s="404"/>
      <c r="M5622" s="682"/>
      <c r="N5622" s="171"/>
      <c r="O5622" s="171"/>
      <c r="P5622" s="171"/>
      <c r="Q5622" s="171"/>
      <c r="R5622" s="171"/>
      <c r="S5622" s="171"/>
      <c r="T5622" s="171"/>
      <c r="U5622" s="171"/>
      <c r="V5622" s="171"/>
      <c r="W5622" s="171"/>
      <c r="X5622" s="171"/>
      <c r="Y5622" s="171"/>
      <c r="Z5622" s="171"/>
      <c r="AA5622" s="171"/>
    </row>
    <row r="5623" spans="1:27" s="530" customFormat="1" ht="13.5" hidden="1" thickBot="1" x14ac:dyDescent="0.25">
      <c r="A5623" s="526"/>
      <c r="B5623" s="527"/>
      <c r="C5623" s="489"/>
      <c r="D5623" s="464"/>
      <c r="E5623" s="464"/>
      <c r="F5623" s="503" t="s">
        <v>244</v>
      </c>
      <c r="G5623" s="504" t="s">
        <v>245</v>
      </c>
      <c r="H5623" s="397"/>
      <c r="I5623" s="397"/>
      <c r="J5623" s="750" t="e">
        <f t="shared" si="70"/>
        <v>#DIV/0!</v>
      </c>
      <c r="K5623" s="398"/>
      <c r="L5623" s="404"/>
      <c r="M5623" s="682"/>
      <c r="N5623" s="171"/>
      <c r="O5623" s="171"/>
      <c r="P5623" s="171"/>
      <c r="Q5623" s="171"/>
      <c r="R5623" s="171"/>
      <c r="S5623" s="171"/>
      <c r="T5623" s="171"/>
      <c r="U5623" s="171"/>
      <c r="V5623" s="171"/>
      <c r="W5623" s="171"/>
      <c r="X5623" s="171"/>
      <c r="Y5623" s="171"/>
      <c r="Z5623" s="171"/>
      <c r="AA5623" s="171"/>
    </row>
    <row r="5624" spans="1:27" s="530" customFormat="1" ht="13.5" hidden="1" thickBot="1" x14ac:dyDescent="0.25">
      <c r="A5624" s="526"/>
      <c r="B5624" s="527"/>
      <c r="C5624" s="489"/>
      <c r="D5624" s="464"/>
      <c r="E5624" s="464"/>
      <c r="F5624" s="503" t="s">
        <v>246</v>
      </c>
      <c r="G5624" s="504" t="s">
        <v>247</v>
      </c>
      <c r="H5624" s="397"/>
      <c r="I5624" s="397"/>
      <c r="J5624" s="750" t="e">
        <f t="shared" si="70"/>
        <v>#DIV/0!</v>
      </c>
      <c r="K5624" s="398"/>
      <c r="L5624" s="404"/>
      <c r="M5624" s="682"/>
      <c r="N5624" s="171"/>
      <c r="O5624" s="171"/>
      <c r="P5624" s="171"/>
      <c r="Q5624" s="171"/>
      <c r="R5624" s="171"/>
      <c r="S5624" s="171"/>
      <c r="T5624" s="171"/>
      <c r="U5624" s="171"/>
      <c r="V5624" s="171"/>
      <c r="W5624" s="171"/>
      <c r="X5624" s="171"/>
      <c r="Y5624" s="171"/>
      <c r="Z5624" s="171"/>
      <c r="AA5624" s="171"/>
    </row>
    <row r="5625" spans="1:27" s="530" customFormat="1" ht="26.25" hidden="1" thickBot="1" x14ac:dyDescent="0.25">
      <c r="A5625" s="526"/>
      <c r="B5625" s="527"/>
      <c r="C5625" s="489"/>
      <c r="D5625" s="464"/>
      <c r="E5625" s="464"/>
      <c r="F5625" s="503" t="s">
        <v>248</v>
      </c>
      <c r="G5625" s="504" t="s">
        <v>249</v>
      </c>
      <c r="H5625" s="397"/>
      <c r="I5625" s="397"/>
      <c r="J5625" s="750" t="e">
        <f t="shared" si="70"/>
        <v>#DIV/0!</v>
      </c>
      <c r="K5625" s="398"/>
      <c r="L5625" s="404"/>
      <c r="M5625" s="682"/>
      <c r="N5625" s="171"/>
      <c r="O5625" s="171"/>
      <c r="P5625" s="171"/>
      <c r="Q5625" s="171"/>
      <c r="R5625" s="171"/>
      <c r="S5625" s="171"/>
      <c r="T5625" s="171"/>
      <c r="U5625" s="171"/>
      <c r="V5625" s="171"/>
      <c r="W5625" s="171"/>
      <c r="X5625" s="171"/>
      <c r="Y5625" s="171"/>
      <c r="Z5625" s="171"/>
      <c r="AA5625" s="171"/>
    </row>
    <row r="5626" spans="1:27" s="530" customFormat="1" ht="13.5" hidden="1" thickBot="1" x14ac:dyDescent="0.25">
      <c r="A5626" s="526"/>
      <c r="B5626" s="527"/>
      <c r="C5626" s="489"/>
      <c r="D5626" s="464"/>
      <c r="E5626" s="464"/>
      <c r="F5626" s="503" t="s">
        <v>250</v>
      </c>
      <c r="G5626" s="504" t="s">
        <v>57</v>
      </c>
      <c r="H5626" s="397"/>
      <c r="I5626" s="397"/>
      <c r="J5626" s="750" t="e">
        <f t="shared" si="70"/>
        <v>#DIV/0!</v>
      </c>
      <c r="K5626" s="398"/>
      <c r="L5626" s="404"/>
      <c r="M5626" s="682"/>
      <c r="N5626" s="171"/>
      <c r="O5626" s="171"/>
      <c r="P5626" s="171"/>
      <c r="Q5626" s="171"/>
      <c r="R5626" s="171"/>
      <c r="S5626" s="171"/>
      <c r="T5626" s="171"/>
      <c r="U5626" s="171"/>
      <c r="V5626" s="171"/>
      <c r="W5626" s="171"/>
      <c r="X5626" s="171"/>
      <c r="Y5626" s="171"/>
      <c r="Z5626" s="171"/>
      <c r="AA5626" s="171"/>
    </row>
    <row r="5627" spans="1:27" s="530" customFormat="1" ht="13.5" hidden="1" thickBot="1" x14ac:dyDescent="0.25">
      <c r="A5627" s="526"/>
      <c r="B5627" s="527"/>
      <c r="C5627" s="489"/>
      <c r="D5627" s="464"/>
      <c r="E5627" s="464"/>
      <c r="F5627" s="503" t="s">
        <v>251</v>
      </c>
      <c r="G5627" s="504" t="s">
        <v>252</v>
      </c>
      <c r="H5627" s="397"/>
      <c r="I5627" s="397"/>
      <c r="J5627" s="750" t="e">
        <f t="shared" si="70"/>
        <v>#DIV/0!</v>
      </c>
      <c r="K5627" s="398"/>
      <c r="L5627" s="404"/>
      <c r="M5627" s="682"/>
      <c r="N5627" s="171"/>
      <c r="O5627" s="171"/>
      <c r="P5627" s="171"/>
      <c r="Q5627" s="171"/>
      <c r="R5627" s="171"/>
      <c r="S5627" s="171"/>
      <c r="T5627" s="171"/>
      <c r="U5627" s="171"/>
      <c r="V5627" s="171"/>
      <c r="W5627" s="171"/>
      <c r="X5627" s="171"/>
      <c r="Y5627" s="171"/>
      <c r="Z5627" s="171"/>
      <c r="AA5627" s="171"/>
    </row>
    <row r="5628" spans="1:27" s="530" customFormat="1" ht="13.5" hidden="1" thickBot="1" x14ac:dyDescent="0.25">
      <c r="A5628" s="526"/>
      <c r="B5628" s="527"/>
      <c r="C5628" s="489"/>
      <c r="D5628" s="464"/>
      <c r="E5628" s="464"/>
      <c r="F5628" s="503" t="s">
        <v>253</v>
      </c>
      <c r="G5628" s="504" t="s">
        <v>254</v>
      </c>
      <c r="H5628" s="397"/>
      <c r="I5628" s="397"/>
      <c r="J5628" s="750" t="e">
        <f t="shared" si="70"/>
        <v>#DIV/0!</v>
      </c>
      <c r="K5628" s="398"/>
      <c r="L5628" s="404"/>
      <c r="M5628" s="682"/>
      <c r="N5628" s="171"/>
      <c r="O5628" s="171"/>
      <c r="P5628" s="171"/>
      <c r="Q5628" s="171"/>
      <c r="R5628" s="171"/>
      <c r="S5628" s="171"/>
      <c r="T5628" s="171"/>
      <c r="U5628" s="171"/>
      <c r="V5628" s="171"/>
      <c r="W5628" s="171"/>
      <c r="X5628" s="171"/>
      <c r="Y5628" s="171"/>
      <c r="Z5628" s="171"/>
      <c r="AA5628" s="171"/>
    </row>
    <row r="5629" spans="1:27" s="530" customFormat="1" ht="26.25" hidden="1" thickBot="1" x14ac:dyDescent="0.25">
      <c r="A5629" s="526"/>
      <c r="B5629" s="527"/>
      <c r="C5629" s="489"/>
      <c r="D5629" s="464"/>
      <c r="E5629" s="464"/>
      <c r="F5629" s="503" t="s">
        <v>255</v>
      </c>
      <c r="G5629" s="504" t="s">
        <v>256</v>
      </c>
      <c r="H5629" s="397"/>
      <c r="I5629" s="397"/>
      <c r="J5629" s="750" t="e">
        <f t="shared" si="70"/>
        <v>#DIV/0!</v>
      </c>
      <c r="K5629" s="398"/>
      <c r="L5629" s="404"/>
      <c r="M5629" s="682"/>
      <c r="N5629" s="171"/>
      <c r="O5629" s="171"/>
      <c r="P5629" s="171"/>
      <c r="Q5629" s="171"/>
      <c r="R5629" s="171"/>
      <c r="S5629" s="171"/>
      <c r="T5629" s="171"/>
      <c r="U5629" s="171"/>
      <c r="V5629" s="171"/>
      <c r="W5629" s="171"/>
      <c r="X5629" s="171"/>
      <c r="Y5629" s="171"/>
      <c r="Z5629" s="171"/>
      <c r="AA5629" s="171"/>
    </row>
    <row r="5630" spans="1:27" s="530" customFormat="1" ht="26.25" hidden="1" thickBot="1" x14ac:dyDescent="0.25">
      <c r="A5630" s="526"/>
      <c r="B5630" s="527"/>
      <c r="C5630" s="489"/>
      <c r="D5630" s="464"/>
      <c r="E5630" s="464"/>
      <c r="F5630" s="503" t="s">
        <v>257</v>
      </c>
      <c r="G5630" s="504" t="s">
        <v>258</v>
      </c>
      <c r="H5630" s="397"/>
      <c r="I5630" s="397"/>
      <c r="J5630" s="750" t="e">
        <f t="shared" si="70"/>
        <v>#DIV/0!</v>
      </c>
      <c r="K5630" s="398"/>
      <c r="L5630" s="404"/>
      <c r="M5630" s="682"/>
      <c r="N5630" s="171"/>
      <c r="O5630" s="171"/>
      <c r="P5630" s="171"/>
      <c r="Q5630" s="171"/>
      <c r="R5630" s="171"/>
      <c r="S5630" s="171"/>
      <c r="T5630" s="171"/>
      <c r="U5630" s="171"/>
      <c r="V5630" s="171"/>
      <c r="W5630" s="171"/>
      <c r="X5630" s="171"/>
      <c r="Y5630" s="171"/>
      <c r="Z5630" s="171"/>
      <c r="AA5630" s="171"/>
    </row>
    <row r="5631" spans="1:27" s="530" customFormat="1" ht="26.25" hidden="1" thickBot="1" x14ac:dyDescent="0.25">
      <c r="A5631" s="526"/>
      <c r="B5631" s="527"/>
      <c r="C5631" s="489"/>
      <c r="D5631" s="464"/>
      <c r="E5631" s="464"/>
      <c r="F5631" s="503" t="s">
        <v>259</v>
      </c>
      <c r="G5631" s="504" t="s">
        <v>260</v>
      </c>
      <c r="H5631" s="397"/>
      <c r="I5631" s="397"/>
      <c r="J5631" s="750" t="e">
        <f t="shared" si="70"/>
        <v>#DIV/0!</v>
      </c>
      <c r="K5631" s="398"/>
      <c r="L5631" s="404"/>
      <c r="M5631" s="682"/>
      <c r="N5631" s="171"/>
      <c r="O5631" s="171"/>
      <c r="P5631" s="171"/>
      <c r="Q5631" s="171"/>
      <c r="R5631" s="171"/>
      <c r="S5631" s="171"/>
      <c r="T5631" s="171"/>
      <c r="U5631" s="171"/>
      <c r="V5631" s="171"/>
      <c r="W5631" s="171"/>
      <c r="X5631" s="171"/>
      <c r="Y5631" s="171"/>
      <c r="Z5631" s="171"/>
      <c r="AA5631" s="171"/>
    </row>
    <row r="5632" spans="1:27" s="530" customFormat="1" ht="26.25" hidden="1" thickBot="1" x14ac:dyDescent="0.25">
      <c r="A5632" s="526"/>
      <c r="B5632" s="527"/>
      <c r="C5632" s="489"/>
      <c r="D5632" s="464"/>
      <c r="E5632" s="464"/>
      <c r="F5632" s="503" t="s">
        <v>261</v>
      </c>
      <c r="G5632" s="504" t="s">
        <v>262</v>
      </c>
      <c r="H5632" s="397"/>
      <c r="I5632" s="397"/>
      <c r="J5632" s="750" t="e">
        <f t="shared" si="70"/>
        <v>#DIV/0!</v>
      </c>
      <c r="K5632" s="398"/>
      <c r="L5632" s="404"/>
      <c r="M5632" s="682"/>
      <c r="N5632" s="171"/>
      <c r="O5632" s="171"/>
      <c r="P5632" s="171"/>
      <c r="Q5632" s="171"/>
      <c r="R5632" s="171"/>
      <c r="S5632" s="171"/>
      <c r="T5632" s="171"/>
      <c r="U5632" s="171"/>
      <c r="V5632" s="171"/>
      <c r="W5632" s="171"/>
      <c r="X5632" s="171"/>
      <c r="Y5632" s="171"/>
      <c r="Z5632" s="171"/>
      <c r="AA5632" s="171"/>
    </row>
    <row r="5633" spans="1:27" s="530" customFormat="1" ht="13.5" hidden="1" thickBot="1" x14ac:dyDescent="0.25">
      <c r="A5633" s="526"/>
      <c r="B5633" s="527"/>
      <c r="C5633" s="489"/>
      <c r="D5633" s="464"/>
      <c r="E5633" s="464"/>
      <c r="F5633" s="503" t="s">
        <v>263</v>
      </c>
      <c r="G5633" s="504" t="s">
        <v>264</v>
      </c>
      <c r="H5633" s="403"/>
      <c r="I5633" s="403"/>
      <c r="J5633" s="750" t="e">
        <f t="shared" si="70"/>
        <v>#DIV/0!</v>
      </c>
      <c r="K5633" s="404"/>
      <c r="L5633" s="404"/>
      <c r="M5633" s="682"/>
      <c r="N5633" s="171"/>
      <c r="O5633" s="171"/>
      <c r="P5633" s="171"/>
      <c r="Q5633" s="171"/>
      <c r="R5633" s="171"/>
      <c r="S5633" s="171"/>
      <c r="T5633" s="171"/>
      <c r="U5633" s="171"/>
      <c r="V5633" s="171"/>
      <c r="W5633" s="171"/>
      <c r="X5633" s="171"/>
      <c r="Y5633" s="171"/>
      <c r="Z5633" s="171"/>
      <c r="AA5633" s="171"/>
    </row>
    <row r="5634" spans="1:27" s="530" customFormat="1" ht="13.5" thickBot="1" x14ac:dyDescent="0.25">
      <c r="A5634" s="526"/>
      <c r="B5634" s="527"/>
      <c r="C5634" s="489"/>
      <c r="D5634" s="464"/>
      <c r="E5634" s="464"/>
      <c r="F5634" s="464"/>
      <c r="G5634" s="505" t="s">
        <v>5134</v>
      </c>
      <c r="H5634" s="405">
        <f>SUM(H5618:H5633)</f>
        <v>3972000</v>
      </c>
      <c r="I5634" s="405">
        <f>SUM(I5618)</f>
        <v>3618935</v>
      </c>
      <c r="J5634" s="750">
        <f t="shared" si="70"/>
        <v>91.11115307150051</v>
      </c>
      <c r="K5634" s="406">
        <f>SUM(K5619:K5633)</f>
        <v>0</v>
      </c>
      <c r="L5634" s="406"/>
      <c r="M5634" s="682"/>
      <c r="N5634" s="171"/>
      <c r="O5634" s="171"/>
      <c r="P5634" s="171"/>
      <c r="Q5634" s="171"/>
      <c r="R5634" s="171"/>
      <c r="S5634" s="171"/>
      <c r="T5634" s="171"/>
      <c r="U5634" s="171"/>
      <c r="V5634" s="171"/>
      <c r="W5634" s="171"/>
      <c r="X5634" s="171"/>
      <c r="Y5634" s="171"/>
      <c r="Z5634" s="171"/>
      <c r="AA5634" s="171"/>
    </row>
    <row r="5635" spans="1:27" s="530" customFormat="1" hidden="1" x14ac:dyDescent="0.2">
      <c r="A5635" s="526"/>
      <c r="B5635" s="527"/>
      <c r="C5635" s="489"/>
      <c r="D5635" s="464"/>
      <c r="E5635" s="464"/>
      <c r="F5635" s="464"/>
      <c r="G5635" s="513"/>
      <c r="H5635" s="397"/>
      <c r="I5635" s="397"/>
      <c r="J5635" s="750" t="e">
        <f t="shared" si="70"/>
        <v>#DIV/0!</v>
      </c>
      <c r="K5635" s="398"/>
      <c r="L5635" s="398"/>
      <c r="M5635" s="682"/>
      <c r="N5635" s="171"/>
      <c r="O5635" s="171"/>
      <c r="P5635" s="171"/>
      <c r="Q5635" s="171"/>
      <c r="R5635" s="171"/>
      <c r="S5635" s="171"/>
      <c r="T5635" s="171"/>
      <c r="U5635" s="171"/>
      <c r="V5635" s="171"/>
      <c r="W5635" s="171"/>
      <c r="X5635" s="171"/>
      <c r="Y5635" s="171"/>
      <c r="Z5635" s="171"/>
      <c r="AA5635" s="171"/>
    </row>
    <row r="5636" spans="1:27" s="530" customFormat="1" ht="38.25" hidden="1" x14ac:dyDescent="0.2">
      <c r="A5636" s="526"/>
      <c r="B5636" s="527"/>
      <c r="C5636" s="489" t="s">
        <v>4130</v>
      </c>
      <c r="D5636" s="464"/>
      <c r="E5636" s="464"/>
      <c r="F5636" s="464"/>
      <c r="G5636" s="513" t="s">
        <v>4131</v>
      </c>
      <c r="H5636" s="397"/>
      <c r="I5636" s="397"/>
      <c r="J5636" s="750" t="e">
        <f t="shared" si="70"/>
        <v>#DIV/0!</v>
      </c>
      <c r="K5636" s="398"/>
      <c r="L5636" s="398"/>
      <c r="M5636" s="682"/>
      <c r="N5636" s="171"/>
      <c r="O5636" s="171"/>
      <c r="P5636" s="171"/>
      <c r="Q5636" s="171"/>
      <c r="R5636" s="171"/>
      <c r="S5636" s="171"/>
      <c r="T5636" s="171"/>
      <c r="U5636" s="171"/>
      <c r="V5636" s="171"/>
      <c r="W5636" s="171"/>
      <c r="X5636" s="171"/>
      <c r="Y5636" s="171"/>
      <c r="Z5636" s="171"/>
      <c r="AA5636" s="171"/>
    </row>
    <row r="5637" spans="1:27" s="530" customFormat="1" hidden="1" x14ac:dyDescent="0.2">
      <c r="A5637" s="526"/>
      <c r="B5637" s="527"/>
      <c r="C5637" s="528"/>
      <c r="D5637" s="569" t="s">
        <v>4009</v>
      </c>
      <c r="E5637" s="538"/>
      <c r="F5637" s="538"/>
      <c r="G5637" s="539" t="s">
        <v>206</v>
      </c>
      <c r="H5637" s="425"/>
      <c r="I5637" s="425"/>
      <c r="J5637" s="750" t="e">
        <f t="shared" si="70"/>
        <v>#DIV/0!</v>
      </c>
      <c r="K5637" s="243"/>
      <c r="L5637" s="243"/>
      <c r="M5637" s="682"/>
      <c r="N5637" s="171"/>
      <c r="O5637" s="171"/>
      <c r="P5637" s="171"/>
      <c r="Q5637" s="171"/>
      <c r="R5637" s="171"/>
      <c r="S5637" s="171"/>
      <c r="T5637" s="171"/>
      <c r="U5637" s="171"/>
      <c r="V5637" s="171"/>
      <c r="W5637" s="171"/>
      <c r="X5637" s="171"/>
      <c r="Y5637" s="171"/>
      <c r="Z5637" s="171"/>
      <c r="AA5637" s="171"/>
    </row>
    <row r="5638" spans="1:27" s="530" customFormat="1" hidden="1" x14ac:dyDescent="0.2">
      <c r="A5638" s="526"/>
      <c r="B5638" s="527"/>
      <c r="C5638" s="489"/>
      <c r="D5638" s="464"/>
      <c r="E5638" s="464"/>
      <c r="F5638" s="494">
        <v>411</v>
      </c>
      <c r="G5638" s="495" t="s">
        <v>4167</v>
      </c>
      <c r="H5638" s="397"/>
      <c r="I5638" s="397"/>
      <c r="J5638" s="750" t="e">
        <f t="shared" si="70"/>
        <v>#DIV/0!</v>
      </c>
      <c r="K5638" s="398"/>
      <c r="L5638" s="398"/>
      <c r="M5638" s="682"/>
      <c r="N5638" s="171"/>
      <c r="O5638" s="171"/>
      <c r="P5638" s="171"/>
      <c r="Q5638" s="171"/>
      <c r="R5638" s="171"/>
      <c r="S5638" s="171"/>
      <c r="T5638" s="171"/>
      <c r="U5638" s="171"/>
      <c r="V5638" s="171"/>
      <c r="W5638" s="171"/>
      <c r="X5638" s="171"/>
      <c r="Y5638" s="171"/>
      <c r="Z5638" s="171"/>
      <c r="AA5638" s="171"/>
    </row>
    <row r="5639" spans="1:27" s="530" customFormat="1" hidden="1" x14ac:dyDescent="0.2">
      <c r="A5639" s="526"/>
      <c r="B5639" s="527"/>
      <c r="C5639" s="489"/>
      <c r="D5639" s="464"/>
      <c r="E5639" s="464"/>
      <c r="F5639" s="494">
        <v>412</v>
      </c>
      <c r="G5639" s="496" t="s">
        <v>3764</v>
      </c>
      <c r="H5639" s="397"/>
      <c r="I5639" s="397"/>
      <c r="J5639" s="750" t="e">
        <f t="shared" si="70"/>
        <v>#DIV/0!</v>
      </c>
      <c r="K5639" s="398"/>
      <c r="L5639" s="398"/>
      <c r="M5639" s="682"/>
      <c r="N5639" s="171"/>
      <c r="O5639" s="171"/>
      <c r="P5639" s="171"/>
      <c r="Q5639" s="171"/>
      <c r="R5639" s="171"/>
      <c r="S5639" s="171"/>
      <c r="T5639" s="171"/>
      <c r="U5639" s="171"/>
      <c r="V5639" s="171"/>
      <c r="W5639" s="171"/>
      <c r="X5639" s="171"/>
      <c r="Y5639" s="171"/>
      <c r="Z5639" s="171"/>
      <c r="AA5639" s="171"/>
    </row>
    <row r="5640" spans="1:27" s="530" customFormat="1" hidden="1" x14ac:dyDescent="0.2">
      <c r="A5640" s="526"/>
      <c r="B5640" s="527"/>
      <c r="C5640" s="489"/>
      <c r="D5640" s="464"/>
      <c r="E5640" s="464"/>
      <c r="F5640" s="494">
        <v>413</v>
      </c>
      <c r="G5640" s="495" t="s">
        <v>4168</v>
      </c>
      <c r="H5640" s="397"/>
      <c r="I5640" s="397"/>
      <c r="J5640" s="750" t="e">
        <f t="shared" si="70"/>
        <v>#DIV/0!</v>
      </c>
      <c r="K5640" s="398"/>
      <c r="L5640" s="398"/>
      <c r="M5640" s="682"/>
      <c r="N5640" s="171"/>
      <c r="O5640" s="171"/>
      <c r="P5640" s="171"/>
      <c r="Q5640" s="171"/>
      <c r="R5640" s="171"/>
      <c r="S5640" s="171"/>
      <c r="T5640" s="171"/>
      <c r="U5640" s="171"/>
      <c r="V5640" s="171"/>
      <c r="W5640" s="171"/>
      <c r="X5640" s="171"/>
      <c r="Y5640" s="171"/>
      <c r="Z5640" s="171"/>
      <c r="AA5640" s="171"/>
    </row>
    <row r="5641" spans="1:27" s="530" customFormat="1" hidden="1" x14ac:dyDescent="0.2">
      <c r="A5641" s="526"/>
      <c r="B5641" s="527"/>
      <c r="C5641" s="489"/>
      <c r="D5641" s="464"/>
      <c r="E5641" s="464"/>
      <c r="F5641" s="494">
        <v>414</v>
      </c>
      <c r="G5641" s="495" t="s">
        <v>3767</v>
      </c>
      <c r="H5641" s="397"/>
      <c r="I5641" s="397"/>
      <c r="J5641" s="750" t="e">
        <f t="shared" si="70"/>
        <v>#DIV/0!</v>
      </c>
      <c r="K5641" s="398"/>
      <c r="L5641" s="398"/>
      <c r="M5641" s="682"/>
      <c r="N5641" s="171"/>
      <c r="O5641" s="171"/>
      <c r="P5641" s="171"/>
      <c r="Q5641" s="171"/>
      <c r="R5641" s="171"/>
      <c r="S5641" s="171"/>
      <c r="T5641" s="171"/>
      <c r="U5641" s="171"/>
      <c r="V5641" s="171"/>
      <c r="W5641" s="171"/>
      <c r="X5641" s="171"/>
      <c r="Y5641" s="171"/>
      <c r="Z5641" s="171"/>
      <c r="AA5641" s="171"/>
    </row>
    <row r="5642" spans="1:27" s="530" customFormat="1" hidden="1" x14ac:dyDescent="0.2">
      <c r="A5642" s="526"/>
      <c r="B5642" s="527"/>
      <c r="C5642" s="489"/>
      <c r="D5642" s="464"/>
      <c r="E5642" s="464"/>
      <c r="F5642" s="494">
        <v>415</v>
      </c>
      <c r="G5642" s="495" t="s">
        <v>4177</v>
      </c>
      <c r="H5642" s="397"/>
      <c r="I5642" s="397"/>
      <c r="J5642" s="750" t="e">
        <f t="shared" si="70"/>
        <v>#DIV/0!</v>
      </c>
      <c r="K5642" s="398"/>
      <c r="L5642" s="398"/>
      <c r="M5642" s="682"/>
      <c r="N5642" s="171"/>
      <c r="O5642" s="171"/>
      <c r="P5642" s="171"/>
      <c r="Q5642" s="171"/>
      <c r="R5642" s="171"/>
      <c r="S5642" s="171"/>
      <c r="T5642" s="171"/>
      <c r="U5642" s="171"/>
      <c r="V5642" s="171"/>
      <c r="W5642" s="171"/>
      <c r="X5642" s="171"/>
      <c r="Y5642" s="171"/>
      <c r="Z5642" s="171"/>
      <c r="AA5642" s="171"/>
    </row>
    <row r="5643" spans="1:27" s="530" customFormat="1" ht="25.5" hidden="1" x14ac:dyDescent="0.2">
      <c r="A5643" s="526"/>
      <c r="B5643" s="527"/>
      <c r="C5643" s="489"/>
      <c r="D5643" s="464"/>
      <c r="E5643" s="464"/>
      <c r="F5643" s="494">
        <v>416</v>
      </c>
      <c r="G5643" s="495" t="s">
        <v>4178</v>
      </c>
      <c r="H5643" s="397"/>
      <c r="I5643" s="397"/>
      <c r="J5643" s="750" t="e">
        <f t="shared" si="70"/>
        <v>#DIV/0!</v>
      </c>
      <c r="K5643" s="398"/>
      <c r="L5643" s="398"/>
      <c r="M5643" s="682"/>
      <c r="N5643" s="171"/>
      <c r="O5643" s="171"/>
      <c r="P5643" s="171"/>
      <c r="Q5643" s="171"/>
      <c r="R5643" s="171"/>
      <c r="S5643" s="171"/>
      <c r="T5643" s="171"/>
      <c r="U5643" s="171"/>
      <c r="V5643" s="171"/>
      <c r="W5643" s="171"/>
      <c r="X5643" s="171"/>
      <c r="Y5643" s="171"/>
      <c r="Z5643" s="171"/>
      <c r="AA5643" s="171"/>
    </row>
    <row r="5644" spans="1:27" s="530" customFormat="1" hidden="1" x14ac:dyDescent="0.2">
      <c r="A5644" s="526"/>
      <c r="B5644" s="527"/>
      <c r="C5644" s="489"/>
      <c r="D5644" s="464"/>
      <c r="E5644" s="464"/>
      <c r="F5644" s="494">
        <v>417</v>
      </c>
      <c r="G5644" s="495" t="s">
        <v>4179</v>
      </c>
      <c r="H5644" s="397"/>
      <c r="I5644" s="397"/>
      <c r="J5644" s="750" t="e">
        <f t="shared" si="70"/>
        <v>#DIV/0!</v>
      </c>
      <c r="K5644" s="398"/>
      <c r="L5644" s="398"/>
      <c r="M5644" s="682"/>
      <c r="N5644" s="171"/>
      <c r="O5644" s="171"/>
      <c r="P5644" s="171"/>
      <c r="Q5644" s="171"/>
      <c r="R5644" s="171"/>
      <c r="S5644" s="171"/>
      <c r="T5644" s="171"/>
      <c r="U5644" s="171"/>
      <c r="V5644" s="171"/>
      <c r="W5644" s="171"/>
      <c r="X5644" s="171"/>
      <c r="Y5644" s="171"/>
      <c r="Z5644" s="171"/>
      <c r="AA5644" s="171"/>
    </row>
    <row r="5645" spans="1:27" s="530" customFormat="1" hidden="1" x14ac:dyDescent="0.2">
      <c r="A5645" s="526"/>
      <c r="B5645" s="527"/>
      <c r="C5645" s="489"/>
      <c r="D5645" s="464"/>
      <c r="E5645" s="464"/>
      <c r="F5645" s="494">
        <v>418</v>
      </c>
      <c r="G5645" s="495" t="s">
        <v>3773</v>
      </c>
      <c r="H5645" s="397"/>
      <c r="I5645" s="397"/>
      <c r="J5645" s="750" t="e">
        <f t="shared" ref="J5645:J5708" si="71">SUM(I5645/H5645)*100</f>
        <v>#DIV/0!</v>
      </c>
      <c r="K5645" s="398"/>
      <c r="L5645" s="398"/>
      <c r="M5645" s="682"/>
      <c r="N5645" s="171"/>
      <c r="O5645" s="171"/>
      <c r="P5645" s="171"/>
      <c r="Q5645" s="171"/>
      <c r="R5645" s="171"/>
      <c r="S5645" s="171"/>
      <c r="T5645" s="171"/>
      <c r="U5645" s="171"/>
      <c r="V5645" s="171"/>
      <c r="W5645" s="171"/>
      <c r="X5645" s="171"/>
      <c r="Y5645" s="171"/>
      <c r="Z5645" s="171"/>
      <c r="AA5645" s="171"/>
    </row>
    <row r="5646" spans="1:27" s="530" customFormat="1" hidden="1" x14ac:dyDescent="0.2">
      <c r="A5646" s="526"/>
      <c r="B5646" s="527"/>
      <c r="C5646" s="489"/>
      <c r="D5646" s="464"/>
      <c r="E5646" s="464"/>
      <c r="F5646" s="494">
        <v>421</v>
      </c>
      <c r="G5646" s="495" t="s">
        <v>3777</v>
      </c>
      <c r="H5646" s="397"/>
      <c r="I5646" s="397"/>
      <c r="J5646" s="750" t="e">
        <f t="shared" si="71"/>
        <v>#DIV/0!</v>
      </c>
      <c r="K5646" s="398"/>
      <c r="L5646" s="398"/>
      <c r="M5646" s="682"/>
      <c r="N5646" s="171"/>
      <c r="O5646" s="171"/>
      <c r="P5646" s="171"/>
      <c r="Q5646" s="171"/>
      <c r="R5646" s="171"/>
      <c r="S5646" s="171"/>
      <c r="T5646" s="171"/>
      <c r="U5646" s="171"/>
      <c r="V5646" s="171"/>
      <c r="W5646" s="171"/>
      <c r="X5646" s="171"/>
      <c r="Y5646" s="171"/>
      <c r="Z5646" s="171"/>
      <c r="AA5646" s="171"/>
    </row>
    <row r="5647" spans="1:27" s="530" customFormat="1" hidden="1" x14ac:dyDescent="0.2">
      <c r="A5647" s="526"/>
      <c r="B5647" s="527"/>
      <c r="C5647" s="489"/>
      <c r="D5647" s="464"/>
      <c r="E5647" s="464"/>
      <c r="F5647" s="494">
        <v>422</v>
      </c>
      <c r="G5647" s="495" t="s">
        <v>3778</v>
      </c>
      <c r="H5647" s="397"/>
      <c r="I5647" s="397"/>
      <c r="J5647" s="750" t="e">
        <f t="shared" si="71"/>
        <v>#DIV/0!</v>
      </c>
      <c r="K5647" s="398"/>
      <c r="L5647" s="398"/>
      <c r="M5647" s="682"/>
      <c r="N5647" s="171"/>
      <c r="O5647" s="171"/>
      <c r="P5647" s="171"/>
      <c r="Q5647" s="171"/>
      <c r="R5647" s="171"/>
      <c r="S5647" s="171"/>
      <c r="T5647" s="171"/>
      <c r="U5647" s="171"/>
      <c r="V5647" s="171"/>
      <c r="W5647" s="171"/>
      <c r="X5647" s="171"/>
      <c r="Y5647" s="171"/>
      <c r="Z5647" s="171"/>
      <c r="AA5647" s="171"/>
    </row>
    <row r="5648" spans="1:27" s="530" customFormat="1" hidden="1" x14ac:dyDescent="0.2">
      <c r="A5648" s="526"/>
      <c r="B5648" s="527"/>
      <c r="C5648" s="489"/>
      <c r="D5648" s="464"/>
      <c r="E5648" s="464"/>
      <c r="F5648" s="494">
        <v>423</v>
      </c>
      <c r="G5648" s="495" t="s">
        <v>3779</v>
      </c>
      <c r="H5648" s="397"/>
      <c r="I5648" s="397"/>
      <c r="J5648" s="750" t="e">
        <f t="shared" si="71"/>
        <v>#DIV/0!</v>
      </c>
      <c r="K5648" s="398"/>
      <c r="L5648" s="398"/>
      <c r="M5648" s="682"/>
      <c r="N5648" s="171"/>
      <c r="O5648" s="171"/>
      <c r="P5648" s="171"/>
      <c r="Q5648" s="171"/>
      <c r="R5648" s="171"/>
      <c r="S5648" s="171"/>
      <c r="T5648" s="171"/>
      <c r="U5648" s="171"/>
      <c r="V5648" s="171"/>
      <c r="W5648" s="171"/>
      <c r="X5648" s="171"/>
      <c r="Y5648" s="171"/>
      <c r="Z5648" s="171"/>
      <c r="AA5648" s="171"/>
    </row>
    <row r="5649" spans="1:27" s="530" customFormat="1" hidden="1" x14ac:dyDescent="0.2">
      <c r="A5649" s="526"/>
      <c r="B5649" s="527"/>
      <c r="C5649" s="489"/>
      <c r="D5649" s="464"/>
      <c r="E5649" s="464"/>
      <c r="F5649" s="494">
        <v>424</v>
      </c>
      <c r="G5649" s="495" t="s">
        <v>3781</v>
      </c>
      <c r="H5649" s="397"/>
      <c r="I5649" s="397"/>
      <c r="J5649" s="750" t="e">
        <f t="shared" si="71"/>
        <v>#DIV/0!</v>
      </c>
      <c r="K5649" s="398"/>
      <c r="L5649" s="398"/>
      <c r="M5649" s="682"/>
      <c r="N5649" s="171"/>
      <c r="O5649" s="171"/>
      <c r="P5649" s="171"/>
      <c r="Q5649" s="171"/>
      <c r="R5649" s="171"/>
      <c r="S5649" s="171"/>
      <c r="T5649" s="171"/>
      <c r="U5649" s="171"/>
      <c r="V5649" s="171"/>
      <c r="W5649" s="171"/>
      <c r="X5649" s="171"/>
      <c r="Y5649" s="171"/>
      <c r="Z5649" s="171"/>
      <c r="AA5649" s="171"/>
    </row>
    <row r="5650" spans="1:27" s="530" customFormat="1" hidden="1" x14ac:dyDescent="0.2">
      <c r="A5650" s="526"/>
      <c r="B5650" s="527"/>
      <c r="C5650" s="489"/>
      <c r="D5650" s="464"/>
      <c r="E5650" s="464"/>
      <c r="F5650" s="494">
        <v>425</v>
      </c>
      <c r="G5650" s="495" t="s">
        <v>4180</v>
      </c>
      <c r="H5650" s="397"/>
      <c r="I5650" s="397"/>
      <c r="J5650" s="750" t="e">
        <f t="shared" si="71"/>
        <v>#DIV/0!</v>
      </c>
      <c r="K5650" s="398"/>
      <c r="L5650" s="398"/>
      <c r="M5650" s="682"/>
      <c r="N5650" s="171"/>
      <c r="O5650" s="171"/>
      <c r="P5650" s="171"/>
      <c r="Q5650" s="171"/>
      <c r="R5650" s="171"/>
      <c r="S5650" s="171"/>
      <c r="T5650" s="171"/>
      <c r="U5650" s="171"/>
      <c r="V5650" s="171"/>
      <c r="W5650" s="171"/>
      <c r="X5650" s="171"/>
      <c r="Y5650" s="171"/>
      <c r="Z5650" s="171"/>
      <c r="AA5650" s="171"/>
    </row>
    <row r="5651" spans="1:27" s="530" customFormat="1" hidden="1" x14ac:dyDescent="0.2">
      <c r="A5651" s="526"/>
      <c r="B5651" s="527"/>
      <c r="C5651" s="489"/>
      <c r="D5651" s="464"/>
      <c r="E5651" s="464"/>
      <c r="F5651" s="494">
        <v>426</v>
      </c>
      <c r="G5651" s="495" t="s">
        <v>3785</v>
      </c>
      <c r="H5651" s="397"/>
      <c r="I5651" s="397"/>
      <c r="J5651" s="750" t="e">
        <f t="shared" si="71"/>
        <v>#DIV/0!</v>
      </c>
      <c r="K5651" s="398"/>
      <c r="L5651" s="398"/>
      <c r="M5651" s="682"/>
      <c r="N5651" s="171"/>
      <c r="O5651" s="171"/>
      <c r="P5651" s="171"/>
      <c r="Q5651" s="171"/>
      <c r="R5651" s="171"/>
      <c r="S5651" s="171"/>
      <c r="T5651" s="171"/>
      <c r="U5651" s="171"/>
      <c r="V5651" s="171"/>
      <c r="W5651" s="171"/>
      <c r="X5651" s="171"/>
      <c r="Y5651" s="171"/>
      <c r="Z5651" s="171"/>
      <c r="AA5651" s="171"/>
    </row>
    <row r="5652" spans="1:27" s="530" customFormat="1" hidden="1" x14ac:dyDescent="0.2">
      <c r="A5652" s="526"/>
      <c r="B5652" s="527"/>
      <c r="C5652" s="489"/>
      <c r="D5652" s="464"/>
      <c r="E5652" s="464"/>
      <c r="F5652" s="494">
        <v>431</v>
      </c>
      <c r="G5652" s="495" t="s">
        <v>4181</v>
      </c>
      <c r="H5652" s="397"/>
      <c r="I5652" s="397"/>
      <c r="J5652" s="750" t="e">
        <f t="shared" si="71"/>
        <v>#DIV/0!</v>
      </c>
      <c r="K5652" s="398"/>
      <c r="L5652" s="398"/>
      <c r="M5652" s="682"/>
      <c r="N5652" s="171"/>
      <c r="O5652" s="171"/>
      <c r="P5652" s="171"/>
      <c r="Q5652" s="171"/>
      <c r="R5652" s="171"/>
      <c r="S5652" s="171"/>
      <c r="T5652" s="171"/>
      <c r="U5652" s="171"/>
      <c r="V5652" s="171"/>
      <c r="W5652" s="171"/>
      <c r="X5652" s="171"/>
      <c r="Y5652" s="171"/>
      <c r="Z5652" s="171"/>
      <c r="AA5652" s="171"/>
    </row>
    <row r="5653" spans="1:27" s="530" customFormat="1" hidden="1" x14ac:dyDescent="0.2">
      <c r="A5653" s="526"/>
      <c r="B5653" s="527"/>
      <c r="C5653" s="489"/>
      <c r="D5653" s="464"/>
      <c r="E5653" s="464"/>
      <c r="F5653" s="494">
        <v>432</v>
      </c>
      <c r="G5653" s="495" t="s">
        <v>4182</v>
      </c>
      <c r="H5653" s="397"/>
      <c r="I5653" s="397"/>
      <c r="J5653" s="750" t="e">
        <f t="shared" si="71"/>
        <v>#DIV/0!</v>
      </c>
      <c r="K5653" s="398"/>
      <c r="L5653" s="398"/>
      <c r="M5653" s="682"/>
      <c r="N5653" s="171"/>
      <c r="O5653" s="171"/>
      <c r="P5653" s="171"/>
      <c r="Q5653" s="171"/>
      <c r="R5653" s="171"/>
      <c r="S5653" s="171"/>
      <c r="T5653" s="171"/>
      <c r="U5653" s="171"/>
      <c r="V5653" s="171"/>
      <c r="W5653" s="171"/>
      <c r="X5653" s="171"/>
      <c r="Y5653" s="171"/>
      <c r="Z5653" s="171"/>
      <c r="AA5653" s="171"/>
    </row>
    <row r="5654" spans="1:27" s="530" customFormat="1" hidden="1" x14ac:dyDescent="0.2">
      <c r="A5654" s="526"/>
      <c r="B5654" s="527"/>
      <c r="C5654" s="489"/>
      <c r="D5654" s="464"/>
      <c r="E5654" s="464"/>
      <c r="F5654" s="494">
        <v>433</v>
      </c>
      <c r="G5654" s="495" t="s">
        <v>4183</v>
      </c>
      <c r="H5654" s="397"/>
      <c r="I5654" s="397"/>
      <c r="J5654" s="750" t="e">
        <f t="shared" si="71"/>
        <v>#DIV/0!</v>
      </c>
      <c r="K5654" s="398"/>
      <c r="L5654" s="398"/>
      <c r="M5654" s="682"/>
      <c r="N5654" s="171"/>
      <c r="O5654" s="171"/>
      <c r="P5654" s="171"/>
      <c r="Q5654" s="171"/>
      <c r="R5654" s="171"/>
      <c r="S5654" s="171"/>
      <c r="T5654" s="171"/>
      <c r="U5654" s="171"/>
      <c r="V5654" s="171"/>
      <c r="W5654" s="171"/>
      <c r="X5654" s="171"/>
      <c r="Y5654" s="171"/>
      <c r="Z5654" s="171"/>
      <c r="AA5654" s="171"/>
    </row>
    <row r="5655" spans="1:27" s="530" customFormat="1" hidden="1" x14ac:dyDescent="0.2">
      <c r="A5655" s="526"/>
      <c r="B5655" s="527"/>
      <c r="C5655" s="489"/>
      <c r="D5655" s="464"/>
      <c r="E5655" s="464"/>
      <c r="F5655" s="494">
        <v>434</v>
      </c>
      <c r="G5655" s="495" t="s">
        <v>4184</v>
      </c>
      <c r="H5655" s="397"/>
      <c r="I5655" s="397"/>
      <c r="J5655" s="750" t="e">
        <f t="shared" si="71"/>
        <v>#DIV/0!</v>
      </c>
      <c r="K5655" s="398"/>
      <c r="L5655" s="398"/>
      <c r="M5655" s="682"/>
      <c r="N5655" s="171"/>
      <c r="O5655" s="171"/>
      <c r="P5655" s="171"/>
      <c r="Q5655" s="171"/>
      <c r="R5655" s="171"/>
      <c r="S5655" s="171"/>
      <c r="T5655" s="171"/>
      <c r="U5655" s="171"/>
      <c r="V5655" s="171"/>
      <c r="W5655" s="171"/>
      <c r="X5655" s="171"/>
      <c r="Y5655" s="171"/>
      <c r="Z5655" s="171"/>
      <c r="AA5655" s="171"/>
    </row>
    <row r="5656" spans="1:27" s="530" customFormat="1" hidden="1" x14ac:dyDescent="0.2">
      <c r="A5656" s="526"/>
      <c r="B5656" s="527"/>
      <c r="C5656" s="489"/>
      <c r="D5656" s="464"/>
      <c r="E5656" s="464"/>
      <c r="F5656" s="494">
        <v>435</v>
      </c>
      <c r="G5656" s="495" t="s">
        <v>3792</v>
      </c>
      <c r="H5656" s="397"/>
      <c r="I5656" s="397"/>
      <c r="J5656" s="750" t="e">
        <f t="shared" si="71"/>
        <v>#DIV/0!</v>
      </c>
      <c r="K5656" s="398"/>
      <c r="L5656" s="398"/>
      <c r="M5656" s="682"/>
      <c r="N5656" s="171"/>
      <c r="O5656" s="171"/>
      <c r="P5656" s="171"/>
      <c r="Q5656" s="171"/>
      <c r="R5656" s="171"/>
      <c r="S5656" s="171"/>
      <c r="T5656" s="171"/>
      <c r="U5656" s="171"/>
      <c r="V5656" s="171"/>
      <c r="W5656" s="171"/>
      <c r="X5656" s="171"/>
      <c r="Y5656" s="171"/>
      <c r="Z5656" s="171"/>
      <c r="AA5656" s="171"/>
    </row>
    <row r="5657" spans="1:27" s="530" customFormat="1" hidden="1" x14ac:dyDescent="0.2">
      <c r="A5657" s="526"/>
      <c r="B5657" s="527"/>
      <c r="C5657" s="489"/>
      <c r="D5657" s="464"/>
      <c r="E5657" s="464"/>
      <c r="F5657" s="494">
        <v>441</v>
      </c>
      <c r="G5657" s="495" t="s">
        <v>4185</v>
      </c>
      <c r="H5657" s="397"/>
      <c r="I5657" s="397"/>
      <c r="J5657" s="750" t="e">
        <f t="shared" si="71"/>
        <v>#DIV/0!</v>
      </c>
      <c r="K5657" s="398"/>
      <c r="L5657" s="398"/>
      <c r="M5657" s="682"/>
      <c r="N5657" s="171"/>
      <c r="O5657" s="171"/>
      <c r="P5657" s="171"/>
      <c r="Q5657" s="171"/>
      <c r="R5657" s="171"/>
      <c r="S5657" s="171"/>
      <c r="T5657" s="171"/>
      <c r="U5657" s="171"/>
      <c r="V5657" s="171"/>
      <c r="W5657" s="171"/>
      <c r="X5657" s="171"/>
      <c r="Y5657" s="171"/>
      <c r="Z5657" s="171"/>
      <c r="AA5657" s="171"/>
    </row>
    <row r="5658" spans="1:27" s="530" customFormat="1" hidden="1" x14ac:dyDescent="0.2">
      <c r="A5658" s="526"/>
      <c r="B5658" s="527"/>
      <c r="C5658" s="489"/>
      <c r="D5658" s="464"/>
      <c r="E5658" s="464"/>
      <c r="F5658" s="494">
        <v>442</v>
      </c>
      <c r="G5658" s="495" t="s">
        <v>4186</v>
      </c>
      <c r="H5658" s="397"/>
      <c r="I5658" s="397"/>
      <c r="J5658" s="750" t="e">
        <f t="shared" si="71"/>
        <v>#DIV/0!</v>
      </c>
      <c r="K5658" s="398"/>
      <c r="L5658" s="398"/>
      <c r="M5658" s="682"/>
      <c r="N5658" s="171"/>
      <c r="O5658" s="171"/>
      <c r="P5658" s="171"/>
      <c r="Q5658" s="171"/>
      <c r="R5658" s="171"/>
      <c r="S5658" s="171"/>
      <c r="T5658" s="171"/>
      <c r="U5658" s="171"/>
      <c r="V5658" s="171"/>
      <c r="W5658" s="171"/>
      <c r="X5658" s="171"/>
      <c r="Y5658" s="171"/>
      <c r="Z5658" s="171"/>
      <c r="AA5658" s="171"/>
    </row>
    <row r="5659" spans="1:27" s="530" customFormat="1" hidden="1" x14ac:dyDescent="0.2">
      <c r="A5659" s="526"/>
      <c r="B5659" s="527"/>
      <c r="C5659" s="489"/>
      <c r="D5659" s="464"/>
      <c r="E5659" s="464"/>
      <c r="F5659" s="494">
        <v>443</v>
      </c>
      <c r="G5659" s="495" t="s">
        <v>3797</v>
      </c>
      <c r="H5659" s="397"/>
      <c r="I5659" s="397"/>
      <c r="J5659" s="750" t="e">
        <f t="shared" si="71"/>
        <v>#DIV/0!</v>
      </c>
      <c r="K5659" s="398"/>
      <c r="L5659" s="398"/>
      <c r="M5659" s="682"/>
      <c r="N5659" s="171"/>
      <c r="O5659" s="171"/>
      <c r="P5659" s="171"/>
      <c r="Q5659" s="171"/>
      <c r="R5659" s="171"/>
      <c r="S5659" s="171"/>
      <c r="T5659" s="171"/>
      <c r="U5659" s="171"/>
      <c r="V5659" s="171"/>
      <c r="W5659" s="171"/>
      <c r="X5659" s="171"/>
      <c r="Y5659" s="171"/>
      <c r="Z5659" s="171"/>
      <c r="AA5659" s="171"/>
    </row>
    <row r="5660" spans="1:27" s="530" customFormat="1" hidden="1" x14ac:dyDescent="0.2">
      <c r="A5660" s="526"/>
      <c r="B5660" s="527"/>
      <c r="C5660" s="489"/>
      <c r="D5660" s="464"/>
      <c r="E5660" s="464"/>
      <c r="F5660" s="494">
        <v>444</v>
      </c>
      <c r="G5660" s="495" t="s">
        <v>3798</v>
      </c>
      <c r="H5660" s="397"/>
      <c r="I5660" s="397"/>
      <c r="J5660" s="750" t="e">
        <f t="shared" si="71"/>
        <v>#DIV/0!</v>
      </c>
      <c r="K5660" s="398"/>
      <c r="L5660" s="398"/>
      <c r="M5660" s="682"/>
      <c r="N5660" s="171"/>
      <c r="O5660" s="171"/>
      <c r="P5660" s="171"/>
      <c r="Q5660" s="171"/>
      <c r="R5660" s="171"/>
      <c r="S5660" s="171"/>
      <c r="T5660" s="171"/>
      <c r="U5660" s="171"/>
      <c r="V5660" s="171"/>
      <c r="W5660" s="171"/>
      <c r="X5660" s="171"/>
      <c r="Y5660" s="171"/>
      <c r="Z5660" s="171"/>
      <c r="AA5660" s="171"/>
    </row>
    <row r="5661" spans="1:27" s="530" customFormat="1" ht="25.5" hidden="1" x14ac:dyDescent="0.2">
      <c r="A5661" s="526"/>
      <c r="B5661" s="527"/>
      <c r="C5661" s="489"/>
      <c r="D5661" s="464"/>
      <c r="E5661" s="464"/>
      <c r="F5661" s="494">
        <v>4511</v>
      </c>
      <c r="G5661" s="466" t="s">
        <v>1692</v>
      </c>
      <c r="H5661" s="397"/>
      <c r="I5661" s="397"/>
      <c r="J5661" s="750" t="e">
        <f t="shared" si="71"/>
        <v>#DIV/0!</v>
      </c>
      <c r="K5661" s="398"/>
      <c r="L5661" s="398"/>
      <c r="M5661" s="682"/>
      <c r="N5661" s="171"/>
      <c r="O5661" s="171"/>
      <c r="P5661" s="171"/>
      <c r="Q5661" s="171"/>
      <c r="R5661" s="171"/>
      <c r="S5661" s="171"/>
      <c r="T5661" s="171"/>
      <c r="U5661" s="171"/>
      <c r="V5661" s="171"/>
      <c r="W5661" s="171"/>
      <c r="X5661" s="171"/>
      <c r="Y5661" s="171"/>
      <c r="Z5661" s="171"/>
      <c r="AA5661" s="171"/>
    </row>
    <row r="5662" spans="1:27" s="530" customFormat="1" ht="25.5" hidden="1" x14ac:dyDescent="0.2">
      <c r="A5662" s="526"/>
      <c r="B5662" s="527"/>
      <c r="C5662" s="489"/>
      <c r="D5662" s="464"/>
      <c r="E5662" s="464"/>
      <c r="F5662" s="494">
        <v>4512</v>
      </c>
      <c r="G5662" s="466" t="s">
        <v>1701</v>
      </c>
      <c r="H5662" s="397"/>
      <c r="I5662" s="397"/>
      <c r="J5662" s="750" t="e">
        <f t="shared" si="71"/>
        <v>#DIV/0!</v>
      </c>
      <c r="K5662" s="398"/>
      <c r="L5662" s="398"/>
      <c r="M5662" s="682"/>
      <c r="N5662" s="171"/>
      <c r="O5662" s="171"/>
      <c r="P5662" s="171"/>
      <c r="Q5662" s="171"/>
      <c r="R5662" s="171"/>
      <c r="S5662" s="171"/>
      <c r="T5662" s="171"/>
      <c r="U5662" s="171"/>
      <c r="V5662" s="171"/>
      <c r="W5662" s="171"/>
      <c r="X5662" s="171"/>
      <c r="Y5662" s="171"/>
      <c r="Z5662" s="171"/>
      <c r="AA5662" s="171"/>
    </row>
    <row r="5663" spans="1:27" s="530" customFormat="1" ht="25.5" hidden="1" x14ac:dyDescent="0.2">
      <c r="A5663" s="526"/>
      <c r="B5663" s="527"/>
      <c r="C5663" s="489"/>
      <c r="D5663" s="464"/>
      <c r="E5663" s="464"/>
      <c r="F5663" s="494">
        <v>452</v>
      </c>
      <c r="G5663" s="495" t="s">
        <v>4187</v>
      </c>
      <c r="H5663" s="397"/>
      <c r="I5663" s="397"/>
      <c r="J5663" s="750" t="e">
        <f t="shared" si="71"/>
        <v>#DIV/0!</v>
      </c>
      <c r="K5663" s="398"/>
      <c r="L5663" s="398"/>
      <c r="M5663" s="682"/>
      <c r="N5663" s="171"/>
      <c r="O5663" s="171"/>
      <c r="P5663" s="171"/>
      <c r="Q5663" s="171"/>
      <c r="R5663" s="171"/>
      <c r="S5663" s="171"/>
      <c r="T5663" s="171"/>
      <c r="U5663" s="171"/>
      <c r="V5663" s="171"/>
      <c r="W5663" s="171"/>
      <c r="X5663" s="171"/>
      <c r="Y5663" s="171"/>
      <c r="Z5663" s="171"/>
      <c r="AA5663" s="171"/>
    </row>
    <row r="5664" spans="1:27" s="530" customFormat="1" ht="25.5" hidden="1" x14ac:dyDescent="0.2">
      <c r="A5664" s="526"/>
      <c r="B5664" s="527"/>
      <c r="C5664" s="489"/>
      <c r="D5664" s="464"/>
      <c r="E5664" s="464"/>
      <c r="F5664" s="494">
        <v>453</v>
      </c>
      <c r="G5664" s="495" t="s">
        <v>4188</v>
      </c>
      <c r="H5664" s="397"/>
      <c r="I5664" s="397"/>
      <c r="J5664" s="750" t="e">
        <f t="shared" si="71"/>
        <v>#DIV/0!</v>
      </c>
      <c r="K5664" s="398"/>
      <c r="L5664" s="398"/>
      <c r="M5664" s="682"/>
      <c r="N5664" s="171"/>
      <c r="O5664" s="171"/>
      <c r="P5664" s="171"/>
      <c r="Q5664" s="171"/>
      <c r="R5664" s="171"/>
      <c r="S5664" s="171"/>
      <c r="T5664" s="171"/>
      <c r="U5664" s="171"/>
      <c r="V5664" s="171"/>
      <c r="W5664" s="171"/>
      <c r="X5664" s="171"/>
      <c r="Y5664" s="171"/>
      <c r="Z5664" s="171"/>
      <c r="AA5664" s="171"/>
    </row>
    <row r="5665" spans="1:27" s="530" customFormat="1" hidden="1" x14ac:dyDescent="0.2">
      <c r="A5665" s="526"/>
      <c r="B5665" s="527"/>
      <c r="C5665" s="489"/>
      <c r="D5665" s="464"/>
      <c r="E5665" s="464"/>
      <c r="F5665" s="494">
        <v>454</v>
      </c>
      <c r="G5665" s="495" t="s">
        <v>3803</v>
      </c>
      <c r="H5665" s="397"/>
      <c r="I5665" s="397"/>
      <c r="J5665" s="750" t="e">
        <f t="shared" si="71"/>
        <v>#DIV/0!</v>
      </c>
      <c r="K5665" s="398"/>
      <c r="L5665" s="398"/>
      <c r="M5665" s="682"/>
      <c r="N5665" s="171"/>
      <c r="O5665" s="171"/>
      <c r="P5665" s="171"/>
      <c r="Q5665" s="171"/>
      <c r="R5665" s="171"/>
      <c r="S5665" s="171"/>
      <c r="T5665" s="171"/>
      <c r="U5665" s="171"/>
      <c r="V5665" s="171"/>
      <c r="W5665" s="171"/>
      <c r="X5665" s="171"/>
      <c r="Y5665" s="171"/>
      <c r="Z5665" s="171"/>
      <c r="AA5665" s="171"/>
    </row>
    <row r="5666" spans="1:27" s="530" customFormat="1" hidden="1" x14ac:dyDescent="0.2">
      <c r="A5666" s="526"/>
      <c r="B5666" s="527"/>
      <c r="C5666" s="489"/>
      <c r="D5666" s="464"/>
      <c r="E5666" s="464"/>
      <c r="F5666" s="494">
        <v>461</v>
      </c>
      <c r="G5666" s="495" t="s">
        <v>4169</v>
      </c>
      <c r="H5666" s="397"/>
      <c r="I5666" s="397"/>
      <c r="J5666" s="750" t="e">
        <f t="shared" si="71"/>
        <v>#DIV/0!</v>
      </c>
      <c r="K5666" s="398"/>
      <c r="L5666" s="398"/>
      <c r="M5666" s="682"/>
      <c r="N5666" s="171"/>
      <c r="O5666" s="171"/>
      <c r="P5666" s="171"/>
      <c r="Q5666" s="171"/>
      <c r="R5666" s="171"/>
      <c r="S5666" s="171"/>
      <c r="T5666" s="171"/>
      <c r="U5666" s="171"/>
      <c r="V5666" s="171"/>
      <c r="W5666" s="171"/>
      <c r="X5666" s="171"/>
      <c r="Y5666" s="171"/>
      <c r="Z5666" s="171"/>
      <c r="AA5666" s="171"/>
    </row>
    <row r="5667" spans="1:27" s="530" customFormat="1" ht="25.5" hidden="1" x14ac:dyDescent="0.2">
      <c r="A5667" s="526"/>
      <c r="B5667" s="527"/>
      <c r="C5667" s="489"/>
      <c r="D5667" s="464"/>
      <c r="E5667" s="464"/>
      <c r="F5667" s="494">
        <v>462</v>
      </c>
      <c r="G5667" s="495" t="s">
        <v>3806</v>
      </c>
      <c r="H5667" s="397"/>
      <c r="I5667" s="397"/>
      <c r="J5667" s="750" t="e">
        <f t="shared" si="71"/>
        <v>#DIV/0!</v>
      </c>
      <c r="K5667" s="398"/>
      <c r="L5667" s="398"/>
      <c r="M5667" s="682"/>
      <c r="N5667" s="171"/>
      <c r="O5667" s="171"/>
      <c r="P5667" s="171"/>
      <c r="Q5667" s="171"/>
      <c r="R5667" s="171"/>
      <c r="S5667" s="171"/>
      <c r="T5667" s="171"/>
      <c r="U5667" s="171"/>
      <c r="V5667" s="171"/>
      <c r="W5667" s="171"/>
      <c r="X5667" s="171"/>
      <c r="Y5667" s="171"/>
      <c r="Z5667" s="171"/>
      <c r="AA5667" s="171"/>
    </row>
    <row r="5668" spans="1:27" s="530" customFormat="1" hidden="1" x14ac:dyDescent="0.2">
      <c r="A5668" s="526"/>
      <c r="B5668" s="527"/>
      <c r="C5668" s="489"/>
      <c r="D5668" s="464"/>
      <c r="E5668" s="464"/>
      <c r="F5668" s="494">
        <v>4631</v>
      </c>
      <c r="G5668" s="495" t="s">
        <v>3807</v>
      </c>
      <c r="H5668" s="397"/>
      <c r="I5668" s="397"/>
      <c r="J5668" s="750" t="e">
        <f t="shared" si="71"/>
        <v>#DIV/0!</v>
      </c>
      <c r="K5668" s="398"/>
      <c r="L5668" s="398"/>
      <c r="M5668" s="682"/>
      <c r="N5668" s="171"/>
      <c r="O5668" s="171"/>
      <c r="P5668" s="171"/>
      <c r="Q5668" s="171"/>
      <c r="R5668" s="171"/>
      <c r="S5668" s="171"/>
      <c r="T5668" s="171"/>
      <c r="U5668" s="171"/>
      <c r="V5668" s="171"/>
      <c r="W5668" s="171"/>
      <c r="X5668" s="171"/>
      <c r="Y5668" s="171"/>
      <c r="Z5668" s="171"/>
      <c r="AA5668" s="171"/>
    </row>
    <row r="5669" spans="1:27" s="530" customFormat="1" hidden="1" x14ac:dyDescent="0.2">
      <c r="A5669" s="526"/>
      <c r="B5669" s="527"/>
      <c r="C5669" s="489"/>
      <c r="D5669" s="464"/>
      <c r="E5669" s="464"/>
      <c r="F5669" s="494">
        <v>4632</v>
      </c>
      <c r="G5669" s="495" t="s">
        <v>3808</v>
      </c>
      <c r="H5669" s="397"/>
      <c r="I5669" s="397"/>
      <c r="J5669" s="750" t="e">
        <f t="shared" si="71"/>
        <v>#DIV/0!</v>
      </c>
      <c r="K5669" s="398"/>
      <c r="L5669" s="398"/>
      <c r="M5669" s="682"/>
      <c r="N5669" s="171"/>
      <c r="O5669" s="171"/>
      <c r="P5669" s="171"/>
      <c r="Q5669" s="171"/>
      <c r="R5669" s="171"/>
      <c r="S5669" s="171"/>
      <c r="T5669" s="171"/>
      <c r="U5669" s="171"/>
      <c r="V5669" s="171"/>
      <c r="W5669" s="171"/>
      <c r="X5669" s="171"/>
      <c r="Y5669" s="171"/>
      <c r="Z5669" s="171"/>
      <c r="AA5669" s="171"/>
    </row>
    <row r="5670" spans="1:27" s="530" customFormat="1" ht="25.5" hidden="1" x14ac:dyDescent="0.2">
      <c r="A5670" s="526"/>
      <c r="B5670" s="527"/>
      <c r="C5670" s="489"/>
      <c r="D5670" s="464"/>
      <c r="E5670" s="464"/>
      <c r="F5670" s="494">
        <v>464</v>
      </c>
      <c r="G5670" s="495" t="s">
        <v>3809</v>
      </c>
      <c r="H5670" s="397"/>
      <c r="I5670" s="397"/>
      <c r="J5670" s="750" t="e">
        <f t="shared" si="71"/>
        <v>#DIV/0!</v>
      </c>
      <c r="K5670" s="398"/>
      <c r="L5670" s="398"/>
      <c r="M5670" s="682"/>
      <c r="N5670" s="171"/>
      <c r="O5670" s="171"/>
      <c r="P5670" s="171"/>
      <c r="Q5670" s="171"/>
      <c r="R5670" s="171"/>
      <c r="S5670" s="171"/>
      <c r="T5670" s="171"/>
      <c r="U5670" s="171"/>
      <c r="V5670" s="171"/>
      <c r="W5670" s="171"/>
      <c r="X5670" s="171"/>
      <c r="Y5670" s="171"/>
      <c r="Z5670" s="171"/>
      <c r="AA5670" s="171"/>
    </row>
    <row r="5671" spans="1:27" s="530" customFormat="1" hidden="1" x14ac:dyDescent="0.2">
      <c r="A5671" s="526"/>
      <c r="B5671" s="527"/>
      <c r="C5671" s="489"/>
      <c r="D5671" s="464"/>
      <c r="E5671" s="464"/>
      <c r="F5671" s="494">
        <v>465</v>
      </c>
      <c r="G5671" s="495" t="s">
        <v>4170</v>
      </c>
      <c r="H5671" s="397"/>
      <c r="I5671" s="397"/>
      <c r="J5671" s="750" t="e">
        <f t="shared" si="71"/>
        <v>#DIV/0!</v>
      </c>
      <c r="K5671" s="398"/>
      <c r="L5671" s="398"/>
      <c r="M5671" s="682"/>
      <c r="N5671" s="171"/>
      <c r="O5671" s="171"/>
      <c r="P5671" s="171"/>
      <c r="Q5671" s="171"/>
      <c r="R5671" s="171"/>
      <c r="S5671" s="171"/>
      <c r="T5671" s="171"/>
      <c r="U5671" s="171"/>
      <c r="V5671" s="171"/>
      <c r="W5671" s="171"/>
      <c r="X5671" s="171"/>
      <c r="Y5671" s="171"/>
      <c r="Z5671" s="171"/>
      <c r="AA5671" s="171"/>
    </row>
    <row r="5672" spans="1:27" s="530" customFormat="1" hidden="1" x14ac:dyDescent="0.2">
      <c r="A5672" s="526"/>
      <c r="B5672" s="527"/>
      <c r="C5672" s="489"/>
      <c r="D5672" s="464"/>
      <c r="E5672" s="464"/>
      <c r="F5672" s="494">
        <v>472</v>
      </c>
      <c r="G5672" s="495" t="s">
        <v>3813</v>
      </c>
      <c r="H5672" s="397"/>
      <c r="I5672" s="397"/>
      <c r="J5672" s="750" t="e">
        <f t="shared" si="71"/>
        <v>#DIV/0!</v>
      </c>
      <c r="K5672" s="398"/>
      <c r="L5672" s="398"/>
      <c r="M5672" s="682"/>
      <c r="N5672" s="171"/>
      <c r="O5672" s="171"/>
      <c r="P5672" s="171"/>
      <c r="Q5672" s="171"/>
      <c r="R5672" s="171"/>
      <c r="S5672" s="171"/>
      <c r="T5672" s="171"/>
      <c r="U5672" s="171"/>
      <c r="V5672" s="171"/>
      <c r="W5672" s="171"/>
      <c r="X5672" s="171"/>
      <c r="Y5672" s="171"/>
      <c r="Z5672" s="171"/>
      <c r="AA5672" s="171"/>
    </row>
    <row r="5673" spans="1:27" s="530" customFormat="1" hidden="1" x14ac:dyDescent="0.2">
      <c r="A5673" s="526"/>
      <c r="B5673" s="527"/>
      <c r="C5673" s="489"/>
      <c r="D5673" s="464"/>
      <c r="E5673" s="464"/>
      <c r="F5673" s="494">
        <v>481</v>
      </c>
      <c r="G5673" s="495" t="s">
        <v>4189</v>
      </c>
      <c r="H5673" s="397"/>
      <c r="I5673" s="397"/>
      <c r="J5673" s="750" t="e">
        <f t="shared" si="71"/>
        <v>#DIV/0!</v>
      </c>
      <c r="K5673" s="398"/>
      <c r="L5673" s="398"/>
      <c r="M5673" s="682"/>
      <c r="N5673" s="171"/>
      <c r="O5673" s="171"/>
      <c r="P5673" s="171"/>
      <c r="Q5673" s="171"/>
      <c r="R5673" s="171"/>
      <c r="S5673" s="171"/>
      <c r="T5673" s="171"/>
      <c r="U5673" s="171"/>
      <c r="V5673" s="171"/>
      <c r="W5673" s="171"/>
      <c r="X5673" s="171"/>
      <c r="Y5673" s="171"/>
      <c r="Z5673" s="171"/>
      <c r="AA5673" s="171"/>
    </row>
    <row r="5674" spans="1:27" s="530" customFormat="1" hidden="1" x14ac:dyDescent="0.2">
      <c r="A5674" s="526"/>
      <c r="B5674" s="527"/>
      <c r="C5674" s="489"/>
      <c r="D5674" s="464"/>
      <c r="E5674" s="464"/>
      <c r="F5674" s="494">
        <v>482</v>
      </c>
      <c r="G5674" s="495" t="s">
        <v>4190</v>
      </c>
      <c r="H5674" s="397"/>
      <c r="I5674" s="397"/>
      <c r="J5674" s="750" t="e">
        <f t="shared" si="71"/>
        <v>#DIV/0!</v>
      </c>
      <c r="K5674" s="398"/>
      <c r="L5674" s="398"/>
      <c r="M5674" s="682"/>
      <c r="N5674" s="171"/>
      <c r="O5674" s="171"/>
      <c r="P5674" s="171"/>
      <c r="Q5674" s="171"/>
      <c r="R5674" s="171"/>
      <c r="S5674" s="171"/>
      <c r="T5674" s="171"/>
      <c r="U5674" s="171"/>
      <c r="V5674" s="171"/>
      <c r="W5674" s="171"/>
      <c r="X5674" s="171"/>
      <c r="Y5674" s="171"/>
      <c r="Z5674" s="171"/>
      <c r="AA5674" s="171"/>
    </row>
    <row r="5675" spans="1:27" s="530" customFormat="1" hidden="1" x14ac:dyDescent="0.2">
      <c r="A5675" s="526"/>
      <c r="B5675" s="527"/>
      <c r="C5675" s="489"/>
      <c r="D5675" s="464"/>
      <c r="E5675" s="464"/>
      <c r="F5675" s="494">
        <v>483</v>
      </c>
      <c r="G5675" s="497" t="s">
        <v>4191</v>
      </c>
      <c r="H5675" s="397"/>
      <c r="I5675" s="397"/>
      <c r="J5675" s="750" t="e">
        <f t="shared" si="71"/>
        <v>#DIV/0!</v>
      </c>
      <c r="K5675" s="398"/>
      <c r="L5675" s="398"/>
      <c r="M5675" s="682"/>
      <c r="N5675" s="171"/>
      <c r="O5675" s="171"/>
      <c r="P5675" s="171"/>
      <c r="Q5675" s="171"/>
      <c r="R5675" s="171"/>
      <c r="S5675" s="171"/>
      <c r="T5675" s="171"/>
      <c r="U5675" s="171"/>
      <c r="V5675" s="171"/>
      <c r="W5675" s="171"/>
      <c r="X5675" s="171"/>
      <c r="Y5675" s="171"/>
      <c r="Z5675" s="171"/>
      <c r="AA5675" s="171"/>
    </row>
    <row r="5676" spans="1:27" s="530" customFormat="1" ht="38.25" hidden="1" x14ac:dyDescent="0.2">
      <c r="A5676" s="526"/>
      <c r="B5676" s="527"/>
      <c r="C5676" s="489"/>
      <c r="D5676" s="464"/>
      <c r="E5676" s="464"/>
      <c r="F5676" s="494">
        <v>484</v>
      </c>
      <c r="G5676" s="495" t="s">
        <v>4192</v>
      </c>
      <c r="H5676" s="397"/>
      <c r="I5676" s="397"/>
      <c r="J5676" s="750" t="e">
        <f t="shared" si="71"/>
        <v>#DIV/0!</v>
      </c>
      <c r="K5676" s="398"/>
      <c r="L5676" s="398"/>
      <c r="M5676" s="682"/>
      <c r="N5676" s="171"/>
      <c r="O5676" s="171"/>
      <c r="P5676" s="171"/>
      <c r="Q5676" s="171"/>
      <c r="R5676" s="171"/>
      <c r="S5676" s="171"/>
      <c r="T5676" s="171"/>
      <c r="U5676" s="171"/>
      <c r="V5676" s="171"/>
      <c r="W5676" s="171"/>
      <c r="X5676" s="171"/>
      <c r="Y5676" s="171"/>
      <c r="Z5676" s="171"/>
      <c r="AA5676" s="171"/>
    </row>
    <row r="5677" spans="1:27" s="530" customFormat="1" ht="25.5" hidden="1" x14ac:dyDescent="0.2">
      <c r="A5677" s="526"/>
      <c r="B5677" s="527"/>
      <c r="C5677" s="489"/>
      <c r="D5677" s="464"/>
      <c r="E5677" s="464"/>
      <c r="F5677" s="494">
        <v>485</v>
      </c>
      <c r="G5677" s="495" t="s">
        <v>4193</v>
      </c>
      <c r="H5677" s="397"/>
      <c r="I5677" s="397"/>
      <c r="J5677" s="750" t="e">
        <f t="shared" si="71"/>
        <v>#DIV/0!</v>
      </c>
      <c r="K5677" s="398"/>
      <c r="L5677" s="398"/>
      <c r="M5677" s="682"/>
      <c r="N5677" s="171"/>
      <c r="O5677" s="171"/>
      <c r="P5677" s="171"/>
      <c r="Q5677" s="171"/>
      <c r="R5677" s="171"/>
      <c r="S5677" s="171"/>
      <c r="T5677" s="171"/>
      <c r="U5677" s="171"/>
      <c r="V5677" s="171"/>
      <c r="W5677" s="171"/>
      <c r="X5677" s="171"/>
      <c r="Y5677" s="171"/>
      <c r="Z5677" s="171"/>
      <c r="AA5677" s="171"/>
    </row>
    <row r="5678" spans="1:27" s="530" customFormat="1" ht="25.5" hidden="1" x14ac:dyDescent="0.2">
      <c r="A5678" s="526"/>
      <c r="B5678" s="527"/>
      <c r="C5678" s="489"/>
      <c r="D5678" s="464"/>
      <c r="E5678" s="464"/>
      <c r="F5678" s="494">
        <v>489</v>
      </c>
      <c r="G5678" s="495" t="s">
        <v>3821</v>
      </c>
      <c r="H5678" s="397"/>
      <c r="I5678" s="397"/>
      <c r="J5678" s="750" t="e">
        <f t="shared" si="71"/>
        <v>#DIV/0!</v>
      </c>
      <c r="K5678" s="398"/>
      <c r="L5678" s="398"/>
      <c r="M5678" s="682"/>
      <c r="N5678" s="171"/>
      <c r="O5678" s="171"/>
      <c r="P5678" s="171"/>
      <c r="Q5678" s="171"/>
      <c r="R5678" s="171"/>
      <c r="S5678" s="171"/>
      <c r="T5678" s="171"/>
      <c r="U5678" s="171"/>
      <c r="V5678" s="171"/>
      <c r="W5678" s="171"/>
      <c r="X5678" s="171"/>
      <c r="Y5678" s="171"/>
      <c r="Z5678" s="171"/>
      <c r="AA5678" s="171"/>
    </row>
    <row r="5679" spans="1:27" s="530" customFormat="1" ht="25.5" hidden="1" x14ac:dyDescent="0.2">
      <c r="A5679" s="526"/>
      <c r="B5679" s="527"/>
      <c r="C5679" s="489"/>
      <c r="D5679" s="464"/>
      <c r="E5679" s="464"/>
      <c r="F5679" s="494">
        <v>494</v>
      </c>
      <c r="G5679" s="495" t="s">
        <v>4171</v>
      </c>
      <c r="H5679" s="397"/>
      <c r="I5679" s="397"/>
      <c r="J5679" s="750" t="e">
        <f t="shared" si="71"/>
        <v>#DIV/0!</v>
      </c>
      <c r="K5679" s="398"/>
      <c r="L5679" s="398"/>
      <c r="M5679" s="682"/>
      <c r="N5679" s="171"/>
      <c r="O5679" s="171"/>
      <c r="P5679" s="171"/>
      <c r="Q5679" s="171"/>
      <c r="R5679" s="171"/>
      <c r="S5679" s="171"/>
      <c r="T5679" s="171"/>
      <c r="U5679" s="171"/>
      <c r="V5679" s="171"/>
      <c r="W5679" s="171"/>
      <c r="X5679" s="171"/>
      <c r="Y5679" s="171"/>
      <c r="Z5679" s="171"/>
      <c r="AA5679" s="171"/>
    </row>
    <row r="5680" spans="1:27" s="530" customFormat="1" ht="25.5" hidden="1" x14ac:dyDescent="0.2">
      <c r="A5680" s="526"/>
      <c r="B5680" s="527"/>
      <c r="C5680" s="489"/>
      <c r="D5680" s="464"/>
      <c r="E5680" s="464"/>
      <c r="F5680" s="494">
        <v>495</v>
      </c>
      <c r="G5680" s="495" t="s">
        <v>4172</v>
      </c>
      <c r="H5680" s="397"/>
      <c r="I5680" s="397"/>
      <c r="J5680" s="750" t="e">
        <f t="shared" si="71"/>
        <v>#DIV/0!</v>
      </c>
      <c r="K5680" s="398"/>
      <c r="L5680" s="398"/>
      <c r="M5680" s="682"/>
      <c r="N5680" s="171"/>
      <c r="O5680" s="171"/>
      <c r="P5680" s="171"/>
      <c r="Q5680" s="171"/>
      <c r="R5680" s="171"/>
      <c r="S5680" s="171"/>
      <c r="T5680" s="171"/>
      <c r="U5680" s="171"/>
      <c r="V5680" s="171"/>
      <c r="W5680" s="171"/>
      <c r="X5680" s="171"/>
      <c r="Y5680" s="171"/>
      <c r="Z5680" s="171"/>
      <c r="AA5680" s="171"/>
    </row>
    <row r="5681" spans="1:27" s="530" customFormat="1" ht="38.25" hidden="1" x14ac:dyDescent="0.2">
      <c r="A5681" s="526"/>
      <c r="B5681" s="527"/>
      <c r="C5681" s="489"/>
      <c r="D5681" s="464"/>
      <c r="E5681" s="464"/>
      <c r="F5681" s="494">
        <v>496</v>
      </c>
      <c r="G5681" s="495" t="s">
        <v>4173</v>
      </c>
      <c r="H5681" s="397"/>
      <c r="I5681" s="397"/>
      <c r="J5681" s="750" t="e">
        <f t="shared" si="71"/>
        <v>#DIV/0!</v>
      </c>
      <c r="K5681" s="398"/>
      <c r="L5681" s="398"/>
      <c r="M5681" s="682"/>
      <c r="N5681" s="171"/>
      <c r="O5681" s="171"/>
      <c r="P5681" s="171"/>
      <c r="Q5681" s="171"/>
      <c r="R5681" s="171"/>
      <c r="S5681" s="171"/>
      <c r="T5681" s="171"/>
      <c r="U5681" s="171"/>
      <c r="V5681" s="171"/>
      <c r="W5681" s="171"/>
      <c r="X5681" s="171"/>
      <c r="Y5681" s="171"/>
      <c r="Z5681" s="171"/>
      <c r="AA5681" s="171"/>
    </row>
    <row r="5682" spans="1:27" s="530" customFormat="1" ht="25.5" hidden="1" x14ac:dyDescent="0.2">
      <c r="A5682" s="526"/>
      <c r="B5682" s="527"/>
      <c r="C5682" s="489"/>
      <c r="D5682" s="464"/>
      <c r="E5682" s="464"/>
      <c r="F5682" s="494">
        <v>499</v>
      </c>
      <c r="G5682" s="495" t="s">
        <v>4174</v>
      </c>
      <c r="H5682" s="397"/>
      <c r="I5682" s="397"/>
      <c r="J5682" s="750" t="e">
        <f t="shared" si="71"/>
        <v>#DIV/0!</v>
      </c>
      <c r="K5682" s="398"/>
      <c r="L5682" s="398"/>
      <c r="M5682" s="682"/>
      <c r="N5682" s="171"/>
      <c r="O5682" s="171"/>
      <c r="P5682" s="171"/>
      <c r="Q5682" s="171"/>
      <c r="R5682" s="171"/>
      <c r="S5682" s="171"/>
      <c r="T5682" s="171"/>
      <c r="U5682" s="171"/>
      <c r="V5682" s="171"/>
      <c r="W5682" s="171"/>
      <c r="X5682" s="171"/>
      <c r="Y5682" s="171"/>
      <c r="Z5682" s="171"/>
      <c r="AA5682" s="171"/>
    </row>
    <row r="5683" spans="1:27" s="530" customFormat="1" hidden="1" x14ac:dyDescent="0.2">
      <c r="A5683" s="526"/>
      <c r="B5683" s="527"/>
      <c r="C5683" s="489"/>
      <c r="D5683" s="464"/>
      <c r="E5683" s="464"/>
      <c r="F5683" s="494">
        <v>511</v>
      </c>
      <c r="G5683" s="497" t="s">
        <v>4194</v>
      </c>
      <c r="H5683" s="397"/>
      <c r="I5683" s="397"/>
      <c r="J5683" s="750" t="e">
        <f t="shared" si="71"/>
        <v>#DIV/0!</v>
      </c>
      <c r="K5683" s="398"/>
      <c r="L5683" s="398"/>
      <c r="M5683" s="682"/>
      <c r="N5683" s="171"/>
      <c r="O5683" s="171"/>
      <c r="P5683" s="171"/>
      <c r="Q5683" s="171"/>
      <c r="R5683" s="171"/>
      <c r="S5683" s="171"/>
      <c r="T5683" s="171"/>
      <c r="U5683" s="171"/>
      <c r="V5683" s="171"/>
      <c r="W5683" s="171"/>
      <c r="X5683" s="171"/>
      <c r="Y5683" s="171"/>
      <c r="Z5683" s="171"/>
      <c r="AA5683" s="171"/>
    </row>
    <row r="5684" spans="1:27" s="530" customFormat="1" hidden="1" x14ac:dyDescent="0.2">
      <c r="A5684" s="526"/>
      <c r="B5684" s="527"/>
      <c r="C5684" s="489"/>
      <c r="D5684" s="464"/>
      <c r="E5684" s="464"/>
      <c r="F5684" s="494">
        <v>512</v>
      </c>
      <c r="G5684" s="497" t="s">
        <v>4195</v>
      </c>
      <c r="H5684" s="397"/>
      <c r="I5684" s="397"/>
      <c r="J5684" s="750" t="e">
        <f t="shared" si="71"/>
        <v>#DIV/0!</v>
      </c>
      <c r="K5684" s="398"/>
      <c r="L5684" s="398"/>
      <c r="M5684" s="682"/>
      <c r="N5684" s="171"/>
      <c r="O5684" s="171"/>
      <c r="P5684" s="171"/>
      <c r="Q5684" s="171"/>
      <c r="R5684" s="171"/>
      <c r="S5684" s="171"/>
      <c r="T5684" s="171"/>
      <c r="U5684" s="171"/>
      <c r="V5684" s="171"/>
      <c r="W5684" s="171"/>
      <c r="X5684" s="171"/>
      <c r="Y5684" s="171"/>
      <c r="Z5684" s="171"/>
      <c r="AA5684" s="171"/>
    </row>
    <row r="5685" spans="1:27" s="530" customFormat="1" hidden="1" x14ac:dyDescent="0.2">
      <c r="A5685" s="526"/>
      <c r="B5685" s="527"/>
      <c r="C5685" s="489"/>
      <c r="D5685" s="464"/>
      <c r="E5685" s="464"/>
      <c r="F5685" s="494">
        <v>513</v>
      </c>
      <c r="G5685" s="497" t="s">
        <v>4196</v>
      </c>
      <c r="H5685" s="397"/>
      <c r="I5685" s="397"/>
      <c r="J5685" s="750" t="e">
        <f t="shared" si="71"/>
        <v>#DIV/0!</v>
      </c>
      <c r="K5685" s="398"/>
      <c r="L5685" s="398"/>
      <c r="M5685" s="682"/>
      <c r="N5685" s="171"/>
      <c r="O5685" s="171"/>
      <c r="P5685" s="171"/>
      <c r="Q5685" s="171"/>
      <c r="R5685" s="171"/>
      <c r="S5685" s="171"/>
      <c r="T5685" s="171"/>
      <c r="U5685" s="171"/>
      <c r="V5685" s="171"/>
      <c r="W5685" s="171"/>
      <c r="X5685" s="171"/>
      <c r="Y5685" s="171"/>
      <c r="Z5685" s="171"/>
      <c r="AA5685" s="171"/>
    </row>
    <row r="5686" spans="1:27" s="530" customFormat="1" hidden="1" x14ac:dyDescent="0.2">
      <c r="A5686" s="526"/>
      <c r="B5686" s="527"/>
      <c r="C5686" s="489"/>
      <c r="D5686" s="464"/>
      <c r="E5686" s="464"/>
      <c r="F5686" s="494">
        <v>514</v>
      </c>
      <c r="G5686" s="495" t="s">
        <v>4197</v>
      </c>
      <c r="H5686" s="397"/>
      <c r="I5686" s="397"/>
      <c r="J5686" s="750" t="e">
        <f t="shared" si="71"/>
        <v>#DIV/0!</v>
      </c>
      <c r="K5686" s="398"/>
      <c r="L5686" s="398"/>
      <c r="M5686" s="682"/>
      <c r="N5686" s="171"/>
      <c r="O5686" s="171"/>
      <c r="P5686" s="171"/>
      <c r="Q5686" s="171"/>
      <c r="R5686" s="171"/>
      <c r="S5686" s="171"/>
      <c r="T5686" s="171"/>
      <c r="U5686" s="171"/>
      <c r="V5686" s="171"/>
      <c r="W5686" s="171"/>
      <c r="X5686" s="171"/>
      <c r="Y5686" s="171"/>
      <c r="Z5686" s="171"/>
      <c r="AA5686" s="171"/>
    </row>
    <row r="5687" spans="1:27" s="530" customFormat="1" hidden="1" x14ac:dyDescent="0.2">
      <c r="A5687" s="526"/>
      <c r="B5687" s="527"/>
      <c r="C5687" s="489"/>
      <c r="D5687" s="464"/>
      <c r="E5687" s="464"/>
      <c r="F5687" s="494">
        <v>515</v>
      </c>
      <c r="G5687" s="495" t="s">
        <v>3832</v>
      </c>
      <c r="H5687" s="397"/>
      <c r="I5687" s="397"/>
      <c r="J5687" s="750" t="e">
        <f t="shared" si="71"/>
        <v>#DIV/0!</v>
      </c>
      <c r="K5687" s="398"/>
      <c r="L5687" s="398"/>
      <c r="M5687" s="682"/>
      <c r="N5687" s="171"/>
      <c r="O5687" s="171"/>
      <c r="P5687" s="171"/>
      <c r="Q5687" s="171"/>
      <c r="R5687" s="171"/>
      <c r="S5687" s="171"/>
      <c r="T5687" s="171"/>
      <c r="U5687" s="171"/>
      <c r="V5687" s="171"/>
      <c r="W5687" s="171"/>
      <c r="X5687" s="171"/>
      <c r="Y5687" s="171"/>
      <c r="Z5687" s="171"/>
      <c r="AA5687" s="171"/>
    </row>
    <row r="5688" spans="1:27" s="530" customFormat="1" hidden="1" x14ac:dyDescent="0.2">
      <c r="A5688" s="526"/>
      <c r="B5688" s="527"/>
      <c r="C5688" s="489"/>
      <c r="D5688" s="464"/>
      <c r="E5688" s="464"/>
      <c r="F5688" s="494">
        <v>521</v>
      </c>
      <c r="G5688" s="495" t="s">
        <v>4198</v>
      </c>
      <c r="H5688" s="397"/>
      <c r="I5688" s="397"/>
      <c r="J5688" s="750" t="e">
        <f t="shared" si="71"/>
        <v>#DIV/0!</v>
      </c>
      <c r="K5688" s="398"/>
      <c r="L5688" s="398"/>
      <c r="M5688" s="682"/>
      <c r="N5688" s="171"/>
      <c r="O5688" s="171"/>
      <c r="P5688" s="171"/>
      <c r="Q5688" s="171"/>
      <c r="R5688" s="171"/>
      <c r="S5688" s="171"/>
      <c r="T5688" s="171"/>
      <c r="U5688" s="171"/>
      <c r="V5688" s="171"/>
      <c r="W5688" s="171"/>
      <c r="X5688" s="171"/>
      <c r="Y5688" s="171"/>
      <c r="Z5688" s="171"/>
      <c r="AA5688" s="171"/>
    </row>
    <row r="5689" spans="1:27" s="530" customFormat="1" hidden="1" x14ac:dyDescent="0.2">
      <c r="A5689" s="526"/>
      <c r="B5689" s="527"/>
      <c r="C5689" s="489"/>
      <c r="D5689" s="464"/>
      <c r="E5689" s="464"/>
      <c r="F5689" s="494">
        <v>522</v>
      </c>
      <c r="G5689" s="495" t="s">
        <v>4199</v>
      </c>
      <c r="H5689" s="397"/>
      <c r="I5689" s="397"/>
      <c r="J5689" s="750" t="e">
        <f t="shared" si="71"/>
        <v>#DIV/0!</v>
      </c>
      <c r="K5689" s="398"/>
      <c r="L5689" s="398"/>
      <c r="M5689" s="682"/>
      <c r="N5689" s="171"/>
      <c r="O5689" s="171"/>
      <c r="P5689" s="171"/>
      <c r="Q5689" s="171"/>
      <c r="R5689" s="171"/>
      <c r="S5689" s="171"/>
      <c r="T5689" s="171"/>
      <c r="U5689" s="171"/>
      <c r="V5689" s="171"/>
      <c r="W5689" s="171"/>
      <c r="X5689" s="171"/>
      <c r="Y5689" s="171"/>
      <c r="Z5689" s="171"/>
      <c r="AA5689" s="171"/>
    </row>
    <row r="5690" spans="1:27" s="530" customFormat="1" hidden="1" x14ac:dyDescent="0.2">
      <c r="A5690" s="526"/>
      <c r="B5690" s="527"/>
      <c r="C5690" s="489"/>
      <c r="D5690" s="464"/>
      <c r="E5690" s="464"/>
      <c r="F5690" s="494">
        <v>523</v>
      </c>
      <c r="G5690" s="495" t="s">
        <v>3837</v>
      </c>
      <c r="H5690" s="397"/>
      <c r="I5690" s="397"/>
      <c r="J5690" s="750" t="e">
        <f t="shared" si="71"/>
        <v>#DIV/0!</v>
      </c>
      <c r="K5690" s="398"/>
      <c r="L5690" s="398"/>
      <c r="M5690" s="682"/>
      <c r="N5690" s="171"/>
      <c r="O5690" s="171"/>
      <c r="P5690" s="171"/>
      <c r="Q5690" s="171"/>
      <c r="R5690" s="171"/>
      <c r="S5690" s="171"/>
      <c r="T5690" s="171"/>
      <c r="U5690" s="171"/>
      <c r="V5690" s="171"/>
      <c r="W5690" s="171"/>
      <c r="X5690" s="171"/>
      <c r="Y5690" s="171"/>
      <c r="Z5690" s="171"/>
      <c r="AA5690" s="171"/>
    </row>
    <row r="5691" spans="1:27" s="530" customFormat="1" hidden="1" x14ac:dyDescent="0.2">
      <c r="A5691" s="526"/>
      <c r="B5691" s="527"/>
      <c r="C5691" s="489"/>
      <c r="D5691" s="464"/>
      <c r="E5691" s="464"/>
      <c r="F5691" s="494">
        <v>531</v>
      </c>
      <c r="G5691" s="496" t="s">
        <v>4175</v>
      </c>
      <c r="H5691" s="397"/>
      <c r="I5691" s="397"/>
      <c r="J5691" s="750" t="e">
        <f t="shared" si="71"/>
        <v>#DIV/0!</v>
      </c>
      <c r="K5691" s="398"/>
      <c r="L5691" s="398"/>
      <c r="M5691" s="682"/>
      <c r="N5691" s="171"/>
      <c r="O5691" s="171"/>
      <c r="P5691" s="171"/>
      <c r="Q5691" s="171"/>
      <c r="R5691" s="171"/>
      <c r="S5691" s="171"/>
      <c r="T5691" s="171"/>
      <c r="U5691" s="171"/>
      <c r="V5691" s="171"/>
      <c r="W5691" s="171"/>
      <c r="X5691" s="171"/>
      <c r="Y5691" s="171"/>
      <c r="Z5691" s="171"/>
      <c r="AA5691" s="171"/>
    </row>
    <row r="5692" spans="1:27" s="530" customFormat="1" hidden="1" x14ac:dyDescent="0.2">
      <c r="A5692" s="526"/>
      <c r="B5692" s="527"/>
      <c r="C5692" s="489"/>
      <c r="D5692" s="464"/>
      <c r="E5692" s="464"/>
      <c r="F5692" s="494">
        <v>541</v>
      </c>
      <c r="G5692" s="495" t="s">
        <v>4200</v>
      </c>
      <c r="H5692" s="397"/>
      <c r="I5692" s="397"/>
      <c r="J5692" s="750" t="e">
        <f t="shared" si="71"/>
        <v>#DIV/0!</v>
      </c>
      <c r="K5692" s="398"/>
      <c r="L5692" s="398"/>
      <c r="M5692" s="682"/>
      <c r="N5692" s="171"/>
      <c r="O5692" s="171"/>
      <c r="P5692" s="171"/>
      <c r="Q5692" s="171"/>
      <c r="R5692" s="171"/>
      <c r="S5692" s="171"/>
      <c r="T5692" s="171"/>
      <c r="U5692" s="171"/>
      <c r="V5692" s="171"/>
      <c r="W5692" s="171"/>
      <c r="X5692" s="171"/>
      <c r="Y5692" s="171"/>
      <c r="Z5692" s="171"/>
      <c r="AA5692" s="171"/>
    </row>
    <row r="5693" spans="1:27" s="530" customFormat="1" hidden="1" x14ac:dyDescent="0.2">
      <c r="A5693" s="526"/>
      <c r="B5693" s="527"/>
      <c r="C5693" s="489"/>
      <c r="D5693" s="464"/>
      <c r="E5693" s="464"/>
      <c r="F5693" s="494">
        <v>542</v>
      </c>
      <c r="G5693" s="495" t="s">
        <v>4201</v>
      </c>
      <c r="H5693" s="397"/>
      <c r="I5693" s="397"/>
      <c r="J5693" s="750" t="e">
        <f t="shared" si="71"/>
        <v>#DIV/0!</v>
      </c>
      <c r="K5693" s="398"/>
      <c r="L5693" s="398"/>
      <c r="M5693" s="682"/>
      <c r="N5693" s="171"/>
      <c r="O5693" s="171"/>
      <c r="P5693" s="171"/>
      <c r="Q5693" s="171"/>
      <c r="R5693" s="171"/>
      <c r="S5693" s="171"/>
      <c r="T5693" s="171"/>
      <c r="U5693" s="171"/>
      <c r="V5693" s="171"/>
      <c r="W5693" s="171"/>
      <c r="X5693" s="171"/>
      <c r="Y5693" s="171"/>
      <c r="Z5693" s="171"/>
      <c r="AA5693" s="171"/>
    </row>
    <row r="5694" spans="1:27" s="530" customFormat="1" hidden="1" x14ac:dyDescent="0.2">
      <c r="A5694" s="526"/>
      <c r="B5694" s="527"/>
      <c r="C5694" s="489"/>
      <c r="D5694" s="464"/>
      <c r="E5694" s="464"/>
      <c r="F5694" s="494">
        <v>543</v>
      </c>
      <c r="G5694" s="495" t="s">
        <v>3842</v>
      </c>
      <c r="H5694" s="397"/>
      <c r="I5694" s="397"/>
      <c r="J5694" s="750" t="e">
        <f t="shared" si="71"/>
        <v>#DIV/0!</v>
      </c>
      <c r="K5694" s="398"/>
      <c r="L5694" s="398"/>
      <c r="M5694" s="682"/>
      <c r="N5694" s="171"/>
      <c r="O5694" s="171"/>
      <c r="P5694" s="171"/>
      <c r="Q5694" s="171"/>
      <c r="R5694" s="171"/>
      <c r="S5694" s="171"/>
      <c r="T5694" s="171"/>
      <c r="U5694" s="171"/>
      <c r="V5694" s="171"/>
      <c r="W5694" s="171"/>
      <c r="X5694" s="171"/>
      <c r="Y5694" s="171"/>
      <c r="Z5694" s="171"/>
      <c r="AA5694" s="171"/>
    </row>
    <row r="5695" spans="1:27" s="530" customFormat="1" ht="38.25" hidden="1" x14ac:dyDescent="0.2">
      <c r="A5695" s="526"/>
      <c r="B5695" s="527"/>
      <c r="C5695" s="489"/>
      <c r="D5695" s="464"/>
      <c r="E5695" s="464"/>
      <c r="F5695" s="494">
        <v>551</v>
      </c>
      <c r="G5695" s="495" t="s">
        <v>4176</v>
      </c>
      <c r="H5695" s="397"/>
      <c r="I5695" s="397"/>
      <c r="J5695" s="750" t="e">
        <f t="shared" si="71"/>
        <v>#DIV/0!</v>
      </c>
      <c r="K5695" s="398"/>
      <c r="L5695" s="398"/>
      <c r="M5695" s="682"/>
      <c r="N5695" s="171"/>
      <c r="O5695" s="171"/>
      <c r="P5695" s="171"/>
      <c r="Q5695" s="171"/>
      <c r="R5695" s="171"/>
      <c r="S5695" s="171"/>
      <c r="T5695" s="171"/>
      <c r="U5695" s="171"/>
      <c r="V5695" s="171"/>
      <c r="W5695" s="171"/>
      <c r="X5695" s="171"/>
      <c r="Y5695" s="171"/>
      <c r="Z5695" s="171"/>
      <c r="AA5695" s="171"/>
    </row>
    <row r="5696" spans="1:27" s="530" customFormat="1" hidden="1" x14ac:dyDescent="0.2">
      <c r="A5696" s="526"/>
      <c r="B5696" s="527"/>
      <c r="C5696" s="489"/>
      <c r="D5696" s="464"/>
      <c r="E5696" s="464"/>
      <c r="F5696" s="498">
        <v>611</v>
      </c>
      <c r="G5696" s="499" t="s">
        <v>3848</v>
      </c>
      <c r="H5696" s="397"/>
      <c r="I5696" s="397"/>
      <c r="J5696" s="750" t="e">
        <f t="shared" si="71"/>
        <v>#DIV/0!</v>
      </c>
      <c r="K5696" s="398"/>
      <c r="L5696" s="398"/>
      <c r="M5696" s="682"/>
      <c r="N5696" s="171"/>
      <c r="O5696" s="171"/>
      <c r="P5696" s="171"/>
      <c r="Q5696" s="171"/>
      <c r="R5696" s="171"/>
      <c r="S5696" s="171"/>
      <c r="T5696" s="171"/>
      <c r="U5696" s="171"/>
      <c r="V5696" s="171"/>
      <c r="W5696" s="171"/>
      <c r="X5696" s="171"/>
      <c r="Y5696" s="171"/>
      <c r="Z5696" s="171"/>
      <c r="AA5696" s="171"/>
    </row>
    <row r="5697" spans="1:27" s="530" customFormat="1" hidden="1" x14ac:dyDescent="0.2">
      <c r="A5697" s="526"/>
      <c r="B5697" s="527"/>
      <c r="C5697" s="489"/>
      <c r="D5697" s="464"/>
      <c r="E5697" s="464"/>
      <c r="F5697" s="498">
        <v>620</v>
      </c>
      <c r="G5697" s="499" t="s">
        <v>88</v>
      </c>
      <c r="H5697" s="397"/>
      <c r="I5697" s="397"/>
      <c r="J5697" s="750" t="e">
        <f t="shared" si="71"/>
        <v>#DIV/0!</v>
      </c>
      <c r="K5697" s="398"/>
      <c r="L5697" s="398"/>
      <c r="M5697" s="682"/>
      <c r="N5697" s="171"/>
      <c r="O5697" s="171"/>
      <c r="P5697" s="171"/>
      <c r="Q5697" s="171"/>
      <c r="R5697" s="171"/>
      <c r="S5697" s="171"/>
      <c r="T5697" s="171"/>
      <c r="U5697" s="171"/>
      <c r="V5697" s="171"/>
      <c r="W5697" s="171"/>
      <c r="X5697" s="171"/>
      <c r="Y5697" s="171"/>
      <c r="Z5697" s="171"/>
      <c r="AA5697" s="171"/>
    </row>
    <row r="5698" spans="1:27" s="530" customFormat="1" hidden="1" x14ac:dyDescent="0.2">
      <c r="A5698" s="526"/>
      <c r="B5698" s="527"/>
      <c r="C5698" s="489"/>
      <c r="D5698" s="464"/>
      <c r="E5698" s="500"/>
      <c r="F5698" s="498"/>
      <c r="G5698" s="509" t="s">
        <v>4371</v>
      </c>
      <c r="H5698" s="400"/>
      <c r="I5698" s="400"/>
      <c r="J5698" s="750" t="e">
        <f t="shared" si="71"/>
        <v>#DIV/0!</v>
      </c>
      <c r="K5698" s="401"/>
      <c r="L5698" s="402"/>
      <c r="M5698" s="682"/>
      <c r="N5698" s="171"/>
      <c r="O5698" s="171"/>
      <c r="P5698" s="171"/>
      <c r="Q5698" s="171"/>
      <c r="R5698" s="171"/>
      <c r="S5698" s="171"/>
      <c r="T5698" s="171"/>
      <c r="U5698" s="171"/>
      <c r="V5698" s="171"/>
      <c r="W5698" s="171"/>
      <c r="X5698" s="171"/>
      <c r="Y5698" s="171"/>
      <c r="Z5698" s="171"/>
      <c r="AA5698" s="171"/>
    </row>
    <row r="5699" spans="1:27" s="530" customFormat="1" hidden="1" x14ac:dyDescent="0.2">
      <c r="A5699" s="526"/>
      <c r="B5699" s="527"/>
      <c r="C5699" s="489"/>
      <c r="D5699" s="464"/>
      <c r="E5699" s="502"/>
      <c r="F5699" s="503" t="s">
        <v>234</v>
      </c>
      <c r="G5699" s="504" t="s">
        <v>235</v>
      </c>
      <c r="H5699" s="403">
        <f>SUM(H5638:H5697)</f>
        <v>0</v>
      </c>
      <c r="I5699" s="403"/>
      <c r="J5699" s="750" t="e">
        <f t="shared" si="71"/>
        <v>#DIV/0!</v>
      </c>
      <c r="K5699" s="404"/>
      <c r="L5699" s="404"/>
      <c r="M5699" s="682"/>
      <c r="N5699" s="171"/>
      <c r="O5699" s="171"/>
      <c r="P5699" s="171"/>
      <c r="Q5699" s="171"/>
      <c r="R5699" s="171"/>
      <c r="S5699" s="171"/>
      <c r="T5699" s="171"/>
      <c r="U5699" s="171"/>
      <c r="V5699" s="171"/>
      <c r="W5699" s="171"/>
      <c r="X5699" s="171"/>
      <c r="Y5699" s="171"/>
      <c r="Z5699" s="171"/>
      <c r="AA5699" s="171"/>
    </row>
    <row r="5700" spans="1:27" s="530" customFormat="1" hidden="1" x14ac:dyDescent="0.2">
      <c r="A5700" s="526"/>
      <c r="B5700" s="527"/>
      <c r="C5700" s="489"/>
      <c r="D5700" s="464"/>
      <c r="E5700" s="464"/>
      <c r="F5700" s="503" t="s">
        <v>236</v>
      </c>
      <c r="G5700" s="504" t="s">
        <v>237</v>
      </c>
      <c r="H5700" s="397"/>
      <c r="I5700" s="397"/>
      <c r="J5700" s="750" t="e">
        <f t="shared" si="71"/>
        <v>#DIV/0!</v>
      </c>
      <c r="K5700" s="398"/>
      <c r="L5700" s="404"/>
      <c r="M5700" s="682"/>
      <c r="N5700" s="171"/>
      <c r="O5700" s="171"/>
      <c r="P5700" s="171"/>
      <c r="Q5700" s="171"/>
      <c r="R5700" s="171"/>
      <c r="S5700" s="171"/>
      <c r="T5700" s="171"/>
      <c r="U5700" s="171"/>
      <c r="V5700" s="171"/>
      <c r="W5700" s="171"/>
      <c r="X5700" s="171"/>
      <c r="Y5700" s="171"/>
      <c r="Z5700" s="171"/>
      <c r="AA5700" s="171"/>
    </row>
    <row r="5701" spans="1:27" s="530" customFormat="1" hidden="1" x14ac:dyDescent="0.2">
      <c r="A5701" s="526"/>
      <c r="B5701" s="527"/>
      <c r="C5701" s="489"/>
      <c r="D5701" s="464"/>
      <c r="E5701" s="464"/>
      <c r="F5701" s="503" t="s">
        <v>238</v>
      </c>
      <c r="G5701" s="504" t="s">
        <v>239</v>
      </c>
      <c r="H5701" s="397"/>
      <c r="I5701" s="397"/>
      <c r="J5701" s="750" t="e">
        <f t="shared" si="71"/>
        <v>#DIV/0!</v>
      </c>
      <c r="K5701" s="398"/>
      <c r="L5701" s="404"/>
      <c r="M5701" s="682"/>
      <c r="N5701" s="171"/>
      <c r="O5701" s="171"/>
      <c r="P5701" s="171"/>
      <c r="Q5701" s="171"/>
      <c r="R5701" s="171"/>
      <c r="S5701" s="171"/>
      <c r="T5701" s="171"/>
      <c r="U5701" s="171"/>
      <c r="V5701" s="171"/>
      <c r="W5701" s="171"/>
      <c r="X5701" s="171"/>
      <c r="Y5701" s="171"/>
      <c r="Z5701" s="171"/>
      <c r="AA5701" s="171"/>
    </row>
    <row r="5702" spans="1:27" s="530" customFormat="1" hidden="1" x14ac:dyDescent="0.2">
      <c r="A5702" s="526"/>
      <c r="B5702" s="527"/>
      <c r="C5702" s="489"/>
      <c r="D5702" s="464"/>
      <c r="E5702" s="464"/>
      <c r="F5702" s="503" t="s">
        <v>240</v>
      </c>
      <c r="G5702" s="504" t="s">
        <v>241</v>
      </c>
      <c r="H5702" s="397"/>
      <c r="I5702" s="397"/>
      <c r="J5702" s="750" t="e">
        <f t="shared" si="71"/>
        <v>#DIV/0!</v>
      </c>
      <c r="K5702" s="398"/>
      <c r="L5702" s="404"/>
      <c r="M5702" s="682"/>
      <c r="N5702" s="171"/>
      <c r="O5702" s="171"/>
      <c r="P5702" s="171"/>
      <c r="Q5702" s="171"/>
      <c r="R5702" s="171"/>
      <c r="S5702" s="171"/>
      <c r="T5702" s="171"/>
      <c r="U5702" s="171"/>
      <c r="V5702" s="171"/>
      <c r="W5702" s="171"/>
      <c r="X5702" s="171"/>
      <c r="Y5702" s="171"/>
      <c r="Z5702" s="171"/>
      <c r="AA5702" s="171"/>
    </row>
    <row r="5703" spans="1:27" s="530" customFormat="1" hidden="1" x14ac:dyDescent="0.2">
      <c r="A5703" s="526"/>
      <c r="B5703" s="527"/>
      <c r="C5703" s="489"/>
      <c r="D5703" s="464"/>
      <c r="E5703" s="464"/>
      <c r="F5703" s="503" t="s">
        <v>242</v>
      </c>
      <c r="G5703" s="504" t="s">
        <v>243</v>
      </c>
      <c r="H5703" s="397"/>
      <c r="I5703" s="397"/>
      <c r="J5703" s="750" t="e">
        <f t="shared" si="71"/>
        <v>#DIV/0!</v>
      </c>
      <c r="K5703" s="398"/>
      <c r="L5703" s="404"/>
      <c r="M5703" s="682"/>
      <c r="N5703" s="171"/>
      <c r="O5703" s="171"/>
      <c r="P5703" s="171"/>
      <c r="Q5703" s="171"/>
      <c r="R5703" s="171"/>
      <c r="S5703" s="171"/>
      <c r="T5703" s="171"/>
      <c r="U5703" s="171"/>
      <c r="V5703" s="171"/>
      <c r="W5703" s="171"/>
      <c r="X5703" s="171"/>
      <c r="Y5703" s="171"/>
      <c r="Z5703" s="171"/>
      <c r="AA5703" s="171"/>
    </row>
    <row r="5704" spans="1:27" s="530" customFormat="1" hidden="1" x14ac:dyDescent="0.2">
      <c r="A5704" s="526"/>
      <c r="B5704" s="527"/>
      <c r="C5704" s="489"/>
      <c r="D5704" s="464"/>
      <c r="E5704" s="464"/>
      <c r="F5704" s="503" t="s">
        <v>244</v>
      </c>
      <c r="G5704" s="504" t="s">
        <v>245</v>
      </c>
      <c r="H5704" s="397"/>
      <c r="I5704" s="397"/>
      <c r="J5704" s="750" t="e">
        <f t="shared" si="71"/>
        <v>#DIV/0!</v>
      </c>
      <c r="K5704" s="398"/>
      <c r="L5704" s="404"/>
      <c r="M5704" s="682"/>
      <c r="N5704" s="171"/>
      <c r="O5704" s="171"/>
      <c r="P5704" s="171"/>
      <c r="Q5704" s="171"/>
      <c r="R5704" s="171"/>
      <c r="S5704" s="171"/>
      <c r="T5704" s="171"/>
      <c r="U5704" s="171"/>
      <c r="V5704" s="171"/>
      <c r="W5704" s="171"/>
      <c r="X5704" s="171"/>
      <c r="Y5704" s="171"/>
      <c r="Z5704" s="171"/>
      <c r="AA5704" s="171"/>
    </row>
    <row r="5705" spans="1:27" s="530" customFormat="1" hidden="1" x14ac:dyDescent="0.2">
      <c r="A5705" s="526"/>
      <c r="B5705" s="527"/>
      <c r="C5705" s="489"/>
      <c r="D5705" s="464"/>
      <c r="E5705" s="464"/>
      <c r="F5705" s="503" t="s">
        <v>246</v>
      </c>
      <c r="G5705" s="504" t="s">
        <v>247</v>
      </c>
      <c r="H5705" s="397"/>
      <c r="I5705" s="397"/>
      <c r="J5705" s="750" t="e">
        <f t="shared" si="71"/>
        <v>#DIV/0!</v>
      </c>
      <c r="K5705" s="398"/>
      <c r="L5705" s="404"/>
      <c r="M5705" s="682"/>
      <c r="N5705" s="171"/>
      <c r="O5705" s="171"/>
      <c r="P5705" s="171"/>
      <c r="Q5705" s="171"/>
      <c r="R5705" s="171"/>
      <c r="S5705" s="171"/>
      <c r="T5705" s="171"/>
      <c r="U5705" s="171"/>
      <c r="V5705" s="171"/>
      <c r="W5705" s="171"/>
      <c r="X5705" s="171"/>
      <c r="Y5705" s="171"/>
      <c r="Z5705" s="171"/>
      <c r="AA5705" s="171"/>
    </row>
    <row r="5706" spans="1:27" s="530" customFormat="1" ht="25.5" hidden="1" x14ac:dyDescent="0.2">
      <c r="A5706" s="526"/>
      <c r="B5706" s="527"/>
      <c r="C5706" s="489"/>
      <c r="D5706" s="464"/>
      <c r="E5706" s="464"/>
      <c r="F5706" s="503" t="s">
        <v>248</v>
      </c>
      <c r="G5706" s="504" t="s">
        <v>249</v>
      </c>
      <c r="H5706" s="397"/>
      <c r="I5706" s="397"/>
      <c r="J5706" s="750" t="e">
        <f t="shared" si="71"/>
        <v>#DIV/0!</v>
      </c>
      <c r="K5706" s="398"/>
      <c r="L5706" s="404"/>
      <c r="M5706" s="682"/>
      <c r="N5706" s="171"/>
      <c r="O5706" s="171"/>
      <c r="P5706" s="171"/>
      <c r="Q5706" s="171"/>
      <c r="R5706" s="171"/>
      <c r="S5706" s="171"/>
      <c r="T5706" s="171"/>
      <c r="U5706" s="171"/>
      <c r="V5706" s="171"/>
      <c r="W5706" s="171"/>
      <c r="X5706" s="171"/>
      <c r="Y5706" s="171"/>
      <c r="Z5706" s="171"/>
      <c r="AA5706" s="171"/>
    </row>
    <row r="5707" spans="1:27" s="530" customFormat="1" hidden="1" x14ac:dyDescent="0.2">
      <c r="A5707" s="526"/>
      <c r="B5707" s="527"/>
      <c r="C5707" s="489"/>
      <c r="D5707" s="464"/>
      <c r="E5707" s="464"/>
      <c r="F5707" s="503" t="s">
        <v>250</v>
      </c>
      <c r="G5707" s="504" t="s">
        <v>57</v>
      </c>
      <c r="H5707" s="397"/>
      <c r="I5707" s="397"/>
      <c r="J5707" s="750" t="e">
        <f t="shared" si="71"/>
        <v>#DIV/0!</v>
      </c>
      <c r="K5707" s="398"/>
      <c r="L5707" s="404"/>
      <c r="M5707" s="682"/>
      <c r="N5707" s="171"/>
      <c r="O5707" s="171"/>
      <c r="P5707" s="171"/>
      <c r="Q5707" s="171"/>
      <c r="R5707" s="171"/>
      <c r="S5707" s="171"/>
      <c r="T5707" s="171"/>
      <c r="U5707" s="171"/>
      <c r="V5707" s="171"/>
      <c r="W5707" s="171"/>
      <c r="X5707" s="171"/>
      <c r="Y5707" s="171"/>
      <c r="Z5707" s="171"/>
      <c r="AA5707" s="171"/>
    </row>
    <row r="5708" spans="1:27" s="530" customFormat="1" hidden="1" x14ac:dyDescent="0.2">
      <c r="A5708" s="526"/>
      <c r="B5708" s="527"/>
      <c r="C5708" s="489"/>
      <c r="D5708" s="464"/>
      <c r="E5708" s="464"/>
      <c r="F5708" s="503" t="s">
        <v>251</v>
      </c>
      <c r="G5708" s="504" t="s">
        <v>252</v>
      </c>
      <c r="H5708" s="397"/>
      <c r="I5708" s="397"/>
      <c r="J5708" s="750" t="e">
        <f t="shared" si="71"/>
        <v>#DIV/0!</v>
      </c>
      <c r="K5708" s="398"/>
      <c r="L5708" s="404"/>
      <c r="M5708" s="682"/>
      <c r="N5708" s="171"/>
      <c r="O5708" s="171"/>
      <c r="P5708" s="171"/>
      <c r="Q5708" s="171"/>
      <c r="R5708" s="171"/>
      <c r="S5708" s="171"/>
      <c r="T5708" s="171"/>
      <c r="U5708" s="171"/>
      <c r="V5708" s="171"/>
      <c r="W5708" s="171"/>
      <c r="X5708" s="171"/>
      <c r="Y5708" s="171"/>
      <c r="Z5708" s="171"/>
      <c r="AA5708" s="171"/>
    </row>
    <row r="5709" spans="1:27" s="530" customFormat="1" hidden="1" x14ac:dyDescent="0.2">
      <c r="A5709" s="526"/>
      <c r="B5709" s="527"/>
      <c r="C5709" s="489"/>
      <c r="D5709" s="464"/>
      <c r="E5709" s="464"/>
      <c r="F5709" s="503" t="s">
        <v>253</v>
      </c>
      <c r="G5709" s="504" t="s">
        <v>254</v>
      </c>
      <c r="H5709" s="397"/>
      <c r="I5709" s="397"/>
      <c r="J5709" s="750" t="e">
        <f t="shared" ref="J5709:J5772" si="72">SUM(I5709/H5709)*100</f>
        <v>#DIV/0!</v>
      </c>
      <c r="K5709" s="398"/>
      <c r="L5709" s="404"/>
      <c r="M5709" s="682"/>
      <c r="N5709" s="171"/>
      <c r="O5709" s="171"/>
      <c r="P5709" s="171"/>
      <c r="Q5709" s="171"/>
      <c r="R5709" s="171"/>
      <c r="S5709" s="171"/>
      <c r="T5709" s="171"/>
      <c r="U5709" s="171"/>
      <c r="V5709" s="171"/>
      <c r="W5709" s="171"/>
      <c r="X5709" s="171"/>
      <c r="Y5709" s="171"/>
      <c r="Z5709" s="171"/>
      <c r="AA5709" s="171"/>
    </row>
    <row r="5710" spans="1:27" s="530" customFormat="1" ht="25.5" hidden="1" x14ac:dyDescent="0.2">
      <c r="A5710" s="526"/>
      <c r="B5710" s="527"/>
      <c r="C5710" s="489"/>
      <c r="D5710" s="464"/>
      <c r="E5710" s="464"/>
      <c r="F5710" s="503" t="s">
        <v>255</v>
      </c>
      <c r="G5710" s="504" t="s">
        <v>256</v>
      </c>
      <c r="H5710" s="397"/>
      <c r="I5710" s="397"/>
      <c r="J5710" s="750" t="e">
        <f t="shared" si="72"/>
        <v>#DIV/0!</v>
      </c>
      <c r="K5710" s="398"/>
      <c r="L5710" s="404"/>
      <c r="M5710" s="682"/>
      <c r="N5710" s="171"/>
      <c r="O5710" s="171"/>
      <c r="P5710" s="171"/>
      <c r="Q5710" s="171"/>
      <c r="R5710" s="171"/>
      <c r="S5710" s="171"/>
      <c r="T5710" s="171"/>
      <c r="U5710" s="171"/>
      <c r="V5710" s="171"/>
      <c r="W5710" s="171"/>
      <c r="X5710" s="171"/>
      <c r="Y5710" s="171"/>
      <c r="Z5710" s="171"/>
      <c r="AA5710" s="171"/>
    </row>
    <row r="5711" spans="1:27" s="530" customFormat="1" ht="25.5" hidden="1" x14ac:dyDescent="0.2">
      <c r="A5711" s="526"/>
      <c r="B5711" s="527"/>
      <c r="C5711" s="489"/>
      <c r="D5711" s="464"/>
      <c r="E5711" s="464"/>
      <c r="F5711" s="503" t="s">
        <v>257</v>
      </c>
      <c r="G5711" s="504" t="s">
        <v>258</v>
      </c>
      <c r="H5711" s="397"/>
      <c r="I5711" s="397"/>
      <c r="J5711" s="750" t="e">
        <f t="shared" si="72"/>
        <v>#DIV/0!</v>
      </c>
      <c r="K5711" s="398"/>
      <c r="L5711" s="404"/>
      <c r="M5711" s="682"/>
      <c r="N5711" s="171"/>
      <c r="O5711" s="171"/>
      <c r="P5711" s="171"/>
      <c r="Q5711" s="171"/>
      <c r="R5711" s="171"/>
      <c r="S5711" s="171"/>
      <c r="T5711" s="171"/>
      <c r="U5711" s="171"/>
      <c r="V5711" s="171"/>
      <c r="W5711" s="171"/>
      <c r="X5711" s="171"/>
      <c r="Y5711" s="171"/>
      <c r="Z5711" s="171"/>
      <c r="AA5711" s="171"/>
    </row>
    <row r="5712" spans="1:27" s="530" customFormat="1" ht="25.5" hidden="1" x14ac:dyDescent="0.2">
      <c r="A5712" s="526"/>
      <c r="B5712" s="527"/>
      <c r="C5712" s="489"/>
      <c r="D5712" s="464"/>
      <c r="E5712" s="464"/>
      <c r="F5712" s="503" t="s">
        <v>259</v>
      </c>
      <c r="G5712" s="504" t="s">
        <v>260</v>
      </c>
      <c r="H5712" s="397"/>
      <c r="I5712" s="397"/>
      <c r="J5712" s="750" t="e">
        <f t="shared" si="72"/>
        <v>#DIV/0!</v>
      </c>
      <c r="K5712" s="398"/>
      <c r="L5712" s="404"/>
      <c r="M5712" s="682"/>
      <c r="N5712" s="171"/>
      <c r="O5712" s="171"/>
      <c r="P5712" s="171"/>
      <c r="Q5712" s="171"/>
      <c r="R5712" s="171"/>
      <c r="S5712" s="171"/>
      <c r="T5712" s="171"/>
      <c r="U5712" s="171"/>
      <c r="V5712" s="171"/>
      <c r="W5712" s="171"/>
      <c r="X5712" s="171"/>
      <c r="Y5712" s="171"/>
      <c r="Z5712" s="171"/>
      <c r="AA5712" s="171"/>
    </row>
    <row r="5713" spans="1:27" s="530" customFormat="1" ht="25.5" hidden="1" x14ac:dyDescent="0.2">
      <c r="A5713" s="526"/>
      <c r="B5713" s="527"/>
      <c r="C5713" s="489"/>
      <c r="D5713" s="464"/>
      <c r="E5713" s="464"/>
      <c r="F5713" s="503" t="s">
        <v>261</v>
      </c>
      <c r="G5713" s="504" t="s">
        <v>262</v>
      </c>
      <c r="H5713" s="397"/>
      <c r="I5713" s="397"/>
      <c r="J5713" s="750" t="e">
        <f t="shared" si="72"/>
        <v>#DIV/0!</v>
      </c>
      <c r="K5713" s="398"/>
      <c r="L5713" s="404"/>
      <c r="M5713" s="682"/>
      <c r="N5713" s="171"/>
      <c r="O5713" s="171"/>
      <c r="P5713" s="171"/>
      <c r="Q5713" s="171"/>
      <c r="R5713" s="171"/>
      <c r="S5713" s="171"/>
      <c r="T5713" s="171"/>
      <c r="U5713" s="171"/>
      <c r="V5713" s="171"/>
      <c r="W5713" s="171"/>
      <c r="X5713" s="171"/>
      <c r="Y5713" s="171"/>
      <c r="Z5713" s="171"/>
      <c r="AA5713" s="171"/>
    </row>
    <row r="5714" spans="1:27" s="530" customFormat="1" hidden="1" x14ac:dyDescent="0.2">
      <c r="A5714" s="526"/>
      <c r="B5714" s="527"/>
      <c r="C5714" s="489"/>
      <c r="D5714" s="464"/>
      <c r="E5714" s="464"/>
      <c r="F5714" s="503" t="s">
        <v>263</v>
      </c>
      <c r="G5714" s="504" t="s">
        <v>264</v>
      </c>
      <c r="H5714" s="403"/>
      <c r="I5714" s="403"/>
      <c r="J5714" s="750" t="e">
        <f t="shared" si="72"/>
        <v>#DIV/0!</v>
      </c>
      <c r="K5714" s="404"/>
      <c r="L5714" s="404"/>
      <c r="M5714" s="682"/>
      <c r="N5714" s="171"/>
      <c r="O5714" s="171"/>
      <c r="P5714" s="171"/>
      <c r="Q5714" s="171"/>
      <c r="R5714" s="171"/>
      <c r="S5714" s="171"/>
      <c r="T5714" s="171"/>
      <c r="U5714" s="171"/>
      <c r="V5714" s="171"/>
      <c r="W5714" s="171"/>
      <c r="X5714" s="171"/>
      <c r="Y5714" s="171"/>
      <c r="Z5714" s="171"/>
      <c r="AA5714" s="171"/>
    </row>
    <row r="5715" spans="1:27" s="530" customFormat="1" ht="13.5" hidden="1" thickBot="1" x14ac:dyDescent="0.25">
      <c r="A5715" s="526"/>
      <c r="B5715" s="527"/>
      <c r="C5715" s="489"/>
      <c r="D5715" s="464"/>
      <c r="E5715" s="464"/>
      <c r="F5715" s="464"/>
      <c r="G5715" s="505" t="s">
        <v>4311</v>
      </c>
      <c r="H5715" s="405">
        <f>SUM(H5699:H5714)</f>
        <v>0</v>
      </c>
      <c r="I5715" s="405"/>
      <c r="J5715" s="750" t="e">
        <f t="shared" si="72"/>
        <v>#DIV/0!</v>
      </c>
      <c r="K5715" s="406">
        <f>SUM(K5700:K5714)</f>
        <v>0</v>
      </c>
      <c r="L5715" s="406"/>
      <c r="M5715" s="682"/>
      <c r="N5715" s="171"/>
      <c r="O5715" s="171"/>
      <c r="P5715" s="171"/>
      <c r="Q5715" s="171"/>
      <c r="R5715" s="171"/>
      <c r="S5715" s="171"/>
      <c r="T5715" s="171"/>
      <c r="U5715" s="171"/>
      <c r="V5715" s="171"/>
      <c r="W5715" s="171"/>
      <c r="X5715" s="171"/>
      <c r="Y5715" s="171"/>
      <c r="Z5715" s="171"/>
      <c r="AA5715" s="171"/>
    </row>
    <row r="5716" spans="1:27" s="530" customFormat="1" ht="25.5" hidden="1" x14ac:dyDescent="0.2">
      <c r="A5716" s="526"/>
      <c r="B5716" s="527"/>
      <c r="C5716" s="489"/>
      <c r="D5716" s="464"/>
      <c r="E5716" s="500"/>
      <c r="F5716" s="498"/>
      <c r="G5716" s="506" t="s">
        <v>4374</v>
      </c>
      <c r="H5716" s="407"/>
      <c r="I5716" s="408"/>
      <c r="J5716" s="750" t="e">
        <f t="shared" si="72"/>
        <v>#DIV/0!</v>
      </c>
      <c r="K5716" s="409"/>
      <c r="L5716" s="410"/>
      <c r="M5716" s="682"/>
      <c r="N5716" s="171"/>
      <c r="O5716" s="171"/>
      <c r="P5716" s="171"/>
      <c r="Q5716" s="171"/>
      <c r="R5716" s="171"/>
      <c r="S5716" s="171"/>
      <c r="T5716" s="171"/>
      <c r="U5716" s="171"/>
      <c r="V5716" s="171"/>
      <c r="W5716" s="171"/>
      <c r="X5716" s="171"/>
      <c r="Y5716" s="171"/>
      <c r="Z5716" s="171"/>
      <c r="AA5716" s="171"/>
    </row>
    <row r="5717" spans="1:27" s="530" customFormat="1" hidden="1" x14ac:dyDescent="0.2">
      <c r="A5717" s="526"/>
      <c r="B5717" s="527"/>
      <c r="C5717" s="489"/>
      <c r="D5717" s="464"/>
      <c r="E5717" s="502"/>
      <c r="F5717" s="503" t="s">
        <v>234</v>
      </c>
      <c r="G5717" s="504" t="s">
        <v>235</v>
      </c>
      <c r="H5717" s="403">
        <f>SUM(H5638:H5697)</f>
        <v>0</v>
      </c>
      <c r="I5717" s="403"/>
      <c r="J5717" s="750" t="e">
        <f t="shared" si="72"/>
        <v>#DIV/0!</v>
      </c>
      <c r="K5717" s="404"/>
      <c r="L5717" s="404"/>
      <c r="M5717" s="682"/>
      <c r="N5717" s="171"/>
      <c r="O5717" s="171"/>
      <c r="P5717" s="171"/>
      <c r="Q5717" s="171"/>
      <c r="R5717" s="171"/>
      <c r="S5717" s="171"/>
      <c r="T5717" s="171"/>
      <c r="U5717" s="171"/>
      <c r="V5717" s="171"/>
      <c r="W5717" s="171"/>
      <c r="X5717" s="171"/>
      <c r="Y5717" s="171"/>
      <c r="Z5717" s="171"/>
      <c r="AA5717" s="171"/>
    </row>
    <row r="5718" spans="1:27" s="530" customFormat="1" hidden="1" x14ac:dyDescent="0.2">
      <c r="A5718" s="526"/>
      <c r="B5718" s="527"/>
      <c r="C5718" s="489"/>
      <c r="D5718" s="464"/>
      <c r="E5718" s="464"/>
      <c r="F5718" s="503" t="s">
        <v>236</v>
      </c>
      <c r="G5718" s="504" t="s">
        <v>237</v>
      </c>
      <c r="H5718" s="397"/>
      <c r="I5718" s="397"/>
      <c r="J5718" s="750" t="e">
        <f t="shared" si="72"/>
        <v>#DIV/0!</v>
      </c>
      <c r="K5718" s="398"/>
      <c r="L5718" s="404"/>
      <c r="M5718" s="682"/>
      <c r="N5718" s="171"/>
      <c r="O5718" s="171"/>
      <c r="P5718" s="171"/>
      <c r="Q5718" s="171"/>
      <c r="R5718" s="171"/>
      <c r="S5718" s="171"/>
      <c r="T5718" s="171"/>
      <c r="U5718" s="171"/>
      <c r="V5718" s="171"/>
      <c r="W5718" s="171"/>
      <c r="X5718" s="171"/>
      <c r="Y5718" s="171"/>
      <c r="Z5718" s="171"/>
      <c r="AA5718" s="171"/>
    </row>
    <row r="5719" spans="1:27" s="530" customFormat="1" hidden="1" x14ac:dyDescent="0.2">
      <c r="A5719" s="526"/>
      <c r="B5719" s="527"/>
      <c r="C5719" s="489"/>
      <c r="D5719" s="464"/>
      <c r="E5719" s="464"/>
      <c r="F5719" s="503" t="s">
        <v>238</v>
      </c>
      <c r="G5719" s="504" t="s">
        <v>239</v>
      </c>
      <c r="H5719" s="397"/>
      <c r="I5719" s="397"/>
      <c r="J5719" s="750" t="e">
        <f t="shared" si="72"/>
        <v>#DIV/0!</v>
      </c>
      <c r="K5719" s="398"/>
      <c r="L5719" s="404"/>
      <c r="M5719" s="682"/>
      <c r="N5719" s="171"/>
      <c r="O5719" s="171"/>
      <c r="P5719" s="171"/>
      <c r="Q5719" s="171"/>
      <c r="R5719" s="171"/>
      <c r="S5719" s="171"/>
      <c r="T5719" s="171"/>
      <c r="U5719" s="171"/>
      <c r="V5719" s="171"/>
      <c r="W5719" s="171"/>
      <c r="X5719" s="171"/>
      <c r="Y5719" s="171"/>
      <c r="Z5719" s="171"/>
      <c r="AA5719" s="171"/>
    </row>
    <row r="5720" spans="1:27" s="530" customFormat="1" hidden="1" x14ac:dyDescent="0.2">
      <c r="A5720" s="526"/>
      <c r="B5720" s="527"/>
      <c r="C5720" s="489"/>
      <c r="D5720" s="464"/>
      <c r="E5720" s="464"/>
      <c r="F5720" s="503" t="s">
        <v>240</v>
      </c>
      <c r="G5720" s="504" t="s">
        <v>241</v>
      </c>
      <c r="H5720" s="397"/>
      <c r="I5720" s="397"/>
      <c r="J5720" s="750" t="e">
        <f t="shared" si="72"/>
        <v>#DIV/0!</v>
      </c>
      <c r="K5720" s="398"/>
      <c r="L5720" s="404"/>
      <c r="M5720" s="682"/>
      <c r="N5720" s="171"/>
      <c r="O5720" s="171"/>
      <c r="P5720" s="171"/>
      <c r="Q5720" s="171"/>
      <c r="R5720" s="171"/>
      <c r="S5720" s="171"/>
      <c r="T5720" s="171"/>
      <c r="U5720" s="171"/>
      <c r="V5720" s="171"/>
      <c r="W5720" s="171"/>
      <c r="X5720" s="171"/>
      <c r="Y5720" s="171"/>
      <c r="Z5720" s="171"/>
      <c r="AA5720" s="171"/>
    </row>
    <row r="5721" spans="1:27" s="530" customFormat="1" hidden="1" x14ac:dyDescent="0.2">
      <c r="A5721" s="526"/>
      <c r="B5721" s="527"/>
      <c r="C5721" s="489"/>
      <c r="D5721" s="464"/>
      <c r="E5721" s="464"/>
      <c r="F5721" s="503" t="s">
        <v>242</v>
      </c>
      <c r="G5721" s="504" t="s">
        <v>243</v>
      </c>
      <c r="H5721" s="397"/>
      <c r="I5721" s="397"/>
      <c r="J5721" s="750" t="e">
        <f t="shared" si="72"/>
        <v>#DIV/0!</v>
      </c>
      <c r="K5721" s="398"/>
      <c r="L5721" s="404"/>
      <c r="M5721" s="682"/>
      <c r="N5721" s="171"/>
      <c r="O5721" s="171"/>
      <c r="P5721" s="171"/>
      <c r="Q5721" s="171"/>
      <c r="R5721" s="171"/>
      <c r="S5721" s="171"/>
      <c r="T5721" s="171"/>
      <c r="U5721" s="171"/>
      <c r="V5721" s="171"/>
      <c r="W5721" s="171"/>
      <c r="X5721" s="171"/>
      <c r="Y5721" s="171"/>
      <c r="Z5721" s="171"/>
      <c r="AA5721" s="171"/>
    </row>
    <row r="5722" spans="1:27" s="530" customFormat="1" hidden="1" x14ac:dyDescent="0.2">
      <c r="A5722" s="526"/>
      <c r="B5722" s="527"/>
      <c r="C5722" s="489"/>
      <c r="D5722" s="464"/>
      <c r="E5722" s="464"/>
      <c r="F5722" s="503" t="s">
        <v>244</v>
      </c>
      <c r="G5722" s="504" t="s">
        <v>245</v>
      </c>
      <c r="H5722" s="397"/>
      <c r="I5722" s="397"/>
      <c r="J5722" s="750" t="e">
        <f t="shared" si="72"/>
        <v>#DIV/0!</v>
      </c>
      <c r="K5722" s="398"/>
      <c r="L5722" s="404"/>
      <c r="M5722" s="682"/>
      <c r="N5722" s="171"/>
      <c r="O5722" s="171"/>
      <c r="P5722" s="171"/>
      <c r="Q5722" s="171"/>
      <c r="R5722" s="171"/>
      <c r="S5722" s="171"/>
      <c r="T5722" s="171"/>
      <c r="U5722" s="171"/>
      <c r="V5722" s="171"/>
      <c r="W5722" s="171"/>
      <c r="X5722" s="171"/>
      <c r="Y5722" s="171"/>
      <c r="Z5722" s="171"/>
      <c r="AA5722" s="171"/>
    </row>
    <row r="5723" spans="1:27" s="530" customFormat="1" hidden="1" x14ac:dyDescent="0.2">
      <c r="A5723" s="526"/>
      <c r="B5723" s="527"/>
      <c r="C5723" s="489"/>
      <c r="D5723" s="464"/>
      <c r="E5723" s="464"/>
      <c r="F5723" s="503" t="s">
        <v>246</v>
      </c>
      <c r="G5723" s="504" t="s">
        <v>247</v>
      </c>
      <c r="H5723" s="397"/>
      <c r="I5723" s="397"/>
      <c r="J5723" s="750" t="e">
        <f t="shared" si="72"/>
        <v>#DIV/0!</v>
      </c>
      <c r="K5723" s="398"/>
      <c r="L5723" s="404"/>
      <c r="M5723" s="682"/>
      <c r="N5723" s="171"/>
      <c r="O5723" s="171"/>
      <c r="P5723" s="171"/>
      <c r="Q5723" s="171"/>
      <c r="R5723" s="171"/>
      <c r="S5723" s="171"/>
      <c r="T5723" s="171"/>
      <c r="U5723" s="171"/>
      <c r="V5723" s="171"/>
      <c r="W5723" s="171"/>
      <c r="X5723" s="171"/>
      <c r="Y5723" s="171"/>
      <c r="Z5723" s="171"/>
      <c r="AA5723" s="171"/>
    </row>
    <row r="5724" spans="1:27" s="530" customFormat="1" ht="25.5" hidden="1" x14ac:dyDescent="0.2">
      <c r="A5724" s="526"/>
      <c r="B5724" s="527"/>
      <c r="C5724" s="489"/>
      <c r="D5724" s="464"/>
      <c r="E5724" s="464"/>
      <c r="F5724" s="503" t="s">
        <v>248</v>
      </c>
      <c r="G5724" s="504" t="s">
        <v>249</v>
      </c>
      <c r="H5724" s="397"/>
      <c r="I5724" s="397"/>
      <c r="J5724" s="750" t="e">
        <f t="shared" si="72"/>
        <v>#DIV/0!</v>
      </c>
      <c r="K5724" s="398"/>
      <c r="L5724" s="404"/>
      <c r="M5724" s="682"/>
      <c r="N5724" s="171"/>
      <c r="O5724" s="171"/>
      <c r="P5724" s="171"/>
      <c r="Q5724" s="171"/>
      <c r="R5724" s="171"/>
      <c r="S5724" s="171"/>
      <c r="T5724" s="171"/>
      <c r="U5724" s="171"/>
      <c r="V5724" s="171"/>
      <c r="W5724" s="171"/>
      <c r="X5724" s="171"/>
      <c r="Y5724" s="171"/>
      <c r="Z5724" s="171"/>
      <c r="AA5724" s="171"/>
    </row>
    <row r="5725" spans="1:27" s="530" customFormat="1" hidden="1" x14ac:dyDescent="0.2">
      <c r="A5725" s="526"/>
      <c r="B5725" s="527"/>
      <c r="C5725" s="489"/>
      <c r="D5725" s="464"/>
      <c r="E5725" s="464"/>
      <c r="F5725" s="503" t="s">
        <v>250</v>
      </c>
      <c r="G5725" s="504" t="s">
        <v>57</v>
      </c>
      <c r="H5725" s="397"/>
      <c r="I5725" s="397"/>
      <c r="J5725" s="750" t="e">
        <f t="shared" si="72"/>
        <v>#DIV/0!</v>
      </c>
      <c r="K5725" s="398"/>
      <c r="L5725" s="404"/>
      <c r="M5725" s="682"/>
      <c r="N5725" s="171"/>
      <c r="O5725" s="171"/>
      <c r="P5725" s="171"/>
      <c r="Q5725" s="171"/>
      <c r="R5725" s="171"/>
      <c r="S5725" s="171"/>
      <c r="T5725" s="171"/>
      <c r="U5725" s="171"/>
      <c r="V5725" s="171"/>
      <c r="W5725" s="171"/>
      <c r="X5725" s="171"/>
      <c r="Y5725" s="171"/>
      <c r="Z5725" s="171"/>
      <c r="AA5725" s="171"/>
    </row>
    <row r="5726" spans="1:27" s="530" customFormat="1" hidden="1" x14ac:dyDescent="0.2">
      <c r="A5726" s="526"/>
      <c r="B5726" s="527"/>
      <c r="C5726" s="489"/>
      <c r="D5726" s="464"/>
      <c r="E5726" s="464"/>
      <c r="F5726" s="503" t="s">
        <v>251</v>
      </c>
      <c r="G5726" s="504" t="s">
        <v>252</v>
      </c>
      <c r="H5726" s="397"/>
      <c r="I5726" s="397"/>
      <c r="J5726" s="750" t="e">
        <f t="shared" si="72"/>
        <v>#DIV/0!</v>
      </c>
      <c r="K5726" s="398"/>
      <c r="L5726" s="404"/>
      <c r="M5726" s="682"/>
      <c r="N5726" s="171"/>
      <c r="O5726" s="171"/>
      <c r="P5726" s="171"/>
      <c r="Q5726" s="171"/>
      <c r="R5726" s="171"/>
      <c r="S5726" s="171"/>
      <c r="T5726" s="171"/>
      <c r="U5726" s="171"/>
      <c r="V5726" s="171"/>
      <c r="W5726" s="171"/>
      <c r="X5726" s="171"/>
      <c r="Y5726" s="171"/>
      <c r="Z5726" s="171"/>
      <c r="AA5726" s="171"/>
    </row>
    <row r="5727" spans="1:27" s="530" customFormat="1" hidden="1" x14ac:dyDescent="0.2">
      <c r="A5727" s="526"/>
      <c r="B5727" s="527"/>
      <c r="C5727" s="489"/>
      <c r="D5727" s="464"/>
      <c r="E5727" s="464"/>
      <c r="F5727" s="503" t="s">
        <v>253</v>
      </c>
      <c r="G5727" s="504" t="s">
        <v>254</v>
      </c>
      <c r="H5727" s="397"/>
      <c r="I5727" s="397"/>
      <c r="J5727" s="750" t="e">
        <f t="shared" si="72"/>
        <v>#DIV/0!</v>
      </c>
      <c r="K5727" s="398"/>
      <c r="L5727" s="404"/>
      <c r="M5727" s="682"/>
      <c r="N5727" s="171"/>
      <c r="O5727" s="171"/>
      <c r="P5727" s="171"/>
      <c r="Q5727" s="171"/>
      <c r="R5727" s="171"/>
      <c r="S5727" s="171"/>
      <c r="T5727" s="171"/>
      <c r="U5727" s="171"/>
      <c r="V5727" s="171"/>
      <c r="W5727" s="171"/>
      <c r="X5727" s="171"/>
      <c r="Y5727" s="171"/>
      <c r="Z5727" s="171"/>
      <c r="AA5727" s="171"/>
    </row>
    <row r="5728" spans="1:27" s="530" customFormat="1" ht="25.5" hidden="1" x14ac:dyDescent="0.2">
      <c r="A5728" s="526"/>
      <c r="B5728" s="527"/>
      <c r="C5728" s="489"/>
      <c r="D5728" s="464"/>
      <c r="E5728" s="464"/>
      <c r="F5728" s="503" t="s">
        <v>255</v>
      </c>
      <c r="G5728" s="504" t="s">
        <v>256</v>
      </c>
      <c r="H5728" s="397"/>
      <c r="I5728" s="397"/>
      <c r="J5728" s="750" t="e">
        <f t="shared" si="72"/>
        <v>#DIV/0!</v>
      </c>
      <c r="K5728" s="398"/>
      <c r="L5728" s="404"/>
      <c r="M5728" s="682"/>
      <c r="N5728" s="171"/>
      <c r="O5728" s="171"/>
      <c r="P5728" s="171"/>
      <c r="Q5728" s="171"/>
      <c r="R5728" s="171"/>
      <c r="S5728" s="171"/>
      <c r="T5728" s="171"/>
      <c r="U5728" s="171"/>
      <c r="V5728" s="171"/>
      <c r="W5728" s="171"/>
      <c r="X5728" s="171"/>
      <c r="Y5728" s="171"/>
      <c r="Z5728" s="171"/>
      <c r="AA5728" s="171"/>
    </row>
    <row r="5729" spans="1:27" s="530" customFormat="1" ht="25.5" hidden="1" x14ac:dyDescent="0.2">
      <c r="A5729" s="526"/>
      <c r="B5729" s="527"/>
      <c r="C5729" s="489"/>
      <c r="D5729" s="464"/>
      <c r="E5729" s="464"/>
      <c r="F5729" s="503" t="s">
        <v>257</v>
      </c>
      <c r="G5729" s="504" t="s">
        <v>258</v>
      </c>
      <c r="H5729" s="397"/>
      <c r="I5729" s="397"/>
      <c r="J5729" s="750" t="e">
        <f t="shared" si="72"/>
        <v>#DIV/0!</v>
      </c>
      <c r="K5729" s="398"/>
      <c r="L5729" s="404"/>
      <c r="M5729" s="682"/>
      <c r="N5729" s="171"/>
      <c r="O5729" s="171"/>
      <c r="P5729" s="171"/>
      <c r="Q5729" s="171"/>
      <c r="R5729" s="171"/>
      <c r="S5729" s="171"/>
      <c r="T5729" s="171"/>
      <c r="U5729" s="171"/>
      <c r="V5729" s="171"/>
      <c r="W5729" s="171"/>
      <c r="X5729" s="171"/>
      <c r="Y5729" s="171"/>
      <c r="Z5729" s="171"/>
      <c r="AA5729" s="171"/>
    </row>
    <row r="5730" spans="1:27" s="530" customFormat="1" ht="25.5" hidden="1" x14ac:dyDescent="0.2">
      <c r="A5730" s="526"/>
      <c r="B5730" s="527"/>
      <c r="C5730" s="489"/>
      <c r="D5730" s="464"/>
      <c r="E5730" s="464"/>
      <c r="F5730" s="503" t="s">
        <v>259</v>
      </c>
      <c r="G5730" s="504" t="s">
        <v>260</v>
      </c>
      <c r="H5730" s="397"/>
      <c r="I5730" s="397"/>
      <c r="J5730" s="750" t="e">
        <f t="shared" si="72"/>
        <v>#DIV/0!</v>
      </c>
      <c r="K5730" s="398"/>
      <c r="L5730" s="404"/>
      <c r="M5730" s="682"/>
      <c r="N5730" s="171"/>
      <c r="O5730" s="171"/>
      <c r="P5730" s="171"/>
      <c r="Q5730" s="171"/>
      <c r="R5730" s="171"/>
      <c r="S5730" s="171"/>
      <c r="T5730" s="171"/>
      <c r="U5730" s="171"/>
      <c r="V5730" s="171"/>
      <c r="W5730" s="171"/>
      <c r="X5730" s="171"/>
      <c r="Y5730" s="171"/>
      <c r="Z5730" s="171"/>
      <c r="AA5730" s="171"/>
    </row>
    <row r="5731" spans="1:27" s="530" customFormat="1" ht="25.5" hidden="1" x14ac:dyDescent="0.2">
      <c r="A5731" s="526"/>
      <c r="B5731" s="527"/>
      <c r="C5731" s="489"/>
      <c r="D5731" s="464"/>
      <c r="E5731" s="464"/>
      <c r="F5731" s="503" t="s">
        <v>261</v>
      </c>
      <c r="G5731" s="504" t="s">
        <v>262</v>
      </c>
      <c r="H5731" s="397"/>
      <c r="I5731" s="397"/>
      <c r="J5731" s="750" t="e">
        <f t="shared" si="72"/>
        <v>#DIV/0!</v>
      </c>
      <c r="K5731" s="398"/>
      <c r="L5731" s="404"/>
      <c r="M5731" s="682"/>
      <c r="N5731" s="171"/>
      <c r="O5731" s="171"/>
      <c r="P5731" s="171"/>
      <c r="Q5731" s="171"/>
      <c r="R5731" s="171"/>
      <c r="S5731" s="171"/>
      <c r="T5731" s="171"/>
      <c r="U5731" s="171"/>
      <c r="V5731" s="171"/>
      <c r="W5731" s="171"/>
      <c r="X5731" s="171"/>
      <c r="Y5731" s="171"/>
      <c r="Z5731" s="171"/>
      <c r="AA5731" s="171"/>
    </row>
    <row r="5732" spans="1:27" s="530" customFormat="1" hidden="1" x14ac:dyDescent="0.2">
      <c r="A5732" s="526"/>
      <c r="B5732" s="527"/>
      <c r="C5732" s="489"/>
      <c r="D5732" s="464"/>
      <c r="E5732" s="464"/>
      <c r="F5732" s="503" t="s">
        <v>263</v>
      </c>
      <c r="G5732" s="504" t="s">
        <v>264</v>
      </c>
      <c r="H5732" s="403"/>
      <c r="I5732" s="403"/>
      <c r="J5732" s="750" t="e">
        <f t="shared" si="72"/>
        <v>#DIV/0!</v>
      </c>
      <c r="K5732" s="404"/>
      <c r="L5732" s="404"/>
      <c r="M5732" s="682"/>
      <c r="N5732" s="171"/>
      <c r="O5732" s="171"/>
      <c r="P5732" s="171"/>
      <c r="Q5732" s="171"/>
      <c r="R5732" s="171"/>
      <c r="S5732" s="171"/>
      <c r="T5732" s="171"/>
      <c r="U5732" s="171"/>
      <c r="V5732" s="171"/>
      <c r="W5732" s="171"/>
      <c r="X5732" s="171"/>
      <c r="Y5732" s="171"/>
      <c r="Z5732" s="171"/>
      <c r="AA5732" s="171"/>
    </row>
    <row r="5733" spans="1:27" s="530" customFormat="1" ht="13.5" hidden="1" thickBot="1" x14ac:dyDescent="0.25">
      <c r="A5733" s="526"/>
      <c r="B5733" s="527"/>
      <c r="C5733" s="489"/>
      <c r="D5733" s="464"/>
      <c r="E5733" s="464"/>
      <c r="F5733" s="464"/>
      <c r="G5733" s="505" t="s">
        <v>4375</v>
      </c>
      <c r="H5733" s="405">
        <f>SUM(H5717:H5732)</f>
        <v>0</v>
      </c>
      <c r="I5733" s="405"/>
      <c r="J5733" s="750" t="e">
        <f t="shared" si="72"/>
        <v>#DIV/0!</v>
      </c>
      <c r="K5733" s="406">
        <f>SUM(K5718:K5732)</f>
        <v>0</v>
      </c>
      <c r="L5733" s="406"/>
      <c r="M5733" s="682"/>
      <c r="N5733" s="171"/>
      <c r="O5733" s="171"/>
      <c r="P5733" s="171"/>
      <c r="Q5733" s="171"/>
      <c r="R5733" s="171"/>
      <c r="S5733" s="171"/>
      <c r="T5733" s="171"/>
      <c r="U5733" s="171"/>
      <c r="V5733" s="171"/>
      <c r="W5733" s="171"/>
      <c r="X5733" s="171"/>
      <c r="Y5733" s="171"/>
      <c r="Z5733" s="171"/>
      <c r="AA5733" s="171"/>
    </row>
    <row r="5734" spans="1:27" s="530" customFormat="1" hidden="1" x14ac:dyDescent="0.2">
      <c r="A5734" s="526"/>
      <c r="B5734" s="527"/>
      <c r="C5734" s="489"/>
      <c r="D5734" s="464"/>
      <c r="E5734" s="464"/>
      <c r="F5734" s="464"/>
      <c r="G5734" s="513"/>
      <c r="H5734" s="397"/>
      <c r="I5734" s="397"/>
      <c r="J5734" s="750" t="e">
        <f t="shared" si="72"/>
        <v>#DIV/0!</v>
      </c>
      <c r="K5734" s="398"/>
      <c r="L5734" s="398"/>
      <c r="M5734" s="682"/>
      <c r="N5734" s="171"/>
      <c r="O5734" s="171"/>
      <c r="P5734" s="171"/>
      <c r="Q5734" s="171"/>
      <c r="R5734" s="171"/>
      <c r="S5734" s="171"/>
      <c r="T5734" s="171"/>
      <c r="U5734" s="171"/>
      <c r="V5734" s="171"/>
      <c r="W5734" s="171"/>
      <c r="X5734" s="171"/>
      <c r="Y5734" s="171"/>
      <c r="Z5734" s="171"/>
      <c r="AA5734" s="171"/>
    </row>
    <row r="5735" spans="1:27" s="530" customFormat="1" hidden="1" x14ac:dyDescent="0.2">
      <c r="A5735" s="526"/>
      <c r="B5735" s="527"/>
      <c r="C5735" s="489" t="s">
        <v>4132</v>
      </c>
      <c r="D5735" s="464"/>
      <c r="E5735" s="464"/>
      <c r="F5735" s="464"/>
      <c r="G5735" s="513" t="s">
        <v>4133</v>
      </c>
      <c r="H5735" s="397"/>
      <c r="I5735" s="397"/>
      <c r="J5735" s="750" t="e">
        <f t="shared" si="72"/>
        <v>#DIV/0!</v>
      </c>
      <c r="K5735" s="398"/>
      <c r="L5735" s="398"/>
      <c r="M5735" s="682"/>
      <c r="N5735" s="171"/>
      <c r="O5735" s="171"/>
      <c r="P5735" s="171"/>
      <c r="Q5735" s="171"/>
      <c r="R5735" s="171"/>
      <c r="S5735" s="171"/>
      <c r="T5735" s="171"/>
      <c r="U5735" s="171"/>
      <c r="V5735" s="171"/>
      <c r="W5735" s="171"/>
      <c r="X5735" s="171"/>
      <c r="Y5735" s="171"/>
      <c r="Z5735" s="171"/>
      <c r="AA5735" s="171"/>
    </row>
    <row r="5736" spans="1:27" s="530" customFormat="1" hidden="1" x14ac:dyDescent="0.2">
      <c r="A5736" s="526"/>
      <c r="B5736" s="527"/>
      <c r="C5736" s="528"/>
      <c r="D5736" s="569" t="s">
        <v>4009</v>
      </c>
      <c r="E5736" s="538"/>
      <c r="F5736" s="538"/>
      <c r="G5736" s="539" t="s">
        <v>206</v>
      </c>
      <c r="H5736" s="425"/>
      <c r="I5736" s="425"/>
      <c r="J5736" s="750" t="e">
        <f t="shared" si="72"/>
        <v>#DIV/0!</v>
      </c>
      <c r="K5736" s="243"/>
      <c r="L5736" s="243"/>
      <c r="M5736" s="682"/>
      <c r="N5736" s="171"/>
      <c r="O5736" s="171"/>
      <c r="P5736" s="171"/>
      <c r="Q5736" s="171"/>
      <c r="R5736" s="171"/>
      <c r="S5736" s="171"/>
      <c r="T5736" s="171"/>
      <c r="U5736" s="171"/>
      <c r="V5736" s="171"/>
      <c r="W5736" s="171"/>
      <c r="X5736" s="171"/>
      <c r="Y5736" s="171"/>
      <c r="Z5736" s="171"/>
      <c r="AA5736" s="171"/>
    </row>
    <row r="5737" spans="1:27" s="530" customFormat="1" hidden="1" x14ac:dyDescent="0.2">
      <c r="A5737" s="526"/>
      <c r="B5737" s="527"/>
      <c r="C5737" s="465"/>
      <c r="D5737" s="464"/>
      <c r="E5737" s="464"/>
      <c r="F5737" s="494">
        <v>411</v>
      </c>
      <c r="G5737" s="495" t="s">
        <v>4167</v>
      </c>
      <c r="H5737" s="397"/>
      <c r="I5737" s="397"/>
      <c r="J5737" s="750" t="e">
        <f t="shared" si="72"/>
        <v>#DIV/0!</v>
      </c>
      <c r="K5737" s="398"/>
      <c r="L5737" s="398"/>
      <c r="M5737" s="682"/>
      <c r="N5737" s="171"/>
      <c r="O5737" s="171"/>
      <c r="P5737" s="171"/>
      <c r="Q5737" s="171"/>
      <c r="R5737" s="171"/>
      <c r="S5737" s="171"/>
      <c r="T5737" s="171"/>
      <c r="U5737" s="171"/>
      <c r="V5737" s="171"/>
      <c r="W5737" s="171"/>
      <c r="X5737" s="171"/>
      <c r="Y5737" s="171"/>
      <c r="Z5737" s="171"/>
      <c r="AA5737" s="171"/>
    </row>
    <row r="5738" spans="1:27" s="530" customFormat="1" hidden="1" x14ac:dyDescent="0.2">
      <c r="A5738" s="526"/>
      <c r="B5738" s="527"/>
      <c r="C5738" s="465"/>
      <c r="D5738" s="464"/>
      <c r="E5738" s="464"/>
      <c r="F5738" s="494">
        <v>412</v>
      </c>
      <c r="G5738" s="496" t="s">
        <v>3764</v>
      </c>
      <c r="H5738" s="397"/>
      <c r="I5738" s="397"/>
      <c r="J5738" s="750" t="e">
        <f t="shared" si="72"/>
        <v>#DIV/0!</v>
      </c>
      <c r="K5738" s="398"/>
      <c r="L5738" s="398"/>
      <c r="M5738" s="682"/>
      <c r="N5738" s="171"/>
      <c r="O5738" s="171"/>
      <c r="P5738" s="171"/>
      <c r="Q5738" s="171"/>
      <c r="R5738" s="171"/>
      <c r="S5738" s="171"/>
      <c r="T5738" s="171"/>
      <c r="U5738" s="171"/>
      <c r="V5738" s="171"/>
      <c r="W5738" s="171"/>
      <c r="X5738" s="171"/>
      <c r="Y5738" s="171"/>
      <c r="Z5738" s="171"/>
      <c r="AA5738" s="171"/>
    </row>
    <row r="5739" spans="1:27" s="530" customFormat="1" hidden="1" x14ac:dyDescent="0.2">
      <c r="A5739" s="526"/>
      <c r="B5739" s="527"/>
      <c r="C5739" s="465"/>
      <c r="D5739" s="464"/>
      <c r="E5739" s="464"/>
      <c r="F5739" s="494">
        <v>413</v>
      </c>
      <c r="G5739" s="495" t="s">
        <v>4168</v>
      </c>
      <c r="H5739" s="397"/>
      <c r="I5739" s="397"/>
      <c r="J5739" s="750" t="e">
        <f t="shared" si="72"/>
        <v>#DIV/0!</v>
      </c>
      <c r="K5739" s="398"/>
      <c r="L5739" s="398"/>
      <c r="M5739" s="682"/>
      <c r="N5739" s="171"/>
      <c r="O5739" s="171"/>
      <c r="P5739" s="171"/>
      <c r="Q5739" s="171"/>
      <c r="R5739" s="171"/>
      <c r="S5739" s="171"/>
      <c r="T5739" s="171"/>
      <c r="U5739" s="171"/>
      <c r="V5739" s="171"/>
      <c r="W5739" s="171"/>
      <c r="X5739" s="171"/>
      <c r="Y5739" s="171"/>
      <c r="Z5739" s="171"/>
      <c r="AA5739" s="171"/>
    </row>
    <row r="5740" spans="1:27" s="530" customFormat="1" hidden="1" x14ac:dyDescent="0.2">
      <c r="A5740" s="526"/>
      <c r="B5740" s="527"/>
      <c r="C5740" s="465"/>
      <c r="D5740" s="464"/>
      <c r="E5740" s="464"/>
      <c r="F5740" s="494">
        <v>414</v>
      </c>
      <c r="G5740" s="495" t="s">
        <v>3767</v>
      </c>
      <c r="H5740" s="397"/>
      <c r="I5740" s="397"/>
      <c r="J5740" s="750" t="e">
        <f t="shared" si="72"/>
        <v>#DIV/0!</v>
      </c>
      <c r="K5740" s="398"/>
      <c r="L5740" s="398"/>
      <c r="M5740" s="682"/>
      <c r="N5740" s="171"/>
      <c r="O5740" s="171"/>
      <c r="P5740" s="171"/>
      <c r="Q5740" s="171"/>
      <c r="R5740" s="171"/>
      <c r="S5740" s="171"/>
      <c r="T5740" s="171"/>
      <c r="U5740" s="171"/>
      <c r="V5740" s="171"/>
      <c r="W5740" s="171"/>
      <c r="X5740" s="171"/>
      <c r="Y5740" s="171"/>
      <c r="Z5740" s="171"/>
      <c r="AA5740" s="171"/>
    </row>
    <row r="5741" spans="1:27" s="530" customFormat="1" hidden="1" x14ac:dyDescent="0.2">
      <c r="A5741" s="526"/>
      <c r="B5741" s="527"/>
      <c r="C5741" s="465"/>
      <c r="D5741" s="464"/>
      <c r="E5741" s="464"/>
      <c r="F5741" s="494">
        <v>415</v>
      </c>
      <c r="G5741" s="495" t="s">
        <v>4177</v>
      </c>
      <c r="H5741" s="397"/>
      <c r="I5741" s="397"/>
      <c r="J5741" s="750" t="e">
        <f t="shared" si="72"/>
        <v>#DIV/0!</v>
      </c>
      <c r="K5741" s="398"/>
      <c r="L5741" s="398"/>
      <c r="M5741" s="682"/>
      <c r="N5741" s="171"/>
      <c r="O5741" s="171"/>
      <c r="P5741" s="171"/>
      <c r="Q5741" s="171"/>
      <c r="R5741" s="171"/>
      <c r="S5741" s="171"/>
      <c r="T5741" s="171"/>
      <c r="U5741" s="171"/>
      <c r="V5741" s="171"/>
      <c r="W5741" s="171"/>
      <c r="X5741" s="171"/>
      <c r="Y5741" s="171"/>
      <c r="Z5741" s="171"/>
      <c r="AA5741" s="171"/>
    </row>
    <row r="5742" spans="1:27" s="530" customFormat="1" ht="25.5" hidden="1" x14ac:dyDescent="0.2">
      <c r="A5742" s="526"/>
      <c r="B5742" s="527"/>
      <c r="C5742" s="465"/>
      <c r="D5742" s="464"/>
      <c r="E5742" s="464"/>
      <c r="F5742" s="494">
        <v>416</v>
      </c>
      <c r="G5742" s="495" t="s">
        <v>4178</v>
      </c>
      <c r="H5742" s="397"/>
      <c r="I5742" s="397"/>
      <c r="J5742" s="750" t="e">
        <f t="shared" si="72"/>
        <v>#DIV/0!</v>
      </c>
      <c r="K5742" s="398"/>
      <c r="L5742" s="398"/>
      <c r="M5742" s="682"/>
      <c r="N5742" s="171"/>
      <c r="O5742" s="171"/>
      <c r="P5742" s="171"/>
      <c r="Q5742" s="171"/>
      <c r="R5742" s="171"/>
      <c r="S5742" s="171"/>
      <c r="T5742" s="171"/>
      <c r="U5742" s="171"/>
      <c r="V5742" s="171"/>
      <c r="W5742" s="171"/>
      <c r="X5742" s="171"/>
      <c r="Y5742" s="171"/>
      <c r="Z5742" s="171"/>
      <c r="AA5742" s="171"/>
    </row>
    <row r="5743" spans="1:27" s="530" customFormat="1" hidden="1" x14ac:dyDescent="0.2">
      <c r="A5743" s="526"/>
      <c r="B5743" s="527"/>
      <c r="C5743" s="465"/>
      <c r="D5743" s="464"/>
      <c r="E5743" s="464"/>
      <c r="F5743" s="494">
        <v>417</v>
      </c>
      <c r="G5743" s="495" t="s">
        <v>4179</v>
      </c>
      <c r="H5743" s="397"/>
      <c r="I5743" s="397"/>
      <c r="J5743" s="750" t="e">
        <f t="shared" si="72"/>
        <v>#DIV/0!</v>
      </c>
      <c r="K5743" s="398"/>
      <c r="L5743" s="398"/>
      <c r="M5743" s="682"/>
      <c r="N5743" s="171"/>
      <c r="O5743" s="171"/>
      <c r="P5743" s="171"/>
      <c r="Q5743" s="171"/>
      <c r="R5743" s="171"/>
      <c r="S5743" s="171"/>
      <c r="T5743" s="171"/>
      <c r="U5743" s="171"/>
      <c r="V5743" s="171"/>
      <c r="W5743" s="171"/>
      <c r="X5743" s="171"/>
      <c r="Y5743" s="171"/>
      <c r="Z5743" s="171"/>
      <c r="AA5743" s="171"/>
    </row>
    <row r="5744" spans="1:27" s="530" customFormat="1" hidden="1" x14ac:dyDescent="0.2">
      <c r="A5744" s="526"/>
      <c r="B5744" s="527"/>
      <c r="C5744" s="465"/>
      <c r="D5744" s="464"/>
      <c r="E5744" s="464"/>
      <c r="F5744" s="494">
        <v>418</v>
      </c>
      <c r="G5744" s="495" t="s">
        <v>3773</v>
      </c>
      <c r="H5744" s="397"/>
      <c r="I5744" s="397"/>
      <c r="J5744" s="750" t="e">
        <f t="shared" si="72"/>
        <v>#DIV/0!</v>
      </c>
      <c r="K5744" s="398"/>
      <c r="L5744" s="398"/>
      <c r="M5744" s="682"/>
      <c r="N5744" s="171"/>
      <c r="O5744" s="171"/>
      <c r="P5744" s="171"/>
      <c r="Q5744" s="171"/>
      <c r="R5744" s="171"/>
      <c r="S5744" s="171"/>
      <c r="T5744" s="171"/>
      <c r="U5744" s="171"/>
      <c r="V5744" s="171"/>
      <c r="W5744" s="171"/>
      <c r="X5744" s="171"/>
      <c r="Y5744" s="171"/>
      <c r="Z5744" s="171"/>
      <c r="AA5744" s="171"/>
    </row>
    <row r="5745" spans="1:27" s="530" customFormat="1" hidden="1" x14ac:dyDescent="0.2">
      <c r="A5745" s="526"/>
      <c r="B5745" s="527"/>
      <c r="C5745" s="465"/>
      <c r="D5745" s="464"/>
      <c r="E5745" s="464"/>
      <c r="F5745" s="494">
        <v>421</v>
      </c>
      <c r="G5745" s="495" t="s">
        <v>3777</v>
      </c>
      <c r="H5745" s="397"/>
      <c r="I5745" s="397"/>
      <c r="J5745" s="750" t="e">
        <f t="shared" si="72"/>
        <v>#DIV/0!</v>
      </c>
      <c r="K5745" s="398"/>
      <c r="L5745" s="398"/>
      <c r="M5745" s="682"/>
      <c r="N5745" s="171"/>
      <c r="O5745" s="171"/>
      <c r="P5745" s="171"/>
      <c r="Q5745" s="171"/>
      <c r="R5745" s="171"/>
      <c r="S5745" s="171"/>
      <c r="T5745" s="171"/>
      <c r="U5745" s="171"/>
      <c r="V5745" s="171"/>
      <c r="W5745" s="171"/>
      <c r="X5745" s="171"/>
      <c r="Y5745" s="171"/>
      <c r="Z5745" s="171"/>
      <c r="AA5745" s="171"/>
    </row>
    <row r="5746" spans="1:27" s="530" customFormat="1" hidden="1" x14ac:dyDescent="0.2">
      <c r="A5746" s="526"/>
      <c r="B5746" s="527"/>
      <c r="C5746" s="465"/>
      <c r="D5746" s="464"/>
      <c r="E5746" s="464"/>
      <c r="F5746" s="494">
        <v>422</v>
      </c>
      <c r="G5746" s="495" t="s">
        <v>3778</v>
      </c>
      <c r="H5746" s="397"/>
      <c r="I5746" s="397"/>
      <c r="J5746" s="750" t="e">
        <f t="shared" si="72"/>
        <v>#DIV/0!</v>
      </c>
      <c r="K5746" s="398"/>
      <c r="L5746" s="398"/>
      <c r="M5746" s="682"/>
      <c r="N5746" s="171"/>
      <c r="O5746" s="171"/>
      <c r="P5746" s="171"/>
      <c r="Q5746" s="171"/>
      <c r="R5746" s="171"/>
      <c r="S5746" s="171"/>
      <c r="T5746" s="171"/>
      <c r="U5746" s="171"/>
      <c r="V5746" s="171"/>
      <c r="W5746" s="171"/>
      <c r="X5746" s="171"/>
      <c r="Y5746" s="171"/>
      <c r="Z5746" s="171"/>
      <c r="AA5746" s="171"/>
    </row>
    <row r="5747" spans="1:27" s="530" customFormat="1" hidden="1" x14ac:dyDescent="0.2">
      <c r="A5747" s="526"/>
      <c r="B5747" s="527"/>
      <c r="C5747" s="465"/>
      <c r="D5747" s="464"/>
      <c r="E5747" s="464"/>
      <c r="F5747" s="494">
        <v>423</v>
      </c>
      <c r="G5747" s="495" t="s">
        <v>3779</v>
      </c>
      <c r="H5747" s="397"/>
      <c r="I5747" s="397"/>
      <c r="J5747" s="750" t="e">
        <f t="shared" si="72"/>
        <v>#DIV/0!</v>
      </c>
      <c r="K5747" s="398"/>
      <c r="L5747" s="398"/>
      <c r="M5747" s="682"/>
      <c r="N5747" s="171"/>
      <c r="O5747" s="171"/>
      <c r="P5747" s="171"/>
      <c r="Q5747" s="171"/>
      <c r="R5747" s="171"/>
      <c r="S5747" s="171"/>
      <c r="T5747" s="171"/>
      <c r="U5747" s="171"/>
      <c r="V5747" s="171"/>
      <c r="W5747" s="171"/>
      <c r="X5747" s="171"/>
      <c r="Y5747" s="171"/>
      <c r="Z5747" s="171"/>
      <c r="AA5747" s="171"/>
    </row>
    <row r="5748" spans="1:27" s="530" customFormat="1" hidden="1" x14ac:dyDescent="0.2">
      <c r="A5748" s="526"/>
      <c r="B5748" s="527"/>
      <c r="C5748" s="465"/>
      <c r="D5748" s="464"/>
      <c r="E5748" s="464"/>
      <c r="F5748" s="494">
        <v>424</v>
      </c>
      <c r="G5748" s="495" t="s">
        <v>3781</v>
      </c>
      <c r="H5748" s="397"/>
      <c r="I5748" s="397"/>
      <c r="J5748" s="750" t="e">
        <f t="shared" si="72"/>
        <v>#DIV/0!</v>
      </c>
      <c r="K5748" s="398"/>
      <c r="L5748" s="398"/>
      <c r="M5748" s="682"/>
      <c r="N5748" s="171"/>
      <c r="O5748" s="171"/>
      <c r="P5748" s="171"/>
      <c r="Q5748" s="171"/>
      <c r="R5748" s="171"/>
      <c r="S5748" s="171"/>
      <c r="T5748" s="171"/>
      <c r="U5748" s="171"/>
      <c r="V5748" s="171"/>
      <c r="W5748" s="171"/>
      <c r="X5748" s="171"/>
      <c r="Y5748" s="171"/>
      <c r="Z5748" s="171"/>
      <c r="AA5748" s="171"/>
    </row>
    <row r="5749" spans="1:27" s="530" customFormat="1" hidden="1" x14ac:dyDescent="0.2">
      <c r="A5749" s="526"/>
      <c r="B5749" s="527"/>
      <c r="C5749" s="465"/>
      <c r="D5749" s="464"/>
      <c r="E5749" s="464"/>
      <c r="F5749" s="494">
        <v>425</v>
      </c>
      <c r="G5749" s="495" t="s">
        <v>4180</v>
      </c>
      <c r="H5749" s="397"/>
      <c r="I5749" s="397"/>
      <c r="J5749" s="750" t="e">
        <f t="shared" si="72"/>
        <v>#DIV/0!</v>
      </c>
      <c r="K5749" s="398"/>
      <c r="L5749" s="398"/>
      <c r="M5749" s="682"/>
      <c r="N5749" s="171"/>
      <c r="O5749" s="171"/>
      <c r="P5749" s="171"/>
      <c r="Q5749" s="171"/>
      <c r="R5749" s="171"/>
      <c r="S5749" s="171"/>
      <c r="T5749" s="171"/>
      <c r="U5749" s="171"/>
      <c r="V5749" s="171"/>
      <c r="W5749" s="171"/>
      <c r="X5749" s="171"/>
      <c r="Y5749" s="171"/>
      <c r="Z5749" s="171"/>
      <c r="AA5749" s="171"/>
    </row>
    <row r="5750" spans="1:27" s="530" customFormat="1" hidden="1" x14ac:dyDescent="0.2">
      <c r="A5750" s="526"/>
      <c r="B5750" s="527"/>
      <c r="C5750" s="465"/>
      <c r="D5750" s="464"/>
      <c r="E5750" s="464"/>
      <c r="F5750" s="494">
        <v>426</v>
      </c>
      <c r="G5750" s="495" t="s">
        <v>3785</v>
      </c>
      <c r="H5750" s="397"/>
      <c r="I5750" s="397"/>
      <c r="J5750" s="750" t="e">
        <f t="shared" si="72"/>
        <v>#DIV/0!</v>
      </c>
      <c r="K5750" s="398"/>
      <c r="L5750" s="398"/>
      <c r="M5750" s="682"/>
      <c r="N5750" s="171"/>
      <c r="O5750" s="171"/>
      <c r="P5750" s="171"/>
      <c r="Q5750" s="171"/>
      <c r="R5750" s="171"/>
      <c r="S5750" s="171"/>
      <c r="T5750" s="171"/>
      <c r="U5750" s="171"/>
      <c r="V5750" s="171"/>
      <c r="W5750" s="171"/>
      <c r="X5750" s="171"/>
      <c r="Y5750" s="171"/>
      <c r="Z5750" s="171"/>
      <c r="AA5750" s="171"/>
    </row>
    <row r="5751" spans="1:27" s="530" customFormat="1" hidden="1" x14ac:dyDescent="0.2">
      <c r="A5751" s="526"/>
      <c r="B5751" s="527"/>
      <c r="C5751" s="465"/>
      <c r="D5751" s="464"/>
      <c r="E5751" s="464"/>
      <c r="F5751" s="494">
        <v>431</v>
      </c>
      <c r="G5751" s="495" t="s">
        <v>4181</v>
      </c>
      <c r="H5751" s="397"/>
      <c r="I5751" s="397"/>
      <c r="J5751" s="750" t="e">
        <f t="shared" si="72"/>
        <v>#DIV/0!</v>
      </c>
      <c r="K5751" s="398"/>
      <c r="L5751" s="398"/>
      <c r="M5751" s="682"/>
      <c r="N5751" s="171"/>
      <c r="O5751" s="171"/>
      <c r="P5751" s="171"/>
      <c r="Q5751" s="171"/>
      <c r="R5751" s="171"/>
      <c r="S5751" s="171"/>
      <c r="T5751" s="171"/>
      <c r="U5751" s="171"/>
      <c r="V5751" s="171"/>
      <c r="W5751" s="171"/>
      <c r="X5751" s="171"/>
      <c r="Y5751" s="171"/>
      <c r="Z5751" s="171"/>
      <c r="AA5751" s="171"/>
    </row>
    <row r="5752" spans="1:27" s="530" customFormat="1" hidden="1" x14ac:dyDescent="0.2">
      <c r="A5752" s="526"/>
      <c r="B5752" s="527"/>
      <c r="C5752" s="465"/>
      <c r="D5752" s="464"/>
      <c r="E5752" s="464"/>
      <c r="F5752" s="494">
        <v>432</v>
      </c>
      <c r="G5752" s="495" t="s">
        <v>4182</v>
      </c>
      <c r="H5752" s="397"/>
      <c r="I5752" s="397"/>
      <c r="J5752" s="750" t="e">
        <f t="shared" si="72"/>
        <v>#DIV/0!</v>
      </c>
      <c r="K5752" s="398"/>
      <c r="L5752" s="398"/>
      <c r="M5752" s="682"/>
      <c r="N5752" s="171"/>
      <c r="O5752" s="171"/>
      <c r="P5752" s="171"/>
      <c r="Q5752" s="171"/>
      <c r="R5752" s="171"/>
      <c r="S5752" s="171"/>
      <c r="T5752" s="171"/>
      <c r="U5752" s="171"/>
      <c r="V5752" s="171"/>
      <c r="W5752" s="171"/>
      <c r="X5752" s="171"/>
      <c r="Y5752" s="171"/>
      <c r="Z5752" s="171"/>
      <c r="AA5752" s="171"/>
    </row>
    <row r="5753" spans="1:27" s="530" customFormat="1" hidden="1" x14ac:dyDescent="0.2">
      <c r="A5753" s="526"/>
      <c r="B5753" s="527"/>
      <c r="C5753" s="465"/>
      <c r="D5753" s="464"/>
      <c r="E5753" s="464"/>
      <c r="F5753" s="494">
        <v>433</v>
      </c>
      <c r="G5753" s="495" t="s">
        <v>4183</v>
      </c>
      <c r="H5753" s="397"/>
      <c r="I5753" s="397"/>
      <c r="J5753" s="750" t="e">
        <f t="shared" si="72"/>
        <v>#DIV/0!</v>
      </c>
      <c r="K5753" s="398"/>
      <c r="L5753" s="398"/>
      <c r="M5753" s="682"/>
      <c r="N5753" s="171"/>
      <c r="O5753" s="171"/>
      <c r="P5753" s="171"/>
      <c r="Q5753" s="171"/>
      <c r="R5753" s="171"/>
      <c r="S5753" s="171"/>
      <c r="T5753" s="171"/>
      <c r="U5753" s="171"/>
      <c r="V5753" s="171"/>
      <c r="W5753" s="171"/>
      <c r="X5753" s="171"/>
      <c r="Y5753" s="171"/>
      <c r="Z5753" s="171"/>
      <c r="AA5753" s="171"/>
    </row>
    <row r="5754" spans="1:27" s="530" customFormat="1" hidden="1" x14ac:dyDescent="0.2">
      <c r="A5754" s="526"/>
      <c r="B5754" s="527"/>
      <c r="C5754" s="465"/>
      <c r="D5754" s="464"/>
      <c r="E5754" s="464"/>
      <c r="F5754" s="494">
        <v>434</v>
      </c>
      <c r="G5754" s="495" t="s">
        <v>4184</v>
      </c>
      <c r="H5754" s="397"/>
      <c r="I5754" s="397"/>
      <c r="J5754" s="750" t="e">
        <f t="shared" si="72"/>
        <v>#DIV/0!</v>
      </c>
      <c r="K5754" s="398"/>
      <c r="L5754" s="398"/>
      <c r="M5754" s="682"/>
      <c r="N5754" s="171"/>
      <c r="O5754" s="171"/>
      <c r="P5754" s="171"/>
      <c r="Q5754" s="171"/>
      <c r="R5754" s="171"/>
      <c r="S5754" s="171"/>
      <c r="T5754" s="171"/>
      <c r="U5754" s="171"/>
      <c r="V5754" s="171"/>
      <c r="W5754" s="171"/>
      <c r="X5754" s="171"/>
      <c r="Y5754" s="171"/>
      <c r="Z5754" s="171"/>
      <c r="AA5754" s="171"/>
    </row>
    <row r="5755" spans="1:27" s="530" customFormat="1" hidden="1" x14ac:dyDescent="0.2">
      <c r="A5755" s="526"/>
      <c r="B5755" s="527"/>
      <c r="C5755" s="465"/>
      <c r="D5755" s="464"/>
      <c r="E5755" s="464"/>
      <c r="F5755" s="494">
        <v>435</v>
      </c>
      <c r="G5755" s="495" t="s">
        <v>3792</v>
      </c>
      <c r="H5755" s="397"/>
      <c r="I5755" s="397"/>
      <c r="J5755" s="750" t="e">
        <f t="shared" si="72"/>
        <v>#DIV/0!</v>
      </c>
      <c r="K5755" s="398"/>
      <c r="L5755" s="398"/>
      <c r="M5755" s="682"/>
      <c r="N5755" s="171"/>
      <c r="O5755" s="171"/>
      <c r="P5755" s="171"/>
      <c r="Q5755" s="171"/>
      <c r="R5755" s="171"/>
      <c r="S5755" s="171"/>
      <c r="T5755" s="171"/>
      <c r="U5755" s="171"/>
      <c r="V5755" s="171"/>
      <c r="W5755" s="171"/>
      <c r="X5755" s="171"/>
      <c r="Y5755" s="171"/>
      <c r="Z5755" s="171"/>
      <c r="AA5755" s="171"/>
    </row>
    <row r="5756" spans="1:27" s="530" customFormat="1" hidden="1" x14ac:dyDescent="0.2">
      <c r="A5756" s="526"/>
      <c r="B5756" s="527"/>
      <c r="C5756" s="465"/>
      <c r="D5756" s="464"/>
      <c r="E5756" s="464"/>
      <c r="F5756" s="494">
        <v>441</v>
      </c>
      <c r="G5756" s="495" t="s">
        <v>4185</v>
      </c>
      <c r="H5756" s="397"/>
      <c r="I5756" s="397"/>
      <c r="J5756" s="750" t="e">
        <f t="shared" si="72"/>
        <v>#DIV/0!</v>
      </c>
      <c r="K5756" s="398"/>
      <c r="L5756" s="398"/>
      <c r="M5756" s="682"/>
      <c r="N5756" s="171"/>
      <c r="O5756" s="171"/>
      <c r="P5756" s="171"/>
      <c r="Q5756" s="171"/>
      <c r="R5756" s="171"/>
      <c r="S5756" s="171"/>
      <c r="T5756" s="171"/>
      <c r="U5756" s="171"/>
      <c r="V5756" s="171"/>
      <c r="W5756" s="171"/>
      <c r="X5756" s="171"/>
      <c r="Y5756" s="171"/>
      <c r="Z5756" s="171"/>
      <c r="AA5756" s="171"/>
    </row>
    <row r="5757" spans="1:27" s="530" customFormat="1" hidden="1" x14ac:dyDescent="0.2">
      <c r="A5757" s="526"/>
      <c r="B5757" s="527"/>
      <c r="C5757" s="465"/>
      <c r="D5757" s="464"/>
      <c r="E5757" s="464"/>
      <c r="F5757" s="494">
        <v>442</v>
      </c>
      <c r="G5757" s="495" t="s">
        <v>4186</v>
      </c>
      <c r="H5757" s="397"/>
      <c r="I5757" s="397"/>
      <c r="J5757" s="750" t="e">
        <f t="shared" si="72"/>
        <v>#DIV/0!</v>
      </c>
      <c r="K5757" s="398"/>
      <c r="L5757" s="398"/>
      <c r="M5757" s="682"/>
      <c r="N5757" s="171"/>
      <c r="O5757" s="171"/>
      <c r="P5757" s="171"/>
      <c r="Q5757" s="171"/>
      <c r="R5757" s="171"/>
      <c r="S5757" s="171"/>
      <c r="T5757" s="171"/>
      <c r="U5757" s="171"/>
      <c r="V5757" s="171"/>
      <c r="W5757" s="171"/>
      <c r="X5757" s="171"/>
      <c r="Y5757" s="171"/>
      <c r="Z5757" s="171"/>
      <c r="AA5757" s="171"/>
    </row>
    <row r="5758" spans="1:27" s="530" customFormat="1" hidden="1" x14ac:dyDescent="0.2">
      <c r="A5758" s="526"/>
      <c r="B5758" s="527"/>
      <c r="C5758" s="465"/>
      <c r="D5758" s="464"/>
      <c r="E5758" s="464"/>
      <c r="F5758" s="494">
        <v>443</v>
      </c>
      <c r="G5758" s="495" t="s">
        <v>3797</v>
      </c>
      <c r="H5758" s="397"/>
      <c r="I5758" s="397"/>
      <c r="J5758" s="750" t="e">
        <f t="shared" si="72"/>
        <v>#DIV/0!</v>
      </c>
      <c r="K5758" s="398"/>
      <c r="L5758" s="398"/>
      <c r="M5758" s="682"/>
      <c r="N5758" s="171"/>
      <c r="O5758" s="171"/>
      <c r="P5758" s="171"/>
      <c r="Q5758" s="171"/>
      <c r="R5758" s="171"/>
      <c r="S5758" s="171"/>
      <c r="T5758" s="171"/>
      <c r="U5758" s="171"/>
      <c r="V5758" s="171"/>
      <c r="W5758" s="171"/>
      <c r="X5758" s="171"/>
      <c r="Y5758" s="171"/>
      <c r="Z5758" s="171"/>
      <c r="AA5758" s="171"/>
    </row>
    <row r="5759" spans="1:27" s="530" customFormat="1" hidden="1" x14ac:dyDescent="0.2">
      <c r="A5759" s="526"/>
      <c r="B5759" s="527"/>
      <c r="C5759" s="465"/>
      <c r="D5759" s="464"/>
      <c r="E5759" s="464"/>
      <c r="F5759" s="494">
        <v>444</v>
      </c>
      <c r="G5759" s="495" t="s">
        <v>3798</v>
      </c>
      <c r="H5759" s="397"/>
      <c r="I5759" s="397"/>
      <c r="J5759" s="750" t="e">
        <f t="shared" si="72"/>
        <v>#DIV/0!</v>
      </c>
      <c r="K5759" s="398"/>
      <c r="L5759" s="398"/>
      <c r="M5759" s="682"/>
      <c r="N5759" s="171"/>
      <c r="O5759" s="171"/>
      <c r="P5759" s="171"/>
      <c r="Q5759" s="171"/>
      <c r="R5759" s="171"/>
      <c r="S5759" s="171"/>
      <c r="T5759" s="171"/>
      <c r="U5759" s="171"/>
      <c r="V5759" s="171"/>
      <c r="W5759" s="171"/>
      <c r="X5759" s="171"/>
      <c r="Y5759" s="171"/>
      <c r="Z5759" s="171"/>
      <c r="AA5759" s="171"/>
    </row>
    <row r="5760" spans="1:27" s="530" customFormat="1" ht="25.5" hidden="1" x14ac:dyDescent="0.2">
      <c r="A5760" s="526"/>
      <c r="B5760" s="527"/>
      <c r="C5760" s="465"/>
      <c r="D5760" s="464"/>
      <c r="E5760" s="464"/>
      <c r="F5760" s="494">
        <v>4511</v>
      </c>
      <c r="G5760" s="466" t="s">
        <v>1692</v>
      </c>
      <c r="H5760" s="397"/>
      <c r="I5760" s="397"/>
      <c r="J5760" s="750" t="e">
        <f t="shared" si="72"/>
        <v>#DIV/0!</v>
      </c>
      <c r="K5760" s="398"/>
      <c r="L5760" s="398"/>
      <c r="M5760" s="682"/>
      <c r="N5760" s="171"/>
      <c r="O5760" s="171"/>
      <c r="P5760" s="171"/>
      <c r="Q5760" s="171"/>
      <c r="R5760" s="171"/>
      <c r="S5760" s="171"/>
      <c r="T5760" s="171"/>
      <c r="U5760" s="171"/>
      <c r="V5760" s="171"/>
      <c r="W5760" s="171"/>
      <c r="X5760" s="171"/>
      <c r="Y5760" s="171"/>
      <c r="Z5760" s="171"/>
      <c r="AA5760" s="171"/>
    </row>
    <row r="5761" spans="1:27" s="530" customFormat="1" ht="25.5" hidden="1" x14ac:dyDescent="0.2">
      <c r="A5761" s="526"/>
      <c r="B5761" s="527"/>
      <c r="C5761" s="465"/>
      <c r="D5761" s="464"/>
      <c r="E5761" s="464"/>
      <c r="F5761" s="494">
        <v>4512</v>
      </c>
      <c r="G5761" s="466" t="s">
        <v>1701</v>
      </c>
      <c r="H5761" s="397"/>
      <c r="I5761" s="397"/>
      <c r="J5761" s="750" t="e">
        <f t="shared" si="72"/>
        <v>#DIV/0!</v>
      </c>
      <c r="K5761" s="398"/>
      <c r="L5761" s="398"/>
      <c r="M5761" s="682"/>
      <c r="N5761" s="171"/>
      <c r="O5761" s="171"/>
      <c r="P5761" s="171"/>
      <c r="Q5761" s="171"/>
      <c r="R5761" s="171"/>
      <c r="S5761" s="171"/>
      <c r="T5761" s="171"/>
      <c r="U5761" s="171"/>
      <c r="V5761" s="171"/>
      <c r="W5761" s="171"/>
      <c r="X5761" s="171"/>
      <c r="Y5761" s="171"/>
      <c r="Z5761" s="171"/>
      <c r="AA5761" s="171"/>
    </row>
    <row r="5762" spans="1:27" s="530" customFormat="1" ht="25.5" hidden="1" x14ac:dyDescent="0.2">
      <c r="A5762" s="526"/>
      <c r="B5762" s="527"/>
      <c r="C5762" s="465"/>
      <c r="D5762" s="464"/>
      <c r="E5762" s="464"/>
      <c r="F5762" s="494">
        <v>452</v>
      </c>
      <c r="G5762" s="495" t="s">
        <v>4187</v>
      </c>
      <c r="H5762" s="397"/>
      <c r="I5762" s="397"/>
      <c r="J5762" s="750" t="e">
        <f t="shared" si="72"/>
        <v>#DIV/0!</v>
      </c>
      <c r="K5762" s="398"/>
      <c r="L5762" s="398"/>
      <c r="M5762" s="682"/>
      <c r="N5762" s="171"/>
      <c r="O5762" s="171"/>
      <c r="P5762" s="171"/>
      <c r="Q5762" s="171"/>
      <c r="R5762" s="171"/>
      <c r="S5762" s="171"/>
      <c r="T5762" s="171"/>
      <c r="U5762" s="171"/>
      <c r="V5762" s="171"/>
      <c r="W5762" s="171"/>
      <c r="X5762" s="171"/>
      <c r="Y5762" s="171"/>
      <c r="Z5762" s="171"/>
      <c r="AA5762" s="171"/>
    </row>
    <row r="5763" spans="1:27" s="530" customFormat="1" ht="25.5" hidden="1" x14ac:dyDescent="0.2">
      <c r="A5763" s="526"/>
      <c r="B5763" s="527"/>
      <c r="C5763" s="465"/>
      <c r="D5763" s="464"/>
      <c r="E5763" s="464"/>
      <c r="F5763" s="494">
        <v>453</v>
      </c>
      <c r="G5763" s="495" t="s">
        <v>4188</v>
      </c>
      <c r="H5763" s="397"/>
      <c r="I5763" s="397"/>
      <c r="J5763" s="750" t="e">
        <f t="shared" si="72"/>
        <v>#DIV/0!</v>
      </c>
      <c r="K5763" s="398"/>
      <c r="L5763" s="398"/>
      <c r="M5763" s="682"/>
      <c r="N5763" s="171"/>
      <c r="O5763" s="171"/>
      <c r="P5763" s="171"/>
      <c r="Q5763" s="171"/>
      <c r="R5763" s="171"/>
      <c r="S5763" s="171"/>
      <c r="T5763" s="171"/>
      <c r="U5763" s="171"/>
      <c r="V5763" s="171"/>
      <c r="W5763" s="171"/>
      <c r="X5763" s="171"/>
      <c r="Y5763" s="171"/>
      <c r="Z5763" s="171"/>
      <c r="AA5763" s="171"/>
    </row>
    <row r="5764" spans="1:27" s="530" customFormat="1" hidden="1" x14ac:dyDescent="0.2">
      <c r="A5764" s="526"/>
      <c r="B5764" s="527"/>
      <c r="C5764" s="465"/>
      <c r="D5764" s="464"/>
      <c r="E5764" s="464"/>
      <c r="F5764" s="494">
        <v>454</v>
      </c>
      <c r="G5764" s="495" t="s">
        <v>3803</v>
      </c>
      <c r="H5764" s="397"/>
      <c r="I5764" s="397"/>
      <c r="J5764" s="750" t="e">
        <f t="shared" si="72"/>
        <v>#DIV/0!</v>
      </c>
      <c r="K5764" s="398"/>
      <c r="L5764" s="398"/>
      <c r="M5764" s="682"/>
      <c r="N5764" s="171"/>
      <c r="O5764" s="171"/>
      <c r="P5764" s="171"/>
      <c r="Q5764" s="171"/>
      <c r="R5764" s="171"/>
      <c r="S5764" s="171"/>
      <c r="T5764" s="171"/>
      <c r="U5764" s="171"/>
      <c r="V5764" s="171"/>
      <c r="W5764" s="171"/>
      <c r="X5764" s="171"/>
      <c r="Y5764" s="171"/>
      <c r="Z5764" s="171"/>
      <c r="AA5764" s="171"/>
    </row>
    <row r="5765" spans="1:27" s="530" customFormat="1" hidden="1" x14ac:dyDescent="0.2">
      <c r="A5765" s="526"/>
      <c r="B5765" s="527"/>
      <c r="C5765" s="465"/>
      <c r="D5765" s="464"/>
      <c r="E5765" s="464"/>
      <c r="F5765" s="494">
        <v>461</v>
      </c>
      <c r="G5765" s="495" t="s">
        <v>4169</v>
      </c>
      <c r="H5765" s="397"/>
      <c r="I5765" s="397"/>
      <c r="J5765" s="750" t="e">
        <f t="shared" si="72"/>
        <v>#DIV/0!</v>
      </c>
      <c r="K5765" s="398"/>
      <c r="L5765" s="398"/>
      <c r="M5765" s="682"/>
      <c r="N5765" s="171"/>
      <c r="O5765" s="171"/>
      <c r="P5765" s="171"/>
      <c r="Q5765" s="171"/>
      <c r="R5765" s="171"/>
      <c r="S5765" s="171"/>
      <c r="T5765" s="171"/>
      <c r="U5765" s="171"/>
      <c r="V5765" s="171"/>
      <c r="W5765" s="171"/>
      <c r="X5765" s="171"/>
      <c r="Y5765" s="171"/>
      <c r="Z5765" s="171"/>
      <c r="AA5765" s="171"/>
    </row>
    <row r="5766" spans="1:27" s="530" customFormat="1" ht="25.5" hidden="1" x14ac:dyDescent="0.2">
      <c r="A5766" s="526"/>
      <c r="B5766" s="527"/>
      <c r="C5766" s="465"/>
      <c r="D5766" s="464"/>
      <c r="E5766" s="464"/>
      <c r="F5766" s="494">
        <v>462</v>
      </c>
      <c r="G5766" s="495" t="s">
        <v>3806</v>
      </c>
      <c r="H5766" s="397"/>
      <c r="I5766" s="397"/>
      <c r="J5766" s="750" t="e">
        <f t="shared" si="72"/>
        <v>#DIV/0!</v>
      </c>
      <c r="K5766" s="398"/>
      <c r="L5766" s="398"/>
      <c r="M5766" s="682"/>
      <c r="N5766" s="171"/>
      <c r="O5766" s="171"/>
      <c r="P5766" s="171"/>
      <c r="Q5766" s="171"/>
      <c r="R5766" s="171"/>
      <c r="S5766" s="171"/>
      <c r="T5766" s="171"/>
      <c r="U5766" s="171"/>
      <c r="V5766" s="171"/>
      <c r="W5766" s="171"/>
      <c r="X5766" s="171"/>
      <c r="Y5766" s="171"/>
      <c r="Z5766" s="171"/>
      <c r="AA5766" s="171"/>
    </row>
    <row r="5767" spans="1:27" s="530" customFormat="1" hidden="1" x14ac:dyDescent="0.2">
      <c r="A5767" s="526"/>
      <c r="B5767" s="527"/>
      <c r="C5767" s="465"/>
      <c r="D5767" s="464"/>
      <c r="E5767" s="464"/>
      <c r="F5767" s="494">
        <v>4631</v>
      </c>
      <c r="G5767" s="495" t="s">
        <v>3807</v>
      </c>
      <c r="H5767" s="397"/>
      <c r="I5767" s="397"/>
      <c r="J5767" s="750" t="e">
        <f t="shared" si="72"/>
        <v>#DIV/0!</v>
      </c>
      <c r="K5767" s="398"/>
      <c r="L5767" s="398"/>
      <c r="M5767" s="682"/>
      <c r="N5767" s="171"/>
      <c r="O5767" s="171"/>
      <c r="P5767" s="171"/>
      <c r="Q5767" s="171"/>
      <c r="R5767" s="171"/>
      <c r="S5767" s="171"/>
      <c r="T5767" s="171"/>
      <c r="U5767" s="171"/>
      <c r="V5767" s="171"/>
      <c r="W5767" s="171"/>
      <c r="X5767" s="171"/>
      <c r="Y5767" s="171"/>
      <c r="Z5767" s="171"/>
      <c r="AA5767" s="171"/>
    </row>
    <row r="5768" spans="1:27" s="530" customFormat="1" hidden="1" x14ac:dyDescent="0.2">
      <c r="A5768" s="526"/>
      <c r="B5768" s="527"/>
      <c r="C5768" s="465"/>
      <c r="D5768" s="464"/>
      <c r="E5768" s="464"/>
      <c r="F5768" s="494">
        <v>4632</v>
      </c>
      <c r="G5768" s="495" t="s">
        <v>3808</v>
      </c>
      <c r="H5768" s="397"/>
      <c r="I5768" s="397"/>
      <c r="J5768" s="750" t="e">
        <f t="shared" si="72"/>
        <v>#DIV/0!</v>
      </c>
      <c r="K5768" s="398"/>
      <c r="L5768" s="398"/>
      <c r="M5768" s="682"/>
      <c r="N5768" s="171"/>
      <c r="O5768" s="171"/>
      <c r="P5768" s="171"/>
      <c r="Q5768" s="171"/>
      <c r="R5768" s="171"/>
      <c r="S5768" s="171"/>
      <c r="T5768" s="171"/>
      <c r="U5768" s="171"/>
      <c r="V5768" s="171"/>
      <c r="W5768" s="171"/>
      <c r="X5768" s="171"/>
      <c r="Y5768" s="171"/>
      <c r="Z5768" s="171"/>
      <c r="AA5768" s="171"/>
    </row>
    <row r="5769" spans="1:27" s="530" customFormat="1" ht="25.5" hidden="1" x14ac:dyDescent="0.2">
      <c r="A5769" s="526"/>
      <c r="B5769" s="527"/>
      <c r="C5769" s="465"/>
      <c r="D5769" s="464"/>
      <c r="E5769" s="464"/>
      <c r="F5769" s="494">
        <v>464</v>
      </c>
      <c r="G5769" s="495" t="s">
        <v>3809</v>
      </c>
      <c r="H5769" s="397"/>
      <c r="I5769" s="397"/>
      <c r="J5769" s="750" t="e">
        <f t="shared" si="72"/>
        <v>#DIV/0!</v>
      </c>
      <c r="K5769" s="398"/>
      <c r="L5769" s="398"/>
      <c r="M5769" s="682"/>
      <c r="N5769" s="171"/>
      <c r="O5769" s="171"/>
      <c r="P5769" s="171"/>
      <c r="Q5769" s="171"/>
      <c r="R5769" s="171"/>
      <c r="S5769" s="171"/>
      <c r="T5769" s="171"/>
      <c r="U5769" s="171"/>
      <c r="V5769" s="171"/>
      <c r="W5769" s="171"/>
      <c r="X5769" s="171"/>
      <c r="Y5769" s="171"/>
      <c r="Z5769" s="171"/>
      <c r="AA5769" s="171"/>
    </row>
    <row r="5770" spans="1:27" s="530" customFormat="1" hidden="1" x14ac:dyDescent="0.2">
      <c r="A5770" s="526"/>
      <c r="B5770" s="527"/>
      <c r="C5770" s="465"/>
      <c r="D5770" s="464"/>
      <c r="E5770" s="464"/>
      <c r="F5770" s="494">
        <v>465</v>
      </c>
      <c r="G5770" s="495" t="s">
        <v>4170</v>
      </c>
      <c r="H5770" s="397"/>
      <c r="I5770" s="397"/>
      <c r="J5770" s="750" t="e">
        <f t="shared" si="72"/>
        <v>#DIV/0!</v>
      </c>
      <c r="K5770" s="398"/>
      <c r="L5770" s="398"/>
      <c r="M5770" s="682"/>
      <c r="N5770" s="171"/>
      <c r="O5770" s="171"/>
      <c r="P5770" s="171"/>
      <c r="Q5770" s="171"/>
      <c r="R5770" s="171"/>
      <c r="S5770" s="171"/>
      <c r="T5770" s="171"/>
      <c r="U5770" s="171"/>
      <c r="V5770" s="171"/>
      <c r="W5770" s="171"/>
      <c r="X5770" s="171"/>
      <c r="Y5770" s="171"/>
      <c r="Z5770" s="171"/>
      <c r="AA5770" s="171"/>
    </row>
    <row r="5771" spans="1:27" s="530" customFormat="1" hidden="1" x14ac:dyDescent="0.2">
      <c r="A5771" s="526"/>
      <c r="B5771" s="527"/>
      <c r="C5771" s="465"/>
      <c r="D5771" s="464"/>
      <c r="E5771" s="464"/>
      <c r="F5771" s="494">
        <v>472</v>
      </c>
      <c r="G5771" s="495" t="s">
        <v>3813</v>
      </c>
      <c r="H5771" s="397"/>
      <c r="I5771" s="397"/>
      <c r="J5771" s="750" t="e">
        <f t="shared" si="72"/>
        <v>#DIV/0!</v>
      </c>
      <c r="K5771" s="398"/>
      <c r="L5771" s="398"/>
      <c r="M5771" s="682"/>
      <c r="N5771" s="171"/>
      <c r="O5771" s="171"/>
      <c r="P5771" s="171"/>
      <c r="Q5771" s="171"/>
      <c r="R5771" s="171"/>
      <c r="S5771" s="171"/>
      <c r="T5771" s="171"/>
      <c r="U5771" s="171"/>
      <c r="V5771" s="171"/>
      <c r="W5771" s="171"/>
      <c r="X5771" s="171"/>
      <c r="Y5771" s="171"/>
      <c r="Z5771" s="171"/>
      <c r="AA5771" s="171"/>
    </row>
    <row r="5772" spans="1:27" s="530" customFormat="1" hidden="1" x14ac:dyDescent="0.2">
      <c r="A5772" s="526"/>
      <c r="B5772" s="527"/>
      <c r="C5772" s="465"/>
      <c r="D5772" s="464"/>
      <c r="E5772" s="464"/>
      <c r="F5772" s="494">
        <v>481</v>
      </c>
      <c r="G5772" s="495" t="s">
        <v>4189</v>
      </c>
      <c r="H5772" s="397"/>
      <c r="I5772" s="397"/>
      <c r="J5772" s="750" t="e">
        <f t="shared" si="72"/>
        <v>#DIV/0!</v>
      </c>
      <c r="K5772" s="398"/>
      <c r="L5772" s="398"/>
      <c r="M5772" s="682"/>
      <c r="N5772" s="171"/>
      <c r="O5772" s="171"/>
      <c r="P5772" s="171"/>
      <c r="Q5772" s="171"/>
      <c r="R5772" s="171"/>
      <c r="S5772" s="171"/>
      <c r="T5772" s="171"/>
      <c r="U5772" s="171"/>
      <c r="V5772" s="171"/>
      <c r="W5772" s="171"/>
      <c r="X5772" s="171"/>
      <c r="Y5772" s="171"/>
      <c r="Z5772" s="171"/>
      <c r="AA5772" s="171"/>
    </row>
    <row r="5773" spans="1:27" s="530" customFormat="1" hidden="1" x14ac:dyDescent="0.2">
      <c r="A5773" s="526"/>
      <c r="B5773" s="527"/>
      <c r="C5773" s="465"/>
      <c r="D5773" s="464"/>
      <c r="E5773" s="464"/>
      <c r="F5773" s="494">
        <v>482</v>
      </c>
      <c r="G5773" s="495" t="s">
        <v>4190</v>
      </c>
      <c r="H5773" s="397"/>
      <c r="I5773" s="397"/>
      <c r="J5773" s="750" t="e">
        <f t="shared" ref="J5773:J5836" si="73">SUM(I5773/H5773)*100</f>
        <v>#DIV/0!</v>
      </c>
      <c r="K5773" s="398"/>
      <c r="L5773" s="398"/>
      <c r="M5773" s="682"/>
      <c r="N5773" s="171"/>
      <c r="O5773" s="171"/>
      <c r="P5773" s="171"/>
      <c r="Q5773" s="171"/>
      <c r="R5773" s="171"/>
      <c r="S5773" s="171"/>
      <c r="T5773" s="171"/>
      <c r="U5773" s="171"/>
      <c r="V5773" s="171"/>
      <c r="W5773" s="171"/>
      <c r="X5773" s="171"/>
      <c r="Y5773" s="171"/>
      <c r="Z5773" s="171"/>
      <c r="AA5773" s="171"/>
    </row>
    <row r="5774" spans="1:27" s="530" customFormat="1" hidden="1" x14ac:dyDescent="0.2">
      <c r="A5774" s="526"/>
      <c r="B5774" s="527"/>
      <c r="C5774" s="465"/>
      <c r="D5774" s="464"/>
      <c r="E5774" s="464"/>
      <c r="F5774" s="494">
        <v>483</v>
      </c>
      <c r="G5774" s="497" t="s">
        <v>4191</v>
      </c>
      <c r="H5774" s="397"/>
      <c r="I5774" s="397"/>
      <c r="J5774" s="750" t="e">
        <f t="shared" si="73"/>
        <v>#DIV/0!</v>
      </c>
      <c r="K5774" s="398"/>
      <c r="L5774" s="398"/>
      <c r="M5774" s="682"/>
      <c r="N5774" s="171"/>
      <c r="O5774" s="171"/>
      <c r="P5774" s="171"/>
      <c r="Q5774" s="171"/>
      <c r="R5774" s="171"/>
      <c r="S5774" s="171"/>
      <c r="T5774" s="171"/>
      <c r="U5774" s="171"/>
      <c r="V5774" s="171"/>
      <c r="W5774" s="171"/>
      <c r="X5774" s="171"/>
      <c r="Y5774" s="171"/>
      <c r="Z5774" s="171"/>
      <c r="AA5774" s="171"/>
    </row>
    <row r="5775" spans="1:27" s="530" customFormat="1" ht="38.25" hidden="1" x14ac:dyDescent="0.2">
      <c r="A5775" s="526"/>
      <c r="B5775" s="527"/>
      <c r="C5775" s="465"/>
      <c r="D5775" s="464"/>
      <c r="E5775" s="464"/>
      <c r="F5775" s="494">
        <v>484</v>
      </c>
      <c r="G5775" s="495" t="s">
        <v>4192</v>
      </c>
      <c r="H5775" s="397"/>
      <c r="I5775" s="397"/>
      <c r="J5775" s="750" t="e">
        <f t="shared" si="73"/>
        <v>#DIV/0!</v>
      </c>
      <c r="K5775" s="398"/>
      <c r="L5775" s="398"/>
      <c r="M5775" s="682"/>
      <c r="N5775" s="171"/>
      <c r="O5775" s="171"/>
      <c r="P5775" s="171"/>
      <c r="Q5775" s="171"/>
      <c r="R5775" s="171"/>
      <c r="S5775" s="171"/>
      <c r="T5775" s="171"/>
      <c r="U5775" s="171"/>
      <c r="V5775" s="171"/>
      <c r="W5775" s="171"/>
      <c r="X5775" s="171"/>
      <c r="Y5775" s="171"/>
      <c r="Z5775" s="171"/>
      <c r="AA5775" s="171"/>
    </row>
    <row r="5776" spans="1:27" s="530" customFormat="1" ht="25.5" hidden="1" x14ac:dyDescent="0.2">
      <c r="A5776" s="526"/>
      <c r="B5776" s="527"/>
      <c r="C5776" s="465"/>
      <c r="D5776" s="464"/>
      <c r="E5776" s="464"/>
      <c r="F5776" s="494">
        <v>485</v>
      </c>
      <c r="G5776" s="495" t="s">
        <v>4193</v>
      </c>
      <c r="H5776" s="397"/>
      <c r="I5776" s="397"/>
      <c r="J5776" s="750" t="e">
        <f t="shared" si="73"/>
        <v>#DIV/0!</v>
      </c>
      <c r="K5776" s="398"/>
      <c r="L5776" s="398"/>
      <c r="M5776" s="682"/>
      <c r="N5776" s="171"/>
      <c r="O5776" s="171"/>
      <c r="P5776" s="171"/>
      <c r="Q5776" s="171"/>
      <c r="R5776" s="171"/>
      <c r="S5776" s="171"/>
      <c r="T5776" s="171"/>
      <c r="U5776" s="171"/>
      <c r="V5776" s="171"/>
      <c r="W5776" s="171"/>
      <c r="X5776" s="171"/>
      <c r="Y5776" s="171"/>
      <c r="Z5776" s="171"/>
      <c r="AA5776" s="171"/>
    </row>
    <row r="5777" spans="1:27" s="530" customFormat="1" ht="25.5" hidden="1" x14ac:dyDescent="0.2">
      <c r="A5777" s="526"/>
      <c r="B5777" s="527"/>
      <c r="C5777" s="465"/>
      <c r="D5777" s="464"/>
      <c r="E5777" s="464"/>
      <c r="F5777" s="494">
        <v>489</v>
      </c>
      <c r="G5777" s="495" t="s">
        <v>3821</v>
      </c>
      <c r="H5777" s="397"/>
      <c r="I5777" s="397"/>
      <c r="J5777" s="750" t="e">
        <f t="shared" si="73"/>
        <v>#DIV/0!</v>
      </c>
      <c r="K5777" s="398"/>
      <c r="L5777" s="398"/>
      <c r="M5777" s="682"/>
      <c r="N5777" s="171"/>
      <c r="O5777" s="171"/>
      <c r="P5777" s="171"/>
      <c r="Q5777" s="171"/>
      <c r="R5777" s="171"/>
      <c r="S5777" s="171"/>
      <c r="T5777" s="171"/>
      <c r="U5777" s="171"/>
      <c r="V5777" s="171"/>
      <c r="W5777" s="171"/>
      <c r="X5777" s="171"/>
      <c r="Y5777" s="171"/>
      <c r="Z5777" s="171"/>
      <c r="AA5777" s="171"/>
    </row>
    <row r="5778" spans="1:27" s="530" customFormat="1" ht="25.5" hidden="1" x14ac:dyDescent="0.2">
      <c r="A5778" s="526"/>
      <c r="B5778" s="527"/>
      <c r="C5778" s="465"/>
      <c r="D5778" s="464"/>
      <c r="E5778" s="464"/>
      <c r="F5778" s="494">
        <v>494</v>
      </c>
      <c r="G5778" s="495" t="s">
        <v>4171</v>
      </c>
      <c r="H5778" s="397"/>
      <c r="I5778" s="397"/>
      <c r="J5778" s="750" t="e">
        <f t="shared" si="73"/>
        <v>#DIV/0!</v>
      </c>
      <c r="K5778" s="398"/>
      <c r="L5778" s="398"/>
      <c r="M5778" s="682"/>
      <c r="N5778" s="171"/>
      <c r="O5778" s="171"/>
      <c r="P5778" s="171"/>
      <c r="Q5778" s="171"/>
      <c r="R5778" s="171"/>
      <c r="S5778" s="171"/>
      <c r="T5778" s="171"/>
      <c r="U5778" s="171"/>
      <c r="V5778" s="171"/>
      <c r="W5778" s="171"/>
      <c r="X5778" s="171"/>
      <c r="Y5778" s="171"/>
      <c r="Z5778" s="171"/>
      <c r="AA5778" s="171"/>
    </row>
    <row r="5779" spans="1:27" s="530" customFormat="1" ht="25.5" hidden="1" x14ac:dyDescent="0.2">
      <c r="A5779" s="526"/>
      <c r="B5779" s="527"/>
      <c r="C5779" s="465"/>
      <c r="D5779" s="464"/>
      <c r="E5779" s="464"/>
      <c r="F5779" s="494">
        <v>495</v>
      </c>
      <c r="G5779" s="495" t="s">
        <v>4172</v>
      </c>
      <c r="H5779" s="397"/>
      <c r="I5779" s="397"/>
      <c r="J5779" s="750" t="e">
        <f t="shared" si="73"/>
        <v>#DIV/0!</v>
      </c>
      <c r="K5779" s="398"/>
      <c r="L5779" s="398"/>
      <c r="M5779" s="682"/>
      <c r="N5779" s="171"/>
      <c r="O5779" s="171"/>
      <c r="P5779" s="171"/>
      <c r="Q5779" s="171"/>
      <c r="R5779" s="171"/>
      <c r="S5779" s="171"/>
      <c r="T5779" s="171"/>
      <c r="U5779" s="171"/>
      <c r="V5779" s="171"/>
      <c r="W5779" s="171"/>
      <c r="X5779" s="171"/>
      <c r="Y5779" s="171"/>
      <c r="Z5779" s="171"/>
      <c r="AA5779" s="171"/>
    </row>
    <row r="5780" spans="1:27" s="530" customFormat="1" ht="38.25" hidden="1" x14ac:dyDescent="0.2">
      <c r="A5780" s="526"/>
      <c r="B5780" s="527"/>
      <c r="C5780" s="465"/>
      <c r="D5780" s="464"/>
      <c r="E5780" s="464"/>
      <c r="F5780" s="494">
        <v>496</v>
      </c>
      <c r="G5780" s="495" t="s">
        <v>4173</v>
      </c>
      <c r="H5780" s="397"/>
      <c r="I5780" s="397"/>
      <c r="J5780" s="750" t="e">
        <f t="shared" si="73"/>
        <v>#DIV/0!</v>
      </c>
      <c r="K5780" s="398"/>
      <c r="L5780" s="398"/>
      <c r="M5780" s="682"/>
      <c r="N5780" s="171"/>
      <c r="O5780" s="171"/>
      <c r="P5780" s="171"/>
      <c r="Q5780" s="171"/>
      <c r="R5780" s="171"/>
      <c r="S5780" s="171"/>
      <c r="T5780" s="171"/>
      <c r="U5780" s="171"/>
      <c r="V5780" s="171"/>
      <c r="W5780" s="171"/>
      <c r="X5780" s="171"/>
      <c r="Y5780" s="171"/>
      <c r="Z5780" s="171"/>
      <c r="AA5780" s="171"/>
    </row>
    <row r="5781" spans="1:27" s="530" customFormat="1" ht="25.5" hidden="1" x14ac:dyDescent="0.2">
      <c r="A5781" s="526"/>
      <c r="B5781" s="527"/>
      <c r="C5781" s="465"/>
      <c r="D5781" s="464"/>
      <c r="E5781" s="464"/>
      <c r="F5781" s="494">
        <v>499</v>
      </c>
      <c r="G5781" s="495" t="s">
        <v>4174</v>
      </c>
      <c r="H5781" s="397"/>
      <c r="I5781" s="397"/>
      <c r="J5781" s="750" t="e">
        <f t="shared" si="73"/>
        <v>#DIV/0!</v>
      </c>
      <c r="K5781" s="398"/>
      <c r="L5781" s="398"/>
      <c r="M5781" s="682"/>
      <c r="N5781" s="171"/>
      <c r="O5781" s="171"/>
      <c r="P5781" s="171"/>
      <c r="Q5781" s="171"/>
      <c r="R5781" s="171"/>
      <c r="S5781" s="171"/>
      <c r="T5781" s="171"/>
      <c r="U5781" s="171"/>
      <c r="V5781" s="171"/>
      <c r="W5781" s="171"/>
      <c r="X5781" s="171"/>
      <c r="Y5781" s="171"/>
      <c r="Z5781" s="171"/>
      <c r="AA5781" s="171"/>
    </row>
    <row r="5782" spans="1:27" s="530" customFormat="1" hidden="1" x14ac:dyDescent="0.2">
      <c r="A5782" s="526"/>
      <c r="B5782" s="527"/>
      <c r="C5782" s="465"/>
      <c r="D5782" s="464"/>
      <c r="E5782" s="464"/>
      <c r="F5782" s="494">
        <v>511</v>
      </c>
      <c r="G5782" s="497" t="s">
        <v>4194</v>
      </c>
      <c r="H5782" s="397"/>
      <c r="I5782" s="397"/>
      <c r="J5782" s="750" t="e">
        <f t="shared" si="73"/>
        <v>#DIV/0!</v>
      </c>
      <c r="K5782" s="398"/>
      <c r="L5782" s="398"/>
      <c r="M5782" s="682"/>
      <c r="N5782" s="171"/>
      <c r="O5782" s="171"/>
      <c r="P5782" s="171"/>
      <c r="Q5782" s="171"/>
      <c r="R5782" s="171"/>
      <c r="S5782" s="171"/>
      <c r="T5782" s="171"/>
      <c r="U5782" s="171"/>
      <c r="V5782" s="171"/>
      <c r="W5782" s="171"/>
      <c r="X5782" s="171"/>
      <c r="Y5782" s="171"/>
      <c r="Z5782" s="171"/>
      <c r="AA5782" s="171"/>
    </row>
    <row r="5783" spans="1:27" s="530" customFormat="1" hidden="1" x14ac:dyDescent="0.2">
      <c r="A5783" s="526"/>
      <c r="B5783" s="527"/>
      <c r="C5783" s="465"/>
      <c r="D5783" s="464"/>
      <c r="E5783" s="464"/>
      <c r="F5783" s="494">
        <v>512</v>
      </c>
      <c r="G5783" s="497" t="s">
        <v>4195</v>
      </c>
      <c r="H5783" s="397"/>
      <c r="I5783" s="397"/>
      <c r="J5783" s="750" t="e">
        <f t="shared" si="73"/>
        <v>#DIV/0!</v>
      </c>
      <c r="K5783" s="398"/>
      <c r="L5783" s="398"/>
      <c r="M5783" s="682"/>
      <c r="N5783" s="171"/>
      <c r="O5783" s="171"/>
      <c r="P5783" s="171"/>
      <c r="Q5783" s="171"/>
      <c r="R5783" s="171"/>
      <c r="S5783" s="171"/>
      <c r="T5783" s="171"/>
      <c r="U5783" s="171"/>
      <c r="V5783" s="171"/>
      <c r="W5783" s="171"/>
      <c r="X5783" s="171"/>
      <c r="Y5783" s="171"/>
      <c r="Z5783" s="171"/>
      <c r="AA5783" s="171"/>
    </row>
    <row r="5784" spans="1:27" s="530" customFormat="1" hidden="1" x14ac:dyDescent="0.2">
      <c r="A5784" s="526"/>
      <c r="B5784" s="527"/>
      <c r="C5784" s="465"/>
      <c r="D5784" s="464"/>
      <c r="E5784" s="464"/>
      <c r="F5784" s="494">
        <v>513</v>
      </c>
      <c r="G5784" s="497" t="s">
        <v>4196</v>
      </c>
      <c r="H5784" s="397"/>
      <c r="I5784" s="397"/>
      <c r="J5784" s="750" t="e">
        <f t="shared" si="73"/>
        <v>#DIV/0!</v>
      </c>
      <c r="K5784" s="398"/>
      <c r="L5784" s="398"/>
      <c r="M5784" s="682"/>
      <c r="N5784" s="171"/>
      <c r="O5784" s="171"/>
      <c r="P5784" s="171"/>
      <c r="Q5784" s="171"/>
      <c r="R5784" s="171"/>
      <c r="S5784" s="171"/>
      <c r="T5784" s="171"/>
      <c r="U5784" s="171"/>
      <c r="V5784" s="171"/>
      <c r="W5784" s="171"/>
      <c r="X5784" s="171"/>
      <c r="Y5784" s="171"/>
      <c r="Z5784" s="171"/>
      <c r="AA5784" s="171"/>
    </row>
    <row r="5785" spans="1:27" s="530" customFormat="1" hidden="1" x14ac:dyDescent="0.2">
      <c r="A5785" s="526"/>
      <c r="B5785" s="527"/>
      <c r="C5785" s="465"/>
      <c r="D5785" s="464"/>
      <c r="E5785" s="464"/>
      <c r="F5785" s="494">
        <v>514</v>
      </c>
      <c r="G5785" s="495" t="s">
        <v>4197</v>
      </c>
      <c r="H5785" s="397"/>
      <c r="I5785" s="397"/>
      <c r="J5785" s="750" t="e">
        <f t="shared" si="73"/>
        <v>#DIV/0!</v>
      </c>
      <c r="K5785" s="398"/>
      <c r="L5785" s="398"/>
      <c r="M5785" s="682"/>
      <c r="N5785" s="171"/>
      <c r="O5785" s="171"/>
      <c r="P5785" s="171"/>
      <c r="Q5785" s="171"/>
      <c r="R5785" s="171"/>
      <c r="S5785" s="171"/>
      <c r="T5785" s="171"/>
      <c r="U5785" s="171"/>
      <c r="V5785" s="171"/>
      <c r="W5785" s="171"/>
      <c r="X5785" s="171"/>
      <c r="Y5785" s="171"/>
      <c r="Z5785" s="171"/>
      <c r="AA5785" s="171"/>
    </row>
    <row r="5786" spans="1:27" s="530" customFormat="1" hidden="1" x14ac:dyDescent="0.2">
      <c r="A5786" s="526"/>
      <c r="B5786" s="527"/>
      <c r="C5786" s="465"/>
      <c r="D5786" s="464"/>
      <c r="E5786" s="464"/>
      <c r="F5786" s="494">
        <v>515</v>
      </c>
      <c r="G5786" s="495" t="s">
        <v>3832</v>
      </c>
      <c r="H5786" s="397"/>
      <c r="I5786" s="397"/>
      <c r="J5786" s="750" t="e">
        <f t="shared" si="73"/>
        <v>#DIV/0!</v>
      </c>
      <c r="K5786" s="398"/>
      <c r="L5786" s="398"/>
      <c r="M5786" s="682"/>
      <c r="N5786" s="171"/>
      <c r="O5786" s="171"/>
      <c r="P5786" s="171"/>
      <c r="Q5786" s="171"/>
      <c r="R5786" s="171"/>
      <c r="S5786" s="171"/>
      <c r="T5786" s="171"/>
      <c r="U5786" s="171"/>
      <c r="V5786" s="171"/>
      <c r="W5786" s="171"/>
      <c r="X5786" s="171"/>
      <c r="Y5786" s="171"/>
      <c r="Z5786" s="171"/>
      <c r="AA5786" s="171"/>
    </row>
    <row r="5787" spans="1:27" s="530" customFormat="1" hidden="1" x14ac:dyDescent="0.2">
      <c r="A5787" s="526"/>
      <c r="B5787" s="527"/>
      <c r="C5787" s="465"/>
      <c r="D5787" s="464"/>
      <c r="E5787" s="464"/>
      <c r="F5787" s="494">
        <v>521</v>
      </c>
      <c r="G5787" s="495" t="s">
        <v>4198</v>
      </c>
      <c r="H5787" s="397"/>
      <c r="I5787" s="397"/>
      <c r="J5787" s="750" t="e">
        <f t="shared" si="73"/>
        <v>#DIV/0!</v>
      </c>
      <c r="K5787" s="398"/>
      <c r="L5787" s="398"/>
      <c r="M5787" s="682"/>
      <c r="N5787" s="171"/>
      <c r="O5787" s="171"/>
      <c r="P5787" s="171"/>
      <c r="Q5787" s="171"/>
      <c r="R5787" s="171"/>
      <c r="S5787" s="171"/>
      <c r="T5787" s="171"/>
      <c r="U5787" s="171"/>
      <c r="V5787" s="171"/>
      <c r="W5787" s="171"/>
      <c r="X5787" s="171"/>
      <c r="Y5787" s="171"/>
      <c r="Z5787" s="171"/>
      <c r="AA5787" s="171"/>
    </row>
    <row r="5788" spans="1:27" s="530" customFormat="1" hidden="1" x14ac:dyDescent="0.2">
      <c r="A5788" s="526"/>
      <c r="B5788" s="527"/>
      <c r="C5788" s="465"/>
      <c r="D5788" s="464"/>
      <c r="E5788" s="464"/>
      <c r="F5788" s="494">
        <v>522</v>
      </c>
      <c r="G5788" s="495" t="s">
        <v>4199</v>
      </c>
      <c r="H5788" s="397"/>
      <c r="I5788" s="397"/>
      <c r="J5788" s="750" t="e">
        <f t="shared" si="73"/>
        <v>#DIV/0!</v>
      </c>
      <c r="K5788" s="398"/>
      <c r="L5788" s="398"/>
      <c r="M5788" s="682"/>
      <c r="N5788" s="171"/>
      <c r="O5788" s="171"/>
      <c r="P5788" s="171"/>
      <c r="Q5788" s="171"/>
      <c r="R5788" s="171"/>
      <c r="S5788" s="171"/>
      <c r="T5788" s="171"/>
      <c r="U5788" s="171"/>
      <c r="V5788" s="171"/>
      <c r="W5788" s="171"/>
      <c r="X5788" s="171"/>
      <c r="Y5788" s="171"/>
      <c r="Z5788" s="171"/>
      <c r="AA5788" s="171"/>
    </row>
    <row r="5789" spans="1:27" s="530" customFormat="1" hidden="1" x14ac:dyDescent="0.2">
      <c r="A5789" s="526"/>
      <c r="B5789" s="527"/>
      <c r="C5789" s="465"/>
      <c r="D5789" s="464"/>
      <c r="E5789" s="464"/>
      <c r="F5789" s="494">
        <v>523</v>
      </c>
      <c r="G5789" s="495" t="s">
        <v>3837</v>
      </c>
      <c r="H5789" s="397"/>
      <c r="I5789" s="397"/>
      <c r="J5789" s="750" t="e">
        <f t="shared" si="73"/>
        <v>#DIV/0!</v>
      </c>
      <c r="K5789" s="398"/>
      <c r="L5789" s="398"/>
      <c r="M5789" s="682"/>
      <c r="N5789" s="171"/>
      <c r="O5789" s="171"/>
      <c r="P5789" s="171"/>
      <c r="Q5789" s="171"/>
      <c r="R5789" s="171"/>
      <c r="S5789" s="171"/>
      <c r="T5789" s="171"/>
      <c r="U5789" s="171"/>
      <c r="V5789" s="171"/>
      <c r="W5789" s="171"/>
      <c r="X5789" s="171"/>
      <c r="Y5789" s="171"/>
      <c r="Z5789" s="171"/>
      <c r="AA5789" s="171"/>
    </row>
    <row r="5790" spans="1:27" s="530" customFormat="1" hidden="1" x14ac:dyDescent="0.2">
      <c r="A5790" s="526"/>
      <c r="B5790" s="527"/>
      <c r="C5790" s="465"/>
      <c r="D5790" s="464"/>
      <c r="E5790" s="464"/>
      <c r="F5790" s="494">
        <v>531</v>
      </c>
      <c r="G5790" s="496" t="s">
        <v>4175</v>
      </c>
      <c r="H5790" s="397"/>
      <c r="I5790" s="397"/>
      <c r="J5790" s="750" t="e">
        <f t="shared" si="73"/>
        <v>#DIV/0!</v>
      </c>
      <c r="K5790" s="398"/>
      <c r="L5790" s="398"/>
      <c r="M5790" s="682"/>
      <c r="N5790" s="171"/>
      <c r="O5790" s="171"/>
      <c r="P5790" s="171"/>
      <c r="Q5790" s="171"/>
      <c r="R5790" s="171"/>
      <c r="S5790" s="171"/>
      <c r="T5790" s="171"/>
      <c r="U5790" s="171"/>
      <c r="V5790" s="171"/>
      <c r="W5790" s="171"/>
      <c r="X5790" s="171"/>
      <c r="Y5790" s="171"/>
      <c r="Z5790" s="171"/>
      <c r="AA5790" s="171"/>
    </row>
    <row r="5791" spans="1:27" s="530" customFormat="1" hidden="1" x14ac:dyDescent="0.2">
      <c r="A5791" s="526"/>
      <c r="B5791" s="527"/>
      <c r="C5791" s="465"/>
      <c r="D5791" s="464"/>
      <c r="E5791" s="464"/>
      <c r="F5791" s="494">
        <v>541</v>
      </c>
      <c r="G5791" s="495" t="s">
        <v>4200</v>
      </c>
      <c r="H5791" s="397"/>
      <c r="I5791" s="397"/>
      <c r="J5791" s="750" t="e">
        <f t="shared" si="73"/>
        <v>#DIV/0!</v>
      </c>
      <c r="K5791" s="398"/>
      <c r="L5791" s="398"/>
      <c r="M5791" s="682"/>
      <c r="N5791" s="171"/>
      <c r="O5791" s="171"/>
      <c r="P5791" s="171"/>
      <c r="Q5791" s="171"/>
      <c r="R5791" s="171"/>
      <c r="S5791" s="171"/>
      <c r="T5791" s="171"/>
      <c r="U5791" s="171"/>
      <c r="V5791" s="171"/>
      <c r="W5791" s="171"/>
      <c r="X5791" s="171"/>
      <c r="Y5791" s="171"/>
      <c r="Z5791" s="171"/>
      <c r="AA5791" s="171"/>
    </row>
    <row r="5792" spans="1:27" s="530" customFormat="1" hidden="1" x14ac:dyDescent="0.2">
      <c r="A5792" s="526"/>
      <c r="B5792" s="527"/>
      <c r="C5792" s="465"/>
      <c r="D5792" s="464"/>
      <c r="E5792" s="464"/>
      <c r="F5792" s="494">
        <v>542</v>
      </c>
      <c r="G5792" s="495" t="s">
        <v>4201</v>
      </c>
      <c r="H5792" s="397"/>
      <c r="I5792" s="397"/>
      <c r="J5792" s="750" t="e">
        <f t="shared" si="73"/>
        <v>#DIV/0!</v>
      </c>
      <c r="K5792" s="398"/>
      <c r="L5792" s="398"/>
      <c r="M5792" s="682"/>
      <c r="N5792" s="171"/>
      <c r="O5792" s="171"/>
      <c r="P5792" s="171"/>
      <c r="Q5792" s="171"/>
      <c r="R5792" s="171"/>
      <c r="S5792" s="171"/>
      <c r="T5792" s="171"/>
      <c r="U5792" s="171"/>
      <c r="V5792" s="171"/>
      <c r="W5792" s="171"/>
      <c r="X5792" s="171"/>
      <c r="Y5792" s="171"/>
      <c r="Z5792" s="171"/>
      <c r="AA5792" s="171"/>
    </row>
    <row r="5793" spans="1:27" s="530" customFormat="1" hidden="1" x14ac:dyDescent="0.2">
      <c r="A5793" s="526"/>
      <c r="B5793" s="527"/>
      <c r="C5793" s="465"/>
      <c r="D5793" s="464"/>
      <c r="E5793" s="464"/>
      <c r="F5793" s="494">
        <v>543</v>
      </c>
      <c r="G5793" s="495" t="s">
        <v>3842</v>
      </c>
      <c r="H5793" s="397"/>
      <c r="I5793" s="397"/>
      <c r="J5793" s="750" t="e">
        <f t="shared" si="73"/>
        <v>#DIV/0!</v>
      </c>
      <c r="K5793" s="398"/>
      <c r="L5793" s="398"/>
      <c r="M5793" s="682"/>
      <c r="N5793" s="171"/>
      <c r="O5793" s="171"/>
      <c r="P5793" s="171"/>
      <c r="Q5793" s="171"/>
      <c r="R5793" s="171"/>
      <c r="S5793" s="171"/>
      <c r="T5793" s="171"/>
      <c r="U5793" s="171"/>
      <c r="V5793" s="171"/>
      <c r="W5793" s="171"/>
      <c r="X5793" s="171"/>
      <c r="Y5793" s="171"/>
      <c r="Z5793" s="171"/>
      <c r="AA5793" s="171"/>
    </row>
    <row r="5794" spans="1:27" s="530" customFormat="1" ht="38.25" hidden="1" x14ac:dyDescent="0.2">
      <c r="A5794" s="526"/>
      <c r="B5794" s="527"/>
      <c r="C5794" s="465"/>
      <c r="D5794" s="464"/>
      <c r="E5794" s="464"/>
      <c r="F5794" s="494">
        <v>551</v>
      </c>
      <c r="G5794" s="495" t="s">
        <v>4176</v>
      </c>
      <c r="H5794" s="397"/>
      <c r="I5794" s="397"/>
      <c r="J5794" s="750" t="e">
        <f t="shared" si="73"/>
        <v>#DIV/0!</v>
      </c>
      <c r="K5794" s="398"/>
      <c r="L5794" s="398"/>
      <c r="M5794" s="682"/>
      <c r="N5794" s="171"/>
      <c r="O5794" s="171"/>
      <c r="P5794" s="171"/>
      <c r="Q5794" s="171"/>
      <c r="R5794" s="171"/>
      <c r="S5794" s="171"/>
      <c r="T5794" s="171"/>
      <c r="U5794" s="171"/>
      <c r="V5794" s="171"/>
      <c r="W5794" s="171"/>
      <c r="X5794" s="171"/>
      <c r="Y5794" s="171"/>
      <c r="Z5794" s="171"/>
      <c r="AA5794" s="171"/>
    </row>
    <row r="5795" spans="1:27" s="530" customFormat="1" hidden="1" x14ac:dyDescent="0.2">
      <c r="A5795" s="526"/>
      <c r="B5795" s="527"/>
      <c r="C5795" s="465"/>
      <c r="D5795" s="464"/>
      <c r="E5795" s="464"/>
      <c r="F5795" s="498">
        <v>611</v>
      </c>
      <c r="G5795" s="499" t="s">
        <v>3848</v>
      </c>
      <c r="H5795" s="397"/>
      <c r="I5795" s="397"/>
      <c r="J5795" s="750" t="e">
        <f t="shared" si="73"/>
        <v>#DIV/0!</v>
      </c>
      <c r="K5795" s="398"/>
      <c r="L5795" s="398"/>
      <c r="M5795" s="682"/>
      <c r="N5795" s="171"/>
      <c r="O5795" s="171"/>
      <c r="P5795" s="171"/>
      <c r="Q5795" s="171"/>
      <c r="R5795" s="171"/>
      <c r="S5795" s="171"/>
      <c r="T5795" s="171"/>
      <c r="U5795" s="171"/>
      <c r="V5795" s="171"/>
      <c r="W5795" s="171"/>
      <c r="X5795" s="171"/>
      <c r="Y5795" s="171"/>
      <c r="Z5795" s="171"/>
      <c r="AA5795" s="171"/>
    </row>
    <row r="5796" spans="1:27" s="530" customFormat="1" hidden="1" x14ac:dyDescent="0.2">
      <c r="A5796" s="526"/>
      <c r="B5796" s="527"/>
      <c r="C5796" s="465"/>
      <c r="D5796" s="464"/>
      <c r="E5796" s="464"/>
      <c r="F5796" s="498">
        <v>620</v>
      </c>
      <c r="G5796" s="499" t="s">
        <v>88</v>
      </c>
      <c r="H5796" s="397"/>
      <c r="I5796" s="397"/>
      <c r="J5796" s="750" t="e">
        <f t="shared" si="73"/>
        <v>#DIV/0!</v>
      </c>
      <c r="K5796" s="398"/>
      <c r="L5796" s="398"/>
      <c r="M5796" s="682"/>
      <c r="N5796" s="171"/>
      <c r="O5796" s="171"/>
      <c r="P5796" s="171"/>
      <c r="Q5796" s="171"/>
      <c r="R5796" s="171"/>
      <c r="S5796" s="171"/>
      <c r="T5796" s="171"/>
      <c r="U5796" s="171"/>
      <c r="V5796" s="171"/>
      <c r="W5796" s="171"/>
      <c r="X5796" s="171"/>
      <c r="Y5796" s="171"/>
      <c r="Z5796" s="171"/>
      <c r="AA5796" s="171"/>
    </row>
    <row r="5797" spans="1:27" s="530" customFormat="1" hidden="1" x14ac:dyDescent="0.2">
      <c r="A5797" s="526"/>
      <c r="B5797" s="527"/>
      <c r="C5797" s="465"/>
      <c r="D5797" s="464"/>
      <c r="E5797" s="500"/>
      <c r="F5797" s="498"/>
      <c r="G5797" s="509" t="s">
        <v>4371</v>
      </c>
      <c r="H5797" s="400"/>
      <c r="I5797" s="400"/>
      <c r="J5797" s="750" t="e">
        <f t="shared" si="73"/>
        <v>#DIV/0!</v>
      </c>
      <c r="K5797" s="401"/>
      <c r="L5797" s="402"/>
      <c r="M5797" s="682"/>
      <c r="N5797" s="171"/>
      <c r="O5797" s="171"/>
      <c r="P5797" s="171"/>
      <c r="Q5797" s="171"/>
      <c r="R5797" s="171"/>
      <c r="S5797" s="171"/>
      <c r="T5797" s="171"/>
      <c r="U5797" s="171"/>
      <c r="V5797" s="171"/>
      <c r="W5797" s="171"/>
      <c r="X5797" s="171"/>
      <c r="Y5797" s="171"/>
      <c r="Z5797" s="171"/>
      <c r="AA5797" s="171"/>
    </row>
    <row r="5798" spans="1:27" s="530" customFormat="1" hidden="1" x14ac:dyDescent="0.2">
      <c r="A5798" s="526"/>
      <c r="B5798" s="527"/>
      <c r="C5798" s="465"/>
      <c r="D5798" s="464"/>
      <c r="E5798" s="502"/>
      <c r="F5798" s="503" t="s">
        <v>234</v>
      </c>
      <c r="G5798" s="504" t="s">
        <v>235</v>
      </c>
      <c r="H5798" s="403">
        <f>SUM(H5737:H5796)</f>
        <v>0</v>
      </c>
      <c r="I5798" s="403"/>
      <c r="J5798" s="750" t="e">
        <f t="shared" si="73"/>
        <v>#DIV/0!</v>
      </c>
      <c r="K5798" s="404"/>
      <c r="L5798" s="404"/>
      <c r="M5798" s="682"/>
      <c r="N5798" s="171"/>
      <c r="O5798" s="171"/>
      <c r="P5798" s="171"/>
      <c r="Q5798" s="171"/>
      <c r="R5798" s="171"/>
      <c r="S5798" s="171"/>
      <c r="T5798" s="171"/>
      <c r="U5798" s="171"/>
      <c r="V5798" s="171"/>
      <c r="W5798" s="171"/>
      <c r="X5798" s="171"/>
      <c r="Y5798" s="171"/>
      <c r="Z5798" s="171"/>
      <c r="AA5798" s="171"/>
    </row>
    <row r="5799" spans="1:27" s="530" customFormat="1" hidden="1" x14ac:dyDescent="0.2">
      <c r="A5799" s="526"/>
      <c r="B5799" s="527"/>
      <c r="C5799" s="465"/>
      <c r="D5799" s="464"/>
      <c r="E5799" s="464"/>
      <c r="F5799" s="503" t="s">
        <v>236</v>
      </c>
      <c r="G5799" s="504" t="s">
        <v>237</v>
      </c>
      <c r="H5799" s="397"/>
      <c r="I5799" s="397"/>
      <c r="J5799" s="750" t="e">
        <f t="shared" si="73"/>
        <v>#DIV/0!</v>
      </c>
      <c r="K5799" s="398"/>
      <c r="L5799" s="404"/>
      <c r="M5799" s="682"/>
      <c r="N5799" s="171"/>
      <c r="O5799" s="171"/>
      <c r="P5799" s="171"/>
      <c r="Q5799" s="171"/>
      <c r="R5799" s="171"/>
      <c r="S5799" s="171"/>
      <c r="T5799" s="171"/>
      <c r="U5799" s="171"/>
      <c r="V5799" s="171"/>
      <c r="W5799" s="171"/>
      <c r="X5799" s="171"/>
      <c r="Y5799" s="171"/>
      <c r="Z5799" s="171"/>
      <c r="AA5799" s="171"/>
    </row>
    <row r="5800" spans="1:27" s="530" customFormat="1" hidden="1" x14ac:dyDescent="0.2">
      <c r="A5800" s="526"/>
      <c r="B5800" s="527"/>
      <c r="C5800" s="465"/>
      <c r="D5800" s="464"/>
      <c r="E5800" s="464"/>
      <c r="F5800" s="503" t="s">
        <v>238</v>
      </c>
      <c r="G5800" s="504" t="s">
        <v>239</v>
      </c>
      <c r="H5800" s="397"/>
      <c r="I5800" s="397"/>
      <c r="J5800" s="750" t="e">
        <f t="shared" si="73"/>
        <v>#DIV/0!</v>
      </c>
      <c r="K5800" s="398"/>
      <c r="L5800" s="404"/>
      <c r="M5800" s="682"/>
      <c r="N5800" s="171"/>
      <c r="O5800" s="171"/>
      <c r="P5800" s="171"/>
      <c r="Q5800" s="171"/>
      <c r="R5800" s="171"/>
      <c r="S5800" s="171"/>
      <c r="T5800" s="171"/>
      <c r="U5800" s="171"/>
      <c r="V5800" s="171"/>
      <c r="W5800" s="171"/>
      <c r="X5800" s="171"/>
      <c r="Y5800" s="171"/>
      <c r="Z5800" s="171"/>
      <c r="AA5800" s="171"/>
    </row>
    <row r="5801" spans="1:27" s="530" customFormat="1" hidden="1" x14ac:dyDescent="0.2">
      <c r="A5801" s="526"/>
      <c r="B5801" s="527"/>
      <c r="C5801" s="465"/>
      <c r="D5801" s="464"/>
      <c r="E5801" s="464"/>
      <c r="F5801" s="503" t="s">
        <v>240</v>
      </c>
      <c r="G5801" s="504" t="s">
        <v>241</v>
      </c>
      <c r="H5801" s="397"/>
      <c r="I5801" s="397"/>
      <c r="J5801" s="750" t="e">
        <f t="shared" si="73"/>
        <v>#DIV/0!</v>
      </c>
      <c r="K5801" s="398"/>
      <c r="L5801" s="404"/>
      <c r="M5801" s="682"/>
      <c r="N5801" s="171"/>
      <c r="O5801" s="171"/>
      <c r="P5801" s="171"/>
      <c r="Q5801" s="171"/>
      <c r="R5801" s="171"/>
      <c r="S5801" s="171"/>
      <c r="T5801" s="171"/>
      <c r="U5801" s="171"/>
      <c r="V5801" s="171"/>
      <c r="W5801" s="171"/>
      <c r="X5801" s="171"/>
      <c r="Y5801" s="171"/>
      <c r="Z5801" s="171"/>
      <c r="AA5801" s="171"/>
    </row>
    <row r="5802" spans="1:27" s="530" customFormat="1" hidden="1" x14ac:dyDescent="0.2">
      <c r="A5802" s="526"/>
      <c r="B5802" s="527"/>
      <c r="C5802" s="465"/>
      <c r="D5802" s="464"/>
      <c r="E5802" s="464"/>
      <c r="F5802" s="503" t="s">
        <v>242</v>
      </c>
      <c r="G5802" s="504" t="s">
        <v>243</v>
      </c>
      <c r="H5802" s="397"/>
      <c r="I5802" s="397"/>
      <c r="J5802" s="750" t="e">
        <f t="shared" si="73"/>
        <v>#DIV/0!</v>
      </c>
      <c r="K5802" s="398"/>
      <c r="L5802" s="404"/>
      <c r="M5802" s="682"/>
      <c r="N5802" s="171"/>
      <c r="O5802" s="171"/>
      <c r="P5802" s="171"/>
      <c r="Q5802" s="171"/>
      <c r="R5802" s="171"/>
      <c r="S5802" s="171"/>
      <c r="T5802" s="171"/>
      <c r="U5802" s="171"/>
      <c r="V5802" s="171"/>
      <c r="W5802" s="171"/>
      <c r="X5802" s="171"/>
      <c r="Y5802" s="171"/>
      <c r="Z5802" s="171"/>
      <c r="AA5802" s="171"/>
    </row>
    <row r="5803" spans="1:27" s="530" customFormat="1" hidden="1" x14ac:dyDescent="0.2">
      <c r="A5803" s="526"/>
      <c r="B5803" s="527"/>
      <c r="C5803" s="465"/>
      <c r="D5803" s="464"/>
      <c r="E5803" s="464"/>
      <c r="F5803" s="503" t="s">
        <v>244</v>
      </c>
      <c r="G5803" s="504" t="s">
        <v>245</v>
      </c>
      <c r="H5803" s="397"/>
      <c r="I5803" s="397"/>
      <c r="J5803" s="750" t="e">
        <f t="shared" si="73"/>
        <v>#DIV/0!</v>
      </c>
      <c r="K5803" s="398"/>
      <c r="L5803" s="404"/>
      <c r="M5803" s="682"/>
      <c r="N5803" s="171"/>
      <c r="O5803" s="171"/>
      <c r="P5803" s="171"/>
      <c r="Q5803" s="171"/>
      <c r="R5803" s="171"/>
      <c r="S5803" s="171"/>
      <c r="T5803" s="171"/>
      <c r="U5803" s="171"/>
      <c r="V5803" s="171"/>
      <c r="W5803" s="171"/>
      <c r="X5803" s="171"/>
      <c r="Y5803" s="171"/>
      <c r="Z5803" s="171"/>
      <c r="AA5803" s="171"/>
    </row>
    <row r="5804" spans="1:27" s="530" customFormat="1" hidden="1" x14ac:dyDescent="0.2">
      <c r="A5804" s="526"/>
      <c r="B5804" s="527"/>
      <c r="C5804" s="465"/>
      <c r="D5804" s="464"/>
      <c r="E5804" s="464"/>
      <c r="F5804" s="503" t="s">
        <v>246</v>
      </c>
      <c r="G5804" s="504" t="s">
        <v>247</v>
      </c>
      <c r="H5804" s="397"/>
      <c r="I5804" s="397"/>
      <c r="J5804" s="750" t="e">
        <f t="shared" si="73"/>
        <v>#DIV/0!</v>
      </c>
      <c r="K5804" s="398"/>
      <c r="L5804" s="404"/>
      <c r="M5804" s="682"/>
      <c r="N5804" s="171"/>
      <c r="O5804" s="171"/>
      <c r="P5804" s="171"/>
      <c r="Q5804" s="171"/>
      <c r="R5804" s="171"/>
      <c r="S5804" s="171"/>
      <c r="T5804" s="171"/>
      <c r="U5804" s="171"/>
      <c r="V5804" s="171"/>
      <c r="W5804" s="171"/>
      <c r="X5804" s="171"/>
      <c r="Y5804" s="171"/>
      <c r="Z5804" s="171"/>
      <c r="AA5804" s="171"/>
    </row>
    <row r="5805" spans="1:27" s="530" customFormat="1" ht="25.5" hidden="1" x14ac:dyDescent="0.2">
      <c r="A5805" s="526"/>
      <c r="B5805" s="527"/>
      <c r="C5805" s="465"/>
      <c r="D5805" s="464"/>
      <c r="E5805" s="464"/>
      <c r="F5805" s="503" t="s">
        <v>248</v>
      </c>
      <c r="G5805" s="504" t="s">
        <v>249</v>
      </c>
      <c r="H5805" s="397"/>
      <c r="I5805" s="397"/>
      <c r="J5805" s="750" t="e">
        <f t="shared" si="73"/>
        <v>#DIV/0!</v>
      </c>
      <c r="K5805" s="398"/>
      <c r="L5805" s="404"/>
      <c r="M5805" s="682"/>
      <c r="N5805" s="171"/>
      <c r="O5805" s="171"/>
      <c r="P5805" s="171"/>
      <c r="Q5805" s="171"/>
      <c r="R5805" s="171"/>
      <c r="S5805" s="171"/>
      <c r="T5805" s="171"/>
      <c r="U5805" s="171"/>
      <c r="V5805" s="171"/>
      <c r="W5805" s="171"/>
      <c r="X5805" s="171"/>
      <c r="Y5805" s="171"/>
      <c r="Z5805" s="171"/>
      <c r="AA5805" s="171"/>
    </row>
    <row r="5806" spans="1:27" s="530" customFormat="1" hidden="1" x14ac:dyDescent="0.2">
      <c r="A5806" s="526"/>
      <c r="B5806" s="527"/>
      <c r="C5806" s="465"/>
      <c r="D5806" s="464"/>
      <c r="E5806" s="464"/>
      <c r="F5806" s="503" t="s">
        <v>250</v>
      </c>
      <c r="G5806" s="504" t="s">
        <v>57</v>
      </c>
      <c r="H5806" s="397"/>
      <c r="I5806" s="397"/>
      <c r="J5806" s="750" t="e">
        <f t="shared" si="73"/>
        <v>#DIV/0!</v>
      </c>
      <c r="K5806" s="398"/>
      <c r="L5806" s="404"/>
      <c r="M5806" s="682"/>
      <c r="N5806" s="171"/>
      <c r="O5806" s="171"/>
      <c r="P5806" s="171"/>
      <c r="Q5806" s="171"/>
      <c r="R5806" s="171"/>
      <c r="S5806" s="171"/>
      <c r="T5806" s="171"/>
      <c r="U5806" s="171"/>
      <c r="V5806" s="171"/>
      <c r="W5806" s="171"/>
      <c r="X5806" s="171"/>
      <c r="Y5806" s="171"/>
      <c r="Z5806" s="171"/>
      <c r="AA5806" s="171"/>
    </row>
    <row r="5807" spans="1:27" s="530" customFormat="1" hidden="1" x14ac:dyDescent="0.2">
      <c r="A5807" s="526"/>
      <c r="B5807" s="527"/>
      <c r="C5807" s="465"/>
      <c r="D5807" s="464"/>
      <c r="E5807" s="464"/>
      <c r="F5807" s="503" t="s">
        <v>251</v>
      </c>
      <c r="G5807" s="504" t="s">
        <v>252</v>
      </c>
      <c r="H5807" s="397"/>
      <c r="I5807" s="397"/>
      <c r="J5807" s="750" t="e">
        <f t="shared" si="73"/>
        <v>#DIV/0!</v>
      </c>
      <c r="K5807" s="398"/>
      <c r="L5807" s="404"/>
      <c r="M5807" s="682"/>
      <c r="N5807" s="171"/>
      <c r="O5807" s="171"/>
      <c r="P5807" s="171"/>
      <c r="Q5807" s="171"/>
      <c r="R5807" s="171"/>
      <c r="S5807" s="171"/>
      <c r="T5807" s="171"/>
      <c r="U5807" s="171"/>
      <c r="V5807" s="171"/>
      <c r="W5807" s="171"/>
      <c r="X5807" s="171"/>
      <c r="Y5807" s="171"/>
      <c r="Z5807" s="171"/>
      <c r="AA5807" s="171"/>
    </row>
    <row r="5808" spans="1:27" s="530" customFormat="1" hidden="1" x14ac:dyDescent="0.2">
      <c r="A5808" s="526"/>
      <c r="B5808" s="527"/>
      <c r="C5808" s="465"/>
      <c r="D5808" s="464"/>
      <c r="E5808" s="464"/>
      <c r="F5808" s="503" t="s">
        <v>253</v>
      </c>
      <c r="G5808" s="504" t="s">
        <v>254</v>
      </c>
      <c r="H5808" s="397"/>
      <c r="I5808" s="397"/>
      <c r="J5808" s="750" t="e">
        <f t="shared" si="73"/>
        <v>#DIV/0!</v>
      </c>
      <c r="K5808" s="398"/>
      <c r="L5808" s="404"/>
      <c r="M5808" s="682"/>
      <c r="N5808" s="171"/>
      <c r="O5808" s="171"/>
      <c r="P5808" s="171"/>
      <c r="Q5808" s="171"/>
      <c r="R5808" s="171"/>
      <c r="S5808" s="171"/>
      <c r="T5808" s="171"/>
      <c r="U5808" s="171"/>
      <c r="V5808" s="171"/>
      <c r="W5808" s="171"/>
      <c r="X5808" s="171"/>
      <c r="Y5808" s="171"/>
      <c r="Z5808" s="171"/>
      <c r="AA5808" s="171"/>
    </row>
    <row r="5809" spans="1:27" s="530" customFormat="1" ht="25.5" hidden="1" x14ac:dyDescent="0.2">
      <c r="A5809" s="526"/>
      <c r="B5809" s="527"/>
      <c r="C5809" s="465"/>
      <c r="D5809" s="464"/>
      <c r="E5809" s="464"/>
      <c r="F5809" s="503" t="s">
        <v>255</v>
      </c>
      <c r="G5809" s="504" t="s">
        <v>256</v>
      </c>
      <c r="H5809" s="397"/>
      <c r="I5809" s="397"/>
      <c r="J5809" s="750" t="e">
        <f t="shared" si="73"/>
        <v>#DIV/0!</v>
      </c>
      <c r="K5809" s="398"/>
      <c r="L5809" s="404"/>
      <c r="M5809" s="682"/>
      <c r="N5809" s="171"/>
      <c r="O5809" s="171"/>
      <c r="P5809" s="171"/>
      <c r="Q5809" s="171"/>
      <c r="R5809" s="171"/>
      <c r="S5809" s="171"/>
      <c r="T5809" s="171"/>
      <c r="U5809" s="171"/>
      <c r="V5809" s="171"/>
      <c r="W5809" s="171"/>
      <c r="X5809" s="171"/>
      <c r="Y5809" s="171"/>
      <c r="Z5809" s="171"/>
      <c r="AA5809" s="171"/>
    </row>
    <row r="5810" spans="1:27" s="530" customFormat="1" ht="25.5" hidden="1" x14ac:dyDescent="0.2">
      <c r="A5810" s="526"/>
      <c r="B5810" s="527"/>
      <c r="C5810" s="465"/>
      <c r="D5810" s="464"/>
      <c r="E5810" s="464"/>
      <c r="F5810" s="503" t="s">
        <v>257</v>
      </c>
      <c r="G5810" s="504" t="s">
        <v>258</v>
      </c>
      <c r="H5810" s="397"/>
      <c r="I5810" s="397"/>
      <c r="J5810" s="750" t="e">
        <f t="shared" si="73"/>
        <v>#DIV/0!</v>
      </c>
      <c r="K5810" s="398"/>
      <c r="L5810" s="404"/>
      <c r="M5810" s="682"/>
      <c r="N5810" s="171"/>
      <c r="O5810" s="171"/>
      <c r="P5810" s="171"/>
      <c r="Q5810" s="171"/>
      <c r="R5810" s="171"/>
      <c r="S5810" s="171"/>
      <c r="T5810" s="171"/>
      <c r="U5810" s="171"/>
      <c r="V5810" s="171"/>
      <c r="W5810" s="171"/>
      <c r="X5810" s="171"/>
      <c r="Y5810" s="171"/>
      <c r="Z5810" s="171"/>
      <c r="AA5810" s="171"/>
    </row>
    <row r="5811" spans="1:27" s="530" customFormat="1" ht="25.5" hidden="1" x14ac:dyDescent="0.2">
      <c r="A5811" s="526"/>
      <c r="B5811" s="527"/>
      <c r="C5811" s="465"/>
      <c r="D5811" s="464"/>
      <c r="E5811" s="464"/>
      <c r="F5811" s="503" t="s">
        <v>259</v>
      </c>
      <c r="G5811" s="504" t="s">
        <v>260</v>
      </c>
      <c r="H5811" s="397"/>
      <c r="I5811" s="397"/>
      <c r="J5811" s="750" t="e">
        <f t="shared" si="73"/>
        <v>#DIV/0!</v>
      </c>
      <c r="K5811" s="398"/>
      <c r="L5811" s="404"/>
      <c r="M5811" s="682"/>
      <c r="N5811" s="171"/>
      <c r="O5811" s="171"/>
      <c r="P5811" s="171"/>
      <c r="Q5811" s="171"/>
      <c r="R5811" s="171"/>
      <c r="S5811" s="171"/>
      <c r="T5811" s="171"/>
      <c r="U5811" s="171"/>
      <c r="V5811" s="171"/>
      <c r="W5811" s="171"/>
      <c r="X5811" s="171"/>
      <c r="Y5811" s="171"/>
      <c r="Z5811" s="171"/>
      <c r="AA5811" s="171"/>
    </row>
    <row r="5812" spans="1:27" s="530" customFormat="1" ht="25.5" hidden="1" x14ac:dyDescent="0.2">
      <c r="A5812" s="526"/>
      <c r="B5812" s="527"/>
      <c r="C5812" s="465"/>
      <c r="D5812" s="464"/>
      <c r="E5812" s="464"/>
      <c r="F5812" s="503" t="s">
        <v>261</v>
      </c>
      <c r="G5812" s="504" t="s">
        <v>262</v>
      </c>
      <c r="H5812" s="397"/>
      <c r="I5812" s="397"/>
      <c r="J5812" s="750" t="e">
        <f t="shared" si="73"/>
        <v>#DIV/0!</v>
      </c>
      <c r="K5812" s="398"/>
      <c r="L5812" s="404"/>
      <c r="M5812" s="682"/>
      <c r="N5812" s="171"/>
      <c r="O5812" s="171"/>
      <c r="P5812" s="171"/>
      <c r="Q5812" s="171"/>
      <c r="R5812" s="171"/>
      <c r="S5812" s="171"/>
      <c r="T5812" s="171"/>
      <c r="U5812" s="171"/>
      <c r="V5812" s="171"/>
      <c r="W5812" s="171"/>
      <c r="X5812" s="171"/>
      <c r="Y5812" s="171"/>
      <c r="Z5812" s="171"/>
      <c r="AA5812" s="171"/>
    </row>
    <row r="5813" spans="1:27" s="530" customFormat="1" hidden="1" x14ac:dyDescent="0.2">
      <c r="A5813" s="526"/>
      <c r="B5813" s="527"/>
      <c r="C5813" s="465"/>
      <c r="D5813" s="464"/>
      <c r="E5813" s="464"/>
      <c r="F5813" s="503" t="s">
        <v>263</v>
      </c>
      <c r="G5813" s="504" t="s">
        <v>264</v>
      </c>
      <c r="H5813" s="403"/>
      <c r="I5813" s="403"/>
      <c r="J5813" s="750" t="e">
        <f t="shared" si="73"/>
        <v>#DIV/0!</v>
      </c>
      <c r="K5813" s="404"/>
      <c r="L5813" s="404"/>
      <c r="M5813" s="682"/>
      <c r="N5813" s="171"/>
      <c r="O5813" s="171"/>
      <c r="P5813" s="171"/>
      <c r="Q5813" s="171"/>
      <c r="R5813" s="171"/>
      <c r="S5813" s="171"/>
      <c r="T5813" s="171"/>
      <c r="U5813" s="171"/>
      <c r="V5813" s="171"/>
      <c r="W5813" s="171"/>
      <c r="X5813" s="171"/>
      <c r="Y5813" s="171"/>
      <c r="Z5813" s="171"/>
      <c r="AA5813" s="171"/>
    </row>
    <row r="5814" spans="1:27" s="530" customFormat="1" ht="13.5" hidden="1" thickBot="1" x14ac:dyDescent="0.25">
      <c r="A5814" s="526"/>
      <c r="B5814" s="527"/>
      <c r="C5814" s="465"/>
      <c r="D5814" s="464"/>
      <c r="E5814" s="464"/>
      <c r="F5814" s="464"/>
      <c r="G5814" s="505" t="s">
        <v>4311</v>
      </c>
      <c r="H5814" s="405">
        <f>SUM(H5798:H5813)</f>
        <v>0</v>
      </c>
      <c r="I5814" s="405"/>
      <c r="J5814" s="750" t="e">
        <f t="shared" si="73"/>
        <v>#DIV/0!</v>
      </c>
      <c r="K5814" s="406">
        <f>SUM(K5799:K5813)</f>
        <v>0</v>
      </c>
      <c r="L5814" s="406"/>
      <c r="M5814" s="682"/>
      <c r="N5814" s="171"/>
      <c r="O5814" s="171"/>
      <c r="P5814" s="171"/>
      <c r="Q5814" s="171"/>
      <c r="R5814" s="171"/>
      <c r="S5814" s="171"/>
      <c r="T5814" s="171"/>
      <c r="U5814" s="171"/>
      <c r="V5814" s="171"/>
      <c r="W5814" s="171"/>
      <c r="X5814" s="171"/>
      <c r="Y5814" s="171"/>
      <c r="Z5814" s="171"/>
      <c r="AA5814" s="171"/>
    </row>
    <row r="5815" spans="1:27" s="530" customFormat="1" ht="25.5" hidden="1" x14ac:dyDescent="0.2">
      <c r="A5815" s="526"/>
      <c r="B5815" s="527"/>
      <c r="C5815" s="465"/>
      <c r="D5815" s="464"/>
      <c r="E5815" s="500"/>
      <c r="F5815" s="498"/>
      <c r="G5815" s="506" t="s">
        <v>4376</v>
      </c>
      <c r="H5815" s="407"/>
      <c r="I5815" s="408"/>
      <c r="J5815" s="750" t="e">
        <f t="shared" si="73"/>
        <v>#DIV/0!</v>
      </c>
      <c r="K5815" s="409"/>
      <c r="L5815" s="410"/>
      <c r="M5815" s="682"/>
      <c r="N5815" s="171"/>
      <c r="O5815" s="171"/>
      <c r="P5815" s="171"/>
      <c r="Q5815" s="171"/>
      <c r="R5815" s="171"/>
      <c r="S5815" s="171"/>
      <c r="T5815" s="171"/>
      <c r="U5815" s="171"/>
      <c r="V5815" s="171"/>
      <c r="W5815" s="171"/>
      <c r="X5815" s="171"/>
      <c r="Y5815" s="171"/>
      <c r="Z5815" s="171"/>
      <c r="AA5815" s="171"/>
    </row>
    <row r="5816" spans="1:27" s="530" customFormat="1" hidden="1" x14ac:dyDescent="0.2">
      <c r="A5816" s="526"/>
      <c r="B5816" s="527"/>
      <c r="C5816" s="465"/>
      <c r="D5816" s="464"/>
      <c r="E5816" s="502"/>
      <c r="F5816" s="503" t="s">
        <v>234</v>
      </c>
      <c r="G5816" s="504" t="s">
        <v>235</v>
      </c>
      <c r="H5816" s="403">
        <f>SUM(H5737:H5796)</f>
        <v>0</v>
      </c>
      <c r="I5816" s="403"/>
      <c r="J5816" s="750" t="e">
        <f t="shared" si="73"/>
        <v>#DIV/0!</v>
      </c>
      <c r="K5816" s="404"/>
      <c r="L5816" s="404"/>
      <c r="M5816" s="682"/>
      <c r="N5816" s="171"/>
      <c r="O5816" s="171"/>
      <c r="P5816" s="171"/>
      <c r="Q5816" s="171"/>
      <c r="R5816" s="171"/>
      <c r="S5816" s="171"/>
      <c r="T5816" s="171"/>
      <c r="U5816" s="171"/>
      <c r="V5816" s="171"/>
      <c r="W5816" s="171"/>
      <c r="X5816" s="171"/>
      <c r="Y5816" s="171"/>
      <c r="Z5816" s="171"/>
      <c r="AA5816" s="171"/>
    </row>
    <row r="5817" spans="1:27" s="530" customFormat="1" hidden="1" x14ac:dyDescent="0.2">
      <c r="A5817" s="526"/>
      <c r="B5817" s="527"/>
      <c r="C5817" s="465"/>
      <c r="D5817" s="464"/>
      <c r="E5817" s="464"/>
      <c r="F5817" s="503" t="s">
        <v>236</v>
      </c>
      <c r="G5817" s="504" t="s">
        <v>237</v>
      </c>
      <c r="H5817" s="397"/>
      <c r="I5817" s="397"/>
      <c r="J5817" s="750" t="e">
        <f t="shared" si="73"/>
        <v>#DIV/0!</v>
      </c>
      <c r="K5817" s="398"/>
      <c r="L5817" s="404"/>
      <c r="M5817" s="682"/>
      <c r="N5817" s="171"/>
      <c r="O5817" s="171"/>
      <c r="P5817" s="171"/>
      <c r="Q5817" s="171"/>
      <c r="R5817" s="171"/>
      <c r="S5817" s="171"/>
      <c r="T5817" s="171"/>
      <c r="U5817" s="171"/>
      <c r="V5817" s="171"/>
      <c r="W5817" s="171"/>
      <c r="X5817" s="171"/>
      <c r="Y5817" s="171"/>
      <c r="Z5817" s="171"/>
      <c r="AA5817" s="171"/>
    </row>
    <row r="5818" spans="1:27" s="530" customFormat="1" hidden="1" x14ac:dyDescent="0.2">
      <c r="A5818" s="526"/>
      <c r="B5818" s="527"/>
      <c r="C5818" s="465"/>
      <c r="D5818" s="464"/>
      <c r="E5818" s="464"/>
      <c r="F5818" s="503" t="s">
        <v>238</v>
      </c>
      <c r="G5818" s="504" t="s">
        <v>239</v>
      </c>
      <c r="H5818" s="397"/>
      <c r="I5818" s="397"/>
      <c r="J5818" s="750" t="e">
        <f t="shared" si="73"/>
        <v>#DIV/0!</v>
      </c>
      <c r="K5818" s="398"/>
      <c r="L5818" s="404"/>
      <c r="M5818" s="682"/>
      <c r="N5818" s="171"/>
      <c r="O5818" s="171"/>
      <c r="P5818" s="171"/>
      <c r="Q5818" s="171"/>
      <c r="R5818" s="171"/>
      <c r="S5818" s="171"/>
      <c r="T5818" s="171"/>
      <c r="U5818" s="171"/>
      <c r="V5818" s="171"/>
      <c r="W5818" s="171"/>
      <c r="X5818" s="171"/>
      <c r="Y5818" s="171"/>
      <c r="Z5818" s="171"/>
      <c r="AA5818" s="171"/>
    </row>
    <row r="5819" spans="1:27" s="530" customFormat="1" hidden="1" x14ac:dyDescent="0.2">
      <c r="A5819" s="526"/>
      <c r="B5819" s="527"/>
      <c r="C5819" s="465"/>
      <c r="D5819" s="464"/>
      <c r="E5819" s="464"/>
      <c r="F5819" s="503" t="s">
        <v>240</v>
      </c>
      <c r="G5819" s="504" t="s">
        <v>241</v>
      </c>
      <c r="H5819" s="397"/>
      <c r="I5819" s="397"/>
      <c r="J5819" s="750" t="e">
        <f t="shared" si="73"/>
        <v>#DIV/0!</v>
      </c>
      <c r="K5819" s="398"/>
      <c r="L5819" s="404"/>
      <c r="M5819" s="682"/>
      <c r="N5819" s="171"/>
      <c r="O5819" s="171"/>
      <c r="P5819" s="171"/>
      <c r="Q5819" s="171"/>
      <c r="R5819" s="171"/>
      <c r="S5819" s="171"/>
      <c r="T5819" s="171"/>
      <c r="U5819" s="171"/>
      <c r="V5819" s="171"/>
      <c r="W5819" s="171"/>
      <c r="X5819" s="171"/>
      <c r="Y5819" s="171"/>
      <c r="Z5819" s="171"/>
      <c r="AA5819" s="171"/>
    </row>
    <row r="5820" spans="1:27" s="530" customFormat="1" hidden="1" x14ac:dyDescent="0.2">
      <c r="A5820" s="526"/>
      <c r="B5820" s="527"/>
      <c r="C5820" s="465"/>
      <c r="D5820" s="464"/>
      <c r="E5820" s="464"/>
      <c r="F5820" s="503" t="s">
        <v>242</v>
      </c>
      <c r="G5820" s="504" t="s">
        <v>243</v>
      </c>
      <c r="H5820" s="397"/>
      <c r="I5820" s="397"/>
      <c r="J5820" s="750" t="e">
        <f t="shared" si="73"/>
        <v>#DIV/0!</v>
      </c>
      <c r="K5820" s="398"/>
      <c r="L5820" s="404"/>
      <c r="M5820" s="682"/>
      <c r="N5820" s="171"/>
      <c r="O5820" s="171"/>
      <c r="P5820" s="171"/>
      <c r="Q5820" s="171"/>
      <c r="R5820" s="171"/>
      <c r="S5820" s="171"/>
      <c r="T5820" s="171"/>
      <c r="U5820" s="171"/>
      <c r="V5820" s="171"/>
      <c r="W5820" s="171"/>
      <c r="X5820" s="171"/>
      <c r="Y5820" s="171"/>
      <c r="Z5820" s="171"/>
      <c r="AA5820" s="171"/>
    </row>
    <row r="5821" spans="1:27" s="530" customFormat="1" hidden="1" x14ac:dyDescent="0.2">
      <c r="A5821" s="526"/>
      <c r="B5821" s="527"/>
      <c r="C5821" s="465"/>
      <c r="D5821" s="464"/>
      <c r="E5821" s="464"/>
      <c r="F5821" s="503" t="s">
        <v>244</v>
      </c>
      <c r="G5821" s="504" t="s">
        <v>245</v>
      </c>
      <c r="H5821" s="397"/>
      <c r="I5821" s="397"/>
      <c r="J5821" s="750" t="e">
        <f t="shared" si="73"/>
        <v>#DIV/0!</v>
      </c>
      <c r="K5821" s="398"/>
      <c r="L5821" s="404"/>
      <c r="M5821" s="682"/>
      <c r="N5821" s="171"/>
      <c r="O5821" s="171"/>
      <c r="P5821" s="171"/>
      <c r="Q5821" s="171"/>
      <c r="R5821" s="171"/>
      <c r="S5821" s="171"/>
      <c r="T5821" s="171"/>
      <c r="U5821" s="171"/>
      <c r="V5821" s="171"/>
      <c r="W5821" s="171"/>
      <c r="X5821" s="171"/>
      <c r="Y5821" s="171"/>
      <c r="Z5821" s="171"/>
      <c r="AA5821" s="171"/>
    </row>
    <row r="5822" spans="1:27" s="530" customFormat="1" hidden="1" x14ac:dyDescent="0.2">
      <c r="A5822" s="526"/>
      <c r="B5822" s="527"/>
      <c r="C5822" s="465"/>
      <c r="D5822" s="464"/>
      <c r="E5822" s="464"/>
      <c r="F5822" s="503" t="s">
        <v>246</v>
      </c>
      <c r="G5822" s="504" t="s">
        <v>247</v>
      </c>
      <c r="H5822" s="397"/>
      <c r="I5822" s="397"/>
      <c r="J5822" s="750" t="e">
        <f t="shared" si="73"/>
        <v>#DIV/0!</v>
      </c>
      <c r="K5822" s="398"/>
      <c r="L5822" s="404"/>
      <c r="M5822" s="682"/>
      <c r="N5822" s="171"/>
      <c r="O5822" s="171"/>
      <c r="P5822" s="171"/>
      <c r="Q5822" s="171"/>
      <c r="R5822" s="171"/>
      <c r="S5822" s="171"/>
      <c r="T5822" s="171"/>
      <c r="U5822" s="171"/>
      <c r="V5822" s="171"/>
      <c r="W5822" s="171"/>
      <c r="X5822" s="171"/>
      <c r="Y5822" s="171"/>
      <c r="Z5822" s="171"/>
      <c r="AA5822" s="171"/>
    </row>
    <row r="5823" spans="1:27" s="530" customFormat="1" ht="25.5" hidden="1" x14ac:dyDescent="0.2">
      <c r="A5823" s="526"/>
      <c r="B5823" s="527"/>
      <c r="C5823" s="465"/>
      <c r="D5823" s="464"/>
      <c r="E5823" s="464"/>
      <c r="F5823" s="503" t="s">
        <v>248</v>
      </c>
      <c r="G5823" s="504" t="s">
        <v>249</v>
      </c>
      <c r="H5823" s="397"/>
      <c r="I5823" s="397"/>
      <c r="J5823" s="750" t="e">
        <f t="shared" si="73"/>
        <v>#DIV/0!</v>
      </c>
      <c r="K5823" s="398"/>
      <c r="L5823" s="404"/>
      <c r="M5823" s="682"/>
      <c r="N5823" s="171"/>
      <c r="O5823" s="171"/>
      <c r="P5823" s="171"/>
      <c r="Q5823" s="171"/>
      <c r="R5823" s="171"/>
      <c r="S5823" s="171"/>
      <c r="T5823" s="171"/>
      <c r="U5823" s="171"/>
      <c r="V5823" s="171"/>
      <c r="W5823" s="171"/>
      <c r="X5823" s="171"/>
      <c r="Y5823" s="171"/>
      <c r="Z5823" s="171"/>
      <c r="AA5823" s="171"/>
    </row>
    <row r="5824" spans="1:27" s="530" customFormat="1" hidden="1" x14ac:dyDescent="0.2">
      <c r="A5824" s="526"/>
      <c r="B5824" s="527"/>
      <c r="C5824" s="465"/>
      <c r="D5824" s="464"/>
      <c r="E5824" s="464"/>
      <c r="F5824" s="503" t="s">
        <v>250</v>
      </c>
      <c r="G5824" s="504" t="s">
        <v>57</v>
      </c>
      <c r="H5824" s="397"/>
      <c r="I5824" s="397"/>
      <c r="J5824" s="750" t="e">
        <f t="shared" si="73"/>
        <v>#DIV/0!</v>
      </c>
      <c r="K5824" s="398"/>
      <c r="L5824" s="404"/>
      <c r="M5824" s="682"/>
      <c r="N5824" s="171"/>
      <c r="O5824" s="171"/>
      <c r="P5824" s="171"/>
      <c r="Q5824" s="171"/>
      <c r="R5824" s="171"/>
      <c r="S5824" s="171"/>
      <c r="T5824" s="171"/>
      <c r="U5824" s="171"/>
      <c r="V5824" s="171"/>
      <c r="W5824" s="171"/>
      <c r="X5824" s="171"/>
      <c r="Y5824" s="171"/>
      <c r="Z5824" s="171"/>
      <c r="AA5824" s="171"/>
    </row>
    <row r="5825" spans="1:27" s="530" customFormat="1" hidden="1" x14ac:dyDescent="0.2">
      <c r="A5825" s="526"/>
      <c r="B5825" s="527"/>
      <c r="C5825" s="465"/>
      <c r="D5825" s="464"/>
      <c r="E5825" s="464"/>
      <c r="F5825" s="503" t="s">
        <v>251</v>
      </c>
      <c r="G5825" s="504" t="s">
        <v>252</v>
      </c>
      <c r="H5825" s="397"/>
      <c r="I5825" s="397"/>
      <c r="J5825" s="750" t="e">
        <f t="shared" si="73"/>
        <v>#DIV/0!</v>
      </c>
      <c r="K5825" s="398"/>
      <c r="L5825" s="404"/>
      <c r="M5825" s="682"/>
      <c r="N5825" s="171"/>
      <c r="O5825" s="171"/>
      <c r="P5825" s="171"/>
      <c r="Q5825" s="171"/>
      <c r="R5825" s="171"/>
      <c r="S5825" s="171"/>
      <c r="T5825" s="171"/>
      <c r="U5825" s="171"/>
      <c r="V5825" s="171"/>
      <c r="W5825" s="171"/>
      <c r="X5825" s="171"/>
      <c r="Y5825" s="171"/>
      <c r="Z5825" s="171"/>
      <c r="AA5825" s="171"/>
    </row>
    <row r="5826" spans="1:27" s="530" customFormat="1" hidden="1" x14ac:dyDescent="0.2">
      <c r="A5826" s="526"/>
      <c r="B5826" s="527"/>
      <c r="C5826" s="465"/>
      <c r="D5826" s="464"/>
      <c r="E5826" s="464"/>
      <c r="F5826" s="503" t="s">
        <v>253</v>
      </c>
      <c r="G5826" s="504" t="s">
        <v>254</v>
      </c>
      <c r="H5826" s="397"/>
      <c r="I5826" s="397"/>
      <c r="J5826" s="750" t="e">
        <f t="shared" si="73"/>
        <v>#DIV/0!</v>
      </c>
      <c r="K5826" s="398"/>
      <c r="L5826" s="404"/>
      <c r="M5826" s="682"/>
      <c r="N5826" s="171"/>
      <c r="O5826" s="171"/>
      <c r="P5826" s="171"/>
      <c r="Q5826" s="171"/>
      <c r="R5826" s="171"/>
      <c r="S5826" s="171"/>
      <c r="T5826" s="171"/>
      <c r="U5826" s="171"/>
      <c r="V5826" s="171"/>
      <c r="W5826" s="171"/>
      <c r="X5826" s="171"/>
      <c r="Y5826" s="171"/>
      <c r="Z5826" s="171"/>
      <c r="AA5826" s="171"/>
    </row>
    <row r="5827" spans="1:27" s="530" customFormat="1" ht="25.5" hidden="1" x14ac:dyDescent="0.2">
      <c r="A5827" s="526"/>
      <c r="B5827" s="527"/>
      <c r="C5827" s="465"/>
      <c r="D5827" s="464"/>
      <c r="E5827" s="464"/>
      <c r="F5827" s="503" t="s">
        <v>255</v>
      </c>
      <c r="G5827" s="504" t="s">
        <v>256</v>
      </c>
      <c r="H5827" s="397"/>
      <c r="I5827" s="397"/>
      <c r="J5827" s="750" t="e">
        <f t="shared" si="73"/>
        <v>#DIV/0!</v>
      </c>
      <c r="K5827" s="398"/>
      <c r="L5827" s="404"/>
      <c r="M5827" s="682"/>
      <c r="N5827" s="171"/>
      <c r="O5827" s="171"/>
      <c r="P5827" s="171"/>
      <c r="Q5827" s="171"/>
      <c r="R5827" s="171"/>
      <c r="S5827" s="171"/>
      <c r="T5827" s="171"/>
      <c r="U5827" s="171"/>
      <c r="V5827" s="171"/>
      <c r="W5827" s="171"/>
      <c r="X5827" s="171"/>
      <c r="Y5827" s="171"/>
      <c r="Z5827" s="171"/>
      <c r="AA5827" s="171"/>
    </row>
    <row r="5828" spans="1:27" s="530" customFormat="1" ht="25.5" hidden="1" x14ac:dyDescent="0.2">
      <c r="A5828" s="526"/>
      <c r="B5828" s="527"/>
      <c r="C5828" s="465"/>
      <c r="D5828" s="464"/>
      <c r="E5828" s="464"/>
      <c r="F5828" s="503" t="s">
        <v>257</v>
      </c>
      <c r="G5828" s="504" t="s">
        <v>258</v>
      </c>
      <c r="H5828" s="397"/>
      <c r="I5828" s="397"/>
      <c r="J5828" s="750" t="e">
        <f t="shared" si="73"/>
        <v>#DIV/0!</v>
      </c>
      <c r="K5828" s="398"/>
      <c r="L5828" s="404"/>
      <c r="M5828" s="682"/>
      <c r="N5828" s="171"/>
      <c r="O5828" s="171"/>
      <c r="P5828" s="171"/>
      <c r="Q5828" s="171"/>
      <c r="R5828" s="171"/>
      <c r="S5828" s="171"/>
      <c r="T5828" s="171"/>
      <c r="U5828" s="171"/>
      <c r="V5828" s="171"/>
      <c r="W5828" s="171"/>
      <c r="X5828" s="171"/>
      <c r="Y5828" s="171"/>
      <c r="Z5828" s="171"/>
      <c r="AA5828" s="171"/>
    </row>
    <row r="5829" spans="1:27" s="530" customFormat="1" ht="25.5" hidden="1" x14ac:dyDescent="0.2">
      <c r="A5829" s="526"/>
      <c r="B5829" s="527"/>
      <c r="C5829" s="465"/>
      <c r="D5829" s="464"/>
      <c r="E5829" s="464"/>
      <c r="F5829" s="503" t="s">
        <v>259</v>
      </c>
      <c r="G5829" s="504" t="s">
        <v>260</v>
      </c>
      <c r="H5829" s="397"/>
      <c r="I5829" s="397"/>
      <c r="J5829" s="750" t="e">
        <f t="shared" si="73"/>
        <v>#DIV/0!</v>
      </c>
      <c r="K5829" s="398"/>
      <c r="L5829" s="404"/>
      <c r="M5829" s="682"/>
      <c r="N5829" s="171"/>
      <c r="O5829" s="171"/>
      <c r="P5829" s="171"/>
      <c r="Q5829" s="171"/>
      <c r="R5829" s="171"/>
      <c r="S5829" s="171"/>
      <c r="T5829" s="171"/>
      <c r="U5829" s="171"/>
      <c r="V5829" s="171"/>
      <c r="W5829" s="171"/>
      <c r="X5829" s="171"/>
      <c r="Y5829" s="171"/>
      <c r="Z5829" s="171"/>
      <c r="AA5829" s="171"/>
    </row>
    <row r="5830" spans="1:27" s="530" customFormat="1" ht="25.5" hidden="1" x14ac:dyDescent="0.2">
      <c r="A5830" s="526"/>
      <c r="B5830" s="527"/>
      <c r="C5830" s="465"/>
      <c r="D5830" s="464"/>
      <c r="E5830" s="464"/>
      <c r="F5830" s="503" t="s">
        <v>261</v>
      </c>
      <c r="G5830" s="504" t="s">
        <v>262</v>
      </c>
      <c r="H5830" s="397"/>
      <c r="I5830" s="397"/>
      <c r="J5830" s="750" t="e">
        <f t="shared" si="73"/>
        <v>#DIV/0!</v>
      </c>
      <c r="K5830" s="398"/>
      <c r="L5830" s="404"/>
      <c r="M5830" s="682"/>
      <c r="N5830" s="171"/>
      <c r="O5830" s="171"/>
      <c r="P5830" s="171"/>
      <c r="Q5830" s="171"/>
      <c r="R5830" s="171"/>
      <c r="S5830" s="171"/>
      <c r="T5830" s="171"/>
      <c r="U5830" s="171"/>
      <c r="V5830" s="171"/>
      <c r="W5830" s="171"/>
      <c r="X5830" s="171"/>
      <c r="Y5830" s="171"/>
      <c r="Z5830" s="171"/>
      <c r="AA5830" s="171"/>
    </row>
    <row r="5831" spans="1:27" s="530" customFormat="1" hidden="1" x14ac:dyDescent="0.2">
      <c r="A5831" s="526"/>
      <c r="B5831" s="527"/>
      <c r="C5831" s="465"/>
      <c r="D5831" s="464"/>
      <c r="E5831" s="464"/>
      <c r="F5831" s="503" t="s">
        <v>263</v>
      </c>
      <c r="G5831" s="504" t="s">
        <v>264</v>
      </c>
      <c r="H5831" s="403"/>
      <c r="I5831" s="403"/>
      <c r="J5831" s="750" t="e">
        <f t="shared" si="73"/>
        <v>#DIV/0!</v>
      </c>
      <c r="K5831" s="404"/>
      <c r="L5831" s="404"/>
      <c r="M5831" s="682"/>
      <c r="N5831" s="171"/>
      <c r="O5831" s="171"/>
      <c r="P5831" s="171"/>
      <c r="Q5831" s="171"/>
      <c r="R5831" s="171"/>
      <c r="S5831" s="171"/>
      <c r="T5831" s="171"/>
      <c r="U5831" s="171"/>
      <c r="V5831" s="171"/>
      <c r="W5831" s="171"/>
      <c r="X5831" s="171"/>
      <c r="Y5831" s="171"/>
      <c r="Z5831" s="171"/>
      <c r="AA5831" s="171"/>
    </row>
    <row r="5832" spans="1:27" s="530" customFormat="1" ht="13.5" hidden="1" thickBot="1" x14ac:dyDescent="0.25">
      <c r="A5832" s="526"/>
      <c r="B5832" s="527"/>
      <c r="C5832" s="465"/>
      <c r="D5832" s="464"/>
      <c r="E5832" s="464"/>
      <c r="F5832" s="464"/>
      <c r="G5832" s="505" t="s">
        <v>4377</v>
      </c>
      <c r="H5832" s="405">
        <f>SUM(H5816:H5831)</f>
        <v>0</v>
      </c>
      <c r="I5832" s="405"/>
      <c r="J5832" s="750" t="e">
        <f t="shared" si="73"/>
        <v>#DIV/0!</v>
      </c>
      <c r="K5832" s="406">
        <f>SUM(K5817:K5831)</f>
        <v>0</v>
      </c>
      <c r="L5832" s="406"/>
      <c r="M5832" s="682"/>
      <c r="N5832" s="171"/>
      <c r="O5832" s="171"/>
      <c r="P5832" s="171"/>
      <c r="Q5832" s="171"/>
      <c r="R5832" s="171"/>
      <c r="S5832" s="171"/>
      <c r="T5832" s="171"/>
      <c r="U5832" s="171"/>
      <c r="V5832" s="171"/>
      <c r="W5832" s="171"/>
      <c r="X5832" s="171"/>
      <c r="Y5832" s="171"/>
      <c r="Z5832" s="171"/>
      <c r="AA5832" s="171"/>
    </row>
    <row r="5833" spans="1:27" s="530" customFormat="1" hidden="1" x14ac:dyDescent="0.2">
      <c r="A5833" s="526"/>
      <c r="B5833" s="527"/>
      <c r="C5833" s="465"/>
      <c r="D5833" s="464"/>
      <c r="E5833" s="464"/>
      <c r="F5833" s="464"/>
      <c r="G5833" s="513"/>
      <c r="H5833" s="397"/>
      <c r="I5833" s="397"/>
      <c r="J5833" s="750" t="e">
        <f t="shared" si="73"/>
        <v>#DIV/0!</v>
      </c>
      <c r="K5833" s="398"/>
      <c r="L5833" s="398"/>
      <c r="M5833" s="682"/>
      <c r="N5833" s="171"/>
      <c r="O5833" s="171"/>
      <c r="P5833" s="171"/>
      <c r="Q5833" s="171"/>
      <c r="R5833" s="171"/>
      <c r="S5833" s="171"/>
      <c r="T5833" s="171"/>
      <c r="U5833" s="171"/>
      <c r="V5833" s="171"/>
      <c r="W5833" s="171"/>
      <c r="X5833" s="171"/>
      <c r="Y5833" s="171"/>
      <c r="Z5833" s="171"/>
      <c r="AA5833" s="171"/>
    </row>
    <row r="5834" spans="1:27" s="530" customFormat="1" x14ac:dyDescent="0.2">
      <c r="A5834" s="526"/>
      <c r="B5834" s="527"/>
      <c r="C5834" s="534"/>
      <c r="D5834" s="535"/>
      <c r="E5834" s="535"/>
      <c r="F5834" s="498"/>
      <c r="G5834" s="511" t="s">
        <v>4323</v>
      </c>
      <c r="H5834" s="413"/>
      <c r="I5834" s="413"/>
      <c r="J5834" s="750"/>
      <c r="K5834" s="414"/>
      <c r="L5834" s="415"/>
      <c r="M5834" s="682"/>
      <c r="N5834" s="171"/>
      <c r="O5834" s="171"/>
      <c r="P5834" s="171"/>
      <c r="Q5834" s="171"/>
      <c r="R5834" s="171"/>
      <c r="S5834" s="171"/>
      <c r="T5834" s="171"/>
      <c r="U5834" s="171"/>
      <c r="V5834" s="171"/>
      <c r="W5834" s="171"/>
      <c r="X5834" s="171"/>
      <c r="Y5834" s="171"/>
      <c r="Z5834" s="171"/>
      <c r="AA5834" s="171"/>
    </row>
    <row r="5835" spans="1:27" s="530" customFormat="1" ht="13.5" thickBot="1" x14ac:dyDescent="0.25">
      <c r="A5835" s="526"/>
      <c r="B5835" s="527"/>
      <c r="C5835" s="534"/>
      <c r="D5835" s="535"/>
      <c r="E5835" s="535"/>
      <c r="F5835" s="503" t="s">
        <v>234</v>
      </c>
      <c r="G5835" s="504" t="s">
        <v>235</v>
      </c>
      <c r="H5835" s="403">
        <f>SUM(H5816,H5717,H5618)</f>
        <v>3972000</v>
      </c>
      <c r="I5835" s="403">
        <f>SUM(I5634)</f>
        <v>3618935</v>
      </c>
      <c r="J5835" s="750">
        <f t="shared" si="73"/>
        <v>91.11115307150051</v>
      </c>
      <c r="K5835" s="404"/>
      <c r="L5835" s="404"/>
      <c r="M5835" s="682"/>
      <c r="N5835" s="171"/>
      <c r="O5835" s="171"/>
      <c r="P5835" s="171"/>
      <c r="Q5835" s="171"/>
      <c r="R5835" s="171"/>
      <c r="S5835" s="171"/>
      <c r="T5835" s="171"/>
      <c r="U5835" s="171"/>
      <c r="V5835" s="171"/>
      <c r="W5835" s="171"/>
      <c r="X5835" s="171"/>
      <c r="Y5835" s="171"/>
      <c r="Z5835" s="171"/>
      <c r="AA5835" s="171"/>
    </row>
    <row r="5836" spans="1:27" s="530" customFormat="1" ht="13.5" hidden="1" thickBot="1" x14ac:dyDescent="0.25">
      <c r="A5836" s="526"/>
      <c r="B5836" s="527"/>
      <c r="C5836" s="534"/>
      <c r="D5836" s="535"/>
      <c r="E5836" s="535"/>
      <c r="F5836" s="503" t="s">
        <v>236</v>
      </c>
      <c r="G5836" s="504" t="s">
        <v>237</v>
      </c>
      <c r="H5836" s="397"/>
      <c r="I5836" s="397"/>
      <c r="J5836" s="750" t="e">
        <f t="shared" si="73"/>
        <v>#DIV/0!</v>
      </c>
      <c r="K5836" s="398"/>
      <c r="L5836" s="404"/>
      <c r="M5836" s="682"/>
      <c r="N5836" s="171"/>
      <c r="O5836" s="171"/>
      <c r="P5836" s="171"/>
      <c r="Q5836" s="171"/>
      <c r="R5836" s="171"/>
      <c r="S5836" s="171"/>
      <c r="T5836" s="171"/>
      <c r="U5836" s="171"/>
      <c r="V5836" s="171"/>
      <c r="W5836" s="171"/>
      <c r="X5836" s="171"/>
      <c r="Y5836" s="171"/>
      <c r="Z5836" s="171"/>
      <c r="AA5836" s="171"/>
    </row>
    <row r="5837" spans="1:27" s="530" customFormat="1" ht="13.5" hidden="1" thickBot="1" x14ac:dyDescent="0.25">
      <c r="A5837" s="526"/>
      <c r="B5837" s="527"/>
      <c r="C5837" s="534"/>
      <c r="D5837" s="535"/>
      <c r="E5837" s="535"/>
      <c r="F5837" s="503" t="s">
        <v>238</v>
      </c>
      <c r="G5837" s="504" t="s">
        <v>239</v>
      </c>
      <c r="H5837" s="397"/>
      <c r="I5837" s="397"/>
      <c r="J5837" s="750" t="e">
        <f t="shared" ref="J5837:J5900" si="74">SUM(I5837/H5837)*100</f>
        <v>#DIV/0!</v>
      </c>
      <c r="K5837" s="398"/>
      <c r="L5837" s="404"/>
      <c r="M5837" s="682"/>
      <c r="N5837" s="171"/>
      <c r="O5837" s="171"/>
      <c r="P5837" s="171"/>
      <c r="Q5837" s="171"/>
      <c r="R5837" s="171"/>
      <c r="S5837" s="171"/>
      <c r="T5837" s="171"/>
      <c r="U5837" s="171"/>
      <c r="V5837" s="171"/>
      <c r="W5837" s="171"/>
      <c r="X5837" s="171"/>
      <c r="Y5837" s="171"/>
      <c r="Z5837" s="171"/>
      <c r="AA5837" s="171"/>
    </row>
    <row r="5838" spans="1:27" s="530" customFormat="1" ht="13.5" hidden="1" thickBot="1" x14ac:dyDescent="0.25">
      <c r="A5838" s="526"/>
      <c r="B5838" s="527"/>
      <c r="C5838" s="534"/>
      <c r="D5838" s="535"/>
      <c r="E5838" s="535"/>
      <c r="F5838" s="503" t="s">
        <v>240</v>
      </c>
      <c r="G5838" s="504" t="s">
        <v>241</v>
      </c>
      <c r="H5838" s="397"/>
      <c r="I5838" s="397"/>
      <c r="J5838" s="750" t="e">
        <f t="shared" si="74"/>
        <v>#DIV/0!</v>
      </c>
      <c r="K5838" s="398"/>
      <c r="L5838" s="404"/>
      <c r="M5838" s="682"/>
      <c r="N5838" s="171"/>
      <c r="O5838" s="171"/>
      <c r="P5838" s="171"/>
      <c r="Q5838" s="171"/>
      <c r="R5838" s="171"/>
      <c r="S5838" s="171"/>
      <c r="T5838" s="171"/>
      <c r="U5838" s="171"/>
      <c r="V5838" s="171"/>
      <c r="W5838" s="171"/>
      <c r="X5838" s="171"/>
      <c r="Y5838" s="171"/>
      <c r="Z5838" s="171"/>
      <c r="AA5838" s="171"/>
    </row>
    <row r="5839" spans="1:27" s="530" customFormat="1" ht="13.5" hidden="1" thickBot="1" x14ac:dyDescent="0.25">
      <c r="A5839" s="526"/>
      <c r="B5839" s="527"/>
      <c r="C5839" s="534"/>
      <c r="D5839" s="535"/>
      <c r="E5839" s="535"/>
      <c r="F5839" s="503" t="s">
        <v>242</v>
      </c>
      <c r="G5839" s="504" t="s">
        <v>243</v>
      </c>
      <c r="H5839" s="397"/>
      <c r="I5839" s="397"/>
      <c r="J5839" s="750" t="e">
        <f t="shared" si="74"/>
        <v>#DIV/0!</v>
      </c>
      <c r="K5839" s="398"/>
      <c r="L5839" s="404"/>
      <c r="M5839" s="682"/>
      <c r="N5839" s="171"/>
      <c r="O5839" s="171"/>
      <c r="P5839" s="171"/>
      <c r="Q5839" s="171"/>
      <c r="R5839" s="171"/>
      <c r="S5839" s="171"/>
      <c r="T5839" s="171"/>
      <c r="U5839" s="171"/>
      <c r="V5839" s="171"/>
      <c r="W5839" s="171"/>
      <c r="X5839" s="171"/>
      <c r="Y5839" s="171"/>
      <c r="Z5839" s="171"/>
      <c r="AA5839" s="171"/>
    </row>
    <row r="5840" spans="1:27" s="530" customFormat="1" ht="13.5" hidden="1" thickBot="1" x14ac:dyDescent="0.25">
      <c r="A5840" s="526"/>
      <c r="B5840" s="527"/>
      <c r="C5840" s="534"/>
      <c r="D5840" s="535"/>
      <c r="E5840" s="535"/>
      <c r="F5840" s="503" t="s">
        <v>244</v>
      </c>
      <c r="G5840" s="504" t="s">
        <v>245</v>
      </c>
      <c r="H5840" s="397"/>
      <c r="I5840" s="397"/>
      <c r="J5840" s="750" t="e">
        <f t="shared" si="74"/>
        <v>#DIV/0!</v>
      </c>
      <c r="K5840" s="398"/>
      <c r="L5840" s="404"/>
      <c r="M5840" s="682"/>
      <c r="N5840" s="171"/>
      <c r="O5840" s="171"/>
      <c r="P5840" s="171"/>
      <c r="Q5840" s="171"/>
      <c r="R5840" s="171"/>
      <c r="S5840" s="171"/>
      <c r="T5840" s="171"/>
      <c r="U5840" s="171"/>
      <c r="V5840" s="171"/>
      <c r="W5840" s="171"/>
      <c r="X5840" s="171"/>
      <c r="Y5840" s="171"/>
      <c r="Z5840" s="171"/>
      <c r="AA5840" s="171"/>
    </row>
    <row r="5841" spans="1:27" s="530" customFormat="1" ht="13.5" hidden="1" thickBot="1" x14ac:dyDescent="0.25">
      <c r="A5841" s="526"/>
      <c r="B5841" s="527"/>
      <c r="C5841" s="534"/>
      <c r="D5841" s="535"/>
      <c r="E5841" s="535"/>
      <c r="F5841" s="503" t="s">
        <v>246</v>
      </c>
      <c r="G5841" s="504" t="s">
        <v>247</v>
      </c>
      <c r="H5841" s="397"/>
      <c r="I5841" s="397"/>
      <c r="J5841" s="750" t="e">
        <f t="shared" si="74"/>
        <v>#DIV/0!</v>
      </c>
      <c r="K5841" s="398"/>
      <c r="L5841" s="404"/>
      <c r="M5841" s="682"/>
      <c r="N5841" s="171"/>
      <c r="O5841" s="171"/>
      <c r="P5841" s="171"/>
      <c r="Q5841" s="171"/>
      <c r="R5841" s="171"/>
      <c r="S5841" s="171"/>
      <c r="T5841" s="171"/>
      <c r="U5841" s="171"/>
      <c r="V5841" s="171"/>
      <c r="W5841" s="171"/>
      <c r="X5841" s="171"/>
      <c r="Y5841" s="171"/>
      <c r="Z5841" s="171"/>
      <c r="AA5841" s="171"/>
    </row>
    <row r="5842" spans="1:27" s="530" customFormat="1" ht="26.25" hidden="1" thickBot="1" x14ac:dyDescent="0.25">
      <c r="A5842" s="526"/>
      <c r="B5842" s="527"/>
      <c r="C5842" s="534"/>
      <c r="D5842" s="535"/>
      <c r="E5842" s="535"/>
      <c r="F5842" s="503" t="s">
        <v>248</v>
      </c>
      <c r="G5842" s="504" t="s">
        <v>249</v>
      </c>
      <c r="H5842" s="397"/>
      <c r="I5842" s="397"/>
      <c r="J5842" s="750" t="e">
        <f t="shared" si="74"/>
        <v>#DIV/0!</v>
      </c>
      <c r="K5842" s="398"/>
      <c r="L5842" s="404"/>
      <c r="M5842" s="682"/>
      <c r="N5842" s="171"/>
      <c r="O5842" s="171"/>
      <c r="P5842" s="171"/>
      <c r="Q5842" s="171"/>
      <c r="R5842" s="171"/>
      <c r="S5842" s="171"/>
      <c r="T5842" s="171"/>
      <c r="U5842" s="171"/>
      <c r="V5842" s="171"/>
      <c r="W5842" s="171"/>
      <c r="X5842" s="171"/>
      <c r="Y5842" s="171"/>
      <c r="Z5842" s="171"/>
      <c r="AA5842" s="171"/>
    </row>
    <row r="5843" spans="1:27" s="530" customFormat="1" ht="13.5" hidden="1" thickBot="1" x14ac:dyDescent="0.25">
      <c r="A5843" s="526"/>
      <c r="B5843" s="527"/>
      <c r="C5843" s="534"/>
      <c r="D5843" s="535"/>
      <c r="E5843" s="535"/>
      <c r="F5843" s="503" t="s">
        <v>250</v>
      </c>
      <c r="G5843" s="504" t="s">
        <v>57</v>
      </c>
      <c r="H5843" s="397"/>
      <c r="I5843" s="397"/>
      <c r="J5843" s="750" t="e">
        <f t="shared" si="74"/>
        <v>#DIV/0!</v>
      </c>
      <c r="K5843" s="398"/>
      <c r="L5843" s="404"/>
      <c r="M5843" s="682"/>
      <c r="N5843" s="171"/>
      <c r="O5843" s="171"/>
      <c r="P5843" s="171"/>
      <c r="Q5843" s="171"/>
      <c r="R5843" s="171"/>
      <c r="S5843" s="171"/>
      <c r="T5843" s="171"/>
      <c r="U5843" s="171"/>
      <c r="V5843" s="171"/>
      <c r="W5843" s="171"/>
      <c r="X5843" s="171"/>
      <c r="Y5843" s="171"/>
      <c r="Z5843" s="171"/>
      <c r="AA5843" s="171"/>
    </row>
    <row r="5844" spans="1:27" s="530" customFormat="1" ht="13.5" hidden="1" thickBot="1" x14ac:dyDescent="0.25">
      <c r="A5844" s="526"/>
      <c r="B5844" s="527"/>
      <c r="C5844" s="534"/>
      <c r="D5844" s="535"/>
      <c r="E5844" s="535"/>
      <c r="F5844" s="503" t="s">
        <v>251</v>
      </c>
      <c r="G5844" s="504" t="s">
        <v>252</v>
      </c>
      <c r="H5844" s="397"/>
      <c r="I5844" s="397"/>
      <c r="J5844" s="750" t="e">
        <f t="shared" si="74"/>
        <v>#DIV/0!</v>
      </c>
      <c r="K5844" s="398"/>
      <c r="L5844" s="404"/>
      <c r="M5844" s="682"/>
      <c r="N5844" s="171"/>
      <c r="O5844" s="171"/>
      <c r="P5844" s="171"/>
      <c r="Q5844" s="171"/>
      <c r="R5844" s="171"/>
      <c r="S5844" s="171"/>
      <c r="T5844" s="171"/>
      <c r="U5844" s="171"/>
      <c r="V5844" s="171"/>
      <c r="W5844" s="171"/>
      <c r="X5844" s="171"/>
      <c r="Y5844" s="171"/>
      <c r="Z5844" s="171"/>
      <c r="AA5844" s="171"/>
    </row>
    <row r="5845" spans="1:27" s="530" customFormat="1" ht="13.5" hidden="1" thickBot="1" x14ac:dyDescent="0.25">
      <c r="A5845" s="526"/>
      <c r="B5845" s="527"/>
      <c r="C5845" s="534"/>
      <c r="D5845" s="535"/>
      <c r="E5845" s="535"/>
      <c r="F5845" s="503" t="s">
        <v>253</v>
      </c>
      <c r="G5845" s="504" t="s">
        <v>254</v>
      </c>
      <c r="H5845" s="397"/>
      <c r="I5845" s="397"/>
      <c r="J5845" s="750" t="e">
        <f t="shared" si="74"/>
        <v>#DIV/0!</v>
      </c>
      <c r="K5845" s="398"/>
      <c r="L5845" s="404"/>
      <c r="M5845" s="682"/>
      <c r="N5845" s="171"/>
      <c r="O5845" s="171"/>
      <c r="P5845" s="171"/>
      <c r="Q5845" s="171"/>
      <c r="R5845" s="171"/>
      <c r="S5845" s="171"/>
      <c r="T5845" s="171"/>
      <c r="U5845" s="171"/>
      <c r="V5845" s="171"/>
      <c r="W5845" s="171"/>
      <c r="X5845" s="171"/>
      <c r="Y5845" s="171"/>
      <c r="Z5845" s="171"/>
      <c r="AA5845" s="171"/>
    </row>
    <row r="5846" spans="1:27" s="530" customFormat="1" ht="26.25" hidden="1" thickBot="1" x14ac:dyDescent="0.25">
      <c r="A5846" s="526"/>
      <c r="B5846" s="527"/>
      <c r="C5846" s="534"/>
      <c r="D5846" s="535"/>
      <c r="E5846" s="535"/>
      <c r="F5846" s="503" t="s">
        <v>255</v>
      </c>
      <c r="G5846" s="504" t="s">
        <v>256</v>
      </c>
      <c r="H5846" s="397"/>
      <c r="I5846" s="397"/>
      <c r="J5846" s="750" t="e">
        <f t="shared" si="74"/>
        <v>#DIV/0!</v>
      </c>
      <c r="K5846" s="398"/>
      <c r="L5846" s="404"/>
      <c r="M5846" s="682"/>
      <c r="N5846" s="171"/>
      <c r="O5846" s="171"/>
      <c r="P5846" s="171"/>
      <c r="Q5846" s="171"/>
      <c r="R5846" s="171"/>
      <c r="S5846" s="171"/>
      <c r="T5846" s="171"/>
      <c r="U5846" s="171"/>
      <c r="V5846" s="171"/>
      <c r="W5846" s="171"/>
      <c r="X5846" s="171"/>
      <c r="Y5846" s="171"/>
      <c r="Z5846" s="171"/>
      <c r="AA5846" s="171"/>
    </row>
    <row r="5847" spans="1:27" s="530" customFormat="1" ht="26.25" hidden="1" thickBot="1" x14ac:dyDescent="0.25">
      <c r="A5847" s="526"/>
      <c r="B5847" s="527"/>
      <c r="C5847" s="534"/>
      <c r="D5847" s="535"/>
      <c r="E5847" s="535"/>
      <c r="F5847" s="503" t="s">
        <v>257</v>
      </c>
      <c r="G5847" s="504" t="s">
        <v>258</v>
      </c>
      <c r="H5847" s="397"/>
      <c r="I5847" s="397"/>
      <c r="J5847" s="750" t="e">
        <f t="shared" si="74"/>
        <v>#DIV/0!</v>
      </c>
      <c r="K5847" s="398"/>
      <c r="L5847" s="404"/>
      <c r="M5847" s="682"/>
      <c r="N5847" s="171"/>
      <c r="O5847" s="171"/>
      <c r="P5847" s="171"/>
      <c r="Q5847" s="171"/>
      <c r="R5847" s="171"/>
      <c r="S5847" s="171"/>
      <c r="T5847" s="171"/>
      <c r="U5847" s="171"/>
      <c r="V5847" s="171"/>
      <c r="W5847" s="171"/>
      <c r="X5847" s="171"/>
      <c r="Y5847" s="171"/>
      <c r="Z5847" s="171"/>
      <c r="AA5847" s="171"/>
    </row>
    <row r="5848" spans="1:27" s="530" customFormat="1" ht="26.25" hidden="1" thickBot="1" x14ac:dyDescent="0.25">
      <c r="A5848" s="526"/>
      <c r="B5848" s="527"/>
      <c r="C5848" s="534"/>
      <c r="D5848" s="535"/>
      <c r="E5848" s="535"/>
      <c r="F5848" s="503" t="s">
        <v>259</v>
      </c>
      <c r="G5848" s="504" t="s">
        <v>260</v>
      </c>
      <c r="H5848" s="397"/>
      <c r="I5848" s="397"/>
      <c r="J5848" s="750" t="e">
        <f t="shared" si="74"/>
        <v>#DIV/0!</v>
      </c>
      <c r="K5848" s="398"/>
      <c r="L5848" s="404"/>
      <c r="M5848" s="682"/>
      <c r="N5848" s="171"/>
      <c r="O5848" s="171"/>
      <c r="P5848" s="171"/>
      <c r="Q5848" s="171"/>
      <c r="R5848" s="171"/>
      <c r="S5848" s="171"/>
      <c r="T5848" s="171"/>
      <c r="U5848" s="171"/>
      <c r="V5848" s="171"/>
      <c r="W5848" s="171"/>
      <c r="X5848" s="171"/>
      <c r="Y5848" s="171"/>
      <c r="Z5848" s="171"/>
      <c r="AA5848" s="171"/>
    </row>
    <row r="5849" spans="1:27" s="530" customFormat="1" ht="26.25" hidden="1" thickBot="1" x14ac:dyDescent="0.25">
      <c r="A5849" s="526"/>
      <c r="B5849" s="527"/>
      <c r="C5849" s="534"/>
      <c r="D5849" s="535"/>
      <c r="E5849" s="535"/>
      <c r="F5849" s="503" t="s">
        <v>261</v>
      </c>
      <c r="G5849" s="504" t="s">
        <v>262</v>
      </c>
      <c r="H5849" s="397"/>
      <c r="I5849" s="397"/>
      <c r="J5849" s="750" t="e">
        <f t="shared" si="74"/>
        <v>#DIV/0!</v>
      </c>
      <c r="K5849" s="398"/>
      <c r="L5849" s="404"/>
      <c r="M5849" s="682"/>
      <c r="N5849" s="171"/>
      <c r="O5849" s="171"/>
      <c r="P5849" s="171"/>
      <c r="Q5849" s="171"/>
      <c r="R5849" s="171"/>
      <c r="S5849" s="171"/>
      <c r="T5849" s="171"/>
      <c r="U5849" s="171"/>
      <c r="V5849" s="171"/>
      <c r="W5849" s="171"/>
      <c r="X5849" s="171"/>
      <c r="Y5849" s="171"/>
      <c r="Z5849" s="171"/>
      <c r="AA5849" s="171"/>
    </row>
    <row r="5850" spans="1:27" s="530" customFormat="1" ht="13.5" hidden="1" thickBot="1" x14ac:dyDescent="0.25">
      <c r="A5850" s="526"/>
      <c r="B5850" s="527"/>
      <c r="C5850" s="534"/>
      <c r="D5850" s="535"/>
      <c r="E5850" s="535"/>
      <c r="F5850" s="503" t="s">
        <v>263</v>
      </c>
      <c r="G5850" s="504" t="s">
        <v>264</v>
      </c>
      <c r="H5850" s="403"/>
      <c r="I5850" s="403"/>
      <c r="J5850" s="750" t="e">
        <f t="shared" si="74"/>
        <v>#DIV/0!</v>
      </c>
      <c r="K5850" s="404"/>
      <c r="L5850" s="404"/>
      <c r="M5850" s="682"/>
      <c r="N5850" s="171"/>
      <c r="O5850" s="171"/>
      <c r="P5850" s="171"/>
      <c r="Q5850" s="171"/>
      <c r="R5850" s="171"/>
      <c r="S5850" s="171"/>
      <c r="T5850" s="171"/>
      <c r="U5850" s="171"/>
      <c r="V5850" s="171"/>
      <c r="W5850" s="171"/>
      <c r="X5850" s="171"/>
      <c r="Y5850" s="171"/>
      <c r="Z5850" s="171"/>
      <c r="AA5850" s="171"/>
    </row>
    <row r="5851" spans="1:27" s="530" customFormat="1" ht="13.5" thickBot="1" x14ac:dyDescent="0.25">
      <c r="A5851" s="526"/>
      <c r="B5851" s="527"/>
      <c r="C5851" s="534"/>
      <c r="D5851" s="535"/>
      <c r="E5851" s="535"/>
      <c r="F5851" s="464"/>
      <c r="G5851" s="505" t="s">
        <v>4324</v>
      </c>
      <c r="H5851" s="405">
        <f>SUM(H5835:H5850)</f>
        <v>3972000</v>
      </c>
      <c r="I5851" s="405">
        <f>SUM(I5835)</f>
        <v>3618935</v>
      </c>
      <c r="J5851" s="750">
        <f t="shared" si="74"/>
        <v>91.11115307150051</v>
      </c>
      <c r="K5851" s="406">
        <f>SUM(K5836:K5850)</f>
        <v>0</v>
      </c>
      <c r="L5851" s="406"/>
      <c r="M5851" s="682"/>
      <c r="N5851" s="171"/>
      <c r="O5851" s="171"/>
      <c r="P5851" s="171"/>
      <c r="Q5851" s="171"/>
      <c r="R5851" s="171"/>
      <c r="S5851" s="171"/>
      <c r="T5851" s="171"/>
      <c r="U5851" s="171"/>
      <c r="V5851" s="171"/>
      <c r="W5851" s="171"/>
      <c r="X5851" s="171"/>
      <c r="Y5851" s="171"/>
      <c r="Z5851" s="171"/>
      <c r="AA5851" s="171"/>
    </row>
    <row r="5852" spans="1:27" s="530" customFormat="1" ht="18" hidden="1" customHeight="1" x14ac:dyDescent="0.2">
      <c r="A5852" s="526"/>
      <c r="B5852" s="527"/>
      <c r="C5852" s="534"/>
      <c r="D5852" s="535"/>
      <c r="E5852" s="535"/>
      <c r="F5852" s="464"/>
      <c r="G5852" s="510"/>
      <c r="H5852" s="411"/>
      <c r="I5852" s="411"/>
      <c r="J5852" s="750" t="e">
        <f t="shared" si="74"/>
        <v>#DIV/0!</v>
      </c>
      <c r="K5852" s="412"/>
      <c r="L5852" s="412"/>
      <c r="M5852" s="682"/>
      <c r="N5852" s="171"/>
      <c r="O5852" s="171"/>
      <c r="P5852" s="171"/>
      <c r="Q5852" s="171"/>
      <c r="R5852" s="171"/>
      <c r="S5852" s="171"/>
      <c r="T5852" s="171"/>
      <c r="U5852" s="171"/>
      <c r="V5852" s="171"/>
      <c r="W5852" s="171"/>
      <c r="X5852" s="171"/>
      <c r="Y5852" s="171"/>
      <c r="Z5852" s="171"/>
      <c r="AA5852" s="171"/>
    </row>
    <row r="5853" spans="1:27" s="530" customFormat="1" hidden="1" x14ac:dyDescent="0.2">
      <c r="A5853" s="526"/>
      <c r="B5853" s="527"/>
      <c r="C5853" s="534"/>
      <c r="D5853" s="535"/>
      <c r="E5853" s="535"/>
      <c r="F5853" s="464"/>
      <c r="G5853" s="510"/>
      <c r="H5853" s="411"/>
      <c r="I5853" s="411"/>
      <c r="J5853" s="750" t="e">
        <f t="shared" si="74"/>
        <v>#DIV/0!</v>
      </c>
      <c r="K5853" s="412"/>
      <c r="L5853" s="412"/>
      <c r="M5853" s="682"/>
      <c r="N5853" s="171"/>
      <c r="O5853" s="171"/>
      <c r="P5853" s="171"/>
      <c r="Q5853" s="171"/>
      <c r="R5853" s="171"/>
      <c r="S5853" s="171"/>
      <c r="T5853" s="171"/>
      <c r="U5853" s="171"/>
      <c r="V5853" s="171"/>
      <c r="W5853" s="171"/>
      <c r="X5853" s="171"/>
      <c r="Y5853" s="171"/>
      <c r="Z5853" s="171"/>
      <c r="AA5853" s="171"/>
    </row>
    <row r="5854" spans="1:27" s="530" customFormat="1" hidden="1" x14ac:dyDescent="0.2">
      <c r="A5854" s="526"/>
      <c r="B5854" s="527"/>
      <c r="C5854" s="534"/>
      <c r="D5854" s="535"/>
      <c r="E5854" s="535"/>
      <c r="F5854" s="464"/>
      <c r="G5854" s="510"/>
      <c r="H5854" s="411"/>
      <c r="I5854" s="411"/>
      <c r="J5854" s="750" t="e">
        <f t="shared" si="74"/>
        <v>#DIV/0!</v>
      </c>
      <c r="K5854" s="412"/>
      <c r="L5854" s="412"/>
      <c r="M5854" s="682"/>
      <c r="N5854" s="171"/>
      <c r="O5854" s="171"/>
      <c r="P5854" s="171"/>
      <c r="Q5854" s="171"/>
      <c r="R5854" s="171"/>
      <c r="S5854" s="171"/>
      <c r="T5854" s="171"/>
      <c r="U5854" s="171"/>
      <c r="V5854" s="171"/>
      <c r="W5854" s="171"/>
      <c r="X5854" s="171"/>
      <c r="Y5854" s="171"/>
      <c r="Z5854" s="171"/>
      <c r="AA5854" s="171"/>
    </row>
    <row r="5855" spans="1:27" s="530" customFormat="1" hidden="1" x14ac:dyDescent="0.2">
      <c r="A5855" s="526"/>
      <c r="B5855" s="527"/>
      <c r="C5855" s="534"/>
      <c r="D5855" s="535"/>
      <c r="E5855" s="535"/>
      <c r="F5855" s="464"/>
      <c r="G5855" s="510"/>
      <c r="H5855" s="411"/>
      <c r="I5855" s="411"/>
      <c r="J5855" s="750" t="e">
        <f t="shared" si="74"/>
        <v>#DIV/0!</v>
      </c>
      <c r="K5855" s="412"/>
      <c r="L5855" s="412"/>
      <c r="M5855" s="682"/>
      <c r="N5855" s="171"/>
      <c r="O5855" s="171"/>
      <c r="P5855" s="171"/>
      <c r="Q5855" s="171"/>
      <c r="R5855" s="171"/>
      <c r="S5855" s="171"/>
      <c r="T5855" s="171"/>
      <c r="U5855" s="171"/>
      <c r="V5855" s="171"/>
      <c r="W5855" s="171"/>
      <c r="X5855" s="171"/>
      <c r="Y5855" s="171"/>
      <c r="Z5855" s="171"/>
      <c r="AA5855" s="171"/>
    </row>
    <row r="5856" spans="1:27" s="530" customFormat="1" hidden="1" x14ac:dyDescent="0.2">
      <c r="A5856" s="526"/>
      <c r="B5856" s="527"/>
      <c r="C5856" s="534"/>
      <c r="D5856" s="535"/>
      <c r="E5856" s="535"/>
      <c r="F5856" s="464"/>
      <c r="G5856" s="510"/>
      <c r="H5856" s="411"/>
      <c r="I5856" s="411"/>
      <c r="J5856" s="750" t="e">
        <f t="shared" si="74"/>
        <v>#DIV/0!</v>
      </c>
      <c r="K5856" s="412"/>
      <c r="L5856" s="412"/>
      <c r="M5856" s="682"/>
      <c r="N5856" s="171"/>
      <c r="O5856" s="171"/>
      <c r="P5856" s="171"/>
      <c r="Q5856" s="171"/>
      <c r="R5856" s="171"/>
      <c r="S5856" s="171"/>
      <c r="T5856" s="171"/>
      <c r="U5856" s="171"/>
      <c r="V5856" s="171"/>
      <c r="W5856" s="171"/>
      <c r="X5856" s="171"/>
      <c r="Y5856" s="171"/>
      <c r="Z5856" s="171"/>
      <c r="AA5856" s="171"/>
    </row>
    <row r="5857" spans="1:27" s="530" customFormat="1" hidden="1" x14ac:dyDescent="0.2">
      <c r="A5857" s="526"/>
      <c r="B5857" s="527"/>
      <c r="C5857" s="534"/>
      <c r="D5857" s="535"/>
      <c r="E5857" s="535"/>
      <c r="F5857" s="464"/>
      <c r="G5857" s="510"/>
      <c r="H5857" s="411"/>
      <c r="I5857" s="411"/>
      <c r="J5857" s="750" t="e">
        <f t="shared" si="74"/>
        <v>#DIV/0!</v>
      </c>
      <c r="K5857" s="412"/>
      <c r="L5857" s="412"/>
      <c r="M5857" s="682"/>
      <c r="N5857" s="171"/>
      <c r="O5857" s="171"/>
      <c r="P5857" s="171"/>
      <c r="Q5857" s="171"/>
      <c r="R5857" s="171"/>
      <c r="S5857" s="171"/>
      <c r="T5857" s="171"/>
      <c r="U5857" s="171"/>
      <c r="V5857" s="171"/>
      <c r="W5857" s="171"/>
      <c r="X5857" s="171"/>
      <c r="Y5857" s="171"/>
      <c r="Z5857" s="171"/>
      <c r="AA5857" s="171"/>
    </row>
    <row r="5858" spans="1:27" s="530" customFormat="1" hidden="1" x14ac:dyDescent="0.2">
      <c r="A5858" s="526"/>
      <c r="B5858" s="527"/>
      <c r="C5858" s="534"/>
      <c r="D5858" s="535"/>
      <c r="E5858" s="535"/>
      <c r="F5858" s="464"/>
      <c r="G5858" s="510"/>
      <c r="H5858" s="411"/>
      <c r="I5858" s="411"/>
      <c r="J5858" s="750" t="e">
        <f t="shared" si="74"/>
        <v>#DIV/0!</v>
      </c>
      <c r="K5858" s="412"/>
      <c r="L5858" s="412"/>
      <c r="M5858" s="682"/>
      <c r="N5858" s="171"/>
      <c r="O5858" s="171"/>
      <c r="P5858" s="171"/>
      <c r="Q5858" s="171"/>
      <c r="R5858" s="171"/>
      <c r="S5858" s="171"/>
      <c r="T5858" s="171"/>
      <c r="U5858" s="171"/>
      <c r="V5858" s="171"/>
      <c r="W5858" s="171"/>
      <c r="X5858" s="171"/>
      <c r="Y5858" s="171"/>
      <c r="Z5858" s="171"/>
      <c r="AA5858" s="171"/>
    </row>
    <row r="5859" spans="1:27" s="530" customFormat="1" hidden="1" x14ac:dyDescent="0.2">
      <c r="A5859" s="526"/>
      <c r="B5859" s="527"/>
      <c r="C5859" s="534"/>
      <c r="D5859" s="535"/>
      <c r="E5859" s="535"/>
      <c r="F5859" s="464"/>
      <c r="G5859" s="510"/>
      <c r="H5859" s="411"/>
      <c r="I5859" s="411"/>
      <c r="J5859" s="750" t="e">
        <f t="shared" si="74"/>
        <v>#DIV/0!</v>
      </c>
      <c r="K5859" s="412"/>
      <c r="L5859" s="412"/>
      <c r="M5859" s="682"/>
      <c r="N5859" s="171"/>
      <c r="O5859" s="171"/>
      <c r="P5859" s="171"/>
      <c r="Q5859" s="171"/>
      <c r="R5859" s="171"/>
      <c r="S5859" s="171"/>
      <c r="T5859" s="171"/>
      <c r="U5859" s="171"/>
      <c r="V5859" s="171"/>
      <c r="W5859" s="171"/>
      <c r="X5859" s="171"/>
      <c r="Y5859" s="171"/>
      <c r="Z5859" s="171"/>
      <c r="AA5859" s="171"/>
    </row>
    <row r="5860" spans="1:27" s="530" customFormat="1" hidden="1" x14ac:dyDescent="0.2">
      <c r="A5860" s="526"/>
      <c r="B5860" s="527"/>
      <c r="C5860" s="534"/>
      <c r="D5860" s="535"/>
      <c r="E5860" s="535"/>
      <c r="F5860" s="464"/>
      <c r="G5860" s="510"/>
      <c r="H5860" s="411"/>
      <c r="I5860" s="411"/>
      <c r="J5860" s="750" t="e">
        <f t="shared" si="74"/>
        <v>#DIV/0!</v>
      </c>
      <c r="K5860" s="412"/>
      <c r="L5860" s="412"/>
      <c r="M5860" s="682"/>
      <c r="N5860" s="171"/>
      <c r="O5860" s="171"/>
      <c r="P5860" s="171"/>
      <c r="Q5860" s="171"/>
      <c r="R5860" s="171"/>
      <c r="S5860" s="171"/>
      <c r="T5860" s="171"/>
      <c r="U5860" s="171"/>
      <c r="V5860" s="171"/>
      <c r="W5860" s="171"/>
      <c r="X5860" s="171"/>
      <c r="Y5860" s="171"/>
      <c r="Z5860" s="171"/>
      <c r="AA5860" s="171"/>
    </row>
    <row r="5861" spans="1:27" s="530" customFormat="1" hidden="1" x14ac:dyDescent="0.2">
      <c r="A5861" s="526"/>
      <c r="B5861" s="527"/>
      <c r="C5861" s="534"/>
      <c r="D5861" s="535"/>
      <c r="E5861" s="535"/>
      <c r="F5861" s="464"/>
      <c r="G5861" s="510"/>
      <c r="H5861" s="411"/>
      <c r="I5861" s="411"/>
      <c r="J5861" s="750" t="e">
        <f t="shared" si="74"/>
        <v>#DIV/0!</v>
      </c>
      <c r="K5861" s="412"/>
      <c r="L5861" s="412"/>
      <c r="M5861" s="682"/>
      <c r="N5861" s="171"/>
      <c r="O5861" s="171"/>
      <c r="P5861" s="171"/>
      <c r="Q5861" s="171"/>
      <c r="R5861" s="171"/>
      <c r="S5861" s="171"/>
      <c r="T5861" s="171"/>
      <c r="U5861" s="171"/>
      <c r="V5861" s="171"/>
      <c r="W5861" s="171"/>
      <c r="X5861" s="171"/>
      <c r="Y5861" s="171"/>
      <c r="Z5861" s="171"/>
      <c r="AA5861" s="171"/>
    </row>
    <row r="5862" spans="1:27" s="530" customFormat="1" hidden="1" x14ac:dyDescent="0.2">
      <c r="A5862" s="526"/>
      <c r="B5862" s="527"/>
      <c r="C5862" s="534"/>
      <c r="D5862" s="535"/>
      <c r="E5862" s="535"/>
      <c r="F5862" s="464"/>
      <c r="G5862" s="510"/>
      <c r="H5862" s="411"/>
      <c r="I5862" s="411"/>
      <c r="J5862" s="750" t="e">
        <f t="shared" si="74"/>
        <v>#DIV/0!</v>
      </c>
      <c r="K5862" s="412"/>
      <c r="L5862" s="412"/>
      <c r="M5862" s="682"/>
      <c r="N5862" s="171"/>
      <c r="O5862" s="171"/>
      <c r="P5862" s="171"/>
      <c r="Q5862" s="171"/>
      <c r="R5862" s="171"/>
      <c r="S5862" s="171"/>
      <c r="T5862" s="171"/>
      <c r="U5862" s="171"/>
      <c r="V5862" s="171"/>
      <c r="W5862" s="171"/>
      <c r="X5862" s="171"/>
      <c r="Y5862" s="171"/>
      <c r="Z5862" s="171"/>
      <c r="AA5862" s="171"/>
    </row>
    <row r="5863" spans="1:27" s="530" customFormat="1" hidden="1" x14ac:dyDescent="0.2">
      <c r="A5863" s="526"/>
      <c r="B5863" s="527"/>
      <c r="C5863" s="534"/>
      <c r="D5863" s="535"/>
      <c r="E5863" s="535"/>
      <c r="F5863" s="464"/>
      <c r="G5863" s="510"/>
      <c r="H5863" s="411"/>
      <c r="I5863" s="411"/>
      <c r="J5863" s="750" t="e">
        <f t="shared" si="74"/>
        <v>#DIV/0!</v>
      </c>
      <c r="K5863" s="412"/>
      <c r="L5863" s="412"/>
      <c r="M5863" s="682"/>
      <c r="N5863" s="171"/>
      <c r="O5863" s="171"/>
      <c r="P5863" s="171"/>
      <c r="Q5863" s="171"/>
      <c r="R5863" s="171"/>
      <c r="S5863" s="171"/>
      <c r="T5863" s="171"/>
      <c r="U5863" s="171"/>
      <c r="V5863" s="171"/>
      <c r="W5863" s="171"/>
      <c r="X5863" s="171"/>
      <c r="Y5863" s="171"/>
      <c r="Z5863" s="171"/>
      <c r="AA5863" s="171"/>
    </row>
    <row r="5864" spans="1:27" s="530" customFormat="1" hidden="1" x14ac:dyDescent="0.2">
      <c r="A5864" s="526"/>
      <c r="B5864" s="527"/>
      <c r="C5864" s="534"/>
      <c r="D5864" s="535"/>
      <c r="E5864" s="535"/>
      <c r="F5864" s="464"/>
      <c r="G5864" s="510"/>
      <c r="H5864" s="411"/>
      <c r="I5864" s="411"/>
      <c r="J5864" s="750" t="e">
        <f t="shared" si="74"/>
        <v>#DIV/0!</v>
      </c>
      <c r="K5864" s="412"/>
      <c r="L5864" s="412"/>
      <c r="M5864" s="682"/>
      <c r="N5864" s="171"/>
      <c r="O5864" s="171"/>
      <c r="P5864" s="171"/>
      <c r="Q5864" s="171"/>
      <c r="R5864" s="171"/>
      <c r="S5864" s="171"/>
      <c r="T5864" s="171"/>
      <c r="U5864" s="171"/>
      <c r="V5864" s="171"/>
      <c r="W5864" s="171"/>
      <c r="X5864" s="171"/>
      <c r="Y5864" s="171"/>
      <c r="Z5864" s="171"/>
      <c r="AA5864" s="171"/>
    </row>
    <row r="5865" spans="1:27" s="530" customFormat="1" hidden="1" x14ac:dyDescent="0.2">
      <c r="A5865" s="526"/>
      <c r="B5865" s="527"/>
      <c r="C5865" s="534"/>
      <c r="D5865" s="535"/>
      <c r="E5865" s="535"/>
      <c r="F5865" s="464"/>
      <c r="G5865" s="510"/>
      <c r="H5865" s="411"/>
      <c r="I5865" s="411"/>
      <c r="J5865" s="750" t="e">
        <f t="shared" si="74"/>
        <v>#DIV/0!</v>
      </c>
      <c r="K5865" s="412"/>
      <c r="L5865" s="412"/>
      <c r="M5865" s="682"/>
      <c r="N5865" s="171"/>
      <c r="O5865" s="171"/>
      <c r="P5865" s="171"/>
      <c r="Q5865" s="171"/>
      <c r="R5865" s="171"/>
      <c r="S5865" s="171"/>
      <c r="T5865" s="171"/>
      <c r="U5865" s="171"/>
      <c r="V5865" s="171"/>
      <c r="W5865" s="171"/>
      <c r="X5865" s="171"/>
      <c r="Y5865" s="171"/>
      <c r="Z5865" s="171"/>
      <c r="AA5865" s="171"/>
    </row>
    <row r="5866" spans="1:27" s="530" customFormat="1" hidden="1" x14ac:dyDescent="0.2">
      <c r="A5866" s="526"/>
      <c r="B5866" s="527"/>
      <c r="C5866" s="534"/>
      <c r="D5866" s="535"/>
      <c r="E5866" s="535"/>
      <c r="F5866" s="464"/>
      <c r="G5866" s="510"/>
      <c r="H5866" s="411"/>
      <c r="I5866" s="411"/>
      <c r="J5866" s="750" t="e">
        <f t="shared" si="74"/>
        <v>#DIV/0!</v>
      </c>
      <c r="K5866" s="412"/>
      <c r="L5866" s="412"/>
      <c r="M5866" s="682"/>
      <c r="N5866" s="171"/>
      <c r="O5866" s="171"/>
      <c r="P5866" s="171"/>
      <c r="Q5866" s="171"/>
      <c r="R5866" s="171"/>
      <c r="S5866" s="171"/>
      <c r="T5866" s="171"/>
      <c r="U5866" s="171"/>
      <c r="V5866" s="171"/>
      <c r="W5866" s="171"/>
      <c r="X5866" s="171"/>
      <c r="Y5866" s="171"/>
      <c r="Z5866" s="171"/>
      <c r="AA5866" s="171"/>
    </row>
    <row r="5867" spans="1:27" s="530" customFormat="1" hidden="1" x14ac:dyDescent="0.2">
      <c r="A5867" s="526"/>
      <c r="B5867" s="527"/>
      <c r="C5867" s="534"/>
      <c r="D5867" s="535"/>
      <c r="E5867" s="535"/>
      <c r="F5867" s="464"/>
      <c r="G5867" s="510"/>
      <c r="H5867" s="411"/>
      <c r="I5867" s="411"/>
      <c r="J5867" s="750" t="e">
        <f t="shared" si="74"/>
        <v>#DIV/0!</v>
      </c>
      <c r="K5867" s="412"/>
      <c r="L5867" s="412"/>
      <c r="M5867" s="682"/>
      <c r="N5867" s="171"/>
      <c r="O5867" s="171"/>
      <c r="P5867" s="171"/>
      <c r="Q5867" s="171"/>
      <c r="R5867" s="171"/>
      <c r="S5867" s="171"/>
      <c r="T5867" s="171"/>
      <c r="U5867" s="171"/>
      <c r="V5867" s="171"/>
      <c r="W5867" s="171"/>
      <c r="X5867" s="171"/>
      <c r="Y5867" s="171"/>
      <c r="Z5867" s="171"/>
      <c r="AA5867" s="171"/>
    </row>
    <row r="5868" spans="1:27" s="530" customFormat="1" hidden="1" x14ac:dyDescent="0.2">
      <c r="A5868" s="526"/>
      <c r="B5868" s="527"/>
      <c r="C5868" s="534"/>
      <c r="D5868" s="535"/>
      <c r="E5868" s="535"/>
      <c r="F5868" s="464"/>
      <c r="G5868" s="510"/>
      <c r="H5868" s="411"/>
      <c r="I5868" s="411"/>
      <c r="J5868" s="750" t="e">
        <f t="shared" si="74"/>
        <v>#DIV/0!</v>
      </c>
      <c r="K5868" s="412"/>
      <c r="L5868" s="412"/>
      <c r="M5868" s="682"/>
      <c r="N5868" s="171"/>
      <c r="O5868" s="171"/>
      <c r="P5868" s="171"/>
      <c r="Q5868" s="171"/>
      <c r="R5868" s="171"/>
      <c r="S5868" s="171"/>
      <c r="T5868" s="171"/>
      <c r="U5868" s="171"/>
      <c r="V5868" s="171"/>
      <c r="W5868" s="171"/>
      <c r="X5868" s="171"/>
      <c r="Y5868" s="171"/>
      <c r="Z5868" s="171"/>
      <c r="AA5868" s="171"/>
    </row>
    <row r="5869" spans="1:27" s="530" customFormat="1" hidden="1" x14ac:dyDescent="0.2">
      <c r="A5869" s="526"/>
      <c r="B5869" s="527"/>
      <c r="C5869" s="534"/>
      <c r="D5869" s="535"/>
      <c r="E5869" s="535"/>
      <c r="F5869" s="464"/>
      <c r="G5869" s="510"/>
      <c r="H5869" s="411"/>
      <c r="I5869" s="411"/>
      <c r="J5869" s="750" t="e">
        <f t="shared" si="74"/>
        <v>#DIV/0!</v>
      </c>
      <c r="K5869" s="412"/>
      <c r="L5869" s="412"/>
      <c r="M5869" s="682"/>
      <c r="N5869" s="171"/>
      <c r="O5869" s="171"/>
      <c r="P5869" s="171"/>
      <c r="Q5869" s="171"/>
      <c r="R5869" s="171"/>
      <c r="S5869" s="171"/>
      <c r="T5869" s="171"/>
      <c r="U5869" s="171"/>
      <c r="V5869" s="171"/>
      <c r="W5869" s="171"/>
      <c r="X5869" s="171"/>
      <c r="Y5869" s="171"/>
      <c r="Z5869" s="171"/>
      <c r="AA5869" s="171"/>
    </row>
    <row r="5870" spans="1:27" s="530" customFormat="1" hidden="1" x14ac:dyDescent="0.2">
      <c r="A5870" s="526"/>
      <c r="B5870" s="527"/>
      <c r="C5870" s="534"/>
      <c r="D5870" s="535"/>
      <c r="E5870" s="535"/>
      <c r="F5870" s="464"/>
      <c r="G5870" s="510"/>
      <c r="H5870" s="411"/>
      <c r="I5870" s="411"/>
      <c r="J5870" s="750" t="e">
        <f t="shared" si="74"/>
        <v>#DIV/0!</v>
      </c>
      <c r="K5870" s="412"/>
      <c r="L5870" s="412"/>
      <c r="M5870" s="682"/>
      <c r="N5870" s="171"/>
      <c r="O5870" s="171"/>
      <c r="P5870" s="171"/>
      <c r="Q5870" s="171"/>
      <c r="R5870" s="171"/>
      <c r="S5870" s="171"/>
      <c r="T5870" s="171"/>
      <c r="U5870" s="171"/>
      <c r="V5870" s="171"/>
      <c r="W5870" s="171"/>
      <c r="X5870" s="171"/>
      <c r="Y5870" s="171"/>
      <c r="Z5870" s="171"/>
      <c r="AA5870" s="171"/>
    </row>
    <row r="5871" spans="1:27" s="530" customFormat="1" hidden="1" x14ac:dyDescent="0.2">
      <c r="A5871" s="526"/>
      <c r="B5871" s="527"/>
      <c r="C5871" s="534"/>
      <c r="D5871" s="535"/>
      <c r="E5871" s="535"/>
      <c r="F5871" s="464"/>
      <c r="G5871" s="510"/>
      <c r="H5871" s="411"/>
      <c r="I5871" s="411"/>
      <c r="J5871" s="750" t="e">
        <f t="shared" si="74"/>
        <v>#DIV/0!</v>
      </c>
      <c r="K5871" s="412"/>
      <c r="L5871" s="412"/>
      <c r="M5871" s="682"/>
      <c r="N5871" s="171"/>
      <c r="O5871" s="171"/>
      <c r="P5871" s="171"/>
      <c r="Q5871" s="171"/>
      <c r="R5871" s="171"/>
      <c r="S5871" s="171"/>
      <c r="T5871" s="171"/>
      <c r="U5871" s="171"/>
      <c r="V5871" s="171"/>
      <c r="W5871" s="171"/>
      <c r="X5871" s="171"/>
      <c r="Y5871" s="171"/>
      <c r="Z5871" s="171"/>
      <c r="AA5871" s="171"/>
    </row>
    <row r="5872" spans="1:27" s="530" customFormat="1" hidden="1" x14ac:dyDescent="0.2">
      <c r="A5872" s="526"/>
      <c r="B5872" s="527"/>
      <c r="C5872" s="534"/>
      <c r="D5872" s="535"/>
      <c r="E5872" s="535"/>
      <c r="F5872" s="464"/>
      <c r="G5872" s="510"/>
      <c r="H5872" s="411"/>
      <c r="I5872" s="411"/>
      <c r="J5872" s="750" t="e">
        <f t="shared" si="74"/>
        <v>#DIV/0!</v>
      </c>
      <c r="K5872" s="412"/>
      <c r="L5872" s="412"/>
      <c r="M5872" s="682"/>
      <c r="N5872" s="171"/>
      <c r="O5872" s="171"/>
      <c r="P5872" s="171"/>
      <c r="Q5872" s="171"/>
      <c r="R5872" s="171"/>
      <c r="S5872" s="171"/>
      <c r="T5872" s="171"/>
      <c r="U5872" s="171"/>
      <c r="V5872" s="171"/>
      <c r="W5872" s="171"/>
      <c r="X5872" s="171"/>
      <c r="Y5872" s="171"/>
      <c r="Z5872" s="171"/>
      <c r="AA5872" s="171"/>
    </row>
    <row r="5873" spans="1:27" s="530" customFormat="1" hidden="1" x14ac:dyDescent="0.2">
      <c r="A5873" s="526"/>
      <c r="B5873" s="527"/>
      <c r="C5873" s="534"/>
      <c r="D5873" s="535"/>
      <c r="E5873" s="535"/>
      <c r="F5873" s="464"/>
      <c r="G5873" s="510"/>
      <c r="H5873" s="411"/>
      <c r="I5873" s="411"/>
      <c r="J5873" s="750" t="e">
        <f t="shared" si="74"/>
        <v>#DIV/0!</v>
      </c>
      <c r="K5873" s="412"/>
      <c r="L5873" s="412"/>
      <c r="M5873" s="682"/>
      <c r="N5873" s="171"/>
      <c r="O5873" s="171"/>
      <c r="P5873" s="171"/>
      <c r="Q5873" s="171"/>
      <c r="R5873" s="171"/>
      <c r="S5873" s="171"/>
      <c r="T5873" s="171"/>
      <c r="U5873" s="171"/>
      <c r="V5873" s="171"/>
      <c r="W5873" s="171"/>
      <c r="X5873" s="171"/>
      <c r="Y5873" s="171"/>
      <c r="Z5873" s="171"/>
      <c r="AA5873" s="171"/>
    </row>
    <row r="5874" spans="1:27" s="530" customFormat="1" hidden="1" x14ac:dyDescent="0.2">
      <c r="A5874" s="526"/>
      <c r="B5874" s="527"/>
      <c r="C5874" s="534"/>
      <c r="D5874" s="535"/>
      <c r="E5874" s="535"/>
      <c r="F5874" s="464"/>
      <c r="G5874" s="510"/>
      <c r="H5874" s="411"/>
      <c r="I5874" s="411"/>
      <c r="J5874" s="750" t="e">
        <f t="shared" si="74"/>
        <v>#DIV/0!</v>
      </c>
      <c r="K5874" s="412"/>
      <c r="L5874" s="412"/>
      <c r="M5874" s="682"/>
      <c r="N5874" s="171"/>
      <c r="O5874" s="171"/>
      <c r="P5874" s="171"/>
      <c r="Q5874" s="171"/>
      <c r="R5874" s="171"/>
      <c r="S5874" s="171"/>
      <c r="T5874" s="171"/>
      <c r="U5874" s="171"/>
      <c r="V5874" s="171"/>
      <c r="W5874" s="171"/>
      <c r="X5874" s="171"/>
      <c r="Y5874" s="171"/>
      <c r="Z5874" s="171"/>
      <c r="AA5874" s="171"/>
    </row>
    <row r="5875" spans="1:27" s="530" customFormat="1" hidden="1" x14ac:dyDescent="0.2">
      <c r="A5875" s="526"/>
      <c r="B5875" s="527"/>
      <c r="C5875" s="534"/>
      <c r="D5875" s="535"/>
      <c r="E5875" s="535"/>
      <c r="F5875" s="464"/>
      <c r="G5875" s="510"/>
      <c r="H5875" s="411"/>
      <c r="I5875" s="411"/>
      <c r="J5875" s="750" t="e">
        <f t="shared" si="74"/>
        <v>#DIV/0!</v>
      </c>
      <c r="K5875" s="412"/>
      <c r="L5875" s="412"/>
      <c r="M5875" s="682"/>
      <c r="N5875" s="171"/>
      <c r="O5875" s="171"/>
      <c r="P5875" s="171"/>
      <c r="Q5875" s="171"/>
      <c r="R5875" s="171"/>
      <c r="S5875" s="171"/>
      <c r="T5875" s="171"/>
      <c r="U5875" s="171"/>
      <c r="V5875" s="171"/>
      <c r="W5875" s="171"/>
      <c r="X5875" s="171"/>
      <c r="Y5875" s="171"/>
      <c r="Z5875" s="171"/>
      <c r="AA5875" s="171"/>
    </row>
    <row r="5876" spans="1:27" s="530" customFormat="1" hidden="1" x14ac:dyDescent="0.2">
      <c r="A5876" s="526"/>
      <c r="B5876" s="527"/>
      <c r="C5876" s="534"/>
      <c r="D5876" s="535"/>
      <c r="E5876" s="535"/>
      <c r="F5876" s="464"/>
      <c r="G5876" s="510"/>
      <c r="H5876" s="411"/>
      <c r="I5876" s="411"/>
      <c r="J5876" s="750" t="e">
        <f t="shared" si="74"/>
        <v>#DIV/0!</v>
      </c>
      <c r="K5876" s="412"/>
      <c r="L5876" s="412"/>
      <c r="M5876" s="682"/>
      <c r="N5876" s="171"/>
      <c r="O5876" s="171"/>
      <c r="P5876" s="171"/>
      <c r="Q5876" s="171"/>
      <c r="R5876" s="171"/>
      <c r="S5876" s="171"/>
      <c r="T5876" s="171"/>
      <c r="U5876" s="171"/>
      <c r="V5876" s="171"/>
      <c r="W5876" s="171"/>
      <c r="X5876" s="171"/>
      <c r="Y5876" s="171"/>
      <c r="Z5876" s="171"/>
      <c r="AA5876" s="171"/>
    </row>
    <row r="5877" spans="1:27" s="530" customFormat="1" hidden="1" x14ac:dyDescent="0.2">
      <c r="A5877" s="526"/>
      <c r="B5877" s="527"/>
      <c r="C5877" s="534"/>
      <c r="D5877" s="535"/>
      <c r="E5877" s="535"/>
      <c r="F5877" s="464"/>
      <c r="G5877" s="510"/>
      <c r="H5877" s="411"/>
      <c r="I5877" s="411"/>
      <c r="J5877" s="750" t="e">
        <f t="shared" si="74"/>
        <v>#DIV/0!</v>
      </c>
      <c r="K5877" s="412"/>
      <c r="L5877" s="412"/>
      <c r="M5877" s="682"/>
      <c r="N5877" s="171"/>
      <c r="O5877" s="171"/>
      <c r="P5877" s="171"/>
      <c r="Q5877" s="171"/>
      <c r="R5877" s="171"/>
      <c r="S5877" s="171"/>
      <c r="T5877" s="171"/>
      <c r="U5877" s="171"/>
      <c r="V5877" s="171"/>
      <c r="W5877" s="171"/>
      <c r="X5877" s="171"/>
      <c r="Y5877" s="171"/>
      <c r="Z5877" s="171"/>
      <c r="AA5877" s="171"/>
    </row>
    <row r="5878" spans="1:27" s="530" customFormat="1" hidden="1" x14ac:dyDescent="0.2">
      <c r="A5878" s="526"/>
      <c r="B5878" s="527"/>
      <c r="C5878" s="534"/>
      <c r="D5878" s="535"/>
      <c r="E5878" s="535"/>
      <c r="F5878" s="464"/>
      <c r="G5878" s="510"/>
      <c r="H5878" s="411"/>
      <c r="I5878" s="411"/>
      <c r="J5878" s="750" t="e">
        <f t="shared" si="74"/>
        <v>#DIV/0!</v>
      </c>
      <c r="K5878" s="412"/>
      <c r="L5878" s="412"/>
      <c r="M5878" s="682"/>
      <c r="N5878" s="171"/>
      <c r="O5878" s="171"/>
      <c r="P5878" s="171"/>
      <c r="Q5878" s="171"/>
      <c r="R5878" s="171"/>
      <c r="S5878" s="171"/>
      <c r="T5878" s="171"/>
      <c r="U5878" s="171"/>
      <c r="V5878" s="171"/>
      <c r="W5878" s="171"/>
      <c r="X5878" s="171"/>
      <c r="Y5878" s="171"/>
      <c r="Z5878" s="171"/>
      <c r="AA5878" s="171"/>
    </row>
    <row r="5879" spans="1:27" s="530" customFormat="1" hidden="1" x14ac:dyDescent="0.2">
      <c r="A5879" s="526"/>
      <c r="B5879" s="527"/>
      <c r="C5879" s="534"/>
      <c r="D5879" s="535"/>
      <c r="E5879" s="535"/>
      <c r="F5879" s="464"/>
      <c r="G5879" s="510"/>
      <c r="H5879" s="411"/>
      <c r="I5879" s="411"/>
      <c r="J5879" s="750" t="e">
        <f t="shared" si="74"/>
        <v>#DIV/0!</v>
      </c>
      <c r="K5879" s="412"/>
      <c r="L5879" s="412"/>
      <c r="M5879" s="682"/>
      <c r="N5879" s="171"/>
      <c r="O5879" s="171"/>
      <c r="P5879" s="171"/>
      <c r="Q5879" s="171"/>
      <c r="R5879" s="171"/>
      <c r="S5879" s="171"/>
      <c r="T5879" s="171"/>
      <c r="U5879" s="171"/>
      <c r="V5879" s="171"/>
      <c r="W5879" s="171"/>
      <c r="X5879" s="171"/>
      <c r="Y5879" s="171"/>
      <c r="Z5879" s="171"/>
      <c r="AA5879" s="171"/>
    </row>
    <row r="5880" spans="1:27" s="530" customFormat="1" hidden="1" x14ac:dyDescent="0.2">
      <c r="A5880" s="526"/>
      <c r="B5880" s="527"/>
      <c r="C5880" s="534"/>
      <c r="D5880" s="535"/>
      <c r="E5880" s="535"/>
      <c r="F5880" s="464"/>
      <c r="G5880" s="510"/>
      <c r="H5880" s="411"/>
      <c r="I5880" s="411"/>
      <c r="J5880" s="750" t="e">
        <f t="shared" si="74"/>
        <v>#DIV/0!</v>
      </c>
      <c r="K5880" s="412"/>
      <c r="L5880" s="412"/>
      <c r="M5880" s="682"/>
      <c r="N5880" s="171"/>
      <c r="O5880" s="171"/>
      <c r="P5880" s="171"/>
      <c r="Q5880" s="171"/>
      <c r="R5880" s="171"/>
      <c r="S5880" s="171"/>
      <c r="T5880" s="171"/>
      <c r="U5880" s="171"/>
      <c r="V5880" s="171"/>
      <c r="W5880" s="171"/>
      <c r="X5880" s="171"/>
      <c r="Y5880" s="171"/>
      <c r="Z5880" s="171"/>
      <c r="AA5880" s="171"/>
    </row>
    <row r="5881" spans="1:27" s="530" customFormat="1" hidden="1" x14ac:dyDescent="0.2">
      <c r="A5881" s="526"/>
      <c r="B5881" s="527"/>
      <c r="C5881" s="534"/>
      <c r="D5881" s="535"/>
      <c r="E5881" s="535"/>
      <c r="F5881" s="464"/>
      <c r="G5881" s="510"/>
      <c r="H5881" s="411"/>
      <c r="I5881" s="411"/>
      <c r="J5881" s="750" t="e">
        <f t="shared" si="74"/>
        <v>#DIV/0!</v>
      </c>
      <c r="K5881" s="412"/>
      <c r="L5881" s="412"/>
      <c r="M5881" s="682"/>
      <c r="N5881" s="171"/>
      <c r="O5881" s="171"/>
      <c r="P5881" s="171"/>
      <c r="Q5881" s="171"/>
      <c r="R5881" s="171"/>
      <c r="S5881" s="171"/>
      <c r="T5881" s="171"/>
      <c r="U5881" s="171"/>
      <c r="V5881" s="171"/>
      <c r="W5881" s="171"/>
      <c r="X5881" s="171"/>
      <c r="Y5881" s="171"/>
      <c r="Z5881" s="171"/>
      <c r="AA5881" s="171"/>
    </row>
    <row r="5882" spans="1:27" s="530" customFormat="1" hidden="1" x14ac:dyDescent="0.2">
      <c r="A5882" s="526"/>
      <c r="B5882" s="527"/>
      <c r="C5882" s="534"/>
      <c r="D5882" s="535"/>
      <c r="E5882" s="535"/>
      <c r="F5882" s="464"/>
      <c r="G5882" s="510"/>
      <c r="H5882" s="411"/>
      <c r="I5882" s="411"/>
      <c r="J5882" s="750" t="e">
        <f t="shared" si="74"/>
        <v>#DIV/0!</v>
      </c>
      <c r="K5882" s="412"/>
      <c r="L5882" s="412"/>
      <c r="M5882" s="682"/>
      <c r="N5882" s="171"/>
      <c r="O5882" s="171"/>
      <c r="P5882" s="171"/>
      <c r="Q5882" s="171"/>
      <c r="R5882" s="171"/>
      <c r="S5882" s="171"/>
      <c r="T5882" s="171"/>
      <c r="U5882" s="171"/>
      <c r="V5882" s="171"/>
      <c r="W5882" s="171"/>
      <c r="X5882" s="171"/>
      <c r="Y5882" s="171"/>
      <c r="Z5882" s="171"/>
      <c r="AA5882" s="171"/>
    </row>
    <row r="5883" spans="1:27" s="530" customFormat="1" hidden="1" x14ac:dyDescent="0.2">
      <c r="A5883" s="526"/>
      <c r="B5883" s="527"/>
      <c r="C5883" s="534"/>
      <c r="D5883" s="535"/>
      <c r="E5883" s="535"/>
      <c r="F5883" s="464"/>
      <c r="G5883" s="510"/>
      <c r="H5883" s="411"/>
      <c r="I5883" s="411"/>
      <c r="J5883" s="750" t="e">
        <f t="shared" si="74"/>
        <v>#DIV/0!</v>
      </c>
      <c r="K5883" s="412"/>
      <c r="L5883" s="412"/>
      <c r="M5883" s="682"/>
      <c r="N5883" s="171"/>
      <c r="O5883" s="171"/>
      <c r="P5883" s="171"/>
      <c r="Q5883" s="171"/>
      <c r="R5883" s="171"/>
      <c r="S5883" s="171"/>
      <c r="T5883" s="171"/>
      <c r="U5883" s="171"/>
      <c r="V5883" s="171"/>
      <c r="W5883" s="171"/>
      <c r="X5883" s="171"/>
      <c r="Y5883" s="171"/>
      <c r="Z5883" s="171"/>
      <c r="AA5883" s="171"/>
    </row>
    <row r="5884" spans="1:27" s="530" customFormat="1" hidden="1" x14ac:dyDescent="0.2">
      <c r="A5884" s="526"/>
      <c r="B5884" s="527"/>
      <c r="C5884" s="534"/>
      <c r="D5884" s="535"/>
      <c r="E5884" s="535"/>
      <c r="F5884" s="464"/>
      <c r="G5884" s="510"/>
      <c r="H5884" s="411"/>
      <c r="I5884" s="411"/>
      <c r="J5884" s="750" t="e">
        <f t="shared" si="74"/>
        <v>#DIV/0!</v>
      </c>
      <c r="K5884" s="412"/>
      <c r="L5884" s="412"/>
      <c r="M5884" s="682"/>
      <c r="N5884" s="171"/>
      <c r="O5884" s="171"/>
      <c r="P5884" s="171"/>
      <c r="Q5884" s="171"/>
      <c r="R5884" s="171"/>
      <c r="S5884" s="171"/>
      <c r="T5884" s="171"/>
      <c r="U5884" s="171"/>
      <c r="V5884" s="171"/>
      <c r="W5884" s="171"/>
      <c r="X5884" s="171"/>
      <c r="Y5884" s="171"/>
      <c r="Z5884" s="171"/>
      <c r="AA5884" s="171"/>
    </row>
    <row r="5885" spans="1:27" s="530" customFormat="1" hidden="1" x14ac:dyDescent="0.2">
      <c r="A5885" s="526"/>
      <c r="B5885" s="527"/>
      <c r="C5885" s="534"/>
      <c r="D5885" s="535"/>
      <c r="E5885" s="535"/>
      <c r="F5885" s="464"/>
      <c r="G5885" s="510"/>
      <c r="H5885" s="411"/>
      <c r="I5885" s="411"/>
      <c r="J5885" s="750" t="e">
        <f t="shared" si="74"/>
        <v>#DIV/0!</v>
      </c>
      <c r="K5885" s="412"/>
      <c r="L5885" s="412"/>
      <c r="M5885" s="682"/>
      <c r="N5885" s="171"/>
      <c r="O5885" s="171"/>
      <c r="P5885" s="171"/>
      <c r="Q5885" s="171"/>
      <c r="R5885" s="171"/>
      <c r="S5885" s="171"/>
      <c r="T5885" s="171"/>
      <c r="U5885" s="171"/>
      <c r="V5885" s="171"/>
      <c r="W5885" s="171"/>
      <c r="X5885" s="171"/>
      <c r="Y5885" s="171"/>
      <c r="Z5885" s="171"/>
      <c r="AA5885" s="171"/>
    </row>
    <row r="5886" spans="1:27" s="530" customFormat="1" hidden="1" x14ac:dyDescent="0.2">
      <c r="A5886" s="526"/>
      <c r="B5886" s="527"/>
      <c r="C5886" s="534"/>
      <c r="D5886" s="535"/>
      <c r="E5886" s="535"/>
      <c r="F5886" s="464"/>
      <c r="G5886" s="510"/>
      <c r="H5886" s="411"/>
      <c r="I5886" s="411"/>
      <c r="J5886" s="750" t="e">
        <f t="shared" si="74"/>
        <v>#DIV/0!</v>
      </c>
      <c r="K5886" s="412"/>
      <c r="L5886" s="412"/>
      <c r="M5886" s="682"/>
      <c r="N5886" s="171"/>
      <c r="O5886" s="171"/>
      <c r="P5886" s="171"/>
      <c r="Q5886" s="171"/>
      <c r="R5886" s="171"/>
      <c r="S5886" s="171"/>
      <c r="T5886" s="171"/>
      <c r="U5886" s="171"/>
      <c r="V5886" s="171"/>
      <c r="W5886" s="171"/>
      <c r="X5886" s="171"/>
      <c r="Y5886" s="171"/>
      <c r="Z5886" s="171"/>
      <c r="AA5886" s="171"/>
    </row>
    <row r="5887" spans="1:27" s="530" customFormat="1" hidden="1" x14ac:dyDescent="0.2">
      <c r="A5887" s="526"/>
      <c r="B5887" s="527"/>
      <c r="C5887" s="534"/>
      <c r="D5887" s="535"/>
      <c r="E5887" s="535"/>
      <c r="F5887" s="464"/>
      <c r="G5887" s="510"/>
      <c r="H5887" s="411"/>
      <c r="I5887" s="411"/>
      <c r="J5887" s="750" t="e">
        <f t="shared" si="74"/>
        <v>#DIV/0!</v>
      </c>
      <c r="K5887" s="412"/>
      <c r="L5887" s="412"/>
      <c r="M5887" s="682"/>
      <c r="N5887" s="171"/>
      <c r="O5887" s="171"/>
      <c r="P5887" s="171"/>
      <c r="Q5887" s="171"/>
      <c r="R5887" s="171"/>
      <c r="S5887" s="171"/>
      <c r="T5887" s="171"/>
      <c r="U5887" s="171"/>
      <c r="V5887" s="171"/>
      <c r="W5887" s="171"/>
      <c r="X5887" s="171"/>
      <c r="Y5887" s="171"/>
      <c r="Z5887" s="171"/>
      <c r="AA5887" s="171"/>
    </row>
    <row r="5888" spans="1:27" s="530" customFormat="1" hidden="1" x14ac:dyDescent="0.2">
      <c r="A5888" s="526"/>
      <c r="B5888" s="527"/>
      <c r="C5888" s="534"/>
      <c r="D5888" s="535"/>
      <c r="E5888" s="535"/>
      <c r="F5888" s="464"/>
      <c r="G5888" s="510"/>
      <c r="H5888" s="411"/>
      <c r="I5888" s="411"/>
      <c r="J5888" s="750" t="e">
        <f t="shared" si="74"/>
        <v>#DIV/0!</v>
      </c>
      <c r="K5888" s="412"/>
      <c r="L5888" s="412"/>
      <c r="M5888" s="682"/>
      <c r="N5888" s="171"/>
      <c r="O5888" s="171"/>
      <c r="P5888" s="171"/>
      <c r="Q5888" s="171"/>
      <c r="R5888" s="171"/>
      <c r="S5888" s="171"/>
      <c r="T5888" s="171"/>
      <c r="U5888" s="171"/>
      <c r="V5888" s="171"/>
      <c r="W5888" s="171"/>
      <c r="X5888" s="171"/>
      <c r="Y5888" s="171"/>
      <c r="Z5888" s="171"/>
      <c r="AA5888" s="171"/>
    </row>
    <row r="5889" spans="1:27" s="530" customFormat="1" hidden="1" x14ac:dyDescent="0.2">
      <c r="A5889" s="526"/>
      <c r="B5889" s="527"/>
      <c r="C5889" s="534"/>
      <c r="D5889" s="535"/>
      <c r="E5889" s="535"/>
      <c r="F5889" s="464"/>
      <c r="G5889" s="510"/>
      <c r="H5889" s="411"/>
      <c r="I5889" s="411"/>
      <c r="J5889" s="750" t="e">
        <f t="shared" si="74"/>
        <v>#DIV/0!</v>
      </c>
      <c r="K5889" s="412"/>
      <c r="L5889" s="412"/>
      <c r="M5889" s="682"/>
      <c r="N5889" s="171"/>
      <c r="O5889" s="171"/>
      <c r="P5889" s="171"/>
      <c r="Q5889" s="171"/>
      <c r="R5889" s="171"/>
      <c r="S5889" s="171"/>
      <c r="T5889" s="171"/>
      <c r="U5889" s="171"/>
      <c r="V5889" s="171"/>
      <c r="W5889" s="171"/>
      <c r="X5889" s="171"/>
      <c r="Y5889" s="171"/>
      <c r="Z5889" s="171"/>
      <c r="AA5889" s="171"/>
    </row>
    <row r="5890" spans="1:27" s="530" customFormat="1" hidden="1" x14ac:dyDescent="0.2">
      <c r="A5890" s="526"/>
      <c r="B5890" s="527"/>
      <c r="C5890" s="534"/>
      <c r="D5890" s="535"/>
      <c r="E5890" s="535"/>
      <c r="F5890" s="464"/>
      <c r="G5890" s="510"/>
      <c r="H5890" s="411"/>
      <c r="I5890" s="411"/>
      <c r="J5890" s="750" t="e">
        <f t="shared" si="74"/>
        <v>#DIV/0!</v>
      </c>
      <c r="K5890" s="412"/>
      <c r="L5890" s="412"/>
      <c r="M5890" s="682"/>
      <c r="N5890" s="171"/>
      <c r="O5890" s="171"/>
      <c r="P5890" s="171"/>
      <c r="Q5890" s="171"/>
      <c r="R5890" s="171"/>
      <c r="S5890" s="171"/>
      <c r="T5890" s="171"/>
      <c r="U5890" s="171"/>
      <c r="V5890" s="171"/>
      <c r="W5890" s="171"/>
      <c r="X5890" s="171"/>
      <c r="Y5890" s="171"/>
      <c r="Z5890" s="171"/>
      <c r="AA5890" s="171"/>
    </row>
    <row r="5891" spans="1:27" s="530" customFormat="1" hidden="1" x14ac:dyDescent="0.2">
      <c r="A5891" s="526"/>
      <c r="B5891" s="527"/>
      <c r="C5891" s="534"/>
      <c r="D5891" s="535"/>
      <c r="E5891" s="535"/>
      <c r="F5891" s="464"/>
      <c r="G5891" s="510"/>
      <c r="H5891" s="411"/>
      <c r="I5891" s="411"/>
      <c r="J5891" s="750" t="e">
        <f t="shared" si="74"/>
        <v>#DIV/0!</v>
      </c>
      <c r="K5891" s="412"/>
      <c r="L5891" s="412"/>
      <c r="M5891" s="682"/>
      <c r="N5891" s="171"/>
      <c r="O5891" s="171"/>
      <c r="P5891" s="171"/>
      <c r="Q5891" s="171"/>
      <c r="R5891" s="171"/>
      <c r="S5891" s="171"/>
      <c r="T5891" s="171"/>
      <c r="U5891" s="171"/>
      <c r="V5891" s="171"/>
      <c r="W5891" s="171"/>
      <c r="X5891" s="171"/>
      <c r="Y5891" s="171"/>
      <c r="Z5891" s="171"/>
      <c r="AA5891" s="171"/>
    </row>
    <row r="5892" spans="1:27" s="530" customFormat="1" hidden="1" x14ac:dyDescent="0.2">
      <c r="A5892" s="526"/>
      <c r="B5892" s="527"/>
      <c r="C5892" s="534"/>
      <c r="D5892" s="535"/>
      <c r="E5892" s="535"/>
      <c r="F5892" s="464"/>
      <c r="G5892" s="510"/>
      <c r="H5892" s="411"/>
      <c r="I5892" s="411"/>
      <c r="J5892" s="750" t="e">
        <f t="shared" si="74"/>
        <v>#DIV/0!</v>
      </c>
      <c r="K5892" s="412"/>
      <c r="L5892" s="412"/>
      <c r="M5892" s="682"/>
      <c r="N5892" s="171"/>
      <c r="O5892" s="171"/>
      <c r="P5892" s="171"/>
      <c r="Q5892" s="171"/>
      <c r="R5892" s="171"/>
      <c r="S5892" s="171"/>
      <c r="T5892" s="171"/>
      <c r="U5892" s="171"/>
      <c r="V5892" s="171"/>
      <c r="W5892" s="171"/>
      <c r="X5892" s="171"/>
      <c r="Y5892" s="171"/>
      <c r="Z5892" s="171"/>
      <c r="AA5892" s="171"/>
    </row>
    <row r="5893" spans="1:27" s="530" customFormat="1" hidden="1" x14ac:dyDescent="0.2">
      <c r="A5893" s="526"/>
      <c r="B5893" s="527"/>
      <c r="C5893" s="534"/>
      <c r="D5893" s="535"/>
      <c r="E5893" s="535"/>
      <c r="F5893" s="464"/>
      <c r="G5893" s="510"/>
      <c r="H5893" s="411"/>
      <c r="I5893" s="411"/>
      <c r="J5893" s="750" t="e">
        <f t="shared" si="74"/>
        <v>#DIV/0!</v>
      </c>
      <c r="K5893" s="412"/>
      <c r="L5893" s="412"/>
      <c r="M5893" s="682"/>
      <c r="N5893" s="171"/>
      <c r="O5893" s="171"/>
      <c r="P5893" s="171"/>
      <c r="Q5893" s="171"/>
      <c r="R5893" s="171"/>
      <c r="S5893" s="171"/>
      <c r="T5893" s="171"/>
      <c r="U5893" s="171"/>
      <c r="V5893" s="171"/>
      <c r="W5893" s="171"/>
      <c r="X5893" s="171"/>
      <c r="Y5893" s="171"/>
      <c r="Z5893" s="171"/>
      <c r="AA5893" s="171"/>
    </row>
    <row r="5894" spans="1:27" s="530" customFormat="1" hidden="1" x14ac:dyDescent="0.2">
      <c r="A5894" s="526"/>
      <c r="B5894" s="527"/>
      <c r="C5894" s="534"/>
      <c r="D5894" s="535"/>
      <c r="E5894" s="535"/>
      <c r="F5894" s="464"/>
      <c r="G5894" s="510"/>
      <c r="H5894" s="411"/>
      <c r="I5894" s="411"/>
      <c r="J5894" s="750" t="e">
        <f t="shared" si="74"/>
        <v>#DIV/0!</v>
      </c>
      <c r="K5894" s="412"/>
      <c r="L5894" s="412"/>
      <c r="M5894" s="682"/>
      <c r="N5894" s="171"/>
      <c r="O5894" s="171"/>
      <c r="P5894" s="171"/>
      <c r="Q5894" s="171"/>
      <c r="R5894" s="171"/>
      <c r="S5894" s="171"/>
      <c r="T5894" s="171"/>
      <c r="U5894" s="171"/>
      <c r="V5894" s="171"/>
      <c r="W5894" s="171"/>
      <c r="X5894" s="171"/>
      <c r="Y5894" s="171"/>
      <c r="Z5894" s="171"/>
      <c r="AA5894" s="171"/>
    </row>
    <row r="5895" spans="1:27" s="530" customFormat="1" hidden="1" x14ac:dyDescent="0.2">
      <c r="A5895" s="526"/>
      <c r="B5895" s="527"/>
      <c r="C5895" s="534"/>
      <c r="D5895" s="535"/>
      <c r="E5895" s="535"/>
      <c r="F5895" s="464"/>
      <c r="G5895" s="510"/>
      <c r="H5895" s="411"/>
      <c r="I5895" s="411"/>
      <c r="J5895" s="750" t="e">
        <f t="shared" si="74"/>
        <v>#DIV/0!</v>
      </c>
      <c r="K5895" s="412"/>
      <c r="L5895" s="412"/>
      <c r="M5895" s="682"/>
      <c r="N5895" s="171"/>
      <c r="O5895" s="171"/>
      <c r="P5895" s="171"/>
      <c r="Q5895" s="171"/>
      <c r="R5895" s="171"/>
      <c r="S5895" s="171"/>
      <c r="T5895" s="171"/>
      <c r="U5895" s="171"/>
      <c r="V5895" s="171"/>
      <c r="W5895" s="171"/>
      <c r="X5895" s="171"/>
      <c r="Y5895" s="171"/>
      <c r="Z5895" s="171"/>
      <c r="AA5895" s="171"/>
    </row>
    <row r="5896" spans="1:27" s="530" customFormat="1" hidden="1" x14ac:dyDescent="0.2">
      <c r="A5896" s="526"/>
      <c r="B5896" s="527"/>
      <c r="C5896" s="534"/>
      <c r="D5896" s="535"/>
      <c r="E5896" s="535"/>
      <c r="F5896" s="464"/>
      <c r="G5896" s="510"/>
      <c r="H5896" s="411"/>
      <c r="I5896" s="411"/>
      <c r="J5896" s="750" t="e">
        <f t="shared" si="74"/>
        <v>#DIV/0!</v>
      </c>
      <c r="K5896" s="412"/>
      <c r="L5896" s="412"/>
      <c r="M5896" s="682"/>
      <c r="N5896" s="171"/>
      <c r="O5896" s="171"/>
      <c r="P5896" s="171"/>
      <c r="Q5896" s="171"/>
      <c r="R5896" s="171"/>
      <c r="S5896" s="171"/>
      <c r="T5896" s="171"/>
      <c r="U5896" s="171"/>
      <c r="V5896" s="171"/>
      <c r="W5896" s="171"/>
      <c r="X5896" s="171"/>
      <c r="Y5896" s="171"/>
      <c r="Z5896" s="171"/>
      <c r="AA5896" s="171"/>
    </row>
    <row r="5897" spans="1:27" s="530" customFormat="1" hidden="1" x14ac:dyDescent="0.2">
      <c r="A5897" s="526"/>
      <c r="B5897" s="527"/>
      <c r="C5897" s="534"/>
      <c r="D5897" s="535"/>
      <c r="E5897" s="535"/>
      <c r="F5897" s="464"/>
      <c r="G5897" s="510"/>
      <c r="H5897" s="411"/>
      <c r="I5897" s="411"/>
      <c r="J5897" s="750" t="e">
        <f t="shared" si="74"/>
        <v>#DIV/0!</v>
      </c>
      <c r="K5897" s="412"/>
      <c r="L5897" s="412"/>
      <c r="M5897" s="682"/>
      <c r="N5897" s="171"/>
      <c r="O5897" s="171"/>
      <c r="P5897" s="171"/>
      <c r="Q5897" s="171"/>
      <c r="R5897" s="171"/>
      <c r="S5897" s="171"/>
      <c r="T5897" s="171"/>
      <c r="U5897" s="171"/>
      <c r="V5897" s="171"/>
      <c r="W5897" s="171"/>
      <c r="X5897" s="171"/>
      <c r="Y5897" s="171"/>
      <c r="Z5897" s="171"/>
      <c r="AA5897" s="171"/>
    </row>
    <row r="5898" spans="1:27" s="530" customFormat="1" hidden="1" x14ac:dyDescent="0.2">
      <c r="A5898" s="526"/>
      <c r="B5898" s="527"/>
      <c r="C5898" s="534"/>
      <c r="D5898" s="535"/>
      <c r="E5898" s="535"/>
      <c r="F5898" s="464"/>
      <c r="G5898" s="510"/>
      <c r="H5898" s="411"/>
      <c r="I5898" s="411"/>
      <c r="J5898" s="750" t="e">
        <f t="shared" si="74"/>
        <v>#DIV/0!</v>
      </c>
      <c r="K5898" s="412"/>
      <c r="L5898" s="412"/>
      <c r="M5898" s="682"/>
      <c r="N5898" s="171"/>
      <c r="O5898" s="171"/>
      <c r="P5898" s="171"/>
      <c r="Q5898" s="171"/>
      <c r="R5898" s="171"/>
      <c r="S5898" s="171"/>
      <c r="T5898" s="171"/>
      <c r="U5898" s="171"/>
      <c r="V5898" s="171"/>
      <c r="W5898" s="171"/>
      <c r="X5898" s="171"/>
      <c r="Y5898" s="171"/>
      <c r="Z5898" s="171"/>
      <c r="AA5898" s="171"/>
    </row>
    <row r="5899" spans="1:27" s="530" customFormat="1" hidden="1" x14ac:dyDescent="0.2">
      <c r="A5899" s="526"/>
      <c r="B5899" s="527"/>
      <c r="C5899" s="534"/>
      <c r="D5899" s="535"/>
      <c r="E5899" s="535"/>
      <c r="F5899" s="464"/>
      <c r="G5899" s="510"/>
      <c r="H5899" s="411"/>
      <c r="I5899" s="411"/>
      <c r="J5899" s="750" t="e">
        <f t="shared" si="74"/>
        <v>#DIV/0!</v>
      </c>
      <c r="K5899" s="412"/>
      <c r="L5899" s="412"/>
      <c r="M5899" s="682"/>
      <c r="N5899" s="171"/>
      <c r="O5899" s="171"/>
      <c r="P5899" s="171"/>
      <c r="Q5899" s="171"/>
      <c r="R5899" s="171"/>
      <c r="S5899" s="171"/>
      <c r="T5899" s="171"/>
      <c r="U5899" s="171"/>
      <c r="V5899" s="171"/>
      <c r="W5899" s="171"/>
      <c r="X5899" s="171"/>
      <c r="Y5899" s="171"/>
      <c r="Z5899" s="171"/>
      <c r="AA5899" s="171"/>
    </row>
    <row r="5900" spans="1:27" s="530" customFormat="1" hidden="1" x14ac:dyDescent="0.2">
      <c r="A5900" s="526"/>
      <c r="B5900" s="527"/>
      <c r="C5900" s="534"/>
      <c r="D5900" s="535"/>
      <c r="E5900" s="535"/>
      <c r="F5900" s="464"/>
      <c r="G5900" s="510"/>
      <c r="H5900" s="411"/>
      <c r="I5900" s="411"/>
      <c r="J5900" s="750" t="e">
        <f t="shared" si="74"/>
        <v>#DIV/0!</v>
      </c>
      <c r="K5900" s="412"/>
      <c r="L5900" s="412"/>
      <c r="M5900" s="682"/>
      <c r="N5900" s="171"/>
      <c r="O5900" s="171"/>
      <c r="P5900" s="171"/>
      <c r="Q5900" s="171"/>
      <c r="R5900" s="171"/>
      <c r="S5900" s="171"/>
      <c r="T5900" s="171"/>
      <c r="U5900" s="171"/>
      <c r="V5900" s="171"/>
      <c r="W5900" s="171"/>
      <c r="X5900" s="171"/>
      <c r="Y5900" s="171"/>
      <c r="Z5900" s="171"/>
      <c r="AA5900" s="171"/>
    </row>
    <row r="5901" spans="1:27" s="530" customFormat="1" hidden="1" x14ac:dyDescent="0.2">
      <c r="A5901" s="526"/>
      <c r="B5901" s="527"/>
      <c r="C5901" s="534"/>
      <c r="D5901" s="535"/>
      <c r="E5901" s="535"/>
      <c r="F5901" s="464"/>
      <c r="G5901" s="510"/>
      <c r="H5901" s="411"/>
      <c r="I5901" s="411"/>
      <c r="J5901" s="750" t="e">
        <f t="shared" ref="J5901:J5922" si="75">SUM(I5901/H5901)*100</f>
        <v>#DIV/0!</v>
      </c>
      <c r="K5901" s="412"/>
      <c r="L5901" s="412"/>
      <c r="M5901" s="682"/>
      <c r="N5901" s="171"/>
      <c r="O5901" s="171"/>
      <c r="P5901" s="171"/>
      <c r="Q5901" s="171"/>
      <c r="R5901" s="171"/>
      <c r="S5901" s="171"/>
      <c r="T5901" s="171"/>
      <c r="U5901" s="171"/>
      <c r="V5901" s="171"/>
      <c r="W5901" s="171"/>
      <c r="X5901" s="171"/>
      <c r="Y5901" s="171"/>
      <c r="Z5901" s="171"/>
      <c r="AA5901" s="171"/>
    </row>
    <row r="5902" spans="1:27" s="530" customFormat="1" hidden="1" x14ac:dyDescent="0.2">
      <c r="A5902" s="526"/>
      <c r="B5902" s="527"/>
      <c r="C5902" s="534"/>
      <c r="D5902" s="535"/>
      <c r="E5902" s="535"/>
      <c r="F5902" s="464"/>
      <c r="G5902" s="510"/>
      <c r="H5902" s="411"/>
      <c r="I5902" s="411"/>
      <c r="J5902" s="750" t="e">
        <f t="shared" si="75"/>
        <v>#DIV/0!</v>
      </c>
      <c r="K5902" s="412"/>
      <c r="L5902" s="412"/>
      <c r="M5902" s="682"/>
      <c r="N5902" s="171"/>
      <c r="O5902" s="171"/>
      <c r="P5902" s="171"/>
      <c r="Q5902" s="171"/>
      <c r="R5902" s="171"/>
      <c r="S5902" s="171"/>
      <c r="T5902" s="171"/>
      <c r="U5902" s="171"/>
      <c r="V5902" s="171"/>
      <c r="W5902" s="171"/>
      <c r="X5902" s="171"/>
      <c r="Y5902" s="171"/>
      <c r="Z5902" s="171"/>
      <c r="AA5902" s="171"/>
    </row>
    <row r="5903" spans="1:27" s="530" customFormat="1" hidden="1" x14ac:dyDescent="0.2">
      <c r="A5903" s="526"/>
      <c r="B5903" s="527"/>
      <c r="C5903" s="534"/>
      <c r="D5903" s="535"/>
      <c r="E5903" s="535"/>
      <c r="F5903" s="464"/>
      <c r="G5903" s="510"/>
      <c r="H5903" s="411"/>
      <c r="I5903" s="411"/>
      <c r="J5903" s="750" t="e">
        <f t="shared" si="75"/>
        <v>#DIV/0!</v>
      </c>
      <c r="K5903" s="412"/>
      <c r="L5903" s="412"/>
      <c r="M5903" s="682"/>
      <c r="N5903" s="171"/>
      <c r="O5903" s="171"/>
      <c r="P5903" s="171"/>
      <c r="Q5903" s="171"/>
      <c r="R5903" s="171"/>
      <c r="S5903" s="171"/>
      <c r="T5903" s="171"/>
      <c r="U5903" s="171"/>
      <c r="V5903" s="171"/>
      <c r="W5903" s="171"/>
      <c r="X5903" s="171"/>
      <c r="Y5903" s="171"/>
      <c r="Z5903" s="171"/>
      <c r="AA5903" s="171"/>
    </row>
    <row r="5904" spans="1:27" s="530" customFormat="1" hidden="1" x14ac:dyDescent="0.2">
      <c r="A5904" s="526"/>
      <c r="B5904" s="527"/>
      <c r="C5904" s="534"/>
      <c r="D5904" s="535"/>
      <c r="E5904" s="535"/>
      <c r="F5904" s="464"/>
      <c r="G5904" s="510"/>
      <c r="H5904" s="411"/>
      <c r="I5904" s="411"/>
      <c r="J5904" s="750" t="e">
        <f t="shared" si="75"/>
        <v>#DIV/0!</v>
      </c>
      <c r="K5904" s="412"/>
      <c r="L5904" s="412"/>
      <c r="M5904" s="682"/>
      <c r="N5904" s="171"/>
      <c r="O5904" s="171"/>
      <c r="P5904" s="171"/>
      <c r="Q5904" s="171"/>
      <c r="R5904" s="171"/>
      <c r="S5904" s="171"/>
      <c r="T5904" s="171"/>
      <c r="U5904" s="171"/>
      <c r="V5904" s="171"/>
      <c r="W5904" s="171"/>
      <c r="X5904" s="171"/>
      <c r="Y5904" s="171"/>
      <c r="Z5904" s="171"/>
      <c r="AA5904" s="171"/>
    </row>
    <row r="5905" spans="1:27" s="530" customFormat="1" hidden="1" x14ac:dyDescent="0.2">
      <c r="A5905" s="526"/>
      <c r="B5905" s="527"/>
      <c r="C5905" s="534"/>
      <c r="D5905" s="535"/>
      <c r="E5905" s="535"/>
      <c r="F5905" s="464"/>
      <c r="G5905" s="510"/>
      <c r="H5905" s="411"/>
      <c r="I5905" s="411"/>
      <c r="J5905" s="750" t="e">
        <f t="shared" si="75"/>
        <v>#DIV/0!</v>
      </c>
      <c r="K5905" s="412"/>
      <c r="L5905" s="412"/>
      <c r="M5905" s="682"/>
      <c r="N5905" s="171"/>
      <c r="O5905" s="171"/>
      <c r="P5905" s="171"/>
      <c r="Q5905" s="171"/>
      <c r="R5905" s="171"/>
      <c r="S5905" s="171"/>
      <c r="T5905" s="171"/>
      <c r="U5905" s="171"/>
      <c r="V5905" s="171"/>
      <c r="W5905" s="171"/>
      <c r="X5905" s="171"/>
      <c r="Y5905" s="171"/>
      <c r="Z5905" s="171"/>
      <c r="AA5905" s="171"/>
    </row>
    <row r="5906" spans="1:27" s="530" customFormat="1" hidden="1" x14ac:dyDescent="0.2">
      <c r="A5906" s="526"/>
      <c r="B5906" s="527"/>
      <c r="C5906" s="534"/>
      <c r="D5906" s="535"/>
      <c r="E5906" s="535"/>
      <c r="F5906" s="464"/>
      <c r="G5906" s="510"/>
      <c r="H5906" s="411"/>
      <c r="I5906" s="411"/>
      <c r="J5906" s="750" t="e">
        <f t="shared" si="75"/>
        <v>#DIV/0!</v>
      </c>
      <c r="K5906" s="412"/>
      <c r="L5906" s="412"/>
      <c r="M5906" s="682"/>
      <c r="N5906" s="171"/>
      <c r="O5906" s="171"/>
      <c r="P5906" s="171"/>
      <c r="Q5906" s="171"/>
      <c r="R5906" s="171"/>
      <c r="S5906" s="171"/>
      <c r="T5906" s="171"/>
      <c r="U5906" s="171"/>
      <c r="V5906" s="171"/>
      <c r="W5906" s="171"/>
      <c r="X5906" s="171"/>
      <c r="Y5906" s="171"/>
      <c r="Z5906" s="171"/>
      <c r="AA5906" s="171"/>
    </row>
    <row r="5907" spans="1:27" s="530" customFormat="1" hidden="1" x14ac:dyDescent="0.2">
      <c r="A5907" s="526"/>
      <c r="B5907" s="527"/>
      <c r="C5907" s="534"/>
      <c r="D5907" s="535"/>
      <c r="E5907" s="535"/>
      <c r="F5907" s="464"/>
      <c r="G5907" s="510"/>
      <c r="H5907" s="411"/>
      <c r="I5907" s="411"/>
      <c r="J5907" s="750" t="e">
        <f t="shared" si="75"/>
        <v>#DIV/0!</v>
      </c>
      <c r="K5907" s="412"/>
      <c r="L5907" s="412"/>
      <c r="M5907" s="682"/>
      <c r="N5907" s="171"/>
      <c r="O5907" s="171"/>
      <c r="P5907" s="171"/>
      <c r="Q5907" s="171"/>
      <c r="R5907" s="171"/>
      <c r="S5907" s="171"/>
      <c r="T5907" s="171"/>
      <c r="U5907" s="171"/>
      <c r="V5907" s="171"/>
      <c r="W5907" s="171"/>
      <c r="X5907" s="171"/>
      <c r="Y5907" s="171"/>
      <c r="Z5907" s="171"/>
      <c r="AA5907" s="171"/>
    </row>
    <row r="5908" spans="1:27" s="530" customFormat="1" hidden="1" x14ac:dyDescent="0.2">
      <c r="A5908" s="526"/>
      <c r="B5908" s="527"/>
      <c r="C5908" s="534"/>
      <c r="D5908" s="535"/>
      <c r="E5908" s="535"/>
      <c r="F5908" s="464"/>
      <c r="G5908" s="510"/>
      <c r="H5908" s="411"/>
      <c r="I5908" s="411"/>
      <c r="J5908" s="750" t="e">
        <f t="shared" si="75"/>
        <v>#DIV/0!</v>
      </c>
      <c r="K5908" s="412"/>
      <c r="L5908" s="412"/>
      <c r="M5908" s="682"/>
      <c r="N5908" s="171"/>
      <c r="O5908" s="171"/>
      <c r="P5908" s="171"/>
      <c r="Q5908" s="171"/>
      <c r="R5908" s="171"/>
      <c r="S5908" s="171"/>
      <c r="T5908" s="171"/>
      <c r="U5908" s="171"/>
      <c r="V5908" s="171"/>
      <c r="W5908" s="171"/>
      <c r="X5908" s="171"/>
      <c r="Y5908" s="171"/>
      <c r="Z5908" s="171"/>
      <c r="AA5908" s="171"/>
    </row>
    <row r="5909" spans="1:27" s="530" customFormat="1" hidden="1" x14ac:dyDescent="0.2">
      <c r="A5909" s="526"/>
      <c r="B5909" s="527"/>
      <c r="C5909" s="534"/>
      <c r="D5909" s="535"/>
      <c r="E5909" s="535"/>
      <c r="F5909" s="464"/>
      <c r="G5909" s="510"/>
      <c r="H5909" s="411"/>
      <c r="I5909" s="411"/>
      <c r="J5909" s="750" t="e">
        <f t="shared" si="75"/>
        <v>#DIV/0!</v>
      </c>
      <c r="K5909" s="412"/>
      <c r="L5909" s="412"/>
      <c r="M5909" s="682"/>
      <c r="N5909" s="171"/>
      <c r="O5909" s="171"/>
      <c r="P5909" s="171"/>
      <c r="Q5909" s="171"/>
      <c r="R5909" s="171"/>
      <c r="S5909" s="171"/>
      <c r="T5909" s="171"/>
      <c r="U5909" s="171"/>
      <c r="V5909" s="171"/>
      <c r="W5909" s="171"/>
      <c r="X5909" s="171"/>
      <c r="Y5909" s="171"/>
      <c r="Z5909" s="171"/>
      <c r="AA5909" s="171"/>
    </row>
    <row r="5910" spans="1:27" s="530" customFormat="1" hidden="1" x14ac:dyDescent="0.2">
      <c r="A5910" s="526"/>
      <c r="B5910" s="527"/>
      <c r="C5910" s="534"/>
      <c r="D5910" s="535"/>
      <c r="E5910" s="535"/>
      <c r="F5910" s="464"/>
      <c r="G5910" s="510"/>
      <c r="H5910" s="411"/>
      <c r="I5910" s="411"/>
      <c r="J5910" s="750" t="e">
        <f t="shared" si="75"/>
        <v>#DIV/0!</v>
      </c>
      <c r="K5910" s="412"/>
      <c r="L5910" s="412"/>
      <c r="M5910" s="682"/>
      <c r="N5910" s="171"/>
      <c r="O5910" s="171"/>
      <c r="P5910" s="171"/>
      <c r="Q5910" s="171"/>
      <c r="R5910" s="171"/>
      <c r="S5910" s="171"/>
      <c r="T5910" s="171"/>
      <c r="U5910" s="171"/>
      <c r="V5910" s="171"/>
      <c r="W5910" s="171"/>
      <c r="X5910" s="171"/>
      <c r="Y5910" s="171"/>
      <c r="Z5910" s="171"/>
      <c r="AA5910" s="171"/>
    </row>
    <row r="5911" spans="1:27" s="530" customFormat="1" hidden="1" x14ac:dyDescent="0.2">
      <c r="A5911" s="526"/>
      <c r="B5911" s="527"/>
      <c r="C5911" s="534"/>
      <c r="D5911" s="535"/>
      <c r="E5911" s="535"/>
      <c r="F5911" s="464"/>
      <c r="G5911" s="510"/>
      <c r="H5911" s="411"/>
      <c r="I5911" s="411"/>
      <c r="J5911" s="750" t="e">
        <f t="shared" si="75"/>
        <v>#DIV/0!</v>
      </c>
      <c r="K5911" s="412"/>
      <c r="L5911" s="412"/>
      <c r="M5911" s="682"/>
      <c r="N5911" s="171"/>
      <c r="O5911" s="171"/>
      <c r="P5911" s="171"/>
      <c r="Q5911" s="171"/>
      <c r="R5911" s="171"/>
      <c r="S5911" s="171"/>
      <c r="T5911" s="171"/>
      <c r="U5911" s="171"/>
      <c r="V5911" s="171"/>
      <c r="W5911" s="171"/>
      <c r="X5911" s="171"/>
      <c r="Y5911" s="171"/>
      <c r="Z5911" s="171"/>
      <c r="AA5911" s="171"/>
    </row>
    <row r="5912" spans="1:27" s="530" customFormat="1" hidden="1" x14ac:dyDescent="0.2">
      <c r="A5912" s="526"/>
      <c r="B5912" s="527"/>
      <c r="C5912" s="534"/>
      <c r="D5912" s="535"/>
      <c r="E5912" s="535"/>
      <c r="F5912" s="464"/>
      <c r="G5912" s="510"/>
      <c r="H5912" s="411"/>
      <c r="I5912" s="411"/>
      <c r="J5912" s="750" t="e">
        <f t="shared" si="75"/>
        <v>#DIV/0!</v>
      </c>
      <c r="K5912" s="412"/>
      <c r="L5912" s="412"/>
      <c r="M5912" s="682"/>
      <c r="N5912" s="171"/>
      <c r="O5912" s="171"/>
      <c r="P5912" s="171"/>
      <c r="Q5912" s="171"/>
      <c r="R5912" s="171"/>
      <c r="S5912" s="171"/>
      <c r="T5912" s="171"/>
      <c r="U5912" s="171"/>
      <c r="V5912" s="171"/>
      <c r="W5912" s="171"/>
      <c r="X5912" s="171"/>
      <c r="Y5912" s="171"/>
      <c r="Z5912" s="171"/>
      <c r="AA5912" s="171"/>
    </row>
    <row r="5913" spans="1:27" s="530" customFormat="1" hidden="1" x14ac:dyDescent="0.2">
      <c r="A5913" s="526"/>
      <c r="B5913" s="527"/>
      <c r="C5913" s="534"/>
      <c r="D5913" s="535"/>
      <c r="E5913" s="535"/>
      <c r="F5913" s="464"/>
      <c r="G5913" s="510"/>
      <c r="H5913" s="411"/>
      <c r="I5913" s="411"/>
      <c r="J5913" s="750" t="e">
        <f t="shared" si="75"/>
        <v>#DIV/0!</v>
      </c>
      <c r="K5913" s="412"/>
      <c r="L5913" s="412"/>
      <c r="M5913" s="682"/>
      <c r="N5913" s="171"/>
      <c r="O5913" s="171"/>
      <c r="P5913" s="171"/>
      <c r="Q5913" s="171"/>
      <c r="R5913" s="171"/>
      <c r="S5913" s="171"/>
      <c r="T5913" s="171"/>
      <c r="U5913" s="171"/>
      <c r="V5913" s="171"/>
      <c r="W5913" s="171"/>
      <c r="X5913" s="171"/>
      <c r="Y5913" s="171"/>
      <c r="Z5913" s="171"/>
      <c r="AA5913" s="171"/>
    </row>
    <row r="5914" spans="1:27" s="530" customFormat="1" hidden="1" x14ac:dyDescent="0.2">
      <c r="A5914" s="526"/>
      <c r="B5914" s="527"/>
      <c r="C5914" s="534"/>
      <c r="D5914" s="535"/>
      <c r="E5914" s="535"/>
      <c r="F5914" s="464"/>
      <c r="G5914" s="510"/>
      <c r="H5914" s="411"/>
      <c r="I5914" s="411"/>
      <c r="J5914" s="750" t="e">
        <f t="shared" si="75"/>
        <v>#DIV/0!</v>
      </c>
      <c r="K5914" s="412"/>
      <c r="L5914" s="412"/>
      <c r="M5914" s="682"/>
      <c r="N5914" s="171"/>
      <c r="O5914" s="171"/>
      <c r="P5914" s="171"/>
      <c r="Q5914" s="171"/>
      <c r="R5914" s="171"/>
      <c r="S5914" s="171"/>
      <c r="T5914" s="171"/>
      <c r="U5914" s="171"/>
      <c r="V5914" s="171"/>
      <c r="W5914" s="171"/>
      <c r="X5914" s="171"/>
      <c r="Y5914" s="171"/>
      <c r="Z5914" s="171"/>
      <c r="AA5914" s="171"/>
    </row>
    <row r="5915" spans="1:27" s="530" customFormat="1" hidden="1" x14ac:dyDescent="0.2">
      <c r="A5915" s="526"/>
      <c r="B5915" s="527"/>
      <c r="C5915" s="534"/>
      <c r="D5915" s="535"/>
      <c r="E5915" s="535"/>
      <c r="F5915" s="464"/>
      <c r="G5915" s="510"/>
      <c r="H5915" s="411"/>
      <c r="I5915" s="411"/>
      <c r="J5915" s="750" t="e">
        <f t="shared" si="75"/>
        <v>#DIV/0!</v>
      </c>
      <c r="K5915" s="412"/>
      <c r="L5915" s="412"/>
      <c r="M5915" s="682"/>
      <c r="N5915" s="171"/>
      <c r="O5915" s="171"/>
      <c r="P5915" s="171"/>
      <c r="Q5915" s="171"/>
      <c r="R5915" s="171"/>
      <c r="S5915" s="171"/>
      <c r="T5915" s="171"/>
      <c r="U5915" s="171"/>
      <c r="V5915" s="171"/>
      <c r="W5915" s="171"/>
      <c r="X5915" s="171"/>
      <c r="Y5915" s="171"/>
      <c r="Z5915" s="171"/>
      <c r="AA5915" s="171"/>
    </row>
    <row r="5916" spans="1:27" ht="4.5" hidden="1" customHeight="1" x14ac:dyDescent="0.2">
      <c r="G5916" s="513"/>
      <c r="H5916" s="397"/>
      <c r="I5916" s="397"/>
      <c r="J5916" s="750" t="e">
        <f t="shared" si="75"/>
        <v>#DIV/0!</v>
      </c>
      <c r="K5916" s="398"/>
      <c r="L5916" s="398"/>
      <c r="M5916" s="682"/>
    </row>
    <row r="5917" spans="1:27" s="530" customFormat="1" hidden="1" x14ac:dyDescent="0.2">
      <c r="A5917" s="526"/>
      <c r="B5917" s="527"/>
      <c r="C5917" s="534"/>
      <c r="D5917" s="535"/>
      <c r="E5917" s="535"/>
      <c r="F5917" s="167"/>
      <c r="G5917" s="513"/>
      <c r="H5917" s="422"/>
      <c r="I5917" s="422"/>
      <c r="J5917" s="750" t="e">
        <f t="shared" si="75"/>
        <v>#DIV/0!</v>
      </c>
      <c r="K5917" s="423"/>
      <c r="L5917" s="424"/>
      <c r="M5917" s="682"/>
      <c r="N5917" s="171"/>
      <c r="O5917" s="171"/>
      <c r="P5917" s="171"/>
      <c r="Q5917" s="171"/>
      <c r="R5917" s="171"/>
      <c r="S5917" s="171"/>
      <c r="T5917" s="171"/>
      <c r="U5917" s="171"/>
      <c r="V5917" s="171"/>
      <c r="W5917" s="171"/>
      <c r="X5917" s="171"/>
      <c r="Y5917" s="171"/>
      <c r="Z5917" s="171"/>
      <c r="AA5917" s="171"/>
    </row>
    <row r="5918" spans="1:27" s="530" customFormat="1" x14ac:dyDescent="0.2">
      <c r="A5918" s="526"/>
      <c r="B5918" s="527"/>
      <c r="C5918" s="588">
        <v>920</v>
      </c>
      <c r="D5918" s="278"/>
      <c r="E5918" s="278"/>
      <c r="F5918" s="278"/>
      <c r="G5918" s="589" t="s">
        <v>5127</v>
      </c>
      <c r="H5918" s="442"/>
      <c r="I5918" s="442"/>
      <c r="J5918" s="751"/>
      <c r="K5918" s="443"/>
      <c r="L5918" s="417"/>
      <c r="M5918" s="682"/>
      <c r="N5918" s="171"/>
      <c r="O5918" s="171"/>
      <c r="P5918" s="171"/>
      <c r="Q5918" s="171"/>
      <c r="R5918" s="171"/>
      <c r="S5918" s="171"/>
      <c r="T5918" s="171"/>
      <c r="U5918" s="171"/>
      <c r="V5918" s="171"/>
      <c r="W5918" s="171"/>
      <c r="X5918" s="171"/>
      <c r="Y5918" s="171"/>
      <c r="Z5918" s="171"/>
      <c r="AA5918" s="171"/>
    </row>
    <row r="5919" spans="1:27" s="530" customFormat="1" ht="12" customHeight="1" x14ac:dyDescent="0.2">
      <c r="A5919" s="526"/>
      <c r="B5919" s="527"/>
      <c r="C5919" s="590" t="s">
        <v>3585</v>
      </c>
      <c r="D5919" s="591"/>
      <c r="E5919" s="591"/>
      <c r="F5919" s="591"/>
      <c r="G5919" s="592" t="s">
        <v>4334</v>
      </c>
      <c r="H5919" s="397"/>
      <c r="I5919" s="397"/>
      <c r="J5919" s="750"/>
      <c r="K5919" s="398"/>
      <c r="L5919" s="398"/>
      <c r="M5919" s="682"/>
      <c r="N5919" s="171"/>
      <c r="O5919" s="171"/>
      <c r="P5919" s="171"/>
      <c r="Q5919" s="171"/>
      <c r="R5919" s="171"/>
      <c r="S5919" s="171"/>
      <c r="T5919" s="171"/>
      <c r="U5919" s="171"/>
      <c r="V5919" s="171"/>
      <c r="W5919" s="171"/>
      <c r="X5919" s="171"/>
      <c r="Y5919" s="171"/>
      <c r="Z5919" s="171"/>
      <c r="AA5919" s="171"/>
    </row>
    <row r="5920" spans="1:27" s="530" customFormat="1" x14ac:dyDescent="0.2">
      <c r="A5920" s="526"/>
      <c r="B5920" s="527"/>
      <c r="C5920" s="590" t="s">
        <v>4335</v>
      </c>
      <c r="D5920" s="593"/>
      <c r="E5920" s="591"/>
      <c r="F5920" s="591"/>
      <c r="G5920" s="592" t="s">
        <v>4107</v>
      </c>
      <c r="H5920" s="397"/>
      <c r="I5920" s="397"/>
      <c r="J5920" s="750"/>
      <c r="K5920" s="398"/>
      <c r="L5920" s="398"/>
      <c r="M5920" s="682"/>
      <c r="N5920" s="171"/>
      <c r="O5920" s="171"/>
      <c r="P5920" s="171"/>
      <c r="Q5920" s="171"/>
      <c r="R5920" s="171"/>
      <c r="S5920" s="171"/>
      <c r="T5920" s="171"/>
      <c r="U5920" s="171"/>
      <c r="V5920" s="171"/>
      <c r="W5920" s="171"/>
      <c r="X5920" s="171"/>
      <c r="Y5920" s="171"/>
      <c r="Z5920" s="171"/>
      <c r="AA5920" s="171"/>
    </row>
    <row r="5921" spans="1:27" s="530" customFormat="1" ht="12.75" customHeight="1" x14ac:dyDescent="0.2">
      <c r="A5921" s="526"/>
      <c r="B5921" s="527"/>
      <c r="C5921" s="590"/>
      <c r="D5921" s="558">
        <v>920</v>
      </c>
      <c r="E5921" s="558"/>
      <c r="F5921" s="558"/>
      <c r="G5921" s="594" t="s">
        <v>220</v>
      </c>
      <c r="H5921" s="397"/>
      <c r="I5921" s="397"/>
      <c r="J5921" s="750"/>
      <c r="K5921" s="398"/>
      <c r="L5921" s="398"/>
      <c r="M5921" s="682"/>
      <c r="N5921" s="171"/>
      <c r="O5921" s="171"/>
      <c r="P5921" s="171"/>
      <c r="Q5921" s="171"/>
      <c r="R5921" s="171"/>
      <c r="S5921" s="171"/>
      <c r="T5921" s="171"/>
      <c r="U5921" s="171"/>
      <c r="V5921" s="171"/>
      <c r="W5921" s="171"/>
      <c r="X5921" s="171"/>
      <c r="Y5921" s="171"/>
      <c r="Z5921" s="171"/>
      <c r="AA5921" s="171"/>
    </row>
    <row r="5922" spans="1:27" s="530" customFormat="1" x14ac:dyDescent="0.2">
      <c r="A5922" s="526"/>
      <c r="B5922" s="527"/>
      <c r="C5922" s="595"/>
      <c r="D5922" s="548"/>
      <c r="E5922" s="548" t="s">
        <v>5272</v>
      </c>
      <c r="F5922" s="596" t="s">
        <v>5125</v>
      </c>
      <c r="G5922" s="597" t="s">
        <v>3807</v>
      </c>
      <c r="H5922" s="397">
        <v>5479900</v>
      </c>
      <c r="I5922" s="397">
        <v>5191999.67</v>
      </c>
      <c r="J5922" s="750">
        <f t="shared" si="75"/>
        <v>94.746248471687437</v>
      </c>
      <c r="K5922" s="398"/>
      <c r="L5922" s="398"/>
      <c r="M5922" s="682"/>
      <c r="N5922" s="171"/>
      <c r="O5922" s="171"/>
      <c r="P5922" s="171"/>
      <c r="Q5922" s="171"/>
      <c r="R5922" s="171"/>
      <c r="S5922" s="171"/>
      <c r="T5922" s="171"/>
      <c r="U5922" s="171"/>
      <c r="V5922" s="171"/>
      <c r="W5922" s="171"/>
      <c r="X5922" s="171"/>
      <c r="Y5922" s="171"/>
      <c r="Z5922" s="171"/>
      <c r="AA5922" s="171"/>
    </row>
    <row r="5923" spans="1:27" s="530" customFormat="1" ht="13.5" thickBot="1" x14ac:dyDescent="0.25">
      <c r="A5923" s="526"/>
      <c r="B5923" s="527"/>
      <c r="C5923" s="595"/>
      <c r="D5923" s="548"/>
      <c r="E5923" s="548" t="s">
        <v>5273</v>
      </c>
      <c r="F5923" s="596" t="s">
        <v>5126</v>
      </c>
      <c r="G5923" s="598" t="s">
        <v>3808</v>
      </c>
      <c r="H5923" s="397">
        <v>200000</v>
      </c>
      <c r="I5923" s="397">
        <v>0</v>
      </c>
      <c r="J5923" s="750">
        <f t="shared" ref="J5923:J5924" si="76">SUM(I5923/H5923)*100</f>
        <v>0</v>
      </c>
      <c r="K5923" s="398"/>
      <c r="L5923" s="398"/>
      <c r="M5923" s="682"/>
      <c r="N5923" s="171"/>
      <c r="O5923" s="171"/>
      <c r="P5923" s="171"/>
      <c r="Q5923" s="171"/>
      <c r="R5923" s="171"/>
      <c r="S5923" s="171"/>
      <c r="T5923" s="171"/>
      <c r="U5923" s="171"/>
      <c r="V5923" s="171"/>
      <c r="W5923" s="171"/>
      <c r="X5923" s="171"/>
      <c r="Y5923" s="171"/>
      <c r="Z5923" s="171"/>
      <c r="AA5923" s="171"/>
    </row>
    <row r="5924" spans="1:27" s="530" customFormat="1" hidden="1" x14ac:dyDescent="0.2">
      <c r="A5924" s="526"/>
      <c r="B5924" s="527"/>
      <c r="C5924" s="595"/>
      <c r="D5924" s="548"/>
      <c r="E5924" s="548"/>
      <c r="F5924" s="596">
        <v>413</v>
      </c>
      <c r="G5924" s="598" t="s">
        <v>4168</v>
      </c>
      <c r="H5924" s="397"/>
      <c r="I5924" s="397"/>
      <c r="J5924" s="750" t="e">
        <f t="shared" si="76"/>
        <v>#DIV/0!</v>
      </c>
      <c r="K5924" s="398"/>
      <c r="L5924" s="398"/>
      <c r="M5924" s="682"/>
      <c r="N5924" s="171"/>
      <c r="O5924" s="171"/>
      <c r="P5924" s="171"/>
      <c r="Q5924" s="171"/>
      <c r="R5924" s="171"/>
      <c r="S5924" s="171"/>
      <c r="T5924" s="171"/>
      <c r="U5924" s="171"/>
      <c r="V5924" s="171"/>
      <c r="W5924" s="171"/>
      <c r="X5924" s="171"/>
      <c r="Y5924" s="171"/>
      <c r="Z5924" s="171"/>
      <c r="AA5924" s="171"/>
    </row>
    <row r="5925" spans="1:27" s="530" customFormat="1" hidden="1" x14ac:dyDescent="0.2">
      <c r="A5925" s="526"/>
      <c r="B5925" s="527"/>
      <c r="C5925" s="595"/>
      <c r="D5925" s="548"/>
      <c r="E5925" s="548"/>
      <c r="F5925" s="596"/>
      <c r="G5925" s="598"/>
      <c r="H5925" s="397"/>
      <c r="I5925" s="397"/>
      <c r="J5925" s="750"/>
      <c r="K5925" s="398"/>
      <c r="L5925" s="398"/>
      <c r="M5925" s="682"/>
      <c r="N5925" s="171"/>
      <c r="O5925" s="171"/>
      <c r="P5925" s="171"/>
      <c r="Q5925" s="171"/>
      <c r="R5925" s="171"/>
      <c r="S5925" s="171"/>
      <c r="T5925" s="171"/>
      <c r="U5925" s="171"/>
      <c r="V5925" s="171"/>
      <c r="W5925" s="171"/>
      <c r="X5925" s="171"/>
      <c r="Y5925" s="171"/>
      <c r="Z5925" s="171"/>
      <c r="AA5925" s="171"/>
    </row>
    <row r="5926" spans="1:27" s="530" customFormat="1" ht="12.75" hidden="1" customHeight="1" x14ac:dyDescent="0.2">
      <c r="A5926" s="526"/>
      <c r="B5926" s="527"/>
      <c r="C5926" s="595"/>
      <c r="D5926" s="548"/>
      <c r="E5926" s="548"/>
      <c r="F5926" s="596"/>
      <c r="G5926" s="599"/>
      <c r="H5926" s="397"/>
      <c r="I5926" s="397"/>
      <c r="J5926" s="750"/>
      <c r="K5926" s="398"/>
      <c r="L5926" s="398"/>
      <c r="M5926" s="682"/>
      <c r="N5926" s="171"/>
      <c r="O5926" s="171"/>
      <c r="P5926" s="171"/>
      <c r="Q5926" s="171"/>
      <c r="R5926" s="171"/>
      <c r="S5926" s="171"/>
      <c r="T5926" s="171"/>
      <c r="U5926" s="171"/>
      <c r="V5926" s="171"/>
      <c r="W5926" s="171"/>
      <c r="X5926" s="171"/>
      <c r="Y5926" s="171"/>
      <c r="Z5926" s="171"/>
      <c r="AA5926" s="171"/>
    </row>
    <row r="5927" spans="1:27" s="530" customFormat="1" ht="14.25" hidden="1" customHeight="1" x14ac:dyDescent="0.2">
      <c r="A5927" s="526"/>
      <c r="B5927" s="527"/>
      <c r="C5927" s="595"/>
      <c r="D5927" s="548"/>
      <c r="E5927" s="548"/>
      <c r="F5927" s="596"/>
      <c r="G5927" s="598"/>
      <c r="H5927" s="397"/>
      <c r="I5927" s="397"/>
      <c r="J5927" s="750"/>
      <c r="K5927" s="398"/>
      <c r="L5927" s="398"/>
      <c r="M5927" s="682"/>
      <c r="N5927" s="171"/>
      <c r="O5927" s="171"/>
      <c r="P5927" s="171"/>
      <c r="Q5927" s="171"/>
      <c r="R5927" s="171"/>
      <c r="S5927" s="171"/>
      <c r="T5927" s="171"/>
      <c r="U5927" s="171"/>
      <c r="V5927" s="171"/>
      <c r="W5927" s="171"/>
      <c r="X5927" s="171"/>
      <c r="Y5927" s="171"/>
      <c r="Z5927" s="171"/>
      <c r="AA5927" s="171"/>
    </row>
    <row r="5928" spans="1:27" s="530" customFormat="1" hidden="1" x14ac:dyDescent="0.2">
      <c r="A5928" s="526"/>
      <c r="B5928" s="527"/>
      <c r="C5928" s="595"/>
      <c r="D5928" s="548"/>
      <c r="E5928" s="548"/>
      <c r="F5928" s="596"/>
      <c r="G5928" s="598"/>
      <c r="H5928" s="397"/>
      <c r="I5928" s="397"/>
      <c r="J5928" s="750"/>
      <c r="K5928" s="398"/>
      <c r="L5928" s="398"/>
      <c r="M5928" s="682"/>
      <c r="N5928" s="171"/>
      <c r="O5928" s="171"/>
      <c r="P5928" s="171"/>
      <c r="Q5928" s="171"/>
      <c r="R5928" s="171"/>
      <c r="S5928" s="171"/>
      <c r="T5928" s="171"/>
      <c r="U5928" s="171"/>
      <c r="V5928" s="171"/>
      <c r="W5928" s="171"/>
      <c r="X5928" s="171"/>
      <c r="Y5928" s="171"/>
      <c r="Z5928" s="171"/>
      <c r="AA5928" s="171"/>
    </row>
    <row r="5929" spans="1:27" s="530" customFormat="1" hidden="1" x14ac:dyDescent="0.2">
      <c r="A5929" s="526"/>
      <c r="B5929" s="527"/>
      <c r="C5929" s="595"/>
      <c r="D5929" s="548"/>
      <c r="E5929" s="548"/>
      <c r="F5929" s="596"/>
      <c r="G5929" s="598"/>
      <c r="H5929" s="397"/>
      <c r="I5929" s="397"/>
      <c r="J5929" s="750"/>
      <c r="K5929" s="398"/>
      <c r="L5929" s="398"/>
      <c r="M5929" s="682"/>
      <c r="N5929" s="171"/>
      <c r="O5929" s="171"/>
      <c r="P5929" s="171"/>
      <c r="Q5929" s="171"/>
      <c r="R5929" s="171"/>
      <c r="S5929" s="171"/>
      <c r="T5929" s="171"/>
      <c r="U5929" s="171"/>
      <c r="V5929" s="171"/>
      <c r="W5929" s="171"/>
      <c r="X5929" s="171"/>
      <c r="Y5929" s="171"/>
      <c r="Z5929" s="171"/>
      <c r="AA5929" s="171"/>
    </row>
    <row r="5930" spans="1:27" s="530" customFormat="1" ht="12.75" hidden="1" customHeight="1" x14ac:dyDescent="0.2">
      <c r="A5930" s="526"/>
      <c r="B5930" s="527"/>
      <c r="C5930" s="595"/>
      <c r="D5930" s="548"/>
      <c r="E5930" s="548"/>
      <c r="F5930" s="596"/>
      <c r="G5930" s="598"/>
      <c r="H5930" s="397"/>
      <c r="I5930" s="397"/>
      <c r="J5930" s="750"/>
      <c r="K5930" s="398"/>
      <c r="L5930" s="398"/>
      <c r="M5930" s="682"/>
      <c r="N5930" s="171"/>
      <c r="O5930" s="171"/>
      <c r="P5930" s="171"/>
      <c r="Q5930" s="171"/>
      <c r="R5930" s="171"/>
      <c r="S5930" s="171"/>
      <c r="T5930" s="171"/>
      <c r="U5930" s="171"/>
      <c r="V5930" s="171"/>
      <c r="W5930" s="171"/>
      <c r="X5930" s="171"/>
      <c r="Y5930" s="171"/>
      <c r="Z5930" s="171"/>
      <c r="AA5930" s="171"/>
    </row>
    <row r="5931" spans="1:27" s="530" customFormat="1" ht="12.75" hidden="1" customHeight="1" x14ac:dyDescent="0.2">
      <c r="A5931" s="526"/>
      <c r="B5931" s="527"/>
      <c r="C5931" s="595"/>
      <c r="D5931" s="548"/>
      <c r="E5931" s="548"/>
      <c r="F5931" s="596"/>
      <c r="G5931" s="598"/>
      <c r="H5931" s="397"/>
      <c r="I5931" s="397"/>
      <c r="J5931" s="750"/>
      <c r="K5931" s="398"/>
      <c r="L5931" s="398"/>
      <c r="M5931" s="682"/>
      <c r="N5931" s="171"/>
      <c r="O5931" s="171"/>
      <c r="P5931" s="171"/>
      <c r="Q5931" s="171"/>
      <c r="R5931" s="171"/>
      <c r="S5931" s="171"/>
      <c r="T5931" s="171"/>
      <c r="U5931" s="171"/>
      <c r="V5931" s="171"/>
      <c r="W5931" s="171"/>
      <c r="X5931" s="171"/>
      <c r="Y5931" s="171"/>
      <c r="Z5931" s="171"/>
      <c r="AA5931" s="171"/>
    </row>
    <row r="5932" spans="1:27" s="530" customFormat="1" ht="12" hidden="1" customHeight="1" x14ac:dyDescent="0.2">
      <c r="A5932" s="526"/>
      <c r="B5932" s="527"/>
      <c r="C5932" s="595"/>
      <c r="D5932" s="548"/>
      <c r="E5932" s="548"/>
      <c r="F5932" s="596"/>
      <c r="G5932" s="598"/>
      <c r="H5932" s="397"/>
      <c r="I5932" s="397"/>
      <c r="J5932" s="750"/>
      <c r="K5932" s="398"/>
      <c r="L5932" s="398"/>
      <c r="M5932" s="682"/>
      <c r="N5932" s="171"/>
      <c r="O5932" s="171"/>
      <c r="P5932" s="171"/>
      <c r="Q5932" s="171"/>
      <c r="R5932" s="171"/>
      <c r="S5932" s="171"/>
      <c r="T5932" s="171"/>
      <c r="U5932" s="171"/>
      <c r="V5932" s="171"/>
      <c r="W5932" s="171"/>
      <c r="X5932" s="171"/>
      <c r="Y5932" s="171"/>
      <c r="Z5932" s="171"/>
      <c r="AA5932" s="171"/>
    </row>
    <row r="5933" spans="1:27" s="530" customFormat="1" ht="13.5" hidden="1" customHeight="1" x14ac:dyDescent="0.2">
      <c r="A5933" s="526"/>
      <c r="B5933" s="527"/>
      <c r="C5933" s="595"/>
      <c r="D5933" s="548"/>
      <c r="E5933" s="548"/>
      <c r="F5933" s="596"/>
      <c r="G5933" s="598"/>
      <c r="H5933" s="397"/>
      <c r="I5933" s="397"/>
      <c r="J5933" s="750"/>
      <c r="K5933" s="398"/>
      <c r="L5933" s="398"/>
      <c r="M5933" s="682"/>
      <c r="N5933" s="171"/>
      <c r="O5933" s="171"/>
      <c r="P5933" s="171"/>
      <c r="Q5933" s="171"/>
      <c r="R5933" s="171"/>
      <c r="S5933" s="171"/>
      <c r="T5933" s="171"/>
      <c r="U5933" s="171"/>
      <c r="V5933" s="171"/>
      <c r="W5933" s="171"/>
      <c r="X5933" s="171"/>
      <c r="Y5933" s="171"/>
      <c r="Z5933" s="171"/>
      <c r="AA5933" s="171"/>
    </row>
    <row r="5934" spans="1:27" s="530" customFormat="1" ht="14.25" hidden="1" customHeight="1" x14ac:dyDescent="0.2">
      <c r="A5934" s="526"/>
      <c r="B5934" s="527"/>
      <c r="C5934" s="595"/>
      <c r="D5934" s="548"/>
      <c r="E5934" s="548"/>
      <c r="F5934" s="596"/>
      <c r="G5934" s="598"/>
      <c r="H5934" s="397"/>
      <c r="I5934" s="397"/>
      <c r="J5934" s="750"/>
      <c r="K5934" s="398"/>
      <c r="L5934" s="398"/>
      <c r="M5934" s="682"/>
      <c r="N5934" s="171"/>
      <c r="O5934" s="171"/>
      <c r="P5934" s="171"/>
      <c r="Q5934" s="171"/>
      <c r="R5934" s="171"/>
      <c r="S5934" s="171"/>
      <c r="T5934" s="171"/>
      <c r="U5934" s="171"/>
      <c r="V5934" s="171"/>
      <c r="W5934" s="171"/>
      <c r="X5934" s="171"/>
      <c r="Y5934" s="171"/>
      <c r="Z5934" s="171"/>
      <c r="AA5934" s="171"/>
    </row>
    <row r="5935" spans="1:27" s="530" customFormat="1" ht="13.5" hidden="1" customHeight="1" x14ac:dyDescent="0.2">
      <c r="A5935" s="526"/>
      <c r="B5935" s="527"/>
      <c r="C5935" s="595"/>
      <c r="D5935" s="548"/>
      <c r="E5935" s="548"/>
      <c r="F5935" s="596"/>
      <c r="G5935" s="598"/>
      <c r="H5935" s="397"/>
      <c r="I5935" s="397"/>
      <c r="J5935" s="750"/>
      <c r="K5935" s="398"/>
      <c r="L5935" s="398"/>
      <c r="M5935" s="682"/>
      <c r="N5935" s="171"/>
      <c r="O5935" s="171"/>
      <c r="P5935" s="171"/>
      <c r="Q5935" s="171"/>
      <c r="R5935" s="171"/>
      <c r="S5935" s="171"/>
      <c r="T5935" s="171"/>
      <c r="U5935" s="171"/>
      <c r="V5935" s="171"/>
      <c r="W5935" s="171"/>
      <c r="X5935" s="171"/>
      <c r="Y5935" s="171"/>
      <c r="Z5935" s="171"/>
      <c r="AA5935" s="171"/>
    </row>
    <row r="5936" spans="1:27" s="530" customFormat="1" hidden="1" x14ac:dyDescent="0.2">
      <c r="A5936" s="526"/>
      <c r="B5936" s="527"/>
      <c r="C5936" s="595"/>
      <c r="D5936" s="548"/>
      <c r="E5936" s="548"/>
      <c r="F5936" s="596"/>
      <c r="G5936" s="598"/>
      <c r="H5936" s="397"/>
      <c r="I5936" s="397"/>
      <c r="J5936" s="750"/>
      <c r="K5936" s="398"/>
      <c r="L5936" s="398"/>
      <c r="M5936" s="682"/>
      <c r="N5936" s="171"/>
      <c r="O5936" s="171"/>
      <c r="P5936" s="171"/>
      <c r="Q5936" s="171"/>
      <c r="R5936" s="171"/>
      <c r="S5936" s="171"/>
      <c r="T5936" s="171"/>
      <c r="U5936" s="171"/>
      <c r="V5936" s="171"/>
      <c r="W5936" s="171"/>
      <c r="X5936" s="171"/>
      <c r="Y5936" s="171"/>
      <c r="Z5936" s="171"/>
      <c r="AA5936" s="171"/>
    </row>
    <row r="5937" spans="1:27" s="530" customFormat="1" hidden="1" x14ac:dyDescent="0.2">
      <c r="A5937" s="526"/>
      <c r="B5937" s="527"/>
      <c r="C5937" s="595"/>
      <c r="D5937" s="548"/>
      <c r="E5937" s="548"/>
      <c r="F5937" s="596"/>
      <c r="G5937" s="598"/>
      <c r="H5937" s="397"/>
      <c r="I5937" s="397"/>
      <c r="J5937" s="750"/>
      <c r="K5937" s="398"/>
      <c r="L5937" s="398"/>
      <c r="M5937" s="682"/>
      <c r="N5937" s="171"/>
      <c r="O5937" s="171"/>
      <c r="P5937" s="171"/>
      <c r="Q5937" s="171"/>
      <c r="R5937" s="171"/>
      <c r="S5937" s="171"/>
      <c r="T5937" s="171"/>
      <c r="U5937" s="171"/>
      <c r="V5937" s="171"/>
      <c r="W5937" s="171"/>
      <c r="X5937" s="171"/>
      <c r="Y5937" s="171"/>
      <c r="Z5937" s="171"/>
      <c r="AA5937" s="171"/>
    </row>
    <row r="5938" spans="1:27" s="530" customFormat="1" hidden="1" x14ac:dyDescent="0.2">
      <c r="A5938" s="526"/>
      <c r="B5938" s="527"/>
      <c r="C5938" s="595"/>
      <c r="D5938" s="548"/>
      <c r="E5938" s="548"/>
      <c r="F5938" s="596"/>
      <c r="G5938" s="598"/>
      <c r="H5938" s="397"/>
      <c r="I5938" s="397"/>
      <c r="J5938" s="750"/>
      <c r="K5938" s="398"/>
      <c r="L5938" s="398"/>
      <c r="M5938" s="682"/>
      <c r="N5938" s="171"/>
      <c r="O5938" s="171"/>
      <c r="P5938" s="171"/>
      <c r="Q5938" s="171"/>
      <c r="R5938" s="171"/>
      <c r="S5938" s="171"/>
      <c r="T5938" s="171"/>
      <c r="U5938" s="171"/>
      <c r="V5938" s="171"/>
      <c r="W5938" s="171"/>
      <c r="X5938" s="171"/>
      <c r="Y5938" s="171"/>
      <c r="Z5938" s="171"/>
      <c r="AA5938" s="171"/>
    </row>
    <row r="5939" spans="1:27" s="530" customFormat="1" hidden="1" x14ac:dyDescent="0.2">
      <c r="A5939" s="526"/>
      <c r="B5939" s="527"/>
      <c r="C5939" s="595"/>
      <c r="D5939" s="548"/>
      <c r="E5939" s="548"/>
      <c r="F5939" s="596"/>
      <c r="G5939" s="598"/>
      <c r="H5939" s="397"/>
      <c r="I5939" s="397"/>
      <c r="J5939" s="750"/>
      <c r="K5939" s="398"/>
      <c r="L5939" s="398"/>
      <c r="M5939" s="682"/>
      <c r="N5939" s="171"/>
      <c r="O5939" s="171"/>
      <c r="P5939" s="171"/>
      <c r="Q5939" s="171"/>
      <c r="R5939" s="171"/>
      <c r="S5939" s="171"/>
      <c r="T5939" s="171"/>
      <c r="U5939" s="171"/>
      <c r="V5939" s="171"/>
      <c r="W5939" s="171"/>
      <c r="X5939" s="171"/>
      <c r="Y5939" s="171"/>
      <c r="Z5939" s="171"/>
      <c r="AA5939" s="171"/>
    </row>
    <row r="5940" spans="1:27" s="530" customFormat="1" hidden="1" x14ac:dyDescent="0.2">
      <c r="A5940" s="526"/>
      <c r="B5940" s="527"/>
      <c r="C5940" s="595"/>
      <c r="D5940" s="548"/>
      <c r="E5940" s="548"/>
      <c r="F5940" s="596"/>
      <c r="G5940" s="598"/>
      <c r="H5940" s="397"/>
      <c r="I5940" s="397"/>
      <c r="J5940" s="750"/>
      <c r="K5940" s="398"/>
      <c r="L5940" s="398"/>
      <c r="M5940" s="682"/>
      <c r="N5940" s="171"/>
      <c r="O5940" s="171"/>
      <c r="P5940" s="171"/>
      <c r="Q5940" s="171"/>
      <c r="R5940" s="171"/>
      <c r="S5940" s="171"/>
      <c r="T5940" s="171"/>
      <c r="U5940" s="171"/>
      <c r="V5940" s="171"/>
      <c r="W5940" s="171"/>
      <c r="X5940" s="171"/>
      <c r="Y5940" s="171"/>
      <c r="Z5940" s="171"/>
      <c r="AA5940" s="171"/>
    </row>
    <row r="5941" spans="1:27" s="530" customFormat="1" hidden="1" x14ac:dyDescent="0.2">
      <c r="A5941" s="526"/>
      <c r="B5941" s="527"/>
      <c r="C5941" s="595"/>
      <c r="D5941" s="548"/>
      <c r="E5941" s="548"/>
      <c r="F5941" s="596"/>
      <c r="G5941" s="598"/>
      <c r="H5941" s="397"/>
      <c r="I5941" s="397"/>
      <c r="J5941" s="750"/>
      <c r="K5941" s="398"/>
      <c r="L5941" s="398"/>
      <c r="M5941" s="682"/>
      <c r="N5941" s="171"/>
      <c r="O5941" s="171"/>
      <c r="P5941" s="171"/>
      <c r="Q5941" s="171"/>
      <c r="R5941" s="171"/>
      <c r="S5941" s="171"/>
      <c r="T5941" s="171"/>
      <c r="U5941" s="171"/>
      <c r="V5941" s="171"/>
      <c r="W5941" s="171"/>
      <c r="X5941" s="171"/>
      <c r="Y5941" s="171"/>
      <c r="Z5941" s="171"/>
      <c r="AA5941" s="171"/>
    </row>
    <row r="5942" spans="1:27" s="530" customFormat="1" hidden="1" x14ac:dyDescent="0.2">
      <c r="A5942" s="526"/>
      <c r="B5942" s="527"/>
      <c r="C5942" s="595"/>
      <c r="D5942" s="548"/>
      <c r="E5942" s="548"/>
      <c r="F5942" s="596"/>
      <c r="G5942" s="598"/>
      <c r="H5942" s="397"/>
      <c r="I5942" s="397"/>
      <c r="J5942" s="750"/>
      <c r="K5942" s="398"/>
      <c r="L5942" s="398"/>
      <c r="M5942" s="682"/>
      <c r="N5942" s="171"/>
      <c r="O5942" s="171"/>
      <c r="P5942" s="171"/>
      <c r="Q5942" s="171"/>
      <c r="R5942" s="171"/>
      <c r="S5942" s="171"/>
      <c r="T5942" s="171"/>
      <c r="U5942" s="171"/>
      <c r="V5942" s="171"/>
      <c r="W5942" s="171"/>
      <c r="X5942" s="171"/>
      <c r="Y5942" s="171"/>
      <c r="Z5942" s="171"/>
      <c r="AA5942" s="171"/>
    </row>
    <row r="5943" spans="1:27" s="530" customFormat="1" hidden="1" x14ac:dyDescent="0.2">
      <c r="A5943" s="526"/>
      <c r="B5943" s="527"/>
      <c r="C5943" s="595"/>
      <c r="D5943" s="548"/>
      <c r="E5943" s="548"/>
      <c r="F5943" s="596"/>
      <c r="G5943" s="598"/>
      <c r="H5943" s="397"/>
      <c r="I5943" s="397"/>
      <c r="J5943" s="750"/>
      <c r="K5943" s="398"/>
      <c r="L5943" s="398"/>
      <c r="M5943" s="682"/>
      <c r="N5943" s="171"/>
      <c r="O5943" s="171"/>
      <c r="P5943" s="171"/>
      <c r="Q5943" s="171"/>
      <c r="R5943" s="171"/>
      <c r="S5943" s="171"/>
      <c r="T5943" s="171"/>
      <c r="U5943" s="171"/>
      <c r="V5943" s="171"/>
      <c r="W5943" s="171"/>
      <c r="X5943" s="171"/>
      <c r="Y5943" s="171"/>
      <c r="Z5943" s="171"/>
      <c r="AA5943" s="171"/>
    </row>
    <row r="5944" spans="1:27" s="530" customFormat="1" hidden="1" x14ac:dyDescent="0.2">
      <c r="A5944" s="526"/>
      <c r="B5944" s="527"/>
      <c r="C5944" s="595"/>
      <c r="D5944" s="548"/>
      <c r="E5944" s="548"/>
      <c r="F5944" s="596"/>
      <c r="G5944" s="598"/>
      <c r="H5944" s="397"/>
      <c r="I5944" s="397"/>
      <c r="J5944" s="750"/>
      <c r="K5944" s="398"/>
      <c r="L5944" s="398"/>
      <c r="M5944" s="682"/>
      <c r="N5944" s="171"/>
      <c r="O5944" s="171"/>
      <c r="P5944" s="171"/>
      <c r="Q5944" s="171"/>
      <c r="R5944" s="171"/>
      <c r="S5944" s="171"/>
      <c r="T5944" s="171"/>
      <c r="U5944" s="171"/>
      <c r="V5944" s="171"/>
      <c r="W5944" s="171"/>
      <c r="X5944" s="171"/>
      <c r="Y5944" s="171"/>
      <c r="Z5944" s="171"/>
      <c r="AA5944" s="171"/>
    </row>
    <row r="5945" spans="1:27" s="530" customFormat="1" hidden="1" x14ac:dyDescent="0.2">
      <c r="A5945" s="526"/>
      <c r="B5945" s="527"/>
      <c r="C5945" s="595"/>
      <c r="D5945" s="548"/>
      <c r="E5945" s="548"/>
      <c r="F5945" s="596"/>
      <c r="G5945" s="600"/>
      <c r="H5945" s="397"/>
      <c r="I5945" s="397"/>
      <c r="J5945" s="750"/>
      <c r="K5945" s="398"/>
      <c r="L5945" s="398"/>
      <c r="M5945" s="682"/>
      <c r="N5945" s="171"/>
      <c r="O5945" s="171"/>
      <c r="P5945" s="171"/>
      <c r="Q5945" s="171"/>
      <c r="R5945" s="171"/>
      <c r="S5945" s="171"/>
      <c r="T5945" s="171"/>
      <c r="U5945" s="171"/>
      <c r="V5945" s="171"/>
      <c r="W5945" s="171"/>
      <c r="X5945" s="171"/>
      <c r="Y5945" s="171"/>
      <c r="Z5945" s="171"/>
      <c r="AA5945" s="171"/>
    </row>
    <row r="5946" spans="1:27" s="530" customFormat="1" hidden="1" x14ac:dyDescent="0.2">
      <c r="A5946" s="526"/>
      <c r="B5946" s="527"/>
      <c r="C5946" s="595"/>
      <c r="D5946" s="548"/>
      <c r="E5946" s="548"/>
      <c r="F5946" s="596"/>
      <c r="G5946" s="600"/>
      <c r="H5946" s="397"/>
      <c r="I5946" s="397"/>
      <c r="J5946" s="750"/>
      <c r="K5946" s="398"/>
      <c r="L5946" s="398"/>
      <c r="M5946" s="682"/>
      <c r="N5946" s="171"/>
      <c r="O5946" s="171"/>
      <c r="P5946" s="171"/>
      <c r="Q5946" s="171"/>
      <c r="R5946" s="171"/>
      <c r="S5946" s="171"/>
      <c r="T5946" s="171"/>
      <c r="U5946" s="171"/>
      <c r="V5946" s="171"/>
      <c r="W5946" s="171"/>
      <c r="X5946" s="171"/>
      <c r="Y5946" s="171"/>
      <c r="Z5946" s="171"/>
      <c r="AA5946" s="171"/>
    </row>
    <row r="5947" spans="1:27" s="530" customFormat="1" hidden="1" x14ac:dyDescent="0.2">
      <c r="A5947" s="526"/>
      <c r="B5947" s="527"/>
      <c r="C5947" s="595"/>
      <c r="D5947" s="548"/>
      <c r="E5947" s="548"/>
      <c r="F5947" s="596"/>
      <c r="G5947" s="598"/>
      <c r="H5947" s="397"/>
      <c r="I5947" s="397"/>
      <c r="J5947" s="750"/>
      <c r="K5947" s="398"/>
      <c r="L5947" s="398"/>
      <c r="M5947" s="682"/>
      <c r="N5947" s="171"/>
      <c r="O5947" s="171"/>
      <c r="P5947" s="171"/>
      <c r="Q5947" s="171"/>
      <c r="R5947" s="171"/>
      <c r="S5947" s="171"/>
      <c r="T5947" s="171"/>
      <c r="U5947" s="171"/>
      <c r="V5947" s="171"/>
      <c r="W5947" s="171"/>
      <c r="X5947" s="171"/>
      <c r="Y5947" s="171"/>
      <c r="Z5947" s="171"/>
      <c r="AA5947" s="171"/>
    </row>
    <row r="5948" spans="1:27" s="530" customFormat="1" hidden="1" x14ac:dyDescent="0.2">
      <c r="A5948" s="526"/>
      <c r="B5948" s="527"/>
      <c r="C5948" s="595"/>
      <c r="D5948" s="548"/>
      <c r="E5948" s="548"/>
      <c r="F5948" s="596"/>
      <c r="G5948" s="598"/>
      <c r="H5948" s="397"/>
      <c r="I5948" s="397"/>
      <c r="J5948" s="750"/>
      <c r="K5948" s="398"/>
      <c r="L5948" s="398"/>
      <c r="M5948" s="682"/>
      <c r="N5948" s="171"/>
      <c r="O5948" s="171"/>
      <c r="P5948" s="171"/>
      <c r="Q5948" s="171"/>
      <c r="R5948" s="171"/>
      <c r="S5948" s="171"/>
      <c r="T5948" s="171"/>
      <c r="U5948" s="171"/>
      <c r="V5948" s="171"/>
      <c r="W5948" s="171"/>
      <c r="X5948" s="171"/>
      <c r="Y5948" s="171"/>
      <c r="Z5948" s="171"/>
      <c r="AA5948" s="171"/>
    </row>
    <row r="5949" spans="1:27" s="530" customFormat="1" hidden="1" x14ac:dyDescent="0.2">
      <c r="A5949" s="526"/>
      <c r="B5949" s="527"/>
      <c r="C5949" s="595"/>
      <c r="D5949" s="548"/>
      <c r="E5949" s="548"/>
      <c r="F5949" s="596"/>
      <c r="G5949" s="598"/>
      <c r="H5949" s="397"/>
      <c r="I5949" s="397"/>
      <c r="J5949" s="750"/>
      <c r="K5949" s="398"/>
      <c r="L5949" s="398"/>
      <c r="M5949" s="682"/>
      <c r="N5949" s="171"/>
      <c r="O5949" s="171"/>
      <c r="P5949" s="171"/>
      <c r="Q5949" s="171"/>
      <c r="R5949" s="171"/>
      <c r="S5949" s="171"/>
      <c r="T5949" s="171"/>
      <c r="U5949" s="171"/>
      <c r="V5949" s="171"/>
      <c r="W5949" s="171"/>
      <c r="X5949" s="171"/>
      <c r="Y5949" s="171"/>
      <c r="Z5949" s="171"/>
      <c r="AA5949" s="171"/>
    </row>
    <row r="5950" spans="1:27" s="530" customFormat="1" hidden="1" x14ac:dyDescent="0.2">
      <c r="A5950" s="526"/>
      <c r="B5950" s="527"/>
      <c r="C5950" s="595"/>
      <c r="D5950" s="548"/>
      <c r="E5950" s="548"/>
      <c r="F5950" s="596"/>
      <c r="G5950" s="598"/>
      <c r="H5950" s="397"/>
      <c r="I5950" s="397"/>
      <c r="J5950" s="750"/>
      <c r="K5950" s="398"/>
      <c r="L5950" s="398"/>
      <c r="M5950" s="682"/>
      <c r="N5950" s="171"/>
      <c r="O5950" s="171"/>
      <c r="P5950" s="171"/>
      <c r="Q5950" s="171"/>
      <c r="R5950" s="171"/>
      <c r="S5950" s="171"/>
      <c r="T5950" s="171"/>
      <c r="U5950" s="171"/>
      <c r="V5950" s="171"/>
      <c r="W5950" s="171"/>
      <c r="X5950" s="171"/>
      <c r="Y5950" s="171"/>
      <c r="Z5950" s="171"/>
      <c r="AA5950" s="171"/>
    </row>
    <row r="5951" spans="1:27" s="530" customFormat="1" hidden="1" x14ac:dyDescent="0.2">
      <c r="A5951" s="526"/>
      <c r="B5951" s="527"/>
      <c r="C5951" s="595"/>
      <c r="D5951" s="548"/>
      <c r="E5951" s="548"/>
      <c r="F5951" s="596"/>
      <c r="G5951" s="598"/>
      <c r="H5951" s="397"/>
      <c r="I5951" s="397"/>
      <c r="J5951" s="750"/>
      <c r="K5951" s="398"/>
      <c r="L5951" s="398"/>
      <c r="M5951" s="682"/>
      <c r="N5951" s="171"/>
      <c r="O5951" s="171"/>
      <c r="P5951" s="171"/>
      <c r="Q5951" s="171"/>
      <c r="R5951" s="171"/>
      <c r="S5951" s="171"/>
      <c r="T5951" s="171"/>
      <c r="U5951" s="171"/>
      <c r="V5951" s="171"/>
      <c r="W5951" s="171"/>
      <c r="X5951" s="171"/>
      <c r="Y5951" s="171"/>
      <c r="Z5951" s="171"/>
      <c r="AA5951" s="171"/>
    </row>
    <row r="5952" spans="1:27" s="530" customFormat="1" hidden="1" x14ac:dyDescent="0.2">
      <c r="A5952" s="526"/>
      <c r="B5952" s="527"/>
      <c r="C5952" s="595"/>
      <c r="D5952" s="548"/>
      <c r="E5952" s="548"/>
      <c r="F5952" s="596"/>
      <c r="G5952" s="598"/>
      <c r="H5952" s="397"/>
      <c r="I5952" s="397"/>
      <c r="J5952" s="750"/>
      <c r="K5952" s="398"/>
      <c r="L5952" s="398"/>
      <c r="M5952" s="682"/>
      <c r="N5952" s="171"/>
      <c r="O5952" s="171"/>
      <c r="P5952" s="171"/>
      <c r="Q5952" s="171"/>
      <c r="R5952" s="171"/>
      <c r="S5952" s="171"/>
      <c r="T5952" s="171"/>
      <c r="U5952" s="171"/>
      <c r="V5952" s="171"/>
      <c r="W5952" s="171"/>
      <c r="X5952" s="171"/>
      <c r="Y5952" s="171"/>
      <c r="Z5952" s="171"/>
      <c r="AA5952" s="171"/>
    </row>
    <row r="5953" spans="1:27" s="530" customFormat="1" hidden="1" x14ac:dyDescent="0.2">
      <c r="A5953" s="526"/>
      <c r="B5953" s="527"/>
      <c r="C5953" s="595"/>
      <c r="D5953" s="548"/>
      <c r="E5953" s="548"/>
      <c r="F5953" s="596"/>
      <c r="G5953" s="598"/>
      <c r="H5953" s="397"/>
      <c r="I5953" s="397"/>
      <c r="J5953" s="750"/>
      <c r="K5953" s="398"/>
      <c r="L5953" s="398"/>
      <c r="M5953" s="682"/>
      <c r="N5953" s="171"/>
      <c r="O5953" s="171"/>
      <c r="P5953" s="171"/>
      <c r="Q5953" s="171"/>
      <c r="R5953" s="171"/>
      <c r="S5953" s="171"/>
      <c r="T5953" s="171"/>
      <c r="U5953" s="171"/>
      <c r="V5953" s="171"/>
      <c r="W5953" s="171"/>
      <c r="X5953" s="171"/>
      <c r="Y5953" s="171"/>
      <c r="Z5953" s="171"/>
      <c r="AA5953" s="171"/>
    </row>
    <row r="5954" spans="1:27" s="530" customFormat="1" hidden="1" x14ac:dyDescent="0.2">
      <c r="A5954" s="526"/>
      <c r="B5954" s="527"/>
      <c r="C5954" s="595"/>
      <c r="D5954" s="548"/>
      <c r="E5954" s="548"/>
      <c r="F5954" s="596"/>
      <c r="G5954" s="598"/>
      <c r="H5954" s="397"/>
      <c r="I5954" s="397"/>
      <c r="J5954" s="750"/>
      <c r="K5954" s="398"/>
      <c r="L5954" s="398"/>
      <c r="M5954" s="682"/>
      <c r="N5954" s="171"/>
      <c r="O5954" s="171"/>
      <c r="P5954" s="171"/>
      <c r="Q5954" s="171"/>
      <c r="R5954" s="171"/>
      <c r="S5954" s="171"/>
      <c r="T5954" s="171"/>
      <c r="U5954" s="171"/>
      <c r="V5954" s="171"/>
      <c r="W5954" s="171"/>
      <c r="X5954" s="171"/>
      <c r="Y5954" s="171"/>
      <c r="Z5954" s="171"/>
      <c r="AA5954" s="171"/>
    </row>
    <row r="5955" spans="1:27" s="530" customFormat="1" hidden="1" x14ac:dyDescent="0.2">
      <c r="A5955" s="526"/>
      <c r="B5955" s="527"/>
      <c r="C5955" s="595"/>
      <c r="D5955" s="548"/>
      <c r="E5955" s="548"/>
      <c r="F5955" s="596"/>
      <c r="G5955" s="598"/>
      <c r="H5955" s="397"/>
      <c r="I5955" s="397"/>
      <c r="J5955" s="750"/>
      <c r="K5955" s="398"/>
      <c r="L5955" s="398"/>
      <c r="M5955" s="682"/>
      <c r="N5955" s="171"/>
      <c r="O5955" s="171"/>
      <c r="P5955" s="171"/>
      <c r="Q5955" s="171"/>
      <c r="R5955" s="171"/>
      <c r="S5955" s="171"/>
      <c r="T5955" s="171"/>
      <c r="U5955" s="171"/>
      <c r="V5955" s="171"/>
      <c r="W5955" s="171"/>
      <c r="X5955" s="171"/>
      <c r="Y5955" s="171"/>
      <c r="Z5955" s="171"/>
      <c r="AA5955" s="171"/>
    </row>
    <row r="5956" spans="1:27" s="530" customFormat="1" hidden="1" x14ac:dyDescent="0.2">
      <c r="A5956" s="526"/>
      <c r="B5956" s="527"/>
      <c r="C5956" s="595"/>
      <c r="D5956" s="548"/>
      <c r="E5956" s="548"/>
      <c r="F5956" s="596"/>
      <c r="G5956" s="598"/>
      <c r="H5956" s="397"/>
      <c r="I5956" s="397"/>
      <c r="J5956" s="750"/>
      <c r="K5956" s="398"/>
      <c r="L5956" s="398"/>
      <c r="M5956" s="682"/>
      <c r="N5956" s="171"/>
      <c r="O5956" s="171"/>
      <c r="P5956" s="171"/>
      <c r="Q5956" s="171"/>
      <c r="R5956" s="171"/>
      <c r="S5956" s="171"/>
      <c r="T5956" s="171"/>
      <c r="U5956" s="171"/>
      <c r="V5956" s="171"/>
      <c r="W5956" s="171"/>
      <c r="X5956" s="171"/>
      <c r="Y5956" s="171"/>
      <c r="Z5956" s="171"/>
      <c r="AA5956" s="171"/>
    </row>
    <row r="5957" spans="1:27" s="530" customFormat="1" hidden="1" x14ac:dyDescent="0.2">
      <c r="A5957" s="526"/>
      <c r="B5957" s="527"/>
      <c r="C5957" s="595"/>
      <c r="D5957" s="548"/>
      <c r="E5957" s="548"/>
      <c r="F5957" s="596"/>
      <c r="G5957" s="598"/>
      <c r="H5957" s="397"/>
      <c r="I5957" s="397"/>
      <c r="J5957" s="750"/>
      <c r="K5957" s="398"/>
      <c r="L5957" s="398"/>
      <c r="M5957" s="682"/>
      <c r="N5957" s="171"/>
      <c r="O5957" s="171"/>
      <c r="P5957" s="171"/>
      <c r="Q5957" s="171"/>
      <c r="R5957" s="171"/>
      <c r="S5957" s="171"/>
      <c r="T5957" s="171"/>
      <c r="U5957" s="171"/>
      <c r="V5957" s="171"/>
      <c r="W5957" s="171"/>
      <c r="X5957" s="171"/>
      <c r="Y5957" s="171"/>
      <c r="Z5957" s="171"/>
      <c r="AA5957" s="171"/>
    </row>
    <row r="5958" spans="1:27" s="530" customFormat="1" ht="14.25" hidden="1" customHeight="1" x14ac:dyDescent="0.2">
      <c r="A5958" s="526"/>
      <c r="B5958" s="527"/>
      <c r="C5958" s="595"/>
      <c r="D5958" s="548"/>
      <c r="E5958" s="548"/>
      <c r="F5958" s="596"/>
      <c r="G5958" s="598"/>
      <c r="H5958" s="397"/>
      <c r="I5958" s="397"/>
      <c r="J5958" s="750"/>
      <c r="K5958" s="398"/>
      <c r="L5958" s="398"/>
      <c r="M5958" s="682"/>
      <c r="N5958" s="171"/>
      <c r="O5958" s="171"/>
      <c r="P5958" s="171"/>
      <c r="Q5958" s="171"/>
      <c r="R5958" s="171"/>
      <c r="S5958" s="171"/>
      <c r="T5958" s="171"/>
      <c r="U5958" s="171"/>
      <c r="V5958" s="171"/>
      <c r="W5958" s="171"/>
      <c r="X5958" s="171"/>
      <c r="Y5958" s="171"/>
      <c r="Z5958" s="171"/>
      <c r="AA5958" s="171"/>
    </row>
    <row r="5959" spans="1:27" s="530" customFormat="1" hidden="1" x14ac:dyDescent="0.2">
      <c r="A5959" s="526"/>
      <c r="B5959" s="527"/>
      <c r="C5959" s="595"/>
      <c r="D5959" s="548"/>
      <c r="E5959" s="548"/>
      <c r="F5959" s="596"/>
      <c r="G5959" s="601"/>
      <c r="H5959" s="397"/>
      <c r="I5959" s="397"/>
      <c r="J5959" s="750"/>
      <c r="K5959" s="398"/>
      <c r="L5959" s="398"/>
      <c r="M5959" s="682"/>
      <c r="N5959" s="171"/>
      <c r="O5959" s="171"/>
      <c r="P5959" s="171"/>
      <c r="Q5959" s="171"/>
      <c r="R5959" s="171"/>
      <c r="S5959" s="171"/>
      <c r="T5959" s="171"/>
      <c r="U5959" s="171"/>
      <c r="V5959" s="171"/>
      <c r="W5959" s="171"/>
      <c r="X5959" s="171"/>
      <c r="Y5959" s="171"/>
      <c r="Z5959" s="171"/>
      <c r="AA5959" s="171"/>
    </row>
    <row r="5960" spans="1:27" s="530" customFormat="1" hidden="1" x14ac:dyDescent="0.2">
      <c r="A5960" s="526"/>
      <c r="B5960" s="527"/>
      <c r="C5960" s="595"/>
      <c r="D5960" s="548"/>
      <c r="E5960" s="548"/>
      <c r="F5960" s="596"/>
      <c r="G5960" s="598"/>
      <c r="H5960" s="397"/>
      <c r="I5960" s="397"/>
      <c r="J5960" s="750"/>
      <c r="K5960" s="398"/>
      <c r="L5960" s="398"/>
      <c r="M5960" s="682"/>
      <c r="N5960" s="171"/>
      <c r="O5960" s="171"/>
      <c r="P5960" s="171"/>
      <c r="Q5960" s="171"/>
      <c r="R5960" s="171"/>
      <c r="S5960" s="171"/>
      <c r="T5960" s="171"/>
      <c r="U5960" s="171"/>
      <c r="V5960" s="171"/>
      <c r="W5960" s="171"/>
      <c r="X5960" s="171"/>
      <c r="Y5960" s="171"/>
      <c r="Z5960" s="171"/>
      <c r="AA5960" s="171"/>
    </row>
    <row r="5961" spans="1:27" s="530" customFormat="1" hidden="1" x14ac:dyDescent="0.2">
      <c r="A5961" s="526"/>
      <c r="B5961" s="527"/>
      <c r="C5961" s="595"/>
      <c r="D5961" s="548"/>
      <c r="E5961" s="548"/>
      <c r="F5961" s="596"/>
      <c r="G5961" s="598"/>
      <c r="H5961" s="397"/>
      <c r="I5961" s="397"/>
      <c r="J5961" s="750"/>
      <c r="K5961" s="398"/>
      <c r="L5961" s="398"/>
      <c r="M5961" s="682"/>
      <c r="N5961" s="171"/>
      <c r="O5961" s="171"/>
      <c r="P5961" s="171"/>
      <c r="Q5961" s="171"/>
      <c r="R5961" s="171"/>
      <c r="S5961" s="171"/>
      <c r="T5961" s="171"/>
      <c r="U5961" s="171"/>
      <c r="V5961" s="171"/>
      <c r="W5961" s="171"/>
      <c r="X5961" s="171"/>
      <c r="Y5961" s="171"/>
      <c r="Z5961" s="171"/>
      <c r="AA5961" s="171"/>
    </row>
    <row r="5962" spans="1:27" s="530" customFormat="1" hidden="1" x14ac:dyDescent="0.2">
      <c r="A5962" s="526"/>
      <c r="B5962" s="527"/>
      <c r="C5962" s="595"/>
      <c r="D5962" s="548"/>
      <c r="E5962" s="548"/>
      <c r="F5962" s="596"/>
      <c r="G5962" s="598"/>
      <c r="H5962" s="397"/>
      <c r="I5962" s="397"/>
      <c r="J5962" s="750"/>
      <c r="K5962" s="398"/>
      <c r="L5962" s="398"/>
      <c r="M5962" s="682"/>
      <c r="N5962" s="171"/>
      <c r="O5962" s="171"/>
      <c r="P5962" s="171"/>
      <c r="Q5962" s="171"/>
      <c r="R5962" s="171"/>
      <c r="S5962" s="171"/>
      <c r="T5962" s="171"/>
      <c r="U5962" s="171"/>
      <c r="V5962" s="171"/>
      <c r="W5962" s="171"/>
      <c r="X5962" s="171"/>
      <c r="Y5962" s="171"/>
      <c r="Z5962" s="171"/>
      <c r="AA5962" s="171"/>
    </row>
    <row r="5963" spans="1:27" s="530" customFormat="1" hidden="1" x14ac:dyDescent="0.2">
      <c r="A5963" s="526"/>
      <c r="B5963" s="527"/>
      <c r="C5963" s="595"/>
      <c r="D5963" s="548"/>
      <c r="E5963" s="548"/>
      <c r="F5963" s="596"/>
      <c r="G5963" s="598"/>
      <c r="H5963" s="397"/>
      <c r="I5963" s="397"/>
      <c r="J5963" s="750"/>
      <c r="K5963" s="398"/>
      <c r="L5963" s="398"/>
      <c r="M5963" s="682"/>
      <c r="N5963" s="171"/>
      <c r="O5963" s="171"/>
      <c r="P5963" s="171"/>
      <c r="Q5963" s="171"/>
      <c r="R5963" s="171"/>
      <c r="S5963" s="171"/>
      <c r="T5963" s="171"/>
      <c r="U5963" s="171"/>
      <c r="V5963" s="171"/>
      <c r="W5963" s="171"/>
      <c r="X5963" s="171"/>
      <c r="Y5963" s="171"/>
      <c r="Z5963" s="171"/>
      <c r="AA5963" s="171"/>
    </row>
    <row r="5964" spans="1:27" s="530" customFormat="1" hidden="1" x14ac:dyDescent="0.2">
      <c r="A5964" s="526"/>
      <c r="B5964" s="527"/>
      <c r="C5964" s="595"/>
      <c r="D5964" s="548"/>
      <c r="E5964" s="548"/>
      <c r="F5964" s="596"/>
      <c r="G5964" s="598"/>
      <c r="H5964" s="397"/>
      <c r="I5964" s="397"/>
      <c r="J5964" s="750"/>
      <c r="K5964" s="398"/>
      <c r="L5964" s="398"/>
      <c r="M5964" s="682"/>
      <c r="N5964" s="171"/>
      <c r="O5964" s="171"/>
      <c r="P5964" s="171"/>
      <c r="Q5964" s="171"/>
      <c r="R5964" s="171"/>
      <c r="S5964" s="171"/>
      <c r="T5964" s="171"/>
      <c r="U5964" s="171"/>
      <c r="V5964" s="171"/>
      <c r="W5964" s="171"/>
      <c r="X5964" s="171"/>
      <c r="Y5964" s="171"/>
      <c r="Z5964" s="171"/>
      <c r="AA5964" s="171"/>
    </row>
    <row r="5965" spans="1:27" s="530" customFormat="1" hidden="1" x14ac:dyDescent="0.2">
      <c r="A5965" s="526"/>
      <c r="B5965" s="527"/>
      <c r="C5965" s="595"/>
      <c r="D5965" s="548"/>
      <c r="E5965" s="548"/>
      <c r="F5965" s="596"/>
      <c r="G5965" s="598"/>
      <c r="H5965" s="397"/>
      <c r="I5965" s="397"/>
      <c r="J5965" s="750"/>
      <c r="K5965" s="398"/>
      <c r="L5965" s="398"/>
      <c r="M5965" s="682"/>
      <c r="N5965" s="171"/>
      <c r="O5965" s="171"/>
      <c r="P5965" s="171"/>
      <c r="Q5965" s="171"/>
      <c r="R5965" s="171"/>
      <c r="S5965" s="171"/>
      <c r="T5965" s="171"/>
      <c r="U5965" s="171"/>
      <c r="V5965" s="171"/>
      <c r="W5965" s="171"/>
      <c r="X5965" s="171"/>
      <c r="Y5965" s="171"/>
      <c r="Z5965" s="171"/>
      <c r="AA5965" s="171"/>
    </row>
    <row r="5966" spans="1:27" s="530" customFormat="1" hidden="1" x14ac:dyDescent="0.2">
      <c r="A5966" s="526"/>
      <c r="B5966" s="527"/>
      <c r="C5966" s="595"/>
      <c r="D5966" s="548"/>
      <c r="E5966" s="548"/>
      <c r="F5966" s="596"/>
      <c r="G5966" s="598"/>
      <c r="H5966" s="397"/>
      <c r="I5966" s="397"/>
      <c r="J5966" s="750"/>
      <c r="K5966" s="398"/>
      <c r="L5966" s="398"/>
      <c r="M5966" s="682"/>
      <c r="N5966" s="171"/>
      <c r="O5966" s="171"/>
      <c r="P5966" s="171"/>
      <c r="Q5966" s="171"/>
      <c r="R5966" s="171"/>
      <c r="S5966" s="171"/>
      <c r="T5966" s="171"/>
      <c r="U5966" s="171"/>
      <c r="V5966" s="171"/>
      <c r="W5966" s="171"/>
      <c r="X5966" s="171"/>
      <c r="Y5966" s="171"/>
      <c r="Z5966" s="171"/>
      <c r="AA5966" s="171"/>
    </row>
    <row r="5967" spans="1:27" s="530" customFormat="1" hidden="1" x14ac:dyDescent="0.2">
      <c r="A5967" s="526"/>
      <c r="B5967" s="527"/>
      <c r="C5967" s="595"/>
      <c r="D5967" s="548"/>
      <c r="E5967" s="548"/>
      <c r="F5967" s="596"/>
      <c r="G5967" s="601"/>
      <c r="H5967" s="397"/>
      <c r="I5967" s="397"/>
      <c r="J5967" s="750"/>
      <c r="K5967" s="398"/>
      <c r="L5967" s="398"/>
      <c r="M5967" s="682"/>
      <c r="N5967" s="171"/>
      <c r="O5967" s="171"/>
      <c r="P5967" s="171"/>
      <c r="Q5967" s="171"/>
      <c r="R5967" s="171"/>
      <c r="S5967" s="171"/>
      <c r="T5967" s="171"/>
      <c r="U5967" s="171"/>
      <c r="V5967" s="171"/>
      <c r="W5967" s="171"/>
      <c r="X5967" s="171"/>
      <c r="Y5967" s="171"/>
      <c r="Z5967" s="171"/>
      <c r="AA5967" s="171"/>
    </row>
    <row r="5968" spans="1:27" s="530" customFormat="1" hidden="1" x14ac:dyDescent="0.2">
      <c r="A5968" s="526"/>
      <c r="B5968" s="527"/>
      <c r="C5968" s="595"/>
      <c r="D5968" s="548"/>
      <c r="E5968" s="548"/>
      <c r="F5968" s="596"/>
      <c r="G5968" s="601"/>
      <c r="H5968" s="397"/>
      <c r="I5968" s="397"/>
      <c r="J5968" s="750"/>
      <c r="K5968" s="398"/>
      <c r="L5968" s="398"/>
      <c r="M5968" s="682"/>
      <c r="N5968" s="171"/>
      <c r="O5968" s="171"/>
      <c r="P5968" s="171"/>
      <c r="Q5968" s="171"/>
      <c r="R5968" s="171"/>
      <c r="S5968" s="171"/>
      <c r="T5968" s="171"/>
      <c r="U5968" s="171"/>
      <c r="V5968" s="171"/>
      <c r="W5968" s="171"/>
      <c r="X5968" s="171"/>
      <c r="Y5968" s="171"/>
      <c r="Z5968" s="171"/>
      <c r="AA5968" s="171"/>
    </row>
    <row r="5969" spans="1:27" s="530" customFormat="1" ht="12.75" hidden="1" customHeight="1" thickBot="1" x14ac:dyDescent="0.25">
      <c r="A5969" s="526"/>
      <c r="B5969" s="527"/>
      <c r="C5969" s="595"/>
      <c r="D5969" s="548"/>
      <c r="E5969" s="548"/>
      <c r="F5969" s="596"/>
      <c r="G5969" s="601"/>
      <c r="H5969" s="397"/>
      <c r="I5969" s="397"/>
      <c r="J5969" s="750"/>
      <c r="K5969" s="398"/>
      <c r="L5969" s="398"/>
      <c r="M5969" s="682"/>
      <c r="N5969" s="171"/>
      <c r="O5969" s="171"/>
      <c r="P5969" s="171"/>
      <c r="Q5969" s="171"/>
      <c r="R5969" s="171"/>
      <c r="S5969" s="171"/>
      <c r="T5969" s="171"/>
      <c r="U5969" s="171"/>
      <c r="V5969" s="171"/>
      <c r="W5969" s="171"/>
      <c r="X5969" s="171"/>
      <c r="Y5969" s="171"/>
      <c r="Z5969" s="171"/>
      <c r="AA5969" s="171"/>
    </row>
    <row r="5970" spans="1:27" s="530" customFormat="1" ht="13.5" hidden="1" thickBot="1" x14ac:dyDescent="0.25">
      <c r="A5970" s="526"/>
      <c r="B5970" s="527"/>
      <c r="C5970" s="595"/>
      <c r="D5970" s="548"/>
      <c r="E5970" s="548"/>
      <c r="F5970" s="596">
        <v>513</v>
      </c>
      <c r="G5970" s="601" t="s">
        <v>4196</v>
      </c>
      <c r="H5970" s="397"/>
      <c r="I5970" s="397"/>
      <c r="J5970" s="750"/>
      <c r="K5970" s="398"/>
      <c r="L5970" s="398"/>
      <c r="M5970" s="682"/>
      <c r="N5970" s="171"/>
      <c r="O5970" s="171"/>
      <c r="P5970" s="171"/>
      <c r="Q5970" s="171"/>
      <c r="R5970" s="171"/>
      <c r="S5970" s="171"/>
      <c r="T5970" s="171"/>
      <c r="U5970" s="171"/>
      <c r="V5970" s="171"/>
      <c r="W5970" s="171"/>
      <c r="X5970" s="171"/>
      <c r="Y5970" s="171"/>
      <c r="Z5970" s="171"/>
      <c r="AA5970" s="171"/>
    </row>
    <row r="5971" spans="1:27" s="530" customFormat="1" ht="13.5" hidden="1" thickBot="1" x14ac:dyDescent="0.25">
      <c r="A5971" s="526"/>
      <c r="B5971" s="527"/>
      <c r="C5971" s="595"/>
      <c r="D5971" s="548"/>
      <c r="E5971" s="548"/>
      <c r="F5971" s="596">
        <v>514</v>
      </c>
      <c r="G5971" s="598" t="s">
        <v>4197</v>
      </c>
      <c r="H5971" s="397"/>
      <c r="I5971" s="397"/>
      <c r="J5971" s="750"/>
      <c r="K5971" s="398"/>
      <c r="L5971" s="398"/>
      <c r="M5971" s="682"/>
      <c r="N5971" s="171"/>
      <c r="O5971" s="171"/>
      <c r="P5971" s="171"/>
      <c r="Q5971" s="171"/>
      <c r="R5971" s="171"/>
      <c r="S5971" s="171"/>
      <c r="T5971" s="171"/>
      <c r="U5971" s="171"/>
      <c r="V5971" s="171"/>
      <c r="W5971" s="171"/>
      <c r="X5971" s="171"/>
      <c r="Y5971" s="171"/>
      <c r="Z5971" s="171"/>
      <c r="AA5971" s="171"/>
    </row>
    <row r="5972" spans="1:27" s="530" customFormat="1" ht="13.5" hidden="1" thickBot="1" x14ac:dyDescent="0.25">
      <c r="A5972" s="526"/>
      <c r="B5972" s="527"/>
      <c r="C5972" s="595"/>
      <c r="D5972" s="548"/>
      <c r="E5972" s="548"/>
      <c r="F5972" s="596">
        <v>515</v>
      </c>
      <c r="G5972" s="598" t="s">
        <v>3832</v>
      </c>
      <c r="H5972" s="397"/>
      <c r="I5972" s="397"/>
      <c r="J5972" s="750"/>
      <c r="K5972" s="398"/>
      <c r="L5972" s="398"/>
      <c r="M5972" s="682"/>
      <c r="N5972" s="171"/>
      <c r="O5972" s="171"/>
      <c r="P5972" s="171"/>
      <c r="Q5972" s="171"/>
      <c r="R5972" s="171"/>
      <c r="S5972" s="171"/>
      <c r="T5972" s="171"/>
      <c r="U5972" s="171"/>
      <c r="V5972" s="171"/>
      <c r="W5972" s="171"/>
      <c r="X5972" s="171"/>
      <c r="Y5972" s="171"/>
      <c r="Z5972" s="171"/>
      <c r="AA5972" s="171"/>
    </row>
    <row r="5973" spans="1:27" s="530" customFormat="1" ht="13.5" hidden="1" thickBot="1" x14ac:dyDescent="0.25">
      <c r="A5973" s="526"/>
      <c r="B5973" s="527"/>
      <c r="C5973" s="595"/>
      <c r="D5973" s="548"/>
      <c r="E5973" s="548"/>
      <c r="F5973" s="596">
        <v>521</v>
      </c>
      <c r="G5973" s="598" t="s">
        <v>4198</v>
      </c>
      <c r="H5973" s="397"/>
      <c r="I5973" s="397"/>
      <c r="J5973" s="750"/>
      <c r="K5973" s="398"/>
      <c r="L5973" s="398"/>
      <c r="M5973" s="682"/>
      <c r="N5973" s="171"/>
      <c r="O5973" s="171"/>
      <c r="P5973" s="171"/>
      <c r="Q5973" s="171"/>
      <c r="R5973" s="171"/>
      <c r="S5973" s="171"/>
      <c r="T5973" s="171"/>
      <c r="U5973" s="171"/>
      <c r="V5973" s="171"/>
      <c r="W5973" s="171"/>
      <c r="X5973" s="171"/>
      <c r="Y5973" s="171"/>
      <c r="Z5973" s="171"/>
      <c r="AA5973" s="171"/>
    </row>
    <row r="5974" spans="1:27" s="530" customFormat="1" ht="13.5" hidden="1" thickBot="1" x14ac:dyDescent="0.25">
      <c r="A5974" s="526"/>
      <c r="B5974" s="527"/>
      <c r="C5974" s="595"/>
      <c r="D5974" s="548"/>
      <c r="E5974" s="548"/>
      <c r="F5974" s="596">
        <v>522</v>
      </c>
      <c r="G5974" s="598" t="s">
        <v>4199</v>
      </c>
      <c r="H5974" s="397"/>
      <c r="I5974" s="397"/>
      <c r="J5974" s="750"/>
      <c r="K5974" s="398"/>
      <c r="L5974" s="398"/>
      <c r="M5974" s="682"/>
      <c r="N5974" s="171"/>
      <c r="O5974" s="171"/>
      <c r="P5974" s="171"/>
      <c r="Q5974" s="171"/>
      <c r="R5974" s="171"/>
      <c r="S5974" s="171"/>
      <c r="T5974" s="171"/>
      <c r="U5974" s="171"/>
      <c r="V5974" s="171"/>
      <c r="W5974" s="171"/>
      <c r="X5974" s="171"/>
      <c r="Y5974" s="171"/>
      <c r="Z5974" s="171"/>
      <c r="AA5974" s="171"/>
    </row>
    <row r="5975" spans="1:27" s="530" customFormat="1" ht="13.5" hidden="1" thickBot="1" x14ac:dyDescent="0.25">
      <c r="A5975" s="526"/>
      <c r="B5975" s="527"/>
      <c r="C5975" s="595"/>
      <c r="D5975" s="548"/>
      <c r="E5975" s="548"/>
      <c r="F5975" s="596">
        <v>523</v>
      </c>
      <c r="G5975" s="598" t="s">
        <v>3837</v>
      </c>
      <c r="H5975" s="397"/>
      <c r="I5975" s="397"/>
      <c r="J5975" s="750"/>
      <c r="K5975" s="398"/>
      <c r="L5975" s="398"/>
      <c r="M5975" s="682"/>
      <c r="N5975" s="171"/>
      <c r="O5975" s="171"/>
      <c r="P5975" s="171"/>
      <c r="Q5975" s="171"/>
      <c r="R5975" s="171"/>
      <c r="S5975" s="171"/>
      <c r="T5975" s="171"/>
      <c r="U5975" s="171"/>
      <c r="V5975" s="171"/>
      <c r="W5975" s="171"/>
      <c r="X5975" s="171"/>
      <c r="Y5975" s="171"/>
      <c r="Z5975" s="171"/>
      <c r="AA5975" s="171"/>
    </row>
    <row r="5976" spans="1:27" s="530" customFormat="1" ht="13.5" hidden="1" thickBot="1" x14ac:dyDescent="0.25">
      <c r="A5976" s="526"/>
      <c r="B5976" s="527"/>
      <c r="C5976" s="595"/>
      <c r="D5976" s="548"/>
      <c r="E5976" s="548"/>
      <c r="F5976" s="596">
        <v>531</v>
      </c>
      <c r="G5976" s="602" t="s">
        <v>4175</v>
      </c>
      <c r="H5976" s="397"/>
      <c r="I5976" s="397"/>
      <c r="J5976" s="750"/>
      <c r="K5976" s="398"/>
      <c r="L5976" s="398"/>
      <c r="M5976" s="682"/>
      <c r="N5976" s="171"/>
      <c r="O5976" s="171"/>
      <c r="P5976" s="171"/>
      <c r="Q5976" s="171"/>
      <c r="R5976" s="171"/>
      <c r="S5976" s="171"/>
      <c r="T5976" s="171"/>
      <c r="U5976" s="171"/>
      <c r="V5976" s="171"/>
      <c r="W5976" s="171"/>
      <c r="X5976" s="171"/>
      <c r="Y5976" s="171"/>
      <c r="Z5976" s="171"/>
      <c r="AA5976" s="171"/>
    </row>
    <row r="5977" spans="1:27" s="530" customFormat="1" ht="13.5" hidden="1" thickBot="1" x14ac:dyDescent="0.25">
      <c r="A5977" s="526"/>
      <c r="B5977" s="527"/>
      <c r="C5977" s="595"/>
      <c r="D5977" s="548"/>
      <c r="E5977" s="548"/>
      <c r="F5977" s="596">
        <v>541</v>
      </c>
      <c r="G5977" s="598" t="s">
        <v>4200</v>
      </c>
      <c r="H5977" s="397"/>
      <c r="I5977" s="397"/>
      <c r="J5977" s="750"/>
      <c r="K5977" s="398"/>
      <c r="L5977" s="398"/>
      <c r="M5977" s="682"/>
      <c r="N5977" s="171"/>
      <c r="O5977" s="171"/>
      <c r="P5977" s="171"/>
      <c r="Q5977" s="171"/>
      <c r="R5977" s="171"/>
      <c r="S5977" s="171"/>
      <c r="T5977" s="171"/>
      <c r="U5977" s="171"/>
      <c r="V5977" s="171"/>
      <c r="W5977" s="171"/>
      <c r="X5977" s="171"/>
      <c r="Y5977" s="171"/>
      <c r="Z5977" s="171"/>
      <c r="AA5977" s="171"/>
    </row>
    <row r="5978" spans="1:27" s="530" customFormat="1" ht="13.5" hidden="1" thickBot="1" x14ac:dyDescent="0.25">
      <c r="A5978" s="526"/>
      <c r="B5978" s="527"/>
      <c r="C5978" s="595"/>
      <c r="D5978" s="548"/>
      <c r="E5978" s="548"/>
      <c r="F5978" s="596">
        <v>542</v>
      </c>
      <c r="G5978" s="598" t="s">
        <v>4201</v>
      </c>
      <c r="H5978" s="397"/>
      <c r="I5978" s="397"/>
      <c r="J5978" s="750"/>
      <c r="K5978" s="398"/>
      <c r="L5978" s="398"/>
      <c r="M5978" s="682"/>
      <c r="N5978" s="171"/>
      <c r="O5978" s="171"/>
      <c r="P5978" s="171"/>
      <c r="Q5978" s="171"/>
      <c r="R5978" s="171"/>
      <c r="S5978" s="171"/>
      <c r="T5978" s="171"/>
      <c r="U5978" s="171"/>
      <c r="V5978" s="171"/>
      <c r="W5978" s="171"/>
      <c r="X5978" s="171"/>
      <c r="Y5978" s="171"/>
      <c r="Z5978" s="171"/>
      <c r="AA5978" s="171"/>
    </row>
    <row r="5979" spans="1:27" s="530" customFormat="1" ht="13.5" hidden="1" thickBot="1" x14ac:dyDescent="0.25">
      <c r="A5979" s="526"/>
      <c r="B5979" s="527"/>
      <c r="C5979" s="595"/>
      <c r="D5979" s="548"/>
      <c r="E5979" s="548"/>
      <c r="F5979" s="596">
        <v>543</v>
      </c>
      <c r="G5979" s="598" t="s">
        <v>3842</v>
      </c>
      <c r="H5979" s="397"/>
      <c r="I5979" s="397"/>
      <c r="J5979" s="750"/>
      <c r="K5979" s="398"/>
      <c r="L5979" s="398"/>
      <c r="M5979" s="682"/>
      <c r="N5979" s="171"/>
      <c r="O5979" s="171"/>
      <c r="P5979" s="171"/>
      <c r="Q5979" s="171"/>
      <c r="R5979" s="171"/>
      <c r="S5979" s="171"/>
      <c r="T5979" s="171"/>
      <c r="U5979" s="171"/>
      <c r="V5979" s="171"/>
      <c r="W5979" s="171"/>
      <c r="X5979" s="171"/>
      <c r="Y5979" s="171"/>
      <c r="Z5979" s="171"/>
      <c r="AA5979" s="171"/>
    </row>
    <row r="5980" spans="1:27" s="530" customFormat="1" ht="39" hidden="1" thickBot="1" x14ac:dyDescent="0.25">
      <c r="A5980" s="526"/>
      <c r="B5980" s="527"/>
      <c r="C5980" s="595"/>
      <c r="D5980" s="548"/>
      <c r="E5980" s="548"/>
      <c r="F5980" s="596">
        <v>551</v>
      </c>
      <c r="G5980" s="598" t="s">
        <v>4176</v>
      </c>
      <c r="H5980" s="397"/>
      <c r="I5980" s="397"/>
      <c r="J5980" s="750"/>
      <c r="K5980" s="398"/>
      <c r="L5980" s="398"/>
      <c r="M5980" s="682"/>
      <c r="N5980" s="171"/>
      <c r="O5980" s="171"/>
      <c r="P5980" s="171"/>
      <c r="Q5980" s="171"/>
      <c r="R5980" s="171"/>
      <c r="S5980" s="171"/>
      <c r="T5980" s="171"/>
      <c r="U5980" s="171"/>
      <c r="V5980" s="171"/>
      <c r="W5980" s="171"/>
      <c r="X5980" s="171"/>
      <c r="Y5980" s="171"/>
      <c r="Z5980" s="171"/>
      <c r="AA5980" s="171"/>
    </row>
    <row r="5981" spans="1:27" s="530" customFormat="1" ht="13.5" hidden="1" thickBot="1" x14ac:dyDescent="0.25">
      <c r="A5981" s="526"/>
      <c r="B5981" s="527"/>
      <c r="C5981" s="595"/>
      <c r="D5981" s="548"/>
      <c r="E5981" s="548"/>
      <c r="F5981" s="603">
        <v>611</v>
      </c>
      <c r="G5981" s="604" t="s">
        <v>3848</v>
      </c>
      <c r="H5981" s="397"/>
      <c r="I5981" s="397"/>
      <c r="J5981" s="750"/>
      <c r="K5981" s="398"/>
      <c r="L5981" s="398"/>
      <c r="M5981" s="682"/>
      <c r="N5981" s="171"/>
      <c r="O5981" s="171"/>
      <c r="P5981" s="171"/>
      <c r="Q5981" s="171"/>
      <c r="R5981" s="171"/>
      <c r="S5981" s="171"/>
      <c r="T5981" s="171"/>
      <c r="U5981" s="171"/>
      <c r="V5981" s="171"/>
      <c r="W5981" s="171"/>
      <c r="X5981" s="171"/>
      <c r="Y5981" s="171"/>
      <c r="Z5981" s="171"/>
      <c r="AA5981" s="171"/>
    </row>
    <row r="5982" spans="1:27" s="530" customFormat="1" ht="13.5" hidden="1" thickBot="1" x14ac:dyDescent="0.25">
      <c r="A5982" s="526"/>
      <c r="B5982" s="527"/>
      <c r="C5982" s="595"/>
      <c r="D5982" s="591"/>
      <c r="E5982" s="591"/>
      <c r="F5982" s="605">
        <v>620</v>
      </c>
      <c r="G5982" s="604" t="s">
        <v>88</v>
      </c>
      <c r="H5982" s="397"/>
      <c r="I5982" s="397"/>
      <c r="J5982" s="750"/>
      <c r="K5982" s="398"/>
      <c r="L5982" s="398"/>
      <c r="M5982" s="682"/>
      <c r="N5982" s="171"/>
      <c r="O5982" s="171"/>
      <c r="P5982" s="171"/>
      <c r="Q5982" s="171"/>
      <c r="R5982" s="171"/>
      <c r="S5982" s="171"/>
      <c r="T5982" s="171"/>
      <c r="U5982" s="171"/>
      <c r="V5982" s="171"/>
      <c r="W5982" s="171"/>
      <c r="X5982" s="171"/>
      <c r="Y5982" s="171"/>
      <c r="Z5982" s="171"/>
      <c r="AA5982" s="171"/>
    </row>
    <row r="5983" spans="1:27" s="530" customFormat="1" ht="12.75" customHeight="1" x14ac:dyDescent="0.2">
      <c r="A5983" s="526"/>
      <c r="B5983" s="527"/>
      <c r="C5983" s="595"/>
      <c r="D5983" s="591"/>
      <c r="E5983" s="605"/>
      <c r="F5983" s="605"/>
      <c r="G5983" s="606" t="s">
        <v>4454</v>
      </c>
      <c r="H5983" s="400"/>
      <c r="I5983" s="400"/>
      <c r="J5983" s="750"/>
      <c r="K5983" s="401"/>
      <c r="L5983" s="402"/>
      <c r="M5983" s="682"/>
      <c r="N5983" s="171"/>
      <c r="O5983" s="171"/>
      <c r="P5983" s="171"/>
      <c r="Q5983" s="171"/>
      <c r="R5983" s="171"/>
      <c r="S5983" s="171"/>
      <c r="T5983" s="171"/>
      <c r="U5983" s="171"/>
      <c r="V5983" s="171"/>
      <c r="W5983" s="171"/>
      <c r="X5983" s="171"/>
      <c r="Y5983" s="171"/>
      <c r="Z5983" s="171"/>
      <c r="AA5983" s="171"/>
    </row>
    <row r="5984" spans="1:27" s="530" customFormat="1" ht="12.75" customHeight="1" thickBot="1" x14ac:dyDescent="0.25">
      <c r="A5984" s="526"/>
      <c r="B5984" s="527"/>
      <c r="C5984" s="595"/>
      <c r="D5984" s="591"/>
      <c r="E5984" s="607"/>
      <c r="F5984" s="608" t="s">
        <v>234</v>
      </c>
      <c r="G5984" s="609" t="s">
        <v>235</v>
      </c>
      <c r="H5984" s="403">
        <f>SUM(H5922:H5982)</f>
        <v>5679900</v>
      </c>
      <c r="I5984" s="403">
        <f>SUM(I5922:I5923)</f>
        <v>5191999.67</v>
      </c>
      <c r="J5984" s="750">
        <f t="shared" ref="J5984:J6028" si="77">SUM(I5984/H5984)*100</f>
        <v>91.410054226306798</v>
      </c>
      <c r="K5984" s="404"/>
      <c r="L5984" s="404"/>
      <c r="M5984" s="682"/>
      <c r="N5984" s="171"/>
      <c r="O5984" s="171"/>
      <c r="P5984" s="171"/>
      <c r="Q5984" s="171"/>
      <c r="R5984" s="171"/>
      <c r="S5984" s="171"/>
      <c r="T5984" s="171"/>
      <c r="U5984" s="171"/>
      <c r="V5984" s="171"/>
      <c r="W5984" s="171"/>
      <c r="X5984" s="171"/>
      <c r="Y5984" s="171"/>
      <c r="Z5984" s="171"/>
      <c r="AA5984" s="171"/>
    </row>
    <row r="5985" spans="1:27" s="530" customFormat="1" ht="13.5" hidden="1" thickBot="1" x14ac:dyDescent="0.25">
      <c r="A5985" s="526"/>
      <c r="B5985" s="527"/>
      <c r="C5985" s="595"/>
      <c r="D5985" s="591"/>
      <c r="E5985" s="591"/>
      <c r="F5985" s="608" t="s">
        <v>236</v>
      </c>
      <c r="G5985" s="609" t="s">
        <v>237</v>
      </c>
      <c r="H5985" s="397"/>
      <c r="I5985" s="397"/>
      <c r="J5985" s="750" t="e">
        <f t="shared" si="77"/>
        <v>#DIV/0!</v>
      </c>
      <c r="K5985" s="398"/>
      <c r="L5985" s="404"/>
      <c r="M5985" s="682"/>
      <c r="N5985" s="171"/>
      <c r="O5985" s="171"/>
      <c r="P5985" s="171"/>
      <c r="Q5985" s="171"/>
      <c r="R5985" s="171"/>
      <c r="S5985" s="171"/>
      <c r="T5985" s="171"/>
      <c r="U5985" s="171"/>
      <c r="V5985" s="171"/>
      <c r="W5985" s="171"/>
      <c r="X5985" s="171"/>
      <c r="Y5985" s="171"/>
      <c r="Z5985" s="171"/>
      <c r="AA5985" s="171"/>
    </row>
    <row r="5986" spans="1:27" s="530" customFormat="1" ht="13.5" hidden="1" thickBot="1" x14ac:dyDescent="0.25">
      <c r="A5986" s="526"/>
      <c r="B5986" s="527"/>
      <c r="C5986" s="595"/>
      <c r="D5986" s="591"/>
      <c r="E5986" s="591"/>
      <c r="F5986" s="608" t="s">
        <v>238</v>
      </c>
      <c r="G5986" s="609" t="s">
        <v>239</v>
      </c>
      <c r="H5986" s="397"/>
      <c r="I5986" s="397"/>
      <c r="J5986" s="750" t="e">
        <f t="shared" si="77"/>
        <v>#DIV/0!</v>
      </c>
      <c r="K5986" s="398"/>
      <c r="L5986" s="404"/>
      <c r="M5986" s="682"/>
      <c r="N5986" s="171"/>
      <c r="O5986" s="171"/>
      <c r="P5986" s="171"/>
      <c r="Q5986" s="171"/>
      <c r="R5986" s="171"/>
      <c r="S5986" s="171"/>
      <c r="T5986" s="171"/>
      <c r="U5986" s="171"/>
      <c r="V5986" s="171"/>
      <c r="W5986" s="171"/>
      <c r="X5986" s="171"/>
      <c r="Y5986" s="171"/>
      <c r="Z5986" s="171"/>
      <c r="AA5986" s="171"/>
    </row>
    <row r="5987" spans="1:27" s="530" customFormat="1" ht="13.5" hidden="1" thickBot="1" x14ac:dyDescent="0.25">
      <c r="A5987" s="526"/>
      <c r="B5987" s="527"/>
      <c r="C5987" s="595"/>
      <c r="D5987" s="591"/>
      <c r="E5987" s="591"/>
      <c r="F5987" s="608" t="s">
        <v>240</v>
      </c>
      <c r="G5987" s="609" t="s">
        <v>241</v>
      </c>
      <c r="H5987" s="397"/>
      <c r="I5987" s="397"/>
      <c r="J5987" s="750" t="e">
        <f t="shared" si="77"/>
        <v>#DIV/0!</v>
      </c>
      <c r="K5987" s="398"/>
      <c r="L5987" s="404"/>
      <c r="M5987" s="682"/>
      <c r="N5987" s="171"/>
      <c r="O5987" s="171"/>
      <c r="P5987" s="171"/>
      <c r="Q5987" s="171"/>
      <c r="R5987" s="171"/>
      <c r="S5987" s="171"/>
      <c r="T5987" s="171"/>
      <c r="U5987" s="171"/>
      <c r="V5987" s="171"/>
      <c r="W5987" s="171"/>
      <c r="X5987" s="171"/>
      <c r="Y5987" s="171"/>
      <c r="Z5987" s="171"/>
      <c r="AA5987" s="171"/>
    </row>
    <row r="5988" spans="1:27" s="530" customFormat="1" ht="13.5" hidden="1" thickBot="1" x14ac:dyDescent="0.25">
      <c r="A5988" s="526"/>
      <c r="B5988" s="527"/>
      <c r="C5988" s="595"/>
      <c r="D5988" s="591"/>
      <c r="E5988" s="591"/>
      <c r="F5988" s="608" t="s">
        <v>242</v>
      </c>
      <c r="G5988" s="609" t="s">
        <v>243</v>
      </c>
      <c r="H5988" s="397"/>
      <c r="I5988" s="397"/>
      <c r="J5988" s="750" t="e">
        <f t="shared" si="77"/>
        <v>#DIV/0!</v>
      </c>
      <c r="K5988" s="398"/>
      <c r="L5988" s="404"/>
      <c r="M5988" s="682"/>
      <c r="N5988" s="171"/>
      <c r="O5988" s="171"/>
      <c r="P5988" s="171"/>
      <c r="Q5988" s="171"/>
      <c r="R5988" s="171"/>
      <c r="S5988" s="171"/>
      <c r="T5988" s="171"/>
      <c r="U5988" s="171"/>
      <c r="V5988" s="171"/>
      <c r="W5988" s="171"/>
      <c r="X5988" s="171"/>
      <c r="Y5988" s="171"/>
      <c r="Z5988" s="171"/>
      <c r="AA5988" s="171"/>
    </row>
    <row r="5989" spans="1:27" s="530" customFormat="1" ht="13.5" hidden="1" thickBot="1" x14ac:dyDescent="0.25">
      <c r="A5989" s="526"/>
      <c r="B5989" s="527"/>
      <c r="C5989" s="595"/>
      <c r="D5989" s="591"/>
      <c r="E5989" s="591"/>
      <c r="F5989" s="608" t="s">
        <v>244</v>
      </c>
      <c r="G5989" s="609" t="s">
        <v>245</v>
      </c>
      <c r="H5989" s="397"/>
      <c r="I5989" s="397"/>
      <c r="J5989" s="750" t="e">
        <f t="shared" si="77"/>
        <v>#DIV/0!</v>
      </c>
      <c r="K5989" s="398"/>
      <c r="L5989" s="404"/>
      <c r="M5989" s="682"/>
      <c r="N5989" s="171"/>
      <c r="O5989" s="171"/>
      <c r="P5989" s="171"/>
      <c r="Q5989" s="171"/>
      <c r="R5989" s="171"/>
      <c r="S5989" s="171"/>
      <c r="T5989" s="171"/>
      <c r="U5989" s="171"/>
      <c r="V5989" s="171"/>
      <c r="W5989" s="171"/>
      <c r="X5989" s="171"/>
      <c r="Y5989" s="171"/>
      <c r="Z5989" s="171"/>
      <c r="AA5989" s="171"/>
    </row>
    <row r="5990" spans="1:27" s="530" customFormat="1" ht="13.5" hidden="1" thickBot="1" x14ac:dyDescent="0.25">
      <c r="A5990" s="526"/>
      <c r="B5990" s="527"/>
      <c r="C5990" s="595"/>
      <c r="D5990" s="591"/>
      <c r="E5990" s="591"/>
      <c r="F5990" s="608" t="s">
        <v>246</v>
      </c>
      <c r="G5990" s="609" t="s">
        <v>247</v>
      </c>
      <c r="H5990" s="397"/>
      <c r="I5990" s="397"/>
      <c r="J5990" s="750" t="e">
        <f t="shared" si="77"/>
        <v>#DIV/0!</v>
      </c>
      <c r="K5990" s="398"/>
      <c r="L5990" s="404"/>
      <c r="M5990" s="682"/>
      <c r="N5990" s="171"/>
      <c r="O5990" s="171"/>
      <c r="P5990" s="171"/>
      <c r="Q5990" s="171"/>
      <c r="R5990" s="171"/>
      <c r="S5990" s="171"/>
      <c r="T5990" s="171"/>
      <c r="U5990" s="171"/>
      <c r="V5990" s="171"/>
      <c r="W5990" s="171"/>
      <c r="X5990" s="171"/>
      <c r="Y5990" s="171"/>
      <c r="Z5990" s="171"/>
      <c r="AA5990" s="171"/>
    </row>
    <row r="5991" spans="1:27" s="530" customFormat="1" ht="26.25" hidden="1" thickBot="1" x14ac:dyDescent="0.25">
      <c r="A5991" s="526"/>
      <c r="B5991" s="527"/>
      <c r="C5991" s="595"/>
      <c r="D5991" s="591"/>
      <c r="E5991" s="591"/>
      <c r="F5991" s="608" t="s">
        <v>248</v>
      </c>
      <c r="G5991" s="609" t="s">
        <v>249</v>
      </c>
      <c r="H5991" s="397"/>
      <c r="I5991" s="397"/>
      <c r="J5991" s="750" t="e">
        <f t="shared" si="77"/>
        <v>#DIV/0!</v>
      </c>
      <c r="K5991" s="398"/>
      <c r="L5991" s="404"/>
      <c r="M5991" s="682"/>
      <c r="N5991" s="171"/>
      <c r="O5991" s="171"/>
      <c r="P5991" s="171"/>
      <c r="Q5991" s="171"/>
      <c r="R5991" s="171"/>
      <c r="S5991" s="171"/>
      <c r="T5991" s="171"/>
      <c r="U5991" s="171"/>
      <c r="V5991" s="171"/>
      <c r="W5991" s="171"/>
      <c r="X5991" s="171"/>
      <c r="Y5991" s="171"/>
      <c r="Z5991" s="171"/>
      <c r="AA5991" s="171"/>
    </row>
    <row r="5992" spans="1:27" s="530" customFormat="1" ht="13.5" hidden="1" thickBot="1" x14ac:dyDescent="0.25">
      <c r="A5992" s="526"/>
      <c r="B5992" s="527"/>
      <c r="C5992" s="595"/>
      <c r="D5992" s="591"/>
      <c r="E5992" s="591"/>
      <c r="F5992" s="608" t="s">
        <v>250</v>
      </c>
      <c r="G5992" s="609" t="s">
        <v>57</v>
      </c>
      <c r="H5992" s="397"/>
      <c r="I5992" s="397"/>
      <c r="J5992" s="750" t="e">
        <f t="shared" si="77"/>
        <v>#DIV/0!</v>
      </c>
      <c r="K5992" s="398"/>
      <c r="L5992" s="404"/>
      <c r="M5992" s="682"/>
      <c r="N5992" s="171"/>
      <c r="O5992" s="171"/>
      <c r="P5992" s="171"/>
      <c r="Q5992" s="171"/>
      <c r="R5992" s="171"/>
      <c r="S5992" s="171"/>
      <c r="T5992" s="171"/>
      <c r="U5992" s="171"/>
      <c r="V5992" s="171"/>
      <c r="W5992" s="171"/>
      <c r="X5992" s="171"/>
      <c r="Y5992" s="171"/>
      <c r="Z5992" s="171"/>
      <c r="AA5992" s="171"/>
    </row>
    <row r="5993" spans="1:27" s="530" customFormat="1" ht="13.5" hidden="1" thickBot="1" x14ac:dyDescent="0.25">
      <c r="A5993" s="526"/>
      <c r="B5993" s="527"/>
      <c r="C5993" s="595"/>
      <c r="D5993" s="591"/>
      <c r="E5993" s="591"/>
      <c r="F5993" s="608" t="s">
        <v>251</v>
      </c>
      <c r="G5993" s="609" t="s">
        <v>252</v>
      </c>
      <c r="H5993" s="397"/>
      <c r="I5993" s="397"/>
      <c r="J5993" s="750" t="e">
        <f t="shared" si="77"/>
        <v>#DIV/0!</v>
      </c>
      <c r="K5993" s="398"/>
      <c r="L5993" s="404"/>
      <c r="M5993" s="682"/>
      <c r="N5993" s="171"/>
      <c r="O5993" s="171"/>
      <c r="P5993" s="171"/>
      <c r="Q5993" s="171"/>
      <c r="R5993" s="171"/>
      <c r="S5993" s="171"/>
      <c r="T5993" s="171"/>
      <c r="U5993" s="171"/>
      <c r="V5993" s="171"/>
      <c r="W5993" s="171"/>
      <c r="X5993" s="171"/>
      <c r="Y5993" s="171"/>
      <c r="Z5993" s="171"/>
      <c r="AA5993" s="171"/>
    </row>
    <row r="5994" spans="1:27" s="530" customFormat="1" ht="13.5" hidden="1" thickBot="1" x14ac:dyDescent="0.25">
      <c r="A5994" s="526"/>
      <c r="B5994" s="527"/>
      <c r="C5994" s="595"/>
      <c r="D5994" s="591"/>
      <c r="E5994" s="591"/>
      <c r="F5994" s="608" t="s">
        <v>253</v>
      </c>
      <c r="G5994" s="609" t="s">
        <v>254</v>
      </c>
      <c r="H5994" s="397"/>
      <c r="I5994" s="397"/>
      <c r="J5994" s="750" t="e">
        <f t="shared" si="77"/>
        <v>#DIV/0!</v>
      </c>
      <c r="K5994" s="398"/>
      <c r="L5994" s="404"/>
      <c r="M5994" s="682"/>
      <c r="N5994" s="171"/>
      <c r="O5994" s="171"/>
      <c r="P5994" s="171"/>
      <c r="Q5994" s="171"/>
      <c r="R5994" s="171"/>
      <c r="S5994" s="171"/>
      <c r="T5994" s="171"/>
      <c r="U5994" s="171"/>
      <c r="V5994" s="171"/>
      <c r="W5994" s="171"/>
      <c r="X5994" s="171"/>
      <c r="Y5994" s="171"/>
      <c r="Z5994" s="171"/>
      <c r="AA5994" s="171"/>
    </row>
    <row r="5995" spans="1:27" s="530" customFormat="1" ht="26.25" hidden="1" thickBot="1" x14ac:dyDescent="0.25">
      <c r="A5995" s="526"/>
      <c r="B5995" s="527"/>
      <c r="C5995" s="595"/>
      <c r="D5995" s="591"/>
      <c r="E5995" s="591"/>
      <c r="F5995" s="608" t="s">
        <v>255</v>
      </c>
      <c r="G5995" s="609" t="s">
        <v>256</v>
      </c>
      <c r="H5995" s="397"/>
      <c r="I5995" s="397"/>
      <c r="J5995" s="750" t="e">
        <f t="shared" si="77"/>
        <v>#DIV/0!</v>
      </c>
      <c r="K5995" s="398"/>
      <c r="L5995" s="404"/>
      <c r="M5995" s="682"/>
      <c r="N5995" s="171"/>
      <c r="O5995" s="171"/>
      <c r="P5995" s="171"/>
      <c r="Q5995" s="171"/>
      <c r="R5995" s="171"/>
      <c r="S5995" s="171"/>
      <c r="T5995" s="171"/>
      <c r="U5995" s="171"/>
      <c r="V5995" s="171"/>
      <c r="W5995" s="171"/>
      <c r="X5995" s="171"/>
      <c r="Y5995" s="171"/>
      <c r="Z5995" s="171"/>
      <c r="AA5995" s="171"/>
    </row>
    <row r="5996" spans="1:27" s="530" customFormat="1" ht="26.25" hidden="1" thickBot="1" x14ac:dyDescent="0.25">
      <c r="A5996" s="526"/>
      <c r="B5996" s="527"/>
      <c r="C5996" s="595"/>
      <c r="D5996" s="591"/>
      <c r="E5996" s="591"/>
      <c r="F5996" s="608" t="s">
        <v>257</v>
      </c>
      <c r="G5996" s="609" t="s">
        <v>258</v>
      </c>
      <c r="H5996" s="397"/>
      <c r="I5996" s="397"/>
      <c r="J5996" s="750" t="e">
        <f t="shared" si="77"/>
        <v>#DIV/0!</v>
      </c>
      <c r="K5996" s="398"/>
      <c r="L5996" s="404"/>
      <c r="M5996" s="682"/>
      <c r="N5996" s="171"/>
      <c r="O5996" s="171"/>
      <c r="P5996" s="171"/>
      <c r="Q5996" s="171"/>
      <c r="R5996" s="171"/>
      <c r="S5996" s="171"/>
      <c r="T5996" s="171"/>
      <c r="U5996" s="171"/>
      <c r="V5996" s="171"/>
      <c r="W5996" s="171"/>
      <c r="X5996" s="171"/>
      <c r="Y5996" s="171"/>
      <c r="Z5996" s="171"/>
      <c r="AA5996" s="171"/>
    </row>
    <row r="5997" spans="1:27" s="530" customFormat="1" ht="26.25" hidden="1" thickBot="1" x14ac:dyDescent="0.25">
      <c r="A5997" s="526"/>
      <c r="B5997" s="527"/>
      <c r="C5997" s="595"/>
      <c r="D5997" s="591"/>
      <c r="E5997" s="591"/>
      <c r="F5997" s="608" t="s">
        <v>259</v>
      </c>
      <c r="G5997" s="609" t="s">
        <v>260</v>
      </c>
      <c r="H5997" s="397"/>
      <c r="I5997" s="397"/>
      <c r="J5997" s="750" t="e">
        <f t="shared" si="77"/>
        <v>#DIV/0!</v>
      </c>
      <c r="K5997" s="398"/>
      <c r="L5997" s="404"/>
      <c r="M5997" s="682"/>
      <c r="N5997" s="171"/>
      <c r="O5997" s="171"/>
      <c r="P5997" s="171"/>
      <c r="Q5997" s="171"/>
      <c r="R5997" s="171"/>
      <c r="S5997" s="171"/>
      <c r="T5997" s="171"/>
      <c r="U5997" s="171"/>
      <c r="V5997" s="171"/>
      <c r="W5997" s="171"/>
      <c r="X5997" s="171"/>
      <c r="Y5997" s="171"/>
      <c r="Z5997" s="171"/>
      <c r="AA5997" s="171"/>
    </row>
    <row r="5998" spans="1:27" s="530" customFormat="1" ht="26.25" hidden="1" thickBot="1" x14ac:dyDescent="0.25">
      <c r="A5998" s="526"/>
      <c r="B5998" s="527"/>
      <c r="C5998" s="595"/>
      <c r="D5998" s="591"/>
      <c r="E5998" s="591"/>
      <c r="F5998" s="608" t="s">
        <v>261</v>
      </c>
      <c r="G5998" s="609" t="s">
        <v>262</v>
      </c>
      <c r="H5998" s="397"/>
      <c r="I5998" s="397"/>
      <c r="J5998" s="750" t="e">
        <f t="shared" si="77"/>
        <v>#DIV/0!</v>
      </c>
      <c r="K5998" s="398"/>
      <c r="L5998" s="404"/>
      <c r="M5998" s="682"/>
      <c r="N5998" s="171"/>
      <c r="O5998" s="171"/>
      <c r="P5998" s="171"/>
      <c r="Q5998" s="171"/>
      <c r="R5998" s="171"/>
      <c r="S5998" s="171"/>
      <c r="T5998" s="171"/>
      <c r="U5998" s="171"/>
      <c r="V5998" s="171"/>
      <c r="W5998" s="171"/>
      <c r="X5998" s="171"/>
      <c r="Y5998" s="171"/>
      <c r="Z5998" s="171"/>
      <c r="AA5998" s="171"/>
    </row>
    <row r="5999" spans="1:27" s="530" customFormat="1" ht="13.5" hidden="1" thickBot="1" x14ac:dyDescent="0.25">
      <c r="A5999" s="526"/>
      <c r="B5999" s="527"/>
      <c r="C5999" s="595"/>
      <c r="D5999" s="591"/>
      <c r="E5999" s="591"/>
      <c r="F5999" s="608" t="s">
        <v>263</v>
      </c>
      <c r="G5999" s="609" t="s">
        <v>264</v>
      </c>
      <c r="H5999" s="403"/>
      <c r="I5999" s="403"/>
      <c r="J5999" s="750" t="e">
        <f t="shared" si="77"/>
        <v>#DIV/0!</v>
      </c>
      <c r="K5999" s="404"/>
      <c r="L5999" s="404"/>
      <c r="M5999" s="682"/>
      <c r="N5999" s="171"/>
      <c r="O5999" s="171"/>
      <c r="P5999" s="171"/>
      <c r="Q5999" s="171"/>
      <c r="R5999" s="171"/>
      <c r="S5999" s="171"/>
      <c r="T5999" s="171"/>
      <c r="U5999" s="171"/>
      <c r="V5999" s="171"/>
      <c r="W5999" s="171"/>
      <c r="X5999" s="171"/>
      <c r="Y5999" s="171"/>
      <c r="Z5999" s="171"/>
      <c r="AA5999" s="171"/>
    </row>
    <row r="6000" spans="1:27" s="530" customFormat="1" ht="13.5" thickBot="1" x14ac:dyDescent="0.25">
      <c r="A6000" s="526"/>
      <c r="B6000" s="527"/>
      <c r="C6000" s="595"/>
      <c r="D6000" s="591"/>
      <c r="E6000" s="591"/>
      <c r="F6000" s="591"/>
      <c r="G6000" s="610" t="s">
        <v>4455</v>
      </c>
      <c r="H6000" s="405">
        <f>SUM(H5984:H5999)</f>
        <v>5679900</v>
      </c>
      <c r="I6000" s="405">
        <f>SUM(I5984)</f>
        <v>5191999.67</v>
      </c>
      <c r="J6000" s="750">
        <f t="shared" si="77"/>
        <v>91.410054226306798</v>
      </c>
      <c r="K6000" s="406">
        <f>SUM(K5985:K5999)</f>
        <v>0</v>
      </c>
      <c r="L6000" s="406"/>
      <c r="M6000" s="682"/>
      <c r="N6000" s="171"/>
      <c r="O6000" s="171"/>
      <c r="P6000" s="171"/>
      <c r="Q6000" s="171"/>
      <c r="R6000" s="171"/>
      <c r="S6000" s="171"/>
      <c r="T6000" s="171"/>
      <c r="U6000" s="171"/>
      <c r="V6000" s="171"/>
      <c r="W6000" s="171"/>
      <c r="X6000" s="171"/>
      <c r="Y6000" s="171"/>
      <c r="Z6000" s="171"/>
      <c r="AA6000" s="171"/>
    </row>
    <row r="6001" spans="1:27" s="530" customFormat="1" ht="14.25" customHeight="1" x14ac:dyDescent="0.2">
      <c r="A6001" s="526"/>
      <c r="B6001" s="527"/>
      <c r="C6001" s="595"/>
      <c r="D6001" s="591"/>
      <c r="E6001" s="605"/>
      <c r="F6001" s="605"/>
      <c r="G6001" s="611" t="s">
        <v>4462</v>
      </c>
      <c r="H6001" s="407"/>
      <c r="I6001" s="408"/>
      <c r="J6001" s="750"/>
      <c r="K6001" s="409"/>
      <c r="L6001" s="410"/>
      <c r="M6001" s="682"/>
      <c r="N6001" s="171"/>
      <c r="O6001" s="171"/>
      <c r="P6001" s="171"/>
      <c r="Q6001" s="171"/>
      <c r="R6001" s="171"/>
      <c r="S6001" s="171"/>
      <c r="T6001" s="171"/>
      <c r="U6001" s="171"/>
      <c r="V6001" s="171"/>
      <c r="W6001" s="171"/>
      <c r="X6001" s="171"/>
      <c r="Y6001" s="171"/>
      <c r="Z6001" s="171"/>
      <c r="AA6001" s="171"/>
    </row>
    <row r="6002" spans="1:27" s="530" customFormat="1" ht="13.5" customHeight="1" thickBot="1" x14ac:dyDescent="0.25">
      <c r="A6002" s="526"/>
      <c r="B6002" s="527"/>
      <c r="C6002" s="595"/>
      <c r="D6002" s="591"/>
      <c r="E6002" s="607"/>
      <c r="F6002" s="608" t="s">
        <v>234</v>
      </c>
      <c r="G6002" s="609" t="s">
        <v>235</v>
      </c>
      <c r="H6002" s="403">
        <f>SUM(H5922:H5982)</f>
        <v>5679900</v>
      </c>
      <c r="I6002" s="403">
        <f>SUM(I6000)</f>
        <v>5191999.67</v>
      </c>
      <c r="J6002" s="750">
        <f t="shared" si="77"/>
        <v>91.410054226306798</v>
      </c>
      <c r="K6002" s="404"/>
      <c r="L6002" s="404"/>
      <c r="M6002" s="682"/>
      <c r="N6002" s="171"/>
      <c r="O6002" s="171"/>
      <c r="P6002" s="171"/>
      <c r="Q6002" s="171"/>
      <c r="R6002" s="171"/>
      <c r="S6002" s="171"/>
      <c r="T6002" s="171"/>
      <c r="U6002" s="171"/>
      <c r="V6002" s="171"/>
      <c r="W6002" s="171"/>
      <c r="X6002" s="171"/>
      <c r="Y6002" s="171"/>
      <c r="Z6002" s="171"/>
      <c r="AA6002" s="171"/>
    </row>
    <row r="6003" spans="1:27" s="530" customFormat="1" ht="13.5" hidden="1" thickBot="1" x14ac:dyDescent="0.25">
      <c r="A6003" s="526"/>
      <c r="B6003" s="527"/>
      <c r="C6003" s="595"/>
      <c r="D6003" s="591"/>
      <c r="E6003" s="591"/>
      <c r="F6003" s="608" t="s">
        <v>236</v>
      </c>
      <c r="G6003" s="609" t="s">
        <v>237</v>
      </c>
      <c r="H6003" s="397"/>
      <c r="I6003" s="397"/>
      <c r="J6003" s="750" t="e">
        <f t="shared" si="77"/>
        <v>#DIV/0!</v>
      </c>
      <c r="K6003" s="398"/>
      <c r="L6003" s="404"/>
      <c r="M6003" s="682"/>
      <c r="N6003" s="171"/>
      <c r="O6003" s="171"/>
      <c r="P6003" s="171"/>
      <c r="Q6003" s="171"/>
      <c r="R6003" s="171"/>
      <c r="S6003" s="171"/>
      <c r="T6003" s="171"/>
      <c r="U6003" s="171"/>
      <c r="V6003" s="171"/>
      <c r="W6003" s="171"/>
      <c r="X6003" s="171"/>
      <c r="Y6003" s="171"/>
      <c r="Z6003" s="171"/>
      <c r="AA6003" s="171"/>
    </row>
    <row r="6004" spans="1:27" s="530" customFormat="1" ht="13.5" hidden="1" thickBot="1" x14ac:dyDescent="0.25">
      <c r="A6004" s="526"/>
      <c r="B6004" s="527"/>
      <c r="C6004" s="595"/>
      <c r="D6004" s="591"/>
      <c r="E6004" s="591"/>
      <c r="F6004" s="608" t="s">
        <v>238</v>
      </c>
      <c r="G6004" s="609" t="s">
        <v>239</v>
      </c>
      <c r="H6004" s="397"/>
      <c r="I6004" s="397"/>
      <c r="J6004" s="750" t="e">
        <f t="shared" si="77"/>
        <v>#DIV/0!</v>
      </c>
      <c r="K6004" s="398"/>
      <c r="L6004" s="404"/>
      <c r="M6004" s="682"/>
      <c r="N6004" s="171"/>
      <c r="O6004" s="171"/>
      <c r="P6004" s="171"/>
      <c r="Q6004" s="171"/>
      <c r="R6004" s="171"/>
      <c r="S6004" s="171"/>
      <c r="T6004" s="171"/>
      <c r="U6004" s="171"/>
      <c r="V6004" s="171"/>
      <c r="W6004" s="171"/>
      <c r="X6004" s="171"/>
      <c r="Y6004" s="171"/>
      <c r="Z6004" s="171"/>
      <c r="AA6004" s="171"/>
    </row>
    <row r="6005" spans="1:27" s="530" customFormat="1" ht="13.5" hidden="1" thickBot="1" x14ac:dyDescent="0.25">
      <c r="A6005" s="526"/>
      <c r="B6005" s="527"/>
      <c r="C6005" s="595"/>
      <c r="D6005" s="591"/>
      <c r="E6005" s="591"/>
      <c r="F6005" s="608" t="s">
        <v>240</v>
      </c>
      <c r="G6005" s="609" t="s">
        <v>241</v>
      </c>
      <c r="H6005" s="397"/>
      <c r="I6005" s="397"/>
      <c r="J6005" s="750" t="e">
        <f t="shared" si="77"/>
        <v>#DIV/0!</v>
      </c>
      <c r="K6005" s="398"/>
      <c r="L6005" s="404"/>
      <c r="M6005" s="682"/>
      <c r="N6005" s="171"/>
      <c r="O6005" s="171"/>
      <c r="P6005" s="171"/>
      <c r="Q6005" s="171"/>
      <c r="R6005" s="171"/>
      <c r="S6005" s="171"/>
      <c r="T6005" s="171"/>
      <c r="U6005" s="171"/>
      <c r="V6005" s="171"/>
      <c r="W6005" s="171"/>
      <c r="X6005" s="171"/>
      <c r="Y6005" s="171"/>
      <c r="Z6005" s="171"/>
      <c r="AA6005" s="171"/>
    </row>
    <row r="6006" spans="1:27" s="530" customFormat="1" ht="13.5" hidden="1" thickBot="1" x14ac:dyDescent="0.25">
      <c r="A6006" s="526"/>
      <c r="B6006" s="527"/>
      <c r="C6006" s="595"/>
      <c r="D6006" s="591"/>
      <c r="E6006" s="591"/>
      <c r="F6006" s="608" t="s">
        <v>242</v>
      </c>
      <c r="G6006" s="609" t="s">
        <v>243</v>
      </c>
      <c r="H6006" s="397"/>
      <c r="I6006" s="397"/>
      <c r="J6006" s="750" t="e">
        <f t="shared" si="77"/>
        <v>#DIV/0!</v>
      </c>
      <c r="K6006" s="398"/>
      <c r="L6006" s="404"/>
      <c r="M6006" s="682"/>
      <c r="N6006" s="171"/>
      <c r="O6006" s="171"/>
      <c r="P6006" s="171"/>
      <c r="Q6006" s="171"/>
      <c r="R6006" s="171"/>
      <c r="S6006" s="171"/>
      <c r="T6006" s="171"/>
      <c r="U6006" s="171"/>
      <c r="V6006" s="171"/>
      <c r="W6006" s="171"/>
      <c r="X6006" s="171"/>
      <c r="Y6006" s="171"/>
      <c r="Z6006" s="171"/>
      <c r="AA6006" s="171"/>
    </row>
    <row r="6007" spans="1:27" s="530" customFormat="1" ht="13.5" hidden="1" thickBot="1" x14ac:dyDescent="0.25">
      <c r="A6007" s="526"/>
      <c r="B6007" s="527"/>
      <c r="C6007" s="595"/>
      <c r="D6007" s="591"/>
      <c r="E6007" s="591"/>
      <c r="F6007" s="608" t="s">
        <v>244</v>
      </c>
      <c r="G6007" s="609" t="s">
        <v>245</v>
      </c>
      <c r="H6007" s="397"/>
      <c r="I6007" s="397"/>
      <c r="J6007" s="750" t="e">
        <f t="shared" si="77"/>
        <v>#DIV/0!</v>
      </c>
      <c r="K6007" s="398"/>
      <c r="L6007" s="404"/>
      <c r="M6007" s="682"/>
      <c r="N6007" s="171"/>
      <c r="O6007" s="171"/>
      <c r="P6007" s="171"/>
      <c r="Q6007" s="171"/>
      <c r="R6007" s="171"/>
      <c r="S6007" s="171"/>
      <c r="T6007" s="171"/>
      <c r="U6007" s="171"/>
      <c r="V6007" s="171"/>
      <c r="W6007" s="171"/>
      <c r="X6007" s="171"/>
      <c r="Y6007" s="171"/>
      <c r="Z6007" s="171"/>
      <c r="AA6007" s="171"/>
    </row>
    <row r="6008" spans="1:27" s="530" customFormat="1" ht="13.5" hidden="1" thickBot="1" x14ac:dyDescent="0.25">
      <c r="A6008" s="526"/>
      <c r="B6008" s="527"/>
      <c r="C6008" s="595"/>
      <c r="D6008" s="591"/>
      <c r="E6008" s="591"/>
      <c r="F6008" s="608" t="s">
        <v>246</v>
      </c>
      <c r="G6008" s="609" t="s">
        <v>247</v>
      </c>
      <c r="H6008" s="397"/>
      <c r="I6008" s="397"/>
      <c r="J6008" s="750" t="e">
        <f t="shared" si="77"/>
        <v>#DIV/0!</v>
      </c>
      <c r="K6008" s="398"/>
      <c r="L6008" s="404"/>
      <c r="M6008" s="682"/>
      <c r="N6008" s="171"/>
      <c r="O6008" s="171"/>
      <c r="P6008" s="171"/>
      <c r="Q6008" s="171"/>
      <c r="R6008" s="171"/>
      <c r="S6008" s="171"/>
      <c r="T6008" s="171"/>
      <c r="U6008" s="171"/>
      <c r="V6008" s="171"/>
      <c r="W6008" s="171"/>
      <c r="X6008" s="171"/>
      <c r="Y6008" s="171"/>
      <c r="Z6008" s="171"/>
      <c r="AA6008" s="171"/>
    </row>
    <row r="6009" spans="1:27" s="530" customFormat="1" ht="26.25" hidden="1" thickBot="1" x14ac:dyDescent="0.25">
      <c r="A6009" s="526"/>
      <c r="B6009" s="527"/>
      <c r="C6009" s="595"/>
      <c r="D6009" s="591"/>
      <c r="E6009" s="591"/>
      <c r="F6009" s="608" t="s">
        <v>248</v>
      </c>
      <c r="G6009" s="609" t="s">
        <v>249</v>
      </c>
      <c r="H6009" s="397"/>
      <c r="I6009" s="397"/>
      <c r="J6009" s="750" t="e">
        <f t="shared" si="77"/>
        <v>#DIV/0!</v>
      </c>
      <c r="K6009" s="398"/>
      <c r="L6009" s="404"/>
      <c r="M6009" s="682"/>
      <c r="N6009" s="171"/>
      <c r="O6009" s="171"/>
      <c r="P6009" s="171"/>
      <c r="Q6009" s="171"/>
      <c r="R6009" s="171"/>
      <c r="S6009" s="171"/>
      <c r="T6009" s="171"/>
      <c r="U6009" s="171"/>
      <c r="V6009" s="171"/>
      <c r="W6009" s="171"/>
      <c r="X6009" s="171"/>
      <c r="Y6009" s="171"/>
      <c r="Z6009" s="171"/>
      <c r="AA6009" s="171"/>
    </row>
    <row r="6010" spans="1:27" s="530" customFormat="1" ht="13.5" hidden="1" thickBot="1" x14ac:dyDescent="0.25">
      <c r="A6010" s="526"/>
      <c r="B6010" s="527"/>
      <c r="C6010" s="595"/>
      <c r="D6010" s="591"/>
      <c r="E6010" s="591"/>
      <c r="F6010" s="608" t="s">
        <v>250</v>
      </c>
      <c r="G6010" s="609" t="s">
        <v>57</v>
      </c>
      <c r="H6010" s="397"/>
      <c r="I6010" s="397"/>
      <c r="J6010" s="750" t="e">
        <f t="shared" si="77"/>
        <v>#DIV/0!</v>
      </c>
      <c r="K6010" s="398"/>
      <c r="L6010" s="404"/>
      <c r="M6010" s="682"/>
      <c r="N6010" s="171"/>
      <c r="O6010" s="171"/>
      <c r="P6010" s="171"/>
      <c r="Q6010" s="171"/>
      <c r="R6010" s="171"/>
      <c r="S6010" s="171"/>
      <c r="T6010" s="171"/>
      <c r="U6010" s="171"/>
      <c r="V6010" s="171"/>
      <c r="W6010" s="171"/>
      <c r="X6010" s="171"/>
      <c r="Y6010" s="171"/>
      <c r="Z6010" s="171"/>
      <c r="AA6010" s="171"/>
    </row>
    <row r="6011" spans="1:27" s="530" customFormat="1" ht="13.5" hidden="1" thickBot="1" x14ac:dyDescent="0.25">
      <c r="A6011" s="526"/>
      <c r="B6011" s="527"/>
      <c r="C6011" s="595"/>
      <c r="D6011" s="591"/>
      <c r="E6011" s="591"/>
      <c r="F6011" s="608" t="s">
        <v>251</v>
      </c>
      <c r="G6011" s="609" t="s">
        <v>252</v>
      </c>
      <c r="H6011" s="397"/>
      <c r="I6011" s="397"/>
      <c r="J6011" s="750" t="e">
        <f t="shared" si="77"/>
        <v>#DIV/0!</v>
      </c>
      <c r="K6011" s="398"/>
      <c r="L6011" s="404"/>
      <c r="M6011" s="682"/>
      <c r="N6011" s="171"/>
      <c r="O6011" s="171"/>
      <c r="P6011" s="171"/>
      <c r="Q6011" s="171"/>
      <c r="R6011" s="171"/>
      <c r="S6011" s="171"/>
      <c r="T6011" s="171"/>
      <c r="U6011" s="171"/>
      <c r="V6011" s="171"/>
      <c r="W6011" s="171"/>
      <c r="X6011" s="171"/>
      <c r="Y6011" s="171"/>
      <c r="Z6011" s="171"/>
      <c r="AA6011" s="171"/>
    </row>
    <row r="6012" spans="1:27" s="530" customFormat="1" ht="13.5" hidden="1" thickBot="1" x14ac:dyDescent="0.25">
      <c r="A6012" s="526"/>
      <c r="B6012" s="527"/>
      <c r="C6012" s="595"/>
      <c r="D6012" s="591"/>
      <c r="E6012" s="591"/>
      <c r="F6012" s="608" t="s">
        <v>253</v>
      </c>
      <c r="G6012" s="609" t="s">
        <v>254</v>
      </c>
      <c r="H6012" s="397"/>
      <c r="I6012" s="397"/>
      <c r="J6012" s="750" t="e">
        <f t="shared" si="77"/>
        <v>#DIV/0!</v>
      </c>
      <c r="K6012" s="398"/>
      <c r="L6012" s="404"/>
      <c r="M6012" s="682"/>
      <c r="N6012" s="171"/>
      <c r="O6012" s="171"/>
      <c r="P6012" s="171"/>
      <c r="Q6012" s="171"/>
      <c r="R6012" s="171"/>
      <c r="S6012" s="171"/>
      <c r="T6012" s="171"/>
      <c r="U6012" s="171"/>
      <c r="V6012" s="171"/>
      <c r="W6012" s="171"/>
      <c r="X6012" s="171"/>
      <c r="Y6012" s="171"/>
      <c r="Z6012" s="171"/>
      <c r="AA6012" s="171"/>
    </row>
    <row r="6013" spans="1:27" s="530" customFormat="1" ht="26.25" hidden="1" thickBot="1" x14ac:dyDescent="0.25">
      <c r="A6013" s="526"/>
      <c r="B6013" s="527"/>
      <c r="C6013" s="595"/>
      <c r="D6013" s="591"/>
      <c r="E6013" s="591"/>
      <c r="F6013" s="608" t="s">
        <v>255</v>
      </c>
      <c r="G6013" s="609" t="s">
        <v>256</v>
      </c>
      <c r="H6013" s="397"/>
      <c r="I6013" s="397"/>
      <c r="J6013" s="750" t="e">
        <f t="shared" si="77"/>
        <v>#DIV/0!</v>
      </c>
      <c r="K6013" s="398"/>
      <c r="L6013" s="404"/>
      <c r="M6013" s="682"/>
      <c r="N6013" s="171"/>
      <c r="O6013" s="171"/>
      <c r="P6013" s="171"/>
      <c r="Q6013" s="171"/>
      <c r="R6013" s="171"/>
      <c r="S6013" s="171"/>
      <c r="T6013" s="171"/>
      <c r="U6013" s="171"/>
      <c r="V6013" s="171"/>
      <c r="W6013" s="171"/>
      <c r="X6013" s="171"/>
      <c r="Y6013" s="171"/>
      <c r="Z6013" s="171"/>
      <c r="AA6013" s="171"/>
    </row>
    <row r="6014" spans="1:27" s="530" customFormat="1" ht="26.25" hidden="1" thickBot="1" x14ac:dyDescent="0.25">
      <c r="A6014" s="526"/>
      <c r="B6014" s="527"/>
      <c r="C6014" s="595"/>
      <c r="D6014" s="591"/>
      <c r="E6014" s="591"/>
      <c r="F6014" s="608" t="s">
        <v>257</v>
      </c>
      <c r="G6014" s="609" t="s">
        <v>258</v>
      </c>
      <c r="H6014" s="397"/>
      <c r="I6014" s="397"/>
      <c r="J6014" s="750" t="e">
        <f t="shared" si="77"/>
        <v>#DIV/0!</v>
      </c>
      <c r="K6014" s="398"/>
      <c r="L6014" s="404"/>
      <c r="M6014" s="682"/>
      <c r="N6014" s="171"/>
      <c r="O6014" s="171"/>
      <c r="P6014" s="171"/>
      <c r="Q6014" s="171"/>
      <c r="R6014" s="171"/>
      <c r="S6014" s="171"/>
      <c r="T6014" s="171"/>
      <c r="U6014" s="171"/>
      <c r="V6014" s="171"/>
      <c r="W6014" s="171"/>
      <c r="X6014" s="171"/>
      <c r="Y6014" s="171"/>
      <c r="Z6014" s="171"/>
      <c r="AA6014" s="171"/>
    </row>
    <row r="6015" spans="1:27" s="530" customFormat="1" ht="26.25" hidden="1" thickBot="1" x14ac:dyDescent="0.25">
      <c r="A6015" s="526"/>
      <c r="B6015" s="527"/>
      <c r="C6015" s="595"/>
      <c r="D6015" s="591"/>
      <c r="E6015" s="591"/>
      <c r="F6015" s="608" t="s">
        <v>259</v>
      </c>
      <c r="G6015" s="609" t="s">
        <v>260</v>
      </c>
      <c r="H6015" s="397"/>
      <c r="I6015" s="397"/>
      <c r="J6015" s="750" t="e">
        <f t="shared" si="77"/>
        <v>#DIV/0!</v>
      </c>
      <c r="K6015" s="398"/>
      <c r="L6015" s="404"/>
      <c r="M6015" s="682"/>
      <c r="N6015" s="171"/>
      <c r="O6015" s="171"/>
      <c r="P6015" s="171"/>
      <c r="Q6015" s="171"/>
      <c r="R6015" s="171"/>
      <c r="S6015" s="171"/>
      <c r="T6015" s="171"/>
      <c r="U6015" s="171"/>
      <c r="V6015" s="171"/>
      <c r="W6015" s="171"/>
      <c r="X6015" s="171"/>
      <c r="Y6015" s="171"/>
      <c r="Z6015" s="171"/>
      <c r="AA6015" s="171"/>
    </row>
    <row r="6016" spans="1:27" s="530" customFormat="1" ht="26.25" hidden="1" thickBot="1" x14ac:dyDescent="0.25">
      <c r="A6016" s="526"/>
      <c r="B6016" s="527"/>
      <c r="C6016" s="595"/>
      <c r="D6016" s="591"/>
      <c r="E6016" s="591"/>
      <c r="F6016" s="608" t="s">
        <v>261</v>
      </c>
      <c r="G6016" s="609" t="s">
        <v>262</v>
      </c>
      <c r="H6016" s="397"/>
      <c r="I6016" s="397"/>
      <c r="J6016" s="750" t="e">
        <f t="shared" si="77"/>
        <v>#DIV/0!</v>
      </c>
      <c r="K6016" s="398"/>
      <c r="L6016" s="404"/>
      <c r="M6016" s="682"/>
      <c r="N6016" s="171"/>
      <c r="O6016" s="171"/>
      <c r="P6016" s="171"/>
      <c r="Q6016" s="171"/>
      <c r="R6016" s="171"/>
      <c r="S6016" s="171"/>
      <c r="T6016" s="171"/>
      <c r="U6016" s="171"/>
      <c r="V6016" s="171"/>
      <c r="W6016" s="171"/>
      <c r="X6016" s="171"/>
      <c r="Y6016" s="171"/>
      <c r="Z6016" s="171"/>
      <c r="AA6016" s="171"/>
    </row>
    <row r="6017" spans="1:27" s="530" customFormat="1" ht="13.5" hidden="1" thickBot="1" x14ac:dyDescent="0.25">
      <c r="A6017" s="526"/>
      <c r="B6017" s="527"/>
      <c r="C6017" s="595"/>
      <c r="D6017" s="591"/>
      <c r="E6017" s="591"/>
      <c r="F6017" s="608" t="s">
        <v>263</v>
      </c>
      <c r="G6017" s="609" t="s">
        <v>264</v>
      </c>
      <c r="H6017" s="403"/>
      <c r="I6017" s="403"/>
      <c r="J6017" s="750" t="e">
        <f t="shared" si="77"/>
        <v>#DIV/0!</v>
      </c>
      <c r="K6017" s="404"/>
      <c r="L6017" s="404"/>
      <c r="M6017" s="682"/>
      <c r="N6017" s="171"/>
      <c r="O6017" s="171"/>
      <c r="P6017" s="171"/>
      <c r="Q6017" s="171"/>
      <c r="R6017" s="171"/>
      <c r="S6017" s="171"/>
      <c r="T6017" s="171"/>
      <c r="U6017" s="171"/>
      <c r="V6017" s="171"/>
      <c r="W6017" s="171"/>
      <c r="X6017" s="171"/>
      <c r="Y6017" s="171"/>
      <c r="Z6017" s="171"/>
      <c r="AA6017" s="171"/>
    </row>
    <row r="6018" spans="1:27" s="530" customFormat="1" ht="13.5" thickBot="1" x14ac:dyDescent="0.25">
      <c r="A6018" s="526"/>
      <c r="B6018" s="527"/>
      <c r="C6018" s="595"/>
      <c r="D6018" s="591"/>
      <c r="E6018" s="591"/>
      <c r="F6018" s="591"/>
      <c r="G6018" s="610" t="s">
        <v>4463</v>
      </c>
      <c r="H6018" s="405">
        <f>SUM(H6002:H6017)</f>
        <v>5679900</v>
      </c>
      <c r="I6018" s="405">
        <f>SUM(I6002)</f>
        <v>5191999.67</v>
      </c>
      <c r="J6018" s="750">
        <f t="shared" si="77"/>
        <v>91.410054226306798</v>
      </c>
      <c r="K6018" s="406">
        <f>SUM(K6003:K6017)</f>
        <v>0</v>
      </c>
      <c r="L6018" s="406"/>
      <c r="M6018" s="682"/>
      <c r="N6018" s="171"/>
      <c r="O6018" s="171"/>
      <c r="P6018" s="171"/>
      <c r="Q6018" s="171"/>
      <c r="R6018" s="171"/>
      <c r="S6018" s="171"/>
      <c r="T6018" s="171"/>
      <c r="U6018" s="171"/>
      <c r="V6018" s="171"/>
      <c r="W6018" s="171"/>
      <c r="X6018" s="171"/>
      <c r="Y6018" s="171"/>
      <c r="Z6018" s="171"/>
      <c r="AA6018" s="171"/>
    </row>
    <row r="6019" spans="1:27" s="530" customFormat="1" hidden="1" x14ac:dyDescent="0.2">
      <c r="A6019" s="526"/>
      <c r="B6019" s="527"/>
      <c r="C6019" s="595"/>
      <c r="D6019" s="591"/>
      <c r="E6019" s="591"/>
      <c r="F6019" s="591"/>
      <c r="G6019" s="612"/>
      <c r="H6019" s="411"/>
      <c r="I6019" s="411"/>
      <c r="J6019" s="750" t="e">
        <f t="shared" si="77"/>
        <v>#DIV/0!</v>
      </c>
      <c r="K6019" s="412"/>
      <c r="L6019" s="412"/>
      <c r="M6019" s="682"/>
      <c r="N6019" s="171"/>
      <c r="O6019" s="171"/>
      <c r="P6019" s="171"/>
      <c r="Q6019" s="171"/>
      <c r="R6019" s="171"/>
      <c r="S6019" s="171"/>
      <c r="T6019" s="171"/>
      <c r="U6019" s="171"/>
      <c r="V6019" s="171"/>
      <c r="W6019" s="171"/>
      <c r="X6019" s="171"/>
      <c r="Y6019" s="171"/>
      <c r="Z6019" s="171"/>
      <c r="AA6019" s="171"/>
    </row>
    <row r="6020" spans="1:27" s="530" customFormat="1" ht="15.75" customHeight="1" x14ac:dyDescent="0.2">
      <c r="A6020" s="526"/>
      <c r="B6020" s="527"/>
      <c r="C6020" s="465"/>
      <c r="D6020" s="464"/>
      <c r="E6020" s="500"/>
      <c r="F6020" s="498"/>
      <c r="G6020" s="511" t="s">
        <v>4471</v>
      </c>
      <c r="H6020" s="413"/>
      <c r="I6020" s="413"/>
      <c r="J6020" s="750"/>
      <c r="K6020" s="414"/>
      <c r="L6020" s="415"/>
      <c r="M6020" s="682"/>
      <c r="N6020" s="171"/>
      <c r="O6020" s="171"/>
      <c r="P6020" s="171"/>
      <c r="Q6020" s="171"/>
      <c r="R6020" s="171"/>
      <c r="S6020" s="171"/>
      <c r="T6020" s="171"/>
      <c r="U6020" s="171"/>
      <c r="V6020" s="171"/>
      <c r="W6020" s="171"/>
      <c r="X6020" s="171"/>
      <c r="Y6020" s="171"/>
      <c r="Z6020" s="171"/>
      <c r="AA6020" s="171"/>
    </row>
    <row r="6021" spans="1:27" s="530" customFormat="1" ht="14.25" customHeight="1" thickBot="1" x14ac:dyDescent="0.25">
      <c r="A6021" s="526"/>
      <c r="B6021" s="527"/>
      <c r="C6021" s="465"/>
      <c r="D6021" s="464"/>
      <c r="E6021" s="502"/>
      <c r="F6021" s="503" t="s">
        <v>234</v>
      </c>
      <c r="G6021" s="504" t="s">
        <v>235</v>
      </c>
      <c r="H6021" s="403">
        <f>SUM(H6002,H5902,H5803)</f>
        <v>5679900</v>
      </c>
      <c r="I6021" s="403">
        <f>SUM(I6018)</f>
        <v>5191999.67</v>
      </c>
      <c r="J6021" s="750">
        <f t="shared" si="77"/>
        <v>91.410054226306798</v>
      </c>
      <c r="K6021" s="404"/>
      <c r="L6021" s="404"/>
      <c r="M6021" s="682"/>
      <c r="N6021" s="171"/>
      <c r="O6021" s="171"/>
      <c r="P6021" s="171"/>
      <c r="Q6021" s="171"/>
      <c r="R6021" s="171"/>
      <c r="S6021" s="171"/>
      <c r="T6021" s="171"/>
      <c r="U6021" s="171"/>
      <c r="V6021" s="171"/>
      <c r="W6021" s="171"/>
      <c r="X6021" s="171"/>
      <c r="Y6021" s="171"/>
      <c r="Z6021" s="171"/>
      <c r="AA6021" s="171"/>
    </row>
    <row r="6022" spans="1:27" s="530" customFormat="1" ht="15.75" hidden="1" customHeight="1" x14ac:dyDescent="0.2">
      <c r="A6022" s="526"/>
      <c r="B6022" s="527"/>
      <c r="C6022" s="465"/>
      <c r="D6022" s="464"/>
      <c r="E6022" s="464"/>
      <c r="F6022" s="503" t="s">
        <v>236</v>
      </c>
      <c r="G6022" s="504" t="s">
        <v>237</v>
      </c>
      <c r="H6022" s="397"/>
      <c r="I6022" s="397"/>
      <c r="J6022" s="750" t="e">
        <f t="shared" si="77"/>
        <v>#DIV/0!</v>
      </c>
      <c r="K6022" s="398"/>
      <c r="L6022" s="404"/>
      <c r="M6022" s="682"/>
      <c r="N6022" s="171"/>
      <c r="O6022" s="171"/>
      <c r="P6022" s="171"/>
      <c r="Q6022" s="171"/>
      <c r="R6022" s="171"/>
      <c r="S6022" s="171"/>
      <c r="T6022" s="171"/>
      <c r="U6022" s="171"/>
      <c r="V6022" s="171"/>
      <c r="W6022" s="171"/>
      <c r="X6022" s="171"/>
      <c r="Y6022" s="171"/>
      <c r="Z6022" s="171"/>
      <c r="AA6022" s="171"/>
    </row>
    <row r="6023" spans="1:27" s="530" customFormat="1" ht="15.75" hidden="1" customHeight="1" x14ac:dyDescent="0.2">
      <c r="A6023" s="526"/>
      <c r="B6023" s="527"/>
      <c r="C6023" s="465"/>
      <c r="D6023" s="464"/>
      <c r="E6023" s="464"/>
      <c r="F6023" s="503" t="s">
        <v>238</v>
      </c>
      <c r="G6023" s="504" t="s">
        <v>239</v>
      </c>
      <c r="H6023" s="397"/>
      <c r="I6023" s="397"/>
      <c r="J6023" s="750" t="e">
        <f t="shared" si="77"/>
        <v>#DIV/0!</v>
      </c>
      <c r="K6023" s="398"/>
      <c r="L6023" s="404"/>
      <c r="M6023" s="682"/>
      <c r="N6023" s="171"/>
      <c r="O6023" s="171"/>
      <c r="P6023" s="171"/>
      <c r="Q6023" s="171"/>
      <c r="R6023" s="171"/>
      <c r="S6023" s="171"/>
      <c r="T6023" s="171"/>
      <c r="U6023" s="171"/>
      <c r="V6023" s="171"/>
      <c r="W6023" s="171"/>
      <c r="X6023" s="171"/>
      <c r="Y6023" s="171"/>
      <c r="Z6023" s="171"/>
      <c r="AA6023" s="171"/>
    </row>
    <row r="6024" spans="1:27" s="530" customFormat="1" ht="15.75" hidden="1" customHeight="1" x14ac:dyDescent="0.2">
      <c r="A6024" s="526"/>
      <c r="B6024" s="527"/>
      <c r="C6024" s="465"/>
      <c r="D6024" s="464"/>
      <c r="E6024" s="464"/>
      <c r="F6024" s="503" t="s">
        <v>240</v>
      </c>
      <c r="G6024" s="504" t="s">
        <v>241</v>
      </c>
      <c r="H6024" s="397"/>
      <c r="I6024" s="397"/>
      <c r="J6024" s="750" t="e">
        <f t="shared" si="77"/>
        <v>#DIV/0!</v>
      </c>
      <c r="K6024" s="398"/>
      <c r="L6024" s="404"/>
      <c r="M6024" s="682"/>
      <c r="N6024" s="171"/>
      <c r="O6024" s="171"/>
      <c r="P6024" s="171"/>
      <c r="Q6024" s="171"/>
      <c r="R6024" s="171"/>
      <c r="S6024" s="171"/>
      <c r="T6024" s="171"/>
      <c r="U6024" s="171"/>
      <c r="V6024" s="171"/>
      <c r="W6024" s="171"/>
      <c r="X6024" s="171"/>
      <c r="Y6024" s="171"/>
      <c r="Z6024" s="171"/>
      <c r="AA6024" s="171"/>
    </row>
    <row r="6025" spans="1:27" s="530" customFormat="1" ht="15.75" hidden="1" customHeight="1" x14ac:dyDescent="0.2">
      <c r="A6025" s="526"/>
      <c r="B6025" s="527"/>
      <c r="C6025" s="465"/>
      <c r="D6025" s="464"/>
      <c r="E6025" s="464"/>
      <c r="F6025" s="503" t="s">
        <v>242</v>
      </c>
      <c r="G6025" s="504" t="s">
        <v>243</v>
      </c>
      <c r="H6025" s="397"/>
      <c r="I6025" s="397"/>
      <c r="J6025" s="750" t="e">
        <f t="shared" si="77"/>
        <v>#DIV/0!</v>
      </c>
      <c r="K6025" s="398"/>
      <c r="L6025" s="404"/>
      <c r="M6025" s="682"/>
      <c r="N6025" s="171"/>
      <c r="O6025" s="171"/>
      <c r="P6025" s="171"/>
      <c r="Q6025" s="171"/>
      <c r="R6025" s="171"/>
      <c r="S6025" s="171"/>
      <c r="T6025" s="171"/>
      <c r="U6025" s="171"/>
      <c r="V6025" s="171"/>
      <c r="W6025" s="171"/>
      <c r="X6025" s="171"/>
      <c r="Y6025" s="171"/>
      <c r="Z6025" s="171"/>
      <c r="AA6025" s="171"/>
    </row>
    <row r="6026" spans="1:27" s="530" customFormat="1" ht="15.75" hidden="1" customHeight="1" x14ac:dyDescent="0.2">
      <c r="A6026" s="526"/>
      <c r="B6026" s="527"/>
      <c r="C6026" s="465"/>
      <c r="D6026" s="464"/>
      <c r="E6026" s="464"/>
      <c r="F6026" s="503" t="s">
        <v>244</v>
      </c>
      <c r="G6026" s="504" t="s">
        <v>245</v>
      </c>
      <c r="H6026" s="397"/>
      <c r="I6026" s="397"/>
      <c r="J6026" s="750" t="e">
        <f t="shared" si="77"/>
        <v>#DIV/0!</v>
      </c>
      <c r="K6026" s="398"/>
      <c r="L6026" s="404"/>
      <c r="M6026" s="682"/>
      <c r="N6026" s="171"/>
      <c r="O6026" s="171"/>
      <c r="P6026" s="171"/>
      <c r="Q6026" s="171"/>
      <c r="R6026" s="171"/>
      <c r="S6026" s="171"/>
      <c r="T6026" s="171"/>
      <c r="U6026" s="171"/>
      <c r="V6026" s="171"/>
      <c r="W6026" s="171"/>
      <c r="X6026" s="171"/>
      <c r="Y6026" s="171"/>
      <c r="Z6026" s="171"/>
      <c r="AA6026" s="171"/>
    </row>
    <row r="6027" spans="1:27" s="530" customFormat="1" ht="15.75" hidden="1" customHeight="1" x14ac:dyDescent="0.2">
      <c r="A6027" s="526"/>
      <c r="B6027" s="527"/>
      <c r="C6027" s="465"/>
      <c r="D6027" s="464"/>
      <c r="E6027" s="464"/>
      <c r="F6027" s="503" t="s">
        <v>246</v>
      </c>
      <c r="G6027" s="504" t="s">
        <v>247</v>
      </c>
      <c r="H6027" s="397"/>
      <c r="I6027" s="397"/>
      <c r="J6027" s="750" t="e">
        <f t="shared" si="77"/>
        <v>#DIV/0!</v>
      </c>
      <c r="K6027" s="398"/>
      <c r="L6027" s="404"/>
      <c r="M6027" s="682"/>
      <c r="N6027" s="171"/>
      <c r="O6027" s="171"/>
      <c r="P6027" s="171"/>
      <c r="Q6027" s="171"/>
      <c r="R6027" s="171"/>
      <c r="S6027" s="171"/>
      <c r="T6027" s="171"/>
      <c r="U6027" s="171"/>
      <c r="V6027" s="171"/>
      <c r="W6027" s="171"/>
      <c r="X6027" s="171"/>
      <c r="Y6027" s="171"/>
      <c r="Z6027" s="171"/>
      <c r="AA6027" s="171"/>
    </row>
    <row r="6028" spans="1:27" s="530" customFormat="1" ht="15.75" hidden="1" customHeight="1" x14ac:dyDescent="0.2">
      <c r="A6028" s="526"/>
      <c r="B6028" s="527"/>
      <c r="C6028" s="465"/>
      <c r="D6028" s="464"/>
      <c r="E6028" s="464"/>
      <c r="F6028" s="503" t="s">
        <v>248</v>
      </c>
      <c r="G6028" s="504" t="s">
        <v>249</v>
      </c>
      <c r="H6028" s="397"/>
      <c r="I6028" s="397"/>
      <c r="J6028" s="750" t="e">
        <f t="shared" si="77"/>
        <v>#DIV/0!</v>
      </c>
      <c r="K6028" s="398"/>
      <c r="L6028" s="404"/>
      <c r="M6028" s="682"/>
      <c r="N6028" s="171"/>
      <c r="O6028" s="171"/>
      <c r="P6028" s="171"/>
      <c r="Q6028" s="171"/>
      <c r="R6028" s="171"/>
      <c r="S6028" s="171"/>
      <c r="T6028" s="171"/>
      <c r="U6028" s="171"/>
      <c r="V6028" s="171"/>
      <c r="W6028" s="171"/>
      <c r="X6028" s="171"/>
      <c r="Y6028" s="171"/>
      <c r="Z6028" s="171"/>
      <c r="AA6028" s="171"/>
    </row>
    <row r="6029" spans="1:27" s="530" customFormat="1" ht="15.75" hidden="1" customHeight="1" x14ac:dyDescent="0.2">
      <c r="A6029" s="526"/>
      <c r="B6029" s="527"/>
      <c r="C6029" s="465"/>
      <c r="D6029" s="464"/>
      <c r="E6029" s="464"/>
      <c r="F6029" s="503" t="s">
        <v>250</v>
      </c>
      <c r="G6029" s="504" t="s">
        <v>57</v>
      </c>
      <c r="H6029" s="397"/>
      <c r="I6029" s="397"/>
      <c r="J6029" s="750" t="e">
        <f t="shared" ref="J6029:J6068" si="78">SUM(I6029/H6029)*100</f>
        <v>#DIV/0!</v>
      </c>
      <c r="K6029" s="398"/>
      <c r="L6029" s="404"/>
      <c r="M6029" s="682"/>
      <c r="N6029" s="171"/>
      <c r="O6029" s="171"/>
      <c r="P6029" s="171"/>
      <c r="Q6029" s="171"/>
      <c r="R6029" s="171"/>
      <c r="S6029" s="171"/>
      <c r="T6029" s="171"/>
      <c r="U6029" s="171"/>
      <c r="V6029" s="171"/>
      <c r="W6029" s="171"/>
      <c r="X6029" s="171"/>
      <c r="Y6029" s="171"/>
      <c r="Z6029" s="171"/>
      <c r="AA6029" s="171"/>
    </row>
    <row r="6030" spans="1:27" s="530" customFormat="1" ht="15.75" hidden="1" customHeight="1" x14ac:dyDescent="0.2">
      <c r="A6030" s="526"/>
      <c r="B6030" s="527"/>
      <c r="C6030" s="465"/>
      <c r="D6030" s="464"/>
      <c r="E6030" s="464"/>
      <c r="F6030" s="503" t="s">
        <v>251</v>
      </c>
      <c r="G6030" s="504" t="s">
        <v>252</v>
      </c>
      <c r="H6030" s="397"/>
      <c r="I6030" s="397"/>
      <c r="J6030" s="750" t="e">
        <f t="shared" si="78"/>
        <v>#DIV/0!</v>
      </c>
      <c r="K6030" s="398"/>
      <c r="L6030" s="404"/>
      <c r="M6030" s="682"/>
      <c r="N6030" s="171"/>
      <c r="O6030" s="171"/>
      <c r="P6030" s="171"/>
      <c r="Q6030" s="171"/>
      <c r="R6030" s="171"/>
      <c r="S6030" s="171"/>
      <c r="T6030" s="171"/>
      <c r="U6030" s="171"/>
      <c r="V6030" s="171"/>
      <c r="W6030" s="171"/>
      <c r="X6030" s="171"/>
      <c r="Y6030" s="171"/>
      <c r="Z6030" s="171"/>
      <c r="AA6030" s="171"/>
    </row>
    <row r="6031" spans="1:27" s="530" customFormat="1" ht="15.75" hidden="1" customHeight="1" x14ac:dyDescent="0.2">
      <c r="A6031" s="526"/>
      <c r="B6031" s="527"/>
      <c r="C6031" s="465"/>
      <c r="D6031" s="464"/>
      <c r="E6031" s="464"/>
      <c r="F6031" s="503" t="s">
        <v>253</v>
      </c>
      <c r="G6031" s="504" t="s">
        <v>254</v>
      </c>
      <c r="H6031" s="397"/>
      <c r="I6031" s="397"/>
      <c r="J6031" s="750" t="e">
        <f t="shared" si="78"/>
        <v>#DIV/0!</v>
      </c>
      <c r="K6031" s="398"/>
      <c r="L6031" s="404"/>
      <c r="M6031" s="682"/>
      <c r="N6031" s="171"/>
      <c r="O6031" s="171"/>
      <c r="P6031" s="171"/>
      <c r="Q6031" s="171"/>
      <c r="R6031" s="171"/>
      <c r="S6031" s="171"/>
      <c r="T6031" s="171"/>
      <c r="U6031" s="171"/>
      <c r="V6031" s="171"/>
      <c r="W6031" s="171"/>
      <c r="X6031" s="171"/>
      <c r="Y6031" s="171"/>
      <c r="Z6031" s="171"/>
      <c r="AA6031" s="171"/>
    </row>
    <row r="6032" spans="1:27" s="530" customFormat="1" ht="15.75" hidden="1" customHeight="1" x14ac:dyDescent="0.2">
      <c r="A6032" s="526"/>
      <c r="B6032" s="527"/>
      <c r="C6032" s="465"/>
      <c r="D6032" s="464"/>
      <c r="E6032" s="464"/>
      <c r="F6032" s="503" t="s">
        <v>255</v>
      </c>
      <c r="G6032" s="504" t="s">
        <v>256</v>
      </c>
      <c r="H6032" s="397"/>
      <c r="I6032" s="397"/>
      <c r="J6032" s="750" t="e">
        <f t="shared" si="78"/>
        <v>#DIV/0!</v>
      </c>
      <c r="K6032" s="398"/>
      <c r="L6032" s="404"/>
      <c r="M6032" s="682"/>
      <c r="N6032" s="171"/>
      <c r="O6032" s="171"/>
      <c r="P6032" s="171"/>
      <c r="Q6032" s="171"/>
      <c r="R6032" s="171"/>
      <c r="S6032" s="171"/>
      <c r="T6032" s="171"/>
      <c r="U6032" s="171"/>
      <c r="V6032" s="171"/>
      <c r="W6032" s="171"/>
      <c r="X6032" s="171"/>
      <c r="Y6032" s="171"/>
      <c r="Z6032" s="171"/>
      <c r="AA6032" s="171"/>
    </row>
    <row r="6033" spans="1:27" s="530" customFormat="1" ht="15.75" hidden="1" customHeight="1" x14ac:dyDescent="0.2">
      <c r="A6033" s="526"/>
      <c r="B6033" s="527"/>
      <c r="C6033" s="465"/>
      <c r="D6033" s="464"/>
      <c r="E6033" s="464"/>
      <c r="F6033" s="503" t="s">
        <v>257</v>
      </c>
      <c r="G6033" s="504" t="s">
        <v>258</v>
      </c>
      <c r="H6033" s="397"/>
      <c r="I6033" s="397"/>
      <c r="J6033" s="750" t="e">
        <f t="shared" si="78"/>
        <v>#DIV/0!</v>
      </c>
      <c r="K6033" s="398"/>
      <c r="L6033" s="404"/>
      <c r="M6033" s="682"/>
      <c r="N6033" s="171"/>
      <c r="O6033" s="171"/>
      <c r="P6033" s="171"/>
      <c r="Q6033" s="171"/>
      <c r="R6033" s="171"/>
      <c r="S6033" s="171"/>
      <c r="T6033" s="171"/>
      <c r="U6033" s="171"/>
      <c r="V6033" s="171"/>
      <c r="W6033" s="171"/>
      <c r="X6033" s="171"/>
      <c r="Y6033" s="171"/>
      <c r="Z6033" s="171"/>
      <c r="AA6033" s="171"/>
    </row>
    <row r="6034" spans="1:27" s="530" customFormat="1" ht="15.75" hidden="1" customHeight="1" x14ac:dyDescent="0.2">
      <c r="A6034" s="526"/>
      <c r="B6034" s="527"/>
      <c r="C6034" s="465"/>
      <c r="D6034" s="464"/>
      <c r="E6034" s="464"/>
      <c r="F6034" s="503" t="s">
        <v>259</v>
      </c>
      <c r="G6034" s="504" t="s">
        <v>260</v>
      </c>
      <c r="H6034" s="397"/>
      <c r="I6034" s="397"/>
      <c r="J6034" s="750" t="e">
        <f t="shared" si="78"/>
        <v>#DIV/0!</v>
      </c>
      <c r="K6034" s="398"/>
      <c r="L6034" s="404"/>
      <c r="M6034" s="682"/>
      <c r="N6034" s="171"/>
      <c r="O6034" s="171"/>
      <c r="P6034" s="171"/>
      <c r="Q6034" s="171"/>
      <c r="R6034" s="171"/>
      <c r="S6034" s="171"/>
      <c r="T6034" s="171"/>
      <c r="U6034" s="171"/>
      <c r="V6034" s="171"/>
      <c r="W6034" s="171"/>
      <c r="X6034" s="171"/>
      <c r="Y6034" s="171"/>
      <c r="Z6034" s="171"/>
      <c r="AA6034" s="171"/>
    </row>
    <row r="6035" spans="1:27" s="530" customFormat="1" ht="15.75" hidden="1" customHeight="1" x14ac:dyDescent="0.2">
      <c r="A6035" s="526"/>
      <c r="B6035" s="527"/>
      <c r="C6035" s="465"/>
      <c r="D6035" s="464"/>
      <c r="E6035" s="464"/>
      <c r="F6035" s="503" t="s">
        <v>261</v>
      </c>
      <c r="G6035" s="504" t="s">
        <v>262</v>
      </c>
      <c r="H6035" s="397"/>
      <c r="I6035" s="397"/>
      <c r="J6035" s="750" t="e">
        <f t="shared" si="78"/>
        <v>#DIV/0!</v>
      </c>
      <c r="K6035" s="398"/>
      <c r="L6035" s="404"/>
      <c r="M6035" s="682"/>
      <c r="N6035" s="171"/>
      <c r="O6035" s="171"/>
      <c r="P6035" s="171"/>
      <c r="Q6035" s="171"/>
      <c r="R6035" s="171"/>
      <c r="S6035" s="171"/>
      <c r="T6035" s="171"/>
      <c r="U6035" s="171"/>
      <c r="V6035" s="171"/>
      <c r="W6035" s="171"/>
      <c r="X6035" s="171"/>
      <c r="Y6035" s="171"/>
      <c r="Z6035" s="171"/>
      <c r="AA6035" s="171"/>
    </row>
    <row r="6036" spans="1:27" s="530" customFormat="1" ht="15.75" hidden="1" customHeight="1" x14ac:dyDescent="0.2">
      <c r="A6036" s="526"/>
      <c r="B6036" s="527"/>
      <c r="C6036" s="465"/>
      <c r="D6036" s="464"/>
      <c r="E6036" s="464"/>
      <c r="F6036" s="503" t="s">
        <v>263</v>
      </c>
      <c r="G6036" s="504" t="s">
        <v>264</v>
      </c>
      <c r="H6036" s="403"/>
      <c r="I6036" s="403"/>
      <c r="J6036" s="750" t="e">
        <f t="shared" si="78"/>
        <v>#DIV/0!</v>
      </c>
      <c r="K6036" s="404"/>
      <c r="L6036" s="404"/>
      <c r="M6036" s="682"/>
      <c r="N6036" s="171"/>
      <c r="O6036" s="171"/>
      <c r="P6036" s="171"/>
      <c r="Q6036" s="171"/>
      <c r="R6036" s="171"/>
      <c r="S6036" s="171"/>
      <c r="T6036" s="171"/>
      <c r="U6036" s="171"/>
      <c r="V6036" s="171"/>
      <c r="W6036" s="171"/>
      <c r="X6036" s="171"/>
      <c r="Y6036" s="171"/>
      <c r="Z6036" s="171"/>
      <c r="AA6036" s="171"/>
    </row>
    <row r="6037" spans="1:27" s="530" customFormat="1" ht="15.75" customHeight="1" thickBot="1" x14ac:dyDescent="0.25">
      <c r="A6037" s="526"/>
      <c r="B6037" s="527"/>
      <c r="C6037" s="465"/>
      <c r="D6037" s="464"/>
      <c r="E6037" s="464"/>
      <c r="F6037" s="464"/>
      <c r="G6037" s="505" t="s">
        <v>4472</v>
      </c>
      <c r="H6037" s="405">
        <f>SUM(H6021:H6036)</f>
        <v>5679900</v>
      </c>
      <c r="I6037" s="405">
        <f>SUM(I6021)</f>
        <v>5191999.67</v>
      </c>
      <c r="J6037" s="750">
        <f t="shared" si="78"/>
        <v>91.410054226306798</v>
      </c>
      <c r="K6037" s="406">
        <f>SUM(K6022:K6036)</f>
        <v>0</v>
      </c>
      <c r="L6037" s="406"/>
      <c r="M6037" s="682"/>
      <c r="N6037" s="171"/>
      <c r="O6037" s="171"/>
      <c r="P6037" s="171"/>
      <c r="Q6037" s="171"/>
      <c r="R6037" s="171"/>
      <c r="S6037" s="171"/>
      <c r="T6037" s="171"/>
      <c r="U6037" s="171"/>
      <c r="V6037" s="171"/>
      <c r="W6037" s="171"/>
      <c r="X6037" s="171"/>
      <c r="Y6037" s="171"/>
      <c r="Z6037" s="171"/>
      <c r="AA6037" s="171"/>
    </row>
    <row r="6038" spans="1:27" s="530" customFormat="1" hidden="1" x14ac:dyDescent="0.2">
      <c r="A6038" s="526"/>
      <c r="B6038" s="527"/>
      <c r="C6038" s="595"/>
      <c r="D6038" s="591"/>
      <c r="E6038" s="591"/>
      <c r="F6038" s="591"/>
      <c r="G6038" s="612"/>
      <c r="H6038" s="411"/>
      <c r="I6038" s="411"/>
      <c r="J6038" s="750" t="e">
        <f t="shared" si="78"/>
        <v>#DIV/0!</v>
      </c>
      <c r="K6038" s="412"/>
      <c r="L6038" s="412"/>
      <c r="M6038" s="682"/>
      <c r="N6038" s="171"/>
      <c r="O6038" s="171"/>
      <c r="P6038" s="171"/>
      <c r="Q6038" s="171"/>
      <c r="R6038" s="171"/>
      <c r="S6038" s="171"/>
      <c r="T6038" s="171"/>
      <c r="U6038" s="171"/>
      <c r="V6038" s="171"/>
      <c r="W6038" s="171"/>
      <c r="X6038" s="171"/>
      <c r="Y6038" s="171"/>
      <c r="Z6038" s="171"/>
      <c r="AA6038" s="171"/>
    </row>
    <row r="6039" spans="1:27" s="530" customFormat="1" hidden="1" x14ac:dyDescent="0.2">
      <c r="A6039" s="526"/>
      <c r="B6039" s="527"/>
      <c r="C6039" s="595"/>
      <c r="D6039" s="591"/>
      <c r="E6039" s="591"/>
      <c r="F6039" s="591"/>
      <c r="G6039" s="612"/>
      <c r="H6039" s="411"/>
      <c r="I6039" s="411"/>
      <c r="J6039" s="750" t="e">
        <f t="shared" si="78"/>
        <v>#DIV/0!</v>
      </c>
      <c r="K6039" s="412"/>
      <c r="L6039" s="412"/>
      <c r="M6039" s="682"/>
      <c r="N6039" s="171"/>
      <c r="O6039" s="171"/>
      <c r="P6039" s="171"/>
      <c r="Q6039" s="171"/>
      <c r="R6039" s="171"/>
      <c r="S6039" s="171"/>
      <c r="T6039" s="171"/>
      <c r="U6039" s="171"/>
      <c r="V6039" s="171"/>
      <c r="W6039" s="171"/>
      <c r="X6039" s="171"/>
      <c r="Y6039" s="171"/>
      <c r="Z6039" s="171"/>
      <c r="AA6039" s="171"/>
    </row>
    <row r="6040" spans="1:27" s="530" customFormat="1" hidden="1" x14ac:dyDescent="0.2">
      <c r="A6040" s="526"/>
      <c r="B6040" s="527"/>
      <c r="C6040" s="595"/>
      <c r="D6040" s="591"/>
      <c r="E6040" s="591"/>
      <c r="F6040" s="591"/>
      <c r="G6040" s="612"/>
      <c r="H6040" s="411"/>
      <c r="I6040" s="411"/>
      <c r="J6040" s="750" t="e">
        <f t="shared" si="78"/>
        <v>#DIV/0!</v>
      </c>
      <c r="K6040" s="412"/>
      <c r="L6040" s="412"/>
      <c r="M6040" s="682"/>
      <c r="N6040" s="171"/>
      <c r="O6040" s="171"/>
      <c r="P6040" s="171"/>
      <c r="Q6040" s="171"/>
      <c r="R6040" s="171"/>
      <c r="S6040" s="171"/>
      <c r="T6040" s="171"/>
      <c r="U6040" s="171"/>
      <c r="V6040" s="171"/>
      <c r="W6040" s="171"/>
      <c r="X6040" s="171"/>
      <c r="Y6040" s="171"/>
      <c r="Z6040" s="171"/>
      <c r="AA6040" s="171"/>
    </row>
    <row r="6041" spans="1:27" s="530" customFormat="1" hidden="1" x14ac:dyDescent="0.2">
      <c r="A6041" s="526"/>
      <c r="B6041" s="527"/>
      <c r="C6041" s="595"/>
      <c r="D6041" s="591"/>
      <c r="E6041" s="591"/>
      <c r="F6041" s="591"/>
      <c r="G6041" s="612"/>
      <c r="H6041" s="411"/>
      <c r="I6041" s="411"/>
      <c r="J6041" s="750" t="e">
        <f t="shared" si="78"/>
        <v>#DIV/0!</v>
      </c>
      <c r="K6041" s="412"/>
      <c r="L6041" s="412"/>
      <c r="M6041" s="682"/>
      <c r="N6041" s="171"/>
      <c r="O6041" s="171"/>
      <c r="P6041" s="171"/>
      <c r="Q6041" s="171"/>
      <c r="R6041" s="171"/>
      <c r="S6041" s="171"/>
      <c r="T6041" s="171"/>
      <c r="U6041" s="171"/>
      <c r="V6041" s="171"/>
      <c r="W6041" s="171"/>
      <c r="X6041" s="171"/>
      <c r="Y6041" s="171"/>
      <c r="Z6041" s="171"/>
      <c r="AA6041" s="171"/>
    </row>
    <row r="6042" spans="1:27" s="530" customFormat="1" hidden="1" x14ac:dyDescent="0.2">
      <c r="A6042" s="526"/>
      <c r="B6042" s="527"/>
      <c r="C6042" s="595"/>
      <c r="D6042" s="591"/>
      <c r="E6042" s="591"/>
      <c r="F6042" s="591"/>
      <c r="G6042" s="612"/>
      <c r="H6042" s="411"/>
      <c r="I6042" s="411"/>
      <c r="J6042" s="750" t="e">
        <f t="shared" si="78"/>
        <v>#DIV/0!</v>
      </c>
      <c r="K6042" s="412"/>
      <c r="L6042" s="412"/>
      <c r="M6042" s="682"/>
      <c r="N6042" s="171"/>
      <c r="O6042" s="171"/>
      <c r="P6042" s="171"/>
      <c r="Q6042" s="171"/>
      <c r="R6042" s="171"/>
      <c r="S6042" s="171"/>
      <c r="T6042" s="171"/>
      <c r="U6042" s="171"/>
      <c r="V6042" s="171"/>
      <c r="W6042" s="171"/>
      <c r="X6042" s="171"/>
      <c r="Y6042" s="171"/>
      <c r="Z6042" s="171"/>
      <c r="AA6042" s="171"/>
    </row>
    <row r="6043" spans="1:27" s="530" customFormat="1" hidden="1" x14ac:dyDescent="0.2">
      <c r="A6043" s="526"/>
      <c r="B6043" s="527"/>
      <c r="C6043" s="595"/>
      <c r="D6043" s="591"/>
      <c r="E6043" s="591"/>
      <c r="F6043" s="591"/>
      <c r="G6043" s="612"/>
      <c r="H6043" s="411"/>
      <c r="I6043" s="411"/>
      <c r="J6043" s="750" t="e">
        <f t="shared" si="78"/>
        <v>#DIV/0!</v>
      </c>
      <c r="K6043" s="412"/>
      <c r="L6043" s="412"/>
      <c r="M6043" s="682"/>
      <c r="N6043" s="171"/>
      <c r="O6043" s="171"/>
      <c r="P6043" s="171"/>
      <c r="Q6043" s="171"/>
      <c r="R6043" s="171"/>
      <c r="S6043" s="171"/>
      <c r="T6043" s="171"/>
      <c r="U6043" s="171"/>
      <c r="V6043" s="171"/>
      <c r="W6043" s="171"/>
      <c r="X6043" s="171"/>
      <c r="Y6043" s="171"/>
      <c r="Z6043" s="171"/>
      <c r="AA6043" s="171"/>
    </row>
    <row r="6044" spans="1:27" s="530" customFormat="1" hidden="1" x14ac:dyDescent="0.2">
      <c r="A6044" s="526"/>
      <c r="B6044" s="527"/>
      <c r="C6044" s="595"/>
      <c r="D6044" s="591"/>
      <c r="E6044" s="591"/>
      <c r="F6044" s="591"/>
      <c r="G6044" s="612"/>
      <c r="H6044" s="411"/>
      <c r="I6044" s="411"/>
      <c r="J6044" s="750" t="e">
        <f t="shared" si="78"/>
        <v>#DIV/0!</v>
      </c>
      <c r="K6044" s="412"/>
      <c r="L6044" s="412"/>
      <c r="M6044" s="682"/>
      <c r="N6044" s="171"/>
      <c r="O6044" s="171"/>
      <c r="P6044" s="171"/>
      <c r="Q6044" s="171"/>
      <c r="R6044" s="171"/>
      <c r="S6044" s="171"/>
      <c r="T6044" s="171"/>
      <c r="U6044" s="171"/>
      <c r="V6044" s="171"/>
      <c r="W6044" s="171"/>
      <c r="X6044" s="171"/>
      <c r="Y6044" s="171"/>
      <c r="Z6044" s="171"/>
      <c r="AA6044" s="171"/>
    </row>
    <row r="6045" spans="1:27" s="530" customFormat="1" hidden="1" x14ac:dyDescent="0.2">
      <c r="A6045" s="526"/>
      <c r="B6045" s="527"/>
      <c r="C6045" s="595"/>
      <c r="D6045" s="591"/>
      <c r="E6045" s="591"/>
      <c r="F6045" s="591"/>
      <c r="G6045" s="612"/>
      <c r="H6045" s="411"/>
      <c r="I6045" s="411"/>
      <c r="J6045" s="750" t="e">
        <f t="shared" si="78"/>
        <v>#DIV/0!</v>
      </c>
      <c r="K6045" s="412"/>
      <c r="L6045" s="412"/>
      <c r="M6045" s="682"/>
      <c r="N6045" s="171"/>
      <c r="O6045" s="171"/>
      <c r="P6045" s="171"/>
      <c r="Q6045" s="171"/>
      <c r="R6045" s="171"/>
      <c r="S6045" s="171"/>
      <c r="T6045" s="171"/>
      <c r="U6045" s="171"/>
      <c r="V6045" s="171"/>
      <c r="W6045" s="171"/>
      <c r="X6045" s="171"/>
      <c r="Y6045" s="171"/>
      <c r="Z6045" s="171"/>
      <c r="AA6045" s="171"/>
    </row>
    <row r="6046" spans="1:27" s="530" customFormat="1" hidden="1" x14ac:dyDescent="0.2">
      <c r="A6046" s="526"/>
      <c r="B6046" s="527"/>
      <c r="C6046" s="595"/>
      <c r="D6046" s="591"/>
      <c r="E6046" s="591"/>
      <c r="F6046" s="591"/>
      <c r="G6046" s="612"/>
      <c r="H6046" s="411"/>
      <c r="I6046" s="411"/>
      <c r="J6046" s="750" t="e">
        <f t="shared" si="78"/>
        <v>#DIV/0!</v>
      </c>
      <c r="K6046" s="412"/>
      <c r="L6046" s="412"/>
      <c r="M6046" s="682"/>
      <c r="N6046" s="171"/>
      <c r="O6046" s="171"/>
      <c r="P6046" s="171"/>
      <c r="Q6046" s="171"/>
      <c r="R6046" s="171"/>
      <c r="S6046" s="171"/>
      <c r="T6046" s="171"/>
      <c r="U6046" s="171"/>
      <c r="V6046" s="171"/>
      <c r="W6046" s="171"/>
      <c r="X6046" s="171"/>
      <c r="Y6046" s="171"/>
      <c r="Z6046" s="171"/>
      <c r="AA6046" s="171"/>
    </row>
    <row r="6047" spans="1:27" s="530" customFormat="1" hidden="1" x14ac:dyDescent="0.2">
      <c r="A6047" s="526"/>
      <c r="B6047" s="527"/>
      <c r="C6047" s="595"/>
      <c r="D6047" s="591"/>
      <c r="E6047" s="591"/>
      <c r="F6047" s="591"/>
      <c r="G6047" s="612"/>
      <c r="H6047" s="411"/>
      <c r="I6047" s="411"/>
      <c r="J6047" s="750" t="e">
        <f t="shared" si="78"/>
        <v>#DIV/0!</v>
      </c>
      <c r="K6047" s="412"/>
      <c r="L6047" s="412"/>
      <c r="M6047" s="682"/>
      <c r="N6047" s="171"/>
      <c r="O6047" s="171"/>
      <c r="P6047" s="171"/>
      <c r="Q6047" s="171"/>
      <c r="R6047" s="171"/>
      <c r="S6047" s="171"/>
      <c r="T6047" s="171"/>
      <c r="U6047" s="171"/>
      <c r="V6047" s="171"/>
      <c r="W6047" s="171"/>
      <c r="X6047" s="171"/>
      <c r="Y6047" s="171"/>
      <c r="Z6047" s="171"/>
      <c r="AA6047" s="171"/>
    </row>
    <row r="6048" spans="1:27" s="530" customFormat="1" hidden="1" x14ac:dyDescent="0.2">
      <c r="A6048" s="526"/>
      <c r="B6048" s="527"/>
      <c r="C6048" s="595"/>
      <c r="D6048" s="591"/>
      <c r="E6048" s="591"/>
      <c r="F6048" s="591"/>
      <c r="G6048" s="612"/>
      <c r="H6048" s="411"/>
      <c r="I6048" s="411"/>
      <c r="J6048" s="750" t="e">
        <f t="shared" si="78"/>
        <v>#DIV/0!</v>
      </c>
      <c r="K6048" s="412"/>
      <c r="L6048" s="412"/>
      <c r="M6048" s="682"/>
      <c r="N6048" s="171"/>
      <c r="O6048" s="171"/>
      <c r="P6048" s="171"/>
      <c r="Q6048" s="171"/>
      <c r="R6048" s="171"/>
      <c r="S6048" s="171"/>
      <c r="T6048" s="171"/>
      <c r="U6048" s="171"/>
      <c r="V6048" s="171"/>
      <c r="W6048" s="171"/>
      <c r="X6048" s="171"/>
      <c r="Y6048" s="171"/>
      <c r="Z6048" s="171"/>
      <c r="AA6048" s="171"/>
    </row>
    <row r="6049" spans="1:27" s="530" customFormat="1" hidden="1" x14ac:dyDescent="0.2">
      <c r="A6049" s="526"/>
      <c r="B6049" s="527"/>
      <c r="C6049" s="595"/>
      <c r="D6049" s="591"/>
      <c r="E6049" s="591"/>
      <c r="F6049" s="591"/>
      <c r="G6049" s="612"/>
      <c r="H6049" s="411"/>
      <c r="I6049" s="411"/>
      <c r="J6049" s="750" t="e">
        <f t="shared" si="78"/>
        <v>#DIV/0!</v>
      </c>
      <c r="K6049" s="412"/>
      <c r="L6049" s="412"/>
      <c r="M6049" s="682"/>
      <c r="N6049" s="171"/>
      <c r="O6049" s="171"/>
      <c r="P6049" s="171"/>
      <c r="Q6049" s="171"/>
      <c r="R6049" s="171"/>
      <c r="S6049" s="171"/>
      <c r="T6049" s="171"/>
      <c r="U6049" s="171"/>
      <c r="V6049" s="171"/>
      <c r="W6049" s="171"/>
      <c r="X6049" s="171"/>
      <c r="Y6049" s="171"/>
      <c r="Z6049" s="171"/>
      <c r="AA6049" s="171"/>
    </row>
    <row r="6050" spans="1:27" s="530" customFormat="1" hidden="1" x14ac:dyDescent="0.2">
      <c r="A6050" s="526"/>
      <c r="B6050" s="527"/>
      <c r="C6050" s="595"/>
      <c r="D6050" s="591"/>
      <c r="E6050" s="591"/>
      <c r="F6050" s="591"/>
      <c r="G6050" s="612"/>
      <c r="H6050" s="411"/>
      <c r="I6050" s="411"/>
      <c r="J6050" s="750" t="e">
        <f t="shared" si="78"/>
        <v>#DIV/0!</v>
      </c>
      <c r="K6050" s="412"/>
      <c r="L6050" s="412"/>
      <c r="M6050" s="682"/>
      <c r="N6050" s="171"/>
      <c r="O6050" s="171"/>
      <c r="P6050" s="171"/>
      <c r="Q6050" s="171"/>
      <c r="R6050" s="171"/>
      <c r="S6050" s="171"/>
      <c r="T6050" s="171"/>
      <c r="U6050" s="171"/>
      <c r="V6050" s="171"/>
      <c r="W6050" s="171"/>
      <c r="X6050" s="171"/>
      <c r="Y6050" s="171"/>
      <c r="Z6050" s="171"/>
      <c r="AA6050" s="171"/>
    </row>
    <row r="6051" spans="1:27" s="530" customFormat="1" hidden="1" x14ac:dyDescent="0.2">
      <c r="A6051" s="526"/>
      <c r="B6051" s="527"/>
      <c r="C6051" s="595"/>
      <c r="D6051" s="591"/>
      <c r="E6051" s="591"/>
      <c r="F6051" s="591"/>
      <c r="G6051" s="612"/>
      <c r="H6051" s="411"/>
      <c r="I6051" s="411"/>
      <c r="J6051" s="750" t="e">
        <f t="shared" si="78"/>
        <v>#DIV/0!</v>
      </c>
      <c r="K6051" s="412"/>
      <c r="L6051" s="412"/>
      <c r="M6051" s="682"/>
      <c r="N6051" s="171"/>
      <c r="O6051" s="171"/>
      <c r="P6051" s="171"/>
      <c r="Q6051" s="171"/>
      <c r="R6051" s="171"/>
      <c r="S6051" s="171"/>
      <c r="T6051" s="171"/>
      <c r="U6051" s="171"/>
      <c r="V6051" s="171"/>
      <c r="W6051" s="171"/>
      <c r="X6051" s="171"/>
      <c r="Y6051" s="171"/>
      <c r="Z6051" s="171"/>
      <c r="AA6051" s="171"/>
    </row>
    <row r="6052" spans="1:27" s="530" customFormat="1" hidden="1" x14ac:dyDescent="0.2">
      <c r="A6052" s="526"/>
      <c r="B6052" s="527"/>
      <c r="C6052" s="595"/>
      <c r="D6052" s="591"/>
      <c r="E6052" s="591"/>
      <c r="F6052" s="591"/>
      <c r="G6052" s="612"/>
      <c r="H6052" s="411"/>
      <c r="I6052" s="411"/>
      <c r="J6052" s="750" t="e">
        <f t="shared" si="78"/>
        <v>#DIV/0!</v>
      </c>
      <c r="K6052" s="412"/>
      <c r="L6052" s="412"/>
      <c r="M6052" s="682"/>
      <c r="N6052" s="171"/>
      <c r="O6052" s="171"/>
      <c r="P6052" s="171"/>
      <c r="Q6052" s="171"/>
      <c r="R6052" s="171"/>
      <c r="S6052" s="171"/>
      <c r="T6052" s="171"/>
      <c r="U6052" s="171"/>
      <c r="V6052" s="171"/>
      <c r="W6052" s="171"/>
      <c r="X6052" s="171"/>
      <c r="Y6052" s="171"/>
      <c r="Z6052" s="171"/>
      <c r="AA6052" s="171"/>
    </row>
    <row r="6053" spans="1:27" s="530" customFormat="1" hidden="1" x14ac:dyDescent="0.2">
      <c r="A6053" s="526"/>
      <c r="B6053" s="527"/>
      <c r="C6053" s="595"/>
      <c r="D6053" s="591"/>
      <c r="E6053" s="591"/>
      <c r="F6053" s="591"/>
      <c r="G6053" s="612"/>
      <c r="H6053" s="411"/>
      <c r="I6053" s="411"/>
      <c r="J6053" s="750" t="e">
        <f t="shared" si="78"/>
        <v>#DIV/0!</v>
      </c>
      <c r="K6053" s="412"/>
      <c r="L6053" s="412"/>
      <c r="M6053" s="682"/>
      <c r="N6053" s="171"/>
      <c r="O6053" s="171"/>
      <c r="P6053" s="171"/>
      <c r="Q6053" s="171"/>
      <c r="R6053" s="171"/>
      <c r="S6053" s="171"/>
      <c r="T6053" s="171"/>
      <c r="U6053" s="171"/>
      <c r="V6053" s="171"/>
      <c r="W6053" s="171"/>
      <c r="X6053" s="171"/>
      <c r="Y6053" s="171"/>
      <c r="Z6053" s="171"/>
      <c r="AA6053" s="171"/>
    </row>
    <row r="6054" spans="1:27" s="530" customFormat="1" hidden="1" x14ac:dyDescent="0.2">
      <c r="A6054" s="526"/>
      <c r="B6054" s="527"/>
      <c r="C6054" s="595"/>
      <c r="D6054" s="591"/>
      <c r="E6054" s="591"/>
      <c r="F6054" s="591"/>
      <c r="G6054" s="612"/>
      <c r="H6054" s="411"/>
      <c r="I6054" s="411"/>
      <c r="J6054" s="750" t="e">
        <f t="shared" si="78"/>
        <v>#DIV/0!</v>
      </c>
      <c r="K6054" s="412"/>
      <c r="L6054" s="412"/>
      <c r="M6054" s="682"/>
      <c r="N6054" s="171"/>
      <c r="O6054" s="171"/>
      <c r="P6054" s="171"/>
      <c r="Q6054" s="171"/>
      <c r="R6054" s="171"/>
      <c r="S6054" s="171"/>
      <c r="T6054" s="171"/>
      <c r="U6054" s="171"/>
      <c r="V6054" s="171"/>
      <c r="W6054" s="171"/>
      <c r="X6054" s="171"/>
      <c r="Y6054" s="171"/>
      <c r="Z6054" s="171"/>
      <c r="AA6054" s="171"/>
    </row>
    <row r="6055" spans="1:27" s="530" customFormat="1" hidden="1" x14ac:dyDescent="0.2">
      <c r="A6055" s="526"/>
      <c r="B6055" s="527"/>
      <c r="C6055" s="595"/>
      <c r="D6055" s="591"/>
      <c r="E6055" s="591"/>
      <c r="F6055" s="591"/>
      <c r="G6055" s="612"/>
      <c r="H6055" s="411"/>
      <c r="I6055" s="411"/>
      <c r="J6055" s="750" t="e">
        <f t="shared" si="78"/>
        <v>#DIV/0!</v>
      </c>
      <c r="K6055" s="412"/>
      <c r="L6055" s="412"/>
      <c r="M6055" s="682"/>
      <c r="N6055" s="171"/>
      <c r="O6055" s="171"/>
      <c r="P6055" s="171"/>
      <c r="Q6055" s="171"/>
      <c r="R6055" s="171"/>
      <c r="S6055" s="171"/>
      <c r="T6055" s="171"/>
      <c r="U6055" s="171"/>
      <c r="V6055" s="171"/>
      <c r="W6055" s="171"/>
      <c r="X6055" s="171"/>
      <c r="Y6055" s="171"/>
      <c r="Z6055" s="171"/>
      <c r="AA6055" s="171"/>
    </row>
    <row r="6056" spans="1:27" s="530" customFormat="1" hidden="1" x14ac:dyDescent="0.2">
      <c r="A6056" s="526"/>
      <c r="B6056" s="527"/>
      <c r="C6056" s="595"/>
      <c r="D6056" s="591"/>
      <c r="E6056" s="591"/>
      <c r="F6056" s="591"/>
      <c r="G6056" s="612"/>
      <c r="H6056" s="411"/>
      <c r="I6056" s="411"/>
      <c r="J6056" s="750" t="e">
        <f t="shared" si="78"/>
        <v>#DIV/0!</v>
      </c>
      <c r="K6056" s="412"/>
      <c r="L6056" s="412"/>
      <c r="M6056" s="682"/>
      <c r="N6056" s="171"/>
      <c r="O6056" s="171"/>
      <c r="P6056" s="171"/>
      <c r="Q6056" s="171"/>
      <c r="R6056" s="171"/>
      <c r="S6056" s="171"/>
      <c r="T6056" s="171"/>
      <c r="U6056" s="171"/>
      <c r="V6056" s="171"/>
      <c r="W6056" s="171"/>
      <c r="X6056" s="171"/>
      <c r="Y6056" s="171"/>
      <c r="Z6056" s="171"/>
      <c r="AA6056" s="171"/>
    </row>
    <row r="6057" spans="1:27" s="530" customFormat="1" hidden="1" x14ac:dyDescent="0.2">
      <c r="A6057" s="526"/>
      <c r="B6057" s="527"/>
      <c r="C6057" s="595"/>
      <c r="D6057" s="591"/>
      <c r="E6057" s="591"/>
      <c r="F6057" s="591"/>
      <c r="G6057" s="612"/>
      <c r="H6057" s="411"/>
      <c r="I6057" s="411"/>
      <c r="J6057" s="750" t="e">
        <f t="shared" si="78"/>
        <v>#DIV/0!</v>
      </c>
      <c r="K6057" s="412"/>
      <c r="L6057" s="412"/>
      <c r="M6057" s="682"/>
      <c r="N6057" s="171"/>
      <c r="O6057" s="171"/>
      <c r="P6057" s="171"/>
      <c r="Q6057" s="171"/>
      <c r="R6057" s="171"/>
      <c r="S6057" s="171"/>
      <c r="T6057" s="171"/>
      <c r="U6057" s="171"/>
      <c r="V6057" s="171"/>
      <c r="W6057" s="171"/>
      <c r="X6057" s="171"/>
      <c r="Y6057" s="171"/>
      <c r="Z6057" s="171"/>
      <c r="AA6057" s="171"/>
    </row>
    <row r="6058" spans="1:27" s="530" customFormat="1" hidden="1" x14ac:dyDescent="0.2">
      <c r="A6058" s="526"/>
      <c r="B6058" s="527"/>
      <c r="C6058" s="595"/>
      <c r="D6058" s="591"/>
      <c r="E6058" s="591"/>
      <c r="F6058" s="591"/>
      <c r="G6058" s="612"/>
      <c r="H6058" s="411"/>
      <c r="I6058" s="411"/>
      <c r="J6058" s="750" t="e">
        <f t="shared" si="78"/>
        <v>#DIV/0!</v>
      </c>
      <c r="K6058" s="412"/>
      <c r="L6058" s="412"/>
      <c r="M6058" s="682"/>
      <c r="N6058" s="171"/>
      <c r="O6058" s="171"/>
      <c r="P6058" s="171"/>
      <c r="Q6058" s="171"/>
      <c r="R6058" s="171"/>
      <c r="S6058" s="171"/>
      <c r="T6058" s="171"/>
      <c r="U6058" s="171"/>
      <c r="V6058" s="171"/>
      <c r="W6058" s="171"/>
      <c r="X6058" s="171"/>
      <c r="Y6058" s="171"/>
      <c r="Z6058" s="171"/>
      <c r="AA6058" s="171"/>
    </row>
    <row r="6059" spans="1:27" s="530" customFormat="1" hidden="1" x14ac:dyDescent="0.2">
      <c r="A6059" s="526"/>
      <c r="B6059" s="527"/>
      <c r="C6059" s="595"/>
      <c r="D6059" s="591"/>
      <c r="E6059" s="591"/>
      <c r="F6059" s="591"/>
      <c r="G6059" s="612"/>
      <c r="H6059" s="411"/>
      <c r="I6059" s="411"/>
      <c r="J6059" s="750" t="e">
        <f t="shared" si="78"/>
        <v>#DIV/0!</v>
      </c>
      <c r="K6059" s="412"/>
      <c r="L6059" s="412"/>
      <c r="M6059" s="682"/>
      <c r="N6059" s="171"/>
      <c r="O6059" s="171"/>
      <c r="P6059" s="171"/>
      <c r="Q6059" s="171"/>
      <c r="R6059" s="171"/>
      <c r="S6059" s="171"/>
      <c r="T6059" s="171"/>
      <c r="U6059" s="171"/>
      <c r="V6059" s="171"/>
      <c r="W6059" s="171"/>
      <c r="X6059" s="171"/>
      <c r="Y6059" s="171"/>
      <c r="Z6059" s="171"/>
      <c r="AA6059" s="171"/>
    </row>
    <row r="6060" spans="1:27" s="530" customFormat="1" hidden="1" x14ac:dyDescent="0.2">
      <c r="A6060" s="526"/>
      <c r="B6060" s="527"/>
      <c r="C6060" s="595"/>
      <c r="D6060" s="591"/>
      <c r="E6060" s="591"/>
      <c r="F6060" s="591"/>
      <c r="G6060" s="612"/>
      <c r="H6060" s="411"/>
      <c r="I6060" s="411"/>
      <c r="J6060" s="750" t="e">
        <f t="shared" si="78"/>
        <v>#DIV/0!</v>
      </c>
      <c r="K6060" s="412"/>
      <c r="L6060" s="412"/>
      <c r="M6060" s="682"/>
      <c r="N6060" s="171"/>
      <c r="O6060" s="171"/>
      <c r="P6060" s="171"/>
      <c r="Q6060" s="171"/>
      <c r="R6060" s="171"/>
      <c r="S6060" s="171"/>
      <c r="T6060" s="171"/>
      <c r="U6060" s="171"/>
      <c r="V6060" s="171"/>
      <c r="W6060" s="171"/>
      <c r="X6060" s="171"/>
      <c r="Y6060" s="171"/>
      <c r="Z6060" s="171"/>
      <c r="AA6060" s="171"/>
    </row>
    <row r="6061" spans="1:27" s="530" customFormat="1" ht="0.75" customHeight="1" x14ac:dyDescent="0.2">
      <c r="A6061" s="526"/>
      <c r="B6061" s="527"/>
      <c r="C6061" s="534"/>
      <c r="D6061" s="535"/>
      <c r="E6061" s="535"/>
      <c r="F6061" s="167"/>
      <c r="G6061" s="513"/>
      <c r="H6061" s="422"/>
      <c r="I6061" s="422"/>
      <c r="J6061" s="750" t="e">
        <f t="shared" si="78"/>
        <v>#DIV/0!</v>
      </c>
      <c r="K6061" s="423"/>
      <c r="L6061" s="424"/>
      <c r="M6061" s="682"/>
      <c r="N6061" s="171"/>
      <c r="O6061" s="171"/>
      <c r="P6061" s="171"/>
      <c r="Q6061" s="171"/>
      <c r="R6061" s="171"/>
      <c r="S6061" s="171"/>
      <c r="T6061" s="171"/>
      <c r="U6061" s="171"/>
      <c r="V6061" s="171"/>
      <c r="W6061" s="171"/>
      <c r="X6061" s="171"/>
      <c r="Y6061" s="171"/>
      <c r="Z6061" s="171"/>
      <c r="AA6061" s="171"/>
    </row>
    <row r="6062" spans="1:27" s="530" customFormat="1" ht="15.75" customHeight="1" x14ac:dyDescent="0.2">
      <c r="A6062" s="526"/>
      <c r="B6062" s="527"/>
      <c r="C6062" s="613">
        <v>912</v>
      </c>
      <c r="D6062" s="174"/>
      <c r="E6062" s="174"/>
      <c r="F6062" s="174"/>
      <c r="G6062" s="614" t="s">
        <v>5137</v>
      </c>
      <c r="H6062" s="442"/>
      <c r="I6062" s="442"/>
      <c r="J6062" s="751"/>
      <c r="K6062" s="443"/>
      <c r="L6062" s="417"/>
      <c r="M6062" s="682"/>
      <c r="N6062" s="171"/>
      <c r="O6062" s="171"/>
      <c r="P6062" s="171"/>
      <c r="Q6062" s="171"/>
      <c r="R6062" s="171"/>
      <c r="S6062" s="171"/>
      <c r="T6062" s="171"/>
      <c r="U6062" s="171"/>
      <c r="V6062" s="171"/>
      <c r="W6062" s="171"/>
      <c r="X6062" s="171"/>
      <c r="Y6062" s="171"/>
      <c r="Z6062" s="171"/>
      <c r="AA6062" s="171"/>
    </row>
    <row r="6063" spans="1:27" s="530" customFormat="1" ht="12.75" customHeight="1" x14ac:dyDescent="0.2">
      <c r="A6063" s="526"/>
      <c r="B6063" s="527"/>
      <c r="C6063" s="489" t="s">
        <v>3582</v>
      </c>
      <c r="D6063" s="464"/>
      <c r="E6063" s="464"/>
      <c r="F6063" s="464"/>
      <c r="G6063" s="513" t="s">
        <v>4332</v>
      </c>
      <c r="H6063" s="397"/>
      <c r="I6063" s="397"/>
      <c r="J6063" s="750"/>
      <c r="K6063" s="398"/>
      <c r="L6063" s="398"/>
      <c r="M6063" s="682"/>
      <c r="N6063" s="171"/>
      <c r="O6063" s="171"/>
      <c r="P6063" s="171"/>
      <c r="Q6063" s="171"/>
      <c r="R6063" s="171"/>
      <c r="S6063" s="171"/>
      <c r="T6063" s="171"/>
      <c r="U6063" s="171"/>
      <c r="V6063" s="171"/>
      <c r="W6063" s="171"/>
      <c r="X6063" s="171"/>
      <c r="Y6063" s="171"/>
      <c r="Z6063" s="171"/>
      <c r="AA6063" s="171"/>
    </row>
    <row r="6064" spans="1:27" s="530" customFormat="1" ht="13.5" customHeight="1" x14ac:dyDescent="0.2">
      <c r="A6064" s="526"/>
      <c r="B6064" s="527"/>
      <c r="C6064" s="489" t="s">
        <v>4111</v>
      </c>
      <c r="D6064" s="490"/>
      <c r="E6064" s="464"/>
      <c r="F6064" s="464"/>
      <c r="G6064" s="513" t="s">
        <v>4106</v>
      </c>
      <c r="H6064" s="397"/>
      <c r="I6064" s="397"/>
      <c r="J6064" s="750"/>
      <c r="K6064" s="398"/>
      <c r="L6064" s="398"/>
      <c r="M6064" s="682"/>
      <c r="N6064" s="171"/>
      <c r="O6064" s="171"/>
      <c r="P6064" s="171"/>
      <c r="Q6064" s="171"/>
      <c r="R6064" s="171"/>
      <c r="S6064" s="171"/>
      <c r="T6064" s="171"/>
      <c r="U6064" s="171"/>
      <c r="V6064" s="171"/>
      <c r="W6064" s="171"/>
      <c r="X6064" s="171"/>
      <c r="Y6064" s="171"/>
      <c r="Z6064" s="171"/>
      <c r="AA6064" s="171"/>
    </row>
    <row r="6065" spans="1:27" s="530" customFormat="1" ht="12.75" customHeight="1" x14ac:dyDescent="0.2">
      <c r="A6065" s="526"/>
      <c r="B6065" s="527"/>
      <c r="C6065" s="489"/>
      <c r="D6065" s="492">
        <v>912</v>
      </c>
      <c r="E6065" s="492"/>
      <c r="F6065" s="492"/>
      <c r="G6065" s="493" t="s">
        <v>215</v>
      </c>
      <c r="H6065" s="397"/>
      <c r="I6065" s="397"/>
      <c r="J6065" s="750"/>
      <c r="K6065" s="398"/>
      <c r="L6065" s="398"/>
      <c r="M6065" s="682"/>
      <c r="N6065" s="171"/>
      <c r="O6065" s="171"/>
      <c r="P6065" s="171"/>
      <c r="Q6065" s="171"/>
      <c r="R6065" s="171"/>
      <c r="S6065" s="171"/>
      <c r="T6065" s="171"/>
      <c r="U6065" s="171"/>
      <c r="V6065" s="171"/>
      <c r="W6065" s="171"/>
      <c r="X6065" s="171"/>
      <c r="Y6065" s="171"/>
      <c r="Z6065" s="171"/>
      <c r="AA6065" s="171"/>
    </row>
    <row r="6066" spans="1:27" s="530" customFormat="1" ht="15.75" customHeight="1" x14ac:dyDescent="0.2">
      <c r="A6066" s="526"/>
      <c r="B6066" s="527"/>
      <c r="C6066" s="465"/>
      <c r="D6066" s="464"/>
      <c r="E6066" s="464">
        <v>61</v>
      </c>
      <c r="F6066" s="494">
        <v>4631</v>
      </c>
      <c r="G6066" s="495" t="s">
        <v>3807</v>
      </c>
      <c r="H6066" s="397">
        <v>28450000</v>
      </c>
      <c r="I6066" s="397">
        <v>26297279.23</v>
      </c>
      <c r="J6066" s="750">
        <f t="shared" si="78"/>
        <v>92.433318910369067</v>
      </c>
      <c r="K6066" s="398"/>
      <c r="L6066" s="398"/>
      <c r="M6066" s="682"/>
      <c r="N6066" s="171"/>
      <c r="O6066" s="171"/>
      <c r="P6066" s="171"/>
      <c r="Q6066" s="171"/>
      <c r="R6066" s="171"/>
      <c r="S6066" s="171"/>
      <c r="T6066" s="171"/>
      <c r="U6066" s="171"/>
      <c r="V6066" s="171"/>
      <c r="W6066" s="171"/>
      <c r="X6066" s="171"/>
      <c r="Y6066" s="171"/>
      <c r="Z6066" s="171"/>
      <c r="AA6066" s="171"/>
    </row>
    <row r="6067" spans="1:27" s="530" customFormat="1" ht="13.5" customHeight="1" thickBot="1" x14ac:dyDescent="0.25">
      <c r="A6067" s="526"/>
      <c r="B6067" s="527"/>
      <c r="C6067" s="465"/>
      <c r="D6067" s="464"/>
      <c r="E6067" s="464">
        <v>62</v>
      </c>
      <c r="F6067" s="494">
        <v>4632</v>
      </c>
      <c r="G6067" s="495" t="s">
        <v>3808</v>
      </c>
      <c r="H6067" s="397">
        <v>600000</v>
      </c>
      <c r="I6067" s="397">
        <v>0</v>
      </c>
      <c r="J6067" s="750">
        <f t="shared" si="78"/>
        <v>0</v>
      </c>
      <c r="K6067" s="398"/>
      <c r="L6067" s="398"/>
      <c r="M6067" s="682"/>
      <c r="N6067" s="171"/>
      <c r="O6067" s="171"/>
      <c r="P6067" s="171"/>
      <c r="Q6067" s="171"/>
      <c r="R6067" s="171"/>
      <c r="S6067" s="171"/>
      <c r="T6067" s="171"/>
      <c r="U6067" s="171"/>
      <c r="V6067" s="171"/>
      <c r="W6067" s="171"/>
      <c r="X6067" s="171"/>
      <c r="Y6067" s="171"/>
      <c r="Z6067" s="171"/>
      <c r="AA6067" s="171"/>
    </row>
    <row r="6068" spans="1:27" s="530" customFormat="1" ht="15.75" hidden="1" customHeight="1" x14ac:dyDescent="0.2">
      <c r="A6068" s="526"/>
      <c r="B6068" s="527"/>
      <c r="C6068" s="465"/>
      <c r="D6068" s="464"/>
      <c r="E6068" s="464"/>
      <c r="F6068" s="494">
        <v>413</v>
      </c>
      <c r="G6068" s="495" t="s">
        <v>4168</v>
      </c>
      <c r="H6068" s="397"/>
      <c r="I6068" s="397"/>
      <c r="J6068" s="750" t="e">
        <f t="shared" si="78"/>
        <v>#DIV/0!</v>
      </c>
      <c r="K6068" s="398"/>
      <c r="L6068" s="398"/>
      <c r="M6068" s="682"/>
      <c r="N6068" s="171"/>
      <c r="O6068" s="171"/>
      <c r="P6068" s="171"/>
      <c r="Q6068" s="171"/>
      <c r="R6068" s="171"/>
      <c r="S6068" s="171"/>
      <c r="T6068" s="171"/>
      <c r="U6068" s="171"/>
      <c r="V6068" s="171"/>
      <c r="W6068" s="171"/>
      <c r="X6068" s="171"/>
      <c r="Y6068" s="171"/>
      <c r="Z6068" s="171"/>
      <c r="AA6068" s="171"/>
    </row>
    <row r="6069" spans="1:27" s="530" customFormat="1" ht="12.75" hidden="1" customHeight="1" x14ac:dyDescent="0.2">
      <c r="A6069" s="526"/>
      <c r="B6069" s="527"/>
      <c r="C6069" s="465"/>
      <c r="D6069" s="464"/>
      <c r="E6069" s="464"/>
      <c r="F6069" s="494"/>
      <c r="G6069" s="495"/>
      <c r="H6069" s="397"/>
      <c r="I6069" s="397"/>
      <c r="J6069" s="750"/>
      <c r="K6069" s="398"/>
      <c r="L6069" s="398"/>
      <c r="M6069" s="682"/>
      <c r="N6069" s="171"/>
      <c r="O6069" s="171"/>
      <c r="P6069" s="171"/>
      <c r="Q6069" s="171"/>
      <c r="R6069" s="171"/>
      <c r="S6069" s="171"/>
      <c r="T6069" s="171"/>
      <c r="U6069" s="171"/>
      <c r="V6069" s="171"/>
      <c r="W6069" s="171"/>
      <c r="X6069" s="171"/>
      <c r="Y6069" s="171"/>
      <c r="Z6069" s="171"/>
      <c r="AA6069" s="171"/>
    </row>
    <row r="6070" spans="1:27" s="530" customFormat="1" ht="13.5" hidden="1" customHeight="1" x14ac:dyDescent="0.2">
      <c r="A6070" s="526"/>
      <c r="B6070" s="527"/>
      <c r="C6070" s="465"/>
      <c r="D6070" s="464"/>
      <c r="E6070" s="464"/>
      <c r="F6070" s="494"/>
      <c r="G6070" s="495"/>
      <c r="H6070" s="397"/>
      <c r="I6070" s="397"/>
      <c r="J6070" s="750"/>
      <c r="K6070" s="398"/>
      <c r="L6070" s="398"/>
      <c r="M6070" s="682"/>
      <c r="N6070" s="171"/>
      <c r="O6070" s="171"/>
      <c r="P6070" s="171"/>
      <c r="Q6070" s="171"/>
      <c r="R6070" s="171"/>
      <c r="S6070" s="171"/>
      <c r="T6070" s="171"/>
      <c r="U6070" s="171"/>
      <c r="V6070" s="171"/>
      <c r="W6070" s="171"/>
      <c r="X6070" s="171"/>
      <c r="Y6070" s="171"/>
      <c r="Z6070" s="171"/>
      <c r="AA6070" s="171"/>
    </row>
    <row r="6071" spans="1:27" s="530" customFormat="1" ht="14.25" hidden="1" customHeight="1" x14ac:dyDescent="0.2">
      <c r="A6071" s="526"/>
      <c r="B6071" s="527"/>
      <c r="C6071" s="465"/>
      <c r="D6071" s="464"/>
      <c r="E6071" s="464"/>
      <c r="F6071" s="494"/>
      <c r="G6071" s="495"/>
      <c r="H6071" s="397"/>
      <c r="I6071" s="397"/>
      <c r="J6071" s="750"/>
      <c r="K6071" s="398"/>
      <c r="L6071" s="398"/>
      <c r="M6071" s="682"/>
      <c r="N6071" s="171"/>
      <c r="O6071" s="171"/>
      <c r="P6071" s="171"/>
      <c r="Q6071" s="171"/>
      <c r="R6071" s="171"/>
      <c r="S6071" s="171"/>
      <c r="T6071" s="171"/>
      <c r="U6071" s="171"/>
      <c r="V6071" s="171"/>
      <c r="W6071" s="171"/>
      <c r="X6071" s="171"/>
      <c r="Y6071" s="171"/>
      <c r="Z6071" s="171"/>
      <c r="AA6071" s="171"/>
    </row>
    <row r="6072" spans="1:27" s="530" customFormat="1" ht="15.75" hidden="1" customHeight="1" x14ac:dyDescent="0.2">
      <c r="A6072" s="526"/>
      <c r="B6072" s="527"/>
      <c r="C6072" s="465"/>
      <c r="D6072" s="464"/>
      <c r="E6072" s="464"/>
      <c r="F6072" s="494"/>
      <c r="G6072" s="495"/>
      <c r="H6072" s="397"/>
      <c r="I6072" s="397"/>
      <c r="J6072" s="750"/>
      <c r="K6072" s="398"/>
      <c r="L6072" s="398"/>
      <c r="M6072" s="682"/>
      <c r="N6072" s="171"/>
      <c r="O6072" s="171"/>
      <c r="P6072" s="171"/>
      <c r="Q6072" s="171"/>
      <c r="R6072" s="171"/>
      <c r="S6072" s="171"/>
      <c r="T6072" s="171"/>
      <c r="U6072" s="171"/>
      <c r="V6072" s="171"/>
      <c r="W6072" s="171"/>
      <c r="X6072" s="171"/>
      <c r="Y6072" s="171"/>
      <c r="Z6072" s="171"/>
      <c r="AA6072" s="171"/>
    </row>
    <row r="6073" spans="1:27" s="530" customFormat="1" ht="15.75" hidden="1" customHeight="1" x14ac:dyDescent="0.2">
      <c r="A6073" s="526"/>
      <c r="B6073" s="527"/>
      <c r="C6073" s="465"/>
      <c r="D6073" s="464"/>
      <c r="E6073" s="464"/>
      <c r="F6073" s="494"/>
      <c r="G6073" s="495"/>
      <c r="H6073" s="397"/>
      <c r="I6073" s="397"/>
      <c r="J6073" s="750"/>
      <c r="K6073" s="398"/>
      <c r="L6073" s="398"/>
      <c r="M6073" s="682"/>
      <c r="N6073" s="171"/>
      <c r="O6073" s="171"/>
      <c r="P6073" s="171"/>
      <c r="Q6073" s="171"/>
      <c r="R6073" s="171"/>
      <c r="S6073" s="171"/>
      <c r="T6073" s="171"/>
      <c r="U6073" s="171"/>
      <c r="V6073" s="171"/>
      <c r="W6073" s="171"/>
      <c r="X6073" s="171"/>
      <c r="Y6073" s="171"/>
      <c r="Z6073" s="171"/>
      <c r="AA6073" s="171"/>
    </row>
    <row r="6074" spans="1:27" s="530" customFormat="1" ht="12.75" hidden="1" customHeight="1" x14ac:dyDescent="0.2">
      <c r="A6074" s="526"/>
      <c r="B6074" s="527"/>
      <c r="C6074" s="465"/>
      <c r="D6074" s="464"/>
      <c r="E6074" s="464"/>
      <c r="F6074" s="494"/>
      <c r="G6074" s="495"/>
      <c r="H6074" s="397"/>
      <c r="I6074" s="397"/>
      <c r="J6074" s="750"/>
      <c r="K6074" s="398"/>
      <c r="L6074" s="398"/>
      <c r="M6074" s="682"/>
      <c r="N6074" s="171"/>
      <c r="O6074" s="171"/>
      <c r="P6074" s="171"/>
      <c r="Q6074" s="171"/>
      <c r="R6074" s="171"/>
      <c r="S6074" s="171"/>
      <c r="T6074" s="171"/>
      <c r="U6074" s="171"/>
      <c r="V6074" s="171"/>
      <c r="W6074" s="171"/>
      <c r="X6074" s="171"/>
      <c r="Y6074" s="171"/>
      <c r="Z6074" s="171"/>
      <c r="AA6074" s="171"/>
    </row>
    <row r="6075" spans="1:27" s="530" customFormat="1" ht="13.5" hidden="1" customHeight="1" x14ac:dyDescent="0.2">
      <c r="A6075" s="526"/>
      <c r="B6075" s="527"/>
      <c r="C6075" s="465"/>
      <c r="D6075" s="464"/>
      <c r="E6075" s="464"/>
      <c r="F6075" s="494"/>
      <c r="G6075" s="495"/>
      <c r="H6075" s="397"/>
      <c r="I6075" s="397"/>
      <c r="J6075" s="750"/>
      <c r="K6075" s="398"/>
      <c r="L6075" s="398"/>
      <c r="M6075" s="682"/>
      <c r="N6075" s="171"/>
      <c r="O6075" s="171"/>
      <c r="P6075" s="171"/>
      <c r="Q6075" s="171"/>
      <c r="R6075" s="171"/>
      <c r="S6075" s="171"/>
      <c r="T6075" s="171"/>
      <c r="U6075" s="171"/>
      <c r="V6075" s="171"/>
      <c r="W6075" s="171"/>
      <c r="X6075" s="171"/>
      <c r="Y6075" s="171"/>
      <c r="Z6075" s="171"/>
      <c r="AA6075" s="171"/>
    </row>
    <row r="6076" spans="1:27" s="530" customFormat="1" ht="15.75" hidden="1" customHeight="1" x14ac:dyDescent="0.2">
      <c r="A6076" s="526"/>
      <c r="B6076" s="527"/>
      <c r="C6076" s="465"/>
      <c r="D6076" s="464"/>
      <c r="E6076" s="464"/>
      <c r="F6076" s="494"/>
      <c r="G6076" s="495"/>
      <c r="H6076" s="397"/>
      <c r="I6076" s="397"/>
      <c r="J6076" s="750"/>
      <c r="K6076" s="398"/>
      <c r="L6076" s="398"/>
      <c r="M6076" s="682"/>
      <c r="N6076" s="171"/>
      <c r="O6076" s="171"/>
      <c r="P6076" s="171"/>
      <c r="Q6076" s="171"/>
      <c r="R6076" s="171"/>
      <c r="S6076" s="171"/>
      <c r="T6076" s="171"/>
      <c r="U6076" s="171"/>
      <c r="V6076" s="171"/>
      <c r="W6076" s="171"/>
      <c r="X6076" s="171"/>
      <c r="Y6076" s="171"/>
      <c r="Z6076" s="171"/>
      <c r="AA6076" s="171"/>
    </row>
    <row r="6077" spans="1:27" s="530" customFormat="1" ht="13.5" hidden="1" customHeight="1" x14ac:dyDescent="0.2">
      <c r="A6077" s="526"/>
      <c r="B6077" s="527"/>
      <c r="C6077" s="465"/>
      <c r="D6077" s="464"/>
      <c r="E6077" s="464"/>
      <c r="F6077" s="494"/>
      <c r="G6077" s="495"/>
      <c r="H6077" s="397"/>
      <c r="I6077" s="397"/>
      <c r="J6077" s="750"/>
      <c r="K6077" s="398"/>
      <c r="L6077" s="398"/>
      <c r="M6077" s="682"/>
      <c r="N6077" s="171"/>
      <c r="O6077" s="171"/>
      <c r="P6077" s="171"/>
      <c r="Q6077" s="171"/>
      <c r="R6077" s="171"/>
      <c r="S6077" s="171"/>
      <c r="T6077" s="171"/>
      <c r="U6077" s="171"/>
      <c r="V6077" s="171"/>
      <c r="W6077" s="171"/>
      <c r="X6077" s="171"/>
      <c r="Y6077" s="171"/>
      <c r="Z6077" s="171"/>
      <c r="AA6077" s="171"/>
    </row>
    <row r="6078" spans="1:27" s="530" customFormat="1" ht="12.75" hidden="1" customHeight="1" x14ac:dyDescent="0.2">
      <c r="A6078" s="526"/>
      <c r="B6078" s="527"/>
      <c r="C6078" s="465"/>
      <c r="D6078" s="464"/>
      <c r="E6078" s="464"/>
      <c r="F6078" s="494"/>
      <c r="G6078" s="495"/>
      <c r="H6078" s="397"/>
      <c r="I6078" s="397"/>
      <c r="J6078" s="750"/>
      <c r="K6078" s="398"/>
      <c r="L6078" s="398"/>
      <c r="M6078" s="682"/>
      <c r="N6078" s="171"/>
      <c r="O6078" s="171"/>
      <c r="P6078" s="171"/>
      <c r="Q6078" s="171"/>
      <c r="R6078" s="171"/>
      <c r="S6078" s="171"/>
      <c r="T6078" s="171"/>
      <c r="U6078" s="171"/>
      <c r="V6078" s="171"/>
      <c r="W6078" s="171"/>
      <c r="X6078" s="171"/>
      <c r="Y6078" s="171"/>
      <c r="Z6078" s="171"/>
      <c r="AA6078" s="171"/>
    </row>
    <row r="6079" spans="1:27" s="530" customFormat="1" ht="13.5" hidden="1" customHeight="1" x14ac:dyDescent="0.2">
      <c r="A6079" s="526"/>
      <c r="B6079" s="527"/>
      <c r="C6079" s="465"/>
      <c r="D6079" s="464"/>
      <c r="E6079" s="464"/>
      <c r="F6079" s="494"/>
      <c r="G6079" s="495"/>
      <c r="H6079" s="397"/>
      <c r="I6079" s="397"/>
      <c r="J6079" s="750"/>
      <c r="K6079" s="398"/>
      <c r="L6079" s="398"/>
      <c r="M6079" s="682"/>
      <c r="N6079" s="171"/>
      <c r="O6079" s="171"/>
      <c r="P6079" s="171"/>
      <c r="Q6079" s="171"/>
      <c r="R6079" s="171"/>
      <c r="S6079" s="171"/>
      <c r="T6079" s="171"/>
      <c r="U6079" s="171"/>
      <c r="V6079" s="171"/>
      <c r="W6079" s="171"/>
      <c r="X6079" s="171"/>
      <c r="Y6079" s="171"/>
      <c r="Z6079" s="171"/>
      <c r="AA6079" s="171"/>
    </row>
    <row r="6080" spans="1:27" s="530" customFormat="1" ht="15.75" hidden="1" customHeight="1" x14ac:dyDescent="0.2">
      <c r="A6080" s="526"/>
      <c r="B6080" s="527"/>
      <c r="C6080" s="465"/>
      <c r="D6080" s="464"/>
      <c r="E6080" s="464"/>
      <c r="F6080" s="494"/>
      <c r="G6080" s="495"/>
      <c r="H6080" s="397"/>
      <c r="I6080" s="397"/>
      <c r="J6080" s="750"/>
      <c r="K6080" s="398"/>
      <c r="L6080" s="398"/>
      <c r="M6080" s="682"/>
      <c r="N6080" s="171"/>
      <c r="O6080" s="171"/>
      <c r="P6080" s="171"/>
      <c r="Q6080" s="171"/>
      <c r="R6080" s="171"/>
      <c r="S6080" s="171"/>
      <c r="T6080" s="171"/>
      <c r="U6080" s="171"/>
      <c r="V6080" s="171"/>
      <c r="W6080" s="171"/>
      <c r="X6080" s="171"/>
      <c r="Y6080" s="171"/>
      <c r="Z6080" s="171"/>
      <c r="AA6080" s="171"/>
    </row>
    <row r="6081" spans="1:27" s="530" customFormat="1" ht="15.75" hidden="1" customHeight="1" x14ac:dyDescent="0.2">
      <c r="A6081" s="526"/>
      <c r="B6081" s="527"/>
      <c r="C6081" s="465"/>
      <c r="D6081" s="464"/>
      <c r="E6081" s="464"/>
      <c r="F6081" s="494"/>
      <c r="G6081" s="495"/>
      <c r="H6081" s="397"/>
      <c r="I6081" s="397"/>
      <c r="J6081" s="750"/>
      <c r="K6081" s="398"/>
      <c r="L6081" s="398"/>
      <c r="M6081" s="682"/>
      <c r="N6081" s="171"/>
      <c r="O6081" s="171"/>
      <c r="P6081" s="171"/>
      <c r="Q6081" s="171"/>
      <c r="R6081" s="171"/>
      <c r="S6081" s="171"/>
      <c r="T6081" s="171"/>
      <c r="U6081" s="171"/>
      <c r="V6081" s="171"/>
      <c r="W6081" s="171"/>
      <c r="X6081" s="171"/>
      <c r="Y6081" s="171"/>
      <c r="Z6081" s="171"/>
      <c r="AA6081" s="171"/>
    </row>
    <row r="6082" spans="1:27" s="530" customFormat="1" ht="15.75" hidden="1" customHeight="1" x14ac:dyDescent="0.2">
      <c r="A6082" s="526"/>
      <c r="B6082" s="527"/>
      <c r="C6082" s="465"/>
      <c r="D6082" s="464"/>
      <c r="E6082" s="464"/>
      <c r="F6082" s="494"/>
      <c r="G6082" s="495"/>
      <c r="H6082" s="397"/>
      <c r="I6082" s="397"/>
      <c r="J6082" s="750"/>
      <c r="K6082" s="398"/>
      <c r="L6082" s="398"/>
      <c r="M6082" s="682"/>
      <c r="N6082" s="171"/>
      <c r="O6082" s="171"/>
      <c r="P6082" s="171"/>
      <c r="Q6082" s="171"/>
      <c r="R6082" s="171"/>
      <c r="S6082" s="171"/>
      <c r="T6082" s="171"/>
      <c r="U6082" s="171"/>
      <c r="V6082" s="171"/>
      <c r="W6082" s="171"/>
      <c r="X6082" s="171"/>
      <c r="Y6082" s="171"/>
      <c r="Z6082" s="171"/>
      <c r="AA6082" s="171"/>
    </row>
    <row r="6083" spans="1:27" s="530" customFormat="1" ht="15.75" hidden="1" customHeight="1" x14ac:dyDescent="0.2">
      <c r="A6083" s="526"/>
      <c r="B6083" s="527"/>
      <c r="C6083" s="465"/>
      <c r="D6083" s="464"/>
      <c r="E6083" s="464"/>
      <c r="F6083" s="494"/>
      <c r="G6083" s="495"/>
      <c r="H6083" s="397"/>
      <c r="I6083" s="397"/>
      <c r="J6083" s="750"/>
      <c r="K6083" s="398"/>
      <c r="L6083" s="398"/>
      <c r="M6083" s="682"/>
      <c r="N6083" s="171"/>
      <c r="O6083" s="171"/>
      <c r="P6083" s="171"/>
      <c r="Q6083" s="171"/>
      <c r="R6083" s="171"/>
      <c r="S6083" s="171"/>
      <c r="T6083" s="171"/>
      <c r="U6083" s="171"/>
      <c r="V6083" s="171"/>
      <c r="W6083" s="171"/>
      <c r="X6083" s="171"/>
      <c r="Y6083" s="171"/>
      <c r="Z6083" s="171"/>
      <c r="AA6083" s="171"/>
    </row>
    <row r="6084" spans="1:27" s="530" customFormat="1" ht="15.75" hidden="1" customHeight="1" x14ac:dyDescent="0.2">
      <c r="A6084" s="526"/>
      <c r="B6084" s="527"/>
      <c r="C6084" s="465"/>
      <c r="D6084" s="464"/>
      <c r="E6084" s="464"/>
      <c r="F6084" s="494"/>
      <c r="G6084" s="495"/>
      <c r="H6084" s="397"/>
      <c r="I6084" s="397"/>
      <c r="J6084" s="750"/>
      <c r="K6084" s="398"/>
      <c r="L6084" s="398"/>
      <c r="M6084" s="682"/>
      <c r="N6084" s="171"/>
      <c r="O6084" s="171"/>
      <c r="P6084" s="171"/>
      <c r="Q6084" s="171"/>
      <c r="R6084" s="171"/>
      <c r="S6084" s="171"/>
      <c r="T6084" s="171"/>
      <c r="U6084" s="171"/>
      <c r="V6084" s="171"/>
      <c r="W6084" s="171"/>
      <c r="X6084" s="171"/>
      <c r="Y6084" s="171"/>
      <c r="Z6084" s="171"/>
      <c r="AA6084" s="171"/>
    </row>
    <row r="6085" spans="1:27" s="530" customFormat="1" ht="15.75" hidden="1" customHeight="1" x14ac:dyDescent="0.2">
      <c r="A6085" s="526"/>
      <c r="B6085" s="527"/>
      <c r="C6085" s="465"/>
      <c r="D6085" s="464"/>
      <c r="E6085" s="464"/>
      <c r="F6085" s="494"/>
      <c r="G6085" s="495"/>
      <c r="H6085" s="397"/>
      <c r="I6085" s="397"/>
      <c r="J6085" s="750"/>
      <c r="K6085" s="398"/>
      <c r="L6085" s="398"/>
      <c r="M6085" s="682"/>
      <c r="N6085" s="171"/>
      <c r="O6085" s="171"/>
      <c r="P6085" s="171"/>
      <c r="Q6085" s="171"/>
      <c r="R6085" s="171"/>
      <c r="S6085" s="171"/>
      <c r="T6085" s="171"/>
      <c r="U6085" s="171"/>
      <c r="V6085" s="171"/>
      <c r="W6085" s="171"/>
      <c r="X6085" s="171"/>
      <c r="Y6085" s="171"/>
      <c r="Z6085" s="171"/>
      <c r="AA6085" s="171"/>
    </row>
    <row r="6086" spans="1:27" s="530" customFormat="1" ht="15.75" hidden="1" customHeight="1" x14ac:dyDescent="0.2">
      <c r="A6086" s="526"/>
      <c r="B6086" s="527"/>
      <c r="C6086" s="465"/>
      <c r="D6086" s="464"/>
      <c r="E6086" s="464"/>
      <c r="F6086" s="494"/>
      <c r="G6086" s="495"/>
      <c r="H6086" s="397"/>
      <c r="I6086" s="397"/>
      <c r="J6086" s="750"/>
      <c r="K6086" s="398"/>
      <c r="L6086" s="398"/>
      <c r="M6086" s="682"/>
      <c r="N6086" s="171"/>
      <c r="O6086" s="171"/>
      <c r="P6086" s="171"/>
      <c r="Q6086" s="171"/>
      <c r="R6086" s="171"/>
      <c r="S6086" s="171"/>
      <c r="T6086" s="171"/>
      <c r="U6086" s="171"/>
      <c r="V6086" s="171"/>
      <c r="W6086" s="171"/>
      <c r="X6086" s="171"/>
      <c r="Y6086" s="171"/>
      <c r="Z6086" s="171"/>
      <c r="AA6086" s="171"/>
    </row>
    <row r="6087" spans="1:27" s="530" customFormat="1" ht="15.75" hidden="1" customHeight="1" x14ac:dyDescent="0.2">
      <c r="A6087" s="526"/>
      <c r="B6087" s="527"/>
      <c r="C6087" s="465"/>
      <c r="D6087" s="464"/>
      <c r="E6087" s="464"/>
      <c r="F6087" s="494"/>
      <c r="G6087" s="495"/>
      <c r="H6087" s="397"/>
      <c r="I6087" s="397"/>
      <c r="J6087" s="750"/>
      <c r="K6087" s="398"/>
      <c r="L6087" s="398"/>
      <c r="M6087" s="682"/>
      <c r="N6087" s="171"/>
      <c r="O6087" s="171"/>
      <c r="P6087" s="171"/>
      <c r="Q6087" s="171"/>
      <c r="R6087" s="171"/>
      <c r="S6087" s="171"/>
      <c r="T6087" s="171"/>
      <c r="U6087" s="171"/>
      <c r="V6087" s="171"/>
      <c r="W6087" s="171"/>
      <c r="X6087" s="171"/>
      <c r="Y6087" s="171"/>
      <c r="Z6087" s="171"/>
      <c r="AA6087" s="171"/>
    </row>
    <row r="6088" spans="1:27" s="530" customFormat="1" ht="15.75" hidden="1" customHeight="1" x14ac:dyDescent="0.2">
      <c r="A6088" s="526"/>
      <c r="B6088" s="527"/>
      <c r="C6088" s="465"/>
      <c r="D6088" s="464"/>
      <c r="E6088" s="464"/>
      <c r="F6088" s="494"/>
      <c r="G6088" s="495"/>
      <c r="H6088" s="397"/>
      <c r="I6088" s="397"/>
      <c r="J6088" s="750"/>
      <c r="K6088" s="398"/>
      <c r="L6088" s="398"/>
      <c r="M6088" s="682"/>
      <c r="N6088" s="171"/>
      <c r="O6088" s="171"/>
      <c r="P6088" s="171"/>
      <c r="Q6088" s="171"/>
      <c r="R6088" s="171"/>
      <c r="S6088" s="171"/>
      <c r="T6088" s="171"/>
      <c r="U6088" s="171"/>
      <c r="V6088" s="171"/>
      <c r="W6088" s="171"/>
      <c r="X6088" s="171"/>
      <c r="Y6088" s="171"/>
      <c r="Z6088" s="171"/>
      <c r="AA6088" s="171"/>
    </row>
    <row r="6089" spans="1:27" s="530" customFormat="1" ht="15.75" hidden="1" customHeight="1" x14ac:dyDescent="0.2">
      <c r="A6089" s="526"/>
      <c r="B6089" s="527"/>
      <c r="C6089" s="465"/>
      <c r="D6089" s="464"/>
      <c r="E6089" s="464"/>
      <c r="F6089" s="494"/>
      <c r="G6089" s="466"/>
      <c r="H6089" s="397"/>
      <c r="I6089" s="397"/>
      <c r="J6089" s="750"/>
      <c r="K6089" s="398"/>
      <c r="L6089" s="398"/>
      <c r="M6089" s="682"/>
      <c r="N6089" s="171"/>
      <c r="O6089" s="171"/>
      <c r="P6089" s="171"/>
      <c r="Q6089" s="171"/>
      <c r="R6089" s="171"/>
      <c r="S6089" s="171"/>
      <c r="T6089" s="171"/>
      <c r="U6089" s="171"/>
      <c r="V6089" s="171"/>
      <c r="W6089" s="171"/>
      <c r="X6089" s="171"/>
      <c r="Y6089" s="171"/>
      <c r="Z6089" s="171"/>
      <c r="AA6089" s="171"/>
    </row>
    <row r="6090" spans="1:27" s="530" customFormat="1" ht="15.75" hidden="1" customHeight="1" x14ac:dyDescent="0.2">
      <c r="A6090" s="526"/>
      <c r="B6090" s="527"/>
      <c r="C6090" s="465"/>
      <c r="D6090" s="464"/>
      <c r="E6090" s="464"/>
      <c r="F6090" s="494"/>
      <c r="G6090" s="466"/>
      <c r="H6090" s="397"/>
      <c r="I6090" s="397"/>
      <c r="J6090" s="750"/>
      <c r="K6090" s="398"/>
      <c r="L6090" s="398"/>
      <c r="M6090" s="682"/>
      <c r="N6090" s="171"/>
      <c r="O6090" s="171"/>
      <c r="P6090" s="171"/>
      <c r="Q6090" s="171"/>
      <c r="R6090" s="171"/>
      <c r="S6090" s="171"/>
      <c r="T6090" s="171"/>
      <c r="U6090" s="171"/>
      <c r="V6090" s="171"/>
      <c r="W6090" s="171"/>
      <c r="X6090" s="171"/>
      <c r="Y6090" s="171"/>
      <c r="Z6090" s="171"/>
      <c r="AA6090" s="171"/>
    </row>
    <row r="6091" spans="1:27" s="530" customFormat="1" ht="15.75" hidden="1" customHeight="1" x14ac:dyDescent="0.2">
      <c r="A6091" s="526"/>
      <c r="B6091" s="527"/>
      <c r="C6091" s="465"/>
      <c r="D6091" s="464"/>
      <c r="E6091" s="464"/>
      <c r="F6091" s="494"/>
      <c r="G6091" s="495"/>
      <c r="H6091" s="397"/>
      <c r="I6091" s="397"/>
      <c r="J6091" s="750"/>
      <c r="K6091" s="398"/>
      <c r="L6091" s="398"/>
      <c r="M6091" s="682"/>
      <c r="N6091" s="171"/>
      <c r="O6091" s="171"/>
      <c r="P6091" s="171"/>
      <c r="Q6091" s="171"/>
      <c r="R6091" s="171"/>
      <c r="S6091" s="171"/>
      <c r="T6091" s="171"/>
      <c r="U6091" s="171"/>
      <c r="V6091" s="171"/>
      <c r="W6091" s="171"/>
      <c r="X6091" s="171"/>
      <c r="Y6091" s="171"/>
      <c r="Z6091" s="171"/>
      <c r="AA6091" s="171"/>
    </row>
    <row r="6092" spans="1:27" s="530" customFormat="1" ht="15.75" hidden="1" customHeight="1" x14ac:dyDescent="0.2">
      <c r="A6092" s="526"/>
      <c r="B6092" s="527"/>
      <c r="C6092" s="465"/>
      <c r="D6092" s="464"/>
      <c r="E6092" s="464"/>
      <c r="F6092" s="494"/>
      <c r="G6092" s="495"/>
      <c r="H6092" s="397"/>
      <c r="I6092" s="397"/>
      <c r="J6092" s="750"/>
      <c r="K6092" s="398"/>
      <c r="L6092" s="398"/>
      <c r="M6092" s="682"/>
      <c r="N6092" s="171"/>
      <c r="O6092" s="171"/>
      <c r="P6092" s="171"/>
      <c r="Q6092" s="171"/>
      <c r="R6092" s="171"/>
      <c r="S6092" s="171"/>
      <c r="T6092" s="171"/>
      <c r="U6092" s="171"/>
      <c r="V6092" s="171"/>
      <c r="W6092" s="171"/>
      <c r="X6092" s="171"/>
      <c r="Y6092" s="171"/>
      <c r="Z6092" s="171"/>
      <c r="AA6092" s="171"/>
    </row>
    <row r="6093" spans="1:27" s="530" customFormat="1" ht="15.75" hidden="1" customHeight="1" x14ac:dyDescent="0.2">
      <c r="A6093" s="526"/>
      <c r="B6093" s="527"/>
      <c r="C6093" s="465"/>
      <c r="D6093" s="464"/>
      <c r="E6093" s="464"/>
      <c r="F6093" s="494"/>
      <c r="G6093" s="495"/>
      <c r="H6093" s="397"/>
      <c r="I6093" s="397"/>
      <c r="J6093" s="750"/>
      <c r="K6093" s="398"/>
      <c r="L6093" s="398"/>
      <c r="M6093" s="682"/>
      <c r="N6093" s="171"/>
      <c r="O6093" s="171"/>
      <c r="P6093" s="171"/>
      <c r="Q6093" s="171"/>
      <c r="R6093" s="171"/>
      <c r="S6093" s="171"/>
      <c r="T6093" s="171"/>
      <c r="U6093" s="171"/>
      <c r="V6093" s="171"/>
      <c r="W6093" s="171"/>
      <c r="X6093" s="171"/>
      <c r="Y6093" s="171"/>
      <c r="Z6093" s="171"/>
      <c r="AA6093" s="171"/>
    </row>
    <row r="6094" spans="1:27" s="530" customFormat="1" ht="15.75" hidden="1" customHeight="1" x14ac:dyDescent="0.2">
      <c r="A6094" s="526"/>
      <c r="B6094" s="527"/>
      <c r="C6094" s="465"/>
      <c r="D6094" s="464"/>
      <c r="E6094" s="464"/>
      <c r="F6094" s="494"/>
      <c r="G6094" s="495"/>
      <c r="H6094" s="397"/>
      <c r="I6094" s="397"/>
      <c r="J6094" s="750"/>
      <c r="K6094" s="398"/>
      <c r="L6094" s="398"/>
      <c r="M6094" s="682"/>
      <c r="N6094" s="171"/>
      <c r="O6094" s="171"/>
      <c r="P6094" s="171"/>
      <c r="Q6094" s="171"/>
      <c r="R6094" s="171"/>
      <c r="S6094" s="171"/>
      <c r="T6094" s="171"/>
      <c r="U6094" s="171"/>
      <c r="V6094" s="171"/>
      <c r="W6094" s="171"/>
      <c r="X6094" s="171"/>
      <c r="Y6094" s="171"/>
      <c r="Z6094" s="171"/>
      <c r="AA6094" s="171"/>
    </row>
    <row r="6095" spans="1:27" s="530" customFormat="1" ht="15.75" hidden="1" customHeight="1" x14ac:dyDescent="0.2">
      <c r="A6095" s="526"/>
      <c r="B6095" s="527"/>
      <c r="C6095" s="465"/>
      <c r="D6095" s="464"/>
      <c r="E6095" s="464"/>
      <c r="F6095" s="494"/>
      <c r="G6095" s="495"/>
      <c r="H6095" s="397"/>
      <c r="I6095" s="397"/>
      <c r="J6095" s="750"/>
      <c r="K6095" s="398"/>
      <c r="L6095" s="398"/>
      <c r="M6095" s="682"/>
      <c r="N6095" s="171"/>
      <c r="O6095" s="171"/>
      <c r="P6095" s="171"/>
      <c r="Q6095" s="171"/>
      <c r="R6095" s="171"/>
      <c r="S6095" s="171"/>
      <c r="T6095" s="171"/>
      <c r="U6095" s="171"/>
      <c r="V6095" s="171"/>
      <c r="W6095" s="171"/>
      <c r="X6095" s="171"/>
      <c r="Y6095" s="171"/>
      <c r="Z6095" s="171"/>
      <c r="AA6095" s="171"/>
    </row>
    <row r="6096" spans="1:27" s="530" customFormat="1" ht="15.75" hidden="1" customHeight="1" x14ac:dyDescent="0.2">
      <c r="A6096" s="526"/>
      <c r="B6096" s="527"/>
      <c r="C6096" s="465"/>
      <c r="D6096" s="464"/>
      <c r="E6096" s="464"/>
      <c r="F6096" s="494"/>
      <c r="G6096" s="495"/>
      <c r="H6096" s="397"/>
      <c r="I6096" s="397"/>
      <c r="J6096" s="750"/>
      <c r="K6096" s="398"/>
      <c r="L6096" s="398"/>
      <c r="M6096" s="682"/>
      <c r="N6096" s="171"/>
      <c r="O6096" s="171"/>
      <c r="P6096" s="171"/>
      <c r="Q6096" s="171"/>
      <c r="R6096" s="171"/>
      <c r="S6096" s="171"/>
      <c r="T6096" s="171"/>
      <c r="U6096" s="171"/>
      <c r="V6096" s="171"/>
      <c r="W6096" s="171"/>
      <c r="X6096" s="171"/>
      <c r="Y6096" s="171"/>
      <c r="Z6096" s="171"/>
      <c r="AA6096" s="171"/>
    </row>
    <row r="6097" spans="1:27" s="530" customFormat="1" ht="15.75" hidden="1" customHeight="1" x14ac:dyDescent="0.2">
      <c r="A6097" s="526"/>
      <c r="B6097" s="527"/>
      <c r="C6097" s="465"/>
      <c r="D6097" s="464"/>
      <c r="E6097" s="464"/>
      <c r="F6097" s="494"/>
      <c r="G6097" s="495"/>
      <c r="H6097" s="397"/>
      <c r="I6097" s="397"/>
      <c r="J6097" s="750"/>
      <c r="K6097" s="398"/>
      <c r="L6097" s="398"/>
      <c r="M6097" s="682"/>
      <c r="N6097" s="171"/>
      <c r="O6097" s="171"/>
      <c r="P6097" s="171"/>
      <c r="Q6097" s="171"/>
      <c r="R6097" s="171"/>
      <c r="S6097" s="171"/>
      <c r="T6097" s="171"/>
      <c r="U6097" s="171"/>
      <c r="V6097" s="171"/>
      <c r="W6097" s="171"/>
      <c r="X6097" s="171"/>
      <c r="Y6097" s="171"/>
      <c r="Z6097" s="171"/>
      <c r="AA6097" s="171"/>
    </row>
    <row r="6098" spans="1:27" s="530" customFormat="1" ht="15.75" hidden="1" customHeight="1" x14ac:dyDescent="0.2">
      <c r="A6098" s="526"/>
      <c r="B6098" s="527"/>
      <c r="C6098" s="465"/>
      <c r="D6098" s="464"/>
      <c r="E6098" s="464"/>
      <c r="F6098" s="494"/>
      <c r="G6098" s="495"/>
      <c r="H6098" s="397"/>
      <c r="I6098" s="397"/>
      <c r="J6098" s="750"/>
      <c r="K6098" s="398"/>
      <c r="L6098" s="398"/>
      <c r="M6098" s="682"/>
      <c r="N6098" s="171"/>
      <c r="O6098" s="171"/>
      <c r="P6098" s="171"/>
      <c r="Q6098" s="171"/>
      <c r="R6098" s="171"/>
      <c r="S6098" s="171"/>
      <c r="T6098" s="171"/>
      <c r="U6098" s="171"/>
      <c r="V6098" s="171"/>
      <c r="W6098" s="171"/>
      <c r="X6098" s="171"/>
      <c r="Y6098" s="171"/>
      <c r="Z6098" s="171"/>
      <c r="AA6098" s="171"/>
    </row>
    <row r="6099" spans="1:27" s="530" customFormat="1" ht="15.75" hidden="1" customHeight="1" x14ac:dyDescent="0.2">
      <c r="A6099" s="526"/>
      <c r="B6099" s="527"/>
      <c r="C6099" s="465"/>
      <c r="D6099" s="464"/>
      <c r="E6099" s="464"/>
      <c r="F6099" s="494"/>
      <c r="G6099" s="495"/>
      <c r="H6099" s="397"/>
      <c r="I6099" s="397"/>
      <c r="J6099" s="750"/>
      <c r="K6099" s="398"/>
      <c r="L6099" s="398"/>
      <c r="M6099" s="682"/>
      <c r="N6099" s="171"/>
      <c r="O6099" s="171"/>
      <c r="P6099" s="171"/>
      <c r="Q6099" s="171"/>
      <c r="R6099" s="171"/>
      <c r="S6099" s="171"/>
      <c r="T6099" s="171"/>
      <c r="U6099" s="171"/>
      <c r="V6099" s="171"/>
      <c r="W6099" s="171"/>
      <c r="X6099" s="171"/>
      <c r="Y6099" s="171"/>
      <c r="Z6099" s="171"/>
      <c r="AA6099" s="171"/>
    </row>
    <row r="6100" spans="1:27" s="530" customFormat="1" ht="15.75" hidden="1" customHeight="1" x14ac:dyDescent="0.2">
      <c r="A6100" s="526"/>
      <c r="B6100" s="527"/>
      <c r="C6100" s="465"/>
      <c r="D6100" s="464"/>
      <c r="E6100" s="464"/>
      <c r="F6100" s="494"/>
      <c r="G6100" s="495"/>
      <c r="H6100" s="397"/>
      <c r="I6100" s="397"/>
      <c r="J6100" s="750"/>
      <c r="K6100" s="398"/>
      <c r="L6100" s="398"/>
      <c r="M6100" s="682"/>
      <c r="N6100" s="171"/>
      <c r="O6100" s="171"/>
      <c r="P6100" s="171"/>
      <c r="Q6100" s="171"/>
      <c r="R6100" s="171"/>
      <c r="S6100" s="171"/>
      <c r="T6100" s="171"/>
      <c r="U6100" s="171"/>
      <c r="V6100" s="171"/>
      <c r="W6100" s="171"/>
      <c r="X6100" s="171"/>
      <c r="Y6100" s="171"/>
      <c r="Z6100" s="171"/>
      <c r="AA6100" s="171"/>
    </row>
    <row r="6101" spans="1:27" s="530" customFormat="1" ht="15.75" hidden="1" customHeight="1" x14ac:dyDescent="0.2">
      <c r="A6101" s="526"/>
      <c r="B6101" s="527"/>
      <c r="C6101" s="465"/>
      <c r="D6101" s="464"/>
      <c r="E6101" s="464"/>
      <c r="F6101" s="494"/>
      <c r="G6101" s="495"/>
      <c r="H6101" s="397"/>
      <c r="I6101" s="397"/>
      <c r="J6101" s="750"/>
      <c r="K6101" s="398"/>
      <c r="L6101" s="398"/>
      <c r="M6101" s="682"/>
      <c r="N6101" s="171"/>
      <c r="O6101" s="171"/>
      <c r="P6101" s="171"/>
      <c r="Q6101" s="171"/>
      <c r="R6101" s="171"/>
      <c r="S6101" s="171"/>
      <c r="T6101" s="171"/>
      <c r="U6101" s="171"/>
      <c r="V6101" s="171"/>
      <c r="W6101" s="171"/>
      <c r="X6101" s="171"/>
      <c r="Y6101" s="171"/>
      <c r="Z6101" s="171"/>
      <c r="AA6101" s="171"/>
    </row>
    <row r="6102" spans="1:27" s="530" customFormat="1" ht="12.75" hidden="1" customHeight="1" x14ac:dyDescent="0.2">
      <c r="A6102" s="526"/>
      <c r="B6102" s="527"/>
      <c r="C6102" s="465"/>
      <c r="D6102" s="464"/>
      <c r="E6102" s="464"/>
      <c r="F6102" s="494"/>
      <c r="G6102" s="495"/>
      <c r="H6102" s="397"/>
      <c r="I6102" s="397"/>
      <c r="J6102" s="750"/>
      <c r="K6102" s="398"/>
      <c r="L6102" s="398"/>
      <c r="M6102" s="682"/>
      <c r="N6102" s="171"/>
      <c r="O6102" s="171"/>
      <c r="P6102" s="171"/>
      <c r="Q6102" s="171"/>
      <c r="R6102" s="171"/>
      <c r="S6102" s="171"/>
      <c r="T6102" s="171"/>
      <c r="U6102" s="171"/>
      <c r="V6102" s="171"/>
      <c r="W6102" s="171"/>
      <c r="X6102" s="171"/>
      <c r="Y6102" s="171"/>
      <c r="Z6102" s="171"/>
      <c r="AA6102" s="171"/>
    </row>
    <row r="6103" spans="1:27" s="530" customFormat="1" ht="13.5" hidden="1" customHeight="1" x14ac:dyDescent="0.2">
      <c r="A6103" s="526"/>
      <c r="B6103" s="527"/>
      <c r="C6103" s="465"/>
      <c r="D6103" s="464"/>
      <c r="E6103" s="464"/>
      <c r="F6103" s="494"/>
      <c r="G6103" s="497"/>
      <c r="H6103" s="397"/>
      <c r="I6103" s="397"/>
      <c r="J6103" s="750"/>
      <c r="K6103" s="398"/>
      <c r="L6103" s="398"/>
      <c r="M6103" s="682"/>
      <c r="N6103" s="171"/>
      <c r="O6103" s="171"/>
      <c r="P6103" s="171"/>
      <c r="Q6103" s="171"/>
      <c r="R6103" s="171"/>
      <c r="S6103" s="171"/>
      <c r="T6103" s="171"/>
      <c r="U6103" s="171"/>
      <c r="V6103" s="171"/>
      <c r="W6103" s="171"/>
      <c r="X6103" s="171"/>
      <c r="Y6103" s="171"/>
      <c r="Z6103" s="171"/>
      <c r="AA6103" s="171"/>
    </row>
    <row r="6104" spans="1:27" s="530" customFormat="1" ht="15.75" hidden="1" customHeight="1" x14ac:dyDescent="0.2">
      <c r="A6104" s="526"/>
      <c r="B6104" s="527"/>
      <c r="C6104" s="465"/>
      <c r="D6104" s="464"/>
      <c r="E6104" s="464"/>
      <c r="F6104" s="494"/>
      <c r="G6104" s="495"/>
      <c r="H6104" s="397"/>
      <c r="I6104" s="397"/>
      <c r="J6104" s="750"/>
      <c r="K6104" s="398"/>
      <c r="L6104" s="398"/>
      <c r="M6104" s="682"/>
      <c r="N6104" s="171"/>
      <c r="O6104" s="171"/>
      <c r="P6104" s="171"/>
      <c r="Q6104" s="171"/>
      <c r="R6104" s="171"/>
      <c r="S6104" s="171"/>
      <c r="T6104" s="171"/>
      <c r="U6104" s="171"/>
      <c r="V6104" s="171"/>
      <c r="W6104" s="171"/>
      <c r="X6104" s="171"/>
      <c r="Y6104" s="171"/>
      <c r="Z6104" s="171"/>
      <c r="AA6104" s="171"/>
    </row>
    <row r="6105" spans="1:27" s="530" customFormat="1" ht="15.75" hidden="1" customHeight="1" x14ac:dyDescent="0.2">
      <c r="A6105" s="526"/>
      <c r="B6105" s="527"/>
      <c r="C6105" s="465"/>
      <c r="D6105" s="464"/>
      <c r="E6105" s="464"/>
      <c r="F6105" s="494"/>
      <c r="G6105" s="495"/>
      <c r="H6105" s="397"/>
      <c r="I6105" s="397"/>
      <c r="J6105" s="750"/>
      <c r="K6105" s="398"/>
      <c r="L6105" s="398"/>
      <c r="M6105" s="682"/>
      <c r="N6105" s="171"/>
      <c r="O6105" s="171"/>
      <c r="P6105" s="171"/>
      <c r="Q6105" s="171"/>
      <c r="R6105" s="171"/>
      <c r="S6105" s="171"/>
      <c r="T6105" s="171"/>
      <c r="U6105" s="171"/>
      <c r="V6105" s="171"/>
      <c r="W6105" s="171"/>
      <c r="X6105" s="171"/>
      <c r="Y6105" s="171"/>
      <c r="Z6105" s="171"/>
      <c r="AA6105" s="171"/>
    </row>
    <row r="6106" spans="1:27" s="530" customFormat="1" ht="15.75" hidden="1" customHeight="1" x14ac:dyDescent="0.2">
      <c r="A6106" s="526"/>
      <c r="B6106" s="527"/>
      <c r="C6106" s="465"/>
      <c r="D6106" s="464"/>
      <c r="E6106" s="464"/>
      <c r="F6106" s="494"/>
      <c r="G6106" s="495"/>
      <c r="H6106" s="397"/>
      <c r="I6106" s="397"/>
      <c r="J6106" s="750"/>
      <c r="K6106" s="398"/>
      <c r="L6106" s="398"/>
      <c r="M6106" s="682"/>
      <c r="N6106" s="171"/>
      <c r="O6106" s="171"/>
      <c r="P6106" s="171"/>
      <c r="Q6106" s="171"/>
      <c r="R6106" s="171"/>
      <c r="S6106" s="171"/>
      <c r="T6106" s="171"/>
      <c r="U6106" s="171"/>
      <c r="V6106" s="171"/>
      <c r="W6106" s="171"/>
      <c r="X6106" s="171"/>
      <c r="Y6106" s="171"/>
      <c r="Z6106" s="171"/>
      <c r="AA6106" s="171"/>
    </row>
    <row r="6107" spans="1:27" s="530" customFormat="1" ht="15.75" hidden="1" customHeight="1" x14ac:dyDescent="0.2">
      <c r="A6107" s="526"/>
      <c r="B6107" s="527"/>
      <c r="C6107" s="465"/>
      <c r="D6107" s="464"/>
      <c r="E6107" s="464"/>
      <c r="F6107" s="494"/>
      <c r="G6107" s="495"/>
      <c r="H6107" s="397"/>
      <c r="I6107" s="397"/>
      <c r="J6107" s="750"/>
      <c r="K6107" s="398"/>
      <c r="L6107" s="398"/>
      <c r="M6107" s="682"/>
      <c r="N6107" s="171"/>
      <c r="O6107" s="171"/>
      <c r="P6107" s="171"/>
      <c r="Q6107" s="171"/>
      <c r="R6107" s="171"/>
      <c r="S6107" s="171"/>
      <c r="T6107" s="171"/>
      <c r="U6107" s="171"/>
      <c r="V6107" s="171"/>
      <c r="W6107" s="171"/>
      <c r="X6107" s="171"/>
      <c r="Y6107" s="171"/>
      <c r="Z6107" s="171"/>
      <c r="AA6107" s="171"/>
    </row>
    <row r="6108" spans="1:27" s="530" customFormat="1" ht="15.75" hidden="1" customHeight="1" x14ac:dyDescent="0.2">
      <c r="A6108" s="526"/>
      <c r="B6108" s="527"/>
      <c r="C6108" s="465"/>
      <c r="D6108" s="464"/>
      <c r="E6108" s="464"/>
      <c r="F6108" s="494"/>
      <c r="G6108" s="495"/>
      <c r="H6108" s="397"/>
      <c r="I6108" s="397"/>
      <c r="J6108" s="750"/>
      <c r="K6108" s="398"/>
      <c r="L6108" s="398"/>
      <c r="M6108" s="682"/>
      <c r="N6108" s="171"/>
      <c r="O6108" s="171"/>
      <c r="P6108" s="171"/>
      <c r="Q6108" s="171"/>
      <c r="R6108" s="171"/>
      <c r="S6108" s="171"/>
      <c r="T6108" s="171"/>
      <c r="U6108" s="171"/>
      <c r="V6108" s="171"/>
      <c r="W6108" s="171"/>
      <c r="X6108" s="171"/>
      <c r="Y6108" s="171"/>
      <c r="Z6108" s="171"/>
      <c r="AA6108" s="171"/>
    </row>
    <row r="6109" spans="1:27" s="530" customFormat="1" ht="15.75" hidden="1" customHeight="1" x14ac:dyDescent="0.2">
      <c r="A6109" s="526"/>
      <c r="B6109" s="527"/>
      <c r="C6109" s="465"/>
      <c r="D6109" s="464"/>
      <c r="E6109" s="464"/>
      <c r="F6109" s="494"/>
      <c r="G6109" s="495"/>
      <c r="H6109" s="397"/>
      <c r="I6109" s="397"/>
      <c r="J6109" s="750"/>
      <c r="K6109" s="398"/>
      <c r="L6109" s="398"/>
      <c r="M6109" s="682"/>
      <c r="N6109" s="171"/>
      <c r="O6109" s="171"/>
      <c r="P6109" s="171"/>
      <c r="Q6109" s="171"/>
      <c r="R6109" s="171"/>
      <c r="S6109" s="171"/>
      <c r="T6109" s="171"/>
      <c r="U6109" s="171"/>
      <c r="V6109" s="171"/>
      <c r="W6109" s="171"/>
      <c r="X6109" s="171"/>
      <c r="Y6109" s="171"/>
      <c r="Z6109" s="171"/>
      <c r="AA6109" s="171"/>
    </row>
    <row r="6110" spans="1:27" s="530" customFormat="1" ht="15.75" hidden="1" customHeight="1" x14ac:dyDescent="0.2">
      <c r="A6110" s="526"/>
      <c r="B6110" s="527"/>
      <c r="C6110" s="465"/>
      <c r="D6110" s="464"/>
      <c r="E6110" s="464"/>
      <c r="F6110" s="494"/>
      <c r="G6110" s="495"/>
      <c r="H6110" s="397"/>
      <c r="I6110" s="397"/>
      <c r="J6110" s="750"/>
      <c r="K6110" s="398"/>
      <c r="L6110" s="398"/>
      <c r="M6110" s="682"/>
      <c r="N6110" s="171"/>
      <c r="O6110" s="171"/>
      <c r="P6110" s="171"/>
      <c r="Q6110" s="171"/>
      <c r="R6110" s="171"/>
      <c r="S6110" s="171"/>
      <c r="T6110" s="171"/>
      <c r="U6110" s="171"/>
      <c r="V6110" s="171"/>
      <c r="W6110" s="171"/>
      <c r="X6110" s="171"/>
      <c r="Y6110" s="171"/>
      <c r="Z6110" s="171"/>
      <c r="AA6110" s="171"/>
    </row>
    <row r="6111" spans="1:27" s="530" customFormat="1" ht="15.75" hidden="1" customHeight="1" x14ac:dyDescent="0.2">
      <c r="A6111" s="526"/>
      <c r="B6111" s="527"/>
      <c r="C6111" s="465"/>
      <c r="D6111" s="464"/>
      <c r="E6111" s="464"/>
      <c r="F6111" s="494"/>
      <c r="G6111" s="497"/>
      <c r="H6111" s="397"/>
      <c r="I6111" s="397"/>
      <c r="J6111" s="750"/>
      <c r="K6111" s="398"/>
      <c r="L6111" s="398"/>
      <c r="M6111" s="682"/>
      <c r="N6111" s="171"/>
      <c r="O6111" s="171"/>
      <c r="P6111" s="171"/>
      <c r="Q6111" s="171"/>
      <c r="R6111" s="171"/>
      <c r="S6111" s="171"/>
      <c r="T6111" s="171"/>
      <c r="U6111" s="171"/>
      <c r="V6111" s="171"/>
      <c r="W6111" s="171"/>
      <c r="X6111" s="171"/>
      <c r="Y6111" s="171"/>
      <c r="Z6111" s="171"/>
      <c r="AA6111" s="171"/>
    </row>
    <row r="6112" spans="1:27" s="530" customFormat="1" ht="13.5" hidden="1" customHeight="1" thickBot="1" x14ac:dyDescent="0.25">
      <c r="A6112" s="526"/>
      <c r="B6112" s="527"/>
      <c r="C6112" s="465"/>
      <c r="D6112" s="464"/>
      <c r="E6112" s="464"/>
      <c r="F6112" s="494"/>
      <c r="G6112" s="497"/>
      <c r="H6112" s="397"/>
      <c r="I6112" s="397"/>
      <c r="J6112" s="750"/>
      <c r="K6112" s="398"/>
      <c r="L6112" s="398"/>
      <c r="M6112" s="682"/>
      <c r="N6112" s="171"/>
      <c r="O6112" s="171"/>
      <c r="P6112" s="171"/>
      <c r="Q6112" s="171"/>
      <c r="R6112" s="171"/>
      <c r="S6112" s="171"/>
      <c r="T6112" s="171"/>
      <c r="U6112" s="171"/>
      <c r="V6112" s="171"/>
      <c r="W6112" s="171"/>
      <c r="X6112" s="171"/>
      <c r="Y6112" s="171"/>
      <c r="Z6112" s="171"/>
      <c r="AA6112" s="171"/>
    </row>
    <row r="6113" spans="1:27" s="530" customFormat="1" ht="15.75" hidden="1" customHeight="1" x14ac:dyDescent="0.2">
      <c r="A6113" s="526"/>
      <c r="B6113" s="527"/>
      <c r="C6113" s="465"/>
      <c r="D6113" s="464"/>
      <c r="E6113" s="464"/>
      <c r="F6113" s="494">
        <v>513</v>
      </c>
      <c r="G6113" s="497" t="s">
        <v>4196</v>
      </c>
      <c r="H6113" s="397"/>
      <c r="I6113" s="397"/>
      <c r="J6113" s="750" t="e">
        <f t="shared" ref="J6113:J6156" si="79">SUM(I6113/H6113)*100</f>
        <v>#DIV/0!</v>
      </c>
      <c r="K6113" s="398"/>
      <c r="L6113" s="398"/>
      <c r="M6113" s="682"/>
      <c r="N6113" s="171"/>
      <c r="O6113" s="171"/>
      <c r="P6113" s="171"/>
      <c r="Q6113" s="171"/>
      <c r="R6113" s="171"/>
      <c r="S6113" s="171"/>
      <c r="T6113" s="171"/>
      <c r="U6113" s="171"/>
      <c r="V6113" s="171"/>
      <c r="W6113" s="171"/>
      <c r="X6113" s="171"/>
      <c r="Y6113" s="171"/>
      <c r="Z6113" s="171"/>
      <c r="AA6113" s="171"/>
    </row>
    <row r="6114" spans="1:27" s="530" customFormat="1" ht="15.75" hidden="1" customHeight="1" x14ac:dyDescent="0.2">
      <c r="A6114" s="526"/>
      <c r="B6114" s="527"/>
      <c r="C6114" s="465"/>
      <c r="D6114" s="464"/>
      <c r="E6114" s="464"/>
      <c r="F6114" s="494">
        <v>514</v>
      </c>
      <c r="G6114" s="495" t="s">
        <v>4197</v>
      </c>
      <c r="H6114" s="397"/>
      <c r="I6114" s="397"/>
      <c r="J6114" s="750" t="e">
        <f t="shared" si="79"/>
        <v>#DIV/0!</v>
      </c>
      <c r="K6114" s="398"/>
      <c r="L6114" s="398"/>
      <c r="M6114" s="682"/>
      <c r="N6114" s="171"/>
      <c r="O6114" s="171"/>
      <c r="P6114" s="171"/>
      <c r="Q6114" s="171"/>
      <c r="R6114" s="171"/>
      <c r="S6114" s="171"/>
      <c r="T6114" s="171"/>
      <c r="U6114" s="171"/>
      <c r="V6114" s="171"/>
      <c r="W6114" s="171"/>
      <c r="X6114" s="171"/>
      <c r="Y6114" s="171"/>
      <c r="Z6114" s="171"/>
      <c r="AA6114" s="171"/>
    </row>
    <row r="6115" spans="1:27" s="530" customFormat="1" ht="15.75" hidden="1" customHeight="1" x14ac:dyDescent="0.2">
      <c r="A6115" s="526"/>
      <c r="B6115" s="527"/>
      <c r="C6115" s="465"/>
      <c r="D6115" s="464"/>
      <c r="E6115" s="464"/>
      <c r="F6115" s="494">
        <v>515</v>
      </c>
      <c r="G6115" s="495" t="s">
        <v>3832</v>
      </c>
      <c r="H6115" s="397"/>
      <c r="I6115" s="397"/>
      <c r="J6115" s="750" t="e">
        <f t="shared" si="79"/>
        <v>#DIV/0!</v>
      </c>
      <c r="K6115" s="398"/>
      <c r="L6115" s="398"/>
      <c r="M6115" s="682"/>
      <c r="N6115" s="171"/>
      <c r="O6115" s="171"/>
      <c r="P6115" s="171"/>
      <c r="Q6115" s="171"/>
      <c r="R6115" s="171"/>
      <c r="S6115" s="171"/>
      <c r="T6115" s="171"/>
      <c r="U6115" s="171"/>
      <c r="V6115" s="171"/>
      <c r="W6115" s="171"/>
      <c r="X6115" s="171"/>
      <c r="Y6115" s="171"/>
      <c r="Z6115" s="171"/>
      <c r="AA6115" s="171"/>
    </row>
    <row r="6116" spans="1:27" s="530" customFormat="1" ht="15.75" hidden="1" customHeight="1" x14ac:dyDescent="0.2">
      <c r="A6116" s="526"/>
      <c r="B6116" s="527"/>
      <c r="C6116" s="465"/>
      <c r="D6116" s="464"/>
      <c r="E6116" s="464"/>
      <c r="F6116" s="494">
        <v>521</v>
      </c>
      <c r="G6116" s="495" t="s">
        <v>4198</v>
      </c>
      <c r="H6116" s="397"/>
      <c r="I6116" s="397"/>
      <c r="J6116" s="750" t="e">
        <f t="shared" si="79"/>
        <v>#DIV/0!</v>
      </c>
      <c r="K6116" s="398"/>
      <c r="L6116" s="398"/>
      <c r="M6116" s="682"/>
      <c r="N6116" s="171"/>
      <c r="O6116" s="171"/>
      <c r="P6116" s="171"/>
      <c r="Q6116" s="171"/>
      <c r="R6116" s="171"/>
      <c r="S6116" s="171"/>
      <c r="T6116" s="171"/>
      <c r="U6116" s="171"/>
      <c r="V6116" s="171"/>
      <c r="W6116" s="171"/>
      <c r="X6116" s="171"/>
      <c r="Y6116" s="171"/>
      <c r="Z6116" s="171"/>
      <c r="AA6116" s="171"/>
    </row>
    <row r="6117" spans="1:27" s="530" customFormat="1" ht="15.75" hidden="1" customHeight="1" x14ac:dyDescent="0.2">
      <c r="A6117" s="526"/>
      <c r="B6117" s="527"/>
      <c r="C6117" s="465"/>
      <c r="D6117" s="464"/>
      <c r="E6117" s="464"/>
      <c r="F6117" s="494">
        <v>522</v>
      </c>
      <c r="G6117" s="495" t="s">
        <v>4199</v>
      </c>
      <c r="H6117" s="397"/>
      <c r="I6117" s="397"/>
      <c r="J6117" s="750" t="e">
        <f t="shared" si="79"/>
        <v>#DIV/0!</v>
      </c>
      <c r="K6117" s="398"/>
      <c r="L6117" s="398"/>
      <c r="M6117" s="682"/>
      <c r="N6117" s="171"/>
      <c r="O6117" s="171"/>
      <c r="P6117" s="171"/>
      <c r="Q6117" s="171"/>
      <c r="R6117" s="171"/>
      <c r="S6117" s="171"/>
      <c r="T6117" s="171"/>
      <c r="U6117" s="171"/>
      <c r="V6117" s="171"/>
      <c r="W6117" s="171"/>
      <c r="X6117" s="171"/>
      <c r="Y6117" s="171"/>
      <c r="Z6117" s="171"/>
      <c r="AA6117" s="171"/>
    </row>
    <row r="6118" spans="1:27" s="530" customFormat="1" ht="15.75" hidden="1" customHeight="1" x14ac:dyDescent="0.2">
      <c r="A6118" s="526"/>
      <c r="B6118" s="527"/>
      <c r="C6118" s="465"/>
      <c r="D6118" s="464"/>
      <c r="E6118" s="464"/>
      <c r="F6118" s="494">
        <v>523</v>
      </c>
      <c r="G6118" s="495" t="s">
        <v>3837</v>
      </c>
      <c r="H6118" s="397"/>
      <c r="I6118" s="397"/>
      <c r="J6118" s="750" t="e">
        <f t="shared" si="79"/>
        <v>#DIV/0!</v>
      </c>
      <c r="K6118" s="398"/>
      <c r="L6118" s="398"/>
      <c r="M6118" s="682"/>
      <c r="N6118" s="171"/>
      <c r="O6118" s="171"/>
      <c r="P6118" s="171"/>
      <c r="Q6118" s="171"/>
      <c r="R6118" s="171"/>
      <c r="S6118" s="171"/>
      <c r="T6118" s="171"/>
      <c r="U6118" s="171"/>
      <c r="V6118" s="171"/>
      <c r="W6118" s="171"/>
      <c r="X6118" s="171"/>
      <c r="Y6118" s="171"/>
      <c r="Z6118" s="171"/>
      <c r="AA6118" s="171"/>
    </row>
    <row r="6119" spans="1:27" s="530" customFormat="1" ht="15.75" hidden="1" customHeight="1" x14ac:dyDescent="0.2">
      <c r="A6119" s="526"/>
      <c r="B6119" s="527"/>
      <c r="C6119" s="465"/>
      <c r="D6119" s="464"/>
      <c r="E6119" s="464"/>
      <c r="F6119" s="494">
        <v>531</v>
      </c>
      <c r="G6119" s="496" t="s">
        <v>4175</v>
      </c>
      <c r="H6119" s="397"/>
      <c r="I6119" s="397"/>
      <c r="J6119" s="750" t="e">
        <f t="shared" si="79"/>
        <v>#DIV/0!</v>
      </c>
      <c r="K6119" s="398"/>
      <c r="L6119" s="398"/>
      <c r="M6119" s="682"/>
      <c r="N6119" s="171"/>
      <c r="O6119" s="171"/>
      <c r="P6119" s="171"/>
      <c r="Q6119" s="171"/>
      <c r="R6119" s="171"/>
      <c r="S6119" s="171"/>
      <c r="T6119" s="171"/>
      <c r="U6119" s="171"/>
      <c r="V6119" s="171"/>
      <c r="W6119" s="171"/>
      <c r="X6119" s="171"/>
      <c r="Y6119" s="171"/>
      <c r="Z6119" s="171"/>
      <c r="AA6119" s="171"/>
    </row>
    <row r="6120" spans="1:27" s="530" customFormat="1" ht="15.75" hidden="1" customHeight="1" x14ac:dyDescent="0.2">
      <c r="A6120" s="526"/>
      <c r="B6120" s="527"/>
      <c r="C6120" s="465"/>
      <c r="D6120" s="464"/>
      <c r="E6120" s="464"/>
      <c r="F6120" s="494">
        <v>541</v>
      </c>
      <c r="G6120" s="495" t="s">
        <v>4200</v>
      </c>
      <c r="H6120" s="397"/>
      <c r="I6120" s="397"/>
      <c r="J6120" s="750" t="e">
        <f t="shared" si="79"/>
        <v>#DIV/0!</v>
      </c>
      <c r="K6120" s="398"/>
      <c r="L6120" s="398"/>
      <c r="M6120" s="682"/>
      <c r="N6120" s="171"/>
      <c r="O6120" s="171"/>
      <c r="P6120" s="171"/>
      <c r="Q6120" s="171"/>
      <c r="R6120" s="171"/>
      <c r="S6120" s="171"/>
      <c r="T6120" s="171"/>
      <c r="U6120" s="171"/>
      <c r="V6120" s="171"/>
      <c r="W6120" s="171"/>
      <c r="X6120" s="171"/>
      <c r="Y6120" s="171"/>
      <c r="Z6120" s="171"/>
      <c r="AA6120" s="171"/>
    </row>
    <row r="6121" spans="1:27" s="530" customFormat="1" ht="15.75" hidden="1" customHeight="1" x14ac:dyDescent="0.2">
      <c r="A6121" s="526"/>
      <c r="B6121" s="527"/>
      <c r="C6121" s="465"/>
      <c r="D6121" s="464"/>
      <c r="E6121" s="464"/>
      <c r="F6121" s="494">
        <v>542</v>
      </c>
      <c r="G6121" s="495" t="s">
        <v>4201</v>
      </c>
      <c r="H6121" s="397"/>
      <c r="I6121" s="397"/>
      <c r="J6121" s="750" t="e">
        <f t="shared" si="79"/>
        <v>#DIV/0!</v>
      </c>
      <c r="K6121" s="398"/>
      <c r="L6121" s="398"/>
      <c r="M6121" s="682"/>
      <c r="N6121" s="171"/>
      <c r="O6121" s="171"/>
      <c r="P6121" s="171"/>
      <c r="Q6121" s="171"/>
      <c r="R6121" s="171"/>
      <c r="S6121" s="171"/>
      <c r="T6121" s="171"/>
      <c r="U6121" s="171"/>
      <c r="V6121" s="171"/>
      <c r="W6121" s="171"/>
      <c r="X6121" s="171"/>
      <c r="Y6121" s="171"/>
      <c r="Z6121" s="171"/>
      <c r="AA6121" s="171"/>
    </row>
    <row r="6122" spans="1:27" s="530" customFormat="1" ht="15.75" hidden="1" customHeight="1" x14ac:dyDescent="0.2">
      <c r="A6122" s="526"/>
      <c r="B6122" s="527"/>
      <c r="C6122" s="465"/>
      <c r="D6122" s="464"/>
      <c r="E6122" s="464"/>
      <c r="F6122" s="494">
        <v>543</v>
      </c>
      <c r="G6122" s="495" t="s">
        <v>3842</v>
      </c>
      <c r="H6122" s="397"/>
      <c r="I6122" s="397"/>
      <c r="J6122" s="750" t="e">
        <f t="shared" si="79"/>
        <v>#DIV/0!</v>
      </c>
      <c r="K6122" s="398"/>
      <c r="L6122" s="398"/>
      <c r="M6122" s="682"/>
      <c r="N6122" s="171"/>
      <c r="O6122" s="171"/>
      <c r="P6122" s="171"/>
      <c r="Q6122" s="171"/>
      <c r="R6122" s="171"/>
      <c r="S6122" s="171"/>
      <c r="T6122" s="171"/>
      <c r="U6122" s="171"/>
      <c r="V6122" s="171"/>
      <c r="W6122" s="171"/>
      <c r="X6122" s="171"/>
      <c r="Y6122" s="171"/>
      <c r="Z6122" s="171"/>
      <c r="AA6122" s="171"/>
    </row>
    <row r="6123" spans="1:27" s="530" customFormat="1" ht="15.75" hidden="1" customHeight="1" x14ac:dyDescent="0.2">
      <c r="A6123" s="526"/>
      <c r="B6123" s="527"/>
      <c r="C6123" s="465"/>
      <c r="D6123" s="464"/>
      <c r="E6123" s="464"/>
      <c r="F6123" s="494">
        <v>551</v>
      </c>
      <c r="G6123" s="495" t="s">
        <v>4176</v>
      </c>
      <c r="H6123" s="397"/>
      <c r="I6123" s="397"/>
      <c r="J6123" s="750" t="e">
        <f t="shared" si="79"/>
        <v>#DIV/0!</v>
      </c>
      <c r="K6123" s="398"/>
      <c r="L6123" s="398"/>
      <c r="M6123" s="682"/>
      <c r="N6123" s="171"/>
      <c r="O6123" s="171"/>
      <c r="P6123" s="171"/>
      <c r="Q6123" s="171"/>
      <c r="R6123" s="171"/>
      <c r="S6123" s="171"/>
      <c r="T6123" s="171"/>
      <c r="U6123" s="171"/>
      <c r="V6123" s="171"/>
      <c r="W6123" s="171"/>
      <c r="X6123" s="171"/>
      <c r="Y6123" s="171"/>
      <c r="Z6123" s="171"/>
      <c r="AA6123" s="171"/>
    </row>
    <row r="6124" spans="1:27" s="530" customFormat="1" ht="15.75" hidden="1" customHeight="1" x14ac:dyDescent="0.2">
      <c r="A6124" s="526"/>
      <c r="B6124" s="527"/>
      <c r="C6124" s="465"/>
      <c r="D6124" s="464"/>
      <c r="E6124" s="464"/>
      <c r="F6124" s="498">
        <v>611</v>
      </c>
      <c r="G6124" s="499" t="s">
        <v>3848</v>
      </c>
      <c r="H6124" s="397"/>
      <c r="I6124" s="397"/>
      <c r="J6124" s="750" t="e">
        <f t="shared" si="79"/>
        <v>#DIV/0!</v>
      </c>
      <c r="K6124" s="398"/>
      <c r="L6124" s="398"/>
      <c r="M6124" s="682"/>
      <c r="N6124" s="171"/>
      <c r="O6124" s="171"/>
      <c r="P6124" s="171"/>
      <c r="Q6124" s="171"/>
      <c r="R6124" s="171"/>
      <c r="S6124" s="171"/>
      <c r="T6124" s="171"/>
      <c r="U6124" s="171"/>
      <c r="V6124" s="171"/>
      <c r="W6124" s="171"/>
      <c r="X6124" s="171"/>
      <c r="Y6124" s="171"/>
      <c r="Z6124" s="171"/>
      <c r="AA6124" s="171"/>
    </row>
    <row r="6125" spans="1:27" s="530" customFormat="1" ht="15.75" hidden="1" customHeight="1" thickBot="1" x14ac:dyDescent="0.25">
      <c r="A6125" s="526"/>
      <c r="B6125" s="527"/>
      <c r="C6125" s="465"/>
      <c r="D6125" s="464"/>
      <c r="E6125" s="464"/>
      <c r="F6125" s="498">
        <v>620</v>
      </c>
      <c r="G6125" s="499" t="s">
        <v>88</v>
      </c>
      <c r="H6125" s="397"/>
      <c r="I6125" s="397"/>
      <c r="J6125" s="750" t="e">
        <f t="shared" si="79"/>
        <v>#DIV/0!</v>
      </c>
      <c r="K6125" s="398"/>
      <c r="L6125" s="398"/>
      <c r="M6125" s="682"/>
      <c r="N6125" s="171"/>
      <c r="O6125" s="171"/>
      <c r="P6125" s="171"/>
      <c r="Q6125" s="171"/>
      <c r="R6125" s="171"/>
      <c r="S6125" s="171"/>
      <c r="T6125" s="171"/>
      <c r="U6125" s="171"/>
      <c r="V6125" s="171"/>
      <c r="W6125" s="171"/>
      <c r="X6125" s="171"/>
      <c r="Y6125" s="171"/>
      <c r="Z6125" s="171"/>
      <c r="AA6125" s="171"/>
    </row>
    <row r="6126" spans="1:27" s="530" customFormat="1" ht="15.75" customHeight="1" x14ac:dyDescent="0.2">
      <c r="A6126" s="526"/>
      <c r="B6126" s="527"/>
      <c r="C6126" s="465"/>
      <c r="D6126" s="464"/>
      <c r="E6126" s="500"/>
      <c r="F6126" s="498"/>
      <c r="G6126" s="501" t="s">
        <v>4446</v>
      </c>
      <c r="H6126" s="400"/>
      <c r="I6126" s="400"/>
      <c r="J6126" s="750"/>
      <c r="K6126" s="401"/>
      <c r="L6126" s="402"/>
      <c r="M6126" s="682"/>
      <c r="N6126" s="171"/>
      <c r="O6126" s="171"/>
      <c r="P6126" s="171"/>
      <c r="Q6126" s="171"/>
      <c r="R6126" s="171"/>
      <c r="S6126" s="171"/>
      <c r="T6126" s="171"/>
      <c r="U6126" s="171"/>
      <c r="V6126" s="171"/>
      <c r="W6126" s="171"/>
      <c r="X6126" s="171"/>
      <c r="Y6126" s="171"/>
      <c r="Z6126" s="171"/>
      <c r="AA6126" s="171"/>
    </row>
    <row r="6127" spans="1:27" s="530" customFormat="1" ht="15.75" customHeight="1" thickBot="1" x14ac:dyDescent="0.25">
      <c r="A6127" s="526"/>
      <c r="B6127" s="527"/>
      <c r="C6127" s="465"/>
      <c r="D6127" s="464"/>
      <c r="E6127" s="502"/>
      <c r="F6127" s="503" t="s">
        <v>234</v>
      </c>
      <c r="G6127" s="504" t="s">
        <v>235</v>
      </c>
      <c r="H6127" s="403">
        <f>SUM(H6066:H6125)</f>
        <v>29050000</v>
      </c>
      <c r="I6127" s="403">
        <f>SUM(I6066:I6067)</f>
        <v>26297279.23</v>
      </c>
      <c r="J6127" s="750">
        <f t="shared" si="79"/>
        <v>90.524197005163515</v>
      </c>
      <c r="K6127" s="404"/>
      <c r="L6127" s="404"/>
      <c r="M6127" s="682"/>
      <c r="N6127" s="171"/>
      <c r="O6127" s="171"/>
      <c r="P6127" s="171"/>
      <c r="Q6127" s="171"/>
      <c r="R6127" s="171"/>
      <c r="S6127" s="171"/>
      <c r="T6127" s="171"/>
      <c r="U6127" s="171"/>
      <c r="V6127" s="171"/>
      <c r="W6127" s="171"/>
      <c r="X6127" s="171"/>
      <c r="Y6127" s="171"/>
      <c r="Z6127" s="171"/>
      <c r="AA6127" s="171"/>
    </row>
    <row r="6128" spans="1:27" s="530" customFormat="1" ht="15.75" hidden="1" customHeight="1" x14ac:dyDescent="0.2">
      <c r="A6128" s="526"/>
      <c r="B6128" s="527"/>
      <c r="C6128" s="465"/>
      <c r="D6128" s="464"/>
      <c r="E6128" s="464"/>
      <c r="F6128" s="503" t="s">
        <v>236</v>
      </c>
      <c r="G6128" s="504" t="s">
        <v>237</v>
      </c>
      <c r="H6128" s="397"/>
      <c r="I6128" s="397"/>
      <c r="J6128" s="750" t="e">
        <f t="shared" si="79"/>
        <v>#DIV/0!</v>
      </c>
      <c r="K6128" s="398"/>
      <c r="L6128" s="404"/>
      <c r="M6128" s="682"/>
      <c r="N6128" s="171"/>
      <c r="O6128" s="171"/>
      <c r="P6128" s="171"/>
      <c r="Q6128" s="171"/>
      <c r="R6128" s="171"/>
      <c r="S6128" s="171"/>
      <c r="T6128" s="171"/>
      <c r="U6128" s="171"/>
      <c r="V6128" s="171"/>
      <c r="W6128" s="171"/>
      <c r="X6128" s="171"/>
      <c r="Y6128" s="171"/>
      <c r="Z6128" s="171"/>
      <c r="AA6128" s="171"/>
    </row>
    <row r="6129" spans="1:27" s="530" customFormat="1" ht="15.75" hidden="1" customHeight="1" x14ac:dyDescent="0.2">
      <c r="A6129" s="526"/>
      <c r="B6129" s="527"/>
      <c r="C6129" s="465"/>
      <c r="D6129" s="464"/>
      <c r="E6129" s="464"/>
      <c r="F6129" s="503" t="s">
        <v>238</v>
      </c>
      <c r="G6129" s="504" t="s">
        <v>239</v>
      </c>
      <c r="H6129" s="397"/>
      <c r="I6129" s="397"/>
      <c r="J6129" s="750" t="e">
        <f t="shared" si="79"/>
        <v>#DIV/0!</v>
      </c>
      <c r="K6129" s="398"/>
      <c r="L6129" s="404"/>
      <c r="M6129" s="682"/>
      <c r="N6129" s="171"/>
      <c r="O6129" s="171"/>
      <c r="P6129" s="171"/>
      <c r="Q6129" s="171"/>
      <c r="R6129" s="171"/>
      <c r="S6129" s="171"/>
      <c r="T6129" s="171"/>
      <c r="U6129" s="171"/>
      <c r="V6129" s="171"/>
      <c r="W6129" s="171"/>
      <c r="X6129" s="171"/>
      <c r="Y6129" s="171"/>
      <c r="Z6129" s="171"/>
      <c r="AA6129" s="171"/>
    </row>
    <row r="6130" spans="1:27" s="530" customFormat="1" ht="15.75" hidden="1" customHeight="1" x14ac:dyDescent="0.2">
      <c r="A6130" s="526"/>
      <c r="B6130" s="527"/>
      <c r="C6130" s="465"/>
      <c r="D6130" s="464"/>
      <c r="E6130" s="464"/>
      <c r="F6130" s="503" t="s">
        <v>240</v>
      </c>
      <c r="G6130" s="504" t="s">
        <v>241</v>
      </c>
      <c r="H6130" s="397"/>
      <c r="I6130" s="397"/>
      <c r="J6130" s="750" t="e">
        <f t="shared" si="79"/>
        <v>#DIV/0!</v>
      </c>
      <c r="K6130" s="398"/>
      <c r="L6130" s="404"/>
      <c r="M6130" s="682"/>
      <c r="N6130" s="171"/>
      <c r="O6130" s="171"/>
      <c r="P6130" s="171"/>
      <c r="Q6130" s="171"/>
      <c r="R6130" s="171"/>
      <c r="S6130" s="171"/>
      <c r="T6130" s="171"/>
      <c r="U6130" s="171"/>
      <c r="V6130" s="171"/>
      <c r="W6130" s="171"/>
      <c r="X6130" s="171"/>
      <c r="Y6130" s="171"/>
      <c r="Z6130" s="171"/>
      <c r="AA6130" s="171"/>
    </row>
    <row r="6131" spans="1:27" s="530" customFormat="1" ht="15.75" hidden="1" customHeight="1" x14ac:dyDescent="0.2">
      <c r="A6131" s="526"/>
      <c r="B6131" s="527"/>
      <c r="C6131" s="465"/>
      <c r="D6131" s="464"/>
      <c r="E6131" s="464"/>
      <c r="F6131" s="503" t="s">
        <v>242</v>
      </c>
      <c r="G6131" s="504" t="s">
        <v>243</v>
      </c>
      <c r="H6131" s="397"/>
      <c r="I6131" s="397"/>
      <c r="J6131" s="750" t="e">
        <f t="shared" si="79"/>
        <v>#DIV/0!</v>
      </c>
      <c r="K6131" s="398"/>
      <c r="L6131" s="404"/>
      <c r="M6131" s="682"/>
      <c r="N6131" s="171"/>
      <c r="O6131" s="171"/>
      <c r="P6131" s="171"/>
      <c r="Q6131" s="171"/>
      <c r="R6131" s="171"/>
      <c r="S6131" s="171"/>
      <c r="T6131" s="171"/>
      <c r="U6131" s="171"/>
      <c r="V6131" s="171"/>
      <c r="W6131" s="171"/>
      <c r="X6131" s="171"/>
      <c r="Y6131" s="171"/>
      <c r="Z6131" s="171"/>
      <c r="AA6131" s="171"/>
    </row>
    <row r="6132" spans="1:27" s="530" customFormat="1" ht="15.75" hidden="1" customHeight="1" x14ac:dyDescent="0.2">
      <c r="A6132" s="526"/>
      <c r="B6132" s="527"/>
      <c r="C6132" s="465"/>
      <c r="D6132" s="464"/>
      <c r="E6132" s="464"/>
      <c r="F6132" s="503" t="s">
        <v>244</v>
      </c>
      <c r="G6132" s="504" t="s">
        <v>245</v>
      </c>
      <c r="H6132" s="397"/>
      <c r="I6132" s="397"/>
      <c r="J6132" s="750" t="e">
        <f t="shared" si="79"/>
        <v>#DIV/0!</v>
      </c>
      <c r="K6132" s="398"/>
      <c r="L6132" s="404"/>
      <c r="M6132" s="682"/>
      <c r="N6132" s="171"/>
      <c r="O6132" s="171"/>
      <c r="P6132" s="171"/>
      <c r="Q6132" s="171"/>
      <c r="R6132" s="171"/>
      <c r="S6132" s="171"/>
      <c r="T6132" s="171"/>
      <c r="U6132" s="171"/>
      <c r="V6132" s="171"/>
      <c r="W6132" s="171"/>
      <c r="X6132" s="171"/>
      <c r="Y6132" s="171"/>
      <c r="Z6132" s="171"/>
      <c r="AA6132" s="171"/>
    </row>
    <row r="6133" spans="1:27" s="530" customFormat="1" ht="15.75" hidden="1" customHeight="1" x14ac:dyDescent="0.2">
      <c r="A6133" s="526"/>
      <c r="B6133" s="527"/>
      <c r="C6133" s="465"/>
      <c r="D6133" s="464"/>
      <c r="E6133" s="464"/>
      <c r="F6133" s="503" t="s">
        <v>246</v>
      </c>
      <c r="G6133" s="504" t="s">
        <v>247</v>
      </c>
      <c r="H6133" s="397"/>
      <c r="I6133" s="397"/>
      <c r="J6133" s="750" t="e">
        <f t="shared" si="79"/>
        <v>#DIV/0!</v>
      </c>
      <c r="K6133" s="398"/>
      <c r="L6133" s="404"/>
      <c r="M6133" s="682"/>
      <c r="N6133" s="171"/>
      <c r="O6133" s="171"/>
      <c r="P6133" s="171"/>
      <c r="Q6133" s="171"/>
      <c r="R6133" s="171"/>
      <c r="S6133" s="171"/>
      <c r="T6133" s="171"/>
      <c r="U6133" s="171"/>
      <c r="V6133" s="171"/>
      <c r="W6133" s="171"/>
      <c r="X6133" s="171"/>
      <c r="Y6133" s="171"/>
      <c r="Z6133" s="171"/>
      <c r="AA6133" s="171"/>
    </row>
    <row r="6134" spans="1:27" s="530" customFormat="1" ht="15.75" hidden="1" customHeight="1" x14ac:dyDescent="0.2">
      <c r="A6134" s="526"/>
      <c r="B6134" s="527"/>
      <c r="C6134" s="465"/>
      <c r="D6134" s="464"/>
      <c r="E6134" s="464"/>
      <c r="F6134" s="503" t="s">
        <v>248</v>
      </c>
      <c r="G6134" s="504" t="s">
        <v>249</v>
      </c>
      <c r="H6134" s="397"/>
      <c r="I6134" s="397"/>
      <c r="J6134" s="750" t="e">
        <f t="shared" si="79"/>
        <v>#DIV/0!</v>
      </c>
      <c r="K6134" s="398"/>
      <c r="L6134" s="404"/>
      <c r="M6134" s="682"/>
      <c r="N6134" s="171"/>
      <c r="O6134" s="171"/>
      <c r="P6134" s="171"/>
      <c r="Q6134" s="171"/>
      <c r="R6134" s="171"/>
      <c r="S6134" s="171"/>
      <c r="T6134" s="171"/>
      <c r="U6134" s="171"/>
      <c r="V6134" s="171"/>
      <c r="W6134" s="171"/>
      <c r="X6134" s="171"/>
      <c r="Y6134" s="171"/>
      <c r="Z6134" s="171"/>
      <c r="AA6134" s="171"/>
    </row>
    <row r="6135" spans="1:27" s="530" customFormat="1" ht="15.75" hidden="1" customHeight="1" x14ac:dyDescent="0.2">
      <c r="A6135" s="526"/>
      <c r="B6135" s="527"/>
      <c r="C6135" s="465"/>
      <c r="D6135" s="464"/>
      <c r="E6135" s="464"/>
      <c r="F6135" s="503" t="s">
        <v>250</v>
      </c>
      <c r="G6135" s="504" t="s">
        <v>57</v>
      </c>
      <c r="H6135" s="397"/>
      <c r="I6135" s="397"/>
      <c r="J6135" s="750" t="e">
        <f t="shared" si="79"/>
        <v>#DIV/0!</v>
      </c>
      <c r="K6135" s="398"/>
      <c r="L6135" s="404"/>
      <c r="M6135" s="682"/>
      <c r="N6135" s="171"/>
      <c r="O6135" s="171"/>
      <c r="P6135" s="171"/>
      <c r="Q6135" s="171"/>
      <c r="R6135" s="171"/>
      <c r="S6135" s="171"/>
      <c r="T6135" s="171"/>
      <c r="U6135" s="171"/>
      <c r="V6135" s="171"/>
      <c r="W6135" s="171"/>
      <c r="X6135" s="171"/>
      <c r="Y6135" s="171"/>
      <c r="Z6135" s="171"/>
      <c r="AA6135" s="171"/>
    </row>
    <row r="6136" spans="1:27" s="530" customFormat="1" ht="15.75" hidden="1" customHeight="1" x14ac:dyDescent="0.2">
      <c r="A6136" s="526"/>
      <c r="B6136" s="527"/>
      <c r="C6136" s="465"/>
      <c r="D6136" s="464"/>
      <c r="E6136" s="464"/>
      <c r="F6136" s="503" t="s">
        <v>251</v>
      </c>
      <c r="G6136" s="504" t="s">
        <v>252</v>
      </c>
      <c r="H6136" s="397"/>
      <c r="I6136" s="397"/>
      <c r="J6136" s="750" t="e">
        <f t="shared" si="79"/>
        <v>#DIV/0!</v>
      </c>
      <c r="K6136" s="398"/>
      <c r="L6136" s="404"/>
      <c r="M6136" s="682"/>
      <c r="N6136" s="171"/>
      <c r="O6136" s="171"/>
      <c r="P6136" s="171"/>
      <c r="Q6136" s="171"/>
      <c r="R6136" s="171"/>
      <c r="S6136" s="171"/>
      <c r="T6136" s="171"/>
      <c r="U6136" s="171"/>
      <c r="V6136" s="171"/>
      <c r="W6136" s="171"/>
      <c r="X6136" s="171"/>
      <c r="Y6136" s="171"/>
      <c r="Z6136" s="171"/>
      <c r="AA6136" s="171"/>
    </row>
    <row r="6137" spans="1:27" s="530" customFormat="1" ht="15.75" hidden="1" customHeight="1" x14ac:dyDescent="0.2">
      <c r="A6137" s="526"/>
      <c r="B6137" s="527"/>
      <c r="C6137" s="465"/>
      <c r="D6137" s="464"/>
      <c r="E6137" s="464"/>
      <c r="F6137" s="503" t="s">
        <v>253</v>
      </c>
      <c r="G6137" s="504" t="s">
        <v>254</v>
      </c>
      <c r="H6137" s="397"/>
      <c r="I6137" s="397"/>
      <c r="J6137" s="750" t="e">
        <f t="shared" si="79"/>
        <v>#DIV/0!</v>
      </c>
      <c r="K6137" s="398"/>
      <c r="L6137" s="404"/>
      <c r="M6137" s="682"/>
      <c r="N6137" s="171"/>
      <c r="O6137" s="171"/>
      <c r="P6137" s="171"/>
      <c r="Q6137" s="171"/>
      <c r="R6137" s="171"/>
      <c r="S6137" s="171"/>
      <c r="T6137" s="171"/>
      <c r="U6137" s="171"/>
      <c r="V6137" s="171"/>
      <c r="W6137" s="171"/>
      <c r="X6137" s="171"/>
      <c r="Y6137" s="171"/>
      <c r="Z6137" s="171"/>
      <c r="AA6137" s="171"/>
    </row>
    <row r="6138" spans="1:27" s="530" customFormat="1" ht="15.75" hidden="1" customHeight="1" x14ac:dyDescent="0.2">
      <c r="A6138" s="526"/>
      <c r="B6138" s="527"/>
      <c r="C6138" s="465"/>
      <c r="D6138" s="464"/>
      <c r="E6138" s="464"/>
      <c r="F6138" s="503" t="s">
        <v>255</v>
      </c>
      <c r="G6138" s="504" t="s">
        <v>256</v>
      </c>
      <c r="H6138" s="397"/>
      <c r="I6138" s="397"/>
      <c r="J6138" s="750" t="e">
        <f t="shared" si="79"/>
        <v>#DIV/0!</v>
      </c>
      <c r="K6138" s="398"/>
      <c r="L6138" s="404"/>
      <c r="M6138" s="682"/>
      <c r="N6138" s="171"/>
      <c r="O6138" s="171"/>
      <c r="P6138" s="171"/>
      <c r="Q6138" s="171"/>
      <c r="R6138" s="171"/>
      <c r="S6138" s="171"/>
      <c r="T6138" s="171"/>
      <c r="U6138" s="171"/>
      <c r="V6138" s="171"/>
      <c r="W6138" s="171"/>
      <c r="X6138" s="171"/>
      <c r="Y6138" s="171"/>
      <c r="Z6138" s="171"/>
      <c r="AA6138" s="171"/>
    </row>
    <row r="6139" spans="1:27" s="530" customFormat="1" ht="15.75" hidden="1" customHeight="1" x14ac:dyDescent="0.2">
      <c r="A6139" s="526"/>
      <c r="B6139" s="527"/>
      <c r="C6139" s="465"/>
      <c r="D6139" s="464"/>
      <c r="E6139" s="464"/>
      <c r="F6139" s="503" t="s">
        <v>257</v>
      </c>
      <c r="G6139" s="504" t="s">
        <v>258</v>
      </c>
      <c r="H6139" s="397"/>
      <c r="I6139" s="397"/>
      <c r="J6139" s="750" t="e">
        <f t="shared" si="79"/>
        <v>#DIV/0!</v>
      </c>
      <c r="K6139" s="398"/>
      <c r="L6139" s="404"/>
      <c r="M6139" s="682"/>
      <c r="N6139" s="171"/>
      <c r="O6139" s="171"/>
      <c r="P6139" s="171"/>
      <c r="Q6139" s="171"/>
      <c r="R6139" s="171"/>
      <c r="S6139" s="171"/>
      <c r="T6139" s="171"/>
      <c r="U6139" s="171"/>
      <c r="V6139" s="171"/>
      <c r="W6139" s="171"/>
      <c r="X6139" s="171"/>
      <c r="Y6139" s="171"/>
      <c r="Z6139" s="171"/>
      <c r="AA6139" s="171"/>
    </row>
    <row r="6140" spans="1:27" s="530" customFormat="1" ht="15.75" hidden="1" customHeight="1" x14ac:dyDescent="0.2">
      <c r="A6140" s="526"/>
      <c r="B6140" s="527"/>
      <c r="C6140" s="465"/>
      <c r="D6140" s="464"/>
      <c r="E6140" s="464"/>
      <c r="F6140" s="503" t="s">
        <v>259</v>
      </c>
      <c r="G6140" s="504" t="s">
        <v>260</v>
      </c>
      <c r="H6140" s="397"/>
      <c r="I6140" s="397"/>
      <c r="J6140" s="750" t="e">
        <f t="shared" si="79"/>
        <v>#DIV/0!</v>
      </c>
      <c r="K6140" s="398"/>
      <c r="L6140" s="404"/>
      <c r="M6140" s="682"/>
      <c r="N6140" s="171"/>
      <c r="O6140" s="171"/>
      <c r="P6140" s="171"/>
      <c r="Q6140" s="171"/>
      <c r="R6140" s="171"/>
      <c r="S6140" s="171"/>
      <c r="T6140" s="171"/>
      <c r="U6140" s="171"/>
      <c r="V6140" s="171"/>
      <c r="W6140" s="171"/>
      <c r="X6140" s="171"/>
      <c r="Y6140" s="171"/>
      <c r="Z6140" s="171"/>
      <c r="AA6140" s="171"/>
    </row>
    <row r="6141" spans="1:27" s="530" customFormat="1" ht="15.75" hidden="1" customHeight="1" x14ac:dyDescent="0.2">
      <c r="A6141" s="526"/>
      <c r="B6141" s="527"/>
      <c r="C6141" s="465"/>
      <c r="D6141" s="464"/>
      <c r="E6141" s="464"/>
      <c r="F6141" s="503" t="s">
        <v>261</v>
      </c>
      <c r="G6141" s="504" t="s">
        <v>262</v>
      </c>
      <c r="H6141" s="397"/>
      <c r="I6141" s="397"/>
      <c r="J6141" s="750" t="e">
        <f t="shared" si="79"/>
        <v>#DIV/0!</v>
      </c>
      <c r="K6141" s="398"/>
      <c r="L6141" s="404"/>
      <c r="M6141" s="682"/>
      <c r="N6141" s="171"/>
      <c r="O6141" s="171"/>
      <c r="P6141" s="171"/>
      <c r="Q6141" s="171"/>
      <c r="R6141" s="171"/>
      <c r="S6141" s="171"/>
      <c r="T6141" s="171"/>
      <c r="U6141" s="171"/>
      <c r="V6141" s="171"/>
      <c r="W6141" s="171"/>
      <c r="X6141" s="171"/>
      <c r="Y6141" s="171"/>
      <c r="Z6141" s="171"/>
      <c r="AA6141" s="171"/>
    </row>
    <row r="6142" spans="1:27" s="530" customFormat="1" ht="15.75" hidden="1" customHeight="1" thickBot="1" x14ac:dyDescent="0.25">
      <c r="A6142" s="526"/>
      <c r="B6142" s="527"/>
      <c r="C6142" s="465"/>
      <c r="D6142" s="464"/>
      <c r="E6142" s="464"/>
      <c r="F6142" s="503" t="s">
        <v>263</v>
      </c>
      <c r="G6142" s="504" t="s">
        <v>264</v>
      </c>
      <c r="H6142" s="403"/>
      <c r="I6142" s="403"/>
      <c r="J6142" s="750" t="e">
        <f t="shared" si="79"/>
        <v>#DIV/0!</v>
      </c>
      <c r="K6142" s="404"/>
      <c r="L6142" s="404"/>
      <c r="M6142" s="682"/>
      <c r="N6142" s="171"/>
      <c r="O6142" s="171"/>
      <c r="P6142" s="171"/>
      <c r="Q6142" s="171"/>
      <c r="R6142" s="171"/>
      <c r="S6142" s="171"/>
      <c r="T6142" s="171"/>
      <c r="U6142" s="171"/>
      <c r="V6142" s="171"/>
      <c r="W6142" s="171"/>
      <c r="X6142" s="171"/>
      <c r="Y6142" s="171"/>
      <c r="Z6142" s="171"/>
      <c r="AA6142" s="171"/>
    </row>
    <row r="6143" spans="1:27" s="530" customFormat="1" ht="13.5" customHeight="1" thickBot="1" x14ac:dyDescent="0.25">
      <c r="A6143" s="526"/>
      <c r="B6143" s="527"/>
      <c r="C6143" s="465"/>
      <c r="D6143" s="464"/>
      <c r="E6143" s="464"/>
      <c r="F6143" s="464"/>
      <c r="G6143" s="505" t="s">
        <v>4447</v>
      </c>
      <c r="H6143" s="405">
        <f>SUM(H6127:H6142)</f>
        <v>29050000</v>
      </c>
      <c r="I6143" s="405">
        <f>SUM(I6127)</f>
        <v>26297279.23</v>
      </c>
      <c r="J6143" s="750">
        <f t="shared" si="79"/>
        <v>90.524197005163515</v>
      </c>
      <c r="K6143" s="406">
        <f>SUM(K6128:K6142)</f>
        <v>0</v>
      </c>
      <c r="L6143" s="406"/>
      <c r="M6143" s="682"/>
      <c r="N6143" s="171"/>
      <c r="O6143" s="171"/>
      <c r="P6143" s="171"/>
      <c r="Q6143" s="171"/>
      <c r="R6143" s="171"/>
      <c r="S6143" s="171"/>
      <c r="T6143" s="171"/>
      <c r="U6143" s="171"/>
      <c r="V6143" s="171"/>
      <c r="W6143" s="171"/>
      <c r="X6143" s="171"/>
      <c r="Y6143" s="171"/>
      <c r="Z6143" s="171"/>
      <c r="AA6143" s="171"/>
    </row>
    <row r="6144" spans="1:27" s="530" customFormat="1" ht="15.75" customHeight="1" x14ac:dyDescent="0.2">
      <c r="A6144" s="526"/>
      <c r="B6144" s="527"/>
      <c r="C6144" s="465"/>
      <c r="D6144" s="464"/>
      <c r="E6144" s="500"/>
      <c r="F6144" s="498"/>
      <c r="G6144" s="506" t="s">
        <v>4464</v>
      </c>
      <c r="H6144" s="407"/>
      <c r="I6144" s="408"/>
      <c r="J6144" s="750"/>
      <c r="K6144" s="409"/>
      <c r="L6144" s="410"/>
      <c r="M6144" s="682"/>
      <c r="N6144" s="171"/>
      <c r="O6144" s="171"/>
      <c r="P6144" s="171"/>
      <c r="Q6144" s="171"/>
      <c r="R6144" s="171"/>
      <c r="S6144" s="171"/>
      <c r="T6144" s="171"/>
      <c r="U6144" s="171"/>
      <c r="V6144" s="171"/>
      <c r="W6144" s="171"/>
      <c r="X6144" s="171"/>
      <c r="Y6144" s="171"/>
      <c r="Z6144" s="171"/>
      <c r="AA6144" s="171"/>
    </row>
    <row r="6145" spans="1:27" s="530" customFormat="1" ht="15.75" customHeight="1" thickBot="1" x14ac:dyDescent="0.25">
      <c r="A6145" s="526"/>
      <c r="B6145" s="527"/>
      <c r="C6145" s="465"/>
      <c r="D6145" s="464"/>
      <c r="E6145" s="502"/>
      <c r="F6145" s="503" t="s">
        <v>234</v>
      </c>
      <c r="G6145" s="504" t="s">
        <v>235</v>
      </c>
      <c r="H6145" s="403">
        <f>SUM(H6066:H6125)</f>
        <v>29050000</v>
      </c>
      <c r="I6145" s="403">
        <f>SUM(I6143)</f>
        <v>26297279.23</v>
      </c>
      <c r="J6145" s="750">
        <f t="shared" si="79"/>
        <v>90.524197005163515</v>
      </c>
      <c r="K6145" s="404"/>
      <c r="L6145" s="404"/>
      <c r="M6145" s="682"/>
      <c r="N6145" s="171"/>
      <c r="O6145" s="171"/>
      <c r="P6145" s="171"/>
      <c r="Q6145" s="171"/>
      <c r="R6145" s="171"/>
      <c r="S6145" s="171"/>
      <c r="T6145" s="171"/>
      <c r="U6145" s="171"/>
      <c r="V6145" s="171"/>
      <c r="W6145" s="171"/>
      <c r="X6145" s="171"/>
      <c r="Y6145" s="171"/>
      <c r="Z6145" s="171"/>
      <c r="AA6145" s="171"/>
    </row>
    <row r="6146" spans="1:27" s="530" customFormat="1" ht="15.75" hidden="1" customHeight="1" x14ac:dyDescent="0.2">
      <c r="A6146" s="526"/>
      <c r="B6146" s="527"/>
      <c r="C6146" s="465"/>
      <c r="D6146" s="464"/>
      <c r="E6146" s="464"/>
      <c r="F6146" s="503" t="s">
        <v>236</v>
      </c>
      <c r="G6146" s="504" t="s">
        <v>237</v>
      </c>
      <c r="H6146" s="397"/>
      <c r="I6146" s="397"/>
      <c r="J6146" s="750" t="e">
        <f t="shared" si="79"/>
        <v>#DIV/0!</v>
      </c>
      <c r="K6146" s="398"/>
      <c r="L6146" s="404"/>
      <c r="M6146" s="682"/>
      <c r="N6146" s="171"/>
      <c r="O6146" s="171"/>
      <c r="P6146" s="171"/>
      <c r="Q6146" s="171"/>
      <c r="R6146" s="171"/>
      <c r="S6146" s="171"/>
      <c r="T6146" s="171"/>
      <c r="U6146" s="171"/>
      <c r="V6146" s="171"/>
      <c r="W6146" s="171"/>
      <c r="X6146" s="171"/>
      <c r="Y6146" s="171"/>
      <c r="Z6146" s="171"/>
      <c r="AA6146" s="171"/>
    </row>
    <row r="6147" spans="1:27" s="530" customFormat="1" ht="15.75" hidden="1" customHeight="1" x14ac:dyDescent="0.2">
      <c r="A6147" s="526"/>
      <c r="B6147" s="527"/>
      <c r="C6147" s="465"/>
      <c r="D6147" s="464"/>
      <c r="E6147" s="464"/>
      <c r="F6147" s="503" t="s">
        <v>238</v>
      </c>
      <c r="G6147" s="504" t="s">
        <v>239</v>
      </c>
      <c r="H6147" s="397"/>
      <c r="I6147" s="397"/>
      <c r="J6147" s="750" t="e">
        <f t="shared" si="79"/>
        <v>#DIV/0!</v>
      </c>
      <c r="K6147" s="398"/>
      <c r="L6147" s="404"/>
      <c r="M6147" s="682"/>
      <c r="N6147" s="171"/>
      <c r="O6147" s="171"/>
      <c r="P6147" s="171"/>
      <c r="Q6147" s="171"/>
      <c r="R6147" s="171"/>
      <c r="S6147" s="171"/>
      <c r="T6147" s="171"/>
      <c r="U6147" s="171"/>
      <c r="V6147" s="171"/>
      <c r="W6147" s="171"/>
      <c r="X6147" s="171"/>
      <c r="Y6147" s="171"/>
      <c r="Z6147" s="171"/>
      <c r="AA6147" s="171"/>
    </row>
    <row r="6148" spans="1:27" s="530" customFormat="1" ht="15.75" hidden="1" customHeight="1" x14ac:dyDescent="0.2">
      <c r="A6148" s="526"/>
      <c r="B6148" s="527"/>
      <c r="C6148" s="465"/>
      <c r="D6148" s="464"/>
      <c r="E6148" s="464"/>
      <c r="F6148" s="503" t="s">
        <v>240</v>
      </c>
      <c r="G6148" s="504" t="s">
        <v>241</v>
      </c>
      <c r="H6148" s="397"/>
      <c r="I6148" s="397"/>
      <c r="J6148" s="750" t="e">
        <f t="shared" si="79"/>
        <v>#DIV/0!</v>
      </c>
      <c r="K6148" s="398"/>
      <c r="L6148" s="404"/>
      <c r="M6148" s="682"/>
      <c r="N6148" s="171"/>
      <c r="O6148" s="171"/>
      <c r="P6148" s="171"/>
      <c r="Q6148" s="171"/>
      <c r="R6148" s="171"/>
      <c r="S6148" s="171"/>
      <c r="T6148" s="171"/>
      <c r="U6148" s="171"/>
      <c r="V6148" s="171"/>
      <c r="W6148" s="171"/>
      <c r="X6148" s="171"/>
      <c r="Y6148" s="171"/>
      <c r="Z6148" s="171"/>
      <c r="AA6148" s="171"/>
    </row>
    <row r="6149" spans="1:27" s="530" customFormat="1" ht="15.75" hidden="1" customHeight="1" x14ac:dyDescent="0.2">
      <c r="A6149" s="526"/>
      <c r="B6149" s="527"/>
      <c r="C6149" s="465"/>
      <c r="D6149" s="464"/>
      <c r="E6149" s="464"/>
      <c r="F6149" s="503" t="s">
        <v>242</v>
      </c>
      <c r="G6149" s="504" t="s">
        <v>243</v>
      </c>
      <c r="H6149" s="397"/>
      <c r="I6149" s="397"/>
      <c r="J6149" s="750" t="e">
        <f t="shared" si="79"/>
        <v>#DIV/0!</v>
      </c>
      <c r="K6149" s="398"/>
      <c r="L6149" s="404"/>
      <c r="M6149" s="682"/>
      <c r="N6149" s="171"/>
      <c r="O6149" s="171"/>
      <c r="P6149" s="171"/>
      <c r="Q6149" s="171"/>
      <c r="R6149" s="171"/>
      <c r="S6149" s="171"/>
      <c r="T6149" s="171"/>
      <c r="U6149" s="171"/>
      <c r="V6149" s="171"/>
      <c r="W6149" s="171"/>
      <c r="X6149" s="171"/>
      <c r="Y6149" s="171"/>
      <c r="Z6149" s="171"/>
      <c r="AA6149" s="171"/>
    </row>
    <row r="6150" spans="1:27" s="530" customFormat="1" ht="15.75" hidden="1" customHeight="1" x14ac:dyDescent="0.2">
      <c r="A6150" s="526"/>
      <c r="B6150" s="527"/>
      <c r="C6150" s="465"/>
      <c r="D6150" s="464"/>
      <c r="E6150" s="464"/>
      <c r="F6150" s="503" t="s">
        <v>244</v>
      </c>
      <c r="G6150" s="504" t="s">
        <v>245</v>
      </c>
      <c r="H6150" s="397"/>
      <c r="I6150" s="397"/>
      <c r="J6150" s="750" t="e">
        <f t="shared" si="79"/>
        <v>#DIV/0!</v>
      </c>
      <c r="K6150" s="398"/>
      <c r="L6150" s="404"/>
      <c r="M6150" s="682"/>
      <c r="N6150" s="171"/>
      <c r="O6150" s="171"/>
      <c r="P6150" s="171"/>
      <c r="Q6150" s="171"/>
      <c r="R6150" s="171"/>
      <c r="S6150" s="171"/>
      <c r="T6150" s="171"/>
      <c r="U6150" s="171"/>
      <c r="V6150" s="171"/>
      <c r="W6150" s="171"/>
      <c r="X6150" s="171"/>
      <c r="Y6150" s="171"/>
      <c r="Z6150" s="171"/>
      <c r="AA6150" s="171"/>
    </row>
    <row r="6151" spans="1:27" s="530" customFormat="1" ht="15.75" hidden="1" customHeight="1" x14ac:dyDescent="0.2">
      <c r="A6151" s="526"/>
      <c r="B6151" s="527"/>
      <c r="C6151" s="465"/>
      <c r="D6151" s="464"/>
      <c r="E6151" s="464"/>
      <c r="F6151" s="503" t="s">
        <v>246</v>
      </c>
      <c r="G6151" s="504" t="s">
        <v>247</v>
      </c>
      <c r="H6151" s="397"/>
      <c r="I6151" s="397"/>
      <c r="J6151" s="750" t="e">
        <f t="shared" si="79"/>
        <v>#DIV/0!</v>
      </c>
      <c r="K6151" s="398"/>
      <c r="L6151" s="404"/>
      <c r="M6151" s="682"/>
      <c r="N6151" s="171"/>
      <c r="O6151" s="171"/>
      <c r="P6151" s="171"/>
      <c r="Q6151" s="171"/>
      <c r="R6151" s="171"/>
      <c r="S6151" s="171"/>
      <c r="T6151" s="171"/>
      <c r="U6151" s="171"/>
      <c r="V6151" s="171"/>
      <c r="W6151" s="171"/>
      <c r="X6151" s="171"/>
      <c r="Y6151" s="171"/>
      <c r="Z6151" s="171"/>
      <c r="AA6151" s="171"/>
    </row>
    <row r="6152" spans="1:27" s="530" customFormat="1" ht="15.75" hidden="1" customHeight="1" x14ac:dyDescent="0.2">
      <c r="A6152" s="526"/>
      <c r="B6152" s="527"/>
      <c r="C6152" s="465"/>
      <c r="D6152" s="464"/>
      <c r="E6152" s="464"/>
      <c r="F6152" s="503" t="s">
        <v>248</v>
      </c>
      <c r="G6152" s="504" t="s">
        <v>249</v>
      </c>
      <c r="H6152" s="397"/>
      <c r="I6152" s="397"/>
      <c r="J6152" s="750" t="e">
        <f t="shared" si="79"/>
        <v>#DIV/0!</v>
      </c>
      <c r="K6152" s="398"/>
      <c r="L6152" s="404"/>
      <c r="M6152" s="682"/>
      <c r="N6152" s="171"/>
      <c r="O6152" s="171"/>
      <c r="P6152" s="171"/>
      <c r="Q6152" s="171"/>
      <c r="R6152" s="171"/>
      <c r="S6152" s="171"/>
      <c r="T6152" s="171"/>
      <c r="U6152" s="171"/>
      <c r="V6152" s="171"/>
      <c r="W6152" s="171"/>
      <c r="X6152" s="171"/>
      <c r="Y6152" s="171"/>
      <c r="Z6152" s="171"/>
      <c r="AA6152" s="171"/>
    </row>
    <row r="6153" spans="1:27" s="530" customFormat="1" ht="15.75" hidden="1" customHeight="1" x14ac:dyDescent="0.2">
      <c r="A6153" s="526"/>
      <c r="B6153" s="527"/>
      <c r="C6153" s="465"/>
      <c r="D6153" s="464"/>
      <c r="E6153" s="464"/>
      <c r="F6153" s="503" t="s">
        <v>250</v>
      </c>
      <c r="G6153" s="504" t="s">
        <v>57</v>
      </c>
      <c r="H6153" s="397"/>
      <c r="I6153" s="397"/>
      <c r="J6153" s="750" t="e">
        <f t="shared" si="79"/>
        <v>#DIV/0!</v>
      </c>
      <c r="K6153" s="398"/>
      <c r="L6153" s="404"/>
      <c r="M6153" s="682"/>
      <c r="N6153" s="171"/>
      <c r="O6153" s="171"/>
      <c r="P6153" s="171"/>
      <c r="Q6153" s="171"/>
      <c r="R6153" s="171"/>
      <c r="S6153" s="171"/>
      <c r="T6153" s="171"/>
      <c r="U6153" s="171"/>
      <c r="V6153" s="171"/>
      <c r="W6153" s="171"/>
      <c r="X6153" s="171"/>
      <c r="Y6153" s="171"/>
      <c r="Z6153" s="171"/>
      <c r="AA6153" s="171"/>
    </row>
    <row r="6154" spans="1:27" s="530" customFormat="1" ht="15.75" hidden="1" customHeight="1" x14ac:dyDescent="0.2">
      <c r="A6154" s="526"/>
      <c r="B6154" s="527"/>
      <c r="C6154" s="465"/>
      <c r="D6154" s="464"/>
      <c r="E6154" s="464"/>
      <c r="F6154" s="503" t="s">
        <v>251</v>
      </c>
      <c r="G6154" s="504" t="s">
        <v>252</v>
      </c>
      <c r="H6154" s="397"/>
      <c r="I6154" s="397"/>
      <c r="J6154" s="750" t="e">
        <f t="shared" si="79"/>
        <v>#DIV/0!</v>
      </c>
      <c r="K6154" s="398"/>
      <c r="L6154" s="404"/>
      <c r="M6154" s="682"/>
      <c r="N6154" s="171"/>
      <c r="O6154" s="171"/>
      <c r="P6154" s="171"/>
      <c r="Q6154" s="171"/>
      <c r="R6154" s="171"/>
      <c r="S6154" s="171"/>
      <c r="T6154" s="171"/>
      <c r="U6154" s="171"/>
      <c r="V6154" s="171"/>
      <c r="W6154" s="171"/>
      <c r="X6154" s="171"/>
      <c r="Y6154" s="171"/>
      <c r="Z6154" s="171"/>
      <c r="AA6154" s="171"/>
    </row>
    <row r="6155" spans="1:27" s="530" customFormat="1" ht="15.75" hidden="1" customHeight="1" x14ac:dyDescent="0.2">
      <c r="A6155" s="526"/>
      <c r="B6155" s="527"/>
      <c r="C6155" s="465"/>
      <c r="D6155" s="464"/>
      <c r="E6155" s="464"/>
      <c r="F6155" s="503" t="s">
        <v>253</v>
      </c>
      <c r="G6155" s="504" t="s">
        <v>254</v>
      </c>
      <c r="H6155" s="397"/>
      <c r="I6155" s="397"/>
      <c r="J6155" s="750" t="e">
        <f t="shared" si="79"/>
        <v>#DIV/0!</v>
      </c>
      <c r="K6155" s="398"/>
      <c r="L6155" s="404"/>
      <c r="M6155" s="682"/>
      <c r="N6155" s="171"/>
      <c r="O6155" s="171"/>
      <c r="P6155" s="171"/>
      <c r="Q6155" s="171"/>
      <c r="R6155" s="171"/>
      <c r="S6155" s="171"/>
      <c r="T6155" s="171"/>
      <c r="U6155" s="171"/>
      <c r="V6155" s="171"/>
      <c r="W6155" s="171"/>
      <c r="X6155" s="171"/>
      <c r="Y6155" s="171"/>
      <c r="Z6155" s="171"/>
      <c r="AA6155" s="171"/>
    </row>
    <row r="6156" spans="1:27" s="530" customFormat="1" ht="15.75" hidden="1" customHeight="1" x14ac:dyDescent="0.2">
      <c r="A6156" s="526"/>
      <c r="B6156" s="527"/>
      <c r="C6156" s="465"/>
      <c r="D6156" s="464"/>
      <c r="E6156" s="464"/>
      <c r="F6156" s="503" t="s">
        <v>255</v>
      </c>
      <c r="G6156" s="504" t="s">
        <v>256</v>
      </c>
      <c r="H6156" s="397"/>
      <c r="I6156" s="397"/>
      <c r="J6156" s="750" t="e">
        <f t="shared" si="79"/>
        <v>#DIV/0!</v>
      </c>
      <c r="K6156" s="398"/>
      <c r="L6156" s="404"/>
      <c r="M6156" s="682"/>
      <c r="N6156" s="171"/>
      <c r="O6156" s="171"/>
      <c r="P6156" s="171"/>
      <c r="Q6156" s="171"/>
      <c r="R6156" s="171"/>
      <c r="S6156" s="171"/>
      <c r="T6156" s="171"/>
      <c r="U6156" s="171"/>
      <c r="V6156" s="171"/>
      <c r="W6156" s="171"/>
      <c r="X6156" s="171"/>
      <c r="Y6156" s="171"/>
      <c r="Z6156" s="171"/>
      <c r="AA6156" s="171"/>
    </row>
    <row r="6157" spans="1:27" s="530" customFormat="1" ht="15.75" hidden="1" customHeight="1" x14ac:dyDescent="0.2">
      <c r="A6157" s="526"/>
      <c r="B6157" s="527"/>
      <c r="C6157" s="465"/>
      <c r="D6157" s="464"/>
      <c r="E6157" s="464"/>
      <c r="F6157" s="503" t="s">
        <v>257</v>
      </c>
      <c r="G6157" s="504" t="s">
        <v>258</v>
      </c>
      <c r="H6157" s="397"/>
      <c r="I6157" s="397"/>
      <c r="J6157" s="750" t="e">
        <f t="shared" ref="J6157:J6220" si="80">SUM(I6157/H6157)*100</f>
        <v>#DIV/0!</v>
      </c>
      <c r="K6157" s="398"/>
      <c r="L6157" s="404"/>
      <c r="M6157" s="682"/>
      <c r="N6157" s="171"/>
      <c r="O6157" s="171"/>
      <c r="P6157" s="171"/>
      <c r="Q6157" s="171"/>
      <c r="R6157" s="171"/>
      <c r="S6157" s="171"/>
      <c r="T6157" s="171"/>
      <c r="U6157" s="171"/>
      <c r="V6157" s="171"/>
      <c r="W6157" s="171"/>
      <c r="X6157" s="171"/>
      <c r="Y6157" s="171"/>
      <c r="Z6157" s="171"/>
      <c r="AA6157" s="171"/>
    </row>
    <row r="6158" spans="1:27" s="530" customFormat="1" ht="15.75" hidden="1" customHeight="1" x14ac:dyDescent="0.2">
      <c r="A6158" s="526"/>
      <c r="B6158" s="527"/>
      <c r="C6158" s="465"/>
      <c r="D6158" s="464"/>
      <c r="E6158" s="464"/>
      <c r="F6158" s="503" t="s">
        <v>259</v>
      </c>
      <c r="G6158" s="504" t="s">
        <v>260</v>
      </c>
      <c r="H6158" s="397"/>
      <c r="I6158" s="397"/>
      <c r="J6158" s="750" t="e">
        <f t="shared" si="80"/>
        <v>#DIV/0!</v>
      </c>
      <c r="K6158" s="398"/>
      <c r="L6158" s="404"/>
      <c r="M6158" s="682"/>
      <c r="N6158" s="171"/>
      <c r="O6158" s="171"/>
      <c r="P6158" s="171"/>
      <c r="Q6158" s="171"/>
      <c r="R6158" s="171"/>
      <c r="S6158" s="171"/>
      <c r="T6158" s="171"/>
      <c r="U6158" s="171"/>
      <c r="V6158" s="171"/>
      <c r="W6158" s="171"/>
      <c r="X6158" s="171"/>
      <c r="Y6158" s="171"/>
      <c r="Z6158" s="171"/>
      <c r="AA6158" s="171"/>
    </row>
    <row r="6159" spans="1:27" s="530" customFormat="1" ht="15.75" hidden="1" customHeight="1" x14ac:dyDescent="0.2">
      <c r="A6159" s="526"/>
      <c r="B6159" s="527"/>
      <c r="C6159" s="465"/>
      <c r="D6159" s="464"/>
      <c r="E6159" s="464"/>
      <c r="F6159" s="503" t="s">
        <v>261</v>
      </c>
      <c r="G6159" s="504" t="s">
        <v>262</v>
      </c>
      <c r="H6159" s="397"/>
      <c r="I6159" s="397"/>
      <c r="J6159" s="750" t="e">
        <f t="shared" si="80"/>
        <v>#DIV/0!</v>
      </c>
      <c r="K6159" s="398"/>
      <c r="L6159" s="404"/>
      <c r="M6159" s="682"/>
      <c r="N6159" s="171"/>
      <c r="O6159" s="171"/>
      <c r="P6159" s="171"/>
      <c r="Q6159" s="171"/>
      <c r="R6159" s="171"/>
      <c r="S6159" s="171"/>
      <c r="T6159" s="171"/>
      <c r="U6159" s="171"/>
      <c r="V6159" s="171"/>
      <c r="W6159" s="171"/>
      <c r="X6159" s="171"/>
      <c r="Y6159" s="171"/>
      <c r="Z6159" s="171"/>
      <c r="AA6159" s="171"/>
    </row>
    <row r="6160" spans="1:27" s="530" customFormat="1" ht="15.75" hidden="1" customHeight="1" thickBot="1" x14ac:dyDescent="0.25">
      <c r="A6160" s="526"/>
      <c r="B6160" s="527"/>
      <c r="C6160" s="465"/>
      <c r="D6160" s="464"/>
      <c r="E6160" s="464"/>
      <c r="F6160" s="503" t="s">
        <v>263</v>
      </c>
      <c r="G6160" s="504" t="s">
        <v>264</v>
      </c>
      <c r="H6160" s="403"/>
      <c r="I6160" s="403"/>
      <c r="J6160" s="750" t="e">
        <f t="shared" si="80"/>
        <v>#DIV/0!</v>
      </c>
      <c r="K6160" s="404"/>
      <c r="L6160" s="404"/>
      <c r="M6160" s="682"/>
      <c r="N6160" s="171"/>
      <c r="O6160" s="171"/>
      <c r="P6160" s="171"/>
      <c r="Q6160" s="171"/>
      <c r="R6160" s="171"/>
      <c r="S6160" s="171"/>
      <c r="T6160" s="171"/>
      <c r="U6160" s="171"/>
      <c r="V6160" s="171"/>
      <c r="W6160" s="171"/>
      <c r="X6160" s="171"/>
      <c r="Y6160" s="171"/>
      <c r="Z6160" s="171"/>
      <c r="AA6160" s="171"/>
    </row>
    <row r="6161" spans="1:27" s="530" customFormat="1" ht="13.5" customHeight="1" thickBot="1" x14ac:dyDescent="0.25">
      <c r="A6161" s="526"/>
      <c r="B6161" s="527"/>
      <c r="C6161" s="465"/>
      <c r="D6161" s="464"/>
      <c r="E6161" s="464"/>
      <c r="F6161" s="464"/>
      <c r="G6161" s="505" t="s">
        <v>4465</v>
      </c>
      <c r="H6161" s="405">
        <f>SUM(H6145:H6160)</f>
        <v>29050000</v>
      </c>
      <c r="I6161" s="405">
        <f>SUM(I6145)</f>
        <v>26297279.23</v>
      </c>
      <c r="J6161" s="750">
        <f t="shared" si="80"/>
        <v>90.524197005163515</v>
      </c>
      <c r="K6161" s="406">
        <f>SUM(K6146:K6160)</f>
        <v>0</v>
      </c>
      <c r="L6161" s="406"/>
      <c r="M6161" s="682"/>
      <c r="N6161" s="171"/>
      <c r="O6161" s="171"/>
      <c r="P6161" s="171"/>
      <c r="Q6161" s="171"/>
      <c r="R6161" s="171"/>
      <c r="S6161" s="171"/>
      <c r="T6161" s="171"/>
      <c r="U6161" s="171"/>
      <c r="V6161" s="171"/>
      <c r="W6161" s="171"/>
      <c r="X6161" s="171"/>
      <c r="Y6161" s="171"/>
      <c r="Z6161" s="171"/>
      <c r="AA6161" s="171"/>
    </row>
    <row r="6162" spans="1:27" s="530" customFormat="1" ht="15.75" hidden="1" customHeight="1" x14ac:dyDescent="0.2">
      <c r="A6162" s="526"/>
      <c r="B6162" s="527"/>
      <c r="C6162" s="465"/>
      <c r="D6162" s="464"/>
      <c r="E6162" s="464"/>
      <c r="F6162" s="464"/>
      <c r="G6162" s="507"/>
      <c r="H6162" s="397"/>
      <c r="I6162" s="397"/>
      <c r="J6162" s="750" t="e">
        <f t="shared" si="80"/>
        <v>#DIV/0!</v>
      </c>
      <c r="K6162" s="398"/>
      <c r="L6162" s="398"/>
      <c r="M6162" s="682"/>
      <c r="N6162" s="171"/>
      <c r="O6162" s="171"/>
      <c r="P6162" s="171"/>
      <c r="Q6162" s="171"/>
      <c r="R6162" s="171"/>
      <c r="S6162" s="171"/>
      <c r="T6162" s="171"/>
      <c r="U6162" s="171"/>
      <c r="V6162" s="171"/>
      <c r="W6162" s="171"/>
      <c r="X6162" s="171"/>
      <c r="Y6162" s="171"/>
      <c r="Z6162" s="171"/>
      <c r="AA6162" s="171"/>
    </row>
    <row r="6163" spans="1:27" s="530" customFormat="1" ht="15.75" hidden="1" customHeight="1" x14ac:dyDescent="0.2">
      <c r="A6163" s="526"/>
      <c r="B6163" s="527"/>
      <c r="C6163" s="489" t="s">
        <v>4709</v>
      </c>
      <c r="D6163" s="490"/>
      <c r="E6163" s="464"/>
      <c r="F6163" s="464"/>
      <c r="G6163" s="508" t="s">
        <v>5087</v>
      </c>
      <c r="H6163" s="397"/>
      <c r="I6163" s="397"/>
      <c r="J6163" s="750" t="e">
        <f t="shared" si="80"/>
        <v>#DIV/0!</v>
      </c>
      <c r="K6163" s="398"/>
      <c r="L6163" s="398"/>
      <c r="M6163" s="682"/>
      <c r="N6163" s="171"/>
      <c r="O6163" s="171"/>
      <c r="P6163" s="171"/>
      <c r="Q6163" s="171"/>
      <c r="R6163" s="171"/>
      <c r="S6163" s="171"/>
      <c r="T6163" s="171"/>
      <c r="U6163" s="171"/>
      <c r="V6163" s="171"/>
      <c r="W6163" s="171"/>
      <c r="X6163" s="171"/>
      <c r="Y6163" s="171"/>
      <c r="Z6163" s="171"/>
      <c r="AA6163" s="171"/>
    </row>
    <row r="6164" spans="1:27" s="530" customFormat="1" ht="15.75" hidden="1" customHeight="1" x14ac:dyDescent="0.2">
      <c r="A6164" s="526"/>
      <c r="B6164" s="527"/>
      <c r="C6164" s="489"/>
      <c r="D6164" s="492">
        <v>912</v>
      </c>
      <c r="E6164" s="492"/>
      <c r="F6164" s="492"/>
      <c r="G6164" s="493" t="s">
        <v>215</v>
      </c>
      <c r="H6164" s="397"/>
      <c r="I6164" s="397"/>
      <c r="J6164" s="750" t="e">
        <f t="shared" si="80"/>
        <v>#DIV/0!</v>
      </c>
      <c r="K6164" s="398"/>
      <c r="L6164" s="398"/>
      <c r="M6164" s="682"/>
      <c r="N6164" s="171"/>
      <c r="O6164" s="171"/>
      <c r="P6164" s="171"/>
      <c r="Q6164" s="171"/>
      <c r="R6164" s="171"/>
      <c r="S6164" s="171"/>
      <c r="T6164" s="171"/>
      <c r="U6164" s="171"/>
      <c r="V6164" s="171"/>
      <c r="W6164" s="171"/>
      <c r="X6164" s="171"/>
      <c r="Y6164" s="171"/>
      <c r="Z6164" s="171"/>
      <c r="AA6164" s="171"/>
    </row>
    <row r="6165" spans="1:27" s="530" customFormat="1" ht="15.75" hidden="1" customHeight="1" x14ac:dyDescent="0.2">
      <c r="A6165" s="526"/>
      <c r="B6165" s="527"/>
      <c r="C6165" s="465"/>
      <c r="D6165" s="464"/>
      <c r="E6165" s="464"/>
      <c r="F6165" s="494">
        <v>411</v>
      </c>
      <c r="G6165" s="495" t="s">
        <v>4167</v>
      </c>
      <c r="H6165" s="397"/>
      <c r="I6165" s="397"/>
      <c r="J6165" s="750" t="e">
        <f t="shared" si="80"/>
        <v>#DIV/0!</v>
      </c>
      <c r="K6165" s="398"/>
      <c r="L6165" s="398"/>
      <c r="M6165" s="682"/>
      <c r="N6165" s="171"/>
      <c r="O6165" s="171"/>
      <c r="P6165" s="171"/>
      <c r="Q6165" s="171"/>
      <c r="R6165" s="171"/>
      <c r="S6165" s="171"/>
      <c r="T6165" s="171"/>
      <c r="U6165" s="171"/>
      <c r="V6165" s="171"/>
      <c r="W6165" s="171"/>
      <c r="X6165" s="171"/>
      <c r="Y6165" s="171"/>
      <c r="Z6165" s="171"/>
      <c r="AA6165" s="171"/>
    </row>
    <row r="6166" spans="1:27" s="530" customFormat="1" ht="15.75" hidden="1" customHeight="1" x14ac:dyDescent="0.2">
      <c r="A6166" s="526"/>
      <c r="B6166" s="527"/>
      <c r="C6166" s="465"/>
      <c r="D6166" s="464"/>
      <c r="E6166" s="464"/>
      <c r="F6166" s="494">
        <v>412</v>
      </c>
      <c r="G6166" s="496" t="s">
        <v>3764</v>
      </c>
      <c r="H6166" s="397"/>
      <c r="I6166" s="397"/>
      <c r="J6166" s="750" t="e">
        <f t="shared" si="80"/>
        <v>#DIV/0!</v>
      </c>
      <c r="K6166" s="398"/>
      <c r="L6166" s="398"/>
      <c r="M6166" s="682"/>
      <c r="N6166" s="171"/>
      <c r="O6166" s="171"/>
      <c r="P6166" s="171"/>
      <c r="Q6166" s="171"/>
      <c r="R6166" s="171"/>
      <c r="S6166" s="171"/>
      <c r="T6166" s="171"/>
      <c r="U6166" s="171"/>
      <c r="V6166" s="171"/>
      <c r="W6166" s="171"/>
      <c r="X6166" s="171"/>
      <c r="Y6166" s="171"/>
      <c r="Z6166" s="171"/>
      <c r="AA6166" s="171"/>
    </row>
    <row r="6167" spans="1:27" s="530" customFormat="1" ht="15.75" hidden="1" customHeight="1" x14ac:dyDescent="0.2">
      <c r="A6167" s="526"/>
      <c r="B6167" s="527"/>
      <c r="C6167" s="465"/>
      <c r="D6167" s="464"/>
      <c r="E6167" s="464"/>
      <c r="F6167" s="494">
        <v>413</v>
      </c>
      <c r="G6167" s="495" t="s">
        <v>4168</v>
      </c>
      <c r="H6167" s="397"/>
      <c r="I6167" s="397"/>
      <c r="J6167" s="750" t="e">
        <f t="shared" si="80"/>
        <v>#DIV/0!</v>
      </c>
      <c r="K6167" s="398"/>
      <c r="L6167" s="398"/>
      <c r="M6167" s="682"/>
      <c r="N6167" s="171"/>
      <c r="O6167" s="171"/>
      <c r="P6167" s="171"/>
      <c r="Q6167" s="171"/>
      <c r="R6167" s="171"/>
      <c r="S6167" s="171"/>
      <c r="T6167" s="171"/>
      <c r="U6167" s="171"/>
      <c r="V6167" s="171"/>
      <c r="W6167" s="171"/>
      <c r="X6167" s="171"/>
      <c r="Y6167" s="171"/>
      <c r="Z6167" s="171"/>
      <c r="AA6167" s="171"/>
    </row>
    <row r="6168" spans="1:27" s="530" customFormat="1" ht="15.75" hidden="1" customHeight="1" x14ac:dyDescent="0.2">
      <c r="A6168" s="526"/>
      <c r="B6168" s="527"/>
      <c r="C6168" s="465"/>
      <c r="D6168" s="464"/>
      <c r="E6168" s="464"/>
      <c r="F6168" s="494">
        <v>414</v>
      </c>
      <c r="G6168" s="495" t="s">
        <v>3767</v>
      </c>
      <c r="H6168" s="397"/>
      <c r="I6168" s="397"/>
      <c r="J6168" s="750" t="e">
        <f t="shared" si="80"/>
        <v>#DIV/0!</v>
      </c>
      <c r="K6168" s="398"/>
      <c r="L6168" s="398"/>
      <c r="M6168" s="682"/>
      <c r="N6168" s="171"/>
      <c r="O6168" s="171"/>
      <c r="P6168" s="171"/>
      <c r="Q6168" s="171"/>
      <c r="R6168" s="171"/>
      <c r="S6168" s="171"/>
      <c r="T6168" s="171"/>
      <c r="U6168" s="171"/>
      <c r="V6168" s="171"/>
      <c r="W6168" s="171"/>
      <c r="X6168" s="171"/>
      <c r="Y6168" s="171"/>
      <c r="Z6168" s="171"/>
      <c r="AA6168" s="171"/>
    </row>
    <row r="6169" spans="1:27" s="530" customFormat="1" ht="15.75" hidden="1" customHeight="1" x14ac:dyDescent="0.2">
      <c r="A6169" s="526"/>
      <c r="B6169" s="527"/>
      <c r="C6169" s="465"/>
      <c r="D6169" s="464"/>
      <c r="E6169" s="464"/>
      <c r="F6169" s="494">
        <v>415</v>
      </c>
      <c r="G6169" s="495" t="s">
        <v>4177</v>
      </c>
      <c r="H6169" s="397"/>
      <c r="I6169" s="397"/>
      <c r="J6169" s="750" t="e">
        <f t="shared" si="80"/>
        <v>#DIV/0!</v>
      </c>
      <c r="K6169" s="398"/>
      <c r="L6169" s="398"/>
      <c r="M6169" s="682"/>
      <c r="N6169" s="171"/>
      <c r="O6169" s="171"/>
      <c r="P6169" s="171"/>
      <c r="Q6169" s="171"/>
      <c r="R6169" s="171"/>
      <c r="S6169" s="171"/>
      <c r="T6169" s="171"/>
      <c r="U6169" s="171"/>
      <c r="V6169" s="171"/>
      <c r="W6169" s="171"/>
      <c r="X6169" s="171"/>
      <c r="Y6169" s="171"/>
      <c r="Z6169" s="171"/>
      <c r="AA6169" s="171"/>
    </row>
    <row r="6170" spans="1:27" s="530" customFormat="1" ht="15.75" hidden="1" customHeight="1" x14ac:dyDescent="0.2">
      <c r="A6170" s="526"/>
      <c r="B6170" s="527"/>
      <c r="C6170" s="465"/>
      <c r="D6170" s="464"/>
      <c r="E6170" s="464"/>
      <c r="F6170" s="494">
        <v>416</v>
      </c>
      <c r="G6170" s="495" t="s">
        <v>4178</v>
      </c>
      <c r="H6170" s="397"/>
      <c r="I6170" s="397"/>
      <c r="J6170" s="750" t="e">
        <f t="shared" si="80"/>
        <v>#DIV/0!</v>
      </c>
      <c r="K6170" s="398"/>
      <c r="L6170" s="398"/>
      <c r="M6170" s="682"/>
      <c r="N6170" s="171"/>
      <c r="O6170" s="171"/>
      <c r="P6170" s="171"/>
      <c r="Q6170" s="171"/>
      <c r="R6170" s="171"/>
      <c r="S6170" s="171"/>
      <c r="T6170" s="171"/>
      <c r="U6170" s="171"/>
      <c r="V6170" s="171"/>
      <c r="W6170" s="171"/>
      <c r="X6170" s="171"/>
      <c r="Y6170" s="171"/>
      <c r="Z6170" s="171"/>
      <c r="AA6170" s="171"/>
    </row>
    <row r="6171" spans="1:27" s="530" customFormat="1" ht="15.75" hidden="1" customHeight="1" x14ac:dyDescent="0.2">
      <c r="A6171" s="526"/>
      <c r="B6171" s="527"/>
      <c r="C6171" s="465"/>
      <c r="D6171" s="464"/>
      <c r="E6171" s="464"/>
      <c r="F6171" s="494">
        <v>417</v>
      </c>
      <c r="G6171" s="495" t="s">
        <v>4179</v>
      </c>
      <c r="H6171" s="397"/>
      <c r="I6171" s="397"/>
      <c r="J6171" s="750" t="e">
        <f t="shared" si="80"/>
        <v>#DIV/0!</v>
      </c>
      <c r="K6171" s="398"/>
      <c r="L6171" s="398"/>
      <c r="M6171" s="682"/>
      <c r="N6171" s="171"/>
      <c r="O6171" s="171"/>
      <c r="P6171" s="171"/>
      <c r="Q6171" s="171"/>
      <c r="R6171" s="171"/>
      <c r="S6171" s="171"/>
      <c r="T6171" s="171"/>
      <c r="U6171" s="171"/>
      <c r="V6171" s="171"/>
      <c r="W6171" s="171"/>
      <c r="X6171" s="171"/>
      <c r="Y6171" s="171"/>
      <c r="Z6171" s="171"/>
      <c r="AA6171" s="171"/>
    </row>
    <row r="6172" spans="1:27" s="530" customFormat="1" ht="15.75" hidden="1" customHeight="1" x14ac:dyDescent="0.2">
      <c r="A6172" s="526"/>
      <c r="B6172" s="527"/>
      <c r="C6172" s="465"/>
      <c r="D6172" s="464"/>
      <c r="E6172" s="464"/>
      <c r="F6172" s="494">
        <v>418</v>
      </c>
      <c r="G6172" s="495" t="s">
        <v>3773</v>
      </c>
      <c r="H6172" s="397"/>
      <c r="I6172" s="397"/>
      <c r="J6172" s="750" t="e">
        <f t="shared" si="80"/>
        <v>#DIV/0!</v>
      </c>
      <c r="K6172" s="398"/>
      <c r="L6172" s="398"/>
      <c r="M6172" s="682"/>
      <c r="N6172" s="171"/>
      <c r="O6172" s="171"/>
      <c r="P6172" s="171"/>
      <c r="Q6172" s="171"/>
      <c r="R6172" s="171"/>
      <c r="S6172" s="171"/>
      <c r="T6172" s="171"/>
      <c r="U6172" s="171"/>
      <c r="V6172" s="171"/>
      <c r="W6172" s="171"/>
      <c r="X6172" s="171"/>
      <c r="Y6172" s="171"/>
      <c r="Z6172" s="171"/>
      <c r="AA6172" s="171"/>
    </row>
    <row r="6173" spans="1:27" s="530" customFormat="1" ht="15.75" hidden="1" customHeight="1" x14ac:dyDescent="0.2">
      <c r="A6173" s="526"/>
      <c r="B6173" s="527"/>
      <c r="C6173" s="465"/>
      <c r="D6173" s="464"/>
      <c r="E6173" s="464"/>
      <c r="F6173" s="494">
        <v>421</v>
      </c>
      <c r="G6173" s="495" t="s">
        <v>3777</v>
      </c>
      <c r="H6173" s="397"/>
      <c r="I6173" s="397"/>
      <c r="J6173" s="750" t="e">
        <f t="shared" si="80"/>
        <v>#DIV/0!</v>
      </c>
      <c r="K6173" s="398"/>
      <c r="L6173" s="398"/>
      <c r="M6173" s="682"/>
      <c r="N6173" s="171"/>
      <c r="O6173" s="171"/>
      <c r="P6173" s="171"/>
      <c r="Q6173" s="171"/>
      <c r="R6173" s="171"/>
      <c r="S6173" s="171"/>
      <c r="T6173" s="171"/>
      <c r="U6173" s="171"/>
      <c r="V6173" s="171"/>
      <c r="W6173" s="171"/>
      <c r="X6173" s="171"/>
      <c r="Y6173" s="171"/>
      <c r="Z6173" s="171"/>
      <c r="AA6173" s="171"/>
    </row>
    <row r="6174" spans="1:27" s="530" customFormat="1" ht="15.75" hidden="1" customHeight="1" x14ac:dyDescent="0.2">
      <c r="A6174" s="526"/>
      <c r="B6174" s="527"/>
      <c r="C6174" s="465"/>
      <c r="D6174" s="464"/>
      <c r="E6174" s="464"/>
      <c r="F6174" s="494">
        <v>422</v>
      </c>
      <c r="G6174" s="495" t="s">
        <v>3778</v>
      </c>
      <c r="H6174" s="397"/>
      <c r="I6174" s="397"/>
      <c r="J6174" s="750" t="e">
        <f t="shared" si="80"/>
        <v>#DIV/0!</v>
      </c>
      <c r="K6174" s="398"/>
      <c r="L6174" s="398"/>
      <c r="M6174" s="682"/>
      <c r="N6174" s="171"/>
      <c r="O6174" s="171"/>
      <c r="P6174" s="171"/>
      <c r="Q6174" s="171"/>
      <c r="R6174" s="171"/>
      <c r="S6174" s="171"/>
      <c r="T6174" s="171"/>
      <c r="U6174" s="171"/>
      <c r="V6174" s="171"/>
      <c r="W6174" s="171"/>
      <c r="X6174" s="171"/>
      <c r="Y6174" s="171"/>
      <c r="Z6174" s="171"/>
      <c r="AA6174" s="171"/>
    </row>
    <row r="6175" spans="1:27" s="530" customFormat="1" ht="15.75" hidden="1" customHeight="1" x14ac:dyDescent="0.2">
      <c r="A6175" s="526"/>
      <c r="B6175" s="527"/>
      <c r="C6175" s="465"/>
      <c r="D6175" s="464"/>
      <c r="E6175" s="464"/>
      <c r="F6175" s="494">
        <v>423</v>
      </c>
      <c r="G6175" s="495" t="s">
        <v>3779</v>
      </c>
      <c r="H6175" s="397"/>
      <c r="I6175" s="397"/>
      <c r="J6175" s="750" t="e">
        <f t="shared" si="80"/>
        <v>#DIV/0!</v>
      </c>
      <c r="K6175" s="398"/>
      <c r="L6175" s="398"/>
      <c r="M6175" s="682"/>
      <c r="N6175" s="171"/>
      <c r="O6175" s="171"/>
      <c r="P6175" s="171"/>
      <c r="Q6175" s="171"/>
      <c r="R6175" s="171"/>
      <c r="S6175" s="171"/>
      <c r="T6175" s="171"/>
      <c r="U6175" s="171"/>
      <c r="V6175" s="171"/>
      <c r="W6175" s="171"/>
      <c r="X6175" s="171"/>
      <c r="Y6175" s="171"/>
      <c r="Z6175" s="171"/>
      <c r="AA6175" s="171"/>
    </row>
    <row r="6176" spans="1:27" s="530" customFormat="1" ht="15.75" hidden="1" customHeight="1" x14ac:dyDescent="0.2">
      <c r="A6176" s="526"/>
      <c r="B6176" s="527"/>
      <c r="C6176" s="465"/>
      <c r="D6176" s="464"/>
      <c r="E6176" s="464"/>
      <c r="F6176" s="494">
        <v>424</v>
      </c>
      <c r="G6176" s="495" t="s">
        <v>3781</v>
      </c>
      <c r="H6176" s="397"/>
      <c r="I6176" s="397"/>
      <c r="J6176" s="750" t="e">
        <f t="shared" si="80"/>
        <v>#DIV/0!</v>
      </c>
      <c r="K6176" s="398"/>
      <c r="L6176" s="398"/>
      <c r="M6176" s="682"/>
      <c r="N6176" s="171"/>
      <c r="O6176" s="171"/>
      <c r="P6176" s="171"/>
      <c r="Q6176" s="171"/>
      <c r="R6176" s="171"/>
      <c r="S6176" s="171"/>
      <c r="T6176" s="171"/>
      <c r="U6176" s="171"/>
      <c r="V6176" s="171"/>
      <c r="W6176" s="171"/>
      <c r="X6176" s="171"/>
      <c r="Y6176" s="171"/>
      <c r="Z6176" s="171"/>
      <c r="AA6176" s="171"/>
    </row>
    <row r="6177" spans="1:27" s="530" customFormat="1" ht="15.75" hidden="1" customHeight="1" x14ac:dyDescent="0.2">
      <c r="A6177" s="526"/>
      <c r="B6177" s="527"/>
      <c r="C6177" s="465"/>
      <c r="D6177" s="464"/>
      <c r="E6177" s="464"/>
      <c r="F6177" s="494">
        <v>425</v>
      </c>
      <c r="G6177" s="495" t="s">
        <v>4180</v>
      </c>
      <c r="H6177" s="397"/>
      <c r="I6177" s="397"/>
      <c r="J6177" s="750" t="e">
        <f t="shared" si="80"/>
        <v>#DIV/0!</v>
      </c>
      <c r="K6177" s="398"/>
      <c r="L6177" s="398"/>
      <c r="M6177" s="682"/>
      <c r="N6177" s="171"/>
      <c r="O6177" s="171"/>
      <c r="P6177" s="171"/>
      <c r="Q6177" s="171"/>
      <c r="R6177" s="171"/>
      <c r="S6177" s="171"/>
      <c r="T6177" s="171"/>
      <c r="U6177" s="171"/>
      <c r="V6177" s="171"/>
      <c r="W6177" s="171"/>
      <c r="X6177" s="171"/>
      <c r="Y6177" s="171"/>
      <c r="Z6177" s="171"/>
      <c r="AA6177" s="171"/>
    </row>
    <row r="6178" spans="1:27" s="530" customFormat="1" ht="15.75" hidden="1" customHeight="1" x14ac:dyDescent="0.2">
      <c r="A6178" s="526"/>
      <c r="B6178" s="527"/>
      <c r="C6178" s="465"/>
      <c r="D6178" s="464"/>
      <c r="E6178" s="464"/>
      <c r="F6178" s="494">
        <v>426</v>
      </c>
      <c r="G6178" s="495" t="s">
        <v>3785</v>
      </c>
      <c r="H6178" s="397"/>
      <c r="I6178" s="397"/>
      <c r="J6178" s="750" t="e">
        <f t="shared" si="80"/>
        <v>#DIV/0!</v>
      </c>
      <c r="K6178" s="398"/>
      <c r="L6178" s="398"/>
      <c r="M6178" s="682"/>
      <c r="N6178" s="171"/>
      <c r="O6178" s="171"/>
      <c r="P6178" s="171"/>
      <c r="Q6178" s="171"/>
      <c r="R6178" s="171"/>
      <c r="S6178" s="171"/>
      <c r="T6178" s="171"/>
      <c r="U6178" s="171"/>
      <c r="V6178" s="171"/>
      <c r="W6178" s="171"/>
      <c r="X6178" s="171"/>
      <c r="Y6178" s="171"/>
      <c r="Z6178" s="171"/>
      <c r="AA6178" s="171"/>
    </row>
    <row r="6179" spans="1:27" s="530" customFormat="1" ht="15.75" hidden="1" customHeight="1" x14ac:dyDescent="0.2">
      <c r="A6179" s="526"/>
      <c r="B6179" s="527"/>
      <c r="C6179" s="465"/>
      <c r="D6179" s="464"/>
      <c r="E6179" s="464"/>
      <c r="F6179" s="494">
        <v>431</v>
      </c>
      <c r="G6179" s="495" t="s">
        <v>4181</v>
      </c>
      <c r="H6179" s="397"/>
      <c r="I6179" s="397"/>
      <c r="J6179" s="750" t="e">
        <f t="shared" si="80"/>
        <v>#DIV/0!</v>
      </c>
      <c r="K6179" s="398"/>
      <c r="L6179" s="398"/>
      <c r="M6179" s="682"/>
      <c r="N6179" s="171"/>
      <c r="O6179" s="171"/>
      <c r="P6179" s="171"/>
      <c r="Q6179" s="171"/>
      <c r="R6179" s="171"/>
      <c r="S6179" s="171"/>
      <c r="T6179" s="171"/>
      <c r="U6179" s="171"/>
      <c r="V6179" s="171"/>
      <c r="W6179" s="171"/>
      <c r="X6179" s="171"/>
      <c r="Y6179" s="171"/>
      <c r="Z6179" s="171"/>
      <c r="AA6179" s="171"/>
    </row>
    <row r="6180" spans="1:27" s="530" customFormat="1" ht="15.75" hidden="1" customHeight="1" x14ac:dyDescent="0.2">
      <c r="A6180" s="526"/>
      <c r="B6180" s="527"/>
      <c r="C6180" s="465"/>
      <c r="D6180" s="464"/>
      <c r="E6180" s="464"/>
      <c r="F6180" s="494">
        <v>432</v>
      </c>
      <c r="G6180" s="495" t="s">
        <v>4182</v>
      </c>
      <c r="H6180" s="397"/>
      <c r="I6180" s="397"/>
      <c r="J6180" s="750" t="e">
        <f t="shared" si="80"/>
        <v>#DIV/0!</v>
      </c>
      <c r="K6180" s="398"/>
      <c r="L6180" s="398"/>
      <c r="M6180" s="682"/>
      <c r="N6180" s="171"/>
      <c r="O6180" s="171"/>
      <c r="P6180" s="171"/>
      <c r="Q6180" s="171"/>
      <c r="R6180" s="171"/>
      <c r="S6180" s="171"/>
      <c r="T6180" s="171"/>
      <c r="U6180" s="171"/>
      <c r="V6180" s="171"/>
      <c r="W6180" s="171"/>
      <c r="X6180" s="171"/>
      <c r="Y6180" s="171"/>
      <c r="Z6180" s="171"/>
      <c r="AA6180" s="171"/>
    </row>
    <row r="6181" spans="1:27" s="530" customFormat="1" ht="15.75" hidden="1" customHeight="1" x14ac:dyDescent="0.2">
      <c r="A6181" s="526"/>
      <c r="B6181" s="527"/>
      <c r="C6181" s="465"/>
      <c r="D6181" s="464"/>
      <c r="E6181" s="464"/>
      <c r="F6181" s="494">
        <v>433</v>
      </c>
      <c r="G6181" s="495" t="s">
        <v>4183</v>
      </c>
      <c r="H6181" s="397"/>
      <c r="I6181" s="397"/>
      <c r="J6181" s="750" t="e">
        <f t="shared" si="80"/>
        <v>#DIV/0!</v>
      </c>
      <c r="K6181" s="398"/>
      <c r="L6181" s="398"/>
      <c r="M6181" s="682"/>
      <c r="N6181" s="171"/>
      <c r="O6181" s="171"/>
      <c r="P6181" s="171"/>
      <c r="Q6181" s="171"/>
      <c r="R6181" s="171"/>
      <c r="S6181" s="171"/>
      <c r="T6181" s="171"/>
      <c r="U6181" s="171"/>
      <c r="V6181" s="171"/>
      <c r="W6181" s="171"/>
      <c r="X6181" s="171"/>
      <c r="Y6181" s="171"/>
      <c r="Z6181" s="171"/>
      <c r="AA6181" s="171"/>
    </row>
    <row r="6182" spans="1:27" s="530" customFormat="1" ht="15.75" hidden="1" customHeight="1" x14ac:dyDescent="0.2">
      <c r="A6182" s="526"/>
      <c r="B6182" s="527"/>
      <c r="C6182" s="465"/>
      <c r="D6182" s="464"/>
      <c r="E6182" s="464"/>
      <c r="F6182" s="494">
        <v>434</v>
      </c>
      <c r="G6182" s="495" t="s">
        <v>4184</v>
      </c>
      <c r="H6182" s="397"/>
      <c r="I6182" s="397"/>
      <c r="J6182" s="750" t="e">
        <f t="shared" si="80"/>
        <v>#DIV/0!</v>
      </c>
      <c r="K6182" s="398"/>
      <c r="L6182" s="398"/>
      <c r="M6182" s="682"/>
      <c r="N6182" s="171"/>
      <c r="O6182" s="171"/>
      <c r="P6182" s="171"/>
      <c r="Q6182" s="171"/>
      <c r="R6182" s="171"/>
      <c r="S6182" s="171"/>
      <c r="T6182" s="171"/>
      <c r="U6182" s="171"/>
      <c r="V6182" s="171"/>
      <c r="W6182" s="171"/>
      <c r="X6182" s="171"/>
      <c r="Y6182" s="171"/>
      <c r="Z6182" s="171"/>
      <c r="AA6182" s="171"/>
    </row>
    <row r="6183" spans="1:27" s="530" customFormat="1" ht="15.75" hidden="1" customHeight="1" x14ac:dyDescent="0.2">
      <c r="A6183" s="526"/>
      <c r="B6183" s="527"/>
      <c r="C6183" s="465"/>
      <c r="D6183" s="464"/>
      <c r="E6183" s="464"/>
      <c r="F6183" s="494">
        <v>435</v>
      </c>
      <c r="G6183" s="495" t="s">
        <v>3792</v>
      </c>
      <c r="H6183" s="397"/>
      <c r="I6183" s="397"/>
      <c r="J6183" s="750" t="e">
        <f t="shared" si="80"/>
        <v>#DIV/0!</v>
      </c>
      <c r="K6183" s="398"/>
      <c r="L6183" s="398"/>
      <c r="M6183" s="682"/>
      <c r="N6183" s="171"/>
      <c r="O6183" s="171"/>
      <c r="P6183" s="171"/>
      <c r="Q6183" s="171"/>
      <c r="R6183" s="171"/>
      <c r="S6183" s="171"/>
      <c r="T6183" s="171"/>
      <c r="U6183" s="171"/>
      <c r="V6183" s="171"/>
      <c r="W6183" s="171"/>
      <c r="X6183" s="171"/>
      <c r="Y6183" s="171"/>
      <c r="Z6183" s="171"/>
      <c r="AA6183" s="171"/>
    </row>
    <row r="6184" spans="1:27" s="530" customFormat="1" ht="15.75" hidden="1" customHeight="1" x14ac:dyDescent="0.2">
      <c r="A6184" s="526"/>
      <c r="B6184" s="527"/>
      <c r="C6184" s="465"/>
      <c r="D6184" s="464"/>
      <c r="E6184" s="464"/>
      <c r="F6184" s="494">
        <v>441</v>
      </c>
      <c r="G6184" s="495" t="s">
        <v>4185</v>
      </c>
      <c r="H6184" s="397"/>
      <c r="I6184" s="397"/>
      <c r="J6184" s="750" t="e">
        <f t="shared" si="80"/>
        <v>#DIV/0!</v>
      </c>
      <c r="K6184" s="398"/>
      <c r="L6184" s="398"/>
      <c r="M6184" s="682"/>
      <c r="N6184" s="171"/>
      <c r="O6184" s="171"/>
      <c r="P6184" s="171"/>
      <c r="Q6184" s="171"/>
      <c r="R6184" s="171"/>
      <c r="S6184" s="171"/>
      <c r="T6184" s="171"/>
      <c r="U6184" s="171"/>
      <c r="V6184" s="171"/>
      <c r="W6184" s="171"/>
      <c r="X6184" s="171"/>
      <c r="Y6184" s="171"/>
      <c r="Z6184" s="171"/>
      <c r="AA6184" s="171"/>
    </row>
    <row r="6185" spans="1:27" s="530" customFormat="1" ht="15.75" hidden="1" customHeight="1" x14ac:dyDescent="0.2">
      <c r="A6185" s="526"/>
      <c r="B6185" s="527"/>
      <c r="C6185" s="465"/>
      <c r="D6185" s="464"/>
      <c r="E6185" s="464"/>
      <c r="F6185" s="494">
        <v>442</v>
      </c>
      <c r="G6185" s="495" t="s">
        <v>4186</v>
      </c>
      <c r="H6185" s="397"/>
      <c r="I6185" s="397"/>
      <c r="J6185" s="750" t="e">
        <f t="shared" si="80"/>
        <v>#DIV/0!</v>
      </c>
      <c r="K6185" s="398"/>
      <c r="L6185" s="398"/>
      <c r="M6185" s="682"/>
      <c r="N6185" s="171"/>
      <c r="O6185" s="171"/>
      <c r="P6185" s="171"/>
      <c r="Q6185" s="171"/>
      <c r="R6185" s="171"/>
      <c r="S6185" s="171"/>
      <c r="T6185" s="171"/>
      <c r="U6185" s="171"/>
      <c r="V6185" s="171"/>
      <c r="W6185" s="171"/>
      <c r="X6185" s="171"/>
      <c r="Y6185" s="171"/>
      <c r="Z6185" s="171"/>
      <c r="AA6185" s="171"/>
    </row>
    <row r="6186" spans="1:27" s="530" customFormat="1" ht="15.75" hidden="1" customHeight="1" x14ac:dyDescent="0.2">
      <c r="A6186" s="526"/>
      <c r="B6186" s="527"/>
      <c r="C6186" s="465"/>
      <c r="D6186" s="464"/>
      <c r="E6186" s="464"/>
      <c r="F6186" s="494">
        <v>443</v>
      </c>
      <c r="G6186" s="495" t="s">
        <v>3797</v>
      </c>
      <c r="H6186" s="397"/>
      <c r="I6186" s="397"/>
      <c r="J6186" s="750" t="e">
        <f t="shared" si="80"/>
        <v>#DIV/0!</v>
      </c>
      <c r="K6186" s="398"/>
      <c r="L6186" s="398"/>
      <c r="M6186" s="682"/>
      <c r="N6186" s="171"/>
      <c r="O6186" s="171"/>
      <c r="P6186" s="171"/>
      <c r="Q6186" s="171"/>
      <c r="R6186" s="171"/>
      <c r="S6186" s="171"/>
      <c r="T6186" s="171"/>
      <c r="U6186" s="171"/>
      <c r="V6186" s="171"/>
      <c r="W6186" s="171"/>
      <c r="X6186" s="171"/>
      <c r="Y6186" s="171"/>
      <c r="Z6186" s="171"/>
      <c r="AA6186" s="171"/>
    </row>
    <row r="6187" spans="1:27" s="530" customFormat="1" ht="15.75" hidden="1" customHeight="1" x14ac:dyDescent="0.2">
      <c r="A6187" s="526"/>
      <c r="B6187" s="527"/>
      <c r="C6187" s="465"/>
      <c r="D6187" s="464"/>
      <c r="E6187" s="464"/>
      <c r="F6187" s="494">
        <v>444</v>
      </c>
      <c r="G6187" s="495" t="s">
        <v>3798</v>
      </c>
      <c r="H6187" s="397"/>
      <c r="I6187" s="397"/>
      <c r="J6187" s="750" t="e">
        <f t="shared" si="80"/>
        <v>#DIV/0!</v>
      </c>
      <c r="K6187" s="398"/>
      <c r="L6187" s="398"/>
      <c r="M6187" s="682"/>
      <c r="N6187" s="171"/>
      <c r="O6187" s="171"/>
      <c r="P6187" s="171"/>
      <c r="Q6187" s="171"/>
      <c r="R6187" s="171"/>
      <c r="S6187" s="171"/>
      <c r="T6187" s="171"/>
      <c r="U6187" s="171"/>
      <c r="V6187" s="171"/>
      <c r="W6187" s="171"/>
      <c r="X6187" s="171"/>
      <c r="Y6187" s="171"/>
      <c r="Z6187" s="171"/>
      <c r="AA6187" s="171"/>
    </row>
    <row r="6188" spans="1:27" s="530" customFormat="1" ht="15.75" hidden="1" customHeight="1" x14ac:dyDescent="0.2">
      <c r="A6188" s="526"/>
      <c r="B6188" s="527"/>
      <c r="C6188" s="465"/>
      <c r="D6188" s="464"/>
      <c r="E6188" s="464"/>
      <c r="F6188" s="494">
        <v>4511</v>
      </c>
      <c r="G6188" s="466" t="s">
        <v>1692</v>
      </c>
      <c r="H6188" s="397"/>
      <c r="I6188" s="397"/>
      <c r="J6188" s="750" t="e">
        <f t="shared" si="80"/>
        <v>#DIV/0!</v>
      </c>
      <c r="K6188" s="398"/>
      <c r="L6188" s="398"/>
      <c r="M6188" s="682"/>
      <c r="N6188" s="171"/>
      <c r="O6188" s="171"/>
      <c r="P6188" s="171"/>
      <c r="Q6188" s="171"/>
      <c r="R6188" s="171"/>
      <c r="S6188" s="171"/>
      <c r="T6188" s="171"/>
      <c r="U6188" s="171"/>
      <c r="V6188" s="171"/>
      <c r="W6188" s="171"/>
      <c r="X6188" s="171"/>
      <c r="Y6188" s="171"/>
      <c r="Z6188" s="171"/>
      <c r="AA6188" s="171"/>
    </row>
    <row r="6189" spans="1:27" s="530" customFormat="1" ht="15.75" hidden="1" customHeight="1" x14ac:dyDescent="0.2">
      <c r="A6189" s="526"/>
      <c r="B6189" s="527"/>
      <c r="C6189" s="465"/>
      <c r="D6189" s="464"/>
      <c r="E6189" s="464"/>
      <c r="F6189" s="494">
        <v>4512</v>
      </c>
      <c r="G6189" s="466" t="s">
        <v>1701</v>
      </c>
      <c r="H6189" s="397"/>
      <c r="I6189" s="397"/>
      <c r="J6189" s="750" t="e">
        <f t="shared" si="80"/>
        <v>#DIV/0!</v>
      </c>
      <c r="K6189" s="398"/>
      <c r="L6189" s="398"/>
      <c r="M6189" s="682"/>
      <c r="N6189" s="171"/>
      <c r="O6189" s="171"/>
      <c r="P6189" s="171"/>
      <c r="Q6189" s="171"/>
      <c r="R6189" s="171"/>
      <c r="S6189" s="171"/>
      <c r="T6189" s="171"/>
      <c r="U6189" s="171"/>
      <c r="V6189" s="171"/>
      <c r="W6189" s="171"/>
      <c r="X6189" s="171"/>
      <c r="Y6189" s="171"/>
      <c r="Z6189" s="171"/>
      <c r="AA6189" s="171"/>
    </row>
    <row r="6190" spans="1:27" s="530" customFormat="1" ht="15.75" hidden="1" customHeight="1" x14ac:dyDescent="0.2">
      <c r="A6190" s="526"/>
      <c r="B6190" s="527"/>
      <c r="C6190" s="465"/>
      <c r="D6190" s="464"/>
      <c r="E6190" s="464"/>
      <c r="F6190" s="494">
        <v>452</v>
      </c>
      <c r="G6190" s="495" t="s">
        <v>4187</v>
      </c>
      <c r="H6190" s="397"/>
      <c r="I6190" s="397"/>
      <c r="J6190" s="750" t="e">
        <f t="shared" si="80"/>
        <v>#DIV/0!</v>
      </c>
      <c r="K6190" s="398"/>
      <c r="L6190" s="398"/>
      <c r="M6190" s="682"/>
      <c r="N6190" s="171"/>
      <c r="O6190" s="171"/>
      <c r="P6190" s="171"/>
      <c r="Q6190" s="171"/>
      <c r="R6190" s="171"/>
      <c r="S6190" s="171"/>
      <c r="T6190" s="171"/>
      <c r="U6190" s="171"/>
      <c r="V6190" s="171"/>
      <c r="W6190" s="171"/>
      <c r="X6190" s="171"/>
      <c r="Y6190" s="171"/>
      <c r="Z6190" s="171"/>
      <c r="AA6190" s="171"/>
    </row>
    <row r="6191" spans="1:27" s="530" customFormat="1" ht="15.75" hidden="1" customHeight="1" x14ac:dyDescent="0.2">
      <c r="A6191" s="526"/>
      <c r="B6191" s="527"/>
      <c r="C6191" s="465"/>
      <c r="D6191" s="464"/>
      <c r="E6191" s="464"/>
      <c r="F6191" s="494">
        <v>453</v>
      </c>
      <c r="G6191" s="495" t="s">
        <v>4188</v>
      </c>
      <c r="H6191" s="397"/>
      <c r="I6191" s="397"/>
      <c r="J6191" s="750" t="e">
        <f t="shared" si="80"/>
        <v>#DIV/0!</v>
      </c>
      <c r="K6191" s="398"/>
      <c r="L6191" s="398"/>
      <c r="M6191" s="682"/>
      <c r="N6191" s="171"/>
      <c r="O6191" s="171"/>
      <c r="P6191" s="171"/>
      <c r="Q6191" s="171"/>
      <c r="R6191" s="171"/>
      <c r="S6191" s="171"/>
      <c r="T6191" s="171"/>
      <c r="U6191" s="171"/>
      <c r="V6191" s="171"/>
      <c r="W6191" s="171"/>
      <c r="X6191" s="171"/>
      <c r="Y6191" s="171"/>
      <c r="Z6191" s="171"/>
      <c r="AA6191" s="171"/>
    </row>
    <row r="6192" spans="1:27" s="530" customFormat="1" ht="15.75" hidden="1" customHeight="1" x14ac:dyDescent="0.2">
      <c r="A6192" s="526"/>
      <c r="B6192" s="527"/>
      <c r="C6192" s="465"/>
      <c r="D6192" s="464"/>
      <c r="E6192" s="464"/>
      <c r="F6192" s="494">
        <v>454</v>
      </c>
      <c r="G6192" s="495" t="s">
        <v>3803</v>
      </c>
      <c r="H6192" s="397"/>
      <c r="I6192" s="397"/>
      <c r="J6192" s="750" t="e">
        <f t="shared" si="80"/>
        <v>#DIV/0!</v>
      </c>
      <c r="K6192" s="398"/>
      <c r="L6192" s="398"/>
      <c r="M6192" s="682"/>
      <c r="N6192" s="171"/>
      <c r="O6192" s="171"/>
      <c r="P6192" s="171"/>
      <c r="Q6192" s="171"/>
      <c r="R6192" s="171"/>
      <c r="S6192" s="171"/>
      <c r="T6192" s="171"/>
      <c r="U6192" s="171"/>
      <c r="V6192" s="171"/>
      <c r="W6192" s="171"/>
      <c r="X6192" s="171"/>
      <c r="Y6192" s="171"/>
      <c r="Z6192" s="171"/>
      <c r="AA6192" s="171"/>
    </row>
    <row r="6193" spans="1:27" s="530" customFormat="1" ht="15.75" hidden="1" customHeight="1" x14ac:dyDescent="0.2">
      <c r="A6193" s="526"/>
      <c r="B6193" s="527"/>
      <c r="C6193" s="465"/>
      <c r="D6193" s="464"/>
      <c r="E6193" s="464"/>
      <c r="F6193" s="494">
        <v>461</v>
      </c>
      <c r="G6193" s="495" t="s">
        <v>4169</v>
      </c>
      <c r="H6193" s="397"/>
      <c r="I6193" s="397"/>
      <c r="J6193" s="750" t="e">
        <f t="shared" si="80"/>
        <v>#DIV/0!</v>
      </c>
      <c r="K6193" s="398"/>
      <c r="L6193" s="398"/>
      <c r="M6193" s="682"/>
      <c r="N6193" s="171"/>
      <c r="O6193" s="171"/>
      <c r="P6193" s="171"/>
      <c r="Q6193" s="171"/>
      <c r="R6193" s="171"/>
      <c r="S6193" s="171"/>
      <c r="T6193" s="171"/>
      <c r="U6193" s="171"/>
      <c r="V6193" s="171"/>
      <c r="W6193" s="171"/>
      <c r="X6193" s="171"/>
      <c r="Y6193" s="171"/>
      <c r="Z6193" s="171"/>
      <c r="AA6193" s="171"/>
    </row>
    <row r="6194" spans="1:27" s="530" customFormat="1" ht="15.75" hidden="1" customHeight="1" x14ac:dyDescent="0.2">
      <c r="A6194" s="526"/>
      <c r="B6194" s="527"/>
      <c r="C6194" s="465"/>
      <c r="D6194" s="464"/>
      <c r="E6194" s="464"/>
      <c r="F6194" s="494">
        <v>462</v>
      </c>
      <c r="G6194" s="495" t="s">
        <v>3806</v>
      </c>
      <c r="H6194" s="397"/>
      <c r="I6194" s="397"/>
      <c r="J6194" s="750" t="e">
        <f t="shared" si="80"/>
        <v>#DIV/0!</v>
      </c>
      <c r="K6194" s="398"/>
      <c r="L6194" s="398"/>
      <c r="M6194" s="682"/>
      <c r="N6194" s="171"/>
      <c r="O6194" s="171"/>
      <c r="P6194" s="171"/>
      <c r="Q6194" s="171"/>
      <c r="R6194" s="171"/>
      <c r="S6194" s="171"/>
      <c r="T6194" s="171"/>
      <c r="U6194" s="171"/>
      <c r="V6194" s="171"/>
      <c r="W6194" s="171"/>
      <c r="X6194" s="171"/>
      <c r="Y6194" s="171"/>
      <c r="Z6194" s="171"/>
      <c r="AA6194" s="171"/>
    </row>
    <row r="6195" spans="1:27" s="530" customFormat="1" ht="15.75" hidden="1" customHeight="1" x14ac:dyDescent="0.2">
      <c r="A6195" s="526"/>
      <c r="B6195" s="527"/>
      <c r="C6195" s="465"/>
      <c r="D6195" s="464"/>
      <c r="E6195" s="464"/>
      <c r="F6195" s="494">
        <v>4631</v>
      </c>
      <c r="G6195" s="495" t="s">
        <v>3807</v>
      </c>
      <c r="H6195" s="397"/>
      <c r="I6195" s="397"/>
      <c r="J6195" s="750" t="e">
        <f t="shared" si="80"/>
        <v>#DIV/0!</v>
      </c>
      <c r="K6195" s="398"/>
      <c r="L6195" s="398"/>
      <c r="M6195" s="682"/>
      <c r="N6195" s="171"/>
      <c r="O6195" s="171"/>
      <c r="P6195" s="171"/>
      <c r="Q6195" s="171"/>
      <c r="R6195" s="171"/>
      <c r="S6195" s="171"/>
      <c r="T6195" s="171"/>
      <c r="U6195" s="171"/>
      <c r="V6195" s="171"/>
      <c r="W6195" s="171"/>
      <c r="X6195" s="171"/>
      <c r="Y6195" s="171"/>
      <c r="Z6195" s="171"/>
      <c r="AA6195" s="171"/>
    </row>
    <row r="6196" spans="1:27" s="530" customFormat="1" ht="15.75" hidden="1" customHeight="1" x14ac:dyDescent="0.2">
      <c r="A6196" s="526"/>
      <c r="B6196" s="527"/>
      <c r="C6196" s="465"/>
      <c r="D6196" s="464"/>
      <c r="E6196" s="464"/>
      <c r="F6196" s="494">
        <v>4632</v>
      </c>
      <c r="G6196" s="495" t="s">
        <v>3808</v>
      </c>
      <c r="H6196" s="397"/>
      <c r="I6196" s="397"/>
      <c r="J6196" s="750" t="e">
        <f t="shared" si="80"/>
        <v>#DIV/0!</v>
      </c>
      <c r="K6196" s="398"/>
      <c r="L6196" s="398"/>
      <c r="M6196" s="682"/>
      <c r="N6196" s="171"/>
      <c r="O6196" s="171"/>
      <c r="P6196" s="171"/>
      <c r="Q6196" s="171"/>
      <c r="R6196" s="171"/>
      <c r="S6196" s="171"/>
      <c r="T6196" s="171"/>
      <c r="U6196" s="171"/>
      <c r="V6196" s="171"/>
      <c r="W6196" s="171"/>
      <c r="X6196" s="171"/>
      <c r="Y6196" s="171"/>
      <c r="Z6196" s="171"/>
      <c r="AA6196" s="171"/>
    </row>
    <row r="6197" spans="1:27" s="530" customFormat="1" ht="15.75" hidden="1" customHeight="1" x14ac:dyDescent="0.2">
      <c r="A6197" s="526"/>
      <c r="B6197" s="527"/>
      <c r="C6197" s="465"/>
      <c r="D6197" s="464"/>
      <c r="E6197" s="464"/>
      <c r="F6197" s="494">
        <v>464</v>
      </c>
      <c r="G6197" s="495" t="s">
        <v>3809</v>
      </c>
      <c r="H6197" s="397"/>
      <c r="I6197" s="397"/>
      <c r="J6197" s="750" t="e">
        <f t="shared" si="80"/>
        <v>#DIV/0!</v>
      </c>
      <c r="K6197" s="398"/>
      <c r="L6197" s="398"/>
      <c r="M6197" s="682"/>
      <c r="N6197" s="171"/>
      <c r="O6197" s="171"/>
      <c r="P6197" s="171"/>
      <c r="Q6197" s="171"/>
      <c r="R6197" s="171"/>
      <c r="S6197" s="171"/>
      <c r="T6197" s="171"/>
      <c r="U6197" s="171"/>
      <c r="V6197" s="171"/>
      <c r="W6197" s="171"/>
      <c r="X6197" s="171"/>
      <c r="Y6197" s="171"/>
      <c r="Z6197" s="171"/>
      <c r="AA6197" s="171"/>
    </row>
    <row r="6198" spans="1:27" s="530" customFormat="1" ht="15.75" hidden="1" customHeight="1" x14ac:dyDescent="0.2">
      <c r="A6198" s="526"/>
      <c r="B6198" s="527"/>
      <c r="C6198" s="465"/>
      <c r="D6198" s="464"/>
      <c r="E6198" s="464"/>
      <c r="F6198" s="494">
        <v>465</v>
      </c>
      <c r="G6198" s="495" t="s">
        <v>4170</v>
      </c>
      <c r="H6198" s="397"/>
      <c r="I6198" s="397"/>
      <c r="J6198" s="750" t="e">
        <f t="shared" si="80"/>
        <v>#DIV/0!</v>
      </c>
      <c r="K6198" s="398"/>
      <c r="L6198" s="398"/>
      <c r="M6198" s="682"/>
      <c r="N6198" s="171"/>
      <c r="O6198" s="171"/>
      <c r="P6198" s="171"/>
      <c r="Q6198" s="171"/>
      <c r="R6198" s="171"/>
      <c r="S6198" s="171"/>
      <c r="T6198" s="171"/>
      <c r="U6198" s="171"/>
      <c r="V6198" s="171"/>
      <c r="W6198" s="171"/>
      <c r="X6198" s="171"/>
      <c r="Y6198" s="171"/>
      <c r="Z6198" s="171"/>
      <c r="AA6198" s="171"/>
    </row>
    <row r="6199" spans="1:27" s="530" customFormat="1" ht="15.75" hidden="1" customHeight="1" x14ac:dyDescent="0.2">
      <c r="A6199" s="526"/>
      <c r="B6199" s="527"/>
      <c r="C6199" s="465"/>
      <c r="D6199" s="464"/>
      <c r="E6199" s="464"/>
      <c r="F6199" s="494">
        <v>472</v>
      </c>
      <c r="G6199" s="495" t="s">
        <v>3813</v>
      </c>
      <c r="H6199" s="397"/>
      <c r="I6199" s="397"/>
      <c r="J6199" s="750" t="e">
        <f t="shared" si="80"/>
        <v>#DIV/0!</v>
      </c>
      <c r="K6199" s="398"/>
      <c r="L6199" s="398"/>
      <c r="M6199" s="682"/>
      <c r="N6199" s="171"/>
      <c r="O6199" s="171"/>
      <c r="P6199" s="171"/>
      <c r="Q6199" s="171"/>
      <c r="R6199" s="171"/>
      <c r="S6199" s="171"/>
      <c r="T6199" s="171"/>
      <c r="U6199" s="171"/>
      <c r="V6199" s="171"/>
      <c r="W6199" s="171"/>
      <c r="X6199" s="171"/>
      <c r="Y6199" s="171"/>
      <c r="Z6199" s="171"/>
      <c r="AA6199" s="171"/>
    </row>
    <row r="6200" spans="1:27" s="530" customFormat="1" ht="15.75" hidden="1" customHeight="1" x14ac:dyDescent="0.2">
      <c r="A6200" s="526"/>
      <c r="B6200" s="527"/>
      <c r="C6200" s="465"/>
      <c r="D6200" s="464"/>
      <c r="E6200" s="464"/>
      <c r="F6200" s="494">
        <v>481</v>
      </c>
      <c r="G6200" s="495" t="s">
        <v>4189</v>
      </c>
      <c r="H6200" s="397"/>
      <c r="I6200" s="397"/>
      <c r="J6200" s="750" t="e">
        <f t="shared" si="80"/>
        <v>#DIV/0!</v>
      </c>
      <c r="K6200" s="398"/>
      <c r="L6200" s="398"/>
      <c r="M6200" s="682"/>
      <c r="N6200" s="171"/>
      <c r="O6200" s="171"/>
      <c r="P6200" s="171"/>
      <c r="Q6200" s="171"/>
      <c r="R6200" s="171"/>
      <c r="S6200" s="171"/>
      <c r="T6200" s="171"/>
      <c r="U6200" s="171"/>
      <c r="V6200" s="171"/>
      <c r="W6200" s="171"/>
      <c r="X6200" s="171"/>
      <c r="Y6200" s="171"/>
      <c r="Z6200" s="171"/>
      <c r="AA6200" s="171"/>
    </row>
    <row r="6201" spans="1:27" s="530" customFormat="1" ht="15.75" hidden="1" customHeight="1" x14ac:dyDescent="0.2">
      <c r="A6201" s="526"/>
      <c r="B6201" s="527"/>
      <c r="C6201" s="465"/>
      <c r="D6201" s="464"/>
      <c r="E6201" s="464"/>
      <c r="F6201" s="494">
        <v>482</v>
      </c>
      <c r="G6201" s="495" t="s">
        <v>4190</v>
      </c>
      <c r="H6201" s="397"/>
      <c r="I6201" s="397"/>
      <c r="J6201" s="750" t="e">
        <f t="shared" si="80"/>
        <v>#DIV/0!</v>
      </c>
      <c r="K6201" s="398"/>
      <c r="L6201" s="398"/>
      <c r="M6201" s="682"/>
      <c r="N6201" s="171"/>
      <c r="O6201" s="171"/>
      <c r="P6201" s="171"/>
      <c r="Q6201" s="171"/>
      <c r="R6201" s="171"/>
      <c r="S6201" s="171"/>
      <c r="T6201" s="171"/>
      <c r="U6201" s="171"/>
      <c r="V6201" s="171"/>
      <c r="W6201" s="171"/>
      <c r="X6201" s="171"/>
      <c r="Y6201" s="171"/>
      <c r="Z6201" s="171"/>
      <c r="AA6201" s="171"/>
    </row>
    <row r="6202" spans="1:27" s="530" customFormat="1" ht="15.75" hidden="1" customHeight="1" x14ac:dyDescent="0.2">
      <c r="A6202" s="526"/>
      <c r="B6202" s="527"/>
      <c r="C6202" s="465"/>
      <c r="D6202" s="464"/>
      <c r="E6202" s="464"/>
      <c r="F6202" s="494">
        <v>483</v>
      </c>
      <c r="G6202" s="497" t="s">
        <v>4191</v>
      </c>
      <c r="H6202" s="397"/>
      <c r="I6202" s="397"/>
      <c r="J6202" s="750" t="e">
        <f t="shared" si="80"/>
        <v>#DIV/0!</v>
      </c>
      <c r="K6202" s="398"/>
      <c r="L6202" s="398"/>
      <c r="M6202" s="682"/>
      <c r="N6202" s="171"/>
      <c r="O6202" s="171"/>
      <c r="P6202" s="171"/>
      <c r="Q6202" s="171"/>
      <c r="R6202" s="171"/>
      <c r="S6202" s="171"/>
      <c r="T6202" s="171"/>
      <c r="U6202" s="171"/>
      <c r="V6202" s="171"/>
      <c r="W6202" s="171"/>
      <c r="X6202" s="171"/>
      <c r="Y6202" s="171"/>
      <c r="Z6202" s="171"/>
      <c r="AA6202" s="171"/>
    </row>
    <row r="6203" spans="1:27" s="530" customFormat="1" ht="15.75" hidden="1" customHeight="1" x14ac:dyDescent="0.2">
      <c r="A6203" s="526"/>
      <c r="B6203" s="527"/>
      <c r="C6203" s="465"/>
      <c r="D6203" s="464"/>
      <c r="E6203" s="464"/>
      <c r="F6203" s="494">
        <v>484</v>
      </c>
      <c r="G6203" s="495" t="s">
        <v>4192</v>
      </c>
      <c r="H6203" s="397"/>
      <c r="I6203" s="397"/>
      <c r="J6203" s="750" t="e">
        <f t="shared" si="80"/>
        <v>#DIV/0!</v>
      </c>
      <c r="K6203" s="398"/>
      <c r="L6203" s="398"/>
      <c r="M6203" s="682"/>
      <c r="N6203" s="171"/>
      <c r="O6203" s="171"/>
      <c r="P6203" s="171"/>
      <c r="Q6203" s="171"/>
      <c r="R6203" s="171"/>
      <c r="S6203" s="171"/>
      <c r="T6203" s="171"/>
      <c r="U6203" s="171"/>
      <c r="V6203" s="171"/>
      <c r="W6203" s="171"/>
      <c r="X6203" s="171"/>
      <c r="Y6203" s="171"/>
      <c r="Z6203" s="171"/>
      <c r="AA6203" s="171"/>
    </row>
    <row r="6204" spans="1:27" s="530" customFormat="1" ht="15.75" hidden="1" customHeight="1" x14ac:dyDescent="0.2">
      <c r="A6204" s="526"/>
      <c r="B6204" s="527"/>
      <c r="C6204" s="465"/>
      <c r="D6204" s="464"/>
      <c r="E6204" s="464"/>
      <c r="F6204" s="494">
        <v>485</v>
      </c>
      <c r="G6204" s="495" t="s">
        <v>4193</v>
      </c>
      <c r="H6204" s="397"/>
      <c r="I6204" s="397"/>
      <c r="J6204" s="750" t="e">
        <f t="shared" si="80"/>
        <v>#DIV/0!</v>
      </c>
      <c r="K6204" s="398"/>
      <c r="L6204" s="398"/>
      <c r="M6204" s="682"/>
      <c r="N6204" s="171"/>
      <c r="O6204" s="171"/>
      <c r="P6204" s="171"/>
      <c r="Q6204" s="171"/>
      <c r="R6204" s="171"/>
      <c r="S6204" s="171"/>
      <c r="T6204" s="171"/>
      <c r="U6204" s="171"/>
      <c r="V6204" s="171"/>
      <c r="W6204" s="171"/>
      <c r="X6204" s="171"/>
      <c r="Y6204" s="171"/>
      <c r="Z6204" s="171"/>
      <c r="AA6204" s="171"/>
    </row>
    <row r="6205" spans="1:27" s="530" customFormat="1" ht="15.75" hidden="1" customHeight="1" x14ac:dyDescent="0.2">
      <c r="A6205" s="526"/>
      <c r="B6205" s="527"/>
      <c r="C6205" s="465"/>
      <c r="D6205" s="464"/>
      <c r="E6205" s="464"/>
      <c r="F6205" s="494">
        <v>489</v>
      </c>
      <c r="G6205" s="495" t="s">
        <v>3821</v>
      </c>
      <c r="H6205" s="397"/>
      <c r="I6205" s="397"/>
      <c r="J6205" s="750" t="e">
        <f t="shared" si="80"/>
        <v>#DIV/0!</v>
      </c>
      <c r="K6205" s="398"/>
      <c r="L6205" s="398"/>
      <c r="M6205" s="682"/>
      <c r="N6205" s="171"/>
      <c r="O6205" s="171"/>
      <c r="P6205" s="171"/>
      <c r="Q6205" s="171"/>
      <c r="R6205" s="171"/>
      <c r="S6205" s="171"/>
      <c r="T6205" s="171"/>
      <c r="U6205" s="171"/>
      <c r="V6205" s="171"/>
      <c r="W6205" s="171"/>
      <c r="X6205" s="171"/>
      <c r="Y6205" s="171"/>
      <c r="Z6205" s="171"/>
      <c r="AA6205" s="171"/>
    </row>
    <row r="6206" spans="1:27" s="530" customFormat="1" ht="15.75" hidden="1" customHeight="1" x14ac:dyDescent="0.2">
      <c r="A6206" s="526"/>
      <c r="B6206" s="527"/>
      <c r="C6206" s="465"/>
      <c r="D6206" s="464"/>
      <c r="E6206" s="464"/>
      <c r="F6206" s="494">
        <v>494</v>
      </c>
      <c r="G6206" s="495" t="s">
        <v>4171</v>
      </c>
      <c r="H6206" s="397"/>
      <c r="I6206" s="397"/>
      <c r="J6206" s="750" t="e">
        <f t="shared" si="80"/>
        <v>#DIV/0!</v>
      </c>
      <c r="K6206" s="398"/>
      <c r="L6206" s="398"/>
      <c r="M6206" s="682"/>
      <c r="N6206" s="171"/>
      <c r="O6206" s="171"/>
      <c r="P6206" s="171"/>
      <c r="Q6206" s="171"/>
      <c r="R6206" s="171"/>
      <c r="S6206" s="171"/>
      <c r="T6206" s="171"/>
      <c r="U6206" s="171"/>
      <c r="V6206" s="171"/>
      <c r="W6206" s="171"/>
      <c r="X6206" s="171"/>
      <c r="Y6206" s="171"/>
      <c r="Z6206" s="171"/>
      <c r="AA6206" s="171"/>
    </row>
    <row r="6207" spans="1:27" s="530" customFormat="1" ht="15.75" hidden="1" customHeight="1" x14ac:dyDescent="0.2">
      <c r="A6207" s="526"/>
      <c r="B6207" s="527"/>
      <c r="C6207" s="465"/>
      <c r="D6207" s="464"/>
      <c r="E6207" s="464"/>
      <c r="F6207" s="494">
        <v>495</v>
      </c>
      <c r="G6207" s="495" t="s">
        <v>4172</v>
      </c>
      <c r="H6207" s="397"/>
      <c r="I6207" s="397"/>
      <c r="J6207" s="750" t="e">
        <f t="shared" si="80"/>
        <v>#DIV/0!</v>
      </c>
      <c r="K6207" s="398"/>
      <c r="L6207" s="398"/>
      <c r="M6207" s="682"/>
      <c r="N6207" s="171"/>
      <c r="O6207" s="171"/>
      <c r="P6207" s="171"/>
      <c r="Q6207" s="171"/>
      <c r="R6207" s="171"/>
      <c r="S6207" s="171"/>
      <c r="T6207" s="171"/>
      <c r="U6207" s="171"/>
      <c r="V6207" s="171"/>
      <c r="W6207" s="171"/>
      <c r="X6207" s="171"/>
      <c r="Y6207" s="171"/>
      <c r="Z6207" s="171"/>
      <c r="AA6207" s="171"/>
    </row>
    <row r="6208" spans="1:27" s="530" customFormat="1" ht="15.75" hidden="1" customHeight="1" x14ac:dyDescent="0.2">
      <c r="A6208" s="526"/>
      <c r="B6208" s="527"/>
      <c r="C6208" s="465"/>
      <c r="D6208" s="464"/>
      <c r="E6208" s="464"/>
      <c r="F6208" s="494">
        <v>496</v>
      </c>
      <c r="G6208" s="495" t="s">
        <v>4173</v>
      </c>
      <c r="H6208" s="397"/>
      <c r="I6208" s="397"/>
      <c r="J6208" s="750" t="e">
        <f t="shared" si="80"/>
        <v>#DIV/0!</v>
      </c>
      <c r="K6208" s="398"/>
      <c r="L6208" s="398"/>
      <c r="M6208" s="682"/>
      <c r="N6208" s="171"/>
      <c r="O6208" s="171"/>
      <c r="P6208" s="171"/>
      <c r="Q6208" s="171"/>
      <c r="R6208" s="171"/>
      <c r="S6208" s="171"/>
      <c r="T6208" s="171"/>
      <c r="U6208" s="171"/>
      <c r="V6208" s="171"/>
      <c r="W6208" s="171"/>
      <c r="X6208" s="171"/>
      <c r="Y6208" s="171"/>
      <c r="Z6208" s="171"/>
      <c r="AA6208" s="171"/>
    </row>
    <row r="6209" spans="1:27" s="530" customFormat="1" ht="15.75" hidden="1" customHeight="1" x14ac:dyDescent="0.2">
      <c r="A6209" s="526"/>
      <c r="B6209" s="527"/>
      <c r="C6209" s="465"/>
      <c r="D6209" s="464"/>
      <c r="E6209" s="464"/>
      <c r="F6209" s="494">
        <v>499</v>
      </c>
      <c r="G6209" s="495" t="s">
        <v>4174</v>
      </c>
      <c r="H6209" s="397"/>
      <c r="I6209" s="397"/>
      <c r="J6209" s="750" t="e">
        <f t="shared" si="80"/>
        <v>#DIV/0!</v>
      </c>
      <c r="K6209" s="398"/>
      <c r="L6209" s="398"/>
      <c r="M6209" s="682"/>
      <c r="N6209" s="171"/>
      <c r="O6209" s="171"/>
      <c r="P6209" s="171"/>
      <c r="Q6209" s="171"/>
      <c r="R6209" s="171"/>
      <c r="S6209" s="171"/>
      <c r="T6209" s="171"/>
      <c r="U6209" s="171"/>
      <c r="V6209" s="171"/>
      <c r="W6209" s="171"/>
      <c r="X6209" s="171"/>
      <c r="Y6209" s="171"/>
      <c r="Z6209" s="171"/>
      <c r="AA6209" s="171"/>
    </row>
    <row r="6210" spans="1:27" s="530" customFormat="1" ht="15.75" hidden="1" customHeight="1" x14ac:dyDescent="0.2">
      <c r="A6210" s="526"/>
      <c r="B6210" s="527"/>
      <c r="C6210" s="465"/>
      <c r="D6210" s="464"/>
      <c r="E6210" s="464"/>
      <c r="F6210" s="494">
        <v>511</v>
      </c>
      <c r="G6210" s="497" t="s">
        <v>4194</v>
      </c>
      <c r="H6210" s="397"/>
      <c r="I6210" s="397"/>
      <c r="J6210" s="750" t="e">
        <f t="shared" si="80"/>
        <v>#DIV/0!</v>
      </c>
      <c r="K6210" s="398"/>
      <c r="L6210" s="398"/>
      <c r="M6210" s="682"/>
      <c r="N6210" s="171"/>
      <c r="O6210" s="171"/>
      <c r="P6210" s="171"/>
      <c r="Q6210" s="171"/>
      <c r="R6210" s="171"/>
      <c r="S6210" s="171"/>
      <c r="T6210" s="171"/>
      <c r="U6210" s="171"/>
      <c r="V6210" s="171"/>
      <c r="W6210" s="171"/>
      <c r="X6210" s="171"/>
      <c r="Y6210" s="171"/>
      <c r="Z6210" s="171"/>
      <c r="AA6210" s="171"/>
    </row>
    <row r="6211" spans="1:27" s="530" customFormat="1" ht="15.75" hidden="1" customHeight="1" x14ac:dyDescent="0.2">
      <c r="A6211" s="526"/>
      <c r="B6211" s="527"/>
      <c r="C6211" s="465"/>
      <c r="D6211" s="464"/>
      <c r="E6211" s="464"/>
      <c r="F6211" s="494">
        <v>512</v>
      </c>
      <c r="G6211" s="497" t="s">
        <v>4195</v>
      </c>
      <c r="H6211" s="397"/>
      <c r="I6211" s="397"/>
      <c r="J6211" s="750" t="e">
        <f t="shared" si="80"/>
        <v>#DIV/0!</v>
      </c>
      <c r="K6211" s="398"/>
      <c r="L6211" s="398"/>
      <c r="M6211" s="682"/>
      <c r="N6211" s="171"/>
      <c r="O6211" s="171"/>
      <c r="P6211" s="171"/>
      <c r="Q6211" s="171"/>
      <c r="R6211" s="171"/>
      <c r="S6211" s="171"/>
      <c r="T6211" s="171"/>
      <c r="U6211" s="171"/>
      <c r="V6211" s="171"/>
      <c r="W6211" s="171"/>
      <c r="X6211" s="171"/>
      <c r="Y6211" s="171"/>
      <c r="Z6211" s="171"/>
      <c r="AA6211" s="171"/>
    </row>
    <row r="6212" spans="1:27" s="530" customFormat="1" ht="15.75" hidden="1" customHeight="1" x14ac:dyDescent="0.2">
      <c r="A6212" s="526"/>
      <c r="B6212" s="527"/>
      <c r="C6212" s="465"/>
      <c r="D6212" s="464"/>
      <c r="E6212" s="464"/>
      <c r="F6212" s="494">
        <v>513</v>
      </c>
      <c r="G6212" s="497" t="s">
        <v>4196</v>
      </c>
      <c r="H6212" s="397"/>
      <c r="I6212" s="397"/>
      <c r="J6212" s="750" t="e">
        <f t="shared" si="80"/>
        <v>#DIV/0!</v>
      </c>
      <c r="K6212" s="398"/>
      <c r="L6212" s="398"/>
      <c r="M6212" s="682"/>
      <c r="N6212" s="171"/>
      <c r="O6212" s="171"/>
      <c r="P6212" s="171"/>
      <c r="Q6212" s="171"/>
      <c r="R6212" s="171"/>
      <c r="S6212" s="171"/>
      <c r="T6212" s="171"/>
      <c r="U6212" s="171"/>
      <c r="V6212" s="171"/>
      <c r="W6212" s="171"/>
      <c r="X6212" s="171"/>
      <c r="Y6212" s="171"/>
      <c r="Z6212" s="171"/>
      <c r="AA6212" s="171"/>
    </row>
    <row r="6213" spans="1:27" s="530" customFormat="1" ht="15.75" hidden="1" customHeight="1" x14ac:dyDescent="0.2">
      <c r="A6213" s="526"/>
      <c r="B6213" s="527"/>
      <c r="C6213" s="465"/>
      <c r="D6213" s="464"/>
      <c r="E6213" s="464"/>
      <c r="F6213" s="494">
        <v>514</v>
      </c>
      <c r="G6213" s="495" t="s">
        <v>4197</v>
      </c>
      <c r="H6213" s="397"/>
      <c r="I6213" s="397"/>
      <c r="J6213" s="750" t="e">
        <f t="shared" si="80"/>
        <v>#DIV/0!</v>
      </c>
      <c r="K6213" s="398"/>
      <c r="L6213" s="398"/>
      <c r="M6213" s="682"/>
      <c r="N6213" s="171"/>
      <c r="O6213" s="171"/>
      <c r="P6213" s="171"/>
      <c r="Q6213" s="171"/>
      <c r="R6213" s="171"/>
      <c r="S6213" s="171"/>
      <c r="T6213" s="171"/>
      <c r="U6213" s="171"/>
      <c r="V6213" s="171"/>
      <c r="W6213" s="171"/>
      <c r="X6213" s="171"/>
      <c r="Y6213" s="171"/>
      <c r="Z6213" s="171"/>
      <c r="AA6213" s="171"/>
    </row>
    <row r="6214" spans="1:27" s="530" customFormat="1" ht="15.75" hidden="1" customHeight="1" x14ac:dyDescent="0.2">
      <c r="A6214" s="526"/>
      <c r="B6214" s="527"/>
      <c r="C6214" s="465"/>
      <c r="D6214" s="464"/>
      <c r="E6214" s="464"/>
      <c r="F6214" s="494">
        <v>515</v>
      </c>
      <c r="G6214" s="495" t="s">
        <v>3832</v>
      </c>
      <c r="H6214" s="397"/>
      <c r="I6214" s="397"/>
      <c r="J6214" s="750" t="e">
        <f t="shared" si="80"/>
        <v>#DIV/0!</v>
      </c>
      <c r="K6214" s="398"/>
      <c r="L6214" s="398"/>
      <c r="M6214" s="682"/>
      <c r="N6214" s="171"/>
      <c r="O6214" s="171"/>
      <c r="P6214" s="171"/>
      <c r="Q6214" s="171"/>
      <c r="R6214" s="171"/>
      <c r="S6214" s="171"/>
      <c r="T6214" s="171"/>
      <c r="U6214" s="171"/>
      <c r="V6214" s="171"/>
      <c r="W6214" s="171"/>
      <c r="X6214" s="171"/>
      <c r="Y6214" s="171"/>
      <c r="Z6214" s="171"/>
      <c r="AA6214" s="171"/>
    </row>
    <row r="6215" spans="1:27" s="530" customFormat="1" ht="15.75" hidden="1" customHeight="1" x14ac:dyDescent="0.2">
      <c r="A6215" s="526"/>
      <c r="B6215" s="527"/>
      <c r="C6215" s="465"/>
      <c r="D6215" s="464"/>
      <c r="E6215" s="464"/>
      <c r="F6215" s="494">
        <v>521</v>
      </c>
      <c r="G6215" s="495" t="s">
        <v>4198</v>
      </c>
      <c r="H6215" s="397"/>
      <c r="I6215" s="397"/>
      <c r="J6215" s="750" t="e">
        <f t="shared" si="80"/>
        <v>#DIV/0!</v>
      </c>
      <c r="K6215" s="398"/>
      <c r="L6215" s="398"/>
      <c r="M6215" s="682"/>
      <c r="N6215" s="171"/>
      <c r="O6215" s="171"/>
      <c r="P6215" s="171"/>
      <c r="Q6215" s="171"/>
      <c r="R6215" s="171"/>
      <c r="S6215" s="171"/>
      <c r="T6215" s="171"/>
      <c r="U6215" s="171"/>
      <c r="V6215" s="171"/>
      <c r="W6215" s="171"/>
      <c r="X6215" s="171"/>
      <c r="Y6215" s="171"/>
      <c r="Z6215" s="171"/>
      <c r="AA6215" s="171"/>
    </row>
    <row r="6216" spans="1:27" s="530" customFormat="1" ht="15.75" hidden="1" customHeight="1" x14ac:dyDescent="0.2">
      <c r="A6216" s="526"/>
      <c r="B6216" s="527"/>
      <c r="C6216" s="465"/>
      <c r="D6216" s="464"/>
      <c r="E6216" s="464"/>
      <c r="F6216" s="494">
        <v>522</v>
      </c>
      <c r="G6216" s="495" t="s">
        <v>4199</v>
      </c>
      <c r="H6216" s="397"/>
      <c r="I6216" s="397"/>
      <c r="J6216" s="750" t="e">
        <f t="shared" si="80"/>
        <v>#DIV/0!</v>
      </c>
      <c r="K6216" s="398"/>
      <c r="L6216" s="398"/>
      <c r="M6216" s="682"/>
      <c r="N6216" s="171"/>
      <c r="O6216" s="171"/>
      <c r="P6216" s="171"/>
      <c r="Q6216" s="171"/>
      <c r="R6216" s="171"/>
      <c r="S6216" s="171"/>
      <c r="T6216" s="171"/>
      <c r="U6216" s="171"/>
      <c r="V6216" s="171"/>
      <c r="W6216" s="171"/>
      <c r="X6216" s="171"/>
      <c r="Y6216" s="171"/>
      <c r="Z6216" s="171"/>
      <c r="AA6216" s="171"/>
    </row>
    <row r="6217" spans="1:27" s="530" customFormat="1" ht="15.75" hidden="1" customHeight="1" x14ac:dyDescent="0.2">
      <c r="A6217" s="526"/>
      <c r="B6217" s="527"/>
      <c r="C6217" s="465"/>
      <c r="D6217" s="464"/>
      <c r="E6217" s="464"/>
      <c r="F6217" s="494">
        <v>523</v>
      </c>
      <c r="G6217" s="495" t="s">
        <v>3837</v>
      </c>
      <c r="H6217" s="397"/>
      <c r="I6217" s="397"/>
      <c r="J6217" s="750" t="e">
        <f t="shared" si="80"/>
        <v>#DIV/0!</v>
      </c>
      <c r="K6217" s="398"/>
      <c r="L6217" s="398"/>
      <c r="M6217" s="682"/>
      <c r="N6217" s="171"/>
      <c r="O6217" s="171"/>
      <c r="P6217" s="171"/>
      <c r="Q6217" s="171"/>
      <c r="R6217" s="171"/>
      <c r="S6217" s="171"/>
      <c r="T6217" s="171"/>
      <c r="U6217" s="171"/>
      <c r="V6217" s="171"/>
      <c r="W6217" s="171"/>
      <c r="X6217" s="171"/>
      <c r="Y6217" s="171"/>
      <c r="Z6217" s="171"/>
      <c r="AA6217" s="171"/>
    </row>
    <row r="6218" spans="1:27" s="530" customFormat="1" ht="15.75" hidden="1" customHeight="1" x14ac:dyDescent="0.2">
      <c r="A6218" s="526"/>
      <c r="B6218" s="527"/>
      <c r="C6218" s="465"/>
      <c r="D6218" s="464"/>
      <c r="E6218" s="464"/>
      <c r="F6218" s="494">
        <v>531</v>
      </c>
      <c r="G6218" s="496" t="s">
        <v>4175</v>
      </c>
      <c r="H6218" s="397"/>
      <c r="I6218" s="397"/>
      <c r="J6218" s="750" t="e">
        <f t="shared" si="80"/>
        <v>#DIV/0!</v>
      </c>
      <c r="K6218" s="398"/>
      <c r="L6218" s="398"/>
      <c r="M6218" s="682"/>
      <c r="N6218" s="171"/>
      <c r="O6218" s="171"/>
      <c r="P6218" s="171"/>
      <c r="Q6218" s="171"/>
      <c r="R6218" s="171"/>
      <c r="S6218" s="171"/>
      <c r="T6218" s="171"/>
      <c r="U6218" s="171"/>
      <c r="V6218" s="171"/>
      <c r="W6218" s="171"/>
      <c r="X6218" s="171"/>
      <c r="Y6218" s="171"/>
      <c r="Z6218" s="171"/>
      <c r="AA6218" s="171"/>
    </row>
    <row r="6219" spans="1:27" s="530" customFormat="1" ht="15.75" hidden="1" customHeight="1" x14ac:dyDescent="0.2">
      <c r="A6219" s="526"/>
      <c r="B6219" s="527"/>
      <c r="C6219" s="465"/>
      <c r="D6219" s="464"/>
      <c r="E6219" s="464"/>
      <c r="F6219" s="494">
        <v>541</v>
      </c>
      <c r="G6219" s="495" t="s">
        <v>4200</v>
      </c>
      <c r="H6219" s="397"/>
      <c r="I6219" s="397"/>
      <c r="J6219" s="750" t="e">
        <f t="shared" si="80"/>
        <v>#DIV/0!</v>
      </c>
      <c r="K6219" s="398"/>
      <c r="L6219" s="398"/>
      <c r="M6219" s="682"/>
      <c r="N6219" s="171"/>
      <c r="O6219" s="171"/>
      <c r="P6219" s="171"/>
      <c r="Q6219" s="171"/>
      <c r="R6219" s="171"/>
      <c r="S6219" s="171"/>
      <c r="T6219" s="171"/>
      <c r="U6219" s="171"/>
      <c r="V6219" s="171"/>
      <c r="W6219" s="171"/>
      <c r="X6219" s="171"/>
      <c r="Y6219" s="171"/>
      <c r="Z6219" s="171"/>
      <c r="AA6219" s="171"/>
    </row>
    <row r="6220" spans="1:27" s="530" customFormat="1" ht="15.75" hidden="1" customHeight="1" x14ac:dyDescent="0.2">
      <c r="A6220" s="526"/>
      <c r="B6220" s="527"/>
      <c r="C6220" s="465"/>
      <c r="D6220" s="464"/>
      <c r="E6220" s="464"/>
      <c r="F6220" s="494">
        <v>542</v>
      </c>
      <c r="G6220" s="495" t="s">
        <v>4201</v>
      </c>
      <c r="H6220" s="397"/>
      <c r="I6220" s="397"/>
      <c r="J6220" s="750" t="e">
        <f t="shared" si="80"/>
        <v>#DIV/0!</v>
      </c>
      <c r="K6220" s="398"/>
      <c r="L6220" s="398"/>
      <c r="M6220" s="682"/>
      <c r="N6220" s="171"/>
      <c r="O6220" s="171"/>
      <c r="P6220" s="171"/>
      <c r="Q6220" s="171"/>
      <c r="R6220" s="171"/>
      <c r="S6220" s="171"/>
      <c r="T6220" s="171"/>
      <c r="U6220" s="171"/>
      <c r="V6220" s="171"/>
      <c r="W6220" s="171"/>
      <c r="X6220" s="171"/>
      <c r="Y6220" s="171"/>
      <c r="Z6220" s="171"/>
      <c r="AA6220" s="171"/>
    </row>
    <row r="6221" spans="1:27" s="530" customFormat="1" ht="15.75" hidden="1" customHeight="1" x14ac:dyDescent="0.2">
      <c r="A6221" s="526"/>
      <c r="B6221" s="527"/>
      <c r="C6221" s="465"/>
      <c r="D6221" s="464"/>
      <c r="E6221" s="464"/>
      <c r="F6221" s="494">
        <v>543</v>
      </c>
      <c r="G6221" s="495" t="s">
        <v>3842</v>
      </c>
      <c r="H6221" s="397"/>
      <c r="I6221" s="397"/>
      <c r="J6221" s="750" t="e">
        <f t="shared" ref="J6221:J6284" si="81">SUM(I6221/H6221)*100</f>
        <v>#DIV/0!</v>
      </c>
      <c r="K6221" s="398"/>
      <c r="L6221" s="398"/>
      <c r="M6221" s="682"/>
      <c r="N6221" s="171"/>
      <c r="O6221" s="171"/>
      <c r="P6221" s="171"/>
      <c r="Q6221" s="171"/>
      <c r="R6221" s="171"/>
      <c r="S6221" s="171"/>
      <c r="T6221" s="171"/>
      <c r="U6221" s="171"/>
      <c r="V6221" s="171"/>
      <c r="W6221" s="171"/>
      <c r="X6221" s="171"/>
      <c r="Y6221" s="171"/>
      <c r="Z6221" s="171"/>
      <c r="AA6221" s="171"/>
    </row>
    <row r="6222" spans="1:27" s="530" customFormat="1" ht="15.75" hidden="1" customHeight="1" x14ac:dyDescent="0.2">
      <c r="A6222" s="526"/>
      <c r="B6222" s="527"/>
      <c r="C6222" s="465"/>
      <c r="D6222" s="464"/>
      <c r="E6222" s="464"/>
      <c r="F6222" s="494">
        <v>551</v>
      </c>
      <c r="G6222" s="495" t="s">
        <v>4176</v>
      </c>
      <c r="H6222" s="397"/>
      <c r="I6222" s="397"/>
      <c r="J6222" s="750" t="e">
        <f t="shared" si="81"/>
        <v>#DIV/0!</v>
      </c>
      <c r="K6222" s="398"/>
      <c r="L6222" s="398"/>
      <c r="M6222" s="682"/>
      <c r="N6222" s="171"/>
      <c r="O6222" s="171"/>
      <c r="P6222" s="171"/>
      <c r="Q6222" s="171"/>
      <c r="R6222" s="171"/>
      <c r="S6222" s="171"/>
      <c r="T6222" s="171"/>
      <c r="U6222" s="171"/>
      <c r="V6222" s="171"/>
      <c r="W6222" s="171"/>
      <c r="X6222" s="171"/>
      <c r="Y6222" s="171"/>
      <c r="Z6222" s="171"/>
      <c r="AA6222" s="171"/>
    </row>
    <row r="6223" spans="1:27" s="530" customFormat="1" ht="15.75" hidden="1" customHeight="1" x14ac:dyDescent="0.2">
      <c r="A6223" s="526"/>
      <c r="B6223" s="527"/>
      <c r="C6223" s="465"/>
      <c r="D6223" s="464"/>
      <c r="E6223" s="464"/>
      <c r="F6223" s="498">
        <v>611</v>
      </c>
      <c r="G6223" s="499" t="s">
        <v>3848</v>
      </c>
      <c r="H6223" s="397"/>
      <c r="I6223" s="397"/>
      <c r="J6223" s="750" t="e">
        <f t="shared" si="81"/>
        <v>#DIV/0!</v>
      </c>
      <c r="K6223" s="398"/>
      <c r="L6223" s="398"/>
      <c r="M6223" s="682"/>
      <c r="N6223" s="171"/>
      <c r="O6223" s="171"/>
      <c r="P6223" s="171"/>
      <c r="Q6223" s="171"/>
      <c r="R6223" s="171"/>
      <c r="S6223" s="171"/>
      <c r="T6223" s="171"/>
      <c r="U6223" s="171"/>
      <c r="V6223" s="171"/>
      <c r="W6223" s="171"/>
      <c r="X6223" s="171"/>
      <c r="Y6223" s="171"/>
      <c r="Z6223" s="171"/>
      <c r="AA6223" s="171"/>
    </row>
    <row r="6224" spans="1:27" s="530" customFormat="1" ht="15.75" hidden="1" customHeight="1" thickBot="1" x14ac:dyDescent="0.25">
      <c r="A6224" s="526"/>
      <c r="B6224" s="527"/>
      <c r="C6224" s="465"/>
      <c r="D6224" s="464"/>
      <c r="E6224" s="464"/>
      <c r="F6224" s="498">
        <v>620</v>
      </c>
      <c r="G6224" s="499" t="s">
        <v>88</v>
      </c>
      <c r="H6224" s="397"/>
      <c r="I6224" s="397"/>
      <c r="J6224" s="750" t="e">
        <f t="shared" si="81"/>
        <v>#DIV/0!</v>
      </c>
      <c r="K6224" s="398"/>
      <c r="L6224" s="398"/>
      <c r="M6224" s="682"/>
      <c r="N6224" s="171"/>
      <c r="O6224" s="171"/>
      <c r="P6224" s="171"/>
      <c r="Q6224" s="171"/>
      <c r="R6224" s="171"/>
      <c r="S6224" s="171"/>
      <c r="T6224" s="171"/>
      <c r="U6224" s="171"/>
      <c r="V6224" s="171"/>
      <c r="W6224" s="171"/>
      <c r="X6224" s="171"/>
      <c r="Y6224" s="171"/>
      <c r="Z6224" s="171"/>
      <c r="AA6224" s="171"/>
    </row>
    <row r="6225" spans="1:27" s="530" customFormat="1" ht="15.75" hidden="1" customHeight="1" x14ac:dyDescent="0.2">
      <c r="A6225" s="526"/>
      <c r="B6225" s="527"/>
      <c r="C6225" s="465"/>
      <c r="D6225" s="464"/>
      <c r="E6225" s="500"/>
      <c r="F6225" s="498"/>
      <c r="G6225" s="509" t="s">
        <v>4446</v>
      </c>
      <c r="H6225" s="400"/>
      <c r="I6225" s="400"/>
      <c r="J6225" s="750" t="e">
        <f t="shared" si="81"/>
        <v>#DIV/0!</v>
      </c>
      <c r="K6225" s="401"/>
      <c r="L6225" s="402"/>
      <c r="M6225" s="682"/>
      <c r="N6225" s="171"/>
      <c r="O6225" s="171"/>
      <c r="P6225" s="171"/>
      <c r="Q6225" s="171"/>
      <c r="R6225" s="171"/>
      <c r="S6225" s="171"/>
      <c r="T6225" s="171"/>
      <c r="U6225" s="171"/>
      <c r="V6225" s="171"/>
      <c r="W6225" s="171"/>
      <c r="X6225" s="171"/>
      <c r="Y6225" s="171"/>
      <c r="Z6225" s="171"/>
      <c r="AA6225" s="171"/>
    </row>
    <row r="6226" spans="1:27" s="530" customFormat="1" ht="15.75" hidden="1" customHeight="1" x14ac:dyDescent="0.2">
      <c r="A6226" s="526"/>
      <c r="B6226" s="527"/>
      <c r="C6226" s="465"/>
      <c r="D6226" s="464"/>
      <c r="E6226" s="502"/>
      <c r="F6226" s="503" t="s">
        <v>234</v>
      </c>
      <c r="G6226" s="504" t="s">
        <v>235</v>
      </c>
      <c r="H6226" s="403">
        <f>SUM(H6165:H6224)</f>
        <v>0</v>
      </c>
      <c r="I6226" s="403"/>
      <c r="J6226" s="750" t="e">
        <f t="shared" si="81"/>
        <v>#DIV/0!</v>
      </c>
      <c r="K6226" s="404"/>
      <c r="L6226" s="404"/>
      <c r="M6226" s="682"/>
      <c r="N6226" s="171"/>
      <c r="O6226" s="171"/>
      <c r="P6226" s="171"/>
      <c r="Q6226" s="171"/>
      <c r="R6226" s="171"/>
      <c r="S6226" s="171"/>
      <c r="T6226" s="171"/>
      <c r="U6226" s="171"/>
      <c r="V6226" s="171"/>
      <c r="W6226" s="171"/>
      <c r="X6226" s="171"/>
      <c r="Y6226" s="171"/>
      <c r="Z6226" s="171"/>
      <c r="AA6226" s="171"/>
    </row>
    <row r="6227" spans="1:27" s="530" customFormat="1" ht="15.75" hidden="1" customHeight="1" x14ac:dyDescent="0.2">
      <c r="A6227" s="526"/>
      <c r="B6227" s="527"/>
      <c r="C6227" s="465"/>
      <c r="D6227" s="464"/>
      <c r="E6227" s="464"/>
      <c r="F6227" s="503" t="s">
        <v>236</v>
      </c>
      <c r="G6227" s="504" t="s">
        <v>237</v>
      </c>
      <c r="H6227" s="397"/>
      <c r="I6227" s="397"/>
      <c r="J6227" s="750" t="e">
        <f t="shared" si="81"/>
        <v>#DIV/0!</v>
      </c>
      <c r="K6227" s="398"/>
      <c r="L6227" s="404"/>
      <c r="M6227" s="682"/>
      <c r="N6227" s="171"/>
      <c r="O6227" s="171"/>
      <c r="P6227" s="171"/>
      <c r="Q6227" s="171"/>
      <c r="R6227" s="171"/>
      <c r="S6227" s="171"/>
      <c r="T6227" s="171"/>
      <c r="U6227" s="171"/>
      <c r="V6227" s="171"/>
      <c r="W6227" s="171"/>
      <c r="X6227" s="171"/>
      <c r="Y6227" s="171"/>
      <c r="Z6227" s="171"/>
      <c r="AA6227" s="171"/>
    </row>
    <row r="6228" spans="1:27" s="530" customFormat="1" ht="15.75" hidden="1" customHeight="1" x14ac:dyDescent="0.2">
      <c r="A6228" s="526"/>
      <c r="B6228" s="527"/>
      <c r="C6228" s="465"/>
      <c r="D6228" s="464"/>
      <c r="E6228" s="464"/>
      <c r="F6228" s="503" t="s">
        <v>238</v>
      </c>
      <c r="G6228" s="504" t="s">
        <v>239</v>
      </c>
      <c r="H6228" s="397"/>
      <c r="I6228" s="397"/>
      <c r="J6228" s="750" t="e">
        <f t="shared" si="81"/>
        <v>#DIV/0!</v>
      </c>
      <c r="K6228" s="398"/>
      <c r="L6228" s="404"/>
      <c r="M6228" s="682"/>
      <c r="N6228" s="171"/>
      <c r="O6228" s="171"/>
      <c r="P6228" s="171"/>
      <c r="Q6228" s="171"/>
      <c r="R6228" s="171"/>
      <c r="S6228" s="171"/>
      <c r="T6228" s="171"/>
      <c r="U6228" s="171"/>
      <c r="V6228" s="171"/>
      <c r="W6228" s="171"/>
      <c r="X6228" s="171"/>
      <c r="Y6228" s="171"/>
      <c r="Z6228" s="171"/>
      <c r="AA6228" s="171"/>
    </row>
    <row r="6229" spans="1:27" s="530" customFormat="1" ht="15.75" hidden="1" customHeight="1" x14ac:dyDescent="0.2">
      <c r="A6229" s="526"/>
      <c r="B6229" s="527"/>
      <c r="C6229" s="465"/>
      <c r="D6229" s="464"/>
      <c r="E6229" s="464"/>
      <c r="F6229" s="503" t="s">
        <v>240</v>
      </c>
      <c r="G6229" s="504" t="s">
        <v>241</v>
      </c>
      <c r="H6229" s="397"/>
      <c r="I6229" s="397"/>
      <c r="J6229" s="750" t="e">
        <f t="shared" si="81"/>
        <v>#DIV/0!</v>
      </c>
      <c r="K6229" s="398"/>
      <c r="L6229" s="404"/>
      <c r="M6229" s="682"/>
      <c r="N6229" s="171"/>
      <c r="O6229" s="171"/>
      <c r="P6229" s="171"/>
      <c r="Q6229" s="171"/>
      <c r="R6229" s="171"/>
      <c r="S6229" s="171"/>
      <c r="T6229" s="171"/>
      <c r="U6229" s="171"/>
      <c r="V6229" s="171"/>
      <c r="W6229" s="171"/>
      <c r="X6229" s="171"/>
      <c r="Y6229" s="171"/>
      <c r="Z6229" s="171"/>
      <c r="AA6229" s="171"/>
    </row>
    <row r="6230" spans="1:27" s="530" customFormat="1" ht="15.75" hidden="1" customHeight="1" x14ac:dyDescent="0.2">
      <c r="A6230" s="526"/>
      <c r="B6230" s="527"/>
      <c r="C6230" s="465"/>
      <c r="D6230" s="464"/>
      <c r="E6230" s="464"/>
      <c r="F6230" s="503" t="s">
        <v>242</v>
      </c>
      <c r="G6230" s="504" t="s">
        <v>243</v>
      </c>
      <c r="H6230" s="397"/>
      <c r="I6230" s="397"/>
      <c r="J6230" s="750" t="e">
        <f t="shared" si="81"/>
        <v>#DIV/0!</v>
      </c>
      <c r="K6230" s="398"/>
      <c r="L6230" s="404"/>
      <c r="M6230" s="682"/>
      <c r="N6230" s="171"/>
      <c r="O6230" s="171"/>
      <c r="P6230" s="171"/>
      <c r="Q6230" s="171"/>
      <c r="R6230" s="171"/>
      <c r="S6230" s="171"/>
      <c r="T6230" s="171"/>
      <c r="U6230" s="171"/>
      <c r="V6230" s="171"/>
      <c r="W6230" s="171"/>
      <c r="X6230" s="171"/>
      <c r="Y6230" s="171"/>
      <c r="Z6230" s="171"/>
      <c r="AA6230" s="171"/>
    </row>
    <row r="6231" spans="1:27" s="530" customFormat="1" ht="15.75" hidden="1" customHeight="1" x14ac:dyDescent="0.2">
      <c r="A6231" s="526"/>
      <c r="B6231" s="527"/>
      <c r="C6231" s="465"/>
      <c r="D6231" s="464"/>
      <c r="E6231" s="464"/>
      <c r="F6231" s="503" t="s">
        <v>244</v>
      </c>
      <c r="G6231" s="504" t="s">
        <v>245</v>
      </c>
      <c r="H6231" s="397"/>
      <c r="I6231" s="397"/>
      <c r="J6231" s="750" t="e">
        <f t="shared" si="81"/>
        <v>#DIV/0!</v>
      </c>
      <c r="K6231" s="398"/>
      <c r="L6231" s="404"/>
      <c r="M6231" s="682"/>
      <c r="N6231" s="171"/>
      <c r="O6231" s="171"/>
      <c r="P6231" s="171"/>
      <c r="Q6231" s="171"/>
      <c r="R6231" s="171"/>
      <c r="S6231" s="171"/>
      <c r="T6231" s="171"/>
      <c r="U6231" s="171"/>
      <c r="V6231" s="171"/>
      <c r="W6231" s="171"/>
      <c r="X6231" s="171"/>
      <c r="Y6231" s="171"/>
      <c r="Z6231" s="171"/>
      <c r="AA6231" s="171"/>
    </row>
    <row r="6232" spans="1:27" s="530" customFormat="1" ht="15.75" hidden="1" customHeight="1" x14ac:dyDescent="0.2">
      <c r="A6232" s="526"/>
      <c r="B6232" s="527"/>
      <c r="C6232" s="465"/>
      <c r="D6232" s="464"/>
      <c r="E6232" s="464"/>
      <c r="F6232" s="503" t="s">
        <v>246</v>
      </c>
      <c r="G6232" s="504" t="s">
        <v>247</v>
      </c>
      <c r="H6232" s="397"/>
      <c r="I6232" s="397"/>
      <c r="J6232" s="750" t="e">
        <f t="shared" si="81"/>
        <v>#DIV/0!</v>
      </c>
      <c r="K6232" s="398"/>
      <c r="L6232" s="404"/>
      <c r="M6232" s="682"/>
      <c r="N6232" s="171"/>
      <c r="O6232" s="171"/>
      <c r="P6232" s="171"/>
      <c r="Q6232" s="171"/>
      <c r="R6232" s="171"/>
      <c r="S6232" s="171"/>
      <c r="T6232" s="171"/>
      <c r="U6232" s="171"/>
      <c r="V6232" s="171"/>
      <c r="W6232" s="171"/>
      <c r="X6232" s="171"/>
      <c r="Y6232" s="171"/>
      <c r="Z6232" s="171"/>
      <c r="AA6232" s="171"/>
    </row>
    <row r="6233" spans="1:27" s="530" customFormat="1" ht="15.75" hidden="1" customHeight="1" x14ac:dyDescent="0.2">
      <c r="A6233" s="526"/>
      <c r="B6233" s="527"/>
      <c r="C6233" s="465"/>
      <c r="D6233" s="464"/>
      <c r="E6233" s="464"/>
      <c r="F6233" s="503" t="s">
        <v>248</v>
      </c>
      <c r="G6233" s="504" t="s">
        <v>249</v>
      </c>
      <c r="H6233" s="397"/>
      <c r="I6233" s="397"/>
      <c r="J6233" s="750" t="e">
        <f t="shared" si="81"/>
        <v>#DIV/0!</v>
      </c>
      <c r="K6233" s="398"/>
      <c r="L6233" s="404"/>
      <c r="M6233" s="682"/>
      <c r="N6233" s="171"/>
      <c r="O6233" s="171"/>
      <c r="P6233" s="171"/>
      <c r="Q6233" s="171"/>
      <c r="R6233" s="171"/>
      <c r="S6233" s="171"/>
      <c r="T6233" s="171"/>
      <c r="U6233" s="171"/>
      <c r="V6233" s="171"/>
      <c r="W6233" s="171"/>
      <c r="X6233" s="171"/>
      <c r="Y6233" s="171"/>
      <c r="Z6233" s="171"/>
      <c r="AA6233" s="171"/>
    </row>
    <row r="6234" spans="1:27" s="530" customFormat="1" ht="15.75" hidden="1" customHeight="1" x14ac:dyDescent="0.2">
      <c r="A6234" s="526"/>
      <c r="B6234" s="527"/>
      <c r="C6234" s="465"/>
      <c r="D6234" s="464"/>
      <c r="E6234" s="464"/>
      <c r="F6234" s="503" t="s">
        <v>250</v>
      </c>
      <c r="G6234" s="504" t="s">
        <v>57</v>
      </c>
      <c r="H6234" s="397"/>
      <c r="I6234" s="397"/>
      <c r="J6234" s="750" t="e">
        <f t="shared" si="81"/>
        <v>#DIV/0!</v>
      </c>
      <c r="K6234" s="398"/>
      <c r="L6234" s="404"/>
      <c r="M6234" s="682"/>
      <c r="N6234" s="171"/>
      <c r="O6234" s="171"/>
      <c r="P6234" s="171"/>
      <c r="Q6234" s="171"/>
      <c r="R6234" s="171"/>
      <c r="S6234" s="171"/>
      <c r="T6234" s="171"/>
      <c r="U6234" s="171"/>
      <c r="V6234" s="171"/>
      <c r="W6234" s="171"/>
      <c r="X6234" s="171"/>
      <c r="Y6234" s="171"/>
      <c r="Z6234" s="171"/>
      <c r="AA6234" s="171"/>
    </row>
    <row r="6235" spans="1:27" s="530" customFormat="1" ht="15.75" hidden="1" customHeight="1" x14ac:dyDescent="0.2">
      <c r="A6235" s="526"/>
      <c r="B6235" s="527"/>
      <c r="C6235" s="465"/>
      <c r="D6235" s="464"/>
      <c r="E6235" s="464"/>
      <c r="F6235" s="503" t="s">
        <v>251</v>
      </c>
      <c r="G6235" s="504" t="s">
        <v>252</v>
      </c>
      <c r="H6235" s="397"/>
      <c r="I6235" s="397"/>
      <c r="J6235" s="750" t="e">
        <f t="shared" si="81"/>
        <v>#DIV/0!</v>
      </c>
      <c r="K6235" s="398"/>
      <c r="L6235" s="404"/>
      <c r="M6235" s="682"/>
      <c r="N6235" s="171"/>
      <c r="O6235" s="171"/>
      <c r="P6235" s="171"/>
      <c r="Q6235" s="171"/>
      <c r="R6235" s="171"/>
      <c r="S6235" s="171"/>
      <c r="T6235" s="171"/>
      <c r="U6235" s="171"/>
      <c r="V6235" s="171"/>
      <c r="W6235" s="171"/>
      <c r="X6235" s="171"/>
      <c r="Y6235" s="171"/>
      <c r="Z6235" s="171"/>
      <c r="AA6235" s="171"/>
    </row>
    <row r="6236" spans="1:27" s="530" customFormat="1" ht="15.75" hidden="1" customHeight="1" x14ac:dyDescent="0.2">
      <c r="A6236" s="526"/>
      <c r="B6236" s="527"/>
      <c r="C6236" s="465"/>
      <c r="D6236" s="464"/>
      <c r="E6236" s="464"/>
      <c r="F6236" s="503" t="s">
        <v>253</v>
      </c>
      <c r="G6236" s="504" t="s">
        <v>254</v>
      </c>
      <c r="H6236" s="397"/>
      <c r="I6236" s="397"/>
      <c r="J6236" s="750" t="e">
        <f t="shared" si="81"/>
        <v>#DIV/0!</v>
      </c>
      <c r="K6236" s="398"/>
      <c r="L6236" s="404"/>
      <c r="M6236" s="682"/>
      <c r="N6236" s="171"/>
      <c r="O6236" s="171"/>
      <c r="P6236" s="171"/>
      <c r="Q6236" s="171"/>
      <c r="R6236" s="171"/>
      <c r="S6236" s="171"/>
      <c r="T6236" s="171"/>
      <c r="U6236" s="171"/>
      <c r="V6236" s="171"/>
      <c r="W6236" s="171"/>
      <c r="X6236" s="171"/>
      <c r="Y6236" s="171"/>
      <c r="Z6236" s="171"/>
      <c r="AA6236" s="171"/>
    </row>
    <row r="6237" spans="1:27" s="530" customFormat="1" ht="15.75" hidden="1" customHeight="1" x14ac:dyDescent="0.2">
      <c r="A6237" s="526"/>
      <c r="B6237" s="527"/>
      <c r="C6237" s="465"/>
      <c r="D6237" s="464"/>
      <c r="E6237" s="464"/>
      <c r="F6237" s="503" t="s">
        <v>255</v>
      </c>
      <c r="G6237" s="504" t="s">
        <v>256</v>
      </c>
      <c r="H6237" s="397"/>
      <c r="I6237" s="397"/>
      <c r="J6237" s="750" t="e">
        <f t="shared" si="81"/>
        <v>#DIV/0!</v>
      </c>
      <c r="K6237" s="398"/>
      <c r="L6237" s="404"/>
      <c r="M6237" s="682"/>
      <c r="N6237" s="171"/>
      <c r="O6237" s="171"/>
      <c r="P6237" s="171"/>
      <c r="Q6237" s="171"/>
      <c r="R6237" s="171"/>
      <c r="S6237" s="171"/>
      <c r="T6237" s="171"/>
      <c r="U6237" s="171"/>
      <c r="V6237" s="171"/>
      <c r="W6237" s="171"/>
      <c r="X6237" s="171"/>
      <c r="Y6237" s="171"/>
      <c r="Z6237" s="171"/>
      <c r="AA6237" s="171"/>
    </row>
    <row r="6238" spans="1:27" s="530" customFormat="1" ht="15.75" hidden="1" customHeight="1" x14ac:dyDescent="0.2">
      <c r="A6238" s="526"/>
      <c r="B6238" s="527"/>
      <c r="C6238" s="465"/>
      <c r="D6238" s="464"/>
      <c r="E6238" s="464"/>
      <c r="F6238" s="503" t="s">
        <v>257</v>
      </c>
      <c r="G6238" s="504" t="s">
        <v>258</v>
      </c>
      <c r="H6238" s="397"/>
      <c r="I6238" s="397"/>
      <c r="J6238" s="750" t="e">
        <f t="shared" si="81"/>
        <v>#DIV/0!</v>
      </c>
      <c r="K6238" s="398"/>
      <c r="L6238" s="404"/>
      <c r="M6238" s="682"/>
      <c r="N6238" s="171"/>
      <c r="O6238" s="171"/>
      <c r="P6238" s="171"/>
      <c r="Q6238" s="171"/>
      <c r="R6238" s="171"/>
      <c r="S6238" s="171"/>
      <c r="T6238" s="171"/>
      <c r="U6238" s="171"/>
      <c r="V6238" s="171"/>
      <c r="W6238" s="171"/>
      <c r="X6238" s="171"/>
      <c r="Y6238" s="171"/>
      <c r="Z6238" s="171"/>
      <c r="AA6238" s="171"/>
    </row>
    <row r="6239" spans="1:27" s="530" customFormat="1" ht="15.75" hidden="1" customHeight="1" x14ac:dyDescent="0.2">
      <c r="A6239" s="526"/>
      <c r="B6239" s="527"/>
      <c r="C6239" s="465"/>
      <c r="D6239" s="464"/>
      <c r="E6239" s="464"/>
      <c r="F6239" s="503" t="s">
        <v>259</v>
      </c>
      <c r="G6239" s="504" t="s">
        <v>260</v>
      </c>
      <c r="H6239" s="397"/>
      <c r="I6239" s="397"/>
      <c r="J6239" s="750" t="e">
        <f t="shared" si="81"/>
        <v>#DIV/0!</v>
      </c>
      <c r="K6239" s="398"/>
      <c r="L6239" s="404"/>
      <c r="M6239" s="682"/>
      <c r="N6239" s="171"/>
      <c r="O6239" s="171"/>
      <c r="P6239" s="171"/>
      <c r="Q6239" s="171"/>
      <c r="R6239" s="171"/>
      <c r="S6239" s="171"/>
      <c r="T6239" s="171"/>
      <c r="U6239" s="171"/>
      <c r="V6239" s="171"/>
      <c r="W6239" s="171"/>
      <c r="X6239" s="171"/>
      <c r="Y6239" s="171"/>
      <c r="Z6239" s="171"/>
      <c r="AA6239" s="171"/>
    </row>
    <row r="6240" spans="1:27" s="530" customFormat="1" ht="15.75" hidden="1" customHeight="1" x14ac:dyDescent="0.2">
      <c r="A6240" s="526"/>
      <c r="B6240" s="527"/>
      <c r="C6240" s="465"/>
      <c r="D6240" s="464"/>
      <c r="E6240" s="464"/>
      <c r="F6240" s="503" t="s">
        <v>261</v>
      </c>
      <c r="G6240" s="504" t="s">
        <v>262</v>
      </c>
      <c r="H6240" s="397"/>
      <c r="I6240" s="397"/>
      <c r="J6240" s="750" t="e">
        <f t="shared" si="81"/>
        <v>#DIV/0!</v>
      </c>
      <c r="K6240" s="398"/>
      <c r="L6240" s="404"/>
      <c r="M6240" s="682"/>
      <c r="N6240" s="171"/>
      <c r="O6240" s="171"/>
      <c r="P6240" s="171"/>
      <c r="Q6240" s="171"/>
      <c r="R6240" s="171"/>
      <c r="S6240" s="171"/>
      <c r="T6240" s="171"/>
      <c r="U6240" s="171"/>
      <c r="V6240" s="171"/>
      <c r="W6240" s="171"/>
      <c r="X6240" s="171"/>
      <c r="Y6240" s="171"/>
      <c r="Z6240" s="171"/>
      <c r="AA6240" s="171"/>
    </row>
    <row r="6241" spans="1:27" s="530" customFormat="1" ht="15.75" hidden="1" customHeight="1" thickBot="1" x14ac:dyDescent="0.25">
      <c r="A6241" s="526"/>
      <c r="B6241" s="527"/>
      <c r="C6241" s="465"/>
      <c r="D6241" s="464"/>
      <c r="E6241" s="464"/>
      <c r="F6241" s="503" t="s">
        <v>263</v>
      </c>
      <c r="G6241" s="504" t="s">
        <v>264</v>
      </c>
      <c r="H6241" s="403"/>
      <c r="I6241" s="403"/>
      <c r="J6241" s="750" t="e">
        <f t="shared" si="81"/>
        <v>#DIV/0!</v>
      </c>
      <c r="K6241" s="404"/>
      <c r="L6241" s="404"/>
      <c r="M6241" s="682"/>
      <c r="N6241" s="171"/>
      <c r="O6241" s="171"/>
      <c r="P6241" s="171"/>
      <c r="Q6241" s="171"/>
      <c r="R6241" s="171"/>
      <c r="S6241" s="171"/>
      <c r="T6241" s="171"/>
      <c r="U6241" s="171"/>
      <c r="V6241" s="171"/>
      <c r="W6241" s="171"/>
      <c r="X6241" s="171"/>
      <c r="Y6241" s="171"/>
      <c r="Z6241" s="171"/>
      <c r="AA6241" s="171"/>
    </row>
    <row r="6242" spans="1:27" s="530" customFormat="1" ht="15.75" hidden="1" customHeight="1" thickBot="1" x14ac:dyDescent="0.25">
      <c r="A6242" s="526"/>
      <c r="B6242" s="527"/>
      <c r="C6242" s="465"/>
      <c r="D6242" s="464"/>
      <c r="E6242" s="464"/>
      <c r="F6242" s="464"/>
      <c r="G6242" s="505" t="s">
        <v>4447</v>
      </c>
      <c r="H6242" s="405">
        <f>SUM(H6226:H6241)</f>
        <v>0</v>
      </c>
      <c r="I6242" s="405"/>
      <c r="J6242" s="750" t="e">
        <f t="shared" si="81"/>
        <v>#DIV/0!</v>
      </c>
      <c r="K6242" s="406">
        <f>SUM(K6227:K6241)</f>
        <v>0</v>
      </c>
      <c r="L6242" s="406"/>
      <c r="M6242" s="682"/>
      <c r="N6242" s="171"/>
      <c r="O6242" s="171"/>
      <c r="P6242" s="171"/>
      <c r="Q6242" s="171"/>
      <c r="R6242" s="171"/>
      <c r="S6242" s="171"/>
      <c r="T6242" s="171"/>
      <c r="U6242" s="171"/>
      <c r="V6242" s="171"/>
      <c r="W6242" s="171"/>
      <c r="X6242" s="171"/>
      <c r="Y6242" s="171"/>
      <c r="Z6242" s="171"/>
      <c r="AA6242" s="171"/>
    </row>
    <row r="6243" spans="1:27" s="530" customFormat="1" ht="15.75" hidden="1" customHeight="1" x14ac:dyDescent="0.2">
      <c r="A6243" s="526"/>
      <c r="B6243" s="527"/>
      <c r="C6243" s="465"/>
      <c r="D6243" s="464"/>
      <c r="E6243" s="500"/>
      <c r="F6243" s="498"/>
      <c r="G6243" s="506" t="s">
        <v>5033</v>
      </c>
      <c r="H6243" s="407"/>
      <c r="I6243" s="408"/>
      <c r="J6243" s="750" t="e">
        <f t="shared" si="81"/>
        <v>#DIV/0!</v>
      </c>
      <c r="K6243" s="409"/>
      <c r="L6243" s="410"/>
      <c r="M6243" s="682"/>
      <c r="N6243" s="171"/>
      <c r="O6243" s="171"/>
      <c r="P6243" s="171"/>
      <c r="Q6243" s="171"/>
      <c r="R6243" s="171"/>
      <c r="S6243" s="171"/>
      <c r="T6243" s="171"/>
      <c r="U6243" s="171"/>
      <c r="V6243" s="171"/>
      <c r="W6243" s="171"/>
      <c r="X6243" s="171"/>
      <c r="Y6243" s="171"/>
      <c r="Z6243" s="171"/>
      <c r="AA6243" s="171"/>
    </row>
    <row r="6244" spans="1:27" s="530" customFormat="1" ht="15.75" hidden="1" customHeight="1" x14ac:dyDescent="0.2">
      <c r="A6244" s="526"/>
      <c r="B6244" s="527"/>
      <c r="C6244" s="465"/>
      <c r="D6244" s="464"/>
      <c r="E6244" s="502"/>
      <c r="F6244" s="503" t="s">
        <v>234</v>
      </c>
      <c r="G6244" s="504" t="s">
        <v>235</v>
      </c>
      <c r="H6244" s="403">
        <f>SUM(H6165:H6224)</f>
        <v>0</v>
      </c>
      <c r="I6244" s="403"/>
      <c r="J6244" s="750" t="e">
        <f t="shared" si="81"/>
        <v>#DIV/0!</v>
      </c>
      <c r="K6244" s="404"/>
      <c r="L6244" s="404"/>
      <c r="M6244" s="682"/>
      <c r="N6244" s="171"/>
      <c r="O6244" s="171"/>
      <c r="P6244" s="171"/>
      <c r="Q6244" s="171"/>
      <c r="R6244" s="171"/>
      <c r="S6244" s="171"/>
      <c r="T6244" s="171"/>
      <c r="U6244" s="171"/>
      <c r="V6244" s="171"/>
      <c r="W6244" s="171"/>
      <c r="X6244" s="171"/>
      <c r="Y6244" s="171"/>
      <c r="Z6244" s="171"/>
      <c r="AA6244" s="171"/>
    </row>
    <row r="6245" spans="1:27" s="530" customFormat="1" ht="15.75" hidden="1" customHeight="1" x14ac:dyDescent="0.2">
      <c r="A6245" s="526"/>
      <c r="B6245" s="527"/>
      <c r="C6245" s="465"/>
      <c r="D6245" s="464"/>
      <c r="E6245" s="464"/>
      <c r="F6245" s="503" t="s">
        <v>236</v>
      </c>
      <c r="G6245" s="504" t="s">
        <v>237</v>
      </c>
      <c r="H6245" s="397"/>
      <c r="I6245" s="397"/>
      <c r="J6245" s="750" t="e">
        <f t="shared" si="81"/>
        <v>#DIV/0!</v>
      </c>
      <c r="K6245" s="398"/>
      <c r="L6245" s="404"/>
      <c r="M6245" s="682"/>
      <c r="N6245" s="171"/>
      <c r="O6245" s="171"/>
      <c r="P6245" s="171"/>
      <c r="Q6245" s="171"/>
      <c r="R6245" s="171"/>
      <c r="S6245" s="171"/>
      <c r="T6245" s="171"/>
      <c r="U6245" s="171"/>
      <c r="V6245" s="171"/>
      <c r="W6245" s="171"/>
      <c r="X6245" s="171"/>
      <c r="Y6245" s="171"/>
      <c r="Z6245" s="171"/>
      <c r="AA6245" s="171"/>
    </row>
    <row r="6246" spans="1:27" s="530" customFormat="1" ht="15.75" hidden="1" customHeight="1" x14ac:dyDescent="0.2">
      <c r="A6246" s="526"/>
      <c r="B6246" s="527"/>
      <c r="C6246" s="465"/>
      <c r="D6246" s="464"/>
      <c r="E6246" s="464"/>
      <c r="F6246" s="503" t="s">
        <v>238</v>
      </c>
      <c r="G6246" s="504" t="s">
        <v>239</v>
      </c>
      <c r="H6246" s="397"/>
      <c r="I6246" s="397"/>
      <c r="J6246" s="750" t="e">
        <f t="shared" si="81"/>
        <v>#DIV/0!</v>
      </c>
      <c r="K6246" s="398"/>
      <c r="L6246" s="404"/>
      <c r="M6246" s="682"/>
      <c r="N6246" s="171"/>
      <c r="O6246" s="171"/>
      <c r="P6246" s="171"/>
      <c r="Q6246" s="171"/>
      <c r="R6246" s="171"/>
      <c r="S6246" s="171"/>
      <c r="T6246" s="171"/>
      <c r="U6246" s="171"/>
      <c r="V6246" s="171"/>
      <c r="W6246" s="171"/>
      <c r="X6246" s="171"/>
      <c r="Y6246" s="171"/>
      <c r="Z6246" s="171"/>
      <c r="AA6246" s="171"/>
    </row>
    <row r="6247" spans="1:27" s="530" customFormat="1" ht="15.75" hidden="1" customHeight="1" x14ac:dyDescent="0.2">
      <c r="A6247" s="526"/>
      <c r="B6247" s="527"/>
      <c r="C6247" s="465"/>
      <c r="D6247" s="464"/>
      <c r="E6247" s="464"/>
      <c r="F6247" s="503" t="s">
        <v>240</v>
      </c>
      <c r="G6247" s="504" t="s">
        <v>241</v>
      </c>
      <c r="H6247" s="397"/>
      <c r="I6247" s="397"/>
      <c r="J6247" s="750" t="e">
        <f t="shared" si="81"/>
        <v>#DIV/0!</v>
      </c>
      <c r="K6247" s="398"/>
      <c r="L6247" s="404"/>
      <c r="M6247" s="682"/>
      <c r="N6247" s="171"/>
      <c r="O6247" s="171"/>
      <c r="P6247" s="171"/>
      <c r="Q6247" s="171"/>
      <c r="R6247" s="171"/>
      <c r="S6247" s="171"/>
      <c r="T6247" s="171"/>
      <c r="U6247" s="171"/>
      <c r="V6247" s="171"/>
      <c r="W6247" s="171"/>
      <c r="X6247" s="171"/>
      <c r="Y6247" s="171"/>
      <c r="Z6247" s="171"/>
      <c r="AA6247" s="171"/>
    </row>
    <row r="6248" spans="1:27" s="530" customFormat="1" ht="15.75" hidden="1" customHeight="1" x14ac:dyDescent="0.2">
      <c r="A6248" s="526"/>
      <c r="B6248" s="527"/>
      <c r="C6248" s="465"/>
      <c r="D6248" s="464"/>
      <c r="E6248" s="464"/>
      <c r="F6248" s="503" t="s">
        <v>242</v>
      </c>
      <c r="G6248" s="504" t="s">
        <v>243</v>
      </c>
      <c r="H6248" s="397"/>
      <c r="I6248" s="397"/>
      <c r="J6248" s="750" t="e">
        <f t="shared" si="81"/>
        <v>#DIV/0!</v>
      </c>
      <c r="K6248" s="398"/>
      <c r="L6248" s="404"/>
      <c r="M6248" s="682"/>
      <c r="N6248" s="171"/>
      <c r="O6248" s="171"/>
      <c r="P6248" s="171"/>
      <c r="Q6248" s="171"/>
      <c r="R6248" s="171"/>
      <c r="S6248" s="171"/>
      <c r="T6248" s="171"/>
      <c r="U6248" s="171"/>
      <c r="V6248" s="171"/>
      <c r="W6248" s="171"/>
      <c r="X6248" s="171"/>
      <c r="Y6248" s="171"/>
      <c r="Z6248" s="171"/>
      <c r="AA6248" s="171"/>
    </row>
    <row r="6249" spans="1:27" s="530" customFormat="1" ht="15.75" hidden="1" customHeight="1" x14ac:dyDescent="0.2">
      <c r="A6249" s="526"/>
      <c r="B6249" s="527"/>
      <c r="C6249" s="465"/>
      <c r="D6249" s="464"/>
      <c r="E6249" s="464"/>
      <c r="F6249" s="503" t="s">
        <v>244</v>
      </c>
      <c r="G6249" s="504" t="s">
        <v>245</v>
      </c>
      <c r="H6249" s="397"/>
      <c r="I6249" s="397"/>
      <c r="J6249" s="750" t="e">
        <f t="shared" si="81"/>
        <v>#DIV/0!</v>
      </c>
      <c r="K6249" s="398"/>
      <c r="L6249" s="404"/>
      <c r="M6249" s="682"/>
      <c r="N6249" s="171"/>
      <c r="O6249" s="171"/>
      <c r="P6249" s="171"/>
      <c r="Q6249" s="171"/>
      <c r="R6249" s="171"/>
      <c r="S6249" s="171"/>
      <c r="T6249" s="171"/>
      <c r="U6249" s="171"/>
      <c r="V6249" s="171"/>
      <c r="W6249" s="171"/>
      <c r="X6249" s="171"/>
      <c r="Y6249" s="171"/>
      <c r="Z6249" s="171"/>
      <c r="AA6249" s="171"/>
    </row>
    <row r="6250" spans="1:27" s="530" customFormat="1" ht="15.75" hidden="1" customHeight="1" x14ac:dyDescent="0.2">
      <c r="A6250" s="526"/>
      <c r="B6250" s="527"/>
      <c r="C6250" s="465"/>
      <c r="D6250" s="464"/>
      <c r="E6250" s="464"/>
      <c r="F6250" s="503" t="s">
        <v>246</v>
      </c>
      <c r="G6250" s="504" t="s">
        <v>247</v>
      </c>
      <c r="H6250" s="397"/>
      <c r="I6250" s="397"/>
      <c r="J6250" s="750" t="e">
        <f t="shared" si="81"/>
        <v>#DIV/0!</v>
      </c>
      <c r="K6250" s="398"/>
      <c r="L6250" s="404"/>
      <c r="M6250" s="682"/>
      <c r="N6250" s="171"/>
      <c r="O6250" s="171"/>
      <c r="P6250" s="171"/>
      <c r="Q6250" s="171"/>
      <c r="R6250" s="171"/>
      <c r="S6250" s="171"/>
      <c r="T6250" s="171"/>
      <c r="U6250" s="171"/>
      <c r="V6250" s="171"/>
      <c r="W6250" s="171"/>
      <c r="X6250" s="171"/>
      <c r="Y6250" s="171"/>
      <c r="Z6250" s="171"/>
      <c r="AA6250" s="171"/>
    </row>
    <row r="6251" spans="1:27" s="530" customFormat="1" ht="15.75" hidden="1" customHeight="1" x14ac:dyDescent="0.2">
      <c r="A6251" s="526"/>
      <c r="B6251" s="527"/>
      <c r="C6251" s="465"/>
      <c r="D6251" s="464"/>
      <c r="E6251" s="464"/>
      <c r="F6251" s="503" t="s">
        <v>248</v>
      </c>
      <c r="G6251" s="504" t="s">
        <v>249</v>
      </c>
      <c r="H6251" s="397"/>
      <c r="I6251" s="397"/>
      <c r="J6251" s="750" t="e">
        <f t="shared" si="81"/>
        <v>#DIV/0!</v>
      </c>
      <c r="K6251" s="398"/>
      <c r="L6251" s="404"/>
      <c r="M6251" s="682"/>
      <c r="N6251" s="171"/>
      <c r="O6251" s="171"/>
      <c r="P6251" s="171"/>
      <c r="Q6251" s="171"/>
      <c r="R6251" s="171"/>
      <c r="S6251" s="171"/>
      <c r="T6251" s="171"/>
      <c r="U6251" s="171"/>
      <c r="V6251" s="171"/>
      <c r="W6251" s="171"/>
      <c r="X6251" s="171"/>
      <c r="Y6251" s="171"/>
      <c r="Z6251" s="171"/>
      <c r="AA6251" s="171"/>
    </row>
    <row r="6252" spans="1:27" s="530" customFormat="1" ht="15.75" hidden="1" customHeight="1" x14ac:dyDescent="0.2">
      <c r="A6252" s="526"/>
      <c r="B6252" s="527"/>
      <c r="C6252" s="465"/>
      <c r="D6252" s="464"/>
      <c r="E6252" s="464"/>
      <c r="F6252" s="503" t="s">
        <v>250</v>
      </c>
      <c r="G6252" s="504" t="s">
        <v>57</v>
      </c>
      <c r="H6252" s="397"/>
      <c r="I6252" s="397"/>
      <c r="J6252" s="750" t="e">
        <f t="shared" si="81"/>
        <v>#DIV/0!</v>
      </c>
      <c r="K6252" s="398"/>
      <c r="L6252" s="404"/>
      <c r="M6252" s="682"/>
      <c r="N6252" s="171"/>
      <c r="O6252" s="171"/>
      <c r="P6252" s="171"/>
      <c r="Q6252" s="171"/>
      <c r="R6252" s="171"/>
      <c r="S6252" s="171"/>
      <c r="T6252" s="171"/>
      <c r="U6252" s="171"/>
      <c r="V6252" s="171"/>
      <c r="W6252" s="171"/>
      <c r="X6252" s="171"/>
      <c r="Y6252" s="171"/>
      <c r="Z6252" s="171"/>
      <c r="AA6252" s="171"/>
    </row>
    <row r="6253" spans="1:27" s="530" customFormat="1" ht="15.75" hidden="1" customHeight="1" x14ac:dyDescent="0.2">
      <c r="A6253" s="526"/>
      <c r="B6253" s="527"/>
      <c r="C6253" s="465"/>
      <c r="D6253" s="464"/>
      <c r="E6253" s="464"/>
      <c r="F6253" s="503" t="s">
        <v>251</v>
      </c>
      <c r="G6253" s="504" t="s">
        <v>252</v>
      </c>
      <c r="H6253" s="397"/>
      <c r="I6253" s="397"/>
      <c r="J6253" s="750" t="e">
        <f t="shared" si="81"/>
        <v>#DIV/0!</v>
      </c>
      <c r="K6253" s="398"/>
      <c r="L6253" s="404"/>
      <c r="M6253" s="682"/>
      <c r="N6253" s="171"/>
      <c r="O6253" s="171"/>
      <c r="P6253" s="171"/>
      <c r="Q6253" s="171"/>
      <c r="R6253" s="171"/>
      <c r="S6253" s="171"/>
      <c r="T6253" s="171"/>
      <c r="U6253" s="171"/>
      <c r="V6253" s="171"/>
      <c r="W6253" s="171"/>
      <c r="X6253" s="171"/>
      <c r="Y6253" s="171"/>
      <c r="Z6253" s="171"/>
      <c r="AA6253" s="171"/>
    </row>
    <row r="6254" spans="1:27" s="530" customFormat="1" ht="15.75" hidden="1" customHeight="1" x14ac:dyDescent="0.2">
      <c r="A6254" s="526"/>
      <c r="B6254" s="527"/>
      <c r="C6254" s="465"/>
      <c r="D6254" s="464"/>
      <c r="E6254" s="464"/>
      <c r="F6254" s="503" t="s">
        <v>253</v>
      </c>
      <c r="G6254" s="504" t="s">
        <v>254</v>
      </c>
      <c r="H6254" s="397"/>
      <c r="I6254" s="397"/>
      <c r="J6254" s="750" t="e">
        <f t="shared" si="81"/>
        <v>#DIV/0!</v>
      </c>
      <c r="K6254" s="398"/>
      <c r="L6254" s="404"/>
      <c r="M6254" s="682"/>
      <c r="N6254" s="171"/>
      <c r="O6254" s="171"/>
      <c r="P6254" s="171"/>
      <c r="Q6254" s="171"/>
      <c r="R6254" s="171"/>
      <c r="S6254" s="171"/>
      <c r="T6254" s="171"/>
      <c r="U6254" s="171"/>
      <c r="V6254" s="171"/>
      <c r="W6254" s="171"/>
      <c r="X6254" s="171"/>
      <c r="Y6254" s="171"/>
      <c r="Z6254" s="171"/>
      <c r="AA6254" s="171"/>
    </row>
    <row r="6255" spans="1:27" s="530" customFormat="1" ht="15.75" hidden="1" customHeight="1" x14ac:dyDescent="0.2">
      <c r="A6255" s="526"/>
      <c r="B6255" s="527"/>
      <c r="C6255" s="465"/>
      <c r="D6255" s="464"/>
      <c r="E6255" s="464"/>
      <c r="F6255" s="503" t="s">
        <v>255</v>
      </c>
      <c r="G6255" s="504" t="s">
        <v>256</v>
      </c>
      <c r="H6255" s="397"/>
      <c r="I6255" s="397"/>
      <c r="J6255" s="750" t="e">
        <f t="shared" si="81"/>
        <v>#DIV/0!</v>
      </c>
      <c r="K6255" s="398"/>
      <c r="L6255" s="404"/>
      <c r="M6255" s="682"/>
      <c r="N6255" s="171"/>
      <c r="O6255" s="171"/>
      <c r="P6255" s="171"/>
      <c r="Q6255" s="171"/>
      <c r="R6255" s="171"/>
      <c r="S6255" s="171"/>
      <c r="T6255" s="171"/>
      <c r="U6255" s="171"/>
      <c r="V6255" s="171"/>
      <c r="W6255" s="171"/>
      <c r="X6255" s="171"/>
      <c r="Y6255" s="171"/>
      <c r="Z6255" s="171"/>
      <c r="AA6255" s="171"/>
    </row>
    <row r="6256" spans="1:27" s="530" customFormat="1" ht="15.75" hidden="1" customHeight="1" x14ac:dyDescent="0.2">
      <c r="A6256" s="526"/>
      <c r="B6256" s="527"/>
      <c r="C6256" s="465"/>
      <c r="D6256" s="464"/>
      <c r="E6256" s="464"/>
      <c r="F6256" s="503" t="s">
        <v>257</v>
      </c>
      <c r="G6256" s="504" t="s">
        <v>258</v>
      </c>
      <c r="H6256" s="397"/>
      <c r="I6256" s="397"/>
      <c r="J6256" s="750" t="e">
        <f t="shared" si="81"/>
        <v>#DIV/0!</v>
      </c>
      <c r="K6256" s="398"/>
      <c r="L6256" s="404"/>
      <c r="M6256" s="682"/>
      <c r="N6256" s="171"/>
      <c r="O6256" s="171"/>
      <c r="P6256" s="171"/>
      <c r="Q6256" s="171"/>
      <c r="R6256" s="171"/>
      <c r="S6256" s="171"/>
      <c r="T6256" s="171"/>
      <c r="U6256" s="171"/>
      <c r="V6256" s="171"/>
      <c r="W6256" s="171"/>
      <c r="X6256" s="171"/>
      <c r="Y6256" s="171"/>
      <c r="Z6256" s="171"/>
      <c r="AA6256" s="171"/>
    </row>
    <row r="6257" spans="1:27" s="530" customFormat="1" ht="15.75" hidden="1" customHeight="1" x14ac:dyDescent="0.2">
      <c r="A6257" s="526"/>
      <c r="B6257" s="527"/>
      <c r="C6257" s="465"/>
      <c r="D6257" s="464"/>
      <c r="E6257" s="464"/>
      <c r="F6257" s="503" t="s">
        <v>259</v>
      </c>
      <c r="G6257" s="504" t="s">
        <v>260</v>
      </c>
      <c r="H6257" s="397"/>
      <c r="I6257" s="397"/>
      <c r="J6257" s="750" t="e">
        <f t="shared" si="81"/>
        <v>#DIV/0!</v>
      </c>
      <c r="K6257" s="398"/>
      <c r="L6257" s="404"/>
      <c r="M6257" s="682"/>
      <c r="N6257" s="171"/>
      <c r="O6257" s="171"/>
      <c r="P6257" s="171"/>
      <c r="Q6257" s="171"/>
      <c r="R6257" s="171"/>
      <c r="S6257" s="171"/>
      <c r="T6257" s="171"/>
      <c r="U6257" s="171"/>
      <c r="V6257" s="171"/>
      <c r="W6257" s="171"/>
      <c r="X6257" s="171"/>
      <c r="Y6257" s="171"/>
      <c r="Z6257" s="171"/>
      <c r="AA6257" s="171"/>
    </row>
    <row r="6258" spans="1:27" s="530" customFormat="1" ht="15.75" hidden="1" customHeight="1" x14ac:dyDescent="0.2">
      <c r="A6258" s="526"/>
      <c r="B6258" s="527"/>
      <c r="C6258" s="465"/>
      <c r="D6258" s="464"/>
      <c r="E6258" s="464"/>
      <c r="F6258" s="503" t="s">
        <v>261</v>
      </c>
      <c r="G6258" s="504" t="s">
        <v>262</v>
      </c>
      <c r="H6258" s="397"/>
      <c r="I6258" s="397"/>
      <c r="J6258" s="750" t="e">
        <f t="shared" si="81"/>
        <v>#DIV/0!</v>
      </c>
      <c r="K6258" s="398"/>
      <c r="L6258" s="404"/>
      <c r="M6258" s="682"/>
      <c r="N6258" s="171"/>
      <c r="O6258" s="171"/>
      <c r="P6258" s="171"/>
      <c r="Q6258" s="171"/>
      <c r="R6258" s="171"/>
      <c r="S6258" s="171"/>
      <c r="T6258" s="171"/>
      <c r="U6258" s="171"/>
      <c r="V6258" s="171"/>
      <c r="W6258" s="171"/>
      <c r="X6258" s="171"/>
      <c r="Y6258" s="171"/>
      <c r="Z6258" s="171"/>
      <c r="AA6258" s="171"/>
    </row>
    <row r="6259" spans="1:27" s="530" customFormat="1" ht="15.75" hidden="1" customHeight="1" thickBot="1" x14ac:dyDescent="0.25">
      <c r="A6259" s="526"/>
      <c r="B6259" s="527"/>
      <c r="C6259" s="465"/>
      <c r="D6259" s="464"/>
      <c r="E6259" s="464"/>
      <c r="F6259" s="503" t="s">
        <v>263</v>
      </c>
      <c r="G6259" s="504" t="s">
        <v>264</v>
      </c>
      <c r="H6259" s="403"/>
      <c r="I6259" s="403"/>
      <c r="J6259" s="750" t="e">
        <f t="shared" si="81"/>
        <v>#DIV/0!</v>
      </c>
      <c r="K6259" s="404"/>
      <c r="L6259" s="404"/>
      <c r="M6259" s="682"/>
      <c r="N6259" s="171"/>
      <c r="O6259" s="171"/>
      <c r="P6259" s="171"/>
      <c r="Q6259" s="171"/>
      <c r="R6259" s="171"/>
      <c r="S6259" s="171"/>
      <c r="T6259" s="171"/>
      <c r="U6259" s="171"/>
      <c r="V6259" s="171"/>
      <c r="W6259" s="171"/>
      <c r="X6259" s="171"/>
      <c r="Y6259" s="171"/>
      <c r="Z6259" s="171"/>
      <c r="AA6259" s="171"/>
    </row>
    <row r="6260" spans="1:27" s="530" customFormat="1" ht="15.75" hidden="1" customHeight="1" thickBot="1" x14ac:dyDescent="0.25">
      <c r="A6260" s="526"/>
      <c r="B6260" s="527"/>
      <c r="C6260" s="465"/>
      <c r="D6260" s="464"/>
      <c r="E6260" s="464"/>
      <c r="F6260" s="464"/>
      <c r="G6260" s="505" t="s">
        <v>5020</v>
      </c>
      <c r="H6260" s="405">
        <f>SUM(H6244:H6259)</f>
        <v>0</v>
      </c>
      <c r="I6260" s="405"/>
      <c r="J6260" s="750" t="e">
        <f t="shared" si="81"/>
        <v>#DIV/0!</v>
      </c>
      <c r="K6260" s="406">
        <f>SUM(K6245:K6259)</f>
        <v>0</v>
      </c>
      <c r="L6260" s="406"/>
      <c r="M6260" s="682"/>
      <c r="N6260" s="171"/>
      <c r="O6260" s="171"/>
      <c r="P6260" s="171"/>
      <c r="Q6260" s="171"/>
      <c r="R6260" s="171"/>
      <c r="S6260" s="171"/>
      <c r="T6260" s="171"/>
      <c r="U6260" s="171"/>
      <c r="V6260" s="171"/>
      <c r="W6260" s="171"/>
      <c r="X6260" s="171"/>
      <c r="Y6260" s="171"/>
      <c r="Z6260" s="171"/>
      <c r="AA6260" s="171"/>
    </row>
    <row r="6261" spans="1:27" s="530" customFormat="1" ht="15.75" hidden="1" customHeight="1" x14ac:dyDescent="0.2">
      <c r="A6261" s="526"/>
      <c r="B6261" s="527"/>
      <c r="C6261" s="465"/>
      <c r="D6261" s="464"/>
      <c r="E6261" s="464"/>
      <c r="F6261" s="464"/>
      <c r="G6261" s="507"/>
      <c r="H6261" s="397"/>
      <c r="I6261" s="397"/>
      <c r="J6261" s="750" t="e">
        <f t="shared" si="81"/>
        <v>#DIV/0!</v>
      </c>
      <c r="K6261" s="398"/>
      <c r="L6261" s="398"/>
      <c r="M6261" s="682"/>
      <c r="N6261" s="171"/>
      <c r="O6261" s="171"/>
      <c r="P6261" s="171"/>
      <c r="Q6261" s="171"/>
      <c r="R6261" s="171"/>
      <c r="S6261" s="171"/>
      <c r="T6261" s="171"/>
      <c r="U6261" s="171"/>
      <c r="V6261" s="171"/>
      <c r="W6261" s="171"/>
      <c r="X6261" s="171"/>
      <c r="Y6261" s="171"/>
      <c r="Z6261" s="171"/>
      <c r="AA6261" s="171"/>
    </row>
    <row r="6262" spans="1:27" s="530" customFormat="1" ht="15.75" hidden="1" customHeight="1" x14ac:dyDescent="0.2">
      <c r="A6262" s="526"/>
      <c r="B6262" s="527"/>
      <c r="C6262" s="489" t="s">
        <v>4710</v>
      </c>
      <c r="D6262" s="490"/>
      <c r="E6262" s="464"/>
      <c r="F6262" s="464"/>
      <c r="G6262" s="508" t="s">
        <v>5088</v>
      </c>
      <c r="H6262" s="397"/>
      <c r="I6262" s="397"/>
      <c r="J6262" s="750" t="e">
        <f t="shared" si="81"/>
        <v>#DIV/0!</v>
      </c>
      <c r="K6262" s="398"/>
      <c r="L6262" s="398"/>
      <c r="M6262" s="682"/>
      <c r="N6262" s="171"/>
      <c r="O6262" s="171"/>
      <c r="P6262" s="171"/>
      <c r="Q6262" s="171"/>
      <c r="R6262" s="171"/>
      <c r="S6262" s="171"/>
      <c r="T6262" s="171"/>
      <c r="U6262" s="171"/>
      <c r="V6262" s="171"/>
      <c r="W6262" s="171"/>
      <c r="X6262" s="171"/>
      <c r="Y6262" s="171"/>
      <c r="Z6262" s="171"/>
      <c r="AA6262" s="171"/>
    </row>
    <row r="6263" spans="1:27" s="530" customFormat="1" ht="15.75" hidden="1" customHeight="1" x14ac:dyDescent="0.2">
      <c r="A6263" s="526"/>
      <c r="B6263" s="527"/>
      <c r="C6263" s="489"/>
      <c r="D6263" s="492">
        <v>912</v>
      </c>
      <c r="E6263" s="492"/>
      <c r="F6263" s="492"/>
      <c r="G6263" s="493" t="s">
        <v>215</v>
      </c>
      <c r="H6263" s="397"/>
      <c r="I6263" s="397"/>
      <c r="J6263" s="750" t="e">
        <f t="shared" si="81"/>
        <v>#DIV/0!</v>
      </c>
      <c r="K6263" s="398"/>
      <c r="L6263" s="398"/>
      <c r="M6263" s="682"/>
      <c r="N6263" s="171"/>
      <c r="O6263" s="171"/>
      <c r="P6263" s="171"/>
      <c r="Q6263" s="171"/>
      <c r="R6263" s="171"/>
      <c r="S6263" s="171"/>
      <c r="T6263" s="171"/>
      <c r="U6263" s="171"/>
      <c r="V6263" s="171"/>
      <c r="W6263" s="171"/>
      <c r="X6263" s="171"/>
      <c r="Y6263" s="171"/>
      <c r="Z6263" s="171"/>
      <c r="AA6263" s="171"/>
    </row>
    <row r="6264" spans="1:27" s="530" customFormat="1" ht="15.75" hidden="1" customHeight="1" x14ac:dyDescent="0.2">
      <c r="A6264" s="526"/>
      <c r="B6264" s="527"/>
      <c r="C6264" s="465"/>
      <c r="D6264" s="464"/>
      <c r="E6264" s="464"/>
      <c r="F6264" s="494">
        <v>411</v>
      </c>
      <c r="G6264" s="495" t="s">
        <v>4167</v>
      </c>
      <c r="H6264" s="397"/>
      <c r="I6264" s="397"/>
      <c r="J6264" s="750" t="e">
        <f t="shared" si="81"/>
        <v>#DIV/0!</v>
      </c>
      <c r="K6264" s="398"/>
      <c r="L6264" s="398"/>
      <c r="M6264" s="682"/>
      <c r="N6264" s="171"/>
      <c r="O6264" s="171"/>
      <c r="P6264" s="171"/>
      <c r="Q6264" s="171"/>
      <c r="R6264" s="171"/>
      <c r="S6264" s="171"/>
      <c r="T6264" s="171"/>
      <c r="U6264" s="171"/>
      <c r="V6264" s="171"/>
      <c r="W6264" s="171"/>
      <c r="X6264" s="171"/>
      <c r="Y6264" s="171"/>
      <c r="Z6264" s="171"/>
      <c r="AA6264" s="171"/>
    </row>
    <row r="6265" spans="1:27" s="530" customFormat="1" ht="15.75" hidden="1" customHeight="1" x14ac:dyDescent="0.2">
      <c r="A6265" s="526"/>
      <c r="B6265" s="527"/>
      <c r="C6265" s="465"/>
      <c r="D6265" s="464"/>
      <c r="E6265" s="464"/>
      <c r="F6265" s="494">
        <v>412</v>
      </c>
      <c r="G6265" s="496" t="s">
        <v>3764</v>
      </c>
      <c r="H6265" s="397"/>
      <c r="I6265" s="397"/>
      <c r="J6265" s="750" t="e">
        <f t="shared" si="81"/>
        <v>#DIV/0!</v>
      </c>
      <c r="K6265" s="398"/>
      <c r="L6265" s="398"/>
      <c r="M6265" s="682"/>
      <c r="N6265" s="171"/>
      <c r="O6265" s="171"/>
      <c r="P6265" s="171"/>
      <c r="Q6265" s="171"/>
      <c r="R6265" s="171"/>
      <c r="S6265" s="171"/>
      <c r="T6265" s="171"/>
      <c r="U6265" s="171"/>
      <c r="V6265" s="171"/>
      <c r="W6265" s="171"/>
      <c r="X6265" s="171"/>
      <c r="Y6265" s="171"/>
      <c r="Z6265" s="171"/>
      <c r="AA6265" s="171"/>
    </row>
    <row r="6266" spans="1:27" s="530" customFormat="1" ht="15.75" hidden="1" customHeight="1" x14ac:dyDescent="0.2">
      <c r="A6266" s="526"/>
      <c r="B6266" s="527"/>
      <c r="C6266" s="465"/>
      <c r="D6266" s="464"/>
      <c r="E6266" s="464"/>
      <c r="F6266" s="494">
        <v>413</v>
      </c>
      <c r="G6266" s="495" t="s">
        <v>4168</v>
      </c>
      <c r="H6266" s="397"/>
      <c r="I6266" s="397"/>
      <c r="J6266" s="750" t="e">
        <f t="shared" si="81"/>
        <v>#DIV/0!</v>
      </c>
      <c r="K6266" s="398"/>
      <c r="L6266" s="398"/>
      <c r="M6266" s="682"/>
      <c r="N6266" s="171"/>
      <c r="O6266" s="171"/>
      <c r="P6266" s="171"/>
      <c r="Q6266" s="171"/>
      <c r="R6266" s="171"/>
      <c r="S6266" s="171"/>
      <c r="T6266" s="171"/>
      <c r="U6266" s="171"/>
      <c r="V6266" s="171"/>
      <c r="W6266" s="171"/>
      <c r="X6266" s="171"/>
      <c r="Y6266" s="171"/>
      <c r="Z6266" s="171"/>
      <c r="AA6266" s="171"/>
    </row>
    <row r="6267" spans="1:27" s="530" customFormat="1" ht="15.75" hidden="1" customHeight="1" x14ac:dyDescent="0.2">
      <c r="A6267" s="526"/>
      <c r="B6267" s="527"/>
      <c r="C6267" s="465"/>
      <c r="D6267" s="464"/>
      <c r="E6267" s="464"/>
      <c r="F6267" s="494">
        <v>414</v>
      </c>
      <c r="G6267" s="495" t="s">
        <v>3767</v>
      </c>
      <c r="H6267" s="397"/>
      <c r="I6267" s="397"/>
      <c r="J6267" s="750" t="e">
        <f t="shared" si="81"/>
        <v>#DIV/0!</v>
      </c>
      <c r="K6267" s="398"/>
      <c r="L6267" s="398"/>
      <c r="M6267" s="682"/>
      <c r="N6267" s="171"/>
      <c r="O6267" s="171"/>
      <c r="P6267" s="171"/>
      <c r="Q6267" s="171"/>
      <c r="R6267" s="171"/>
      <c r="S6267" s="171"/>
      <c r="T6267" s="171"/>
      <c r="U6267" s="171"/>
      <c r="V6267" s="171"/>
      <c r="W6267" s="171"/>
      <c r="X6267" s="171"/>
      <c r="Y6267" s="171"/>
      <c r="Z6267" s="171"/>
      <c r="AA6267" s="171"/>
    </row>
    <row r="6268" spans="1:27" s="530" customFormat="1" ht="15.75" hidden="1" customHeight="1" x14ac:dyDescent="0.2">
      <c r="A6268" s="526"/>
      <c r="B6268" s="527"/>
      <c r="C6268" s="465"/>
      <c r="D6268" s="464"/>
      <c r="E6268" s="464"/>
      <c r="F6268" s="494">
        <v>415</v>
      </c>
      <c r="G6268" s="495" t="s">
        <v>4177</v>
      </c>
      <c r="H6268" s="397"/>
      <c r="I6268" s="397"/>
      <c r="J6268" s="750" t="e">
        <f t="shared" si="81"/>
        <v>#DIV/0!</v>
      </c>
      <c r="K6268" s="398"/>
      <c r="L6268" s="398"/>
      <c r="M6268" s="682"/>
      <c r="N6268" s="171"/>
      <c r="O6268" s="171"/>
      <c r="P6268" s="171"/>
      <c r="Q6268" s="171"/>
      <c r="R6268" s="171"/>
      <c r="S6268" s="171"/>
      <c r="T6268" s="171"/>
      <c r="U6268" s="171"/>
      <c r="V6268" s="171"/>
      <c r="W6268" s="171"/>
      <c r="X6268" s="171"/>
      <c r="Y6268" s="171"/>
      <c r="Z6268" s="171"/>
      <c r="AA6268" s="171"/>
    </row>
    <row r="6269" spans="1:27" s="530" customFormat="1" ht="15.75" hidden="1" customHeight="1" x14ac:dyDescent="0.2">
      <c r="A6269" s="526"/>
      <c r="B6269" s="527"/>
      <c r="C6269" s="465"/>
      <c r="D6269" s="464"/>
      <c r="E6269" s="464"/>
      <c r="F6269" s="494">
        <v>416</v>
      </c>
      <c r="G6269" s="495" t="s">
        <v>4178</v>
      </c>
      <c r="H6269" s="397"/>
      <c r="I6269" s="397"/>
      <c r="J6269" s="750" t="e">
        <f t="shared" si="81"/>
        <v>#DIV/0!</v>
      </c>
      <c r="K6269" s="398"/>
      <c r="L6269" s="398"/>
      <c r="M6269" s="682"/>
      <c r="N6269" s="171"/>
      <c r="O6269" s="171"/>
      <c r="P6269" s="171"/>
      <c r="Q6269" s="171"/>
      <c r="R6269" s="171"/>
      <c r="S6269" s="171"/>
      <c r="T6269" s="171"/>
      <c r="U6269" s="171"/>
      <c r="V6269" s="171"/>
      <c r="W6269" s="171"/>
      <c r="X6269" s="171"/>
      <c r="Y6269" s="171"/>
      <c r="Z6269" s="171"/>
      <c r="AA6269" s="171"/>
    </row>
    <row r="6270" spans="1:27" s="530" customFormat="1" ht="15.75" hidden="1" customHeight="1" x14ac:dyDescent="0.2">
      <c r="A6270" s="526"/>
      <c r="B6270" s="527"/>
      <c r="C6270" s="465"/>
      <c r="D6270" s="464"/>
      <c r="E6270" s="464"/>
      <c r="F6270" s="494">
        <v>417</v>
      </c>
      <c r="G6270" s="495" t="s">
        <v>4179</v>
      </c>
      <c r="H6270" s="397"/>
      <c r="I6270" s="397"/>
      <c r="J6270" s="750" t="e">
        <f t="shared" si="81"/>
        <v>#DIV/0!</v>
      </c>
      <c r="K6270" s="398"/>
      <c r="L6270" s="398"/>
      <c r="M6270" s="682"/>
      <c r="N6270" s="171"/>
      <c r="O6270" s="171"/>
      <c r="P6270" s="171"/>
      <c r="Q6270" s="171"/>
      <c r="R6270" s="171"/>
      <c r="S6270" s="171"/>
      <c r="T6270" s="171"/>
      <c r="U6270" s="171"/>
      <c r="V6270" s="171"/>
      <c r="W6270" s="171"/>
      <c r="X6270" s="171"/>
      <c r="Y6270" s="171"/>
      <c r="Z6270" s="171"/>
      <c r="AA6270" s="171"/>
    </row>
    <row r="6271" spans="1:27" s="530" customFormat="1" ht="15.75" hidden="1" customHeight="1" x14ac:dyDescent="0.2">
      <c r="A6271" s="526"/>
      <c r="B6271" s="527"/>
      <c r="C6271" s="465"/>
      <c r="D6271" s="464"/>
      <c r="E6271" s="464"/>
      <c r="F6271" s="494">
        <v>418</v>
      </c>
      <c r="G6271" s="495" t="s">
        <v>3773</v>
      </c>
      <c r="H6271" s="397"/>
      <c r="I6271" s="397"/>
      <c r="J6271" s="750" t="e">
        <f t="shared" si="81"/>
        <v>#DIV/0!</v>
      </c>
      <c r="K6271" s="398"/>
      <c r="L6271" s="398"/>
      <c r="M6271" s="682"/>
      <c r="N6271" s="171"/>
      <c r="O6271" s="171"/>
      <c r="P6271" s="171"/>
      <c r="Q6271" s="171"/>
      <c r="R6271" s="171"/>
      <c r="S6271" s="171"/>
      <c r="T6271" s="171"/>
      <c r="U6271" s="171"/>
      <c r="V6271" s="171"/>
      <c r="W6271" s="171"/>
      <c r="X6271" s="171"/>
      <c r="Y6271" s="171"/>
      <c r="Z6271" s="171"/>
      <c r="AA6271" s="171"/>
    </row>
    <row r="6272" spans="1:27" s="530" customFormat="1" ht="15.75" hidden="1" customHeight="1" x14ac:dyDescent="0.2">
      <c r="A6272" s="526"/>
      <c r="B6272" s="527"/>
      <c r="C6272" s="465"/>
      <c r="D6272" s="464"/>
      <c r="E6272" s="464"/>
      <c r="F6272" s="494">
        <v>421</v>
      </c>
      <c r="G6272" s="495" t="s">
        <v>3777</v>
      </c>
      <c r="H6272" s="397"/>
      <c r="I6272" s="397"/>
      <c r="J6272" s="750" t="e">
        <f t="shared" si="81"/>
        <v>#DIV/0!</v>
      </c>
      <c r="K6272" s="398"/>
      <c r="L6272" s="398"/>
      <c r="M6272" s="682"/>
      <c r="N6272" s="171"/>
      <c r="O6272" s="171"/>
      <c r="P6272" s="171"/>
      <c r="Q6272" s="171"/>
      <c r="R6272" s="171"/>
      <c r="S6272" s="171"/>
      <c r="T6272" s="171"/>
      <c r="U6272" s="171"/>
      <c r="V6272" s="171"/>
      <c r="W6272" s="171"/>
      <c r="X6272" s="171"/>
      <c r="Y6272" s="171"/>
      <c r="Z6272" s="171"/>
      <c r="AA6272" s="171"/>
    </row>
    <row r="6273" spans="1:27" s="530" customFormat="1" ht="15.75" hidden="1" customHeight="1" x14ac:dyDescent="0.2">
      <c r="A6273" s="526"/>
      <c r="B6273" s="527"/>
      <c r="C6273" s="465"/>
      <c r="D6273" s="464"/>
      <c r="E6273" s="464"/>
      <c r="F6273" s="494">
        <v>422</v>
      </c>
      <c r="G6273" s="495" t="s">
        <v>3778</v>
      </c>
      <c r="H6273" s="397"/>
      <c r="I6273" s="397"/>
      <c r="J6273" s="750" t="e">
        <f t="shared" si="81"/>
        <v>#DIV/0!</v>
      </c>
      <c r="K6273" s="398"/>
      <c r="L6273" s="398"/>
      <c r="M6273" s="682"/>
      <c r="N6273" s="171"/>
      <c r="O6273" s="171"/>
      <c r="P6273" s="171"/>
      <c r="Q6273" s="171"/>
      <c r="R6273" s="171"/>
      <c r="S6273" s="171"/>
      <c r="T6273" s="171"/>
      <c r="U6273" s="171"/>
      <c r="V6273" s="171"/>
      <c r="W6273" s="171"/>
      <c r="X6273" s="171"/>
      <c r="Y6273" s="171"/>
      <c r="Z6273" s="171"/>
      <c r="AA6273" s="171"/>
    </row>
    <row r="6274" spans="1:27" s="530" customFormat="1" ht="15.75" hidden="1" customHeight="1" x14ac:dyDescent="0.2">
      <c r="A6274" s="526"/>
      <c r="B6274" s="527"/>
      <c r="C6274" s="465"/>
      <c r="D6274" s="464"/>
      <c r="E6274" s="464"/>
      <c r="F6274" s="494">
        <v>423</v>
      </c>
      <c r="G6274" s="495" t="s">
        <v>3779</v>
      </c>
      <c r="H6274" s="397"/>
      <c r="I6274" s="397"/>
      <c r="J6274" s="750" t="e">
        <f t="shared" si="81"/>
        <v>#DIV/0!</v>
      </c>
      <c r="K6274" s="398"/>
      <c r="L6274" s="398"/>
      <c r="M6274" s="682"/>
      <c r="N6274" s="171"/>
      <c r="O6274" s="171"/>
      <c r="P6274" s="171"/>
      <c r="Q6274" s="171"/>
      <c r="R6274" s="171"/>
      <c r="S6274" s="171"/>
      <c r="T6274" s="171"/>
      <c r="U6274" s="171"/>
      <c r="V6274" s="171"/>
      <c r="W6274" s="171"/>
      <c r="X6274" s="171"/>
      <c r="Y6274" s="171"/>
      <c r="Z6274" s="171"/>
      <c r="AA6274" s="171"/>
    </row>
    <row r="6275" spans="1:27" s="530" customFormat="1" ht="15.75" hidden="1" customHeight="1" x14ac:dyDescent="0.2">
      <c r="A6275" s="526"/>
      <c r="B6275" s="527"/>
      <c r="C6275" s="465"/>
      <c r="D6275" s="464"/>
      <c r="E6275" s="464"/>
      <c r="F6275" s="494">
        <v>424</v>
      </c>
      <c r="G6275" s="495" t="s">
        <v>3781</v>
      </c>
      <c r="H6275" s="397"/>
      <c r="I6275" s="397"/>
      <c r="J6275" s="750" t="e">
        <f t="shared" si="81"/>
        <v>#DIV/0!</v>
      </c>
      <c r="K6275" s="398"/>
      <c r="L6275" s="398"/>
      <c r="M6275" s="682"/>
      <c r="N6275" s="171"/>
      <c r="O6275" s="171"/>
      <c r="P6275" s="171"/>
      <c r="Q6275" s="171"/>
      <c r="R6275" s="171"/>
      <c r="S6275" s="171"/>
      <c r="T6275" s="171"/>
      <c r="U6275" s="171"/>
      <c r="V6275" s="171"/>
      <c r="W6275" s="171"/>
      <c r="X6275" s="171"/>
      <c r="Y6275" s="171"/>
      <c r="Z6275" s="171"/>
      <c r="AA6275" s="171"/>
    </row>
    <row r="6276" spans="1:27" s="530" customFormat="1" ht="15.75" hidden="1" customHeight="1" x14ac:dyDescent="0.2">
      <c r="A6276" s="526"/>
      <c r="B6276" s="527"/>
      <c r="C6276" s="465"/>
      <c r="D6276" s="464"/>
      <c r="E6276" s="464"/>
      <c r="F6276" s="494">
        <v>425</v>
      </c>
      <c r="G6276" s="495" t="s">
        <v>4180</v>
      </c>
      <c r="H6276" s="397"/>
      <c r="I6276" s="397"/>
      <c r="J6276" s="750" t="e">
        <f t="shared" si="81"/>
        <v>#DIV/0!</v>
      </c>
      <c r="K6276" s="398"/>
      <c r="L6276" s="398"/>
      <c r="M6276" s="682"/>
      <c r="N6276" s="171"/>
      <c r="O6276" s="171"/>
      <c r="P6276" s="171"/>
      <c r="Q6276" s="171"/>
      <c r="R6276" s="171"/>
      <c r="S6276" s="171"/>
      <c r="T6276" s="171"/>
      <c r="U6276" s="171"/>
      <c r="V6276" s="171"/>
      <c r="W6276" s="171"/>
      <c r="X6276" s="171"/>
      <c r="Y6276" s="171"/>
      <c r="Z6276" s="171"/>
      <c r="AA6276" s="171"/>
    </row>
    <row r="6277" spans="1:27" s="530" customFormat="1" ht="15.75" hidden="1" customHeight="1" x14ac:dyDescent="0.2">
      <c r="A6277" s="526"/>
      <c r="B6277" s="527"/>
      <c r="C6277" s="465"/>
      <c r="D6277" s="464"/>
      <c r="E6277" s="464"/>
      <c r="F6277" s="494">
        <v>426</v>
      </c>
      <c r="G6277" s="495" t="s">
        <v>3785</v>
      </c>
      <c r="H6277" s="397"/>
      <c r="I6277" s="397"/>
      <c r="J6277" s="750" t="e">
        <f t="shared" si="81"/>
        <v>#DIV/0!</v>
      </c>
      <c r="K6277" s="398"/>
      <c r="L6277" s="398"/>
      <c r="M6277" s="682"/>
      <c r="N6277" s="171"/>
      <c r="O6277" s="171"/>
      <c r="P6277" s="171"/>
      <c r="Q6277" s="171"/>
      <c r="R6277" s="171"/>
      <c r="S6277" s="171"/>
      <c r="T6277" s="171"/>
      <c r="U6277" s="171"/>
      <c r="V6277" s="171"/>
      <c r="W6277" s="171"/>
      <c r="X6277" s="171"/>
      <c r="Y6277" s="171"/>
      <c r="Z6277" s="171"/>
      <c r="AA6277" s="171"/>
    </row>
    <row r="6278" spans="1:27" s="530" customFormat="1" ht="15.75" hidden="1" customHeight="1" x14ac:dyDescent="0.2">
      <c r="A6278" s="526"/>
      <c r="B6278" s="527"/>
      <c r="C6278" s="465"/>
      <c r="D6278" s="464"/>
      <c r="E6278" s="464"/>
      <c r="F6278" s="494">
        <v>431</v>
      </c>
      <c r="G6278" s="495" t="s">
        <v>4181</v>
      </c>
      <c r="H6278" s="397"/>
      <c r="I6278" s="397"/>
      <c r="J6278" s="750" t="e">
        <f t="shared" si="81"/>
        <v>#DIV/0!</v>
      </c>
      <c r="K6278" s="398"/>
      <c r="L6278" s="398"/>
      <c r="M6278" s="682"/>
      <c r="N6278" s="171"/>
      <c r="O6278" s="171"/>
      <c r="P6278" s="171"/>
      <c r="Q6278" s="171"/>
      <c r="R6278" s="171"/>
      <c r="S6278" s="171"/>
      <c r="T6278" s="171"/>
      <c r="U6278" s="171"/>
      <c r="V6278" s="171"/>
      <c r="W6278" s="171"/>
      <c r="X6278" s="171"/>
      <c r="Y6278" s="171"/>
      <c r="Z6278" s="171"/>
      <c r="AA6278" s="171"/>
    </row>
    <row r="6279" spans="1:27" s="530" customFormat="1" ht="15.75" hidden="1" customHeight="1" x14ac:dyDescent="0.2">
      <c r="A6279" s="526"/>
      <c r="B6279" s="527"/>
      <c r="C6279" s="465"/>
      <c r="D6279" s="464"/>
      <c r="E6279" s="464"/>
      <c r="F6279" s="494">
        <v>432</v>
      </c>
      <c r="G6279" s="495" t="s">
        <v>4182</v>
      </c>
      <c r="H6279" s="397"/>
      <c r="I6279" s="397"/>
      <c r="J6279" s="750" t="e">
        <f t="shared" si="81"/>
        <v>#DIV/0!</v>
      </c>
      <c r="K6279" s="398"/>
      <c r="L6279" s="398"/>
      <c r="M6279" s="682"/>
      <c r="N6279" s="171"/>
      <c r="O6279" s="171"/>
      <c r="P6279" s="171"/>
      <c r="Q6279" s="171"/>
      <c r="R6279" s="171"/>
      <c r="S6279" s="171"/>
      <c r="T6279" s="171"/>
      <c r="U6279" s="171"/>
      <c r="V6279" s="171"/>
      <c r="W6279" s="171"/>
      <c r="X6279" s="171"/>
      <c r="Y6279" s="171"/>
      <c r="Z6279" s="171"/>
      <c r="AA6279" s="171"/>
    </row>
    <row r="6280" spans="1:27" s="530" customFormat="1" ht="15.75" hidden="1" customHeight="1" x14ac:dyDescent="0.2">
      <c r="A6280" s="526"/>
      <c r="B6280" s="527"/>
      <c r="C6280" s="465"/>
      <c r="D6280" s="464"/>
      <c r="E6280" s="464"/>
      <c r="F6280" s="494">
        <v>433</v>
      </c>
      <c r="G6280" s="495" t="s">
        <v>4183</v>
      </c>
      <c r="H6280" s="397"/>
      <c r="I6280" s="397"/>
      <c r="J6280" s="750" t="e">
        <f t="shared" si="81"/>
        <v>#DIV/0!</v>
      </c>
      <c r="K6280" s="398"/>
      <c r="L6280" s="398"/>
      <c r="M6280" s="682"/>
      <c r="N6280" s="171"/>
      <c r="O6280" s="171"/>
      <c r="P6280" s="171"/>
      <c r="Q6280" s="171"/>
      <c r="R6280" s="171"/>
      <c r="S6280" s="171"/>
      <c r="T6280" s="171"/>
      <c r="U6280" s="171"/>
      <c r="V6280" s="171"/>
      <c r="W6280" s="171"/>
      <c r="X6280" s="171"/>
      <c r="Y6280" s="171"/>
      <c r="Z6280" s="171"/>
      <c r="AA6280" s="171"/>
    </row>
    <row r="6281" spans="1:27" s="530" customFormat="1" ht="15.75" hidden="1" customHeight="1" x14ac:dyDescent="0.2">
      <c r="A6281" s="526"/>
      <c r="B6281" s="527"/>
      <c r="C6281" s="465"/>
      <c r="D6281" s="464"/>
      <c r="E6281" s="464"/>
      <c r="F6281" s="494">
        <v>434</v>
      </c>
      <c r="G6281" s="495" t="s">
        <v>4184</v>
      </c>
      <c r="H6281" s="397"/>
      <c r="I6281" s="397"/>
      <c r="J6281" s="750" t="e">
        <f t="shared" si="81"/>
        <v>#DIV/0!</v>
      </c>
      <c r="K6281" s="398"/>
      <c r="L6281" s="398"/>
      <c r="M6281" s="682"/>
      <c r="N6281" s="171"/>
      <c r="O6281" s="171"/>
      <c r="P6281" s="171"/>
      <c r="Q6281" s="171"/>
      <c r="R6281" s="171"/>
      <c r="S6281" s="171"/>
      <c r="T6281" s="171"/>
      <c r="U6281" s="171"/>
      <c r="V6281" s="171"/>
      <c r="W6281" s="171"/>
      <c r="X6281" s="171"/>
      <c r="Y6281" s="171"/>
      <c r="Z6281" s="171"/>
      <c r="AA6281" s="171"/>
    </row>
    <row r="6282" spans="1:27" s="530" customFormat="1" ht="15.75" hidden="1" customHeight="1" x14ac:dyDescent="0.2">
      <c r="A6282" s="526"/>
      <c r="B6282" s="527"/>
      <c r="C6282" s="465"/>
      <c r="D6282" s="464"/>
      <c r="E6282" s="464"/>
      <c r="F6282" s="494">
        <v>435</v>
      </c>
      <c r="G6282" s="495" t="s">
        <v>3792</v>
      </c>
      <c r="H6282" s="397"/>
      <c r="I6282" s="397"/>
      <c r="J6282" s="750" t="e">
        <f t="shared" si="81"/>
        <v>#DIV/0!</v>
      </c>
      <c r="K6282" s="398"/>
      <c r="L6282" s="398"/>
      <c r="M6282" s="682"/>
      <c r="N6282" s="171"/>
      <c r="O6282" s="171"/>
      <c r="P6282" s="171"/>
      <c r="Q6282" s="171"/>
      <c r="R6282" s="171"/>
      <c r="S6282" s="171"/>
      <c r="T6282" s="171"/>
      <c r="U6282" s="171"/>
      <c r="V6282" s="171"/>
      <c r="W6282" s="171"/>
      <c r="X6282" s="171"/>
      <c r="Y6282" s="171"/>
      <c r="Z6282" s="171"/>
      <c r="AA6282" s="171"/>
    </row>
    <row r="6283" spans="1:27" s="530" customFormat="1" ht="15.75" hidden="1" customHeight="1" x14ac:dyDescent="0.2">
      <c r="A6283" s="526"/>
      <c r="B6283" s="527"/>
      <c r="C6283" s="465"/>
      <c r="D6283" s="464"/>
      <c r="E6283" s="464"/>
      <c r="F6283" s="494">
        <v>441</v>
      </c>
      <c r="G6283" s="495" t="s">
        <v>4185</v>
      </c>
      <c r="H6283" s="397"/>
      <c r="I6283" s="397"/>
      <c r="J6283" s="750" t="e">
        <f t="shared" si="81"/>
        <v>#DIV/0!</v>
      </c>
      <c r="K6283" s="398"/>
      <c r="L6283" s="398"/>
      <c r="M6283" s="682"/>
      <c r="N6283" s="171"/>
      <c r="O6283" s="171"/>
      <c r="P6283" s="171"/>
      <c r="Q6283" s="171"/>
      <c r="R6283" s="171"/>
      <c r="S6283" s="171"/>
      <c r="T6283" s="171"/>
      <c r="U6283" s="171"/>
      <c r="V6283" s="171"/>
      <c r="W6283" s="171"/>
      <c r="X6283" s="171"/>
      <c r="Y6283" s="171"/>
      <c r="Z6283" s="171"/>
      <c r="AA6283" s="171"/>
    </row>
    <row r="6284" spans="1:27" s="530" customFormat="1" ht="15.75" hidden="1" customHeight="1" x14ac:dyDescent="0.2">
      <c r="A6284" s="526"/>
      <c r="B6284" s="527"/>
      <c r="C6284" s="465"/>
      <c r="D6284" s="464"/>
      <c r="E6284" s="464"/>
      <c r="F6284" s="494">
        <v>442</v>
      </c>
      <c r="G6284" s="495" t="s">
        <v>4186</v>
      </c>
      <c r="H6284" s="397"/>
      <c r="I6284" s="397"/>
      <c r="J6284" s="750" t="e">
        <f t="shared" si="81"/>
        <v>#DIV/0!</v>
      </c>
      <c r="K6284" s="398"/>
      <c r="L6284" s="398"/>
      <c r="M6284" s="682"/>
      <c r="N6284" s="171"/>
      <c r="O6284" s="171"/>
      <c r="P6284" s="171"/>
      <c r="Q6284" s="171"/>
      <c r="R6284" s="171"/>
      <c r="S6284" s="171"/>
      <c r="T6284" s="171"/>
      <c r="U6284" s="171"/>
      <c r="V6284" s="171"/>
      <c r="W6284" s="171"/>
      <c r="X6284" s="171"/>
      <c r="Y6284" s="171"/>
      <c r="Z6284" s="171"/>
      <c r="AA6284" s="171"/>
    </row>
    <row r="6285" spans="1:27" s="530" customFormat="1" ht="15.75" hidden="1" customHeight="1" x14ac:dyDescent="0.2">
      <c r="A6285" s="526"/>
      <c r="B6285" s="527"/>
      <c r="C6285" s="465"/>
      <c r="D6285" s="464"/>
      <c r="E6285" s="464"/>
      <c r="F6285" s="494">
        <v>443</v>
      </c>
      <c r="G6285" s="495" t="s">
        <v>3797</v>
      </c>
      <c r="H6285" s="397"/>
      <c r="I6285" s="397"/>
      <c r="J6285" s="750" t="e">
        <f t="shared" ref="J6285:J6348" si="82">SUM(I6285/H6285)*100</f>
        <v>#DIV/0!</v>
      </c>
      <c r="K6285" s="398"/>
      <c r="L6285" s="398"/>
      <c r="M6285" s="682"/>
      <c r="N6285" s="171"/>
      <c r="O6285" s="171"/>
      <c r="P6285" s="171"/>
      <c r="Q6285" s="171"/>
      <c r="R6285" s="171"/>
      <c r="S6285" s="171"/>
      <c r="T6285" s="171"/>
      <c r="U6285" s="171"/>
      <c r="V6285" s="171"/>
      <c r="W6285" s="171"/>
      <c r="X6285" s="171"/>
      <c r="Y6285" s="171"/>
      <c r="Z6285" s="171"/>
      <c r="AA6285" s="171"/>
    </row>
    <row r="6286" spans="1:27" s="530" customFormat="1" ht="15.75" hidden="1" customHeight="1" x14ac:dyDescent="0.2">
      <c r="A6286" s="526"/>
      <c r="B6286" s="527"/>
      <c r="C6286" s="465"/>
      <c r="D6286" s="464"/>
      <c r="E6286" s="464"/>
      <c r="F6286" s="494">
        <v>444</v>
      </c>
      <c r="G6286" s="495" t="s">
        <v>3798</v>
      </c>
      <c r="H6286" s="397"/>
      <c r="I6286" s="397"/>
      <c r="J6286" s="750" t="e">
        <f t="shared" si="82"/>
        <v>#DIV/0!</v>
      </c>
      <c r="K6286" s="398"/>
      <c r="L6286" s="398"/>
      <c r="M6286" s="682"/>
      <c r="N6286" s="171"/>
      <c r="O6286" s="171"/>
      <c r="P6286" s="171"/>
      <c r="Q6286" s="171"/>
      <c r="R6286" s="171"/>
      <c r="S6286" s="171"/>
      <c r="T6286" s="171"/>
      <c r="U6286" s="171"/>
      <c r="V6286" s="171"/>
      <c r="W6286" s="171"/>
      <c r="X6286" s="171"/>
      <c r="Y6286" s="171"/>
      <c r="Z6286" s="171"/>
      <c r="AA6286" s="171"/>
    </row>
    <row r="6287" spans="1:27" s="530" customFormat="1" ht="15.75" hidden="1" customHeight="1" x14ac:dyDescent="0.2">
      <c r="A6287" s="526"/>
      <c r="B6287" s="527"/>
      <c r="C6287" s="465"/>
      <c r="D6287" s="464"/>
      <c r="E6287" s="464"/>
      <c r="F6287" s="494">
        <v>4511</v>
      </c>
      <c r="G6287" s="466" t="s">
        <v>1692</v>
      </c>
      <c r="H6287" s="397"/>
      <c r="I6287" s="397"/>
      <c r="J6287" s="750" t="e">
        <f t="shared" si="82"/>
        <v>#DIV/0!</v>
      </c>
      <c r="K6287" s="398"/>
      <c r="L6287" s="398"/>
      <c r="M6287" s="682"/>
      <c r="N6287" s="171"/>
      <c r="O6287" s="171"/>
      <c r="P6287" s="171"/>
      <c r="Q6287" s="171"/>
      <c r="R6287" s="171"/>
      <c r="S6287" s="171"/>
      <c r="T6287" s="171"/>
      <c r="U6287" s="171"/>
      <c r="V6287" s="171"/>
      <c r="W6287" s="171"/>
      <c r="X6287" s="171"/>
      <c r="Y6287" s="171"/>
      <c r="Z6287" s="171"/>
      <c r="AA6287" s="171"/>
    </row>
    <row r="6288" spans="1:27" s="530" customFormat="1" ht="15.75" hidden="1" customHeight="1" x14ac:dyDescent="0.2">
      <c r="A6288" s="526"/>
      <c r="B6288" s="527"/>
      <c r="C6288" s="465"/>
      <c r="D6288" s="464"/>
      <c r="E6288" s="464"/>
      <c r="F6288" s="494">
        <v>4512</v>
      </c>
      <c r="G6288" s="466" t="s">
        <v>1701</v>
      </c>
      <c r="H6288" s="397"/>
      <c r="I6288" s="397"/>
      <c r="J6288" s="750" t="e">
        <f t="shared" si="82"/>
        <v>#DIV/0!</v>
      </c>
      <c r="K6288" s="398"/>
      <c r="L6288" s="398"/>
      <c r="M6288" s="682"/>
      <c r="N6288" s="171"/>
      <c r="O6288" s="171"/>
      <c r="P6288" s="171"/>
      <c r="Q6288" s="171"/>
      <c r="R6288" s="171"/>
      <c r="S6288" s="171"/>
      <c r="T6288" s="171"/>
      <c r="U6288" s="171"/>
      <c r="V6288" s="171"/>
      <c r="W6288" s="171"/>
      <c r="X6288" s="171"/>
      <c r="Y6288" s="171"/>
      <c r="Z6288" s="171"/>
      <c r="AA6288" s="171"/>
    </row>
    <row r="6289" spans="1:27" s="530" customFormat="1" ht="15.75" hidden="1" customHeight="1" x14ac:dyDescent="0.2">
      <c r="A6289" s="526"/>
      <c r="B6289" s="527"/>
      <c r="C6289" s="465"/>
      <c r="D6289" s="464"/>
      <c r="E6289" s="464"/>
      <c r="F6289" s="494">
        <v>452</v>
      </c>
      <c r="G6289" s="495" t="s">
        <v>4187</v>
      </c>
      <c r="H6289" s="397"/>
      <c r="I6289" s="397"/>
      <c r="J6289" s="750" t="e">
        <f t="shared" si="82"/>
        <v>#DIV/0!</v>
      </c>
      <c r="K6289" s="398"/>
      <c r="L6289" s="398"/>
      <c r="M6289" s="682"/>
      <c r="N6289" s="171"/>
      <c r="O6289" s="171"/>
      <c r="P6289" s="171"/>
      <c r="Q6289" s="171"/>
      <c r="R6289" s="171"/>
      <c r="S6289" s="171"/>
      <c r="T6289" s="171"/>
      <c r="U6289" s="171"/>
      <c r="V6289" s="171"/>
      <c r="W6289" s="171"/>
      <c r="X6289" s="171"/>
      <c r="Y6289" s="171"/>
      <c r="Z6289" s="171"/>
      <c r="AA6289" s="171"/>
    </row>
    <row r="6290" spans="1:27" s="530" customFormat="1" ht="15.75" hidden="1" customHeight="1" x14ac:dyDescent="0.2">
      <c r="A6290" s="526"/>
      <c r="B6290" s="527"/>
      <c r="C6290" s="465"/>
      <c r="D6290" s="464"/>
      <c r="E6290" s="464"/>
      <c r="F6290" s="494">
        <v>453</v>
      </c>
      <c r="G6290" s="495" t="s">
        <v>4188</v>
      </c>
      <c r="H6290" s="397"/>
      <c r="I6290" s="397"/>
      <c r="J6290" s="750" t="e">
        <f t="shared" si="82"/>
        <v>#DIV/0!</v>
      </c>
      <c r="K6290" s="398"/>
      <c r="L6290" s="398"/>
      <c r="M6290" s="682"/>
      <c r="N6290" s="171"/>
      <c r="O6290" s="171"/>
      <c r="P6290" s="171"/>
      <c r="Q6290" s="171"/>
      <c r="R6290" s="171"/>
      <c r="S6290" s="171"/>
      <c r="T6290" s="171"/>
      <c r="U6290" s="171"/>
      <c r="V6290" s="171"/>
      <c r="W6290" s="171"/>
      <c r="X6290" s="171"/>
      <c r="Y6290" s="171"/>
      <c r="Z6290" s="171"/>
      <c r="AA6290" s="171"/>
    </row>
    <row r="6291" spans="1:27" s="530" customFormat="1" ht="15.75" hidden="1" customHeight="1" x14ac:dyDescent="0.2">
      <c r="A6291" s="526"/>
      <c r="B6291" s="527"/>
      <c r="C6291" s="465"/>
      <c r="D6291" s="464"/>
      <c r="E6291" s="464"/>
      <c r="F6291" s="494">
        <v>454</v>
      </c>
      <c r="G6291" s="495" t="s">
        <v>3803</v>
      </c>
      <c r="H6291" s="397"/>
      <c r="I6291" s="397"/>
      <c r="J6291" s="750" t="e">
        <f t="shared" si="82"/>
        <v>#DIV/0!</v>
      </c>
      <c r="K6291" s="398"/>
      <c r="L6291" s="398"/>
      <c r="M6291" s="682"/>
      <c r="N6291" s="171"/>
      <c r="O6291" s="171"/>
      <c r="P6291" s="171"/>
      <c r="Q6291" s="171"/>
      <c r="R6291" s="171"/>
      <c r="S6291" s="171"/>
      <c r="T6291" s="171"/>
      <c r="U6291" s="171"/>
      <c r="V6291" s="171"/>
      <c r="W6291" s="171"/>
      <c r="X6291" s="171"/>
      <c r="Y6291" s="171"/>
      <c r="Z6291" s="171"/>
      <c r="AA6291" s="171"/>
    </row>
    <row r="6292" spans="1:27" s="530" customFormat="1" ht="15.75" hidden="1" customHeight="1" x14ac:dyDescent="0.2">
      <c r="A6292" s="526"/>
      <c r="B6292" s="527"/>
      <c r="C6292" s="465"/>
      <c r="D6292" s="464"/>
      <c r="E6292" s="464"/>
      <c r="F6292" s="494">
        <v>461</v>
      </c>
      <c r="G6292" s="495" t="s">
        <v>4169</v>
      </c>
      <c r="H6292" s="397"/>
      <c r="I6292" s="397"/>
      <c r="J6292" s="750" t="e">
        <f t="shared" si="82"/>
        <v>#DIV/0!</v>
      </c>
      <c r="K6292" s="398"/>
      <c r="L6292" s="398"/>
      <c r="M6292" s="682"/>
      <c r="N6292" s="171"/>
      <c r="O6292" s="171"/>
      <c r="P6292" s="171"/>
      <c r="Q6292" s="171"/>
      <c r="R6292" s="171"/>
      <c r="S6292" s="171"/>
      <c r="T6292" s="171"/>
      <c r="U6292" s="171"/>
      <c r="V6292" s="171"/>
      <c r="W6292" s="171"/>
      <c r="X6292" s="171"/>
      <c r="Y6292" s="171"/>
      <c r="Z6292" s="171"/>
      <c r="AA6292" s="171"/>
    </row>
    <row r="6293" spans="1:27" s="530" customFormat="1" ht="15.75" hidden="1" customHeight="1" x14ac:dyDescent="0.2">
      <c r="A6293" s="526"/>
      <c r="B6293" s="527"/>
      <c r="C6293" s="465"/>
      <c r="D6293" s="464"/>
      <c r="E6293" s="464"/>
      <c r="F6293" s="494">
        <v>462</v>
      </c>
      <c r="G6293" s="495" t="s">
        <v>3806</v>
      </c>
      <c r="H6293" s="397"/>
      <c r="I6293" s="397"/>
      <c r="J6293" s="750" t="e">
        <f t="shared" si="82"/>
        <v>#DIV/0!</v>
      </c>
      <c r="K6293" s="398"/>
      <c r="L6293" s="398"/>
      <c r="M6293" s="682"/>
      <c r="N6293" s="171"/>
      <c r="O6293" s="171"/>
      <c r="P6293" s="171"/>
      <c r="Q6293" s="171"/>
      <c r="R6293" s="171"/>
      <c r="S6293" s="171"/>
      <c r="T6293" s="171"/>
      <c r="U6293" s="171"/>
      <c r="V6293" s="171"/>
      <c r="W6293" s="171"/>
      <c r="X6293" s="171"/>
      <c r="Y6293" s="171"/>
      <c r="Z6293" s="171"/>
      <c r="AA6293" s="171"/>
    </row>
    <row r="6294" spans="1:27" s="530" customFormat="1" ht="15.75" hidden="1" customHeight="1" x14ac:dyDescent="0.2">
      <c r="A6294" s="526"/>
      <c r="B6294" s="527"/>
      <c r="C6294" s="465"/>
      <c r="D6294" s="464"/>
      <c r="E6294" s="464"/>
      <c r="F6294" s="494">
        <v>4631</v>
      </c>
      <c r="G6294" s="495" t="s">
        <v>3807</v>
      </c>
      <c r="H6294" s="397"/>
      <c r="I6294" s="397"/>
      <c r="J6294" s="750" t="e">
        <f t="shared" si="82"/>
        <v>#DIV/0!</v>
      </c>
      <c r="K6294" s="398"/>
      <c r="L6294" s="398"/>
      <c r="M6294" s="682"/>
      <c r="N6294" s="171"/>
      <c r="O6294" s="171"/>
      <c r="P6294" s="171"/>
      <c r="Q6294" s="171"/>
      <c r="R6294" s="171"/>
      <c r="S6294" s="171"/>
      <c r="T6294" s="171"/>
      <c r="U6294" s="171"/>
      <c r="V6294" s="171"/>
      <c r="W6294" s="171"/>
      <c r="X6294" s="171"/>
      <c r="Y6294" s="171"/>
      <c r="Z6294" s="171"/>
      <c r="AA6294" s="171"/>
    </row>
    <row r="6295" spans="1:27" s="530" customFormat="1" ht="15.75" hidden="1" customHeight="1" x14ac:dyDescent="0.2">
      <c r="A6295" s="526"/>
      <c r="B6295" s="527"/>
      <c r="C6295" s="465"/>
      <c r="D6295" s="464"/>
      <c r="E6295" s="464"/>
      <c r="F6295" s="494">
        <v>4632</v>
      </c>
      <c r="G6295" s="495" t="s">
        <v>3808</v>
      </c>
      <c r="H6295" s="397"/>
      <c r="I6295" s="397"/>
      <c r="J6295" s="750" t="e">
        <f t="shared" si="82"/>
        <v>#DIV/0!</v>
      </c>
      <c r="K6295" s="398"/>
      <c r="L6295" s="398"/>
      <c r="M6295" s="682"/>
      <c r="N6295" s="171"/>
      <c r="O6295" s="171"/>
      <c r="P6295" s="171"/>
      <c r="Q6295" s="171"/>
      <c r="R6295" s="171"/>
      <c r="S6295" s="171"/>
      <c r="T6295" s="171"/>
      <c r="U6295" s="171"/>
      <c r="V6295" s="171"/>
      <c r="W6295" s="171"/>
      <c r="X6295" s="171"/>
      <c r="Y6295" s="171"/>
      <c r="Z6295" s="171"/>
      <c r="AA6295" s="171"/>
    </row>
    <row r="6296" spans="1:27" s="530" customFormat="1" ht="15.75" hidden="1" customHeight="1" x14ac:dyDescent="0.2">
      <c r="A6296" s="526"/>
      <c r="B6296" s="527"/>
      <c r="C6296" s="465"/>
      <c r="D6296" s="464"/>
      <c r="E6296" s="464"/>
      <c r="F6296" s="494">
        <v>464</v>
      </c>
      <c r="G6296" s="495" t="s">
        <v>3809</v>
      </c>
      <c r="H6296" s="397"/>
      <c r="I6296" s="397"/>
      <c r="J6296" s="750" t="e">
        <f t="shared" si="82"/>
        <v>#DIV/0!</v>
      </c>
      <c r="K6296" s="398"/>
      <c r="L6296" s="398"/>
      <c r="M6296" s="682"/>
      <c r="N6296" s="171"/>
      <c r="O6296" s="171"/>
      <c r="P6296" s="171"/>
      <c r="Q6296" s="171"/>
      <c r="R6296" s="171"/>
      <c r="S6296" s="171"/>
      <c r="T6296" s="171"/>
      <c r="U6296" s="171"/>
      <c r="V6296" s="171"/>
      <c r="W6296" s="171"/>
      <c r="X6296" s="171"/>
      <c r="Y6296" s="171"/>
      <c r="Z6296" s="171"/>
      <c r="AA6296" s="171"/>
    </row>
    <row r="6297" spans="1:27" s="530" customFormat="1" ht="15.75" hidden="1" customHeight="1" x14ac:dyDescent="0.2">
      <c r="A6297" s="526"/>
      <c r="B6297" s="527"/>
      <c r="C6297" s="465"/>
      <c r="D6297" s="464"/>
      <c r="E6297" s="464"/>
      <c r="F6297" s="494">
        <v>465</v>
      </c>
      <c r="G6297" s="495" t="s">
        <v>4170</v>
      </c>
      <c r="H6297" s="397"/>
      <c r="I6297" s="397"/>
      <c r="J6297" s="750" t="e">
        <f t="shared" si="82"/>
        <v>#DIV/0!</v>
      </c>
      <c r="K6297" s="398"/>
      <c r="L6297" s="398"/>
      <c r="M6297" s="682"/>
      <c r="N6297" s="171"/>
      <c r="O6297" s="171"/>
      <c r="P6297" s="171"/>
      <c r="Q6297" s="171"/>
      <c r="R6297" s="171"/>
      <c r="S6297" s="171"/>
      <c r="T6297" s="171"/>
      <c r="U6297" s="171"/>
      <c r="V6297" s="171"/>
      <c r="W6297" s="171"/>
      <c r="X6297" s="171"/>
      <c r="Y6297" s="171"/>
      <c r="Z6297" s="171"/>
      <c r="AA6297" s="171"/>
    </row>
    <row r="6298" spans="1:27" s="530" customFormat="1" ht="15.75" hidden="1" customHeight="1" x14ac:dyDescent="0.2">
      <c r="A6298" s="526"/>
      <c r="B6298" s="527"/>
      <c r="C6298" s="465"/>
      <c r="D6298" s="464"/>
      <c r="E6298" s="464"/>
      <c r="F6298" s="494">
        <v>472</v>
      </c>
      <c r="G6298" s="495" t="s">
        <v>3813</v>
      </c>
      <c r="H6298" s="397"/>
      <c r="I6298" s="397"/>
      <c r="J6298" s="750" t="e">
        <f t="shared" si="82"/>
        <v>#DIV/0!</v>
      </c>
      <c r="K6298" s="398"/>
      <c r="L6298" s="398"/>
      <c r="M6298" s="682"/>
      <c r="N6298" s="171"/>
      <c r="O6298" s="171"/>
      <c r="P6298" s="171"/>
      <c r="Q6298" s="171"/>
      <c r="R6298" s="171"/>
      <c r="S6298" s="171"/>
      <c r="T6298" s="171"/>
      <c r="U6298" s="171"/>
      <c r="V6298" s="171"/>
      <c r="W6298" s="171"/>
      <c r="X6298" s="171"/>
      <c r="Y6298" s="171"/>
      <c r="Z6298" s="171"/>
      <c r="AA6298" s="171"/>
    </row>
    <row r="6299" spans="1:27" s="530" customFormat="1" ht="15.75" hidden="1" customHeight="1" x14ac:dyDescent="0.2">
      <c r="A6299" s="526"/>
      <c r="B6299" s="527"/>
      <c r="C6299" s="465"/>
      <c r="D6299" s="464"/>
      <c r="E6299" s="464"/>
      <c r="F6299" s="494">
        <v>481</v>
      </c>
      <c r="G6299" s="495" t="s">
        <v>4189</v>
      </c>
      <c r="H6299" s="397"/>
      <c r="I6299" s="397"/>
      <c r="J6299" s="750" t="e">
        <f t="shared" si="82"/>
        <v>#DIV/0!</v>
      </c>
      <c r="K6299" s="398"/>
      <c r="L6299" s="398"/>
      <c r="M6299" s="682"/>
      <c r="N6299" s="171"/>
      <c r="O6299" s="171"/>
      <c r="P6299" s="171"/>
      <c r="Q6299" s="171"/>
      <c r="R6299" s="171"/>
      <c r="S6299" s="171"/>
      <c r="T6299" s="171"/>
      <c r="U6299" s="171"/>
      <c r="V6299" s="171"/>
      <c r="W6299" s="171"/>
      <c r="X6299" s="171"/>
      <c r="Y6299" s="171"/>
      <c r="Z6299" s="171"/>
      <c r="AA6299" s="171"/>
    </row>
    <row r="6300" spans="1:27" s="530" customFormat="1" ht="15.75" hidden="1" customHeight="1" x14ac:dyDescent="0.2">
      <c r="A6300" s="526"/>
      <c r="B6300" s="527"/>
      <c r="C6300" s="465"/>
      <c r="D6300" s="464"/>
      <c r="E6300" s="464"/>
      <c r="F6300" s="494">
        <v>482</v>
      </c>
      <c r="G6300" s="495" t="s">
        <v>4190</v>
      </c>
      <c r="H6300" s="397"/>
      <c r="I6300" s="397"/>
      <c r="J6300" s="750" t="e">
        <f t="shared" si="82"/>
        <v>#DIV/0!</v>
      </c>
      <c r="K6300" s="398"/>
      <c r="L6300" s="398"/>
      <c r="M6300" s="682"/>
      <c r="N6300" s="171"/>
      <c r="O6300" s="171"/>
      <c r="P6300" s="171"/>
      <c r="Q6300" s="171"/>
      <c r="R6300" s="171"/>
      <c r="S6300" s="171"/>
      <c r="T6300" s="171"/>
      <c r="U6300" s="171"/>
      <c r="V6300" s="171"/>
      <c r="W6300" s="171"/>
      <c r="X6300" s="171"/>
      <c r="Y6300" s="171"/>
      <c r="Z6300" s="171"/>
      <c r="AA6300" s="171"/>
    </row>
    <row r="6301" spans="1:27" s="530" customFormat="1" ht="15.75" hidden="1" customHeight="1" x14ac:dyDescent="0.2">
      <c r="A6301" s="526"/>
      <c r="B6301" s="527"/>
      <c r="C6301" s="465"/>
      <c r="D6301" s="464"/>
      <c r="E6301" s="464"/>
      <c r="F6301" s="494">
        <v>483</v>
      </c>
      <c r="G6301" s="497" t="s">
        <v>4191</v>
      </c>
      <c r="H6301" s="397"/>
      <c r="I6301" s="397"/>
      <c r="J6301" s="750" t="e">
        <f t="shared" si="82"/>
        <v>#DIV/0!</v>
      </c>
      <c r="K6301" s="398"/>
      <c r="L6301" s="398"/>
      <c r="M6301" s="682"/>
      <c r="N6301" s="171"/>
      <c r="O6301" s="171"/>
      <c r="P6301" s="171"/>
      <c r="Q6301" s="171"/>
      <c r="R6301" s="171"/>
      <c r="S6301" s="171"/>
      <c r="T6301" s="171"/>
      <c r="U6301" s="171"/>
      <c r="V6301" s="171"/>
      <c r="W6301" s="171"/>
      <c r="X6301" s="171"/>
      <c r="Y6301" s="171"/>
      <c r="Z6301" s="171"/>
      <c r="AA6301" s="171"/>
    </row>
    <row r="6302" spans="1:27" s="530" customFormat="1" ht="15.75" hidden="1" customHeight="1" x14ac:dyDescent="0.2">
      <c r="A6302" s="526"/>
      <c r="B6302" s="527"/>
      <c r="C6302" s="465"/>
      <c r="D6302" s="464"/>
      <c r="E6302" s="464"/>
      <c r="F6302" s="494">
        <v>484</v>
      </c>
      <c r="G6302" s="495" t="s">
        <v>4192</v>
      </c>
      <c r="H6302" s="397"/>
      <c r="I6302" s="397"/>
      <c r="J6302" s="750" t="e">
        <f t="shared" si="82"/>
        <v>#DIV/0!</v>
      </c>
      <c r="K6302" s="398"/>
      <c r="L6302" s="398"/>
      <c r="M6302" s="682"/>
      <c r="N6302" s="171"/>
      <c r="O6302" s="171"/>
      <c r="P6302" s="171"/>
      <c r="Q6302" s="171"/>
      <c r="R6302" s="171"/>
      <c r="S6302" s="171"/>
      <c r="T6302" s="171"/>
      <c r="U6302" s="171"/>
      <c r="V6302" s="171"/>
      <c r="W6302" s="171"/>
      <c r="X6302" s="171"/>
      <c r="Y6302" s="171"/>
      <c r="Z6302" s="171"/>
      <c r="AA6302" s="171"/>
    </row>
    <row r="6303" spans="1:27" s="530" customFormat="1" ht="15.75" hidden="1" customHeight="1" x14ac:dyDescent="0.2">
      <c r="A6303" s="526"/>
      <c r="B6303" s="527"/>
      <c r="C6303" s="465"/>
      <c r="D6303" s="464"/>
      <c r="E6303" s="464"/>
      <c r="F6303" s="494">
        <v>485</v>
      </c>
      <c r="G6303" s="495" t="s">
        <v>4193</v>
      </c>
      <c r="H6303" s="397"/>
      <c r="I6303" s="397"/>
      <c r="J6303" s="750" t="e">
        <f t="shared" si="82"/>
        <v>#DIV/0!</v>
      </c>
      <c r="K6303" s="398"/>
      <c r="L6303" s="398"/>
      <c r="M6303" s="682"/>
      <c r="N6303" s="171"/>
      <c r="O6303" s="171"/>
      <c r="P6303" s="171"/>
      <c r="Q6303" s="171"/>
      <c r="R6303" s="171"/>
      <c r="S6303" s="171"/>
      <c r="T6303" s="171"/>
      <c r="U6303" s="171"/>
      <c r="V6303" s="171"/>
      <c r="W6303" s="171"/>
      <c r="X6303" s="171"/>
      <c r="Y6303" s="171"/>
      <c r="Z6303" s="171"/>
      <c r="AA6303" s="171"/>
    </row>
    <row r="6304" spans="1:27" s="530" customFormat="1" ht="15.75" hidden="1" customHeight="1" x14ac:dyDescent="0.2">
      <c r="A6304" s="526"/>
      <c r="B6304" s="527"/>
      <c r="C6304" s="465"/>
      <c r="D6304" s="464"/>
      <c r="E6304" s="464"/>
      <c r="F6304" s="494">
        <v>489</v>
      </c>
      <c r="G6304" s="495" t="s">
        <v>3821</v>
      </c>
      <c r="H6304" s="397"/>
      <c r="I6304" s="397"/>
      <c r="J6304" s="750" t="e">
        <f t="shared" si="82"/>
        <v>#DIV/0!</v>
      </c>
      <c r="K6304" s="398"/>
      <c r="L6304" s="398"/>
      <c r="M6304" s="682"/>
      <c r="N6304" s="171"/>
      <c r="O6304" s="171"/>
      <c r="P6304" s="171"/>
      <c r="Q6304" s="171"/>
      <c r="R6304" s="171"/>
      <c r="S6304" s="171"/>
      <c r="T6304" s="171"/>
      <c r="U6304" s="171"/>
      <c r="V6304" s="171"/>
      <c r="W6304" s="171"/>
      <c r="X6304" s="171"/>
      <c r="Y6304" s="171"/>
      <c r="Z6304" s="171"/>
      <c r="AA6304" s="171"/>
    </row>
    <row r="6305" spans="1:27" s="530" customFormat="1" ht="15.75" hidden="1" customHeight="1" x14ac:dyDescent="0.2">
      <c r="A6305" s="526"/>
      <c r="B6305" s="527"/>
      <c r="C6305" s="465"/>
      <c r="D6305" s="464"/>
      <c r="E6305" s="464"/>
      <c r="F6305" s="494">
        <v>494</v>
      </c>
      <c r="G6305" s="495" t="s">
        <v>4171</v>
      </c>
      <c r="H6305" s="397"/>
      <c r="I6305" s="397"/>
      <c r="J6305" s="750" t="e">
        <f t="shared" si="82"/>
        <v>#DIV/0!</v>
      </c>
      <c r="K6305" s="398"/>
      <c r="L6305" s="398"/>
      <c r="M6305" s="682"/>
      <c r="N6305" s="171"/>
      <c r="O6305" s="171"/>
      <c r="P6305" s="171"/>
      <c r="Q6305" s="171"/>
      <c r="R6305" s="171"/>
      <c r="S6305" s="171"/>
      <c r="T6305" s="171"/>
      <c r="U6305" s="171"/>
      <c r="V6305" s="171"/>
      <c r="W6305" s="171"/>
      <c r="X6305" s="171"/>
      <c r="Y6305" s="171"/>
      <c r="Z6305" s="171"/>
      <c r="AA6305" s="171"/>
    </row>
    <row r="6306" spans="1:27" s="530" customFormat="1" ht="15.75" hidden="1" customHeight="1" x14ac:dyDescent="0.2">
      <c r="A6306" s="526"/>
      <c r="B6306" s="527"/>
      <c r="C6306" s="465"/>
      <c r="D6306" s="464"/>
      <c r="E6306" s="464"/>
      <c r="F6306" s="494">
        <v>495</v>
      </c>
      <c r="G6306" s="495" t="s">
        <v>4172</v>
      </c>
      <c r="H6306" s="397"/>
      <c r="I6306" s="397"/>
      <c r="J6306" s="750" t="e">
        <f t="shared" si="82"/>
        <v>#DIV/0!</v>
      </c>
      <c r="K6306" s="398"/>
      <c r="L6306" s="398"/>
      <c r="M6306" s="682"/>
      <c r="N6306" s="171"/>
      <c r="O6306" s="171"/>
      <c r="P6306" s="171"/>
      <c r="Q6306" s="171"/>
      <c r="R6306" s="171"/>
      <c r="S6306" s="171"/>
      <c r="T6306" s="171"/>
      <c r="U6306" s="171"/>
      <c r="V6306" s="171"/>
      <c r="W6306" s="171"/>
      <c r="X6306" s="171"/>
      <c r="Y6306" s="171"/>
      <c r="Z6306" s="171"/>
      <c r="AA6306" s="171"/>
    </row>
    <row r="6307" spans="1:27" s="530" customFormat="1" ht="15.75" hidden="1" customHeight="1" x14ac:dyDescent="0.2">
      <c r="A6307" s="526"/>
      <c r="B6307" s="527"/>
      <c r="C6307" s="465"/>
      <c r="D6307" s="464"/>
      <c r="E6307" s="464"/>
      <c r="F6307" s="494">
        <v>496</v>
      </c>
      <c r="G6307" s="495" t="s">
        <v>4173</v>
      </c>
      <c r="H6307" s="397"/>
      <c r="I6307" s="397"/>
      <c r="J6307" s="750" t="e">
        <f t="shared" si="82"/>
        <v>#DIV/0!</v>
      </c>
      <c r="K6307" s="398"/>
      <c r="L6307" s="398"/>
      <c r="M6307" s="682"/>
      <c r="N6307" s="171"/>
      <c r="O6307" s="171"/>
      <c r="P6307" s="171"/>
      <c r="Q6307" s="171"/>
      <c r="R6307" s="171"/>
      <c r="S6307" s="171"/>
      <c r="T6307" s="171"/>
      <c r="U6307" s="171"/>
      <c r="V6307" s="171"/>
      <c r="W6307" s="171"/>
      <c r="X6307" s="171"/>
      <c r="Y6307" s="171"/>
      <c r="Z6307" s="171"/>
      <c r="AA6307" s="171"/>
    </row>
    <row r="6308" spans="1:27" s="530" customFormat="1" ht="15.75" hidden="1" customHeight="1" x14ac:dyDescent="0.2">
      <c r="A6308" s="526"/>
      <c r="B6308" s="527"/>
      <c r="C6308" s="465"/>
      <c r="D6308" s="464"/>
      <c r="E6308" s="464"/>
      <c r="F6308" s="494">
        <v>499</v>
      </c>
      <c r="G6308" s="495" t="s">
        <v>4174</v>
      </c>
      <c r="H6308" s="397"/>
      <c r="I6308" s="397"/>
      <c r="J6308" s="750" t="e">
        <f t="shared" si="82"/>
        <v>#DIV/0!</v>
      </c>
      <c r="K6308" s="398"/>
      <c r="L6308" s="398"/>
      <c r="M6308" s="682"/>
      <c r="N6308" s="171"/>
      <c r="O6308" s="171"/>
      <c r="P6308" s="171"/>
      <c r="Q6308" s="171"/>
      <c r="R6308" s="171"/>
      <c r="S6308" s="171"/>
      <c r="T6308" s="171"/>
      <c r="U6308" s="171"/>
      <c r="V6308" s="171"/>
      <c r="W6308" s="171"/>
      <c r="X6308" s="171"/>
      <c r="Y6308" s="171"/>
      <c r="Z6308" s="171"/>
      <c r="AA6308" s="171"/>
    </row>
    <row r="6309" spans="1:27" s="530" customFormat="1" ht="15.75" hidden="1" customHeight="1" x14ac:dyDescent="0.2">
      <c r="A6309" s="526"/>
      <c r="B6309" s="527"/>
      <c r="C6309" s="465"/>
      <c r="D6309" s="464"/>
      <c r="E6309" s="464"/>
      <c r="F6309" s="494">
        <v>511</v>
      </c>
      <c r="G6309" s="497" t="s">
        <v>4194</v>
      </c>
      <c r="H6309" s="397"/>
      <c r="I6309" s="397"/>
      <c r="J6309" s="750" t="e">
        <f t="shared" si="82"/>
        <v>#DIV/0!</v>
      </c>
      <c r="K6309" s="398"/>
      <c r="L6309" s="398"/>
      <c r="M6309" s="682"/>
      <c r="N6309" s="171"/>
      <c r="O6309" s="171"/>
      <c r="P6309" s="171"/>
      <c r="Q6309" s="171"/>
      <c r="R6309" s="171"/>
      <c r="S6309" s="171"/>
      <c r="T6309" s="171"/>
      <c r="U6309" s="171"/>
      <c r="V6309" s="171"/>
      <c r="W6309" s="171"/>
      <c r="X6309" s="171"/>
      <c r="Y6309" s="171"/>
      <c r="Z6309" s="171"/>
      <c r="AA6309" s="171"/>
    </row>
    <row r="6310" spans="1:27" s="530" customFormat="1" ht="15.75" hidden="1" customHeight="1" x14ac:dyDescent="0.2">
      <c r="A6310" s="526"/>
      <c r="B6310" s="527"/>
      <c r="C6310" s="465"/>
      <c r="D6310" s="464"/>
      <c r="E6310" s="464"/>
      <c r="F6310" s="494">
        <v>512</v>
      </c>
      <c r="G6310" s="497" t="s">
        <v>4195</v>
      </c>
      <c r="H6310" s="397"/>
      <c r="I6310" s="397"/>
      <c r="J6310" s="750" t="e">
        <f t="shared" si="82"/>
        <v>#DIV/0!</v>
      </c>
      <c r="K6310" s="398"/>
      <c r="L6310" s="398"/>
      <c r="M6310" s="682"/>
      <c r="N6310" s="171"/>
      <c r="O6310" s="171"/>
      <c r="P6310" s="171"/>
      <c r="Q6310" s="171"/>
      <c r="R6310" s="171"/>
      <c r="S6310" s="171"/>
      <c r="T6310" s="171"/>
      <c r="U6310" s="171"/>
      <c r="V6310" s="171"/>
      <c r="W6310" s="171"/>
      <c r="X6310" s="171"/>
      <c r="Y6310" s="171"/>
      <c r="Z6310" s="171"/>
      <c r="AA6310" s="171"/>
    </row>
    <row r="6311" spans="1:27" s="530" customFormat="1" ht="15.75" hidden="1" customHeight="1" x14ac:dyDescent="0.2">
      <c r="A6311" s="526"/>
      <c r="B6311" s="527"/>
      <c r="C6311" s="465"/>
      <c r="D6311" s="464"/>
      <c r="E6311" s="464"/>
      <c r="F6311" s="494">
        <v>513</v>
      </c>
      <c r="G6311" s="497" t="s">
        <v>4196</v>
      </c>
      <c r="H6311" s="397"/>
      <c r="I6311" s="397"/>
      <c r="J6311" s="750" t="e">
        <f t="shared" si="82"/>
        <v>#DIV/0!</v>
      </c>
      <c r="K6311" s="398"/>
      <c r="L6311" s="398"/>
      <c r="M6311" s="682"/>
      <c r="N6311" s="171"/>
      <c r="O6311" s="171"/>
      <c r="P6311" s="171"/>
      <c r="Q6311" s="171"/>
      <c r="R6311" s="171"/>
      <c r="S6311" s="171"/>
      <c r="T6311" s="171"/>
      <c r="U6311" s="171"/>
      <c r="V6311" s="171"/>
      <c r="W6311" s="171"/>
      <c r="X6311" s="171"/>
      <c r="Y6311" s="171"/>
      <c r="Z6311" s="171"/>
      <c r="AA6311" s="171"/>
    </row>
    <row r="6312" spans="1:27" s="530" customFormat="1" ht="15.75" hidden="1" customHeight="1" x14ac:dyDescent="0.2">
      <c r="A6312" s="526"/>
      <c r="B6312" s="527"/>
      <c r="C6312" s="465"/>
      <c r="D6312" s="464"/>
      <c r="E6312" s="464"/>
      <c r="F6312" s="494">
        <v>514</v>
      </c>
      <c r="G6312" s="495" t="s">
        <v>4197</v>
      </c>
      <c r="H6312" s="397"/>
      <c r="I6312" s="397"/>
      <c r="J6312" s="750" t="e">
        <f t="shared" si="82"/>
        <v>#DIV/0!</v>
      </c>
      <c r="K6312" s="398"/>
      <c r="L6312" s="398"/>
      <c r="M6312" s="682"/>
      <c r="N6312" s="171"/>
      <c r="O6312" s="171"/>
      <c r="P6312" s="171"/>
      <c r="Q6312" s="171"/>
      <c r="R6312" s="171"/>
      <c r="S6312" s="171"/>
      <c r="T6312" s="171"/>
      <c r="U6312" s="171"/>
      <c r="V6312" s="171"/>
      <c r="W6312" s="171"/>
      <c r="X6312" s="171"/>
      <c r="Y6312" s="171"/>
      <c r="Z6312" s="171"/>
      <c r="AA6312" s="171"/>
    </row>
    <row r="6313" spans="1:27" s="530" customFormat="1" ht="15.75" hidden="1" customHeight="1" x14ac:dyDescent="0.2">
      <c r="A6313" s="526"/>
      <c r="B6313" s="527"/>
      <c r="C6313" s="465"/>
      <c r="D6313" s="464"/>
      <c r="E6313" s="464"/>
      <c r="F6313" s="494">
        <v>515</v>
      </c>
      <c r="G6313" s="495" t="s">
        <v>3832</v>
      </c>
      <c r="H6313" s="397"/>
      <c r="I6313" s="397"/>
      <c r="J6313" s="750" t="e">
        <f t="shared" si="82"/>
        <v>#DIV/0!</v>
      </c>
      <c r="K6313" s="398"/>
      <c r="L6313" s="398"/>
      <c r="M6313" s="682"/>
      <c r="N6313" s="171"/>
      <c r="O6313" s="171"/>
      <c r="P6313" s="171"/>
      <c r="Q6313" s="171"/>
      <c r="R6313" s="171"/>
      <c r="S6313" s="171"/>
      <c r="T6313" s="171"/>
      <c r="U6313" s="171"/>
      <c r="V6313" s="171"/>
      <c r="W6313" s="171"/>
      <c r="X6313" s="171"/>
      <c r="Y6313" s="171"/>
      <c r="Z6313" s="171"/>
      <c r="AA6313" s="171"/>
    </row>
    <row r="6314" spans="1:27" s="530" customFormat="1" ht="15.75" hidden="1" customHeight="1" x14ac:dyDescent="0.2">
      <c r="A6314" s="526"/>
      <c r="B6314" s="527"/>
      <c r="C6314" s="465"/>
      <c r="D6314" s="464"/>
      <c r="E6314" s="464"/>
      <c r="F6314" s="494">
        <v>521</v>
      </c>
      <c r="G6314" s="495" t="s">
        <v>4198</v>
      </c>
      <c r="H6314" s="397"/>
      <c r="I6314" s="397"/>
      <c r="J6314" s="750" t="e">
        <f t="shared" si="82"/>
        <v>#DIV/0!</v>
      </c>
      <c r="K6314" s="398"/>
      <c r="L6314" s="398"/>
      <c r="M6314" s="682"/>
      <c r="N6314" s="171"/>
      <c r="O6314" s="171"/>
      <c r="P6314" s="171"/>
      <c r="Q6314" s="171"/>
      <c r="R6314" s="171"/>
      <c r="S6314" s="171"/>
      <c r="T6314" s="171"/>
      <c r="U6314" s="171"/>
      <c r="V6314" s="171"/>
      <c r="W6314" s="171"/>
      <c r="X6314" s="171"/>
      <c r="Y6314" s="171"/>
      <c r="Z6314" s="171"/>
      <c r="AA6314" s="171"/>
    </row>
    <row r="6315" spans="1:27" s="530" customFormat="1" ht="15.75" hidden="1" customHeight="1" x14ac:dyDescent="0.2">
      <c r="A6315" s="526"/>
      <c r="B6315" s="527"/>
      <c r="C6315" s="465"/>
      <c r="D6315" s="464"/>
      <c r="E6315" s="464"/>
      <c r="F6315" s="494">
        <v>522</v>
      </c>
      <c r="G6315" s="495" t="s">
        <v>4199</v>
      </c>
      <c r="H6315" s="397"/>
      <c r="I6315" s="397"/>
      <c r="J6315" s="750" t="e">
        <f t="shared" si="82"/>
        <v>#DIV/0!</v>
      </c>
      <c r="K6315" s="398"/>
      <c r="L6315" s="398"/>
      <c r="M6315" s="682"/>
      <c r="N6315" s="171"/>
      <c r="O6315" s="171"/>
      <c r="P6315" s="171"/>
      <c r="Q6315" s="171"/>
      <c r="R6315" s="171"/>
      <c r="S6315" s="171"/>
      <c r="T6315" s="171"/>
      <c r="U6315" s="171"/>
      <c r="V6315" s="171"/>
      <c r="W6315" s="171"/>
      <c r="X6315" s="171"/>
      <c r="Y6315" s="171"/>
      <c r="Z6315" s="171"/>
      <c r="AA6315" s="171"/>
    </row>
    <row r="6316" spans="1:27" s="530" customFormat="1" ht="15.75" hidden="1" customHeight="1" x14ac:dyDescent="0.2">
      <c r="A6316" s="526"/>
      <c r="B6316" s="527"/>
      <c r="C6316" s="465"/>
      <c r="D6316" s="464"/>
      <c r="E6316" s="464"/>
      <c r="F6316" s="494">
        <v>523</v>
      </c>
      <c r="G6316" s="495" t="s">
        <v>3837</v>
      </c>
      <c r="H6316" s="397"/>
      <c r="I6316" s="397"/>
      <c r="J6316" s="750" t="e">
        <f t="shared" si="82"/>
        <v>#DIV/0!</v>
      </c>
      <c r="K6316" s="398"/>
      <c r="L6316" s="398"/>
      <c r="M6316" s="682"/>
      <c r="N6316" s="171"/>
      <c r="O6316" s="171"/>
      <c r="P6316" s="171"/>
      <c r="Q6316" s="171"/>
      <c r="R6316" s="171"/>
      <c r="S6316" s="171"/>
      <c r="T6316" s="171"/>
      <c r="U6316" s="171"/>
      <c r="V6316" s="171"/>
      <c r="W6316" s="171"/>
      <c r="X6316" s="171"/>
      <c r="Y6316" s="171"/>
      <c r="Z6316" s="171"/>
      <c r="AA6316" s="171"/>
    </row>
    <row r="6317" spans="1:27" s="530" customFormat="1" ht="15.75" hidden="1" customHeight="1" x14ac:dyDescent="0.2">
      <c r="A6317" s="526"/>
      <c r="B6317" s="527"/>
      <c r="C6317" s="465"/>
      <c r="D6317" s="464"/>
      <c r="E6317" s="464"/>
      <c r="F6317" s="494">
        <v>531</v>
      </c>
      <c r="G6317" s="496" t="s">
        <v>4175</v>
      </c>
      <c r="H6317" s="397"/>
      <c r="I6317" s="397"/>
      <c r="J6317" s="750" t="e">
        <f t="shared" si="82"/>
        <v>#DIV/0!</v>
      </c>
      <c r="K6317" s="398"/>
      <c r="L6317" s="398"/>
      <c r="M6317" s="682"/>
      <c r="N6317" s="171"/>
      <c r="O6317" s="171"/>
      <c r="P6317" s="171"/>
      <c r="Q6317" s="171"/>
      <c r="R6317" s="171"/>
      <c r="S6317" s="171"/>
      <c r="T6317" s="171"/>
      <c r="U6317" s="171"/>
      <c r="V6317" s="171"/>
      <c r="W6317" s="171"/>
      <c r="X6317" s="171"/>
      <c r="Y6317" s="171"/>
      <c r="Z6317" s="171"/>
      <c r="AA6317" s="171"/>
    </row>
    <row r="6318" spans="1:27" s="530" customFormat="1" ht="15.75" hidden="1" customHeight="1" x14ac:dyDescent="0.2">
      <c r="A6318" s="526"/>
      <c r="B6318" s="527"/>
      <c r="C6318" s="465"/>
      <c r="D6318" s="464"/>
      <c r="E6318" s="464"/>
      <c r="F6318" s="494">
        <v>541</v>
      </c>
      <c r="G6318" s="495" t="s">
        <v>4200</v>
      </c>
      <c r="H6318" s="397"/>
      <c r="I6318" s="397"/>
      <c r="J6318" s="750" t="e">
        <f t="shared" si="82"/>
        <v>#DIV/0!</v>
      </c>
      <c r="K6318" s="398"/>
      <c r="L6318" s="398"/>
      <c r="M6318" s="682"/>
      <c r="N6318" s="171"/>
      <c r="O6318" s="171"/>
      <c r="P6318" s="171"/>
      <c r="Q6318" s="171"/>
      <c r="R6318" s="171"/>
      <c r="S6318" s="171"/>
      <c r="T6318" s="171"/>
      <c r="U6318" s="171"/>
      <c r="V6318" s="171"/>
      <c r="W6318" s="171"/>
      <c r="X6318" s="171"/>
      <c r="Y6318" s="171"/>
      <c r="Z6318" s="171"/>
      <c r="AA6318" s="171"/>
    </row>
    <row r="6319" spans="1:27" s="530" customFormat="1" ht="15.75" hidden="1" customHeight="1" x14ac:dyDescent="0.2">
      <c r="A6319" s="526"/>
      <c r="B6319" s="527"/>
      <c r="C6319" s="465"/>
      <c r="D6319" s="464"/>
      <c r="E6319" s="464"/>
      <c r="F6319" s="494">
        <v>542</v>
      </c>
      <c r="G6319" s="495" t="s">
        <v>4201</v>
      </c>
      <c r="H6319" s="397"/>
      <c r="I6319" s="397"/>
      <c r="J6319" s="750" t="e">
        <f t="shared" si="82"/>
        <v>#DIV/0!</v>
      </c>
      <c r="K6319" s="398"/>
      <c r="L6319" s="398"/>
      <c r="M6319" s="682"/>
      <c r="N6319" s="171"/>
      <c r="O6319" s="171"/>
      <c r="P6319" s="171"/>
      <c r="Q6319" s="171"/>
      <c r="R6319" s="171"/>
      <c r="S6319" s="171"/>
      <c r="T6319" s="171"/>
      <c r="U6319" s="171"/>
      <c r="V6319" s="171"/>
      <c r="W6319" s="171"/>
      <c r="X6319" s="171"/>
      <c r="Y6319" s="171"/>
      <c r="Z6319" s="171"/>
      <c r="AA6319" s="171"/>
    </row>
    <row r="6320" spans="1:27" s="530" customFormat="1" ht="15.75" hidden="1" customHeight="1" x14ac:dyDescent="0.2">
      <c r="A6320" s="526"/>
      <c r="B6320" s="527"/>
      <c r="C6320" s="465"/>
      <c r="D6320" s="464"/>
      <c r="E6320" s="464"/>
      <c r="F6320" s="494">
        <v>543</v>
      </c>
      <c r="G6320" s="495" t="s">
        <v>3842</v>
      </c>
      <c r="H6320" s="397"/>
      <c r="I6320" s="397"/>
      <c r="J6320" s="750" t="e">
        <f t="shared" si="82"/>
        <v>#DIV/0!</v>
      </c>
      <c r="K6320" s="398"/>
      <c r="L6320" s="398"/>
      <c r="M6320" s="682"/>
      <c r="N6320" s="171"/>
      <c r="O6320" s="171"/>
      <c r="P6320" s="171"/>
      <c r="Q6320" s="171"/>
      <c r="R6320" s="171"/>
      <c r="S6320" s="171"/>
      <c r="T6320" s="171"/>
      <c r="U6320" s="171"/>
      <c r="V6320" s="171"/>
      <c r="W6320" s="171"/>
      <c r="X6320" s="171"/>
      <c r="Y6320" s="171"/>
      <c r="Z6320" s="171"/>
      <c r="AA6320" s="171"/>
    </row>
    <row r="6321" spans="1:27" s="530" customFormat="1" ht="15.75" hidden="1" customHeight="1" x14ac:dyDescent="0.2">
      <c r="A6321" s="526"/>
      <c r="B6321" s="527"/>
      <c r="C6321" s="465"/>
      <c r="D6321" s="464"/>
      <c r="E6321" s="464"/>
      <c r="F6321" s="494">
        <v>551</v>
      </c>
      <c r="G6321" s="495" t="s">
        <v>4176</v>
      </c>
      <c r="H6321" s="397"/>
      <c r="I6321" s="397"/>
      <c r="J6321" s="750" t="e">
        <f t="shared" si="82"/>
        <v>#DIV/0!</v>
      </c>
      <c r="K6321" s="398"/>
      <c r="L6321" s="398"/>
      <c r="M6321" s="682"/>
      <c r="N6321" s="171"/>
      <c r="O6321" s="171"/>
      <c r="P6321" s="171"/>
      <c r="Q6321" s="171"/>
      <c r="R6321" s="171"/>
      <c r="S6321" s="171"/>
      <c r="T6321" s="171"/>
      <c r="U6321" s="171"/>
      <c r="V6321" s="171"/>
      <c r="W6321" s="171"/>
      <c r="X6321" s="171"/>
      <c r="Y6321" s="171"/>
      <c r="Z6321" s="171"/>
      <c r="AA6321" s="171"/>
    </row>
    <row r="6322" spans="1:27" s="530" customFormat="1" ht="15.75" hidden="1" customHeight="1" x14ac:dyDescent="0.2">
      <c r="A6322" s="526"/>
      <c r="B6322" s="527"/>
      <c r="C6322" s="465"/>
      <c r="D6322" s="464"/>
      <c r="E6322" s="464"/>
      <c r="F6322" s="498">
        <v>611</v>
      </c>
      <c r="G6322" s="499" t="s">
        <v>3848</v>
      </c>
      <c r="H6322" s="397"/>
      <c r="I6322" s="397"/>
      <c r="J6322" s="750" t="e">
        <f t="shared" si="82"/>
        <v>#DIV/0!</v>
      </c>
      <c r="K6322" s="398"/>
      <c r="L6322" s="398"/>
      <c r="M6322" s="682"/>
      <c r="N6322" s="171"/>
      <c r="O6322" s="171"/>
      <c r="P6322" s="171"/>
      <c r="Q6322" s="171"/>
      <c r="R6322" s="171"/>
      <c r="S6322" s="171"/>
      <c r="T6322" s="171"/>
      <c r="U6322" s="171"/>
      <c r="V6322" s="171"/>
      <c r="W6322" s="171"/>
      <c r="X6322" s="171"/>
      <c r="Y6322" s="171"/>
      <c r="Z6322" s="171"/>
      <c r="AA6322" s="171"/>
    </row>
    <row r="6323" spans="1:27" s="530" customFormat="1" ht="15.75" hidden="1" customHeight="1" thickBot="1" x14ac:dyDescent="0.25">
      <c r="A6323" s="526"/>
      <c r="B6323" s="527"/>
      <c r="C6323" s="465"/>
      <c r="D6323" s="464"/>
      <c r="E6323" s="464"/>
      <c r="F6323" s="498">
        <v>620</v>
      </c>
      <c r="G6323" s="499" t="s">
        <v>88</v>
      </c>
      <c r="H6323" s="397"/>
      <c r="I6323" s="397"/>
      <c r="J6323" s="750" t="e">
        <f t="shared" si="82"/>
        <v>#DIV/0!</v>
      </c>
      <c r="K6323" s="398"/>
      <c r="L6323" s="398"/>
      <c r="M6323" s="682"/>
      <c r="N6323" s="171"/>
      <c r="O6323" s="171"/>
      <c r="P6323" s="171"/>
      <c r="Q6323" s="171"/>
      <c r="R6323" s="171"/>
      <c r="S6323" s="171"/>
      <c r="T6323" s="171"/>
      <c r="U6323" s="171"/>
      <c r="V6323" s="171"/>
      <c r="W6323" s="171"/>
      <c r="X6323" s="171"/>
      <c r="Y6323" s="171"/>
      <c r="Z6323" s="171"/>
      <c r="AA6323" s="171"/>
    </row>
    <row r="6324" spans="1:27" s="530" customFormat="1" ht="15.75" hidden="1" customHeight="1" x14ac:dyDescent="0.2">
      <c r="A6324" s="526"/>
      <c r="B6324" s="527"/>
      <c r="C6324" s="465"/>
      <c r="D6324" s="464"/>
      <c r="E6324" s="500"/>
      <c r="F6324" s="498"/>
      <c r="G6324" s="509" t="s">
        <v>4446</v>
      </c>
      <c r="H6324" s="400"/>
      <c r="I6324" s="400"/>
      <c r="J6324" s="750" t="e">
        <f t="shared" si="82"/>
        <v>#DIV/0!</v>
      </c>
      <c r="K6324" s="401"/>
      <c r="L6324" s="402"/>
      <c r="M6324" s="682"/>
      <c r="N6324" s="171"/>
      <c r="O6324" s="171"/>
      <c r="P6324" s="171"/>
      <c r="Q6324" s="171"/>
      <c r="R6324" s="171"/>
      <c r="S6324" s="171"/>
      <c r="T6324" s="171"/>
      <c r="U6324" s="171"/>
      <c r="V6324" s="171"/>
      <c r="W6324" s="171"/>
      <c r="X6324" s="171"/>
      <c r="Y6324" s="171"/>
      <c r="Z6324" s="171"/>
      <c r="AA6324" s="171"/>
    </row>
    <row r="6325" spans="1:27" s="530" customFormat="1" ht="15.75" hidden="1" customHeight="1" x14ac:dyDescent="0.2">
      <c r="A6325" s="526"/>
      <c r="B6325" s="527"/>
      <c r="C6325" s="465"/>
      <c r="D6325" s="464"/>
      <c r="E6325" s="502"/>
      <c r="F6325" s="503" t="s">
        <v>234</v>
      </c>
      <c r="G6325" s="504" t="s">
        <v>235</v>
      </c>
      <c r="H6325" s="403">
        <f>SUM(H6264:H6323)</f>
        <v>0</v>
      </c>
      <c r="I6325" s="403"/>
      <c r="J6325" s="750" t="e">
        <f t="shared" si="82"/>
        <v>#DIV/0!</v>
      </c>
      <c r="K6325" s="404"/>
      <c r="L6325" s="404"/>
      <c r="M6325" s="682"/>
      <c r="N6325" s="171"/>
      <c r="O6325" s="171"/>
      <c r="P6325" s="171"/>
      <c r="Q6325" s="171"/>
      <c r="R6325" s="171"/>
      <c r="S6325" s="171"/>
      <c r="T6325" s="171"/>
      <c r="U6325" s="171"/>
      <c r="V6325" s="171"/>
      <c r="W6325" s="171"/>
      <c r="X6325" s="171"/>
      <c r="Y6325" s="171"/>
      <c r="Z6325" s="171"/>
      <c r="AA6325" s="171"/>
    </row>
    <row r="6326" spans="1:27" s="530" customFormat="1" ht="15.75" hidden="1" customHeight="1" x14ac:dyDescent="0.2">
      <c r="A6326" s="526"/>
      <c r="B6326" s="527"/>
      <c r="C6326" s="465"/>
      <c r="D6326" s="464"/>
      <c r="E6326" s="464"/>
      <c r="F6326" s="503" t="s">
        <v>236</v>
      </c>
      <c r="G6326" s="504" t="s">
        <v>237</v>
      </c>
      <c r="H6326" s="397"/>
      <c r="I6326" s="397"/>
      <c r="J6326" s="750" t="e">
        <f t="shared" si="82"/>
        <v>#DIV/0!</v>
      </c>
      <c r="K6326" s="398"/>
      <c r="L6326" s="404"/>
      <c r="M6326" s="682"/>
      <c r="N6326" s="171"/>
      <c r="O6326" s="171"/>
      <c r="P6326" s="171"/>
      <c r="Q6326" s="171"/>
      <c r="R6326" s="171"/>
      <c r="S6326" s="171"/>
      <c r="T6326" s="171"/>
      <c r="U6326" s="171"/>
      <c r="V6326" s="171"/>
      <c r="W6326" s="171"/>
      <c r="X6326" s="171"/>
      <c r="Y6326" s="171"/>
      <c r="Z6326" s="171"/>
      <c r="AA6326" s="171"/>
    </row>
    <row r="6327" spans="1:27" s="530" customFormat="1" ht="15.75" hidden="1" customHeight="1" x14ac:dyDescent="0.2">
      <c r="A6327" s="526"/>
      <c r="B6327" s="527"/>
      <c r="C6327" s="465"/>
      <c r="D6327" s="464"/>
      <c r="E6327" s="464"/>
      <c r="F6327" s="503" t="s">
        <v>238</v>
      </c>
      <c r="G6327" s="504" t="s">
        <v>239</v>
      </c>
      <c r="H6327" s="397"/>
      <c r="I6327" s="397"/>
      <c r="J6327" s="750" t="e">
        <f t="shared" si="82"/>
        <v>#DIV/0!</v>
      </c>
      <c r="K6327" s="398"/>
      <c r="L6327" s="404"/>
      <c r="M6327" s="682"/>
      <c r="N6327" s="171"/>
      <c r="O6327" s="171"/>
      <c r="P6327" s="171"/>
      <c r="Q6327" s="171"/>
      <c r="R6327" s="171"/>
      <c r="S6327" s="171"/>
      <c r="T6327" s="171"/>
      <c r="U6327" s="171"/>
      <c r="V6327" s="171"/>
      <c r="W6327" s="171"/>
      <c r="X6327" s="171"/>
      <c r="Y6327" s="171"/>
      <c r="Z6327" s="171"/>
      <c r="AA6327" s="171"/>
    </row>
    <row r="6328" spans="1:27" s="530" customFormat="1" ht="15.75" hidden="1" customHeight="1" x14ac:dyDescent="0.2">
      <c r="A6328" s="526"/>
      <c r="B6328" s="527"/>
      <c r="C6328" s="465"/>
      <c r="D6328" s="464"/>
      <c r="E6328" s="464"/>
      <c r="F6328" s="503" t="s">
        <v>240</v>
      </c>
      <c r="G6328" s="504" t="s">
        <v>241</v>
      </c>
      <c r="H6328" s="397"/>
      <c r="I6328" s="397"/>
      <c r="J6328" s="750" t="e">
        <f t="shared" si="82"/>
        <v>#DIV/0!</v>
      </c>
      <c r="K6328" s="398"/>
      <c r="L6328" s="404"/>
      <c r="M6328" s="682"/>
      <c r="N6328" s="171"/>
      <c r="O6328" s="171"/>
      <c r="P6328" s="171"/>
      <c r="Q6328" s="171"/>
      <c r="R6328" s="171"/>
      <c r="S6328" s="171"/>
      <c r="T6328" s="171"/>
      <c r="U6328" s="171"/>
      <c r="V6328" s="171"/>
      <c r="W6328" s="171"/>
      <c r="X6328" s="171"/>
      <c r="Y6328" s="171"/>
      <c r="Z6328" s="171"/>
      <c r="AA6328" s="171"/>
    </row>
    <row r="6329" spans="1:27" s="530" customFormat="1" ht="15.75" hidden="1" customHeight="1" x14ac:dyDescent="0.2">
      <c r="A6329" s="526"/>
      <c r="B6329" s="527"/>
      <c r="C6329" s="465"/>
      <c r="D6329" s="464"/>
      <c r="E6329" s="464"/>
      <c r="F6329" s="503" t="s">
        <v>242</v>
      </c>
      <c r="G6329" s="504" t="s">
        <v>243</v>
      </c>
      <c r="H6329" s="397"/>
      <c r="I6329" s="397"/>
      <c r="J6329" s="750" t="e">
        <f t="shared" si="82"/>
        <v>#DIV/0!</v>
      </c>
      <c r="K6329" s="398"/>
      <c r="L6329" s="404"/>
      <c r="M6329" s="682"/>
      <c r="N6329" s="171"/>
      <c r="O6329" s="171"/>
      <c r="P6329" s="171"/>
      <c r="Q6329" s="171"/>
      <c r="R6329" s="171"/>
      <c r="S6329" s="171"/>
      <c r="T6329" s="171"/>
      <c r="U6329" s="171"/>
      <c r="V6329" s="171"/>
      <c r="W6329" s="171"/>
      <c r="X6329" s="171"/>
      <c r="Y6329" s="171"/>
      <c r="Z6329" s="171"/>
      <c r="AA6329" s="171"/>
    </row>
    <row r="6330" spans="1:27" s="530" customFormat="1" ht="15.75" hidden="1" customHeight="1" x14ac:dyDescent="0.2">
      <c r="A6330" s="526"/>
      <c r="B6330" s="527"/>
      <c r="C6330" s="465"/>
      <c r="D6330" s="464"/>
      <c r="E6330" s="464"/>
      <c r="F6330" s="503" t="s">
        <v>244</v>
      </c>
      <c r="G6330" s="504" t="s">
        <v>245</v>
      </c>
      <c r="H6330" s="397"/>
      <c r="I6330" s="397"/>
      <c r="J6330" s="750" t="e">
        <f t="shared" si="82"/>
        <v>#DIV/0!</v>
      </c>
      <c r="K6330" s="398"/>
      <c r="L6330" s="404"/>
      <c r="M6330" s="682"/>
      <c r="N6330" s="171"/>
      <c r="O6330" s="171"/>
      <c r="P6330" s="171"/>
      <c r="Q6330" s="171"/>
      <c r="R6330" s="171"/>
      <c r="S6330" s="171"/>
      <c r="T6330" s="171"/>
      <c r="U6330" s="171"/>
      <c r="V6330" s="171"/>
      <c r="W6330" s="171"/>
      <c r="X6330" s="171"/>
      <c r="Y6330" s="171"/>
      <c r="Z6330" s="171"/>
      <c r="AA6330" s="171"/>
    </row>
    <row r="6331" spans="1:27" s="530" customFormat="1" ht="15.75" hidden="1" customHeight="1" x14ac:dyDescent="0.2">
      <c r="A6331" s="526"/>
      <c r="B6331" s="527"/>
      <c r="C6331" s="465"/>
      <c r="D6331" s="464"/>
      <c r="E6331" s="464"/>
      <c r="F6331" s="503" t="s">
        <v>246</v>
      </c>
      <c r="G6331" s="504" t="s">
        <v>247</v>
      </c>
      <c r="H6331" s="397"/>
      <c r="I6331" s="397"/>
      <c r="J6331" s="750" t="e">
        <f t="shared" si="82"/>
        <v>#DIV/0!</v>
      </c>
      <c r="K6331" s="398"/>
      <c r="L6331" s="404"/>
      <c r="M6331" s="682"/>
      <c r="N6331" s="171"/>
      <c r="O6331" s="171"/>
      <c r="P6331" s="171"/>
      <c r="Q6331" s="171"/>
      <c r="R6331" s="171"/>
      <c r="S6331" s="171"/>
      <c r="T6331" s="171"/>
      <c r="U6331" s="171"/>
      <c r="V6331" s="171"/>
      <c r="W6331" s="171"/>
      <c r="X6331" s="171"/>
      <c r="Y6331" s="171"/>
      <c r="Z6331" s="171"/>
      <c r="AA6331" s="171"/>
    </row>
    <row r="6332" spans="1:27" s="530" customFormat="1" ht="15.75" hidden="1" customHeight="1" x14ac:dyDescent="0.2">
      <c r="A6332" s="526"/>
      <c r="B6332" s="527"/>
      <c r="C6332" s="465"/>
      <c r="D6332" s="464"/>
      <c r="E6332" s="464"/>
      <c r="F6332" s="503" t="s">
        <v>248</v>
      </c>
      <c r="G6332" s="504" t="s">
        <v>249</v>
      </c>
      <c r="H6332" s="397"/>
      <c r="I6332" s="397"/>
      <c r="J6332" s="750" t="e">
        <f t="shared" si="82"/>
        <v>#DIV/0!</v>
      </c>
      <c r="K6332" s="398"/>
      <c r="L6332" s="404"/>
      <c r="M6332" s="682"/>
      <c r="N6332" s="171"/>
      <c r="O6332" s="171"/>
      <c r="P6332" s="171"/>
      <c r="Q6332" s="171"/>
      <c r="R6332" s="171"/>
      <c r="S6332" s="171"/>
      <c r="T6332" s="171"/>
      <c r="U6332" s="171"/>
      <c r="V6332" s="171"/>
      <c r="W6332" s="171"/>
      <c r="X6332" s="171"/>
      <c r="Y6332" s="171"/>
      <c r="Z6332" s="171"/>
      <c r="AA6332" s="171"/>
    </row>
    <row r="6333" spans="1:27" s="530" customFormat="1" ht="15.75" hidden="1" customHeight="1" x14ac:dyDescent="0.2">
      <c r="A6333" s="526"/>
      <c r="B6333" s="527"/>
      <c r="C6333" s="465"/>
      <c r="D6333" s="464"/>
      <c r="E6333" s="464"/>
      <c r="F6333" s="503" t="s">
        <v>250</v>
      </c>
      <c r="G6333" s="504" t="s">
        <v>57</v>
      </c>
      <c r="H6333" s="397"/>
      <c r="I6333" s="397"/>
      <c r="J6333" s="750" t="e">
        <f t="shared" si="82"/>
        <v>#DIV/0!</v>
      </c>
      <c r="K6333" s="398"/>
      <c r="L6333" s="404"/>
      <c r="M6333" s="682"/>
      <c r="N6333" s="171"/>
      <c r="O6333" s="171"/>
      <c r="P6333" s="171"/>
      <c r="Q6333" s="171"/>
      <c r="R6333" s="171"/>
      <c r="S6333" s="171"/>
      <c r="T6333" s="171"/>
      <c r="U6333" s="171"/>
      <c r="V6333" s="171"/>
      <c r="W6333" s="171"/>
      <c r="X6333" s="171"/>
      <c r="Y6333" s="171"/>
      <c r="Z6333" s="171"/>
      <c r="AA6333" s="171"/>
    </row>
    <row r="6334" spans="1:27" s="530" customFormat="1" ht="15.75" hidden="1" customHeight="1" x14ac:dyDescent="0.2">
      <c r="A6334" s="526"/>
      <c r="B6334" s="527"/>
      <c r="C6334" s="465"/>
      <c r="D6334" s="464"/>
      <c r="E6334" s="464"/>
      <c r="F6334" s="503" t="s">
        <v>251</v>
      </c>
      <c r="G6334" s="504" t="s">
        <v>252</v>
      </c>
      <c r="H6334" s="397"/>
      <c r="I6334" s="397"/>
      <c r="J6334" s="750" t="e">
        <f t="shared" si="82"/>
        <v>#DIV/0!</v>
      </c>
      <c r="K6334" s="398"/>
      <c r="L6334" s="404"/>
      <c r="M6334" s="682"/>
      <c r="N6334" s="171"/>
      <c r="O6334" s="171"/>
      <c r="P6334" s="171"/>
      <c r="Q6334" s="171"/>
      <c r="R6334" s="171"/>
      <c r="S6334" s="171"/>
      <c r="T6334" s="171"/>
      <c r="U6334" s="171"/>
      <c r="V6334" s="171"/>
      <c r="W6334" s="171"/>
      <c r="X6334" s="171"/>
      <c r="Y6334" s="171"/>
      <c r="Z6334" s="171"/>
      <c r="AA6334" s="171"/>
    </row>
    <row r="6335" spans="1:27" s="530" customFormat="1" ht="15.75" hidden="1" customHeight="1" x14ac:dyDescent="0.2">
      <c r="A6335" s="526"/>
      <c r="B6335" s="527"/>
      <c r="C6335" s="465"/>
      <c r="D6335" s="464"/>
      <c r="E6335" s="464"/>
      <c r="F6335" s="503" t="s">
        <v>253</v>
      </c>
      <c r="G6335" s="504" t="s">
        <v>254</v>
      </c>
      <c r="H6335" s="397"/>
      <c r="I6335" s="397"/>
      <c r="J6335" s="750" t="e">
        <f t="shared" si="82"/>
        <v>#DIV/0!</v>
      </c>
      <c r="K6335" s="398"/>
      <c r="L6335" s="404"/>
      <c r="M6335" s="682"/>
      <c r="N6335" s="171"/>
      <c r="O6335" s="171"/>
      <c r="P6335" s="171"/>
      <c r="Q6335" s="171"/>
      <c r="R6335" s="171"/>
      <c r="S6335" s="171"/>
      <c r="T6335" s="171"/>
      <c r="U6335" s="171"/>
      <c r="V6335" s="171"/>
      <c r="W6335" s="171"/>
      <c r="X6335" s="171"/>
      <c r="Y6335" s="171"/>
      <c r="Z6335" s="171"/>
      <c r="AA6335" s="171"/>
    </row>
    <row r="6336" spans="1:27" s="530" customFormat="1" ht="15.75" hidden="1" customHeight="1" x14ac:dyDescent="0.2">
      <c r="A6336" s="526"/>
      <c r="B6336" s="527"/>
      <c r="C6336" s="465"/>
      <c r="D6336" s="464"/>
      <c r="E6336" s="464"/>
      <c r="F6336" s="503" t="s">
        <v>255</v>
      </c>
      <c r="G6336" s="504" t="s">
        <v>256</v>
      </c>
      <c r="H6336" s="397"/>
      <c r="I6336" s="397"/>
      <c r="J6336" s="750" t="e">
        <f t="shared" si="82"/>
        <v>#DIV/0!</v>
      </c>
      <c r="K6336" s="398"/>
      <c r="L6336" s="404"/>
      <c r="M6336" s="682"/>
      <c r="N6336" s="171"/>
      <c r="O6336" s="171"/>
      <c r="P6336" s="171"/>
      <c r="Q6336" s="171"/>
      <c r="R6336" s="171"/>
      <c r="S6336" s="171"/>
      <c r="T6336" s="171"/>
      <c r="U6336" s="171"/>
      <c r="V6336" s="171"/>
      <c r="W6336" s="171"/>
      <c r="X6336" s="171"/>
      <c r="Y6336" s="171"/>
      <c r="Z6336" s="171"/>
      <c r="AA6336" s="171"/>
    </row>
    <row r="6337" spans="1:27" s="530" customFormat="1" ht="15.75" hidden="1" customHeight="1" x14ac:dyDescent="0.2">
      <c r="A6337" s="526"/>
      <c r="B6337" s="527"/>
      <c r="C6337" s="465"/>
      <c r="D6337" s="464"/>
      <c r="E6337" s="464"/>
      <c r="F6337" s="503" t="s">
        <v>257</v>
      </c>
      <c r="G6337" s="504" t="s">
        <v>258</v>
      </c>
      <c r="H6337" s="397"/>
      <c r="I6337" s="397"/>
      <c r="J6337" s="750" t="e">
        <f t="shared" si="82"/>
        <v>#DIV/0!</v>
      </c>
      <c r="K6337" s="398"/>
      <c r="L6337" s="404"/>
      <c r="M6337" s="682"/>
      <c r="N6337" s="171"/>
      <c r="O6337" s="171"/>
      <c r="P6337" s="171"/>
      <c r="Q6337" s="171"/>
      <c r="R6337" s="171"/>
      <c r="S6337" s="171"/>
      <c r="T6337" s="171"/>
      <c r="U6337" s="171"/>
      <c r="V6337" s="171"/>
      <c r="W6337" s="171"/>
      <c r="X6337" s="171"/>
      <c r="Y6337" s="171"/>
      <c r="Z6337" s="171"/>
      <c r="AA6337" s="171"/>
    </row>
    <row r="6338" spans="1:27" s="530" customFormat="1" ht="15.75" hidden="1" customHeight="1" x14ac:dyDescent="0.2">
      <c r="A6338" s="526"/>
      <c r="B6338" s="527"/>
      <c r="C6338" s="465"/>
      <c r="D6338" s="464"/>
      <c r="E6338" s="464"/>
      <c r="F6338" s="503" t="s">
        <v>259</v>
      </c>
      <c r="G6338" s="504" t="s">
        <v>260</v>
      </c>
      <c r="H6338" s="397"/>
      <c r="I6338" s="397"/>
      <c r="J6338" s="750" t="e">
        <f t="shared" si="82"/>
        <v>#DIV/0!</v>
      </c>
      <c r="K6338" s="398"/>
      <c r="L6338" s="404"/>
      <c r="M6338" s="682"/>
      <c r="N6338" s="171"/>
      <c r="O6338" s="171"/>
      <c r="P6338" s="171"/>
      <c r="Q6338" s="171"/>
      <c r="R6338" s="171"/>
      <c r="S6338" s="171"/>
      <c r="T6338" s="171"/>
      <c r="U6338" s="171"/>
      <c r="V6338" s="171"/>
      <c r="W6338" s="171"/>
      <c r="X6338" s="171"/>
      <c r="Y6338" s="171"/>
      <c r="Z6338" s="171"/>
      <c r="AA6338" s="171"/>
    </row>
    <row r="6339" spans="1:27" s="530" customFormat="1" ht="15.75" hidden="1" customHeight="1" x14ac:dyDescent="0.2">
      <c r="A6339" s="526"/>
      <c r="B6339" s="527"/>
      <c r="C6339" s="465"/>
      <c r="D6339" s="464"/>
      <c r="E6339" s="464"/>
      <c r="F6339" s="503" t="s">
        <v>261</v>
      </c>
      <c r="G6339" s="504" t="s">
        <v>262</v>
      </c>
      <c r="H6339" s="397"/>
      <c r="I6339" s="397"/>
      <c r="J6339" s="750" t="e">
        <f t="shared" si="82"/>
        <v>#DIV/0!</v>
      </c>
      <c r="K6339" s="398"/>
      <c r="L6339" s="404"/>
      <c r="M6339" s="682"/>
      <c r="N6339" s="171"/>
      <c r="O6339" s="171"/>
      <c r="P6339" s="171"/>
      <c r="Q6339" s="171"/>
      <c r="R6339" s="171"/>
      <c r="S6339" s="171"/>
      <c r="T6339" s="171"/>
      <c r="U6339" s="171"/>
      <c r="V6339" s="171"/>
      <c r="W6339" s="171"/>
      <c r="X6339" s="171"/>
      <c r="Y6339" s="171"/>
      <c r="Z6339" s="171"/>
      <c r="AA6339" s="171"/>
    </row>
    <row r="6340" spans="1:27" s="530" customFormat="1" ht="15.75" hidden="1" customHeight="1" thickBot="1" x14ac:dyDescent="0.25">
      <c r="A6340" s="526"/>
      <c r="B6340" s="527"/>
      <c r="C6340" s="465"/>
      <c r="D6340" s="464"/>
      <c r="E6340" s="464"/>
      <c r="F6340" s="503" t="s">
        <v>263</v>
      </c>
      <c r="G6340" s="504" t="s">
        <v>264</v>
      </c>
      <c r="H6340" s="403"/>
      <c r="I6340" s="403"/>
      <c r="J6340" s="750" t="e">
        <f t="shared" si="82"/>
        <v>#DIV/0!</v>
      </c>
      <c r="K6340" s="404"/>
      <c r="L6340" s="404"/>
      <c r="M6340" s="682"/>
      <c r="N6340" s="171"/>
      <c r="O6340" s="171"/>
      <c r="P6340" s="171"/>
      <c r="Q6340" s="171"/>
      <c r="R6340" s="171"/>
      <c r="S6340" s="171"/>
      <c r="T6340" s="171"/>
      <c r="U6340" s="171"/>
      <c r="V6340" s="171"/>
      <c r="W6340" s="171"/>
      <c r="X6340" s="171"/>
      <c r="Y6340" s="171"/>
      <c r="Z6340" s="171"/>
      <c r="AA6340" s="171"/>
    </row>
    <row r="6341" spans="1:27" s="530" customFormat="1" ht="15.75" hidden="1" customHeight="1" thickBot="1" x14ac:dyDescent="0.25">
      <c r="A6341" s="526"/>
      <c r="B6341" s="527"/>
      <c r="C6341" s="465"/>
      <c r="D6341" s="464"/>
      <c r="E6341" s="464"/>
      <c r="F6341" s="464"/>
      <c r="G6341" s="505" t="s">
        <v>4447</v>
      </c>
      <c r="H6341" s="405">
        <f>SUM(H6325:H6340)</f>
        <v>0</v>
      </c>
      <c r="I6341" s="405"/>
      <c r="J6341" s="750" t="e">
        <f t="shared" si="82"/>
        <v>#DIV/0!</v>
      </c>
      <c r="K6341" s="406">
        <f>SUM(K6326:K6340)</f>
        <v>0</v>
      </c>
      <c r="L6341" s="406"/>
      <c r="M6341" s="682"/>
      <c r="N6341" s="171"/>
      <c r="O6341" s="171"/>
      <c r="P6341" s="171"/>
      <c r="Q6341" s="171"/>
      <c r="R6341" s="171"/>
      <c r="S6341" s="171"/>
      <c r="T6341" s="171"/>
      <c r="U6341" s="171"/>
      <c r="V6341" s="171"/>
      <c r="W6341" s="171"/>
      <c r="X6341" s="171"/>
      <c r="Y6341" s="171"/>
      <c r="Z6341" s="171"/>
      <c r="AA6341" s="171"/>
    </row>
    <row r="6342" spans="1:27" s="530" customFormat="1" ht="15.75" hidden="1" customHeight="1" x14ac:dyDescent="0.2">
      <c r="A6342" s="526"/>
      <c r="B6342" s="527"/>
      <c r="C6342" s="465"/>
      <c r="D6342" s="464"/>
      <c r="E6342" s="500"/>
      <c r="F6342" s="498"/>
      <c r="G6342" s="506" t="s">
        <v>5034</v>
      </c>
      <c r="H6342" s="407"/>
      <c r="I6342" s="408"/>
      <c r="J6342" s="750" t="e">
        <f t="shared" si="82"/>
        <v>#DIV/0!</v>
      </c>
      <c r="K6342" s="409"/>
      <c r="L6342" s="410"/>
      <c r="M6342" s="682"/>
      <c r="N6342" s="171"/>
      <c r="O6342" s="171"/>
      <c r="P6342" s="171"/>
      <c r="Q6342" s="171"/>
      <c r="R6342" s="171"/>
      <c r="S6342" s="171"/>
      <c r="T6342" s="171"/>
      <c r="U6342" s="171"/>
      <c r="V6342" s="171"/>
      <c r="W6342" s="171"/>
      <c r="X6342" s="171"/>
      <c r="Y6342" s="171"/>
      <c r="Z6342" s="171"/>
      <c r="AA6342" s="171"/>
    </row>
    <row r="6343" spans="1:27" s="530" customFormat="1" ht="15.75" hidden="1" customHeight="1" x14ac:dyDescent="0.2">
      <c r="A6343" s="526"/>
      <c r="B6343" s="527"/>
      <c r="C6343" s="465"/>
      <c r="D6343" s="464"/>
      <c r="E6343" s="502"/>
      <c r="F6343" s="503" t="s">
        <v>234</v>
      </c>
      <c r="G6343" s="504" t="s">
        <v>235</v>
      </c>
      <c r="H6343" s="403">
        <f>SUM(H6264:H6323)</f>
        <v>0</v>
      </c>
      <c r="I6343" s="403"/>
      <c r="J6343" s="750" t="e">
        <f t="shared" si="82"/>
        <v>#DIV/0!</v>
      </c>
      <c r="K6343" s="404"/>
      <c r="L6343" s="404"/>
      <c r="M6343" s="682"/>
      <c r="N6343" s="171"/>
      <c r="O6343" s="171"/>
      <c r="P6343" s="171"/>
      <c r="Q6343" s="171"/>
      <c r="R6343" s="171"/>
      <c r="S6343" s="171"/>
      <c r="T6343" s="171"/>
      <c r="U6343" s="171"/>
      <c r="V6343" s="171"/>
      <c r="W6343" s="171"/>
      <c r="X6343" s="171"/>
      <c r="Y6343" s="171"/>
      <c r="Z6343" s="171"/>
      <c r="AA6343" s="171"/>
    </row>
    <row r="6344" spans="1:27" s="530" customFormat="1" ht="15.75" hidden="1" customHeight="1" x14ac:dyDescent="0.2">
      <c r="A6344" s="526"/>
      <c r="B6344" s="527"/>
      <c r="C6344" s="465"/>
      <c r="D6344" s="464"/>
      <c r="E6344" s="464"/>
      <c r="F6344" s="503" t="s">
        <v>236</v>
      </c>
      <c r="G6344" s="504" t="s">
        <v>237</v>
      </c>
      <c r="H6344" s="397"/>
      <c r="I6344" s="397"/>
      <c r="J6344" s="750" t="e">
        <f t="shared" si="82"/>
        <v>#DIV/0!</v>
      </c>
      <c r="K6344" s="398"/>
      <c r="L6344" s="404"/>
      <c r="M6344" s="682"/>
      <c r="N6344" s="171"/>
      <c r="O6344" s="171"/>
      <c r="P6344" s="171"/>
      <c r="Q6344" s="171"/>
      <c r="R6344" s="171"/>
      <c r="S6344" s="171"/>
      <c r="T6344" s="171"/>
      <c r="U6344" s="171"/>
      <c r="V6344" s="171"/>
      <c r="W6344" s="171"/>
      <c r="X6344" s="171"/>
      <c r="Y6344" s="171"/>
      <c r="Z6344" s="171"/>
      <c r="AA6344" s="171"/>
    </row>
    <row r="6345" spans="1:27" s="530" customFormat="1" ht="15.75" hidden="1" customHeight="1" x14ac:dyDescent="0.2">
      <c r="A6345" s="526"/>
      <c r="B6345" s="527"/>
      <c r="C6345" s="465"/>
      <c r="D6345" s="464"/>
      <c r="E6345" s="464"/>
      <c r="F6345" s="503" t="s">
        <v>238</v>
      </c>
      <c r="G6345" s="504" t="s">
        <v>239</v>
      </c>
      <c r="H6345" s="397"/>
      <c r="I6345" s="397"/>
      <c r="J6345" s="750" t="e">
        <f t="shared" si="82"/>
        <v>#DIV/0!</v>
      </c>
      <c r="K6345" s="398"/>
      <c r="L6345" s="404"/>
      <c r="M6345" s="682"/>
      <c r="N6345" s="171"/>
      <c r="O6345" s="171"/>
      <c r="P6345" s="171"/>
      <c r="Q6345" s="171"/>
      <c r="R6345" s="171"/>
      <c r="S6345" s="171"/>
      <c r="T6345" s="171"/>
      <c r="U6345" s="171"/>
      <c r="V6345" s="171"/>
      <c r="W6345" s="171"/>
      <c r="X6345" s="171"/>
      <c r="Y6345" s="171"/>
      <c r="Z6345" s="171"/>
      <c r="AA6345" s="171"/>
    </row>
    <row r="6346" spans="1:27" s="530" customFormat="1" ht="15.75" hidden="1" customHeight="1" x14ac:dyDescent="0.2">
      <c r="A6346" s="526"/>
      <c r="B6346" s="527"/>
      <c r="C6346" s="465"/>
      <c r="D6346" s="464"/>
      <c r="E6346" s="464"/>
      <c r="F6346" s="503" t="s">
        <v>240</v>
      </c>
      <c r="G6346" s="504" t="s">
        <v>241</v>
      </c>
      <c r="H6346" s="397"/>
      <c r="I6346" s="397"/>
      <c r="J6346" s="750" t="e">
        <f t="shared" si="82"/>
        <v>#DIV/0!</v>
      </c>
      <c r="K6346" s="398"/>
      <c r="L6346" s="404"/>
      <c r="M6346" s="682"/>
      <c r="N6346" s="171"/>
      <c r="O6346" s="171"/>
      <c r="P6346" s="171"/>
      <c r="Q6346" s="171"/>
      <c r="R6346" s="171"/>
      <c r="S6346" s="171"/>
      <c r="T6346" s="171"/>
      <c r="U6346" s="171"/>
      <c r="V6346" s="171"/>
      <c r="W6346" s="171"/>
      <c r="X6346" s="171"/>
      <c r="Y6346" s="171"/>
      <c r="Z6346" s="171"/>
      <c r="AA6346" s="171"/>
    </row>
    <row r="6347" spans="1:27" s="530" customFormat="1" ht="15.75" hidden="1" customHeight="1" x14ac:dyDescent="0.2">
      <c r="A6347" s="526"/>
      <c r="B6347" s="527"/>
      <c r="C6347" s="465"/>
      <c r="D6347" s="464"/>
      <c r="E6347" s="464"/>
      <c r="F6347" s="503" t="s">
        <v>242</v>
      </c>
      <c r="G6347" s="504" t="s">
        <v>243</v>
      </c>
      <c r="H6347" s="397"/>
      <c r="I6347" s="397"/>
      <c r="J6347" s="750" t="e">
        <f t="shared" si="82"/>
        <v>#DIV/0!</v>
      </c>
      <c r="K6347" s="398"/>
      <c r="L6347" s="404"/>
      <c r="M6347" s="682"/>
      <c r="N6347" s="171"/>
      <c r="O6347" s="171"/>
      <c r="P6347" s="171"/>
      <c r="Q6347" s="171"/>
      <c r="R6347" s="171"/>
      <c r="S6347" s="171"/>
      <c r="T6347" s="171"/>
      <c r="U6347" s="171"/>
      <c r="V6347" s="171"/>
      <c r="W6347" s="171"/>
      <c r="X6347" s="171"/>
      <c r="Y6347" s="171"/>
      <c r="Z6347" s="171"/>
      <c r="AA6347" s="171"/>
    </row>
    <row r="6348" spans="1:27" s="530" customFormat="1" ht="15.75" hidden="1" customHeight="1" x14ac:dyDescent="0.2">
      <c r="A6348" s="526"/>
      <c r="B6348" s="527"/>
      <c r="C6348" s="465"/>
      <c r="D6348" s="464"/>
      <c r="E6348" s="464"/>
      <c r="F6348" s="503" t="s">
        <v>244</v>
      </c>
      <c r="G6348" s="504" t="s">
        <v>245</v>
      </c>
      <c r="H6348" s="397"/>
      <c r="I6348" s="397"/>
      <c r="J6348" s="750" t="e">
        <f t="shared" si="82"/>
        <v>#DIV/0!</v>
      </c>
      <c r="K6348" s="398"/>
      <c r="L6348" s="404"/>
      <c r="M6348" s="682"/>
      <c r="N6348" s="171"/>
      <c r="O6348" s="171"/>
      <c r="P6348" s="171"/>
      <c r="Q6348" s="171"/>
      <c r="R6348" s="171"/>
      <c r="S6348" s="171"/>
      <c r="T6348" s="171"/>
      <c r="U6348" s="171"/>
      <c r="V6348" s="171"/>
      <c r="W6348" s="171"/>
      <c r="X6348" s="171"/>
      <c r="Y6348" s="171"/>
      <c r="Z6348" s="171"/>
      <c r="AA6348" s="171"/>
    </row>
    <row r="6349" spans="1:27" s="530" customFormat="1" ht="15.75" hidden="1" customHeight="1" x14ac:dyDescent="0.2">
      <c r="A6349" s="526"/>
      <c r="B6349" s="527"/>
      <c r="C6349" s="465"/>
      <c r="D6349" s="464"/>
      <c r="E6349" s="464"/>
      <c r="F6349" s="503" t="s">
        <v>246</v>
      </c>
      <c r="G6349" s="504" t="s">
        <v>247</v>
      </c>
      <c r="H6349" s="397"/>
      <c r="I6349" s="397"/>
      <c r="J6349" s="750" t="e">
        <f t="shared" ref="J6349:J6412" si="83">SUM(I6349/H6349)*100</f>
        <v>#DIV/0!</v>
      </c>
      <c r="K6349" s="398"/>
      <c r="L6349" s="404"/>
      <c r="M6349" s="682"/>
      <c r="N6349" s="171"/>
      <c r="O6349" s="171"/>
      <c r="P6349" s="171"/>
      <c r="Q6349" s="171"/>
      <c r="R6349" s="171"/>
      <c r="S6349" s="171"/>
      <c r="T6349" s="171"/>
      <c r="U6349" s="171"/>
      <c r="V6349" s="171"/>
      <c r="W6349" s="171"/>
      <c r="X6349" s="171"/>
      <c r="Y6349" s="171"/>
      <c r="Z6349" s="171"/>
      <c r="AA6349" s="171"/>
    </row>
    <row r="6350" spans="1:27" s="530" customFormat="1" ht="15.75" hidden="1" customHeight="1" x14ac:dyDescent="0.2">
      <c r="A6350" s="526"/>
      <c r="B6350" s="527"/>
      <c r="C6350" s="465"/>
      <c r="D6350" s="464"/>
      <c r="E6350" s="464"/>
      <c r="F6350" s="503" t="s">
        <v>248</v>
      </c>
      <c r="G6350" s="504" t="s">
        <v>249</v>
      </c>
      <c r="H6350" s="397"/>
      <c r="I6350" s="397"/>
      <c r="J6350" s="750" t="e">
        <f t="shared" si="83"/>
        <v>#DIV/0!</v>
      </c>
      <c r="K6350" s="398"/>
      <c r="L6350" s="404"/>
      <c r="M6350" s="682"/>
      <c r="N6350" s="171"/>
      <c r="O6350" s="171"/>
      <c r="P6350" s="171"/>
      <c r="Q6350" s="171"/>
      <c r="R6350" s="171"/>
      <c r="S6350" s="171"/>
      <c r="T6350" s="171"/>
      <c r="U6350" s="171"/>
      <c r="V6350" s="171"/>
      <c r="W6350" s="171"/>
      <c r="X6350" s="171"/>
      <c r="Y6350" s="171"/>
      <c r="Z6350" s="171"/>
      <c r="AA6350" s="171"/>
    </row>
    <row r="6351" spans="1:27" s="530" customFormat="1" ht="15.75" hidden="1" customHeight="1" x14ac:dyDescent="0.2">
      <c r="A6351" s="526"/>
      <c r="B6351" s="527"/>
      <c r="C6351" s="465"/>
      <c r="D6351" s="464"/>
      <c r="E6351" s="464"/>
      <c r="F6351" s="503" t="s">
        <v>250</v>
      </c>
      <c r="G6351" s="504" t="s">
        <v>57</v>
      </c>
      <c r="H6351" s="397"/>
      <c r="I6351" s="397"/>
      <c r="J6351" s="750" t="e">
        <f t="shared" si="83"/>
        <v>#DIV/0!</v>
      </c>
      <c r="K6351" s="398"/>
      <c r="L6351" s="404"/>
      <c r="M6351" s="682"/>
      <c r="N6351" s="171"/>
      <c r="O6351" s="171"/>
      <c r="P6351" s="171"/>
      <c r="Q6351" s="171"/>
      <c r="R6351" s="171"/>
      <c r="S6351" s="171"/>
      <c r="T6351" s="171"/>
      <c r="U6351" s="171"/>
      <c r="V6351" s="171"/>
      <c r="W6351" s="171"/>
      <c r="X6351" s="171"/>
      <c r="Y6351" s="171"/>
      <c r="Z6351" s="171"/>
      <c r="AA6351" s="171"/>
    </row>
    <row r="6352" spans="1:27" s="530" customFormat="1" ht="15.75" hidden="1" customHeight="1" x14ac:dyDescent="0.2">
      <c r="A6352" s="526"/>
      <c r="B6352" s="527"/>
      <c r="C6352" s="465"/>
      <c r="D6352" s="464"/>
      <c r="E6352" s="464"/>
      <c r="F6352" s="503" t="s">
        <v>251</v>
      </c>
      <c r="G6352" s="504" t="s">
        <v>252</v>
      </c>
      <c r="H6352" s="397"/>
      <c r="I6352" s="397"/>
      <c r="J6352" s="750" t="e">
        <f t="shared" si="83"/>
        <v>#DIV/0!</v>
      </c>
      <c r="K6352" s="398"/>
      <c r="L6352" s="404"/>
      <c r="M6352" s="682"/>
      <c r="N6352" s="171"/>
      <c r="O6352" s="171"/>
      <c r="P6352" s="171"/>
      <c r="Q6352" s="171"/>
      <c r="R6352" s="171"/>
      <c r="S6352" s="171"/>
      <c r="T6352" s="171"/>
      <c r="U6352" s="171"/>
      <c r="V6352" s="171"/>
      <c r="W6352" s="171"/>
      <c r="X6352" s="171"/>
      <c r="Y6352" s="171"/>
      <c r="Z6352" s="171"/>
      <c r="AA6352" s="171"/>
    </row>
    <row r="6353" spans="1:27" s="530" customFormat="1" ht="15.75" hidden="1" customHeight="1" x14ac:dyDescent="0.2">
      <c r="A6353" s="526"/>
      <c r="B6353" s="527"/>
      <c r="C6353" s="465"/>
      <c r="D6353" s="464"/>
      <c r="E6353" s="464"/>
      <c r="F6353" s="503" t="s">
        <v>253</v>
      </c>
      <c r="G6353" s="504" t="s">
        <v>254</v>
      </c>
      <c r="H6353" s="397"/>
      <c r="I6353" s="397"/>
      <c r="J6353" s="750" t="e">
        <f t="shared" si="83"/>
        <v>#DIV/0!</v>
      </c>
      <c r="K6353" s="398"/>
      <c r="L6353" s="404"/>
      <c r="M6353" s="682"/>
      <c r="N6353" s="171"/>
      <c r="O6353" s="171"/>
      <c r="P6353" s="171"/>
      <c r="Q6353" s="171"/>
      <c r="R6353" s="171"/>
      <c r="S6353" s="171"/>
      <c r="T6353" s="171"/>
      <c r="U6353" s="171"/>
      <c r="V6353" s="171"/>
      <c r="W6353" s="171"/>
      <c r="X6353" s="171"/>
      <c r="Y6353" s="171"/>
      <c r="Z6353" s="171"/>
      <c r="AA6353" s="171"/>
    </row>
    <row r="6354" spans="1:27" s="530" customFormat="1" ht="15.75" hidden="1" customHeight="1" x14ac:dyDescent="0.2">
      <c r="A6354" s="526"/>
      <c r="B6354" s="527"/>
      <c r="C6354" s="465"/>
      <c r="D6354" s="464"/>
      <c r="E6354" s="464"/>
      <c r="F6354" s="503" t="s">
        <v>255</v>
      </c>
      <c r="G6354" s="504" t="s">
        <v>256</v>
      </c>
      <c r="H6354" s="397"/>
      <c r="I6354" s="397"/>
      <c r="J6354" s="750" t="e">
        <f t="shared" si="83"/>
        <v>#DIV/0!</v>
      </c>
      <c r="K6354" s="398"/>
      <c r="L6354" s="404"/>
      <c r="M6354" s="682"/>
      <c r="N6354" s="171"/>
      <c r="O6354" s="171"/>
      <c r="P6354" s="171"/>
      <c r="Q6354" s="171"/>
      <c r="R6354" s="171"/>
      <c r="S6354" s="171"/>
      <c r="T6354" s="171"/>
      <c r="U6354" s="171"/>
      <c r="V6354" s="171"/>
      <c r="W6354" s="171"/>
      <c r="X6354" s="171"/>
      <c r="Y6354" s="171"/>
      <c r="Z6354" s="171"/>
      <c r="AA6354" s="171"/>
    </row>
    <row r="6355" spans="1:27" s="530" customFormat="1" ht="15.75" hidden="1" customHeight="1" x14ac:dyDescent="0.2">
      <c r="A6355" s="526"/>
      <c r="B6355" s="527"/>
      <c r="C6355" s="465"/>
      <c r="D6355" s="464"/>
      <c r="E6355" s="464"/>
      <c r="F6355" s="503" t="s">
        <v>257</v>
      </c>
      <c r="G6355" s="504" t="s">
        <v>258</v>
      </c>
      <c r="H6355" s="397"/>
      <c r="I6355" s="397"/>
      <c r="J6355" s="750" t="e">
        <f t="shared" si="83"/>
        <v>#DIV/0!</v>
      </c>
      <c r="K6355" s="398"/>
      <c r="L6355" s="404"/>
      <c r="M6355" s="682"/>
      <c r="N6355" s="171"/>
      <c r="O6355" s="171"/>
      <c r="P6355" s="171"/>
      <c r="Q6355" s="171"/>
      <c r="R6355" s="171"/>
      <c r="S6355" s="171"/>
      <c r="T6355" s="171"/>
      <c r="U6355" s="171"/>
      <c r="V6355" s="171"/>
      <c r="W6355" s="171"/>
      <c r="X6355" s="171"/>
      <c r="Y6355" s="171"/>
      <c r="Z6355" s="171"/>
      <c r="AA6355" s="171"/>
    </row>
    <row r="6356" spans="1:27" s="530" customFormat="1" ht="15.75" hidden="1" customHeight="1" x14ac:dyDescent="0.2">
      <c r="A6356" s="526"/>
      <c r="B6356" s="527"/>
      <c r="C6356" s="465"/>
      <c r="D6356" s="464"/>
      <c r="E6356" s="464"/>
      <c r="F6356" s="503" t="s">
        <v>259</v>
      </c>
      <c r="G6356" s="504" t="s">
        <v>260</v>
      </c>
      <c r="H6356" s="397"/>
      <c r="I6356" s="397"/>
      <c r="J6356" s="750" t="e">
        <f t="shared" si="83"/>
        <v>#DIV/0!</v>
      </c>
      <c r="K6356" s="398"/>
      <c r="L6356" s="404"/>
      <c r="M6356" s="682"/>
      <c r="N6356" s="171"/>
      <c r="O6356" s="171"/>
      <c r="P6356" s="171"/>
      <c r="Q6356" s="171"/>
      <c r="R6356" s="171"/>
      <c r="S6356" s="171"/>
      <c r="T6356" s="171"/>
      <c r="U6356" s="171"/>
      <c r="V6356" s="171"/>
      <c r="W6356" s="171"/>
      <c r="X6356" s="171"/>
      <c r="Y6356" s="171"/>
      <c r="Z6356" s="171"/>
      <c r="AA6356" s="171"/>
    </row>
    <row r="6357" spans="1:27" s="530" customFormat="1" ht="15.75" hidden="1" customHeight="1" x14ac:dyDescent="0.2">
      <c r="A6357" s="526"/>
      <c r="B6357" s="527"/>
      <c r="C6357" s="465"/>
      <c r="D6357" s="464"/>
      <c r="E6357" s="464"/>
      <c r="F6357" s="503" t="s">
        <v>261</v>
      </c>
      <c r="G6357" s="504" t="s">
        <v>262</v>
      </c>
      <c r="H6357" s="397"/>
      <c r="I6357" s="397"/>
      <c r="J6357" s="750" t="e">
        <f t="shared" si="83"/>
        <v>#DIV/0!</v>
      </c>
      <c r="K6357" s="398"/>
      <c r="L6357" s="404"/>
      <c r="M6357" s="682"/>
      <c r="N6357" s="171"/>
      <c r="O6357" s="171"/>
      <c r="P6357" s="171"/>
      <c r="Q6357" s="171"/>
      <c r="R6357" s="171"/>
      <c r="S6357" s="171"/>
      <c r="T6357" s="171"/>
      <c r="U6357" s="171"/>
      <c r="V6357" s="171"/>
      <c r="W6357" s="171"/>
      <c r="X6357" s="171"/>
      <c r="Y6357" s="171"/>
      <c r="Z6357" s="171"/>
      <c r="AA6357" s="171"/>
    </row>
    <row r="6358" spans="1:27" s="530" customFormat="1" ht="15.75" hidden="1" customHeight="1" thickBot="1" x14ac:dyDescent="0.25">
      <c r="A6358" s="526"/>
      <c r="B6358" s="527"/>
      <c r="C6358" s="465"/>
      <c r="D6358" s="464"/>
      <c r="E6358" s="464"/>
      <c r="F6358" s="503" t="s">
        <v>263</v>
      </c>
      <c r="G6358" s="504" t="s">
        <v>264</v>
      </c>
      <c r="H6358" s="403"/>
      <c r="I6358" s="403"/>
      <c r="J6358" s="750" t="e">
        <f t="shared" si="83"/>
        <v>#DIV/0!</v>
      </c>
      <c r="K6358" s="404"/>
      <c r="L6358" s="404"/>
      <c r="M6358" s="682"/>
      <c r="N6358" s="171"/>
      <c r="O6358" s="171"/>
      <c r="P6358" s="171"/>
      <c r="Q6358" s="171"/>
      <c r="R6358" s="171"/>
      <c r="S6358" s="171"/>
      <c r="T6358" s="171"/>
      <c r="U6358" s="171"/>
      <c r="V6358" s="171"/>
      <c r="W6358" s="171"/>
      <c r="X6358" s="171"/>
      <c r="Y6358" s="171"/>
      <c r="Z6358" s="171"/>
      <c r="AA6358" s="171"/>
    </row>
    <row r="6359" spans="1:27" s="530" customFormat="1" ht="15.75" hidden="1" customHeight="1" thickBot="1" x14ac:dyDescent="0.25">
      <c r="A6359" s="526"/>
      <c r="B6359" s="527"/>
      <c r="C6359" s="465"/>
      <c r="D6359" s="464"/>
      <c r="E6359" s="464"/>
      <c r="F6359" s="464"/>
      <c r="G6359" s="505" t="s">
        <v>5021</v>
      </c>
      <c r="H6359" s="405">
        <f>SUM(H6326:H6341)</f>
        <v>0</v>
      </c>
      <c r="I6359" s="405"/>
      <c r="J6359" s="750" t="e">
        <f t="shared" si="83"/>
        <v>#DIV/0!</v>
      </c>
      <c r="K6359" s="406">
        <f>SUM(K6327:K6341)</f>
        <v>0</v>
      </c>
      <c r="L6359" s="406"/>
      <c r="M6359" s="682"/>
      <c r="N6359" s="171"/>
      <c r="O6359" s="171"/>
      <c r="P6359" s="171"/>
      <c r="Q6359" s="171"/>
      <c r="R6359" s="171"/>
      <c r="S6359" s="171"/>
      <c r="T6359" s="171"/>
      <c r="U6359" s="171"/>
      <c r="V6359" s="171"/>
      <c r="W6359" s="171"/>
      <c r="X6359" s="171"/>
      <c r="Y6359" s="171"/>
      <c r="Z6359" s="171"/>
      <c r="AA6359" s="171"/>
    </row>
    <row r="6360" spans="1:27" s="530" customFormat="1" ht="15.75" hidden="1" customHeight="1" x14ac:dyDescent="0.2">
      <c r="A6360" s="526"/>
      <c r="B6360" s="527"/>
      <c r="C6360" s="465"/>
      <c r="D6360" s="464"/>
      <c r="E6360" s="464"/>
      <c r="F6360" s="464"/>
      <c r="G6360" s="507"/>
      <c r="H6360" s="397"/>
      <c r="I6360" s="397"/>
      <c r="J6360" s="750" t="e">
        <f t="shared" si="83"/>
        <v>#DIV/0!</v>
      </c>
      <c r="K6360" s="398"/>
      <c r="L6360" s="398"/>
      <c r="M6360" s="682"/>
      <c r="N6360" s="171"/>
      <c r="O6360" s="171"/>
      <c r="P6360" s="171"/>
      <c r="Q6360" s="171"/>
      <c r="R6360" s="171"/>
      <c r="S6360" s="171"/>
      <c r="T6360" s="171"/>
      <c r="U6360" s="171"/>
      <c r="V6360" s="171"/>
      <c r="W6360" s="171"/>
      <c r="X6360" s="171"/>
      <c r="Y6360" s="171"/>
      <c r="Z6360" s="171"/>
      <c r="AA6360" s="171"/>
    </row>
    <row r="6361" spans="1:27" s="530" customFormat="1" ht="15.75" customHeight="1" x14ac:dyDescent="0.2">
      <c r="A6361" s="526"/>
      <c r="B6361" s="527"/>
      <c r="C6361" s="465"/>
      <c r="D6361" s="464"/>
      <c r="E6361" s="500"/>
      <c r="F6361" s="498"/>
      <c r="G6361" s="511" t="s">
        <v>4450</v>
      </c>
      <c r="H6361" s="413"/>
      <c r="I6361" s="413"/>
      <c r="J6361" s="750"/>
      <c r="K6361" s="414"/>
      <c r="L6361" s="415"/>
      <c r="M6361" s="682"/>
      <c r="N6361" s="171"/>
      <c r="O6361" s="171"/>
      <c r="P6361" s="171"/>
      <c r="Q6361" s="171"/>
      <c r="R6361" s="171"/>
      <c r="S6361" s="171"/>
      <c r="T6361" s="171"/>
      <c r="U6361" s="171"/>
      <c r="V6361" s="171"/>
      <c r="W6361" s="171"/>
      <c r="X6361" s="171"/>
      <c r="Y6361" s="171"/>
      <c r="Z6361" s="171"/>
      <c r="AA6361" s="171"/>
    </row>
    <row r="6362" spans="1:27" s="530" customFormat="1" ht="15.75" customHeight="1" thickBot="1" x14ac:dyDescent="0.25">
      <c r="A6362" s="526"/>
      <c r="B6362" s="527"/>
      <c r="C6362" s="465"/>
      <c r="D6362" s="464"/>
      <c r="E6362" s="502"/>
      <c r="F6362" s="503" t="s">
        <v>234</v>
      </c>
      <c r="G6362" s="504" t="s">
        <v>235</v>
      </c>
      <c r="H6362" s="403">
        <f>SUM(H6343,H6244,H6145)</f>
        <v>29050000</v>
      </c>
      <c r="I6362" s="403">
        <f>SUM(I6145)</f>
        <v>26297279.23</v>
      </c>
      <c r="J6362" s="752">
        <f t="shared" si="83"/>
        <v>90.524197005163515</v>
      </c>
      <c r="K6362" s="404"/>
      <c r="L6362" s="404"/>
      <c r="M6362" s="682"/>
      <c r="N6362" s="171"/>
      <c r="O6362" s="171"/>
      <c r="P6362" s="171"/>
      <c r="Q6362" s="171"/>
      <c r="R6362" s="171"/>
      <c r="S6362" s="171"/>
      <c r="T6362" s="171"/>
      <c r="U6362" s="171"/>
      <c r="V6362" s="171"/>
      <c r="W6362" s="171"/>
      <c r="X6362" s="171"/>
      <c r="Y6362" s="171"/>
      <c r="Z6362" s="171"/>
      <c r="AA6362" s="171"/>
    </row>
    <row r="6363" spans="1:27" s="530" customFormat="1" ht="15.75" hidden="1" customHeight="1" x14ac:dyDescent="0.2">
      <c r="A6363" s="526"/>
      <c r="B6363" s="527"/>
      <c r="C6363" s="465"/>
      <c r="D6363" s="464"/>
      <c r="E6363" s="464"/>
      <c r="F6363" s="503" t="s">
        <v>236</v>
      </c>
      <c r="G6363" s="504" t="s">
        <v>237</v>
      </c>
      <c r="H6363" s="397"/>
      <c r="I6363" s="397"/>
      <c r="J6363" s="750" t="e">
        <f t="shared" si="83"/>
        <v>#DIV/0!</v>
      </c>
      <c r="K6363" s="398"/>
      <c r="L6363" s="404"/>
      <c r="M6363" s="682"/>
      <c r="N6363" s="171"/>
      <c r="O6363" s="171"/>
      <c r="P6363" s="171"/>
      <c r="Q6363" s="171"/>
      <c r="R6363" s="171"/>
      <c r="S6363" s="171"/>
      <c r="T6363" s="171"/>
      <c r="U6363" s="171"/>
      <c r="V6363" s="171"/>
      <c r="W6363" s="171"/>
      <c r="X6363" s="171"/>
      <c r="Y6363" s="171"/>
      <c r="Z6363" s="171"/>
      <c r="AA6363" s="171"/>
    </row>
    <row r="6364" spans="1:27" s="530" customFormat="1" ht="15.75" hidden="1" customHeight="1" x14ac:dyDescent="0.2">
      <c r="A6364" s="526"/>
      <c r="B6364" s="527"/>
      <c r="C6364" s="465"/>
      <c r="D6364" s="464"/>
      <c r="E6364" s="464"/>
      <c r="F6364" s="503" t="s">
        <v>238</v>
      </c>
      <c r="G6364" s="504" t="s">
        <v>239</v>
      </c>
      <c r="H6364" s="397"/>
      <c r="I6364" s="397"/>
      <c r="J6364" s="750" t="e">
        <f t="shared" si="83"/>
        <v>#DIV/0!</v>
      </c>
      <c r="K6364" s="398"/>
      <c r="L6364" s="404"/>
      <c r="M6364" s="682"/>
      <c r="N6364" s="171"/>
      <c r="O6364" s="171"/>
      <c r="P6364" s="171"/>
      <c r="Q6364" s="171"/>
      <c r="R6364" s="171"/>
      <c r="S6364" s="171"/>
      <c r="T6364" s="171"/>
      <c r="U6364" s="171"/>
      <c r="V6364" s="171"/>
      <c r="W6364" s="171"/>
      <c r="X6364" s="171"/>
      <c r="Y6364" s="171"/>
      <c r="Z6364" s="171"/>
      <c r="AA6364" s="171"/>
    </row>
    <row r="6365" spans="1:27" s="530" customFormat="1" ht="15.75" hidden="1" customHeight="1" x14ac:dyDescent="0.2">
      <c r="A6365" s="526"/>
      <c r="B6365" s="527"/>
      <c r="C6365" s="465"/>
      <c r="D6365" s="464"/>
      <c r="E6365" s="464"/>
      <c r="F6365" s="503" t="s">
        <v>240</v>
      </c>
      <c r="G6365" s="504" t="s">
        <v>241</v>
      </c>
      <c r="H6365" s="397"/>
      <c r="I6365" s="397"/>
      <c r="J6365" s="750" t="e">
        <f t="shared" si="83"/>
        <v>#DIV/0!</v>
      </c>
      <c r="K6365" s="398"/>
      <c r="L6365" s="404"/>
      <c r="M6365" s="682"/>
      <c r="N6365" s="171"/>
      <c r="O6365" s="171"/>
      <c r="P6365" s="171"/>
      <c r="Q6365" s="171"/>
      <c r="R6365" s="171"/>
      <c r="S6365" s="171"/>
      <c r="T6365" s="171"/>
      <c r="U6365" s="171"/>
      <c r="V6365" s="171"/>
      <c r="W6365" s="171"/>
      <c r="X6365" s="171"/>
      <c r="Y6365" s="171"/>
      <c r="Z6365" s="171"/>
      <c r="AA6365" s="171"/>
    </row>
    <row r="6366" spans="1:27" s="530" customFormat="1" ht="15.75" hidden="1" customHeight="1" x14ac:dyDescent="0.2">
      <c r="A6366" s="526"/>
      <c r="B6366" s="527"/>
      <c r="C6366" s="465"/>
      <c r="D6366" s="464"/>
      <c r="E6366" s="464"/>
      <c r="F6366" s="503" t="s">
        <v>242</v>
      </c>
      <c r="G6366" s="504" t="s">
        <v>243</v>
      </c>
      <c r="H6366" s="397"/>
      <c r="I6366" s="397"/>
      <c r="J6366" s="750" t="e">
        <f t="shared" si="83"/>
        <v>#DIV/0!</v>
      </c>
      <c r="K6366" s="398"/>
      <c r="L6366" s="404"/>
      <c r="M6366" s="682"/>
      <c r="N6366" s="171"/>
      <c r="O6366" s="171"/>
      <c r="P6366" s="171"/>
      <c r="Q6366" s="171"/>
      <c r="R6366" s="171"/>
      <c r="S6366" s="171"/>
      <c r="T6366" s="171"/>
      <c r="U6366" s="171"/>
      <c r="V6366" s="171"/>
      <c r="W6366" s="171"/>
      <c r="X6366" s="171"/>
      <c r="Y6366" s="171"/>
      <c r="Z6366" s="171"/>
      <c r="AA6366" s="171"/>
    </row>
    <row r="6367" spans="1:27" s="530" customFormat="1" ht="15.75" hidden="1" customHeight="1" x14ac:dyDescent="0.2">
      <c r="A6367" s="526"/>
      <c r="B6367" s="527"/>
      <c r="C6367" s="465"/>
      <c r="D6367" s="464"/>
      <c r="E6367" s="464"/>
      <c r="F6367" s="503" t="s">
        <v>244</v>
      </c>
      <c r="G6367" s="504" t="s">
        <v>245</v>
      </c>
      <c r="H6367" s="397"/>
      <c r="I6367" s="397"/>
      <c r="J6367" s="750" t="e">
        <f t="shared" si="83"/>
        <v>#DIV/0!</v>
      </c>
      <c r="K6367" s="398"/>
      <c r="L6367" s="404"/>
      <c r="M6367" s="682"/>
      <c r="N6367" s="171"/>
      <c r="O6367" s="171"/>
      <c r="P6367" s="171"/>
      <c r="Q6367" s="171"/>
      <c r="R6367" s="171"/>
      <c r="S6367" s="171"/>
      <c r="T6367" s="171"/>
      <c r="U6367" s="171"/>
      <c r="V6367" s="171"/>
      <c r="W6367" s="171"/>
      <c r="X6367" s="171"/>
      <c r="Y6367" s="171"/>
      <c r="Z6367" s="171"/>
      <c r="AA6367" s="171"/>
    </row>
    <row r="6368" spans="1:27" s="530" customFormat="1" ht="15.75" hidden="1" customHeight="1" x14ac:dyDescent="0.2">
      <c r="A6368" s="526"/>
      <c r="B6368" s="527"/>
      <c r="C6368" s="465"/>
      <c r="D6368" s="464"/>
      <c r="E6368" s="464"/>
      <c r="F6368" s="503" t="s">
        <v>246</v>
      </c>
      <c r="G6368" s="504" t="s">
        <v>247</v>
      </c>
      <c r="H6368" s="397"/>
      <c r="I6368" s="397"/>
      <c r="J6368" s="750" t="e">
        <f t="shared" si="83"/>
        <v>#DIV/0!</v>
      </c>
      <c r="K6368" s="398"/>
      <c r="L6368" s="404"/>
      <c r="M6368" s="682"/>
      <c r="N6368" s="171"/>
      <c r="O6368" s="171"/>
      <c r="P6368" s="171"/>
      <c r="Q6368" s="171"/>
      <c r="R6368" s="171"/>
      <c r="S6368" s="171"/>
      <c r="T6368" s="171"/>
      <c r="U6368" s="171"/>
      <c r="V6368" s="171"/>
      <c r="W6368" s="171"/>
      <c r="X6368" s="171"/>
      <c r="Y6368" s="171"/>
      <c r="Z6368" s="171"/>
      <c r="AA6368" s="171"/>
    </row>
    <row r="6369" spans="1:27" s="530" customFormat="1" ht="15.75" hidden="1" customHeight="1" x14ac:dyDescent="0.2">
      <c r="A6369" s="526"/>
      <c r="B6369" s="527"/>
      <c r="C6369" s="465"/>
      <c r="D6369" s="464"/>
      <c r="E6369" s="464"/>
      <c r="F6369" s="503" t="s">
        <v>248</v>
      </c>
      <c r="G6369" s="504" t="s">
        <v>249</v>
      </c>
      <c r="H6369" s="397"/>
      <c r="I6369" s="397"/>
      <c r="J6369" s="750" t="e">
        <f t="shared" si="83"/>
        <v>#DIV/0!</v>
      </c>
      <c r="K6369" s="398"/>
      <c r="L6369" s="404"/>
      <c r="M6369" s="682"/>
      <c r="N6369" s="171"/>
      <c r="O6369" s="171"/>
      <c r="P6369" s="171"/>
      <c r="Q6369" s="171"/>
      <c r="R6369" s="171"/>
      <c r="S6369" s="171"/>
      <c r="T6369" s="171"/>
      <c r="U6369" s="171"/>
      <c r="V6369" s="171"/>
      <c r="W6369" s="171"/>
      <c r="X6369" s="171"/>
      <c r="Y6369" s="171"/>
      <c r="Z6369" s="171"/>
      <c r="AA6369" s="171"/>
    </row>
    <row r="6370" spans="1:27" s="530" customFormat="1" ht="15.75" hidden="1" customHeight="1" x14ac:dyDescent="0.2">
      <c r="A6370" s="526"/>
      <c r="B6370" s="527"/>
      <c r="C6370" s="465"/>
      <c r="D6370" s="464"/>
      <c r="E6370" s="464"/>
      <c r="F6370" s="503" t="s">
        <v>250</v>
      </c>
      <c r="G6370" s="504" t="s">
        <v>57</v>
      </c>
      <c r="H6370" s="397"/>
      <c r="I6370" s="397"/>
      <c r="J6370" s="750" t="e">
        <f t="shared" si="83"/>
        <v>#DIV/0!</v>
      </c>
      <c r="K6370" s="398"/>
      <c r="L6370" s="404"/>
      <c r="M6370" s="682"/>
      <c r="N6370" s="171"/>
      <c r="O6370" s="171"/>
      <c r="P6370" s="171"/>
      <c r="Q6370" s="171"/>
      <c r="R6370" s="171"/>
      <c r="S6370" s="171"/>
      <c r="T6370" s="171"/>
      <c r="U6370" s="171"/>
      <c r="V6370" s="171"/>
      <c r="W6370" s="171"/>
      <c r="X6370" s="171"/>
      <c r="Y6370" s="171"/>
      <c r="Z6370" s="171"/>
      <c r="AA6370" s="171"/>
    </row>
    <row r="6371" spans="1:27" s="530" customFormat="1" ht="15.75" hidden="1" customHeight="1" x14ac:dyDescent="0.2">
      <c r="A6371" s="526"/>
      <c r="B6371" s="527"/>
      <c r="C6371" s="465"/>
      <c r="D6371" s="464"/>
      <c r="E6371" s="464"/>
      <c r="F6371" s="503" t="s">
        <v>251</v>
      </c>
      <c r="G6371" s="504" t="s">
        <v>252</v>
      </c>
      <c r="H6371" s="397"/>
      <c r="I6371" s="397"/>
      <c r="J6371" s="750" t="e">
        <f t="shared" si="83"/>
        <v>#DIV/0!</v>
      </c>
      <c r="K6371" s="398"/>
      <c r="L6371" s="404"/>
      <c r="M6371" s="682"/>
      <c r="N6371" s="171"/>
      <c r="O6371" s="171"/>
      <c r="P6371" s="171"/>
      <c r="Q6371" s="171"/>
      <c r="R6371" s="171"/>
      <c r="S6371" s="171"/>
      <c r="T6371" s="171"/>
      <c r="U6371" s="171"/>
      <c r="V6371" s="171"/>
      <c r="W6371" s="171"/>
      <c r="X6371" s="171"/>
      <c r="Y6371" s="171"/>
      <c r="Z6371" s="171"/>
      <c r="AA6371" s="171"/>
    </row>
    <row r="6372" spans="1:27" s="530" customFormat="1" ht="15.75" hidden="1" customHeight="1" x14ac:dyDescent="0.2">
      <c r="A6372" s="526"/>
      <c r="B6372" s="527"/>
      <c r="C6372" s="465"/>
      <c r="D6372" s="464"/>
      <c r="E6372" s="464"/>
      <c r="F6372" s="503" t="s">
        <v>253</v>
      </c>
      <c r="G6372" s="504" t="s">
        <v>254</v>
      </c>
      <c r="H6372" s="397"/>
      <c r="I6372" s="397"/>
      <c r="J6372" s="750" t="e">
        <f t="shared" si="83"/>
        <v>#DIV/0!</v>
      </c>
      <c r="K6372" s="398"/>
      <c r="L6372" s="404"/>
      <c r="M6372" s="682"/>
      <c r="N6372" s="171"/>
      <c r="O6372" s="171"/>
      <c r="P6372" s="171"/>
      <c r="Q6372" s="171"/>
      <c r="R6372" s="171"/>
      <c r="S6372" s="171"/>
      <c r="T6372" s="171"/>
      <c r="U6372" s="171"/>
      <c r="V6372" s="171"/>
      <c r="W6372" s="171"/>
      <c r="X6372" s="171"/>
      <c r="Y6372" s="171"/>
      <c r="Z6372" s="171"/>
      <c r="AA6372" s="171"/>
    </row>
    <row r="6373" spans="1:27" s="530" customFormat="1" ht="15.75" hidden="1" customHeight="1" x14ac:dyDescent="0.2">
      <c r="A6373" s="526"/>
      <c r="B6373" s="527"/>
      <c r="C6373" s="465"/>
      <c r="D6373" s="464"/>
      <c r="E6373" s="464"/>
      <c r="F6373" s="503" t="s">
        <v>255</v>
      </c>
      <c r="G6373" s="504" t="s">
        <v>256</v>
      </c>
      <c r="H6373" s="397"/>
      <c r="I6373" s="397"/>
      <c r="J6373" s="750" t="e">
        <f t="shared" si="83"/>
        <v>#DIV/0!</v>
      </c>
      <c r="K6373" s="398"/>
      <c r="L6373" s="404"/>
      <c r="M6373" s="682"/>
      <c r="N6373" s="171"/>
      <c r="O6373" s="171"/>
      <c r="P6373" s="171"/>
      <c r="Q6373" s="171"/>
      <c r="R6373" s="171"/>
      <c r="S6373" s="171"/>
      <c r="T6373" s="171"/>
      <c r="U6373" s="171"/>
      <c r="V6373" s="171"/>
      <c r="W6373" s="171"/>
      <c r="X6373" s="171"/>
      <c r="Y6373" s="171"/>
      <c r="Z6373" s="171"/>
      <c r="AA6373" s="171"/>
    </row>
    <row r="6374" spans="1:27" s="530" customFormat="1" ht="15.75" hidden="1" customHeight="1" x14ac:dyDescent="0.2">
      <c r="A6374" s="526"/>
      <c r="B6374" s="527"/>
      <c r="C6374" s="465"/>
      <c r="D6374" s="464"/>
      <c r="E6374" s="464"/>
      <c r="F6374" s="503" t="s">
        <v>257</v>
      </c>
      <c r="G6374" s="504" t="s">
        <v>258</v>
      </c>
      <c r="H6374" s="397"/>
      <c r="I6374" s="397"/>
      <c r="J6374" s="750" t="e">
        <f t="shared" si="83"/>
        <v>#DIV/0!</v>
      </c>
      <c r="K6374" s="398"/>
      <c r="L6374" s="404"/>
      <c r="M6374" s="682"/>
      <c r="N6374" s="171"/>
      <c r="O6374" s="171"/>
      <c r="P6374" s="171"/>
      <c r="Q6374" s="171"/>
      <c r="R6374" s="171"/>
      <c r="S6374" s="171"/>
      <c r="T6374" s="171"/>
      <c r="U6374" s="171"/>
      <c r="V6374" s="171"/>
      <c r="W6374" s="171"/>
      <c r="X6374" s="171"/>
      <c r="Y6374" s="171"/>
      <c r="Z6374" s="171"/>
      <c r="AA6374" s="171"/>
    </row>
    <row r="6375" spans="1:27" s="530" customFormat="1" ht="15.75" hidden="1" customHeight="1" x14ac:dyDescent="0.2">
      <c r="A6375" s="526"/>
      <c r="B6375" s="527"/>
      <c r="C6375" s="465"/>
      <c r="D6375" s="464"/>
      <c r="E6375" s="464"/>
      <c r="F6375" s="503" t="s">
        <v>259</v>
      </c>
      <c r="G6375" s="504" t="s">
        <v>260</v>
      </c>
      <c r="H6375" s="397"/>
      <c r="I6375" s="397"/>
      <c r="J6375" s="750" t="e">
        <f t="shared" si="83"/>
        <v>#DIV/0!</v>
      </c>
      <c r="K6375" s="398"/>
      <c r="L6375" s="404"/>
      <c r="M6375" s="682"/>
      <c r="N6375" s="171"/>
      <c r="O6375" s="171"/>
      <c r="P6375" s="171"/>
      <c r="Q6375" s="171"/>
      <c r="R6375" s="171"/>
      <c r="S6375" s="171"/>
      <c r="T6375" s="171"/>
      <c r="U6375" s="171"/>
      <c r="V6375" s="171"/>
      <c r="W6375" s="171"/>
      <c r="X6375" s="171"/>
      <c r="Y6375" s="171"/>
      <c r="Z6375" s="171"/>
      <c r="AA6375" s="171"/>
    </row>
    <row r="6376" spans="1:27" s="530" customFormat="1" ht="15.75" hidden="1" customHeight="1" x14ac:dyDescent="0.2">
      <c r="A6376" s="526"/>
      <c r="B6376" s="527"/>
      <c r="C6376" s="465"/>
      <c r="D6376" s="464"/>
      <c r="E6376" s="464"/>
      <c r="F6376" s="503" t="s">
        <v>261</v>
      </c>
      <c r="G6376" s="504" t="s">
        <v>262</v>
      </c>
      <c r="H6376" s="397"/>
      <c r="I6376" s="397"/>
      <c r="J6376" s="750" t="e">
        <f t="shared" si="83"/>
        <v>#DIV/0!</v>
      </c>
      <c r="K6376" s="398"/>
      <c r="L6376" s="404"/>
      <c r="M6376" s="682"/>
      <c r="N6376" s="171"/>
      <c r="O6376" s="171"/>
      <c r="P6376" s="171"/>
      <c r="Q6376" s="171"/>
      <c r="R6376" s="171"/>
      <c r="S6376" s="171"/>
      <c r="T6376" s="171"/>
      <c r="U6376" s="171"/>
      <c r="V6376" s="171"/>
      <c r="W6376" s="171"/>
      <c r="X6376" s="171"/>
      <c r="Y6376" s="171"/>
      <c r="Z6376" s="171"/>
      <c r="AA6376" s="171"/>
    </row>
    <row r="6377" spans="1:27" s="530" customFormat="1" ht="15.75" hidden="1" customHeight="1" thickBot="1" x14ac:dyDescent="0.25">
      <c r="A6377" s="526"/>
      <c r="B6377" s="527"/>
      <c r="C6377" s="465"/>
      <c r="D6377" s="464"/>
      <c r="E6377" s="464"/>
      <c r="F6377" s="503" t="s">
        <v>263</v>
      </c>
      <c r="G6377" s="504" t="s">
        <v>264</v>
      </c>
      <c r="H6377" s="403"/>
      <c r="I6377" s="403"/>
      <c r="J6377" s="750" t="e">
        <f t="shared" si="83"/>
        <v>#DIV/0!</v>
      </c>
      <c r="K6377" s="404"/>
      <c r="L6377" s="404"/>
      <c r="M6377" s="682"/>
      <c r="N6377" s="171"/>
      <c r="O6377" s="171"/>
      <c r="P6377" s="171"/>
      <c r="Q6377" s="171"/>
      <c r="R6377" s="171"/>
      <c r="S6377" s="171"/>
      <c r="T6377" s="171"/>
      <c r="U6377" s="171"/>
      <c r="V6377" s="171"/>
      <c r="W6377" s="171"/>
      <c r="X6377" s="171"/>
      <c r="Y6377" s="171"/>
      <c r="Z6377" s="171"/>
      <c r="AA6377" s="171"/>
    </row>
    <row r="6378" spans="1:27" s="530" customFormat="1" ht="13.5" customHeight="1" thickBot="1" x14ac:dyDescent="0.25">
      <c r="A6378" s="526"/>
      <c r="B6378" s="527"/>
      <c r="C6378" s="465"/>
      <c r="D6378" s="464"/>
      <c r="E6378" s="464"/>
      <c r="F6378" s="464"/>
      <c r="G6378" s="505" t="s">
        <v>4451</v>
      </c>
      <c r="H6378" s="405">
        <f>SUM(H6362:H6377)</f>
        <v>29050000</v>
      </c>
      <c r="I6378" s="405">
        <f>SUM(I6362)</f>
        <v>26297279.23</v>
      </c>
      <c r="J6378" s="752">
        <f t="shared" si="83"/>
        <v>90.524197005163515</v>
      </c>
      <c r="K6378" s="406">
        <f>SUM(K6363:K6377)</f>
        <v>0</v>
      </c>
      <c r="L6378" s="406"/>
      <c r="M6378" s="682"/>
      <c r="N6378" s="171"/>
      <c r="O6378" s="171"/>
      <c r="P6378" s="171"/>
      <c r="Q6378" s="171"/>
      <c r="R6378" s="171"/>
      <c r="S6378" s="171"/>
      <c r="T6378" s="171"/>
      <c r="U6378" s="171"/>
      <c r="V6378" s="171"/>
      <c r="W6378" s="171"/>
      <c r="X6378" s="171"/>
      <c r="Y6378" s="171"/>
      <c r="Z6378" s="171"/>
      <c r="AA6378" s="171"/>
    </row>
    <row r="6379" spans="1:27" s="530" customFormat="1" ht="0.75" customHeight="1" x14ac:dyDescent="0.2">
      <c r="A6379" s="526"/>
      <c r="B6379" s="527"/>
      <c r="C6379" s="465"/>
      <c r="D6379" s="464"/>
      <c r="E6379" s="464"/>
      <c r="F6379" s="464"/>
      <c r="G6379" s="507"/>
      <c r="H6379" s="397"/>
      <c r="I6379" s="397"/>
      <c r="J6379" s="750" t="e">
        <f t="shared" si="83"/>
        <v>#DIV/0!</v>
      </c>
      <c r="K6379" s="398"/>
      <c r="L6379" s="398"/>
      <c r="M6379" s="682"/>
      <c r="N6379" s="171"/>
      <c r="O6379" s="171"/>
      <c r="P6379" s="171"/>
      <c r="Q6379" s="171"/>
      <c r="R6379" s="171"/>
      <c r="S6379" s="171"/>
      <c r="T6379" s="171"/>
      <c r="U6379" s="171"/>
      <c r="V6379" s="171"/>
      <c r="W6379" s="171"/>
      <c r="X6379" s="171"/>
      <c r="Y6379" s="171"/>
      <c r="Z6379" s="171"/>
      <c r="AA6379" s="171"/>
    </row>
    <row r="6380" spans="1:27" s="530" customFormat="1" ht="15.75" customHeight="1" x14ac:dyDescent="0.2">
      <c r="A6380" s="526"/>
      <c r="B6380" s="527"/>
      <c r="C6380" s="465"/>
      <c r="D6380" s="464"/>
      <c r="E6380" s="500"/>
      <c r="F6380" s="498"/>
      <c r="G6380" s="511" t="s">
        <v>5154</v>
      </c>
      <c r="H6380" s="413"/>
      <c r="I6380" s="413"/>
      <c r="J6380" s="750"/>
      <c r="K6380" s="414"/>
      <c r="L6380" s="415"/>
      <c r="M6380" s="682"/>
      <c r="N6380" s="171"/>
      <c r="O6380" s="171"/>
      <c r="P6380" s="171"/>
      <c r="Q6380" s="171"/>
      <c r="R6380" s="171"/>
      <c r="S6380" s="171"/>
      <c r="T6380" s="171"/>
      <c r="U6380" s="171"/>
      <c r="V6380" s="171"/>
      <c r="W6380" s="171"/>
      <c r="X6380" s="171"/>
      <c r="Y6380" s="171"/>
      <c r="Z6380" s="171"/>
      <c r="AA6380" s="171"/>
    </row>
    <row r="6381" spans="1:27" s="530" customFormat="1" ht="13.5" customHeight="1" x14ac:dyDescent="0.2">
      <c r="A6381" s="526"/>
      <c r="B6381" s="527"/>
      <c r="C6381" s="465"/>
      <c r="D6381" s="464"/>
      <c r="E6381" s="502"/>
      <c r="F6381" s="503" t="s">
        <v>234</v>
      </c>
      <c r="G6381" s="504" t="s">
        <v>235</v>
      </c>
      <c r="H6381" s="403">
        <f>SUM(H6145,H6002,H5618,H5301,H5200,H4981,H4173,H2998)</f>
        <v>258015250</v>
      </c>
      <c r="I6381" s="403">
        <f>SUM(I6362,I6021,I5835,I5518,I5200,I4981,I4173,I2998)</f>
        <v>239672689.59999999</v>
      </c>
      <c r="J6381" s="750">
        <f t="shared" si="83"/>
        <v>92.890900673506707</v>
      </c>
      <c r="K6381" s="404"/>
      <c r="L6381" s="404"/>
      <c r="M6381" s="682"/>
      <c r="N6381" s="171"/>
      <c r="O6381" s="171"/>
      <c r="P6381" s="171"/>
      <c r="Q6381" s="171"/>
      <c r="R6381" s="171"/>
      <c r="S6381" s="171"/>
      <c r="T6381" s="171"/>
      <c r="U6381" s="171"/>
      <c r="V6381" s="171"/>
      <c r="W6381" s="171"/>
      <c r="X6381" s="171"/>
      <c r="Y6381" s="171"/>
      <c r="Z6381" s="171"/>
      <c r="AA6381" s="171"/>
    </row>
    <row r="6382" spans="1:27" s="530" customFormat="1" ht="15.75" hidden="1" customHeight="1" x14ac:dyDescent="0.2">
      <c r="A6382" s="526"/>
      <c r="B6382" s="527"/>
      <c r="C6382" s="465"/>
      <c r="D6382" s="464"/>
      <c r="E6382" s="464"/>
      <c r="F6382" s="503" t="s">
        <v>236</v>
      </c>
      <c r="G6382" s="504" t="s">
        <v>237</v>
      </c>
      <c r="H6382" s="397"/>
      <c r="I6382" s="397"/>
      <c r="J6382" s="750" t="e">
        <f t="shared" si="83"/>
        <v>#DIV/0!</v>
      </c>
      <c r="K6382" s="398"/>
      <c r="L6382" s="404"/>
      <c r="M6382" s="682"/>
      <c r="N6382" s="171"/>
      <c r="O6382" s="171"/>
      <c r="P6382" s="171"/>
      <c r="Q6382" s="171"/>
      <c r="R6382" s="171"/>
      <c r="S6382" s="171"/>
      <c r="T6382" s="171"/>
      <c r="U6382" s="171"/>
      <c r="V6382" s="171"/>
      <c r="W6382" s="171"/>
      <c r="X6382" s="171"/>
      <c r="Y6382" s="171"/>
      <c r="Z6382" s="171"/>
      <c r="AA6382" s="171"/>
    </row>
    <row r="6383" spans="1:27" s="530" customFormat="1" ht="15.75" hidden="1" customHeight="1" x14ac:dyDescent="0.2">
      <c r="A6383" s="526"/>
      <c r="B6383" s="527"/>
      <c r="C6383" s="465"/>
      <c r="D6383" s="464"/>
      <c r="E6383" s="464"/>
      <c r="F6383" s="503" t="s">
        <v>238</v>
      </c>
      <c r="G6383" s="504" t="s">
        <v>239</v>
      </c>
      <c r="H6383" s="397"/>
      <c r="I6383" s="397"/>
      <c r="J6383" s="750" t="e">
        <f t="shared" si="83"/>
        <v>#DIV/0!</v>
      </c>
      <c r="K6383" s="398"/>
      <c r="L6383" s="404"/>
      <c r="M6383" s="682"/>
      <c r="N6383" s="171"/>
      <c r="O6383" s="171"/>
      <c r="P6383" s="171"/>
      <c r="Q6383" s="171"/>
      <c r="R6383" s="171"/>
      <c r="S6383" s="171"/>
      <c r="T6383" s="171"/>
      <c r="U6383" s="171"/>
      <c r="V6383" s="171"/>
      <c r="W6383" s="171"/>
      <c r="X6383" s="171"/>
      <c r="Y6383" s="171"/>
      <c r="Z6383" s="171"/>
      <c r="AA6383" s="171"/>
    </row>
    <row r="6384" spans="1:27" s="530" customFormat="1" ht="15.75" hidden="1" customHeight="1" x14ac:dyDescent="0.2">
      <c r="A6384" s="526"/>
      <c r="B6384" s="527"/>
      <c r="C6384" s="465"/>
      <c r="D6384" s="464"/>
      <c r="E6384" s="464"/>
      <c r="F6384" s="503" t="s">
        <v>240</v>
      </c>
      <c r="G6384" s="504" t="s">
        <v>241</v>
      </c>
      <c r="H6384" s="397"/>
      <c r="I6384" s="397"/>
      <c r="J6384" s="750" t="e">
        <f t="shared" si="83"/>
        <v>#DIV/0!</v>
      </c>
      <c r="K6384" s="398"/>
      <c r="L6384" s="404"/>
      <c r="M6384" s="682"/>
      <c r="N6384" s="171"/>
      <c r="O6384" s="171"/>
      <c r="P6384" s="171"/>
      <c r="Q6384" s="171"/>
      <c r="R6384" s="171"/>
      <c r="S6384" s="171"/>
      <c r="T6384" s="171"/>
      <c r="U6384" s="171"/>
      <c r="V6384" s="171"/>
      <c r="W6384" s="171"/>
      <c r="X6384" s="171"/>
      <c r="Y6384" s="171"/>
      <c r="Z6384" s="171"/>
      <c r="AA6384" s="171"/>
    </row>
    <row r="6385" spans="1:27" s="530" customFormat="1" ht="15.75" hidden="1" customHeight="1" x14ac:dyDescent="0.2">
      <c r="A6385" s="526"/>
      <c r="B6385" s="527"/>
      <c r="C6385" s="465"/>
      <c r="D6385" s="464"/>
      <c r="E6385" s="464"/>
      <c r="F6385" s="503" t="s">
        <v>242</v>
      </c>
      <c r="G6385" s="504" t="s">
        <v>243</v>
      </c>
      <c r="H6385" s="397"/>
      <c r="I6385" s="397"/>
      <c r="J6385" s="750" t="e">
        <f t="shared" si="83"/>
        <v>#DIV/0!</v>
      </c>
      <c r="K6385" s="398"/>
      <c r="L6385" s="404"/>
      <c r="M6385" s="682"/>
      <c r="N6385" s="171"/>
      <c r="O6385" s="171"/>
      <c r="P6385" s="171"/>
      <c r="Q6385" s="171"/>
      <c r="R6385" s="171"/>
      <c r="S6385" s="171"/>
      <c r="T6385" s="171"/>
      <c r="U6385" s="171"/>
      <c r="V6385" s="171"/>
      <c r="W6385" s="171"/>
      <c r="X6385" s="171"/>
      <c r="Y6385" s="171"/>
      <c r="Z6385" s="171"/>
      <c r="AA6385" s="171"/>
    </row>
    <row r="6386" spans="1:27" s="530" customFormat="1" ht="15.75" hidden="1" customHeight="1" x14ac:dyDescent="0.2">
      <c r="A6386" s="526"/>
      <c r="B6386" s="527"/>
      <c r="C6386" s="465"/>
      <c r="D6386" s="464"/>
      <c r="E6386" s="464"/>
      <c r="F6386" s="503" t="s">
        <v>244</v>
      </c>
      <c r="G6386" s="504" t="s">
        <v>245</v>
      </c>
      <c r="H6386" s="397"/>
      <c r="I6386" s="397"/>
      <c r="J6386" s="750" t="e">
        <f t="shared" si="83"/>
        <v>#DIV/0!</v>
      </c>
      <c r="K6386" s="398"/>
      <c r="L6386" s="404"/>
      <c r="M6386" s="682"/>
      <c r="N6386" s="171"/>
      <c r="O6386" s="171"/>
      <c r="P6386" s="171"/>
      <c r="Q6386" s="171"/>
      <c r="R6386" s="171"/>
      <c r="S6386" s="171"/>
      <c r="T6386" s="171"/>
      <c r="U6386" s="171"/>
      <c r="V6386" s="171"/>
      <c r="W6386" s="171"/>
      <c r="X6386" s="171"/>
      <c r="Y6386" s="171"/>
      <c r="Z6386" s="171"/>
      <c r="AA6386" s="171"/>
    </row>
    <row r="6387" spans="1:27" s="530" customFormat="1" ht="15.75" hidden="1" customHeight="1" x14ac:dyDescent="0.2">
      <c r="A6387" s="526"/>
      <c r="B6387" s="527"/>
      <c r="C6387" s="465"/>
      <c r="D6387" s="464"/>
      <c r="E6387" s="464"/>
      <c r="F6387" s="503" t="s">
        <v>246</v>
      </c>
      <c r="G6387" s="504" t="s">
        <v>247</v>
      </c>
      <c r="H6387" s="397"/>
      <c r="I6387" s="397"/>
      <c r="J6387" s="750" t="e">
        <f t="shared" si="83"/>
        <v>#DIV/0!</v>
      </c>
      <c r="K6387" s="398"/>
      <c r="L6387" s="404"/>
      <c r="M6387" s="682"/>
      <c r="N6387" s="171"/>
      <c r="O6387" s="171"/>
      <c r="P6387" s="171"/>
      <c r="Q6387" s="171"/>
      <c r="R6387" s="171"/>
      <c r="S6387" s="171"/>
      <c r="T6387" s="171"/>
      <c r="U6387" s="171"/>
      <c r="V6387" s="171"/>
      <c r="W6387" s="171"/>
      <c r="X6387" s="171"/>
      <c r="Y6387" s="171"/>
      <c r="Z6387" s="171"/>
      <c r="AA6387" s="171"/>
    </row>
    <row r="6388" spans="1:27" s="530" customFormat="1" ht="15.75" hidden="1" customHeight="1" x14ac:dyDescent="0.2">
      <c r="A6388" s="526"/>
      <c r="B6388" s="527"/>
      <c r="C6388" s="465"/>
      <c r="D6388" s="464"/>
      <c r="E6388" s="464"/>
      <c r="F6388" s="503" t="s">
        <v>248</v>
      </c>
      <c r="G6388" s="504" t="s">
        <v>249</v>
      </c>
      <c r="H6388" s="397"/>
      <c r="I6388" s="397"/>
      <c r="J6388" s="750" t="e">
        <f t="shared" si="83"/>
        <v>#DIV/0!</v>
      </c>
      <c r="K6388" s="398"/>
      <c r="L6388" s="404"/>
      <c r="M6388" s="682"/>
      <c r="N6388" s="171"/>
      <c r="O6388" s="171"/>
      <c r="P6388" s="171"/>
      <c r="Q6388" s="171"/>
      <c r="R6388" s="171"/>
      <c r="S6388" s="171"/>
      <c r="T6388" s="171"/>
      <c r="U6388" s="171"/>
      <c r="V6388" s="171"/>
      <c r="W6388" s="171"/>
      <c r="X6388" s="171"/>
      <c r="Y6388" s="171"/>
      <c r="Z6388" s="171"/>
      <c r="AA6388" s="171"/>
    </row>
    <row r="6389" spans="1:27" s="530" customFormat="1" ht="15.75" hidden="1" customHeight="1" x14ac:dyDescent="0.2">
      <c r="A6389" s="526"/>
      <c r="B6389" s="527"/>
      <c r="C6389" s="465"/>
      <c r="D6389" s="464"/>
      <c r="E6389" s="464"/>
      <c r="F6389" s="503" t="s">
        <v>250</v>
      </c>
      <c r="G6389" s="504" t="s">
        <v>57</v>
      </c>
      <c r="H6389" s="397"/>
      <c r="I6389" s="397"/>
      <c r="J6389" s="750" t="e">
        <f t="shared" si="83"/>
        <v>#DIV/0!</v>
      </c>
      <c r="K6389" s="398"/>
      <c r="L6389" s="404"/>
      <c r="M6389" s="682"/>
      <c r="N6389" s="171"/>
      <c r="O6389" s="171"/>
      <c r="P6389" s="171"/>
      <c r="Q6389" s="171"/>
      <c r="R6389" s="171"/>
      <c r="S6389" s="171"/>
      <c r="T6389" s="171"/>
      <c r="U6389" s="171"/>
      <c r="V6389" s="171"/>
      <c r="W6389" s="171"/>
      <c r="X6389" s="171"/>
      <c r="Y6389" s="171"/>
      <c r="Z6389" s="171"/>
      <c r="AA6389" s="171"/>
    </row>
    <row r="6390" spans="1:27" s="530" customFormat="1" ht="15.75" hidden="1" customHeight="1" x14ac:dyDescent="0.2">
      <c r="A6390" s="526"/>
      <c r="B6390" s="527"/>
      <c r="C6390" s="465"/>
      <c r="D6390" s="464"/>
      <c r="E6390" s="464"/>
      <c r="F6390" s="503" t="s">
        <v>251</v>
      </c>
      <c r="G6390" s="504" t="s">
        <v>252</v>
      </c>
      <c r="H6390" s="397"/>
      <c r="I6390" s="397"/>
      <c r="J6390" s="750" t="e">
        <f t="shared" si="83"/>
        <v>#DIV/0!</v>
      </c>
      <c r="K6390" s="398"/>
      <c r="L6390" s="404"/>
      <c r="M6390" s="682"/>
      <c r="N6390" s="171"/>
      <c r="O6390" s="171"/>
      <c r="P6390" s="171"/>
      <c r="Q6390" s="171"/>
      <c r="R6390" s="171"/>
      <c r="S6390" s="171"/>
      <c r="T6390" s="171"/>
      <c r="U6390" s="171"/>
      <c r="V6390" s="171"/>
      <c r="W6390" s="171"/>
      <c r="X6390" s="171"/>
      <c r="Y6390" s="171"/>
      <c r="Z6390" s="171"/>
      <c r="AA6390" s="171"/>
    </row>
    <row r="6391" spans="1:27" s="530" customFormat="1" ht="15.75" hidden="1" customHeight="1" x14ac:dyDescent="0.2">
      <c r="A6391" s="526"/>
      <c r="B6391" s="527"/>
      <c r="C6391" s="465"/>
      <c r="D6391" s="464"/>
      <c r="E6391" s="464"/>
      <c r="F6391" s="503" t="s">
        <v>253</v>
      </c>
      <c r="G6391" s="504" t="s">
        <v>254</v>
      </c>
      <c r="H6391" s="397"/>
      <c r="I6391" s="397"/>
      <c r="J6391" s="750" t="e">
        <f t="shared" si="83"/>
        <v>#DIV/0!</v>
      </c>
      <c r="K6391" s="398"/>
      <c r="L6391" s="404"/>
      <c r="M6391" s="682"/>
      <c r="N6391" s="171"/>
      <c r="O6391" s="171"/>
      <c r="P6391" s="171"/>
      <c r="Q6391" s="171"/>
      <c r="R6391" s="171"/>
      <c r="S6391" s="171"/>
      <c r="T6391" s="171"/>
      <c r="U6391" s="171"/>
      <c r="V6391" s="171"/>
      <c r="W6391" s="171"/>
      <c r="X6391" s="171"/>
      <c r="Y6391" s="171"/>
      <c r="Z6391" s="171"/>
      <c r="AA6391" s="171"/>
    </row>
    <row r="6392" spans="1:27" s="530" customFormat="1" ht="15.75" hidden="1" customHeight="1" x14ac:dyDescent="0.2">
      <c r="A6392" s="526"/>
      <c r="B6392" s="527"/>
      <c r="C6392" s="465"/>
      <c r="D6392" s="464"/>
      <c r="E6392" s="464"/>
      <c r="F6392" s="503" t="s">
        <v>255</v>
      </c>
      <c r="G6392" s="504" t="s">
        <v>256</v>
      </c>
      <c r="H6392" s="397"/>
      <c r="I6392" s="397"/>
      <c r="J6392" s="750" t="e">
        <f t="shared" si="83"/>
        <v>#DIV/0!</v>
      </c>
      <c r="K6392" s="398"/>
      <c r="L6392" s="404"/>
      <c r="M6392" s="682"/>
      <c r="N6392" s="171"/>
      <c r="O6392" s="171"/>
      <c r="P6392" s="171"/>
      <c r="Q6392" s="171"/>
      <c r="R6392" s="171"/>
      <c r="S6392" s="171"/>
      <c r="T6392" s="171"/>
      <c r="U6392" s="171"/>
      <c r="V6392" s="171"/>
      <c r="W6392" s="171"/>
      <c r="X6392" s="171"/>
      <c r="Y6392" s="171"/>
      <c r="Z6392" s="171"/>
      <c r="AA6392" s="171"/>
    </row>
    <row r="6393" spans="1:27" s="530" customFormat="1" ht="15.75" hidden="1" customHeight="1" x14ac:dyDescent="0.2">
      <c r="A6393" s="526"/>
      <c r="B6393" s="527"/>
      <c r="C6393" s="465"/>
      <c r="D6393" s="464"/>
      <c r="E6393" s="464"/>
      <c r="F6393" s="503" t="s">
        <v>257</v>
      </c>
      <c r="G6393" s="504" t="s">
        <v>258</v>
      </c>
      <c r="H6393" s="397"/>
      <c r="I6393" s="397"/>
      <c r="J6393" s="750" t="e">
        <f t="shared" si="83"/>
        <v>#DIV/0!</v>
      </c>
      <c r="K6393" s="398"/>
      <c r="L6393" s="404"/>
      <c r="M6393" s="682"/>
      <c r="N6393" s="171"/>
      <c r="O6393" s="171"/>
      <c r="P6393" s="171"/>
      <c r="Q6393" s="171"/>
      <c r="R6393" s="171"/>
      <c r="S6393" s="171"/>
      <c r="T6393" s="171"/>
      <c r="U6393" s="171"/>
      <c r="V6393" s="171"/>
      <c r="W6393" s="171"/>
      <c r="X6393" s="171"/>
      <c r="Y6393" s="171"/>
      <c r="Z6393" s="171"/>
      <c r="AA6393" s="171"/>
    </row>
    <row r="6394" spans="1:27" s="530" customFormat="1" ht="15.75" customHeight="1" x14ac:dyDescent="0.2">
      <c r="A6394" s="526"/>
      <c r="B6394" s="527"/>
      <c r="C6394" s="465"/>
      <c r="D6394" s="464"/>
      <c r="E6394" s="464"/>
      <c r="F6394" s="549" t="s">
        <v>240</v>
      </c>
      <c r="G6394" s="504" t="s">
        <v>241</v>
      </c>
      <c r="H6394" s="397"/>
      <c r="I6394" s="397"/>
      <c r="J6394" s="750" t="e">
        <f t="shared" si="83"/>
        <v>#DIV/0!</v>
      </c>
      <c r="K6394" s="398"/>
      <c r="L6394" s="404">
        <v>16469</v>
      </c>
      <c r="M6394" s="682"/>
      <c r="N6394" s="171"/>
      <c r="O6394" s="171"/>
      <c r="P6394" s="171"/>
      <c r="Q6394" s="171"/>
      <c r="R6394" s="171"/>
      <c r="S6394" s="171"/>
      <c r="T6394" s="171"/>
      <c r="U6394" s="171"/>
      <c r="V6394" s="171"/>
      <c r="W6394" s="171"/>
      <c r="X6394" s="171"/>
      <c r="Y6394" s="171"/>
      <c r="Z6394" s="171"/>
      <c r="AA6394" s="171"/>
    </row>
    <row r="6395" spans="1:27" s="530" customFormat="1" ht="14.25" customHeight="1" x14ac:dyDescent="0.2">
      <c r="A6395" s="526"/>
      <c r="B6395" s="527"/>
      <c r="C6395" s="465"/>
      <c r="D6395" s="464"/>
      <c r="E6395" s="464"/>
      <c r="F6395" s="503" t="s">
        <v>246</v>
      </c>
      <c r="G6395" s="504" t="s">
        <v>247</v>
      </c>
      <c r="H6395" s="397"/>
      <c r="I6395" s="397"/>
      <c r="J6395" s="750"/>
      <c r="K6395" s="398">
        <f>SUM(K4997,K4189,K3014)</f>
        <v>18931275</v>
      </c>
      <c r="L6395" s="404">
        <f>SUM(L1854,L1954,L2434,L3033,L4437,L4959)</f>
        <v>15634555.029999999</v>
      </c>
      <c r="M6395" s="682"/>
      <c r="N6395" s="171"/>
      <c r="O6395" s="171"/>
      <c r="P6395" s="171"/>
      <c r="Q6395" s="171"/>
      <c r="R6395" s="171"/>
      <c r="S6395" s="171"/>
      <c r="T6395" s="171"/>
      <c r="U6395" s="171"/>
      <c r="V6395" s="171"/>
      <c r="W6395" s="171"/>
      <c r="X6395" s="171"/>
      <c r="Y6395" s="171"/>
      <c r="Z6395" s="171"/>
      <c r="AA6395" s="171"/>
    </row>
    <row r="6396" spans="1:27" s="530" customFormat="1" ht="12.75" customHeight="1" thickBot="1" x14ac:dyDescent="0.25">
      <c r="A6396" s="526"/>
      <c r="B6396" s="527"/>
      <c r="C6396" s="465"/>
      <c r="D6396" s="464"/>
      <c r="E6396" s="464"/>
      <c r="F6396" s="503" t="s">
        <v>257</v>
      </c>
      <c r="G6396" s="504" t="s">
        <v>258</v>
      </c>
      <c r="H6396" s="403">
        <f>SUM(H4996,H4188,H3013)</f>
        <v>36273000</v>
      </c>
      <c r="I6396" s="403">
        <f>SUM(I4188,I3013)</f>
        <v>7664786.4299999997</v>
      </c>
      <c r="J6396" s="750">
        <f t="shared" si="83"/>
        <v>21.130831279464061</v>
      </c>
      <c r="K6396" s="404"/>
      <c r="L6396" s="404"/>
      <c r="M6396" s="682"/>
      <c r="N6396" s="171"/>
      <c r="O6396" s="171"/>
      <c r="P6396" s="171"/>
      <c r="Q6396" s="171"/>
      <c r="R6396" s="171"/>
      <c r="S6396" s="171"/>
      <c r="T6396" s="171"/>
      <c r="U6396" s="171"/>
      <c r="V6396" s="171"/>
      <c r="W6396" s="171"/>
      <c r="X6396" s="171"/>
      <c r="Y6396" s="171"/>
      <c r="Z6396" s="171"/>
      <c r="AA6396" s="171"/>
    </row>
    <row r="6397" spans="1:27" s="530" customFormat="1" ht="21" customHeight="1" thickBot="1" x14ac:dyDescent="0.25">
      <c r="A6397" s="526"/>
      <c r="B6397" s="527"/>
      <c r="C6397" s="465"/>
      <c r="D6397" s="464"/>
      <c r="E6397" s="464"/>
      <c r="F6397" s="464"/>
      <c r="G6397" s="505" t="s">
        <v>5155</v>
      </c>
      <c r="H6397" s="405">
        <f>SUM(H6378,H6037,H5851,H5534,H5216,H4997,H4189,H3014)</f>
        <v>294288250</v>
      </c>
      <c r="I6397" s="405">
        <f>SUM(I6381:I6396)</f>
        <v>247337476.03</v>
      </c>
      <c r="J6397" s="750">
        <f t="shared" si="83"/>
        <v>84.045990973136028</v>
      </c>
      <c r="K6397" s="406">
        <f>SUM(K6382:K6396)</f>
        <v>18931275</v>
      </c>
      <c r="L6397" s="406">
        <f>SUM(L6394:L6396)</f>
        <v>15651024.029999999</v>
      </c>
      <c r="M6397" s="682"/>
      <c r="N6397" s="171"/>
      <c r="O6397" s="171"/>
      <c r="P6397" s="171"/>
      <c r="Q6397" s="171"/>
      <c r="R6397" s="171"/>
      <c r="S6397" s="171"/>
      <c r="T6397" s="171"/>
      <c r="U6397" s="171"/>
      <c r="V6397" s="171"/>
      <c r="W6397" s="171"/>
      <c r="X6397" s="171"/>
      <c r="Y6397" s="171"/>
      <c r="Z6397" s="171"/>
      <c r="AA6397" s="171"/>
    </row>
    <row r="6398" spans="1:27" s="530" customFormat="1" ht="15.75" hidden="1" customHeight="1" x14ac:dyDescent="0.2">
      <c r="A6398" s="526"/>
      <c r="B6398" s="527"/>
      <c r="C6398" s="534"/>
      <c r="D6398" s="535"/>
      <c r="E6398" s="535"/>
      <c r="F6398" s="167"/>
      <c r="G6398" s="513"/>
      <c r="H6398" s="422"/>
      <c r="I6398" s="422"/>
      <c r="J6398" s="750" t="e">
        <f t="shared" si="83"/>
        <v>#DIV/0!</v>
      </c>
      <c r="K6398" s="423"/>
      <c r="L6398" s="424"/>
      <c r="M6398" s="682"/>
      <c r="N6398" s="171"/>
      <c r="O6398" s="171"/>
      <c r="P6398" s="171"/>
      <c r="Q6398" s="171"/>
      <c r="R6398" s="171"/>
      <c r="S6398" s="171"/>
      <c r="T6398" s="171"/>
      <c r="U6398" s="171"/>
      <c r="V6398" s="171"/>
      <c r="W6398" s="171"/>
      <c r="X6398" s="171"/>
      <c r="Y6398" s="171"/>
      <c r="Z6398" s="171"/>
      <c r="AA6398" s="171"/>
    </row>
    <row r="6399" spans="1:27" s="530" customFormat="1" ht="15.75" hidden="1" customHeight="1" x14ac:dyDescent="0.2">
      <c r="A6399" s="526"/>
      <c r="B6399" s="527"/>
      <c r="C6399" s="534"/>
      <c r="D6399" s="535"/>
      <c r="E6399" s="535"/>
      <c r="F6399" s="167"/>
      <c r="G6399" s="513"/>
      <c r="H6399" s="422"/>
      <c r="I6399" s="422"/>
      <c r="J6399" s="750" t="e">
        <f t="shared" si="83"/>
        <v>#DIV/0!</v>
      </c>
      <c r="K6399" s="423"/>
      <c r="L6399" s="424"/>
      <c r="M6399" s="682"/>
      <c r="N6399" s="171"/>
      <c r="O6399" s="171"/>
      <c r="P6399" s="171"/>
      <c r="Q6399" s="171"/>
      <c r="R6399" s="171"/>
      <c r="S6399" s="171"/>
      <c r="T6399" s="171"/>
      <c r="U6399" s="171"/>
      <c r="V6399" s="171"/>
      <c r="W6399" s="171"/>
      <c r="X6399" s="171"/>
      <c r="Y6399" s="171"/>
      <c r="Z6399" s="171"/>
      <c r="AA6399" s="171"/>
    </row>
    <row r="6400" spans="1:27" s="530" customFormat="1" ht="15.75" hidden="1" customHeight="1" x14ac:dyDescent="0.2">
      <c r="A6400" s="526"/>
      <c r="B6400" s="527"/>
      <c r="C6400" s="534"/>
      <c r="D6400" s="535"/>
      <c r="E6400" s="535"/>
      <c r="F6400" s="167"/>
      <c r="G6400" s="513"/>
      <c r="H6400" s="422"/>
      <c r="I6400" s="422"/>
      <c r="J6400" s="750" t="e">
        <f t="shared" si="83"/>
        <v>#DIV/0!</v>
      </c>
      <c r="K6400" s="423"/>
      <c r="L6400" s="424"/>
      <c r="M6400" s="682"/>
      <c r="N6400" s="171"/>
      <c r="O6400" s="171"/>
      <c r="P6400" s="171"/>
      <c r="Q6400" s="171"/>
      <c r="R6400" s="171"/>
      <c r="S6400" s="171"/>
      <c r="T6400" s="171"/>
      <c r="U6400" s="171"/>
      <c r="V6400" s="171"/>
      <c r="W6400" s="171"/>
      <c r="X6400" s="171"/>
      <c r="Y6400" s="171"/>
      <c r="Z6400" s="171"/>
      <c r="AA6400" s="171"/>
    </row>
    <row r="6401" spans="1:27" s="530" customFormat="1" ht="15.75" hidden="1" customHeight="1" x14ac:dyDescent="0.2">
      <c r="A6401" s="526"/>
      <c r="B6401" s="527"/>
      <c r="C6401" s="534"/>
      <c r="D6401" s="535"/>
      <c r="E6401" s="535"/>
      <c r="F6401" s="167"/>
      <c r="G6401" s="513"/>
      <c r="H6401" s="422"/>
      <c r="I6401" s="422"/>
      <c r="J6401" s="750" t="e">
        <f t="shared" si="83"/>
        <v>#DIV/0!</v>
      </c>
      <c r="K6401" s="423"/>
      <c r="L6401" s="424"/>
      <c r="M6401" s="682"/>
      <c r="N6401" s="171"/>
      <c r="O6401" s="171"/>
      <c r="P6401" s="171"/>
      <c r="Q6401" s="171"/>
      <c r="R6401" s="171"/>
      <c r="S6401" s="171"/>
      <c r="T6401" s="171"/>
      <c r="U6401" s="171"/>
      <c r="V6401" s="171"/>
      <c r="W6401" s="171"/>
      <c r="X6401" s="171"/>
      <c r="Y6401" s="171"/>
      <c r="Z6401" s="171"/>
      <c r="AA6401" s="171"/>
    </row>
    <row r="6402" spans="1:27" s="530" customFormat="1" ht="15.75" hidden="1" customHeight="1" x14ac:dyDescent="0.2">
      <c r="A6402" s="526"/>
      <c r="B6402" s="527"/>
      <c r="C6402" s="534"/>
      <c r="D6402" s="535"/>
      <c r="E6402" s="535"/>
      <c r="F6402" s="167"/>
      <c r="G6402" s="513"/>
      <c r="H6402" s="422"/>
      <c r="I6402" s="422"/>
      <c r="J6402" s="750" t="e">
        <f t="shared" si="83"/>
        <v>#DIV/0!</v>
      </c>
      <c r="K6402" s="423"/>
      <c r="L6402" s="424"/>
      <c r="M6402" s="682"/>
      <c r="N6402" s="171"/>
      <c r="O6402" s="171"/>
      <c r="P6402" s="171"/>
      <c r="Q6402" s="171"/>
      <c r="R6402" s="171"/>
      <c r="S6402" s="171"/>
      <c r="T6402" s="171"/>
      <c r="U6402" s="171"/>
      <c r="V6402" s="171"/>
      <c r="W6402" s="171"/>
      <c r="X6402" s="171"/>
      <c r="Y6402" s="171"/>
      <c r="Z6402" s="171"/>
      <c r="AA6402" s="171"/>
    </row>
    <row r="6403" spans="1:27" s="530" customFormat="1" ht="15.75" hidden="1" customHeight="1" x14ac:dyDescent="0.2">
      <c r="A6403" s="526"/>
      <c r="B6403" s="527"/>
      <c r="C6403" s="534"/>
      <c r="D6403" s="535"/>
      <c r="E6403" s="535"/>
      <c r="F6403" s="167"/>
      <c r="G6403" s="513"/>
      <c r="H6403" s="422"/>
      <c r="I6403" s="422"/>
      <c r="J6403" s="750" t="e">
        <f t="shared" si="83"/>
        <v>#DIV/0!</v>
      </c>
      <c r="K6403" s="423"/>
      <c r="L6403" s="424"/>
      <c r="M6403" s="682"/>
      <c r="N6403" s="171"/>
      <c r="O6403" s="171"/>
      <c r="P6403" s="171"/>
      <c r="Q6403" s="171"/>
      <c r="R6403" s="171"/>
      <c r="S6403" s="171"/>
      <c r="T6403" s="171"/>
      <c r="U6403" s="171"/>
      <c r="V6403" s="171"/>
      <c r="W6403" s="171"/>
      <c r="X6403" s="171"/>
      <c r="Y6403" s="171"/>
      <c r="Z6403" s="171"/>
      <c r="AA6403" s="171"/>
    </row>
    <row r="6404" spans="1:27" s="530" customFormat="1" ht="15.75" hidden="1" customHeight="1" x14ac:dyDescent="0.2">
      <c r="A6404" s="526"/>
      <c r="B6404" s="527"/>
      <c r="C6404" s="534"/>
      <c r="D6404" s="535"/>
      <c r="E6404" s="535"/>
      <c r="F6404" s="167"/>
      <c r="G6404" s="513"/>
      <c r="H6404" s="422"/>
      <c r="I6404" s="422"/>
      <c r="J6404" s="750" t="e">
        <f t="shared" si="83"/>
        <v>#DIV/0!</v>
      </c>
      <c r="K6404" s="423"/>
      <c r="L6404" s="424"/>
      <c r="M6404" s="682"/>
      <c r="N6404" s="171"/>
      <c r="O6404" s="171"/>
      <c r="P6404" s="171"/>
      <c r="Q6404" s="171"/>
      <c r="R6404" s="171"/>
      <c r="S6404" s="171"/>
      <c r="T6404" s="171"/>
      <c r="U6404" s="171"/>
      <c r="V6404" s="171"/>
      <c r="W6404" s="171"/>
      <c r="X6404" s="171"/>
      <c r="Y6404" s="171"/>
      <c r="Z6404" s="171"/>
      <c r="AA6404" s="171"/>
    </row>
    <row r="6405" spans="1:27" s="530" customFormat="1" ht="15.75" hidden="1" customHeight="1" x14ac:dyDescent="0.2">
      <c r="A6405" s="526"/>
      <c r="B6405" s="527"/>
      <c r="C6405" s="534"/>
      <c r="D6405" s="535"/>
      <c r="E6405" s="535"/>
      <c r="F6405" s="167"/>
      <c r="G6405" s="513"/>
      <c r="H6405" s="422"/>
      <c r="I6405" s="422"/>
      <c r="J6405" s="750" t="e">
        <f t="shared" si="83"/>
        <v>#DIV/0!</v>
      </c>
      <c r="K6405" s="423"/>
      <c r="L6405" s="424"/>
      <c r="M6405" s="682"/>
      <c r="N6405" s="171"/>
      <c r="O6405" s="171"/>
      <c r="P6405" s="171"/>
      <c r="Q6405" s="171"/>
      <c r="R6405" s="171"/>
      <c r="S6405" s="171"/>
      <c r="T6405" s="171"/>
      <c r="U6405" s="171"/>
      <c r="V6405" s="171"/>
      <c r="W6405" s="171"/>
      <c r="X6405" s="171"/>
      <c r="Y6405" s="171"/>
      <c r="Z6405" s="171"/>
      <c r="AA6405" s="171"/>
    </row>
    <row r="6406" spans="1:27" s="530" customFormat="1" ht="15.75" hidden="1" customHeight="1" x14ac:dyDescent="0.2">
      <c r="A6406" s="526"/>
      <c r="B6406" s="527"/>
      <c r="C6406" s="534"/>
      <c r="D6406" s="535"/>
      <c r="E6406" s="535"/>
      <c r="F6406" s="167"/>
      <c r="G6406" s="513"/>
      <c r="H6406" s="422"/>
      <c r="I6406" s="422"/>
      <c r="J6406" s="750" t="e">
        <f t="shared" si="83"/>
        <v>#DIV/0!</v>
      </c>
      <c r="K6406" s="423"/>
      <c r="L6406" s="424"/>
      <c r="M6406" s="682"/>
      <c r="N6406" s="171"/>
      <c r="O6406" s="171"/>
      <c r="P6406" s="171"/>
      <c r="Q6406" s="171"/>
      <c r="R6406" s="171"/>
      <c r="S6406" s="171"/>
      <c r="T6406" s="171"/>
      <c r="U6406" s="171"/>
      <c r="V6406" s="171"/>
      <c r="W6406" s="171"/>
      <c r="X6406" s="171"/>
      <c r="Y6406" s="171"/>
      <c r="Z6406" s="171"/>
      <c r="AA6406" s="171"/>
    </row>
    <row r="6407" spans="1:27" s="530" customFormat="1" ht="15.75" hidden="1" customHeight="1" x14ac:dyDescent="0.2">
      <c r="A6407" s="526"/>
      <c r="B6407" s="527"/>
      <c r="C6407" s="534"/>
      <c r="D6407" s="535"/>
      <c r="E6407" s="535"/>
      <c r="F6407" s="167"/>
      <c r="G6407" s="513"/>
      <c r="H6407" s="422"/>
      <c r="I6407" s="422"/>
      <c r="J6407" s="750" t="e">
        <f t="shared" si="83"/>
        <v>#DIV/0!</v>
      </c>
      <c r="K6407" s="423"/>
      <c r="L6407" s="424"/>
      <c r="M6407" s="682"/>
      <c r="N6407" s="171"/>
      <c r="O6407" s="171"/>
      <c r="P6407" s="171"/>
      <c r="Q6407" s="171"/>
      <c r="R6407" s="171"/>
      <c r="S6407" s="171"/>
      <c r="T6407" s="171"/>
      <c r="U6407" s="171"/>
      <c r="V6407" s="171"/>
      <c r="W6407" s="171"/>
      <c r="X6407" s="171"/>
      <c r="Y6407" s="171"/>
      <c r="Z6407" s="171"/>
      <c r="AA6407" s="171"/>
    </row>
    <row r="6408" spans="1:27" s="530" customFormat="1" ht="15.75" hidden="1" customHeight="1" x14ac:dyDescent="0.2">
      <c r="A6408" s="526"/>
      <c r="B6408" s="527"/>
      <c r="C6408" s="534"/>
      <c r="D6408" s="535"/>
      <c r="E6408" s="535"/>
      <c r="F6408" s="167"/>
      <c r="G6408" s="513"/>
      <c r="H6408" s="422"/>
      <c r="I6408" s="422"/>
      <c r="J6408" s="750" t="e">
        <f t="shared" si="83"/>
        <v>#DIV/0!</v>
      </c>
      <c r="K6408" s="423"/>
      <c r="L6408" s="424"/>
      <c r="M6408" s="682"/>
      <c r="N6408" s="171"/>
      <c r="O6408" s="171"/>
      <c r="P6408" s="171"/>
      <c r="Q6408" s="171"/>
      <c r="R6408" s="171"/>
      <c r="S6408" s="171"/>
      <c r="T6408" s="171"/>
      <c r="U6408" s="171"/>
      <c r="V6408" s="171"/>
      <c r="W6408" s="171"/>
      <c r="X6408" s="171"/>
      <c r="Y6408" s="171"/>
      <c r="Z6408" s="171"/>
      <c r="AA6408" s="171"/>
    </row>
    <row r="6409" spans="1:27" s="530" customFormat="1" ht="15.75" hidden="1" customHeight="1" x14ac:dyDescent="0.2">
      <c r="A6409" s="526"/>
      <c r="B6409" s="527"/>
      <c r="C6409" s="534"/>
      <c r="D6409" s="535"/>
      <c r="E6409" s="535"/>
      <c r="F6409" s="167"/>
      <c r="G6409" s="513"/>
      <c r="H6409" s="422"/>
      <c r="I6409" s="422"/>
      <c r="J6409" s="750" t="e">
        <f t="shared" si="83"/>
        <v>#DIV/0!</v>
      </c>
      <c r="K6409" s="423"/>
      <c r="L6409" s="424"/>
      <c r="M6409" s="682"/>
      <c r="N6409" s="171"/>
      <c r="O6409" s="171"/>
      <c r="P6409" s="171"/>
      <c r="Q6409" s="171"/>
      <c r="R6409" s="171"/>
      <c r="S6409" s="171"/>
      <c r="T6409" s="171"/>
      <c r="U6409" s="171"/>
      <c r="V6409" s="171"/>
      <c r="W6409" s="171"/>
      <c r="X6409" s="171"/>
      <c r="Y6409" s="171"/>
      <c r="Z6409" s="171"/>
      <c r="AA6409" s="171"/>
    </row>
    <row r="6410" spans="1:27" s="530" customFormat="1" ht="15.75" hidden="1" customHeight="1" x14ac:dyDescent="0.2">
      <c r="A6410" s="526"/>
      <c r="B6410" s="527"/>
      <c r="C6410" s="534"/>
      <c r="D6410" s="535"/>
      <c r="E6410" s="535"/>
      <c r="F6410" s="167"/>
      <c r="G6410" s="513"/>
      <c r="H6410" s="422"/>
      <c r="I6410" s="422"/>
      <c r="J6410" s="750" t="e">
        <f t="shared" si="83"/>
        <v>#DIV/0!</v>
      </c>
      <c r="K6410" s="423"/>
      <c r="L6410" s="424"/>
      <c r="M6410" s="682"/>
      <c r="N6410" s="171"/>
      <c r="O6410" s="171"/>
      <c r="P6410" s="171"/>
      <c r="Q6410" s="171"/>
      <c r="R6410" s="171"/>
      <c r="S6410" s="171"/>
      <c r="T6410" s="171"/>
      <c r="U6410" s="171"/>
      <c r="V6410" s="171"/>
      <c r="W6410" s="171"/>
      <c r="X6410" s="171"/>
      <c r="Y6410" s="171"/>
      <c r="Z6410" s="171"/>
      <c r="AA6410" s="171"/>
    </row>
    <row r="6411" spans="1:27" s="530" customFormat="1" ht="15.75" hidden="1" customHeight="1" x14ac:dyDescent="0.2">
      <c r="A6411" s="526"/>
      <c r="B6411" s="527"/>
      <c r="C6411" s="534"/>
      <c r="D6411" s="535"/>
      <c r="E6411" s="535"/>
      <c r="F6411" s="167"/>
      <c r="G6411" s="513"/>
      <c r="H6411" s="422"/>
      <c r="I6411" s="422"/>
      <c r="J6411" s="750" t="e">
        <f t="shared" si="83"/>
        <v>#DIV/0!</v>
      </c>
      <c r="K6411" s="423"/>
      <c r="L6411" s="424"/>
      <c r="M6411" s="682"/>
      <c r="N6411" s="171"/>
      <c r="O6411" s="171"/>
      <c r="P6411" s="171"/>
      <c r="Q6411" s="171"/>
      <c r="R6411" s="171"/>
      <c r="S6411" s="171"/>
      <c r="T6411" s="171"/>
      <c r="U6411" s="171"/>
      <c r="V6411" s="171"/>
      <c r="W6411" s="171"/>
      <c r="X6411" s="171"/>
      <c r="Y6411" s="171"/>
      <c r="Z6411" s="171"/>
      <c r="AA6411" s="171"/>
    </row>
    <row r="6412" spans="1:27" s="530" customFormat="1" ht="15.75" hidden="1" customHeight="1" x14ac:dyDescent="0.2">
      <c r="A6412" s="526"/>
      <c r="B6412" s="527"/>
      <c r="C6412" s="534"/>
      <c r="D6412" s="535"/>
      <c r="E6412" s="535"/>
      <c r="F6412" s="167"/>
      <c r="G6412" s="513"/>
      <c r="H6412" s="422"/>
      <c r="I6412" s="422"/>
      <c r="J6412" s="750" t="e">
        <f t="shared" si="83"/>
        <v>#DIV/0!</v>
      </c>
      <c r="K6412" s="423"/>
      <c r="L6412" s="424"/>
      <c r="M6412" s="682"/>
      <c r="N6412" s="171"/>
      <c r="O6412" s="171"/>
      <c r="P6412" s="171"/>
      <c r="Q6412" s="171"/>
      <c r="R6412" s="171"/>
      <c r="S6412" s="171"/>
      <c r="T6412" s="171"/>
      <c r="U6412" s="171"/>
      <c r="V6412" s="171"/>
      <c r="W6412" s="171"/>
      <c r="X6412" s="171"/>
      <c r="Y6412" s="171"/>
      <c r="Z6412" s="171"/>
      <c r="AA6412" s="171"/>
    </row>
    <row r="6413" spans="1:27" s="530" customFormat="1" ht="15.75" hidden="1" customHeight="1" x14ac:dyDescent="0.2">
      <c r="A6413" s="526"/>
      <c r="B6413" s="527"/>
      <c r="C6413" s="534"/>
      <c r="D6413" s="535"/>
      <c r="E6413" s="535"/>
      <c r="F6413" s="167"/>
      <c r="G6413" s="513"/>
      <c r="H6413" s="422"/>
      <c r="I6413" s="422"/>
      <c r="J6413" s="750" t="e">
        <f t="shared" ref="J6413:J6476" si="84">SUM(I6413/H6413)*100</f>
        <v>#DIV/0!</v>
      </c>
      <c r="K6413" s="423"/>
      <c r="L6413" s="424"/>
      <c r="M6413" s="682"/>
      <c r="N6413" s="171"/>
      <c r="O6413" s="171"/>
      <c r="P6413" s="171"/>
      <c r="Q6413" s="171"/>
      <c r="R6413" s="171"/>
      <c r="S6413" s="171"/>
      <c r="T6413" s="171"/>
      <c r="U6413" s="171"/>
      <c r="V6413" s="171"/>
      <c r="W6413" s="171"/>
      <c r="X6413" s="171"/>
      <c r="Y6413" s="171"/>
      <c r="Z6413" s="171"/>
      <c r="AA6413" s="171"/>
    </row>
    <row r="6414" spans="1:27" s="530" customFormat="1" ht="15.75" hidden="1" customHeight="1" x14ac:dyDescent="0.2">
      <c r="A6414" s="526"/>
      <c r="B6414" s="527"/>
      <c r="C6414" s="534"/>
      <c r="D6414" s="535"/>
      <c r="E6414" s="535"/>
      <c r="F6414" s="167"/>
      <c r="G6414" s="513"/>
      <c r="H6414" s="422"/>
      <c r="I6414" s="422"/>
      <c r="J6414" s="750" t="e">
        <f t="shared" si="84"/>
        <v>#DIV/0!</v>
      </c>
      <c r="K6414" s="423"/>
      <c r="L6414" s="424"/>
      <c r="M6414" s="682"/>
      <c r="N6414" s="171"/>
      <c r="O6414" s="171"/>
      <c r="P6414" s="171"/>
      <c r="Q6414" s="171"/>
      <c r="R6414" s="171"/>
      <c r="S6414" s="171"/>
      <c r="T6414" s="171"/>
      <c r="U6414" s="171"/>
      <c r="V6414" s="171"/>
      <c r="W6414" s="171"/>
      <c r="X6414" s="171"/>
      <c r="Y6414" s="171"/>
      <c r="Z6414" s="171"/>
      <c r="AA6414" s="171"/>
    </row>
    <row r="6415" spans="1:27" s="530" customFormat="1" ht="15.75" hidden="1" customHeight="1" x14ac:dyDescent="0.2">
      <c r="A6415" s="526"/>
      <c r="B6415" s="527"/>
      <c r="C6415" s="534"/>
      <c r="D6415" s="535"/>
      <c r="E6415" s="535"/>
      <c r="F6415" s="167"/>
      <c r="G6415" s="513"/>
      <c r="H6415" s="422"/>
      <c r="I6415" s="422"/>
      <c r="J6415" s="750" t="e">
        <f t="shared" si="84"/>
        <v>#DIV/0!</v>
      </c>
      <c r="K6415" s="423"/>
      <c r="L6415" s="424"/>
      <c r="M6415" s="682"/>
      <c r="N6415" s="171"/>
      <c r="O6415" s="171"/>
      <c r="P6415" s="171"/>
      <c r="Q6415" s="171"/>
      <c r="R6415" s="171"/>
      <c r="S6415" s="171"/>
      <c r="T6415" s="171"/>
      <c r="U6415" s="171"/>
      <c r="V6415" s="171"/>
      <c r="W6415" s="171"/>
      <c r="X6415" s="171"/>
      <c r="Y6415" s="171"/>
      <c r="Z6415" s="171"/>
      <c r="AA6415" s="171"/>
    </row>
    <row r="6416" spans="1:27" s="530" customFormat="1" ht="15.75" hidden="1" customHeight="1" x14ac:dyDescent="0.2">
      <c r="A6416" s="526"/>
      <c r="B6416" s="527"/>
      <c r="C6416" s="534"/>
      <c r="D6416" s="535"/>
      <c r="E6416" s="535"/>
      <c r="F6416" s="167"/>
      <c r="G6416" s="513"/>
      <c r="H6416" s="422"/>
      <c r="I6416" s="422"/>
      <c r="J6416" s="750" t="e">
        <f t="shared" si="84"/>
        <v>#DIV/0!</v>
      </c>
      <c r="K6416" s="423"/>
      <c r="L6416" s="424"/>
      <c r="M6416" s="682"/>
      <c r="N6416" s="171"/>
      <c r="O6416" s="171"/>
      <c r="P6416" s="171"/>
      <c r="Q6416" s="171"/>
      <c r="R6416" s="171"/>
      <c r="S6416" s="171"/>
      <c r="T6416" s="171"/>
      <c r="U6416" s="171"/>
      <c r="V6416" s="171"/>
      <c r="W6416" s="171"/>
      <c r="X6416" s="171"/>
      <c r="Y6416" s="171"/>
      <c r="Z6416" s="171"/>
      <c r="AA6416" s="171"/>
    </row>
    <row r="6417" spans="1:27" s="530" customFormat="1" ht="15.75" hidden="1" customHeight="1" x14ac:dyDescent="0.2">
      <c r="A6417" s="526"/>
      <c r="B6417" s="527"/>
      <c r="C6417" s="534"/>
      <c r="D6417" s="535"/>
      <c r="E6417" s="535"/>
      <c r="F6417" s="167"/>
      <c r="G6417" s="513"/>
      <c r="H6417" s="422"/>
      <c r="I6417" s="422"/>
      <c r="J6417" s="750" t="e">
        <f t="shared" si="84"/>
        <v>#DIV/0!</v>
      </c>
      <c r="K6417" s="423"/>
      <c r="L6417" s="424"/>
      <c r="M6417" s="682"/>
      <c r="N6417" s="171"/>
      <c r="O6417" s="171"/>
      <c r="P6417" s="171"/>
      <c r="Q6417" s="171"/>
      <c r="R6417" s="171"/>
      <c r="S6417" s="171"/>
      <c r="T6417" s="171"/>
      <c r="U6417" s="171"/>
      <c r="V6417" s="171"/>
      <c r="W6417" s="171"/>
      <c r="X6417" s="171"/>
      <c r="Y6417" s="171"/>
      <c r="Z6417" s="171"/>
      <c r="AA6417" s="171"/>
    </row>
    <row r="6418" spans="1:27" s="530" customFormat="1" ht="15.75" hidden="1" customHeight="1" x14ac:dyDescent="0.2">
      <c r="A6418" s="526"/>
      <c r="B6418" s="527"/>
      <c r="C6418" s="534"/>
      <c r="D6418" s="535"/>
      <c r="E6418" s="535"/>
      <c r="F6418" s="167"/>
      <c r="G6418" s="513"/>
      <c r="H6418" s="422"/>
      <c r="I6418" s="422"/>
      <c r="J6418" s="750" t="e">
        <f t="shared" si="84"/>
        <v>#DIV/0!</v>
      </c>
      <c r="K6418" s="423"/>
      <c r="L6418" s="424"/>
      <c r="M6418" s="682"/>
      <c r="N6418" s="171"/>
      <c r="O6418" s="171"/>
      <c r="P6418" s="171"/>
      <c r="Q6418" s="171"/>
      <c r="R6418" s="171"/>
      <c r="S6418" s="171"/>
      <c r="T6418" s="171"/>
      <c r="U6418" s="171"/>
      <c r="V6418" s="171"/>
      <c r="W6418" s="171"/>
      <c r="X6418" s="171"/>
      <c r="Y6418" s="171"/>
      <c r="Z6418" s="171"/>
      <c r="AA6418" s="171"/>
    </row>
    <row r="6419" spans="1:27" s="530" customFormat="1" ht="15.75" hidden="1" customHeight="1" x14ac:dyDescent="0.2">
      <c r="A6419" s="526"/>
      <c r="B6419" s="527"/>
      <c r="C6419" s="534"/>
      <c r="D6419" s="535"/>
      <c r="E6419" s="535"/>
      <c r="F6419" s="167"/>
      <c r="G6419" s="513"/>
      <c r="H6419" s="422"/>
      <c r="I6419" s="422"/>
      <c r="J6419" s="750" t="e">
        <f t="shared" si="84"/>
        <v>#DIV/0!</v>
      </c>
      <c r="K6419" s="423"/>
      <c r="L6419" s="424"/>
      <c r="M6419" s="682"/>
      <c r="N6419" s="171"/>
      <c r="O6419" s="171"/>
      <c r="P6419" s="171"/>
      <c r="Q6419" s="171"/>
      <c r="R6419" s="171"/>
      <c r="S6419" s="171"/>
      <c r="T6419" s="171"/>
      <c r="U6419" s="171"/>
      <c r="V6419" s="171"/>
      <c r="W6419" s="171"/>
      <c r="X6419" s="171"/>
      <c r="Y6419" s="171"/>
      <c r="Z6419" s="171"/>
      <c r="AA6419" s="171"/>
    </row>
    <row r="6420" spans="1:27" s="530" customFormat="1" ht="15.75" hidden="1" customHeight="1" x14ac:dyDescent="0.2">
      <c r="A6420" s="526"/>
      <c r="B6420" s="527"/>
      <c r="C6420" s="534"/>
      <c r="D6420" s="535"/>
      <c r="E6420" s="535"/>
      <c r="F6420" s="167"/>
      <c r="G6420" s="513"/>
      <c r="H6420" s="422"/>
      <c r="I6420" s="422"/>
      <c r="J6420" s="750" t="e">
        <f t="shared" si="84"/>
        <v>#DIV/0!</v>
      </c>
      <c r="K6420" s="423"/>
      <c r="L6420" s="424"/>
      <c r="M6420" s="682"/>
      <c r="N6420" s="171"/>
      <c r="O6420" s="171"/>
      <c r="P6420" s="171"/>
      <c r="Q6420" s="171"/>
      <c r="R6420" s="171"/>
      <c r="S6420" s="171"/>
      <c r="T6420" s="171"/>
      <c r="U6420" s="171"/>
      <c r="V6420" s="171"/>
      <c r="W6420" s="171"/>
      <c r="X6420" s="171"/>
      <c r="Y6420" s="171"/>
      <c r="Z6420" s="171"/>
      <c r="AA6420" s="171"/>
    </row>
    <row r="6421" spans="1:27" s="530" customFormat="1" ht="15.75" hidden="1" customHeight="1" x14ac:dyDescent="0.2">
      <c r="A6421" s="526"/>
      <c r="B6421" s="527"/>
      <c r="C6421" s="534"/>
      <c r="D6421" s="535"/>
      <c r="E6421" s="535"/>
      <c r="F6421" s="167"/>
      <c r="G6421" s="513"/>
      <c r="H6421" s="422"/>
      <c r="I6421" s="422"/>
      <c r="J6421" s="750" t="e">
        <f t="shared" si="84"/>
        <v>#DIV/0!</v>
      </c>
      <c r="K6421" s="423"/>
      <c r="L6421" s="424"/>
      <c r="M6421" s="682"/>
      <c r="N6421" s="171"/>
      <c r="O6421" s="171"/>
      <c r="P6421" s="171"/>
      <c r="Q6421" s="171"/>
      <c r="R6421" s="171"/>
      <c r="S6421" s="171"/>
      <c r="T6421" s="171"/>
      <c r="U6421" s="171"/>
      <c r="V6421" s="171"/>
      <c r="W6421" s="171"/>
      <c r="X6421" s="171"/>
      <c r="Y6421" s="171"/>
      <c r="Z6421" s="171"/>
      <c r="AA6421" s="171"/>
    </row>
    <row r="6422" spans="1:27" s="530" customFormat="1" ht="15.75" hidden="1" customHeight="1" x14ac:dyDescent="0.2">
      <c r="A6422" s="526"/>
      <c r="B6422" s="527"/>
      <c r="C6422" s="534"/>
      <c r="D6422" s="535"/>
      <c r="E6422" s="535"/>
      <c r="F6422" s="167"/>
      <c r="G6422" s="513"/>
      <c r="H6422" s="422"/>
      <c r="I6422" s="422"/>
      <c r="J6422" s="750" t="e">
        <f t="shared" si="84"/>
        <v>#DIV/0!</v>
      </c>
      <c r="K6422" s="423"/>
      <c r="L6422" s="424"/>
      <c r="M6422" s="682"/>
      <c r="N6422" s="171"/>
      <c r="O6422" s="171"/>
      <c r="P6422" s="171"/>
      <c r="Q6422" s="171"/>
      <c r="R6422" s="171"/>
      <c r="S6422" s="171"/>
      <c r="T6422" s="171"/>
      <c r="U6422" s="171"/>
      <c r="V6422" s="171"/>
      <c r="W6422" s="171"/>
      <c r="X6422" s="171"/>
      <c r="Y6422" s="171"/>
      <c r="Z6422" s="171"/>
      <c r="AA6422" s="171"/>
    </row>
    <row r="6423" spans="1:27" s="530" customFormat="1" ht="15.75" hidden="1" customHeight="1" x14ac:dyDescent="0.2">
      <c r="A6423" s="526"/>
      <c r="B6423" s="527"/>
      <c r="C6423" s="534"/>
      <c r="D6423" s="535"/>
      <c r="E6423" s="535"/>
      <c r="F6423" s="167"/>
      <c r="G6423" s="513"/>
      <c r="H6423" s="422"/>
      <c r="I6423" s="422"/>
      <c r="J6423" s="750" t="e">
        <f t="shared" si="84"/>
        <v>#DIV/0!</v>
      </c>
      <c r="K6423" s="423"/>
      <c r="L6423" s="424"/>
      <c r="M6423" s="682"/>
      <c r="N6423" s="171"/>
      <c r="O6423" s="171"/>
      <c r="P6423" s="171"/>
      <c r="Q6423" s="171"/>
      <c r="R6423" s="171"/>
      <c r="S6423" s="171"/>
      <c r="T6423" s="171"/>
      <c r="U6423" s="171"/>
      <c r="V6423" s="171"/>
      <c r="W6423" s="171"/>
      <c r="X6423" s="171"/>
      <c r="Y6423" s="171"/>
      <c r="Z6423" s="171"/>
      <c r="AA6423" s="171"/>
    </row>
    <row r="6424" spans="1:27" s="530" customFormat="1" ht="15.75" hidden="1" customHeight="1" x14ac:dyDescent="0.2">
      <c r="A6424" s="526"/>
      <c r="B6424" s="527"/>
      <c r="C6424" s="534"/>
      <c r="D6424" s="535"/>
      <c r="E6424" s="535"/>
      <c r="F6424" s="167"/>
      <c r="G6424" s="513"/>
      <c r="H6424" s="422"/>
      <c r="I6424" s="422"/>
      <c r="J6424" s="750" t="e">
        <f t="shared" si="84"/>
        <v>#DIV/0!</v>
      </c>
      <c r="K6424" s="423"/>
      <c r="L6424" s="424"/>
      <c r="M6424" s="682"/>
      <c r="N6424" s="171"/>
      <c r="O6424" s="171"/>
      <c r="P6424" s="171"/>
      <c r="Q6424" s="171"/>
      <c r="R6424" s="171"/>
      <c r="S6424" s="171"/>
      <c r="T6424" s="171"/>
      <c r="U6424" s="171"/>
      <c r="V6424" s="171"/>
      <c r="W6424" s="171"/>
      <c r="X6424" s="171"/>
      <c r="Y6424" s="171"/>
      <c r="Z6424" s="171"/>
      <c r="AA6424" s="171"/>
    </row>
    <row r="6425" spans="1:27" s="530" customFormat="1" ht="15.75" hidden="1" customHeight="1" x14ac:dyDescent="0.2">
      <c r="A6425" s="526"/>
      <c r="B6425" s="527"/>
      <c r="C6425" s="534"/>
      <c r="D6425" s="535"/>
      <c r="E6425" s="535"/>
      <c r="F6425" s="167"/>
      <c r="G6425" s="513"/>
      <c r="H6425" s="422"/>
      <c r="I6425" s="422"/>
      <c r="J6425" s="750" t="e">
        <f t="shared" si="84"/>
        <v>#DIV/0!</v>
      </c>
      <c r="K6425" s="423"/>
      <c r="L6425" s="424"/>
      <c r="M6425" s="682"/>
      <c r="N6425" s="171"/>
      <c r="O6425" s="171"/>
      <c r="P6425" s="171"/>
      <c r="Q6425" s="171"/>
      <c r="R6425" s="171"/>
      <c r="S6425" s="171"/>
      <c r="T6425" s="171"/>
      <c r="U6425" s="171"/>
      <c r="V6425" s="171"/>
      <c r="W6425" s="171"/>
      <c r="X6425" s="171"/>
      <c r="Y6425" s="171"/>
      <c r="Z6425" s="171"/>
      <c r="AA6425" s="171"/>
    </row>
    <row r="6426" spans="1:27" s="530" customFormat="1" ht="15.75" hidden="1" customHeight="1" x14ac:dyDescent="0.2">
      <c r="A6426" s="526"/>
      <c r="B6426" s="527"/>
      <c r="C6426" s="534"/>
      <c r="D6426" s="535"/>
      <c r="E6426" s="535"/>
      <c r="F6426" s="167"/>
      <c r="G6426" s="513"/>
      <c r="H6426" s="422"/>
      <c r="I6426" s="422"/>
      <c r="J6426" s="750" t="e">
        <f t="shared" si="84"/>
        <v>#DIV/0!</v>
      </c>
      <c r="K6426" s="423"/>
      <c r="L6426" s="424"/>
      <c r="M6426" s="682"/>
      <c r="N6426" s="171"/>
      <c r="O6426" s="171"/>
      <c r="P6426" s="171"/>
      <c r="Q6426" s="171"/>
      <c r="R6426" s="171"/>
      <c r="S6426" s="171"/>
      <c r="T6426" s="171"/>
      <c r="U6426" s="171"/>
      <c r="V6426" s="171"/>
      <c r="W6426" s="171"/>
      <c r="X6426" s="171"/>
      <c r="Y6426" s="171"/>
      <c r="Z6426" s="171"/>
      <c r="AA6426" s="171"/>
    </row>
    <row r="6427" spans="1:27" s="530" customFormat="1" ht="15.75" hidden="1" customHeight="1" x14ac:dyDescent="0.2">
      <c r="A6427" s="526"/>
      <c r="B6427" s="527"/>
      <c r="C6427" s="534"/>
      <c r="D6427" s="535"/>
      <c r="E6427" s="535"/>
      <c r="F6427" s="167"/>
      <c r="G6427" s="513"/>
      <c r="H6427" s="422"/>
      <c r="I6427" s="422"/>
      <c r="J6427" s="750" t="e">
        <f t="shared" si="84"/>
        <v>#DIV/0!</v>
      </c>
      <c r="K6427" s="423"/>
      <c r="L6427" s="424"/>
      <c r="M6427" s="682"/>
      <c r="N6427" s="171"/>
      <c r="O6427" s="171"/>
      <c r="P6427" s="171"/>
      <c r="Q6427" s="171"/>
      <c r="R6427" s="171"/>
      <c r="S6427" s="171"/>
      <c r="T6427" s="171"/>
      <c r="U6427" s="171"/>
      <c r="V6427" s="171"/>
      <c r="W6427" s="171"/>
      <c r="X6427" s="171"/>
      <c r="Y6427" s="171"/>
      <c r="Z6427" s="171"/>
      <c r="AA6427" s="171"/>
    </row>
    <row r="6428" spans="1:27" s="530" customFormat="1" ht="15.75" hidden="1" customHeight="1" x14ac:dyDescent="0.2">
      <c r="A6428" s="526"/>
      <c r="B6428" s="527"/>
      <c r="C6428" s="534"/>
      <c r="D6428" s="535"/>
      <c r="E6428" s="535"/>
      <c r="F6428" s="167"/>
      <c r="G6428" s="513"/>
      <c r="H6428" s="422"/>
      <c r="I6428" s="422"/>
      <c r="J6428" s="750" t="e">
        <f t="shared" si="84"/>
        <v>#DIV/0!</v>
      </c>
      <c r="K6428" s="423"/>
      <c r="L6428" s="424"/>
      <c r="M6428" s="682"/>
      <c r="N6428" s="171"/>
      <c r="O6428" s="171"/>
      <c r="P6428" s="171"/>
      <c r="Q6428" s="171"/>
      <c r="R6428" s="171"/>
      <c r="S6428" s="171"/>
      <c r="T6428" s="171"/>
      <c r="U6428" s="171"/>
      <c r="V6428" s="171"/>
      <c r="W6428" s="171"/>
      <c r="X6428" s="171"/>
      <c r="Y6428" s="171"/>
      <c r="Z6428" s="171"/>
      <c r="AA6428" s="171"/>
    </row>
    <row r="6429" spans="1:27" s="530" customFormat="1" ht="15.75" hidden="1" customHeight="1" x14ac:dyDescent="0.2">
      <c r="A6429" s="526"/>
      <c r="B6429" s="527"/>
      <c r="C6429" s="534"/>
      <c r="D6429" s="535"/>
      <c r="E6429" s="535"/>
      <c r="F6429" s="167"/>
      <c r="G6429" s="513"/>
      <c r="H6429" s="422"/>
      <c r="I6429" s="422"/>
      <c r="J6429" s="750" t="e">
        <f t="shared" si="84"/>
        <v>#DIV/0!</v>
      </c>
      <c r="K6429" s="423"/>
      <c r="L6429" s="424"/>
      <c r="M6429" s="682"/>
      <c r="N6429" s="171"/>
      <c r="O6429" s="171"/>
      <c r="P6429" s="171"/>
      <c r="Q6429" s="171"/>
      <c r="R6429" s="171"/>
      <c r="S6429" s="171"/>
      <c r="T6429" s="171"/>
      <c r="U6429" s="171"/>
      <c r="V6429" s="171"/>
      <c r="W6429" s="171"/>
      <c r="X6429" s="171"/>
      <c r="Y6429" s="171"/>
      <c r="Z6429" s="171"/>
      <c r="AA6429" s="171"/>
    </row>
    <row r="6430" spans="1:27" s="530" customFormat="1" ht="15.75" hidden="1" customHeight="1" x14ac:dyDescent="0.2">
      <c r="A6430" s="526"/>
      <c r="B6430" s="527"/>
      <c r="C6430" s="534"/>
      <c r="D6430" s="535"/>
      <c r="E6430" s="535"/>
      <c r="F6430" s="167"/>
      <c r="G6430" s="513"/>
      <c r="H6430" s="422"/>
      <c r="I6430" s="422"/>
      <c r="J6430" s="750" t="e">
        <f t="shared" si="84"/>
        <v>#DIV/0!</v>
      </c>
      <c r="K6430" s="423"/>
      <c r="L6430" s="424"/>
      <c r="M6430" s="682"/>
      <c r="N6430" s="171"/>
      <c r="O6430" s="171"/>
      <c r="P6430" s="171"/>
      <c r="Q6430" s="171"/>
      <c r="R6430" s="171"/>
      <c r="S6430" s="171"/>
      <c r="T6430" s="171"/>
      <c r="U6430" s="171"/>
      <c r="V6430" s="171"/>
      <c r="W6430" s="171"/>
      <c r="X6430" s="171"/>
      <c r="Y6430" s="171"/>
      <c r="Z6430" s="171"/>
      <c r="AA6430" s="171"/>
    </row>
    <row r="6431" spans="1:27" s="530" customFormat="1" ht="15.75" hidden="1" customHeight="1" x14ac:dyDescent="0.2">
      <c r="A6431" s="526"/>
      <c r="B6431" s="527"/>
      <c r="C6431" s="534"/>
      <c r="D6431" s="535"/>
      <c r="E6431" s="535"/>
      <c r="F6431" s="167"/>
      <c r="G6431" s="513"/>
      <c r="H6431" s="422"/>
      <c r="I6431" s="422"/>
      <c r="J6431" s="750" t="e">
        <f t="shared" si="84"/>
        <v>#DIV/0!</v>
      </c>
      <c r="K6431" s="423"/>
      <c r="L6431" s="424"/>
      <c r="M6431" s="682"/>
      <c r="N6431" s="171"/>
      <c r="O6431" s="171"/>
      <c r="P6431" s="171"/>
      <c r="Q6431" s="171"/>
      <c r="R6431" s="171"/>
      <c r="S6431" s="171"/>
      <c r="T6431" s="171"/>
      <c r="U6431" s="171"/>
      <c r="V6431" s="171"/>
      <c r="W6431" s="171"/>
      <c r="X6431" s="171"/>
      <c r="Y6431" s="171"/>
      <c r="Z6431" s="171"/>
      <c r="AA6431" s="171"/>
    </row>
    <row r="6432" spans="1:27" s="530" customFormat="1" ht="15.75" hidden="1" customHeight="1" x14ac:dyDescent="0.2">
      <c r="A6432" s="526"/>
      <c r="B6432" s="527"/>
      <c r="C6432" s="534"/>
      <c r="D6432" s="535"/>
      <c r="E6432" s="535"/>
      <c r="F6432" s="167"/>
      <c r="G6432" s="513"/>
      <c r="H6432" s="422"/>
      <c r="I6432" s="422"/>
      <c r="J6432" s="750" t="e">
        <f t="shared" si="84"/>
        <v>#DIV/0!</v>
      </c>
      <c r="K6432" s="423"/>
      <c r="L6432" s="424"/>
      <c r="M6432" s="682"/>
      <c r="N6432" s="171"/>
      <c r="O6432" s="171"/>
      <c r="P6432" s="171"/>
      <c r="Q6432" s="171"/>
      <c r="R6432" s="171"/>
      <c r="S6432" s="171"/>
      <c r="T6432" s="171"/>
      <c r="U6432" s="171"/>
      <c r="V6432" s="171"/>
      <c r="W6432" s="171"/>
      <c r="X6432" s="171"/>
      <c r="Y6432" s="171"/>
      <c r="Z6432" s="171"/>
      <c r="AA6432" s="171"/>
    </row>
    <row r="6433" spans="1:27" s="530" customFormat="1" ht="15.75" hidden="1" customHeight="1" x14ac:dyDescent="0.2">
      <c r="A6433" s="526"/>
      <c r="B6433" s="527"/>
      <c r="C6433" s="534"/>
      <c r="D6433" s="535"/>
      <c r="E6433" s="535"/>
      <c r="F6433" s="167"/>
      <c r="G6433" s="513"/>
      <c r="H6433" s="422"/>
      <c r="I6433" s="422"/>
      <c r="J6433" s="750" t="e">
        <f t="shared" si="84"/>
        <v>#DIV/0!</v>
      </c>
      <c r="K6433" s="423"/>
      <c r="L6433" s="424"/>
      <c r="M6433" s="682"/>
      <c r="N6433" s="171"/>
      <c r="O6433" s="171"/>
      <c r="P6433" s="171"/>
      <c r="Q6433" s="171"/>
      <c r="R6433" s="171"/>
      <c r="S6433" s="171"/>
      <c r="T6433" s="171"/>
      <c r="U6433" s="171"/>
      <c r="V6433" s="171"/>
      <c r="W6433" s="171"/>
      <c r="X6433" s="171"/>
      <c r="Y6433" s="171"/>
      <c r="Z6433" s="171"/>
      <c r="AA6433" s="171"/>
    </row>
    <row r="6434" spans="1:27" s="530" customFormat="1" ht="15.75" hidden="1" customHeight="1" x14ac:dyDescent="0.2">
      <c r="A6434" s="526"/>
      <c r="B6434" s="527"/>
      <c r="C6434" s="534"/>
      <c r="D6434" s="535"/>
      <c r="E6434" s="535"/>
      <c r="F6434" s="167"/>
      <c r="G6434" s="513"/>
      <c r="H6434" s="422"/>
      <c r="I6434" s="422"/>
      <c r="J6434" s="750" t="e">
        <f t="shared" si="84"/>
        <v>#DIV/0!</v>
      </c>
      <c r="K6434" s="423"/>
      <c r="L6434" s="424"/>
      <c r="M6434" s="682"/>
      <c r="N6434" s="171"/>
      <c r="O6434" s="171"/>
      <c r="P6434" s="171"/>
      <c r="Q6434" s="171"/>
      <c r="R6434" s="171"/>
      <c r="S6434" s="171"/>
      <c r="T6434" s="171"/>
      <c r="U6434" s="171"/>
      <c r="V6434" s="171"/>
      <c r="W6434" s="171"/>
      <c r="X6434" s="171"/>
      <c r="Y6434" s="171"/>
      <c r="Z6434" s="171"/>
      <c r="AA6434" s="171"/>
    </row>
    <row r="6435" spans="1:27" s="530" customFormat="1" ht="15.75" hidden="1" customHeight="1" x14ac:dyDescent="0.2">
      <c r="A6435" s="526"/>
      <c r="B6435" s="527"/>
      <c r="C6435" s="534"/>
      <c r="D6435" s="535"/>
      <c r="E6435" s="535"/>
      <c r="F6435" s="167"/>
      <c r="G6435" s="513"/>
      <c r="H6435" s="422"/>
      <c r="I6435" s="422"/>
      <c r="J6435" s="750" t="e">
        <f t="shared" si="84"/>
        <v>#DIV/0!</v>
      </c>
      <c r="K6435" s="423"/>
      <c r="L6435" s="424"/>
      <c r="M6435" s="682"/>
      <c r="N6435" s="171"/>
      <c r="O6435" s="171"/>
      <c r="P6435" s="171"/>
      <c r="Q6435" s="171"/>
      <c r="R6435" s="171"/>
      <c r="S6435" s="171"/>
      <c r="T6435" s="171"/>
      <c r="U6435" s="171"/>
      <c r="V6435" s="171"/>
      <c r="W6435" s="171"/>
      <c r="X6435" s="171"/>
      <c r="Y6435" s="171"/>
      <c r="Z6435" s="171"/>
      <c r="AA6435" s="171"/>
    </row>
    <row r="6436" spans="1:27" s="530" customFormat="1" ht="15.75" hidden="1" customHeight="1" x14ac:dyDescent="0.2">
      <c r="A6436" s="526"/>
      <c r="B6436" s="527"/>
      <c r="C6436" s="534"/>
      <c r="D6436" s="535"/>
      <c r="E6436" s="535"/>
      <c r="F6436" s="167"/>
      <c r="G6436" s="513"/>
      <c r="H6436" s="422"/>
      <c r="I6436" s="422"/>
      <c r="J6436" s="750" t="e">
        <f t="shared" si="84"/>
        <v>#DIV/0!</v>
      </c>
      <c r="K6436" s="423"/>
      <c r="L6436" s="424"/>
      <c r="M6436" s="682"/>
      <c r="N6436" s="171"/>
      <c r="O6436" s="171"/>
      <c r="P6436" s="171"/>
      <c r="Q6436" s="171"/>
      <c r="R6436" s="171"/>
      <c r="S6436" s="171"/>
      <c r="T6436" s="171"/>
      <c r="U6436" s="171"/>
      <c r="V6436" s="171"/>
      <c r="W6436" s="171"/>
      <c r="X6436" s="171"/>
      <c r="Y6436" s="171"/>
      <c r="Z6436" s="171"/>
      <c r="AA6436" s="171"/>
    </row>
    <row r="6437" spans="1:27" s="530" customFormat="1" ht="15.75" hidden="1" customHeight="1" x14ac:dyDescent="0.2">
      <c r="A6437" s="526"/>
      <c r="B6437" s="527"/>
      <c r="C6437" s="534"/>
      <c r="D6437" s="535"/>
      <c r="E6437" s="535"/>
      <c r="F6437" s="167"/>
      <c r="G6437" s="513"/>
      <c r="H6437" s="422"/>
      <c r="I6437" s="422"/>
      <c r="J6437" s="750" t="e">
        <f t="shared" si="84"/>
        <v>#DIV/0!</v>
      </c>
      <c r="K6437" s="423"/>
      <c r="L6437" s="424"/>
      <c r="M6437" s="682"/>
      <c r="N6437" s="171"/>
      <c r="O6437" s="171"/>
      <c r="P6437" s="171"/>
      <c r="Q6437" s="171"/>
      <c r="R6437" s="171"/>
      <c r="S6437" s="171"/>
      <c r="T6437" s="171"/>
      <c r="U6437" s="171"/>
      <c r="V6437" s="171"/>
      <c r="W6437" s="171"/>
      <c r="X6437" s="171"/>
      <c r="Y6437" s="171"/>
      <c r="Z6437" s="171"/>
      <c r="AA6437" s="171"/>
    </row>
    <row r="6438" spans="1:27" s="530" customFormat="1" ht="15.75" hidden="1" customHeight="1" x14ac:dyDescent="0.2">
      <c r="A6438" s="526"/>
      <c r="B6438" s="527"/>
      <c r="C6438" s="534"/>
      <c r="D6438" s="535"/>
      <c r="E6438" s="535"/>
      <c r="F6438" s="167"/>
      <c r="G6438" s="513"/>
      <c r="H6438" s="422"/>
      <c r="I6438" s="422"/>
      <c r="J6438" s="750" t="e">
        <f t="shared" si="84"/>
        <v>#DIV/0!</v>
      </c>
      <c r="K6438" s="423"/>
      <c r="L6438" s="424"/>
      <c r="M6438" s="682"/>
      <c r="N6438" s="171"/>
      <c r="O6438" s="171"/>
      <c r="P6438" s="171"/>
      <c r="Q6438" s="171"/>
      <c r="R6438" s="171"/>
      <c r="S6438" s="171"/>
      <c r="T6438" s="171"/>
      <c r="U6438" s="171"/>
      <c r="V6438" s="171"/>
      <c r="W6438" s="171"/>
      <c r="X6438" s="171"/>
      <c r="Y6438" s="171"/>
      <c r="Z6438" s="171"/>
      <c r="AA6438" s="171"/>
    </row>
    <row r="6439" spans="1:27" s="530" customFormat="1" ht="15.75" hidden="1" customHeight="1" x14ac:dyDescent="0.2">
      <c r="A6439" s="526"/>
      <c r="B6439" s="527"/>
      <c r="C6439" s="534"/>
      <c r="D6439" s="535"/>
      <c r="E6439" s="535"/>
      <c r="F6439" s="167"/>
      <c r="G6439" s="513"/>
      <c r="H6439" s="422"/>
      <c r="I6439" s="422"/>
      <c r="J6439" s="750" t="e">
        <f t="shared" si="84"/>
        <v>#DIV/0!</v>
      </c>
      <c r="K6439" s="423"/>
      <c r="L6439" s="424"/>
      <c r="M6439" s="682"/>
      <c r="N6439" s="171"/>
      <c r="O6439" s="171"/>
      <c r="P6439" s="171"/>
      <c r="Q6439" s="171"/>
      <c r="R6439" s="171"/>
      <c r="S6439" s="171"/>
      <c r="T6439" s="171"/>
      <c r="U6439" s="171"/>
      <c r="V6439" s="171"/>
      <c r="W6439" s="171"/>
      <c r="X6439" s="171"/>
      <c r="Y6439" s="171"/>
      <c r="Z6439" s="171"/>
      <c r="AA6439" s="171"/>
    </row>
    <row r="6440" spans="1:27" s="530" customFormat="1" ht="15.75" hidden="1" customHeight="1" x14ac:dyDescent="0.2">
      <c r="A6440" s="526"/>
      <c r="B6440" s="527"/>
      <c r="C6440" s="534"/>
      <c r="D6440" s="535"/>
      <c r="E6440" s="535"/>
      <c r="F6440" s="167"/>
      <c r="G6440" s="513"/>
      <c r="H6440" s="422"/>
      <c r="I6440" s="422"/>
      <c r="J6440" s="750" t="e">
        <f t="shared" si="84"/>
        <v>#DIV/0!</v>
      </c>
      <c r="K6440" s="423"/>
      <c r="L6440" s="424"/>
      <c r="M6440" s="682"/>
      <c r="N6440" s="171"/>
      <c r="O6440" s="171"/>
      <c r="P6440" s="171"/>
      <c r="Q6440" s="171"/>
      <c r="R6440" s="171"/>
      <c r="S6440" s="171"/>
      <c r="T6440" s="171"/>
      <c r="U6440" s="171"/>
      <c r="V6440" s="171"/>
      <c r="W6440" s="171"/>
      <c r="X6440" s="171"/>
      <c r="Y6440" s="171"/>
      <c r="Z6440" s="171"/>
      <c r="AA6440" s="171"/>
    </row>
    <row r="6441" spans="1:27" s="530" customFormat="1" ht="15.75" hidden="1" customHeight="1" x14ac:dyDescent="0.2">
      <c r="A6441" s="526"/>
      <c r="B6441" s="527"/>
      <c r="C6441" s="534"/>
      <c r="D6441" s="535"/>
      <c r="E6441" s="535"/>
      <c r="F6441" s="167"/>
      <c r="G6441" s="513"/>
      <c r="H6441" s="422"/>
      <c r="I6441" s="422"/>
      <c r="J6441" s="750" t="e">
        <f t="shared" si="84"/>
        <v>#DIV/0!</v>
      </c>
      <c r="K6441" s="423"/>
      <c r="L6441" s="424"/>
      <c r="M6441" s="682"/>
      <c r="N6441" s="171"/>
      <c r="O6441" s="171"/>
      <c r="P6441" s="171"/>
      <c r="Q6441" s="171"/>
      <c r="R6441" s="171"/>
      <c r="S6441" s="171"/>
      <c r="T6441" s="171"/>
      <c r="U6441" s="171"/>
      <c r="V6441" s="171"/>
      <c r="W6441" s="171"/>
      <c r="X6441" s="171"/>
      <c r="Y6441" s="171"/>
      <c r="Z6441" s="171"/>
      <c r="AA6441" s="171"/>
    </row>
    <row r="6442" spans="1:27" s="530" customFormat="1" ht="15.75" hidden="1" customHeight="1" x14ac:dyDescent="0.2">
      <c r="A6442" s="526"/>
      <c r="B6442" s="527"/>
      <c r="C6442" s="534"/>
      <c r="D6442" s="535"/>
      <c r="E6442" s="535"/>
      <c r="F6442" s="167"/>
      <c r="G6442" s="513"/>
      <c r="H6442" s="422"/>
      <c r="I6442" s="422"/>
      <c r="J6442" s="750" t="e">
        <f t="shared" si="84"/>
        <v>#DIV/0!</v>
      </c>
      <c r="K6442" s="423"/>
      <c r="L6442" s="424"/>
      <c r="M6442" s="682"/>
      <c r="N6442" s="171"/>
      <c r="O6442" s="171"/>
      <c r="P6442" s="171"/>
      <c r="Q6442" s="171"/>
      <c r="R6442" s="171"/>
      <c r="S6442" s="171"/>
      <c r="T6442" s="171"/>
      <c r="U6442" s="171"/>
      <c r="V6442" s="171"/>
      <c r="W6442" s="171"/>
      <c r="X6442" s="171"/>
      <c r="Y6442" s="171"/>
      <c r="Z6442" s="171"/>
      <c r="AA6442" s="171"/>
    </row>
    <row r="6443" spans="1:27" s="530" customFormat="1" ht="15.75" hidden="1" customHeight="1" x14ac:dyDescent="0.2">
      <c r="A6443" s="526"/>
      <c r="B6443" s="527"/>
      <c r="C6443" s="534"/>
      <c r="D6443" s="535"/>
      <c r="E6443" s="535"/>
      <c r="F6443" s="167"/>
      <c r="G6443" s="513"/>
      <c r="H6443" s="422"/>
      <c r="I6443" s="422"/>
      <c r="J6443" s="750" t="e">
        <f t="shared" si="84"/>
        <v>#DIV/0!</v>
      </c>
      <c r="K6443" s="423"/>
      <c r="L6443" s="424"/>
      <c r="M6443" s="682"/>
      <c r="N6443" s="171"/>
      <c r="O6443" s="171"/>
      <c r="P6443" s="171"/>
      <c r="Q6443" s="171"/>
      <c r="R6443" s="171"/>
      <c r="S6443" s="171"/>
      <c r="T6443" s="171"/>
      <c r="U6443" s="171"/>
      <c r="V6443" s="171"/>
      <c r="W6443" s="171"/>
      <c r="X6443" s="171"/>
      <c r="Y6443" s="171"/>
      <c r="Z6443" s="171"/>
      <c r="AA6443" s="171"/>
    </row>
    <row r="6444" spans="1:27" s="530" customFormat="1" ht="15.75" hidden="1" customHeight="1" x14ac:dyDescent="0.2">
      <c r="A6444" s="526"/>
      <c r="B6444" s="527"/>
      <c r="C6444" s="534"/>
      <c r="D6444" s="535"/>
      <c r="E6444" s="535"/>
      <c r="F6444" s="167"/>
      <c r="G6444" s="513"/>
      <c r="H6444" s="422"/>
      <c r="I6444" s="422"/>
      <c r="J6444" s="750" t="e">
        <f t="shared" si="84"/>
        <v>#DIV/0!</v>
      </c>
      <c r="K6444" s="423"/>
      <c r="L6444" s="424"/>
      <c r="M6444" s="682"/>
      <c r="N6444" s="171"/>
      <c r="O6444" s="171"/>
      <c r="P6444" s="171"/>
      <c r="Q6444" s="171"/>
      <c r="R6444" s="171"/>
      <c r="S6444" s="171"/>
      <c r="T6444" s="171"/>
      <c r="U6444" s="171"/>
      <c r="V6444" s="171"/>
      <c r="W6444" s="171"/>
      <c r="X6444" s="171"/>
      <c r="Y6444" s="171"/>
      <c r="Z6444" s="171"/>
      <c r="AA6444" s="171"/>
    </row>
    <row r="6445" spans="1:27" s="530" customFormat="1" ht="15.75" hidden="1" customHeight="1" x14ac:dyDescent="0.2">
      <c r="A6445" s="526"/>
      <c r="B6445" s="527"/>
      <c r="C6445" s="534"/>
      <c r="D6445" s="535"/>
      <c r="E6445" s="535"/>
      <c r="F6445" s="167"/>
      <c r="G6445" s="513"/>
      <c r="H6445" s="422"/>
      <c r="I6445" s="422"/>
      <c r="J6445" s="750" t="e">
        <f t="shared" si="84"/>
        <v>#DIV/0!</v>
      </c>
      <c r="K6445" s="423"/>
      <c r="L6445" s="424"/>
      <c r="M6445" s="682"/>
      <c r="N6445" s="171"/>
      <c r="O6445" s="171"/>
      <c r="P6445" s="171"/>
      <c r="Q6445" s="171"/>
      <c r="R6445" s="171"/>
      <c r="S6445" s="171"/>
      <c r="T6445" s="171"/>
      <c r="U6445" s="171"/>
      <c r="V6445" s="171"/>
      <c r="W6445" s="171"/>
      <c r="X6445" s="171"/>
      <c r="Y6445" s="171"/>
      <c r="Z6445" s="171"/>
      <c r="AA6445" s="171"/>
    </row>
    <row r="6446" spans="1:27" s="530" customFormat="1" ht="15.75" hidden="1" customHeight="1" x14ac:dyDescent="0.2">
      <c r="A6446" s="526"/>
      <c r="B6446" s="527"/>
      <c r="C6446" s="534"/>
      <c r="D6446" s="535"/>
      <c r="E6446" s="535"/>
      <c r="F6446" s="167"/>
      <c r="G6446" s="513"/>
      <c r="H6446" s="422"/>
      <c r="I6446" s="422"/>
      <c r="J6446" s="750" t="e">
        <f t="shared" si="84"/>
        <v>#DIV/0!</v>
      </c>
      <c r="K6446" s="423"/>
      <c r="L6446" s="424"/>
      <c r="M6446" s="682"/>
      <c r="N6446" s="171"/>
      <c r="O6446" s="171"/>
      <c r="P6446" s="171"/>
      <c r="Q6446" s="171"/>
      <c r="R6446" s="171"/>
      <c r="S6446" s="171"/>
      <c r="T6446" s="171"/>
      <c r="U6446" s="171"/>
      <c r="V6446" s="171"/>
      <c r="W6446" s="171"/>
      <c r="X6446" s="171"/>
      <c r="Y6446" s="171"/>
      <c r="Z6446" s="171"/>
      <c r="AA6446" s="171"/>
    </row>
    <row r="6447" spans="1:27" s="530" customFormat="1" ht="15.75" hidden="1" customHeight="1" x14ac:dyDescent="0.2">
      <c r="A6447" s="526"/>
      <c r="B6447" s="527"/>
      <c r="C6447" s="534"/>
      <c r="D6447" s="535"/>
      <c r="E6447" s="535"/>
      <c r="F6447" s="167"/>
      <c r="G6447" s="513"/>
      <c r="H6447" s="422"/>
      <c r="I6447" s="422"/>
      <c r="J6447" s="750" t="e">
        <f t="shared" si="84"/>
        <v>#DIV/0!</v>
      </c>
      <c r="K6447" s="423"/>
      <c r="L6447" s="424"/>
      <c r="M6447" s="682"/>
      <c r="N6447" s="171"/>
      <c r="O6447" s="171"/>
      <c r="P6447" s="171"/>
      <c r="Q6447" s="171"/>
      <c r="R6447" s="171"/>
      <c r="S6447" s="171"/>
      <c r="T6447" s="171"/>
      <c r="U6447" s="171"/>
      <c r="V6447" s="171"/>
      <c r="W6447" s="171"/>
      <c r="X6447" s="171"/>
      <c r="Y6447" s="171"/>
      <c r="Z6447" s="171"/>
      <c r="AA6447" s="171"/>
    </row>
    <row r="6448" spans="1:27" s="530" customFormat="1" ht="15.75" hidden="1" customHeight="1" x14ac:dyDescent="0.2">
      <c r="A6448" s="526"/>
      <c r="B6448" s="527"/>
      <c r="C6448" s="534"/>
      <c r="D6448" s="535"/>
      <c r="E6448" s="535"/>
      <c r="F6448" s="167"/>
      <c r="G6448" s="513"/>
      <c r="H6448" s="422"/>
      <c r="I6448" s="422"/>
      <c r="J6448" s="750" t="e">
        <f t="shared" si="84"/>
        <v>#DIV/0!</v>
      </c>
      <c r="K6448" s="423"/>
      <c r="L6448" s="424"/>
      <c r="M6448" s="682"/>
      <c r="N6448" s="171"/>
      <c r="O6448" s="171"/>
      <c r="P6448" s="171"/>
      <c r="Q6448" s="171"/>
      <c r="R6448" s="171"/>
      <c r="S6448" s="171"/>
      <c r="T6448" s="171"/>
      <c r="U6448" s="171"/>
      <c r="V6448" s="171"/>
      <c r="W6448" s="171"/>
      <c r="X6448" s="171"/>
      <c r="Y6448" s="171"/>
      <c r="Z6448" s="171"/>
      <c r="AA6448" s="171"/>
    </row>
    <row r="6449" spans="1:27" s="530" customFormat="1" ht="15.75" hidden="1" customHeight="1" x14ac:dyDescent="0.2">
      <c r="A6449" s="526"/>
      <c r="B6449" s="527"/>
      <c r="C6449" s="534"/>
      <c r="D6449" s="535"/>
      <c r="E6449" s="535"/>
      <c r="F6449" s="167"/>
      <c r="G6449" s="513"/>
      <c r="H6449" s="422"/>
      <c r="I6449" s="422"/>
      <c r="J6449" s="750" t="e">
        <f t="shared" si="84"/>
        <v>#DIV/0!</v>
      </c>
      <c r="K6449" s="423"/>
      <c r="L6449" s="424"/>
      <c r="M6449" s="682"/>
      <c r="N6449" s="171"/>
      <c r="O6449" s="171"/>
      <c r="P6449" s="171"/>
      <c r="Q6449" s="171"/>
      <c r="R6449" s="171"/>
      <c r="S6449" s="171"/>
      <c r="T6449" s="171"/>
      <c r="U6449" s="171"/>
      <c r="V6449" s="171"/>
      <c r="W6449" s="171"/>
      <c r="X6449" s="171"/>
      <c r="Y6449" s="171"/>
      <c r="Z6449" s="171"/>
      <c r="AA6449" s="171"/>
    </row>
    <row r="6450" spans="1:27" s="530" customFormat="1" ht="15.75" hidden="1" customHeight="1" x14ac:dyDescent="0.2">
      <c r="A6450" s="526"/>
      <c r="B6450" s="527"/>
      <c r="C6450" s="534"/>
      <c r="D6450" s="535"/>
      <c r="E6450" s="535"/>
      <c r="F6450" s="167"/>
      <c r="G6450" s="513"/>
      <c r="H6450" s="422"/>
      <c r="I6450" s="422"/>
      <c r="J6450" s="750" t="e">
        <f t="shared" si="84"/>
        <v>#DIV/0!</v>
      </c>
      <c r="K6450" s="423"/>
      <c r="L6450" s="424"/>
      <c r="M6450" s="682"/>
      <c r="N6450" s="171"/>
      <c r="O6450" s="171"/>
      <c r="P6450" s="171"/>
      <c r="Q6450" s="171"/>
      <c r="R6450" s="171"/>
      <c r="S6450" s="171"/>
      <c r="T6450" s="171"/>
      <c r="U6450" s="171"/>
      <c r="V6450" s="171"/>
      <c r="W6450" s="171"/>
      <c r="X6450" s="171"/>
      <c r="Y6450" s="171"/>
      <c r="Z6450" s="171"/>
      <c r="AA6450" s="171"/>
    </row>
    <row r="6451" spans="1:27" s="530" customFormat="1" ht="15.75" hidden="1" customHeight="1" x14ac:dyDescent="0.2">
      <c r="A6451" s="526"/>
      <c r="B6451" s="527"/>
      <c r="C6451" s="534"/>
      <c r="D6451" s="535"/>
      <c r="E6451" s="535"/>
      <c r="F6451" s="167"/>
      <c r="G6451" s="513"/>
      <c r="H6451" s="422"/>
      <c r="I6451" s="422"/>
      <c r="J6451" s="750" t="e">
        <f t="shared" si="84"/>
        <v>#DIV/0!</v>
      </c>
      <c r="K6451" s="423"/>
      <c r="L6451" s="424"/>
      <c r="M6451" s="682"/>
      <c r="N6451" s="171"/>
      <c r="O6451" s="171"/>
      <c r="P6451" s="171"/>
      <c r="Q6451" s="171"/>
      <c r="R6451" s="171"/>
      <c r="S6451" s="171"/>
      <c r="T6451" s="171"/>
      <c r="U6451" s="171"/>
      <c r="V6451" s="171"/>
      <c r="W6451" s="171"/>
      <c r="X6451" s="171"/>
      <c r="Y6451" s="171"/>
      <c r="Z6451" s="171"/>
      <c r="AA6451" s="171"/>
    </row>
    <row r="6452" spans="1:27" s="530" customFormat="1" ht="15.75" hidden="1" customHeight="1" x14ac:dyDescent="0.2">
      <c r="A6452" s="526"/>
      <c r="B6452" s="527"/>
      <c r="C6452" s="534"/>
      <c r="D6452" s="535"/>
      <c r="E6452" s="535"/>
      <c r="F6452" s="167"/>
      <c r="G6452" s="513"/>
      <c r="H6452" s="422"/>
      <c r="I6452" s="422"/>
      <c r="J6452" s="750" t="e">
        <f t="shared" si="84"/>
        <v>#DIV/0!</v>
      </c>
      <c r="K6452" s="423"/>
      <c r="L6452" s="424"/>
      <c r="M6452" s="682"/>
      <c r="N6452" s="171"/>
      <c r="O6452" s="171"/>
      <c r="P6452" s="171"/>
      <c r="Q6452" s="171"/>
      <c r="R6452" s="171"/>
      <c r="S6452" s="171"/>
      <c r="T6452" s="171"/>
      <c r="U6452" s="171"/>
      <c r="V6452" s="171"/>
      <c r="W6452" s="171"/>
      <c r="X6452" s="171"/>
      <c r="Y6452" s="171"/>
      <c r="Z6452" s="171"/>
      <c r="AA6452" s="171"/>
    </row>
    <row r="6453" spans="1:27" s="530" customFormat="1" ht="15.75" hidden="1" customHeight="1" x14ac:dyDescent="0.2">
      <c r="A6453" s="526"/>
      <c r="B6453" s="527"/>
      <c r="C6453" s="534"/>
      <c r="D6453" s="535"/>
      <c r="E6453" s="535"/>
      <c r="F6453" s="167"/>
      <c r="G6453" s="513"/>
      <c r="H6453" s="422"/>
      <c r="I6453" s="422"/>
      <c r="J6453" s="750" t="e">
        <f t="shared" si="84"/>
        <v>#DIV/0!</v>
      </c>
      <c r="K6453" s="423"/>
      <c r="L6453" s="424"/>
      <c r="M6453" s="682"/>
      <c r="N6453" s="171"/>
      <c r="O6453" s="171"/>
      <c r="P6453" s="171"/>
      <c r="Q6453" s="171"/>
      <c r="R6453" s="171"/>
      <c r="S6453" s="171"/>
      <c r="T6453" s="171"/>
      <c r="U6453" s="171"/>
      <c r="V6453" s="171"/>
      <c r="W6453" s="171"/>
      <c r="X6453" s="171"/>
      <c r="Y6453" s="171"/>
      <c r="Z6453" s="171"/>
      <c r="AA6453" s="171"/>
    </row>
    <row r="6454" spans="1:27" s="530" customFormat="1" ht="15.75" hidden="1" customHeight="1" x14ac:dyDescent="0.2">
      <c r="A6454" s="526"/>
      <c r="B6454" s="527"/>
      <c r="C6454" s="534"/>
      <c r="D6454" s="535"/>
      <c r="E6454" s="535"/>
      <c r="F6454" s="167"/>
      <c r="G6454" s="513"/>
      <c r="H6454" s="422"/>
      <c r="I6454" s="422"/>
      <c r="J6454" s="750" t="e">
        <f t="shared" si="84"/>
        <v>#DIV/0!</v>
      </c>
      <c r="K6454" s="423"/>
      <c r="L6454" s="424"/>
      <c r="M6454" s="682"/>
      <c r="N6454" s="171"/>
      <c r="O6454" s="171"/>
      <c r="P6454" s="171"/>
      <c r="Q6454" s="171"/>
      <c r="R6454" s="171"/>
      <c r="S6454" s="171"/>
      <c r="T6454" s="171"/>
      <c r="U6454" s="171"/>
      <c r="V6454" s="171"/>
      <c r="W6454" s="171"/>
      <c r="X6454" s="171"/>
      <c r="Y6454" s="171"/>
      <c r="Z6454" s="171"/>
      <c r="AA6454" s="171"/>
    </row>
    <row r="6455" spans="1:27" s="530" customFormat="1" ht="15.75" hidden="1" customHeight="1" x14ac:dyDescent="0.2">
      <c r="A6455" s="526"/>
      <c r="B6455" s="527"/>
      <c r="C6455" s="534"/>
      <c r="D6455" s="535"/>
      <c r="E6455" s="535"/>
      <c r="F6455" s="167"/>
      <c r="G6455" s="513"/>
      <c r="H6455" s="422"/>
      <c r="I6455" s="422"/>
      <c r="J6455" s="750" t="e">
        <f t="shared" si="84"/>
        <v>#DIV/0!</v>
      </c>
      <c r="K6455" s="423"/>
      <c r="L6455" s="424"/>
      <c r="M6455" s="682"/>
      <c r="N6455" s="171"/>
      <c r="O6455" s="171"/>
      <c r="P6455" s="171"/>
      <c r="Q6455" s="171"/>
      <c r="R6455" s="171"/>
      <c r="S6455" s="171"/>
      <c r="T6455" s="171"/>
      <c r="U6455" s="171"/>
      <c r="V6455" s="171"/>
      <c r="W6455" s="171"/>
      <c r="X6455" s="171"/>
      <c r="Y6455" s="171"/>
      <c r="Z6455" s="171"/>
      <c r="AA6455" s="171"/>
    </row>
    <row r="6456" spans="1:27" s="530" customFormat="1" ht="15.75" hidden="1" customHeight="1" x14ac:dyDescent="0.2">
      <c r="A6456" s="526"/>
      <c r="B6456" s="527"/>
      <c r="C6456" s="534"/>
      <c r="D6456" s="535"/>
      <c r="E6456" s="535"/>
      <c r="F6456" s="167"/>
      <c r="G6456" s="513"/>
      <c r="H6456" s="422"/>
      <c r="I6456" s="422"/>
      <c r="J6456" s="750" t="e">
        <f t="shared" si="84"/>
        <v>#DIV/0!</v>
      </c>
      <c r="K6456" s="423"/>
      <c r="L6456" s="424"/>
      <c r="M6456" s="682"/>
      <c r="N6456" s="171"/>
      <c r="O6456" s="171"/>
      <c r="P6456" s="171"/>
      <c r="Q6456" s="171"/>
      <c r="R6456" s="171"/>
      <c r="S6456" s="171"/>
      <c r="T6456" s="171"/>
      <c r="U6456" s="171"/>
      <c r="V6456" s="171"/>
      <c r="W6456" s="171"/>
      <c r="X6456" s="171"/>
      <c r="Y6456" s="171"/>
      <c r="Z6456" s="171"/>
      <c r="AA6456" s="171"/>
    </row>
    <row r="6457" spans="1:27" s="530" customFormat="1" ht="15.75" hidden="1" customHeight="1" x14ac:dyDescent="0.2">
      <c r="A6457" s="526"/>
      <c r="B6457" s="527"/>
      <c r="C6457" s="534"/>
      <c r="D6457" s="535"/>
      <c r="E6457" s="535"/>
      <c r="F6457" s="167"/>
      <c r="G6457" s="513"/>
      <c r="H6457" s="422"/>
      <c r="I6457" s="422"/>
      <c r="J6457" s="750" t="e">
        <f t="shared" si="84"/>
        <v>#DIV/0!</v>
      </c>
      <c r="K6457" s="423"/>
      <c r="L6457" s="424"/>
      <c r="M6457" s="682"/>
      <c r="N6457" s="171"/>
      <c r="O6457" s="171"/>
      <c r="P6457" s="171"/>
      <c r="Q6457" s="171"/>
      <c r="R6457" s="171"/>
      <c r="S6457" s="171"/>
      <c r="T6457" s="171"/>
      <c r="U6457" s="171"/>
      <c r="V6457" s="171"/>
      <c r="W6457" s="171"/>
      <c r="X6457" s="171"/>
      <c r="Y6457" s="171"/>
      <c r="Z6457" s="171"/>
      <c r="AA6457" s="171"/>
    </row>
    <row r="6458" spans="1:27" s="530" customFormat="1" ht="15.75" hidden="1" customHeight="1" x14ac:dyDescent="0.2">
      <c r="A6458" s="526"/>
      <c r="B6458" s="527"/>
      <c r="C6458" s="534"/>
      <c r="D6458" s="535"/>
      <c r="E6458" s="535"/>
      <c r="F6458" s="167"/>
      <c r="G6458" s="513"/>
      <c r="H6458" s="422"/>
      <c r="I6458" s="422"/>
      <c r="J6458" s="750" t="e">
        <f t="shared" si="84"/>
        <v>#DIV/0!</v>
      </c>
      <c r="K6458" s="423"/>
      <c r="L6458" s="424"/>
      <c r="M6458" s="682"/>
      <c r="N6458" s="171"/>
      <c r="O6458" s="171"/>
      <c r="P6458" s="171"/>
      <c r="Q6458" s="171"/>
      <c r="R6458" s="171"/>
      <c r="S6458" s="171"/>
      <c r="T6458" s="171"/>
      <c r="U6458" s="171"/>
      <c r="V6458" s="171"/>
      <c r="W6458" s="171"/>
      <c r="X6458" s="171"/>
      <c r="Y6458" s="171"/>
      <c r="Z6458" s="171"/>
      <c r="AA6458" s="171"/>
    </row>
    <row r="6459" spans="1:27" s="530" customFormat="1" ht="15.75" hidden="1" customHeight="1" x14ac:dyDescent="0.2">
      <c r="A6459" s="526"/>
      <c r="B6459" s="527"/>
      <c r="C6459" s="534"/>
      <c r="D6459" s="535"/>
      <c r="E6459" s="535"/>
      <c r="F6459" s="167"/>
      <c r="G6459" s="513"/>
      <c r="H6459" s="422"/>
      <c r="I6459" s="422"/>
      <c r="J6459" s="750" t="e">
        <f t="shared" si="84"/>
        <v>#DIV/0!</v>
      </c>
      <c r="K6459" s="423"/>
      <c r="L6459" s="424"/>
      <c r="M6459" s="682"/>
      <c r="N6459" s="171"/>
      <c r="O6459" s="171"/>
      <c r="P6459" s="171"/>
      <c r="Q6459" s="171"/>
      <c r="R6459" s="171"/>
      <c r="S6459" s="171"/>
      <c r="T6459" s="171"/>
      <c r="U6459" s="171"/>
      <c r="V6459" s="171"/>
      <c r="W6459" s="171"/>
      <c r="X6459" s="171"/>
      <c r="Y6459" s="171"/>
      <c r="Z6459" s="171"/>
      <c r="AA6459" s="171"/>
    </row>
    <row r="6460" spans="1:27" s="530" customFormat="1" ht="15.75" hidden="1" customHeight="1" x14ac:dyDescent="0.2">
      <c r="A6460" s="526"/>
      <c r="B6460" s="527"/>
      <c r="C6460" s="534"/>
      <c r="D6460" s="535"/>
      <c r="E6460" s="535"/>
      <c r="F6460" s="167"/>
      <c r="G6460" s="513"/>
      <c r="H6460" s="422"/>
      <c r="I6460" s="422"/>
      <c r="J6460" s="750" t="e">
        <f t="shared" si="84"/>
        <v>#DIV/0!</v>
      </c>
      <c r="K6460" s="423"/>
      <c r="L6460" s="424"/>
      <c r="M6460" s="682"/>
      <c r="N6460" s="171"/>
      <c r="O6460" s="171"/>
      <c r="P6460" s="171"/>
      <c r="Q6460" s="171"/>
      <c r="R6460" s="171"/>
      <c r="S6460" s="171"/>
      <c r="T6460" s="171"/>
      <c r="U6460" s="171"/>
      <c r="V6460" s="171"/>
      <c r="W6460" s="171"/>
      <c r="X6460" s="171"/>
      <c r="Y6460" s="171"/>
      <c r="Z6460" s="171"/>
      <c r="AA6460" s="171"/>
    </row>
    <row r="6461" spans="1:27" s="530" customFormat="1" ht="15.75" hidden="1" customHeight="1" x14ac:dyDescent="0.2">
      <c r="A6461" s="526"/>
      <c r="B6461" s="527"/>
      <c r="C6461" s="534"/>
      <c r="D6461" s="535"/>
      <c r="E6461" s="535"/>
      <c r="F6461" s="167"/>
      <c r="G6461" s="513"/>
      <c r="H6461" s="422"/>
      <c r="I6461" s="422"/>
      <c r="J6461" s="750" t="e">
        <f t="shared" si="84"/>
        <v>#DIV/0!</v>
      </c>
      <c r="K6461" s="423"/>
      <c r="L6461" s="424"/>
      <c r="M6461" s="682"/>
      <c r="N6461" s="171"/>
      <c r="O6461" s="171"/>
      <c r="P6461" s="171"/>
      <c r="Q6461" s="171"/>
      <c r="R6461" s="171"/>
      <c r="S6461" s="171"/>
      <c r="T6461" s="171"/>
      <c r="U6461" s="171"/>
      <c r="V6461" s="171"/>
      <c r="W6461" s="171"/>
      <c r="X6461" s="171"/>
      <c r="Y6461" s="171"/>
      <c r="Z6461" s="171"/>
      <c r="AA6461" s="171"/>
    </row>
    <row r="6462" spans="1:27" s="530" customFormat="1" ht="15.75" hidden="1" customHeight="1" x14ac:dyDescent="0.2">
      <c r="A6462" s="526"/>
      <c r="B6462" s="527"/>
      <c r="C6462" s="534"/>
      <c r="D6462" s="535"/>
      <c r="E6462" s="535"/>
      <c r="F6462" s="167"/>
      <c r="G6462" s="513"/>
      <c r="H6462" s="422"/>
      <c r="I6462" s="422"/>
      <c r="J6462" s="750" t="e">
        <f t="shared" si="84"/>
        <v>#DIV/0!</v>
      </c>
      <c r="K6462" s="423"/>
      <c r="L6462" s="424"/>
      <c r="M6462" s="682"/>
      <c r="N6462" s="171"/>
      <c r="O6462" s="171"/>
      <c r="P6462" s="171"/>
      <c r="Q6462" s="171"/>
      <c r="R6462" s="171"/>
      <c r="S6462" s="171"/>
      <c r="T6462" s="171"/>
      <c r="U6462" s="171"/>
      <c r="V6462" s="171"/>
      <c r="W6462" s="171"/>
      <c r="X6462" s="171"/>
      <c r="Y6462" s="171"/>
      <c r="Z6462" s="171"/>
      <c r="AA6462" s="171"/>
    </row>
    <row r="6463" spans="1:27" s="530" customFormat="1" ht="15.75" hidden="1" customHeight="1" x14ac:dyDescent="0.2">
      <c r="A6463" s="526"/>
      <c r="B6463" s="527"/>
      <c r="C6463" s="534"/>
      <c r="D6463" s="535"/>
      <c r="E6463" s="535"/>
      <c r="F6463" s="167"/>
      <c r="G6463" s="513"/>
      <c r="H6463" s="422"/>
      <c r="I6463" s="422"/>
      <c r="J6463" s="750" t="e">
        <f t="shared" si="84"/>
        <v>#DIV/0!</v>
      </c>
      <c r="K6463" s="423"/>
      <c r="L6463" s="424"/>
      <c r="M6463" s="682"/>
      <c r="N6463" s="171"/>
      <c r="O6463" s="171"/>
      <c r="P6463" s="171"/>
      <c r="Q6463" s="171"/>
      <c r="R6463" s="171"/>
      <c r="S6463" s="171"/>
      <c r="T6463" s="171"/>
      <c r="U6463" s="171"/>
      <c r="V6463" s="171"/>
      <c r="W6463" s="171"/>
      <c r="X6463" s="171"/>
      <c r="Y6463" s="171"/>
      <c r="Z6463" s="171"/>
      <c r="AA6463" s="171"/>
    </row>
    <row r="6464" spans="1:27" s="530" customFormat="1" ht="15.75" hidden="1" customHeight="1" x14ac:dyDescent="0.2">
      <c r="A6464" s="526"/>
      <c r="B6464" s="527"/>
      <c r="C6464" s="534"/>
      <c r="D6464" s="535"/>
      <c r="E6464" s="535"/>
      <c r="F6464" s="167"/>
      <c r="G6464" s="513"/>
      <c r="H6464" s="422"/>
      <c r="I6464" s="422"/>
      <c r="J6464" s="750" t="e">
        <f t="shared" si="84"/>
        <v>#DIV/0!</v>
      </c>
      <c r="K6464" s="423"/>
      <c r="L6464" s="424"/>
      <c r="M6464" s="682"/>
      <c r="N6464" s="171"/>
      <c r="O6464" s="171"/>
      <c r="P6464" s="171"/>
      <c r="Q6464" s="171"/>
      <c r="R6464" s="171"/>
      <c r="S6464" s="171"/>
      <c r="T6464" s="171"/>
      <c r="U6464" s="171"/>
      <c r="V6464" s="171"/>
      <c r="W6464" s="171"/>
      <c r="X6464" s="171"/>
      <c r="Y6464" s="171"/>
      <c r="Z6464" s="171"/>
      <c r="AA6464" s="171"/>
    </row>
    <row r="6465" spans="1:27" s="530" customFormat="1" ht="15.75" hidden="1" customHeight="1" x14ac:dyDescent="0.2">
      <c r="A6465" s="526"/>
      <c r="B6465" s="527"/>
      <c r="C6465" s="534"/>
      <c r="D6465" s="535"/>
      <c r="E6465" s="535"/>
      <c r="F6465" s="167"/>
      <c r="G6465" s="513"/>
      <c r="H6465" s="422"/>
      <c r="I6465" s="422"/>
      <c r="J6465" s="750" t="e">
        <f t="shared" si="84"/>
        <v>#DIV/0!</v>
      </c>
      <c r="K6465" s="423"/>
      <c r="L6465" s="424"/>
      <c r="M6465" s="682"/>
      <c r="N6465" s="171"/>
      <c r="O6465" s="171"/>
      <c r="P6465" s="171"/>
      <c r="Q6465" s="171"/>
      <c r="R6465" s="171"/>
      <c r="S6465" s="171"/>
      <c r="T6465" s="171"/>
      <c r="U6465" s="171"/>
      <c r="V6465" s="171"/>
      <c r="W6465" s="171"/>
      <c r="X6465" s="171"/>
      <c r="Y6465" s="171"/>
      <c r="Z6465" s="171"/>
      <c r="AA6465" s="171"/>
    </row>
    <row r="6466" spans="1:27" s="530" customFormat="1" ht="15.75" hidden="1" customHeight="1" x14ac:dyDescent="0.2">
      <c r="A6466" s="526"/>
      <c r="B6466" s="527"/>
      <c r="C6466" s="534"/>
      <c r="D6466" s="535"/>
      <c r="E6466" s="535"/>
      <c r="F6466" s="167"/>
      <c r="G6466" s="513"/>
      <c r="H6466" s="422"/>
      <c r="I6466" s="422"/>
      <c r="J6466" s="750" t="e">
        <f t="shared" si="84"/>
        <v>#DIV/0!</v>
      </c>
      <c r="K6466" s="423"/>
      <c r="L6466" s="424"/>
      <c r="M6466" s="682"/>
      <c r="N6466" s="171"/>
      <c r="O6466" s="171"/>
      <c r="P6466" s="171"/>
      <c r="Q6466" s="171"/>
      <c r="R6466" s="171"/>
      <c r="S6466" s="171"/>
      <c r="T6466" s="171"/>
      <c r="U6466" s="171"/>
      <c r="V6466" s="171"/>
      <c r="W6466" s="171"/>
      <c r="X6466" s="171"/>
      <c r="Y6466" s="171"/>
      <c r="Z6466" s="171"/>
      <c r="AA6466" s="171"/>
    </row>
    <row r="6467" spans="1:27" s="530" customFormat="1" ht="15.75" hidden="1" customHeight="1" x14ac:dyDescent="0.2">
      <c r="A6467" s="526"/>
      <c r="B6467" s="527"/>
      <c r="C6467" s="534"/>
      <c r="D6467" s="535"/>
      <c r="E6467" s="535"/>
      <c r="F6467" s="167"/>
      <c r="G6467" s="513"/>
      <c r="H6467" s="422"/>
      <c r="I6467" s="422"/>
      <c r="J6467" s="750" t="e">
        <f t="shared" si="84"/>
        <v>#DIV/0!</v>
      </c>
      <c r="K6467" s="423"/>
      <c r="L6467" s="424"/>
      <c r="M6467" s="682"/>
      <c r="N6467" s="171"/>
      <c r="O6467" s="171"/>
      <c r="P6467" s="171"/>
      <c r="Q6467" s="171"/>
      <c r="R6467" s="171"/>
      <c r="S6467" s="171"/>
      <c r="T6467" s="171"/>
      <c r="U6467" s="171"/>
      <c r="V6467" s="171"/>
      <c r="W6467" s="171"/>
      <c r="X6467" s="171"/>
      <c r="Y6467" s="171"/>
      <c r="Z6467" s="171"/>
      <c r="AA6467" s="171"/>
    </row>
    <row r="6468" spans="1:27" s="530" customFormat="1" ht="15.75" hidden="1" customHeight="1" x14ac:dyDescent="0.2">
      <c r="A6468" s="526"/>
      <c r="B6468" s="527"/>
      <c r="C6468" s="534"/>
      <c r="D6468" s="535"/>
      <c r="E6468" s="535"/>
      <c r="F6468" s="167"/>
      <c r="G6468" s="513"/>
      <c r="H6468" s="422"/>
      <c r="I6468" s="422"/>
      <c r="J6468" s="750" t="e">
        <f t="shared" si="84"/>
        <v>#DIV/0!</v>
      </c>
      <c r="K6468" s="423"/>
      <c r="L6468" s="424"/>
      <c r="M6468" s="682"/>
      <c r="N6468" s="171"/>
      <c r="O6468" s="171"/>
      <c r="P6468" s="171"/>
      <c r="Q6468" s="171"/>
      <c r="R6468" s="171"/>
      <c r="S6468" s="171"/>
      <c r="T6468" s="171"/>
      <c r="U6468" s="171"/>
      <c r="V6468" s="171"/>
      <c r="W6468" s="171"/>
      <c r="X6468" s="171"/>
      <c r="Y6468" s="171"/>
      <c r="Z6468" s="171"/>
      <c r="AA6468" s="171"/>
    </row>
    <row r="6469" spans="1:27" s="530" customFormat="1" ht="15.75" hidden="1" customHeight="1" x14ac:dyDescent="0.2">
      <c r="A6469" s="526"/>
      <c r="B6469" s="527"/>
      <c r="C6469" s="534"/>
      <c r="D6469" s="535"/>
      <c r="E6469" s="535"/>
      <c r="F6469" s="167"/>
      <c r="G6469" s="513"/>
      <c r="H6469" s="422"/>
      <c r="I6469" s="422"/>
      <c r="J6469" s="750" t="e">
        <f t="shared" si="84"/>
        <v>#DIV/0!</v>
      </c>
      <c r="K6469" s="423"/>
      <c r="L6469" s="424"/>
      <c r="M6469" s="682"/>
      <c r="N6469" s="171"/>
      <c r="O6469" s="171"/>
      <c r="P6469" s="171"/>
      <c r="Q6469" s="171"/>
      <c r="R6469" s="171"/>
      <c r="S6469" s="171"/>
      <c r="T6469" s="171"/>
      <c r="U6469" s="171"/>
      <c r="V6469" s="171"/>
      <c r="W6469" s="171"/>
      <c r="X6469" s="171"/>
      <c r="Y6469" s="171"/>
      <c r="Z6469" s="171"/>
      <c r="AA6469" s="171"/>
    </row>
    <row r="6470" spans="1:27" s="530" customFormat="1" ht="15.75" hidden="1" customHeight="1" x14ac:dyDescent="0.2">
      <c r="A6470" s="526"/>
      <c r="B6470" s="527"/>
      <c r="C6470" s="534"/>
      <c r="D6470" s="535"/>
      <c r="E6470" s="535"/>
      <c r="F6470" s="167"/>
      <c r="G6470" s="513"/>
      <c r="H6470" s="422"/>
      <c r="I6470" s="422"/>
      <c r="J6470" s="750" t="e">
        <f t="shared" si="84"/>
        <v>#DIV/0!</v>
      </c>
      <c r="K6470" s="423"/>
      <c r="L6470" s="424"/>
      <c r="M6470" s="682"/>
      <c r="N6470" s="171"/>
      <c r="O6470" s="171"/>
      <c r="P6470" s="171"/>
      <c r="Q6470" s="171"/>
      <c r="R6470" s="171"/>
      <c r="S6470" s="171"/>
      <c r="T6470" s="171"/>
      <c r="U6470" s="171"/>
      <c r="V6470" s="171"/>
      <c r="W6470" s="171"/>
      <c r="X6470" s="171"/>
      <c r="Y6470" s="171"/>
      <c r="Z6470" s="171"/>
      <c r="AA6470" s="171"/>
    </row>
    <row r="6471" spans="1:27" s="530" customFormat="1" ht="15.75" hidden="1" customHeight="1" x14ac:dyDescent="0.2">
      <c r="A6471" s="526"/>
      <c r="B6471" s="527"/>
      <c r="C6471" s="534"/>
      <c r="D6471" s="535"/>
      <c r="E6471" s="535"/>
      <c r="F6471" s="167"/>
      <c r="G6471" s="513"/>
      <c r="H6471" s="422"/>
      <c r="I6471" s="422"/>
      <c r="J6471" s="750" t="e">
        <f t="shared" si="84"/>
        <v>#DIV/0!</v>
      </c>
      <c r="K6471" s="423"/>
      <c r="L6471" s="424"/>
      <c r="M6471" s="682"/>
      <c r="N6471" s="171"/>
      <c r="O6471" s="171"/>
      <c r="P6471" s="171"/>
      <c r="Q6471" s="171"/>
      <c r="R6471" s="171"/>
      <c r="S6471" s="171"/>
      <c r="T6471" s="171"/>
      <c r="U6471" s="171"/>
      <c r="V6471" s="171"/>
      <c r="W6471" s="171"/>
      <c r="X6471" s="171"/>
      <c r="Y6471" s="171"/>
      <c r="Z6471" s="171"/>
      <c r="AA6471" s="171"/>
    </row>
    <row r="6472" spans="1:27" s="530" customFormat="1" ht="15.75" hidden="1" customHeight="1" x14ac:dyDescent="0.2">
      <c r="A6472" s="526"/>
      <c r="B6472" s="527"/>
      <c r="C6472" s="534"/>
      <c r="D6472" s="535"/>
      <c r="E6472" s="535"/>
      <c r="F6472" s="167"/>
      <c r="G6472" s="513"/>
      <c r="H6472" s="422"/>
      <c r="I6472" s="422"/>
      <c r="J6472" s="750" t="e">
        <f t="shared" si="84"/>
        <v>#DIV/0!</v>
      </c>
      <c r="K6472" s="423"/>
      <c r="L6472" s="424"/>
      <c r="M6472" s="682"/>
      <c r="N6472" s="171"/>
      <c r="O6472" s="171"/>
      <c r="P6472" s="171"/>
      <c r="Q6472" s="171"/>
      <c r="R6472" s="171"/>
      <c r="S6472" s="171"/>
      <c r="T6472" s="171"/>
      <c r="U6472" s="171"/>
      <c r="V6472" s="171"/>
      <c r="W6472" s="171"/>
      <c r="X6472" s="171"/>
      <c r="Y6472" s="171"/>
      <c r="Z6472" s="171"/>
      <c r="AA6472" s="171"/>
    </row>
    <row r="6473" spans="1:27" s="530" customFormat="1" ht="15.75" hidden="1" customHeight="1" x14ac:dyDescent="0.2">
      <c r="A6473" s="526"/>
      <c r="B6473" s="527"/>
      <c r="C6473" s="534"/>
      <c r="D6473" s="535"/>
      <c r="E6473" s="535"/>
      <c r="F6473" s="167"/>
      <c r="G6473" s="513"/>
      <c r="H6473" s="422"/>
      <c r="I6473" s="422"/>
      <c r="J6473" s="750" t="e">
        <f t="shared" si="84"/>
        <v>#DIV/0!</v>
      </c>
      <c r="K6473" s="423"/>
      <c r="L6473" s="424"/>
      <c r="M6473" s="682"/>
      <c r="N6473" s="171"/>
      <c r="O6473" s="171"/>
      <c r="P6473" s="171"/>
      <c r="Q6473" s="171"/>
      <c r="R6473" s="171"/>
      <c r="S6473" s="171"/>
      <c r="T6473" s="171"/>
      <c r="U6473" s="171"/>
      <c r="V6473" s="171"/>
      <c r="W6473" s="171"/>
      <c r="X6473" s="171"/>
      <c r="Y6473" s="171"/>
      <c r="Z6473" s="171"/>
      <c r="AA6473" s="171"/>
    </row>
    <row r="6474" spans="1:27" s="530" customFormat="1" ht="15.75" hidden="1" customHeight="1" x14ac:dyDescent="0.2">
      <c r="A6474" s="526"/>
      <c r="B6474" s="527"/>
      <c r="C6474" s="534"/>
      <c r="D6474" s="535"/>
      <c r="E6474" s="535"/>
      <c r="F6474" s="167"/>
      <c r="G6474" s="513"/>
      <c r="H6474" s="422"/>
      <c r="I6474" s="422"/>
      <c r="J6474" s="750" t="e">
        <f t="shared" si="84"/>
        <v>#DIV/0!</v>
      </c>
      <c r="K6474" s="423"/>
      <c r="L6474" s="424"/>
      <c r="M6474" s="682"/>
      <c r="N6474" s="171"/>
      <c r="O6474" s="171"/>
      <c r="P6474" s="171"/>
      <c r="Q6474" s="171"/>
      <c r="R6474" s="171"/>
      <c r="S6474" s="171"/>
      <c r="T6474" s="171"/>
      <c r="U6474" s="171"/>
      <c r="V6474" s="171"/>
      <c r="W6474" s="171"/>
      <c r="X6474" s="171"/>
      <c r="Y6474" s="171"/>
      <c r="Z6474" s="171"/>
      <c r="AA6474" s="171"/>
    </row>
    <row r="6475" spans="1:27" s="530" customFormat="1" ht="15.75" hidden="1" customHeight="1" x14ac:dyDescent="0.2">
      <c r="A6475" s="526"/>
      <c r="B6475" s="527"/>
      <c r="C6475" s="534"/>
      <c r="D6475" s="535"/>
      <c r="E6475" s="535"/>
      <c r="F6475" s="167"/>
      <c r="G6475" s="513"/>
      <c r="H6475" s="422"/>
      <c r="I6475" s="422"/>
      <c r="J6475" s="750" t="e">
        <f t="shared" si="84"/>
        <v>#DIV/0!</v>
      </c>
      <c r="K6475" s="423"/>
      <c r="L6475" s="424"/>
      <c r="M6475" s="682"/>
      <c r="N6475" s="171"/>
      <c r="O6475" s="171"/>
      <c r="P6475" s="171"/>
      <c r="Q6475" s="171"/>
      <c r="R6475" s="171"/>
      <c r="S6475" s="171"/>
      <c r="T6475" s="171"/>
      <c r="U6475" s="171"/>
      <c r="V6475" s="171"/>
      <c r="W6475" s="171"/>
      <c r="X6475" s="171"/>
      <c r="Y6475" s="171"/>
      <c r="Z6475" s="171"/>
      <c r="AA6475" s="171"/>
    </row>
    <row r="6476" spans="1:27" s="530" customFormat="1" ht="15.75" hidden="1" customHeight="1" x14ac:dyDescent="0.2">
      <c r="A6476" s="526"/>
      <c r="B6476" s="527"/>
      <c r="C6476" s="534"/>
      <c r="D6476" s="535"/>
      <c r="E6476" s="535"/>
      <c r="F6476" s="167"/>
      <c r="G6476" s="513"/>
      <c r="H6476" s="422"/>
      <c r="I6476" s="422"/>
      <c r="J6476" s="750" t="e">
        <f t="shared" si="84"/>
        <v>#DIV/0!</v>
      </c>
      <c r="K6476" s="423"/>
      <c r="L6476" s="424"/>
      <c r="M6476" s="682"/>
      <c r="N6476" s="171"/>
      <c r="O6476" s="171"/>
      <c r="P6476" s="171"/>
      <c r="Q6476" s="171"/>
      <c r="R6476" s="171"/>
      <c r="S6476" s="171"/>
      <c r="T6476" s="171"/>
      <c r="U6476" s="171"/>
      <c r="V6476" s="171"/>
      <c r="W6476" s="171"/>
      <c r="X6476" s="171"/>
      <c r="Y6476" s="171"/>
      <c r="Z6476" s="171"/>
      <c r="AA6476" s="171"/>
    </row>
    <row r="6477" spans="1:27" s="530" customFormat="1" ht="15.75" hidden="1" customHeight="1" x14ac:dyDescent="0.2">
      <c r="A6477" s="526"/>
      <c r="B6477" s="527"/>
      <c r="C6477" s="534"/>
      <c r="D6477" s="535"/>
      <c r="E6477" s="535"/>
      <c r="F6477" s="167"/>
      <c r="G6477" s="513"/>
      <c r="H6477" s="422"/>
      <c r="I6477" s="422"/>
      <c r="J6477" s="750" t="e">
        <f t="shared" ref="J6477:J6540" si="85">SUM(I6477/H6477)*100</f>
        <v>#DIV/0!</v>
      </c>
      <c r="K6477" s="423"/>
      <c r="L6477" s="424"/>
      <c r="M6477" s="682"/>
      <c r="N6477" s="171"/>
      <c r="O6477" s="171"/>
      <c r="P6477" s="171"/>
      <c r="Q6477" s="171"/>
      <c r="R6477" s="171"/>
      <c r="S6477" s="171"/>
      <c r="T6477" s="171"/>
      <c r="U6477" s="171"/>
      <c r="V6477" s="171"/>
      <c r="W6477" s="171"/>
      <c r="X6477" s="171"/>
      <c r="Y6477" s="171"/>
      <c r="Z6477" s="171"/>
      <c r="AA6477" s="171"/>
    </row>
    <row r="6478" spans="1:27" s="530" customFormat="1" ht="15.75" hidden="1" customHeight="1" x14ac:dyDescent="0.2">
      <c r="A6478" s="526"/>
      <c r="B6478" s="527"/>
      <c r="C6478" s="534"/>
      <c r="D6478" s="535"/>
      <c r="E6478" s="535"/>
      <c r="F6478" s="167"/>
      <c r="G6478" s="513"/>
      <c r="H6478" s="422"/>
      <c r="I6478" s="422"/>
      <c r="J6478" s="750" t="e">
        <f t="shared" si="85"/>
        <v>#DIV/0!</v>
      </c>
      <c r="K6478" s="423"/>
      <c r="L6478" s="424"/>
      <c r="M6478" s="682"/>
      <c r="N6478" s="171"/>
      <c r="O6478" s="171"/>
      <c r="P6478" s="171"/>
      <c r="Q6478" s="171"/>
      <c r="R6478" s="171"/>
      <c r="S6478" s="171"/>
      <c r="T6478" s="171"/>
      <c r="U6478" s="171"/>
      <c r="V6478" s="171"/>
      <c r="W6478" s="171"/>
      <c r="X6478" s="171"/>
      <c r="Y6478" s="171"/>
      <c r="Z6478" s="171"/>
      <c r="AA6478" s="171"/>
    </row>
    <row r="6479" spans="1:27" s="530" customFormat="1" ht="15.75" hidden="1" customHeight="1" x14ac:dyDescent="0.2">
      <c r="A6479" s="526"/>
      <c r="B6479" s="527"/>
      <c r="C6479" s="534"/>
      <c r="D6479" s="535"/>
      <c r="E6479" s="535"/>
      <c r="F6479" s="167"/>
      <c r="G6479" s="513"/>
      <c r="H6479" s="422"/>
      <c r="I6479" s="422"/>
      <c r="J6479" s="750" t="e">
        <f t="shared" si="85"/>
        <v>#DIV/0!</v>
      </c>
      <c r="K6479" s="423"/>
      <c r="L6479" s="424"/>
      <c r="M6479" s="682"/>
      <c r="N6479" s="171"/>
      <c r="O6479" s="171"/>
      <c r="P6479" s="171"/>
      <c r="Q6479" s="171"/>
      <c r="R6479" s="171"/>
      <c r="S6479" s="171"/>
      <c r="T6479" s="171"/>
      <c r="U6479" s="171"/>
      <c r="V6479" s="171"/>
      <c r="W6479" s="171"/>
      <c r="X6479" s="171"/>
      <c r="Y6479" s="171"/>
      <c r="Z6479" s="171"/>
      <c r="AA6479" s="171"/>
    </row>
    <row r="6480" spans="1:27" s="530" customFormat="1" ht="15.75" hidden="1" customHeight="1" x14ac:dyDescent="0.2">
      <c r="A6480" s="526"/>
      <c r="B6480" s="527"/>
      <c r="C6480" s="534"/>
      <c r="D6480" s="535"/>
      <c r="E6480" s="535"/>
      <c r="F6480" s="167"/>
      <c r="G6480" s="513"/>
      <c r="H6480" s="422"/>
      <c r="I6480" s="422"/>
      <c r="J6480" s="750" t="e">
        <f t="shared" si="85"/>
        <v>#DIV/0!</v>
      </c>
      <c r="K6480" s="423"/>
      <c r="L6480" s="424"/>
      <c r="M6480" s="682"/>
      <c r="N6480" s="171"/>
      <c r="O6480" s="171"/>
      <c r="P6480" s="171"/>
      <c r="Q6480" s="171"/>
      <c r="R6480" s="171"/>
      <c r="S6480" s="171"/>
      <c r="T6480" s="171"/>
      <c r="U6480" s="171"/>
      <c r="V6480" s="171"/>
      <c r="W6480" s="171"/>
      <c r="X6480" s="171"/>
      <c r="Y6480" s="171"/>
      <c r="Z6480" s="171"/>
      <c r="AA6480" s="171"/>
    </row>
    <row r="6481" spans="1:27" s="530" customFormat="1" ht="15.75" hidden="1" customHeight="1" x14ac:dyDescent="0.2">
      <c r="A6481" s="526"/>
      <c r="B6481" s="527"/>
      <c r="C6481" s="534"/>
      <c r="D6481" s="535"/>
      <c r="E6481" s="535"/>
      <c r="F6481" s="167"/>
      <c r="G6481" s="513"/>
      <c r="H6481" s="422"/>
      <c r="I6481" s="422"/>
      <c r="J6481" s="750" t="e">
        <f t="shared" si="85"/>
        <v>#DIV/0!</v>
      </c>
      <c r="K6481" s="423"/>
      <c r="L6481" s="424"/>
      <c r="M6481" s="682"/>
      <c r="N6481" s="171"/>
      <c r="O6481" s="171"/>
      <c r="P6481" s="171"/>
      <c r="Q6481" s="171"/>
      <c r="R6481" s="171"/>
      <c r="S6481" s="171"/>
      <c r="T6481" s="171"/>
      <c r="U6481" s="171"/>
      <c r="V6481" s="171"/>
      <c r="W6481" s="171"/>
      <c r="X6481" s="171"/>
      <c r="Y6481" s="171"/>
      <c r="Z6481" s="171"/>
      <c r="AA6481" s="171"/>
    </row>
    <row r="6482" spans="1:27" s="530" customFormat="1" ht="15.75" hidden="1" customHeight="1" x14ac:dyDescent="0.2">
      <c r="A6482" s="526"/>
      <c r="B6482" s="527"/>
      <c r="C6482" s="534"/>
      <c r="D6482" s="535"/>
      <c r="E6482" s="535"/>
      <c r="F6482" s="167"/>
      <c r="G6482" s="513"/>
      <c r="H6482" s="422"/>
      <c r="I6482" s="422"/>
      <c r="J6482" s="750" t="e">
        <f t="shared" si="85"/>
        <v>#DIV/0!</v>
      </c>
      <c r="K6482" s="423"/>
      <c r="L6482" s="424"/>
      <c r="M6482" s="682"/>
      <c r="N6482" s="171"/>
      <c r="O6482" s="171"/>
      <c r="P6482" s="171"/>
      <c r="Q6482" s="171"/>
      <c r="R6482" s="171"/>
      <c r="S6482" s="171"/>
      <c r="T6482" s="171"/>
      <c r="U6482" s="171"/>
      <c r="V6482" s="171"/>
      <c r="W6482" s="171"/>
      <c r="X6482" s="171"/>
      <c r="Y6482" s="171"/>
      <c r="Z6482" s="171"/>
      <c r="AA6482" s="171"/>
    </row>
    <row r="6483" spans="1:27" s="530" customFormat="1" ht="15.75" hidden="1" customHeight="1" x14ac:dyDescent="0.2">
      <c r="A6483" s="526"/>
      <c r="B6483" s="527"/>
      <c r="C6483" s="534"/>
      <c r="D6483" s="535"/>
      <c r="E6483" s="535"/>
      <c r="F6483" s="167"/>
      <c r="G6483" s="513"/>
      <c r="H6483" s="422"/>
      <c r="I6483" s="422"/>
      <c r="J6483" s="750" t="e">
        <f t="shared" si="85"/>
        <v>#DIV/0!</v>
      </c>
      <c r="K6483" s="423"/>
      <c r="L6483" s="424"/>
      <c r="M6483" s="682"/>
      <c r="N6483" s="171"/>
      <c r="O6483" s="171"/>
      <c r="P6483" s="171"/>
      <c r="Q6483" s="171"/>
      <c r="R6483" s="171"/>
      <c r="S6483" s="171"/>
      <c r="T6483" s="171"/>
      <c r="U6483" s="171"/>
      <c r="V6483" s="171"/>
      <c r="W6483" s="171"/>
      <c r="X6483" s="171"/>
      <c r="Y6483" s="171"/>
      <c r="Z6483" s="171"/>
      <c r="AA6483" s="171"/>
    </row>
    <row r="6484" spans="1:27" s="530" customFormat="1" ht="15.75" hidden="1" customHeight="1" x14ac:dyDescent="0.2">
      <c r="A6484" s="526"/>
      <c r="B6484" s="527"/>
      <c r="C6484" s="534"/>
      <c r="D6484" s="535"/>
      <c r="E6484" s="535"/>
      <c r="F6484" s="167"/>
      <c r="G6484" s="513"/>
      <c r="H6484" s="422"/>
      <c r="I6484" s="422"/>
      <c r="J6484" s="750" t="e">
        <f t="shared" si="85"/>
        <v>#DIV/0!</v>
      </c>
      <c r="K6484" s="423"/>
      <c r="L6484" s="424"/>
      <c r="M6484" s="682"/>
      <c r="N6484" s="171"/>
      <c r="O6484" s="171"/>
      <c r="P6484" s="171"/>
      <c r="Q6484" s="171"/>
      <c r="R6484" s="171"/>
      <c r="S6484" s="171"/>
      <c r="T6484" s="171"/>
      <c r="U6484" s="171"/>
      <c r="V6484" s="171"/>
      <c r="W6484" s="171"/>
      <c r="X6484" s="171"/>
      <c r="Y6484" s="171"/>
      <c r="Z6484" s="171"/>
      <c r="AA6484" s="171"/>
    </row>
    <row r="6485" spans="1:27" s="530" customFormat="1" ht="15.75" hidden="1" customHeight="1" x14ac:dyDescent="0.2">
      <c r="A6485" s="526"/>
      <c r="B6485" s="527"/>
      <c r="C6485" s="534"/>
      <c r="D6485" s="535"/>
      <c r="E6485" s="535"/>
      <c r="F6485" s="167"/>
      <c r="G6485" s="513"/>
      <c r="H6485" s="422"/>
      <c r="I6485" s="422"/>
      <c r="J6485" s="750" t="e">
        <f t="shared" si="85"/>
        <v>#DIV/0!</v>
      </c>
      <c r="K6485" s="423"/>
      <c r="L6485" s="424"/>
      <c r="M6485" s="682"/>
      <c r="N6485" s="171"/>
      <c r="O6485" s="171"/>
      <c r="P6485" s="171"/>
      <c r="Q6485" s="171"/>
      <c r="R6485" s="171"/>
      <c r="S6485" s="171"/>
      <c r="T6485" s="171"/>
      <c r="U6485" s="171"/>
      <c r="V6485" s="171"/>
      <c r="W6485" s="171"/>
      <c r="X6485" s="171"/>
      <c r="Y6485" s="171"/>
      <c r="Z6485" s="171"/>
      <c r="AA6485" s="171"/>
    </row>
    <row r="6486" spans="1:27" s="530" customFormat="1" ht="15.75" hidden="1" customHeight="1" x14ac:dyDescent="0.2">
      <c r="A6486" s="526"/>
      <c r="B6486" s="527"/>
      <c r="C6486" s="534"/>
      <c r="D6486" s="535"/>
      <c r="E6486" s="535"/>
      <c r="F6486" s="167"/>
      <c r="G6486" s="513"/>
      <c r="H6486" s="422"/>
      <c r="I6486" s="422"/>
      <c r="J6486" s="750" t="e">
        <f t="shared" si="85"/>
        <v>#DIV/0!</v>
      </c>
      <c r="K6486" s="423"/>
      <c r="L6486" s="424"/>
      <c r="M6486" s="682"/>
      <c r="N6486" s="171"/>
      <c r="O6486" s="171"/>
      <c r="P6486" s="171"/>
      <c r="Q6486" s="171"/>
      <c r="R6486" s="171"/>
      <c r="S6486" s="171"/>
      <c r="T6486" s="171"/>
      <c r="U6486" s="171"/>
      <c r="V6486" s="171"/>
      <c r="W6486" s="171"/>
      <c r="X6486" s="171"/>
      <c r="Y6486" s="171"/>
      <c r="Z6486" s="171"/>
      <c r="AA6486" s="171"/>
    </row>
    <row r="6487" spans="1:27" s="530" customFormat="1" ht="15.75" hidden="1" customHeight="1" x14ac:dyDescent="0.2">
      <c r="A6487" s="526"/>
      <c r="B6487" s="527"/>
      <c r="C6487" s="534"/>
      <c r="D6487" s="535"/>
      <c r="E6487" s="535"/>
      <c r="F6487" s="167"/>
      <c r="G6487" s="513"/>
      <c r="H6487" s="422"/>
      <c r="I6487" s="422"/>
      <c r="J6487" s="750" t="e">
        <f t="shared" si="85"/>
        <v>#DIV/0!</v>
      </c>
      <c r="K6487" s="423"/>
      <c r="L6487" s="424"/>
      <c r="M6487" s="682"/>
      <c r="N6487" s="171"/>
      <c r="O6487" s="171"/>
      <c r="P6487" s="171"/>
      <c r="Q6487" s="171"/>
      <c r="R6487" s="171"/>
      <c r="S6487" s="171"/>
      <c r="T6487" s="171"/>
      <c r="U6487" s="171"/>
      <c r="V6487" s="171"/>
      <c r="W6487" s="171"/>
      <c r="X6487" s="171"/>
      <c r="Y6487" s="171"/>
      <c r="Z6487" s="171"/>
      <c r="AA6487" s="171"/>
    </row>
    <row r="6488" spans="1:27" s="530" customFormat="1" ht="15.75" hidden="1" customHeight="1" x14ac:dyDescent="0.2">
      <c r="A6488" s="526"/>
      <c r="B6488" s="527"/>
      <c r="C6488" s="534"/>
      <c r="D6488" s="535"/>
      <c r="E6488" s="535"/>
      <c r="F6488" s="167"/>
      <c r="G6488" s="513"/>
      <c r="H6488" s="422"/>
      <c r="I6488" s="422"/>
      <c r="J6488" s="750" t="e">
        <f t="shared" si="85"/>
        <v>#DIV/0!</v>
      </c>
      <c r="K6488" s="423"/>
      <c r="L6488" s="424"/>
      <c r="M6488" s="682"/>
      <c r="N6488" s="171"/>
      <c r="O6488" s="171"/>
      <c r="P6488" s="171"/>
      <c r="Q6488" s="171"/>
      <c r="R6488" s="171"/>
      <c r="S6488" s="171"/>
      <c r="T6488" s="171"/>
      <c r="U6488" s="171"/>
      <c r="V6488" s="171"/>
      <c r="W6488" s="171"/>
      <c r="X6488" s="171"/>
      <c r="Y6488" s="171"/>
      <c r="Z6488" s="171"/>
      <c r="AA6488" s="171"/>
    </row>
    <row r="6489" spans="1:27" s="530" customFormat="1" ht="15.75" hidden="1" customHeight="1" x14ac:dyDescent="0.2">
      <c r="A6489" s="526"/>
      <c r="B6489" s="527"/>
      <c r="C6489" s="534"/>
      <c r="D6489" s="535"/>
      <c r="E6489" s="535"/>
      <c r="F6489" s="167"/>
      <c r="G6489" s="513"/>
      <c r="H6489" s="422"/>
      <c r="I6489" s="422"/>
      <c r="J6489" s="750" t="e">
        <f t="shared" si="85"/>
        <v>#DIV/0!</v>
      </c>
      <c r="K6489" s="423"/>
      <c r="L6489" s="424"/>
      <c r="M6489" s="682"/>
      <c r="N6489" s="171"/>
      <c r="O6489" s="171"/>
      <c r="P6489" s="171"/>
      <c r="Q6489" s="171"/>
      <c r="R6489" s="171"/>
      <c r="S6489" s="171"/>
      <c r="T6489" s="171"/>
      <c r="U6489" s="171"/>
      <c r="V6489" s="171"/>
      <c r="W6489" s="171"/>
      <c r="X6489" s="171"/>
      <c r="Y6489" s="171"/>
      <c r="Z6489" s="171"/>
      <c r="AA6489" s="171"/>
    </row>
    <row r="6490" spans="1:27" s="530" customFormat="1" ht="15.75" hidden="1" customHeight="1" x14ac:dyDescent="0.2">
      <c r="A6490" s="526"/>
      <c r="B6490" s="527"/>
      <c r="C6490" s="534"/>
      <c r="D6490" s="535"/>
      <c r="E6490" s="535"/>
      <c r="F6490" s="167"/>
      <c r="G6490" s="513"/>
      <c r="H6490" s="422"/>
      <c r="I6490" s="422"/>
      <c r="J6490" s="750" t="e">
        <f t="shared" si="85"/>
        <v>#DIV/0!</v>
      </c>
      <c r="K6490" s="423"/>
      <c r="L6490" s="424"/>
      <c r="M6490" s="682"/>
      <c r="N6490" s="171"/>
      <c r="O6490" s="171"/>
      <c r="P6490" s="171"/>
      <c r="Q6490" s="171"/>
      <c r="R6490" s="171"/>
      <c r="S6490" s="171"/>
      <c r="T6490" s="171"/>
      <c r="U6490" s="171"/>
      <c r="V6490" s="171"/>
      <c r="W6490" s="171"/>
      <c r="X6490" s="171"/>
      <c r="Y6490" s="171"/>
      <c r="Z6490" s="171"/>
      <c r="AA6490" s="171"/>
    </row>
    <row r="6491" spans="1:27" s="530" customFormat="1" ht="15.75" hidden="1" customHeight="1" x14ac:dyDescent="0.2">
      <c r="A6491" s="526"/>
      <c r="B6491" s="527"/>
      <c r="C6491" s="534"/>
      <c r="D6491" s="535"/>
      <c r="E6491" s="535"/>
      <c r="F6491" s="167"/>
      <c r="G6491" s="513"/>
      <c r="H6491" s="422"/>
      <c r="I6491" s="422"/>
      <c r="J6491" s="750" t="e">
        <f t="shared" si="85"/>
        <v>#DIV/0!</v>
      </c>
      <c r="K6491" s="423"/>
      <c r="L6491" s="424"/>
      <c r="M6491" s="682"/>
      <c r="N6491" s="171"/>
      <c r="O6491" s="171"/>
      <c r="P6491" s="171"/>
      <c r="Q6491" s="171"/>
      <c r="R6491" s="171"/>
      <c r="S6491" s="171"/>
      <c r="T6491" s="171"/>
      <c r="U6491" s="171"/>
      <c r="V6491" s="171"/>
      <c r="W6491" s="171"/>
      <c r="X6491" s="171"/>
      <c r="Y6491" s="171"/>
      <c r="Z6491" s="171"/>
      <c r="AA6491" s="171"/>
    </row>
    <row r="6492" spans="1:27" s="530" customFormat="1" ht="15.75" hidden="1" customHeight="1" x14ac:dyDescent="0.2">
      <c r="A6492" s="526"/>
      <c r="B6492" s="527"/>
      <c r="C6492" s="534"/>
      <c r="D6492" s="535"/>
      <c r="E6492" s="535"/>
      <c r="F6492" s="167"/>
      <c r="G6492" s="513"/>
      <c r="H6492" s="422"/>
      <c r="I6492" s="422"/>
      <c r="J6492" s="750" t="e">
        <f t="shared" si="85"/>
        <v>#DIV/0!</v>
      </c>
      <c r="K6492" s="423"/>
      <c r="L6492" s="424"/>
      <c r="M6492" s="682"/>
      <c r="N6492" s="171"/>
      <c r="O6492" s="171"/>
      <c r="P6492" s="171"/>
      <c r="Q6492" s="171"/>
      <c r="R6492" s="171"/>
      <c r="S6492" s="171"/>
      <c r="T6492" s="171"/>
      <c r="U6492" s="171"/>
      <c r="V6492" s="171"/>
      <c r="W6492" s="171"/>
      <c r="X6492" s="171"/>
      <c r="Y6492" s="171"/>
      <c r="Z6492" s="171"/>
      <c r="AA6492" s="171"/>
    </row>
    <row r="6493" spans="1:27" s="530" customFormat="1" ht="15.75" hidden="1" customHeight="1" x14ac:dyDescent="0.2">
      <c r="A6493" s="526"/>
      <c r="B6493" s="527"/>
      <c r="C6493" s="534"/>
      <c r="D6493" s="535"/>
      <c r="E6493" s="535"/>
      <c r="F6493" s="167"/>
      <c r="G6493" s="513"/>
      <c r="H6493" s="422"/>
      <c r="I6493" s="422"/>
      <c r="J6493" s="750" t="e">
        <f t="shared" si="85"/>
        <v>#DIV/0!</v>
      </c>
      <c r="K6493" s="423"/>
      <c r="L6493" s="424"/>
      <c r="M6493" s="682"/>
      <c r="N6493" s="171"/>
      <c r="O6493" s="171"/>
      <c r="P6493" s="171"/>
      <c r="Q6493" s="171"/>
      <c r="R6493" s="171"/>
      <c r="S6493" s="171"/>
      <c r="T6493" s="171"/>
      <c r="U6493" s="171"/>
      <c r="V6493" s="171"/>
      <c r="W6493" s="171"/>
      <c r="X6493" s="171"/>
      <c r="Y6493" s="171"/>
      <c r="Z6493" s="171"/>
      <c r="AA6493" s="171"/>
    </row>
    <row r="6494" spans="1:27" s="530" customFormat="1" ht="15.75" hidden="1" customHeight="1" x14ac:dyDescent="0.2">
      <c r="A6494" s="526"/>
      <c r="B6494" s="527"/>
      <c r="C6494" s="534"/>
      <c r="D6494" s="535"/>
      <c r="E6494" s="535"/>
      <c r="F6494" s="167"/>
      <c r="G6494" s="513"/>
      <c r="H6494" s="422"/>
      <c r="I6494" s="422"/>
      <c r="J6494" s="750" t="e">
        <f t="shared" si="85"/>
        <v>#DIV/0!</v>
      </c>
      <c r="K6494" s="423"/>
      <c r="L6494" s="424"/>
      <c r="M6494" s="682"/>
      <c r="N6494" s="171"/>
      <c r="O6494" s="171"/>
      <c r="P6494" s="171"/>
      <c r="Q6494" s="171"/>
      <c r="R6494" s="171"/>
      <c r="S6494" s="171"/>
      <c r="T6494" s="171"/>
      <c r="U6494" s="171"/>
      <c r="V6494" s="171"/>
      <c r="W6494" s="171"/>
      <c r="X6494" s="171"/>
      <c r="Y6494" s="171"/>
      <c r="Z6494" s="171"/>
      <c r="AA6494" s="171"/>
    </row>
    <row r="6495" spans="1:27" s="530" customFormat="1" ht="15.75" hidden="1" customHeight="1" x14ac:dyDescent="0.2">
      <c r="A6495" s="526"/>
      <c r="B6495" s="527"/>
      <c r="C6495" s="534"/>
      <c r="D6495" s="535"/>
      <c r="E6495" s="535"/>
      <c r="F6495" s="167"/>
      <c r="G6495" s="513"/>
      <c r="H6495" s="422"/>
      <c r="I6495" s="422"/>
      <c r="J6495" s="750" t="e">
        <f t="shared" si="85"/>
        <v>#DIV/0!</v>
      </c>
      <c r="K6495" s="423"/>
      <c r="L6495" s="424"/>
      <c r="M6495" s="682"/>
      <c r="N6495" s="171"/>
      <c r="O6495" s="171"/>
      <c r="P6495" s="171"/>
      <c r="Q6495" s="171"/>
      <c r="R6495" s="171"/>
      <c r="S6495" s="171"/>
      <c r="T6495" s="171"/>
      <c r="U6495" s="171"/>
      <c r="V6495" s="171"/>
      <c r="W6495" s="171"/>
      <c r="X6495" s="171"/>
      <c r="Y6495" s="171"/>
      <c r="Z6495" s="171"/>
      <c r="AA6495" s="171"/>
    </row>
    <row r="6496" spans="1:27" s="530" customFormat="1" ht="15.75" hidden="1" customHeight="1" x14ac:dyDescent="0.2">
      <c r="A6496" s="526"/>
      <c r="B6496" s="527"/>
      <c r="C6496" s="534"/>
      <c r="D6496" s="535"/>
      <c r="E6496" s="535"/>
      <c r="F6496" s="167"/>
      <c r="G6496" s="513"/>
      <c r="H6496" s="422"/>
      <c r="I6496" s="422"/>
      <c r="J6496" s="750" t="e">
        <f t="shared" si="85"/>
        <v>#DIV/0!</v>
      </c>
      <c r="K6496" s="423"/>
      <c r="L6496" s="424"/>
      <c r="M6496" s="682"/>
      <c r="N6496" s="171"/>
      <c r="O6496" s="171"/>
      <c r="P6496" s="171"/>
      <c r="Q6496" s="171"/>
      <c r="R6496" s="171"/>
      <c r="S6496" s="171"/>
      <c r="T6496" s="171"/>
      <c r="U6496" s="171"/>
      <c r="V6496" s="171"/>
      <c r="W6496" s="171"/>
      <c r="X6496" s="171"/>
      <c r="Y6496" s="171"/>
      <c r="Z6496" s="171"/>
      <c r="AA6496" s="171"/>
    </row>
    <row r="6497" spans="1:27" s="530" customFormat="1" ht="15.75" hidden="1" customHeight="1" x14ac:dyDescent="0.2">
      <c r="A6497" s="526"/>
      <c r="B6497" s="527"/>
      <c r="C6497" s="534"/>
      <c r="D6497" s="535"/>
      <c r="E6497" s="535"/>
      <c r="F6497" s="167"/>
      <c r="G6497" s="513"/>
      <c r="H6497" s="422"/>
      <c r="I6497" s="422"/>
      <c r="J6497" s="750" t="e">
        <f t="shared" si="85"/>
        <v>#DIV/0!</v>
      </c>
      <c r="K6497" s="423"/>
      <c r="L6497" s="424"/>
      <c r="M6497" s="682"/>
      <c r="N6497" s="171"/>
      <c r="O6497" s="171"/>
      <c r="P6497" s="171"/>
      <c r="Q6497" s="171"/>
      <c r="R6497" s="171"/>
      <c r="S6497" s="171"/>
      <c r="T6497" s="171"/>
      <c r="U6497" s="171"/>
      <c r="V6497" s="171"/>
      <c r="W6497" s="171"/>
      <c r="X6497" s="171"/>
      <c r="Y6497" s="171"/>
      <c r="Z6497" s="171"/>
      <c r="AA6497" s="171"/>
    </row>
    <row r="6498" spans="1:27" s="530" customFormat="1" ht="15.75" hidden="1" customHeight="1" x14ac:dyDescent="0.2">
      <c r="A6498" s="526"/>
      <c r="B6498" s="527"/>
      <c r="C6498" s="534"/>
      <c r="D6498" s="535"/>
      <c r="E6498" s="535"/>
      <c r="F6498" s="167"/>
      <c r="G6498" s="513"/>
      <c r="H6498" s="422"/>
      <c r="I6498" s="422"/>
      <c r="J6498" s="750" t="e">
        <f t="shared" si="85"/>
        <v>#DIV/0!</v>
      </c>
      <c r="K6498" s="423"/>
      <c r="L6498" s="424"/>
      <c r="M6498" s="682"/>
      <c r="N6498" s="171"/>
      <c r="O6498" s="171"/>
      <c r="P6498" s="171"/>
      <c r="Q6498" s="171"/>
      <c r="R6498" s="171"/>
      <c r="S6498" s="171"/>
      <c r="T6498" s="171"/>
      <c r="U6498" s="171"/>
      <c r="V6498" s="171"/>
      <c r="W6498" s="171"/>
      <c r="X6498" s="171"/>
      <c r="Y6498" s="171"/>
      <c r="Z6498" s="171"/>
      <c r="AA6498" s="171"/>
    </row>
    <row r="6499" spans="1:27" s="530" customFormat="1" ht="15.75" hidden="1" customHeight="1" x14ac:dyDescent="0.2">
      <c r="A6499" s="526"/>
      <c r="B6499" s="527"/>
      <c r="C6499" s="534"/>
      <c r="D6499" s="535"/>
      <c r="E6499" s="535"/>
      <c r="F6499" s="167"/>
      <c r="G6499" s="513"/>
      <c r="H6499" s="422"/>
      <c r="I6499" s="422"/>
      <c r="J6499" s="750" t="e">
        <f t="shared" si="85"/>
        <v>#DIV/0!</v>
      </c>
      <c r="K6499" s="423"/>
      <c r="L6499" s="424"/>
      <c r="M6499" s="682"/>
      <c r="N6499" s="171"/>
      <c r="O6499" s="171"/>
      <c r="P6499" s="171"/>
      <c r="Q6499" s="171"/>
      <c r="R6499" s="171"/>
      <c r="S6499" s="171"/>
      <c r="T6499" s="171"/>
      <c r="U6499" s="171"/>
      <c r="V6499" s="171"/>
      <c r="W6499" s="171"/>
      <c r="X6499" s="171"/>
      <c r="Y6499" s="171"/>
      <c r="Z6499" s="171"/>
      <c r="AA6499" s="171"/>
    </row>
    <row r="6500" spans="1:27" s="530" customFormat="1" ht="15.75" hidden="1" customHeight="1" x14ac:dyDescent="0.2">
      <c r="A6500" s="526"/>
      <c r="B6500" s="527"/>
      <c r="C6500" s="534"/>
      <c r="D6500" s="535"/>
      <c r="E6500" s="535"/>
      <c r="F6500" s="167"/>
      <c r="G6500" s="513"/>
      <c r="H6500" s="422"/>
      <c r="I6500" s="422"/>
      <c r="J6500" s="750" t="e">
        <f t="shared" si="85"/>
        <v>#DIV/0!</v>
      </c>
      <c r="K6500" s="423"/>
      <c r="L6500" s="424"/>
      <c r="M6500" s="682"/>
      <c r="N6500" s="171"/>
      <c r="O6500" s="171"/>
      <c r="P6500" s="171"/>
      <c r="Q6500" s="171"/>
      <c r="R6500" s="171"/>
      <c r="S6500" s="171"/>
      <c r="T6500" s="171"/>
      <c r="U6500" s="171"/>
      <c r="V6500" s="171"/>
      <c r="W6500" s="171"/>
      <c r="X6500" s="171"/>
      <c r="Y6500" s="171"/>
      <c r="Z6500" s="171"/>
      <c r="AA6500" s="171"/>
    </row>
    <row r="6501" spans="1:27" s="530" customFormat="1" ht="15.75" hidden="1" customHeight="1" x14ac:dyDescent="0.2">
      <c r="A6501" s="526"/>
      <c r="B6501" s="527"/>
      <c r="C6501" s="534"/>
      <c r="D6501" s="535"/>
      <c r="E6501" s="535"/>
      <c r="F6501" s="167"/>
      <c r="G6501" s="513"/>
      <c r="H6501" s="422"/>
      <c r="I6501" s="422"/>
      <c r="J6501" s="750" t="e">
        <f t="shared" si="85"/>
        <v>#DIV/0!</v>
      </c>
      <c r="K6501" s="423"/>
      <c r="L6501" s="424"/>
      <c r="M6501" s="682"/>
      <c r="N6501" s="171"/>
      <c r="O6501" s="171"/>
      <c r="P6501" s="171"/>
      <c r="Q6501" s="171"/>
      <c r="R6501" s="171"/>
      <c r="S6501" s="171"/>
      <c r="T6501" s="171"/>
      <c r="U6501" s="171"/>
      <c r="V6501" s="171"/>
      <c r="W6501" s="171"/>
      <c r="X6501" s="171"/>
      <c r="Y6501" s="171"/>
      <c r="Z6501" s="171"/>
      <c r="AA6501" s="171"/>
    </row>
    <row r="6502" spans="1:27" s="530" customFormat="1" ht="15.75" hidden="1" customHeight="1" x14ac:dyDescent="0.2">
      <c r="A6502" s="526"/>
      <c r="B6502" s="527"/>
      <c r="C6502" s="534"/>
      <c r="D6502" s="535"/>
      <c r="E6502" s="535"/>
      <c r="F6502" s="167"/>
      <c r="G6502" s="513"/>
      <c r="H6502" s="422"/>
      <c r="I6502" s="422"/>
      <c r="J6502" s="750" t="e">
        <f t="shared" si="85"/>
        <v>#DIV/0!</v>
      </c>
      <c r="K6502" s="423"/>
      <c r="L6502" s="424"/>
      <c r="M6502" s="682"/>
      <c r="N6502" s="171"/>
      <c r="O6502" s="171"/>
      <c r="P6502" s="171"/>
      <c r="Q6502" s="171"/>
      <c r="R6502" s="171"/>
      <c r="S6502" s="171"/>
      <c r="T6502" s="171"/>
      <c r="U6502" s="171"/>
      <c r="V6502" s="171"/>
      <c r="W6502" s="171"/>
      <c r="X6502" s="171"/>
      <c r="Y6502" s="171"/>
      <c r="Z6502" s="171"/>
      <c r="AA6502" s="171"/>
    </row>
    <row r="6503" spans="1:27" s="530" customFormat="1" ht="15.75" hidden="1" customHeight="1" x14ac:dyDescent="0.2">
      <c r="A6503" s="526"/>
      <c r="B6503" s="527"/>
      <c r="C6503" s="534"/>
      <c r="D6503" s="535"/>
      <c r="E6503" s="535"/>
      <c r="F6503" s="167"/>
      <c r="G6503" s="513"/>
      <c r="H6503" s="422"/>
      <c r="I6503" s="422"/>
      <c r="J6503" s="750" t="e">
        <f t="shared" si="85"/>
        <v>#DIV/0!</v>
      </c>
      <c r="K6503" s="423"/>
      <c r="L6503" s="424"/>
      <c r="M6503" s="682"/>
      <c r="N6503" s="171"/>
      <c r="O6503" s="171"/>
      <c r="P6503" s="171"/>
      <c r="Q6503" s="171"/>
      <c r="R6503" s="171"/>
      <c r="S6503" s="171"/>
      <c r="T6503" s="171"/>
      <c r="U6503" s="171"/>
      <c r="V6503" s="171"/>
      <c r="W6503" s="171"/>
      <c r="X6503" s="171"/>
      <c r="Y6503" s="171"/>
      <c r="Z6503" s="171"/>
      <c r="AA6503" s="171"/>
    </row>
    <row r="6504" spans="1:27" s="530" customFormat="1" ht="15.75" hidden="1" customHeight="1" x14ac:dyDescent="0.2">
      <c r="A6504" s="526"/>
      <c r="B6504" s="527"/>
      <c r="C6504" s="534"/>
      <c r="D6504" s="535"/>
      <c r="E6504" s="535"/>
      <c r="F6504" s="167"/>
      <c r="G6504" s="513"/>
      <c r="H6504" s="422"/>
      <c r="I6504" s="422"/>
      <c r="J6504" s="750" t="e">
        <f t="shared" si="85"/>
        <v>#DIV/0!</v>
      </c>
      <c r="K6504" s="423"/>
      <c r="L6504" s="424"/>
      <c r="M6504" s="682"/>
      <c r="N6504" s="171"/>
      <c r="O6504" s="171"/>
      <c r="P6504" s="171"/>
      <c r="Q6504" s="171"/>
      <c r="R6504" s="171"/>
      <c r="S6504" s="171"/>
      <c r="T6504" s="171"/>
      <c r="U6504" s="171"/>
      <c r="V6504" s="171"/>
      <c r="W6504" s="171"/>
      <c r="X6504" s="171"/>
      <c r="Y6504" s="171"/>
      <c r="Z6504" s="171"/>
      <c r="AA6504" s="171"/>
    </row>
    <row r="6505" spans="1:27" s="530" customFormat="1" ht="15.75" hidden="1" customHeight="1" x14ac:dyDescent="0.2">
      <c r="A6505" s="526"/>
      <c r="B6505" s="527"/>
      <c r="C6505" s="534"/>
      <c r="D6505" s="535"/>
      <c r="E6505" s="535"/>
      <c r="F6505" s="167"/>
      <c r="G6505" s="513"/>
      <c r="H6505" s="422"/>
      <c r="I6505" s="422"/>
      <c r="J6505" s="750" t="e">
        <f t="shared" si="85"/>
        <v>#DIV/0!</v>
      </c>
      <c r="K6505" s="423"/>
      <c r="L6505" s="424"/>
      <c r="M6505" s="682"/>
      <c r="N6505" s="171"/>
      <c r="O6505" s="171"/>
      <c r="P6505" s="171"/>
      <c r="Q6505" s="171"/>
      <c r="R6505" s="171"/>
      <c r="S6505" s="171"/>
      <c r="T6505" s="171"/>
      <c r="U6505" s="171"/>
      <c r="V6505" s="171"/>
      <c r="W6505" s="171"/>
      <c r="X6505" s="171"/>
      <c r="Y6505" s="171"/>
      <c r="Z6505" s="171"/>
      <c r="AA6505" s="171"/>
    </row>
    <row r="6506" spans="1:27" s="530" customFormat="1" ht="15.75" hidden="1" customHeight="1" x14ac:dyDescent="0.2">
      <c r="A6506" s="526"/>
      <c r="B6506" s="527"/>
      <c r="C6506" s="534"/>
      <c r="D6506" s="535"/>
      <c r="E6506" s="535"/>
      <c r="F6506" s="167"/>
      <c r="G6506" s="513"/>
      <c r="H6506" s="422"/>
      <c r="I6506" s="422"/>
      <c r="J6506" s="750" t="e">
        <f t="shared" si="85"/>
        <v>#DIV/0!</v>
      </c>
      <c r="K6506" s="423"/>
      <c r="L6506" s="424"/>
      <c r="M6506" s="682"/>
      <c r="N6506" s="171"/>
      <c r="O6506" s="171"/>
      <c r="P6506" s="171"/>
      <c r="Q6506" s="171"/>
      <c r="R6506" s="171"/>
      <c r="S6506" s="171"/>
      <c r="T6506" s="171"/>
      <c r="U6506" s="171"/>
      <c r="V6506" s="171"/>
      <c r="W6506" s="171"/>
      <c r="X6506" s="171"/>
      <c r="Y6506" s="171"/>
      <c r="Z6506" s="171"/>
      <c r="AA6506" s="171"/>
    </row>
    <row r="6507" spans="1:27" s="530" customFormat="1" ht="15.75" hidden="1" customHeight="1" x14ac:dyDescent="0.2">
      <c r="A6507" s="526"/>
      <c r="B6507" s="527"/>
      <c r="C6507" s="534"/>
      <c r="D6507" s="535"/>
      <c r="E6507" s="535"/>
      <c r="F6507" s="167"/>
      <c r="G6507" s="513"/>
      <c r="H6507" s="422"/>
      <c r="I6507" s="422"/>
      <c r="J6507" s="750" t="e">
        <f t="shared" si="85"/>
        <v>#DIV/0!</v>
      </c>
      <c r="K6507" s="423"/>
      <c r="L6507" s="424"/>
      <c r="M6507" s="682"/>
      <c r="N6507" s="171"/>
      <c r="O6507" s="171"/>
      <c r="P6507" s="171"/>
      <c r="Q6507" s="171"/>
      <c r="R6507" s="171"/>
      <c r="S6507" s="171"/>
      <c r="T6507" s="171"/>
      <c r="U6507" s="171"/>
      <c r="V6507" s="171"/>
      <c r="W6507" s="171"/>
      <c r="X6507" s="171"/>
      <c r="Y6507" s="171"/>
      <c r="Z6507" s="171"/>
      <c r="AA6507" s="171"/>
    </row>
    <row r="6508" spans="1:27" s="530" customFormat="1" ht="15.75" hidden="1" customHeight="1" x14ac:dyDescent="0.2">
      <c r="A6508" s="526"/>
      <c r="B6508" s="527"/>
      <c r="C6508" s="534"/>
      <c r="D6508" s="535"/>
      <c r="E6508" s="535"/>
      <c r="F6508" s="167"/>
      <c r="G6508" s="513"/>
      <c r="H6508" s="422"/>
      <c r="I6508" s="422"/>
      <c r="J6508" s="750" t="e">
        <f t="shared" si="85"/>
        <v>#DIV/0!</v>
      </c>
      <c r="K6508" s="423"/>
      <c r="L6508" s="424"/>
      <c r="M6508" s="682"/>
      <c r="N6508" s="171"/>
      <c r="O6508" s="171"/>
      <c r="P6508" s="171"/>
      <c r="Q6508" s="171"/>
      <c r="R6508" s="171"/>
      <c r="S6508" s="171"/>
      <c r="T6508" s="171"/>
      <c r="U6508" s="171"/>
      <c r="V6508" s="171"/>
      <c r="W6508" s="171"/>
      <c r="X6508" s="171"/>
      <c r="Y6508" s="171"/>
      <c r="Z6508" s="171"/>
      <c r="AA6508" s="171"/>
    </row>
    <row r="6509" spans="1:27" s="530" customFormat="1" ht="15.75" hidden="1" customHeight="1" x14ac:dyDescent="0.2">
      <c r="A6509" s="526"/>
      <c r="B6509" s="527"/>
      <c r="C6509" s="534"/>
      <c r="D6509" s="535"/>
      <c r="E6509" s="535"/>
      <c r="F6509" s="167"/>
      <c r="G6509" s="513"/>
      <c r="H6509" s="422"/>
      <c r="I6509" s="422"/>
      <c r="J6509" s="750" t="e">
        <f t="shared" si="85"/>
        <v>#DIV/0!</v>
      </c>
      <c r="K6509" s="423"/>
      <c r="L6509" s="424"/>
      <c r="M6509" s="682"/>
      <c r="N6509" s="171"/>
      <c r="O6509" s="171"/>
      <c r="P6509" s="171"/>
      <c r="Q6509" s="171"/>
      <c r="R6509" s="171"/>
      <c r="S6509" s="171"/>
      <c r="T6509" s="171"/>
      <c r="U6509" s="171"/>
      <c r="V6509" s="171"/>
      <c r="W6509" s="171"/>
      <c r="X6509" s="171"/>
      <c r="Y6509" s="171"/>
      <c r="Z6509" s="171"/>
      <c r="AA6509" s="171"/>
    </row>
    <row r="6510" spans="1:27" s="530" customFormat="1" ht="15.75" hidden="1" customHeight="1" x14ac:dyDescent="0.2">
      <c r="A6510" s="526"/>
      <c r="B6510" s="527"/>
      <c r="C6510" s="534"/>
      <c r="D6510" s="535"/>
      <c r="E6510" s="535"/>
      <c r="F6510" s="167"/>
      <c r="G6510" s="513"/>
      <c r="H6510" s="422"/>
      <c r="I6510" s="422"/>
      <c r="J6510" s="750" t="e">
        <f t="shared" si="85"/>
        <v>#DIV/0!</v>
      </c>
      <c r="K6510" s="423"/>
      <c r="L6510" s="424"/>
      <c r="M6510" s="682"/>
      <c r="N6510" s="171"/>
      <c r="O6510" s="171"/>
      <c r="P6510" s="171"/>
      <c r="Q6510" s="171"/>
      <c r="R6510" s="171"/>
      <c r="S6510" s="171"/>
      <c r="T6510" s="171"/>
      <c r="U6510" s="171"/>
      <c r="V6510" s="171"/>
      <c r="W6510" s="171"/>
      <c r="X6510" s="171"/>
      <c r="Y6510" s="171"/>
      <c r="Z6510" s="171"/>
      <c r="AA6510" s="171"/>
    </row>
    <row r="6511" spans="1:27" s="530" customFormat="1" ht="15.75" hidden="1" customHeight="1" x14ac:dyDescent="0.2">
      <c r="A6511" s="526"/>
      <c r="B6511" s="527"/>
      <c r="C6511" s="534"/>
      <c r="D6511" s="535"/>
      <c r="E6511" s="535"/>
      <c r="F6511" s="167"/>
      <c r="G6511" s="513"/>
      <c r="H6511" s="422"/>
      <c r="I6511" s="422"/>
      <c r="J6511" s="750" t="e">
        <f t="shared" si="85"/>
        <v>#DIV/0!</v>
      </c>
      <c r="K6511" s="423"/>
      <c r="L6511" s="424"/>
      <c r="M6511" s="682"/>
      <c r="N6511" s="171"/>
      <c r="O6511" s="171"/>
      <c r="P6511" s="171"/>
      <c r="Q6511" s="171"/>
      <c r="R6511" s="171"/>
      <c r="S6511" s="171"/>
      <c r="T6511" s="171"/>
      <c r="U6511" s="171"/>
      <c r="V6511" s="171"/>
      <c r="W6511" s="171"/>
      <c r="X6511" s="171"/>
      <c r="Y6511" s="171"/>
      <c r="Z6511" s="171"/>
      <c r="AA6511" s="171"/>
    </row>
    <row r="6512" spans="1:27" s="530" customFormat="1" ht="15.75" hidden="1" customHeight="1" x14ac:dyDescent="0.2">
      <c r="A6512" s="526"/>
      <c r="B6512" s="527"/>
      <c r="C6512" s="534"/>
      <c r="D6512" s="535"/>
      <c r="E6512" s="535"/>
      <c r="F6512" s="167"/>
      <c r="G6512" s="513"/>
      <c r="H6512" s="422"/>
      <c r="I6512" s="422"/>
      <c r="J6512" s="750" t="e">
        <f t="shared" si="85"/>
        <v>#DIV/0!</v>
      </c>
      <c r="K6512" s="423"/>
      <c r="L6512" s="424"/>
      <c r="M6512" s="682"/>
      <c r="N6512" s="171"/>
      <c r="O6512" s="171"/>
      <c r="P6512" s="171"/>
      <c r="Q6512" s="171"/>
      <c r="R6512" s="171"/>
      <c r="S6512" s="171"/>
      <c r="T6512" s="171"/>
      <c r="U6512" s="171"/>
      <c r="V6512" s="171"/>
      <c r="W6512" s="171"/>
      <c r="X6512" s="171"/>
      <c r="Y6512" s="171"/>
      <c r="Z6512" s="171"/>
      <c r="AA6512" s="171"/>
    </row>
    <row r="6513" spans="1:27" s="530" customFormat="1" ht="15.75" hidden="1" customHeight="1" x14ac:dyDescent="0.2">
      <c r="A6513" s="526"/>
      <c r="B6513" s="527"/>
      <c r="C6513" s="534"/>
      <c r="D6513" s="535"/>
      <c r="E6513" s="535"/>
      <c r="F6513" s="167"/>
      <c r="G6513" s="513"/>
      <c r="H6513" s="422"/>
      <c r="I6513" s="422"/>
      <c r="J6513" s="750" t="e">
        <f t="shared" si="85"/>
        <v>#DIV/0!</v>
      </c>
      <c r="K6513" s="423"/>
      <c r="L6513" s="424"/>
      <c r="M6513" s="682"/>
      <c r="N6513" s="171"/>
      <c r="O6513" s="171"/>
      <c r="P6513" s="171"/>
      <c r="Q6513" s="171"/>
      <c r="R6513" s="171"/>
      <c r="S6513" s="171"/>
      <c r="T6513" s="171"/>
      <c r="U6513" s="171"/>
      <c r="V6513" s="171"/>
      <c r="W6513" s="171"/>
      <c r="X6513" s="171"/>
      <c r="Y6513" s="171"/>
      <c r="Z6513" s="171"/>
      <c r="AA6513" s="171"/>
    </row>
    <row r="6514" spans="1:27" s="530" customFormat="1" ht="15.75" hidden="1" customHeight="1" x14ac:dyDescent="0.2">
      <c r="A6514" s="526"/>
      <c r="B6514" s="527"/>
      <c r="C6514" s="534"/>
      <c r="D6514" s="535"/>
      <c r="E6514" s="535"/>
      <c r="F6514" s="167"/>
      <c r="G6514" s="513"/>
      <c r="H6514" s="422"/>
      <c r="I6514" s="422"/>
      <c r="J6514" s="750" t="e">
        <f t="shared" si="85"/>
        <v>#DIV/0!</v>
      </c>
      <c r="K6514" s="423"/>
      <c r="L6514" s="424"/>
      <c r="M6514" s="682"/>
      <c r="N6514" s="171"/>
      <c r="O6514" s="171"/>
      <c r="P6514" s="171"/>
      <c r="Q6514" s="171"/>
      <c r="R6514" s="171"/>
      <c r="S6514" s="171"/>
      <c r="T6514" s="171"/>
      <c r="U6514" s="171"/>
      <c r="V6514" s="171"/>
      <c r="W6514" s="171"/>
      <c r="X6514" s="171"/>
      <c r="Y6514" s="171"/>
      <c r="Z6514" s="171"/>
      <c r="AA6514" s="171"/>
    </row>
    <row r="6515" spans="1:27" s="530" customFormat="1" ht="15.75" hidden="1" customHeight="1" x14ac:dyDescent="0.2">
      <c r="A6515" s="526"/>
      <c r="B6515" s="527"/>
      <c r="C6515" s="534"/>
      <c r="D6515" s="535"/>
      <c r="E6515" s="535"/>
      <c r="F6515" s="167"/>
      <c r="G6515" s="513"/>
      <c r="H6515" s="422"/>
      <c r="I6515" s="422"/>
      <c r="J6515" s="750" t="e">
        <f t="shared" si="85"/>
        <v>#DIV/0!</v>
      </c>
      <c r="K6515" s="423"/>
      <c r="L6515" s="424"/>
      <c r="M6515" s="682"/>
      <c r="N6515" s="171"/>
      <c r="O6515" s="171"/>
      <c r="P6515" s="171"/>
      <c r="Q6515" s="171"/>
      <c r="R6515" s="171"/>
      <c r="S6515" s="171"/>
      <c r="T6515" s="171"/>
      <c r="U6515" s="171"/>
      <c r="V6515" s="171"/>
      <c r="W6515" s="171"/>
      <c r="X6515" s="171"/>
      <c r="Y6515" s="171"/>
      <c r="Z6515" s="171"/>
      <c r="AA6515" s="171"/>
    </row>
    <row r="6516" spans="1:27" s="530" customFormat="1" ht="15.75" hidden="1" customHeight="1" x14ac:dyDescent="0.2">
      <c r="A6516" s="526"/>
      <c r="B6516" s="527"/>
      <c r="C6516" s="534"/>
      <c r="D6516" s="535"/>
      <c r="E6516" s="535"/>
      <c r="F6516" s="167"/>
      <c r="G6516" s="513"/>
      <c r="H6516" s="422"/>
      <c r="I6516" s="422"/>
      <c r="J6516" s="750" t="e">
        <f t="shared" si="85"/>
        <v>#DIV/0!</v>
      </c>
      <c r="K6516" s="423"/>
      <c r="L6516" s="424"/>
      <c r="M6516" s="682"/>
      <c r="N6516" s="171"/>
      <c r="O6516" s="171"/>
      <c r="P6516" s="171"/>
      <c r="Q6516" s="171"/>
      <c r="R6516" s="171"/>
      <c r="S6516" s="171"/>
      <c r="T6516" s="171"/>
      <c r="U6516" s="171"/>
      <c r="V6516" s="171"/>
      <c r="W6516" s="171"/>
      <c r="X6516" s="171"/>
      <c r="Y6516" s="171"/>
      <c r="Z6516" s="171"/>
      <c r="AA6516" s="171"/>
    </row>
    <row r="6517" spans="1:27" s="530" customFormat="1" ht="15.75" hidden="1" customHeight="1" x14ac:dyDescent="0.2">
      <c r="A6517" s="526"/>
      <c r="B6517" s="527"/>
      <c r="C6517" s="534"/>
      <c r="D6517" s="535"/>
      <c r="E6517" s="535"/>
      <c r="F6517" s="167"/>
      <c r="G6517" s="513"/>
      <c r="H6517" s="422"/>
      <c r="I6517" s="422"/>
      <c r="J6517" s="750" t="e">
        <f t="shared" si="85"/>
        <v>#DIV/0!</v>
      </c>
      <c r="K6517" s="423"/>
      <c r="L6517" s="424"/>
      <c r="M6517" s="682"/>
      <c r="N6517" s="171"/>
      <c r="O6517" s="171"/>
      <c r="P6517" s="171"/>
      <c r="Q6517" s="171"/>
      <c r="R6517" s="171"/>
      <c r="S6517" s="171"/>
      <c r="T6517" s="171"/>
      <c r="U6517" s="171"/>
      <c r="V6517" s="171"/>
      <c r="W6517" s="171"/>
      <c r="X6517" s="171"/>
      <c r="Y6517" s="171"/>
      <c r="Z6517" s="171"/>
      <c r="AA6517" s="171"/>
    </row>
    <row r="6518" spans="1:27" s="530" customFormat="1" ht="15.75" hidden="1" customHeight="1" x14ac:dyDescent="0.2">
      <c r="A6518" s="526"/>
      <c r="B6518" s="527"/>
      <c r="C6518" s="534"/>
      <c r="D6518" s="535"/>
      <c r="E6518" s="535"/>
      <c r="F6518" s="167"/>
      <c r="G6518" s="513"/>
      <c r="H6518" s="422"/>
      <c r="I6518" s="422"/>
      <c r="J6518" s="750" t="e">
        <f t="shared" si="85"/>
        <v>#DIV/0!</v>
      </c>
      <c r="K6518" s="423"/>
      <c r="L6518" s="424"/>
      <c r="M6518" s="682"/>
      <c r="N6518" s="171"/>
      <c r="O6518" s="171"/>
      <c r="P6518" s="171"/>
      <c r="Q6518" s="171"/>
      <c r="R6518" s="171"/>
      <c r="S6518" s="171"/>
      <c r="T6518" s="171"/>
      <c r="U6518" s="171"/>
      <c r="V6518" s="171"/>
      <c r="W6518" s="171"/>
      <c r="X6518" s="171"/>
      <c r="Y6518" s="171"/>
      <c r="Z6518" s="171"/>
      <c r="AA6518" s="171"/>
    </row>
    <row r="6519" spans="1:27" s="530" customFormat="1" ht="15.75" hidden="1" customHeight="1" x14ac:dyDescent="0.2">
      <c r="A6519" s="526"/>
      <c r="B6519" s="527"/>
      <c r="C6519" s="534"/>
      <c r="D6519" s="535"/>
      <c r="E6519" s="535"/>
      <c r="F6519" s="167"/>
      <c r="G6519" s="513"/>
      <c r="H6519" s="422"/>
      <c r="I6519" s="422"/>
      <c r="J6519" s="750" t="e">
        <f t="shared" si="85"/>
        <v>#DIV/0!</v>
      </c>
      <c r="K6519" s="423"/>
      <c r="L6519" s="424"/>
      <c r="M6519" s="682"/>
      <c r="N6519" s="171"/>
      <c r="O6519" s="171"/>
      <c r="P6519" s="171"/>
      <c r="Q6519" s="171"/>
      <c r="R6519" s="171"/>
      <c r="S6519" s="171"/>
      <c r="T6519" s="171"/>
      <c r="U6519" s="171"/>
      <c r="V6519" s="171"/>
      <c r="W6519" s="171"/>
      <c r="X6519" s="171"/>
      <c r="Y6519" s="171"/>
      <c r="Z6519" s="171"/>
      <c r="AA6519" s="171"/>
    </row>
    <row r="6520" spans="1:27" s="530" customFormat="1" ht="15.75" hidden="1" customHeight="1" x14ac:dyDescent="0.2">
      <c r="A6520" s="526"/>
      <c r="B6520" s="527"/>
      <c r="C6520" s="534"/>
      <c r="D6520" s="535"/>
      <c r="E6520" s="535"/>
      <c r="F6520" s="167"/>
      <c r="G6520" s="513"/>
      <c r="H6520" s="422"/>
      <c r="I6520" s="422"/>
      <c r="J6520" s="750" t="e">
        <f t="shared" si="85"/>
        <v>#DIV/0!</v>
      </c>
      <c r="K6520" s="423"/>
      <c r="L6520" s="424"/>
      <c r="M6520" s="682"/>
      <c r="N6520" s="171"/>
      <c r="O6520" s="171"/>
      <c r="P6520" s="171"/>
      <c r="Q6520" s="171"/>
      <c r="R6520" s="171"/>
      <c r="S6520" s="171"/>
      <c r="T6520" s="171"/>
      <c r="U6520" s="171"/>
      <c r="V6520" s="171"/>
      <c r="W6520" s="171"/>
      <c r="X6520" s="171"/>
      <c r="Y6520" s="171"/>
      <c r="Z6520" s="171"/>
      <c r="AA6520" s="171"/>
    </row>
    <row r="6521" spans="1:27" s="530" customFormat="1" ht="15.75" hidden="1" customHeight="1" x14ac:dyDescent="0.2">
      <c r="A6521" s="526"/>
      <c r="B6521" s="527"/>
      <c r="C6521" s="534"/>
      <c r="D6521" s="535"/>
      <c r="E6521" s="535"/>
      <c r="F6521" s="167"/>
      <c r="G6521" s="513"/>
      <c r="H6521" s="422"/>
      <c r="I6521" s="422"/>
      <c r="J6521" s="750" t="e">
        <f t="shared" si="85"/>
        <v>#DIV/0!</v>
      </c>
      <c r="K6521" s="423"/>
      <c r="L6521" s="424"/>
      <c r="M6521" s="682"/>
      <c r="N6521" s="171"/>
      <c r="O6521" s="171"/>
      <c r="P6521" s="171"/>
      <c r="Q6521" s="171"/>
      <c r="R6521" s="171"/>
      <c r="S6521" s="171"/>
      <c r="T6521" s="171"/>
      <c r="U6521" s="171"/>
      <c r="V6521" s="171"/>
      <c r="W6521" s="171"/>
      <c r="X6521" s="171"/>
      <c r="Y6521" s="171"/>
      <c r="Z6521" s="171"/>
      <c r="AA6521" s="171"/>
    </row>
    <row r="6522" spans="1:27" s="530" customFormat="1" ht="15.75" hidden="1" customHeight="1" x14ac:dyDescent="0.2">
      <c r="A6522" s="526"/>
      <c r="B6522" s="527"/>
      <c r="C6522" s="534"/>
      <c r="D6522" s="535"/>
      <c r="E6522" s="535"/>
      <c r="F6522" s="167"/>
      <c r="G6522" s="513"/>
      <c r="H6522" s="422"/>
      <c r="I6522" s="422"/>
      <c r="J6522" s="750" t="e">
        <f t="shared" si="85"/>
        <v>#DIV/0!</v>
      </c>
      <c r="K6522" s="423"/>
      <c r="L6522" s="424"/>
      <c r="M6522" s="682"/>
      <c r="N6522" s="171"/>
      <c r="O6522" s="171"/>
      <c r="P6522" s="171"/>
      <c r="Q6522" s="171"/>
      <c r="R6522" s="171"/>
      <c r="S6522" s="171"/>
      <c r="T6522" s="171"/>
      <c r="U6522" s="171"/>
      <c r="V6522" s="171"/>
      <c r="W6522" s="171"/>
      <c r="X6522" s="171"/>
      <c r="Y6522" s="171"/>
      <c r="Z6522" s="171"/>
      <c r="AA6522" s="171"/>
    </row>
    <row r="6523" spans="1:27" s="530" customFormat="1" ht="15.75" hidden="1" customHeight="1" x14ac:dyDescent="0.2">
      <c r="A6523" s="526"/>
      <c r="B6523" s="527"/>
      <c r="C6523" s="534"/>
      <c r="D6523" s="535"/>
      <c r="E6523" s="535"/>
      <c r="F6523" s="167"/>
      <c r="G6523" s="513"/>
      <c r="H6523" s="422"/>
      <c r="I6523" s="422"/>
      <c r="J6523" s="750" t="e">
        <f t="shared" si="85"/>
        <v>#DIV/0!</v>
      </c>
      <c r="K6523" s="423"/>
      <c r="L6523" s="424"/>
      <c r="M6523" s="682"/>
      <c r="N6523" s="171"/>
      <c r="O6523" s="171"/>
      <c r="P6523" s="171"/>
      <c r="Q6523" s="171"/>
      <c r="R6523" s="171"/>
      <c r="S6523" s="171"/>
      <c r="T6523" s="171"/>
      <c r="U6523" s="171"/>
      <c r="V6523" s="171"/>
      <c r="W6523" s="171"/>
      <c r="X6523" s="171"/>
      <c r="Y6523" s="171"/>
      <c r="Z6523" s="171"/>
      <c r="AA6523" s="171"/>
    </row>
    <row r="6524" spans="1:27" s="530" customFormat="1" ht="15.75" hidden="1" customHeight="1" x14ac:dyDescent="0.2">
      <c r="A6524" s="526"/>
      <c r="B6524" s="527"/>
      <c r="C6524" s="534"/>
      <c r="D6524" s="535"/>
      <c r="E6524" s="535"/>
      <c r="F6524" s="167"/>
      <c r="G6524" s="513"/>
      <c r="H6524" s="422"/>
      <c r="I6524" s="422"/>
      <c r="J6524" s="750" t="e">
        <f t="shared" si="85"/>
        <v>#DIV/0!</v>
      </c>
      <c r="K6524" s="423"/>
      <c r="L6524" s="424"/>
      <c r="M6524" s="682"/>
      <c r="N6524" s="171"/>
      <c r="O6524" s="171"/>
      <c r="P6524" s="171"/>
      <c r="Q6524" s="171"/>
      <c r="R6524" s="171"/>
      <c r="S6524" s="171"/>
      <c r="T6524" s="171"/>
      <c r="U6524" s="171"/>
      <c r="V6524" s="171"/>
      <c r="W6524" s="171"/>
      <c r="X6524" s="171"/>
      <c r="Y6524" s="171"/>
      <c r="Z6524" s="171"/>
      <c r="AA6524" s="171"/>
    </row>
    <row r="6525" spans="1:27" s="530" customFormat="1" ht="15.75" hidden="1" customHeight="1" x14ac:dyDescent="0.2">
      <c r="A6525" s="526"/>
      <c r="B6525" s="527"/>
      <c r="C6525" s="534"/>
      <c r="D6525" s="535"/>
      <c r="E6525" s="535"/>
      <c r="F6525" s="167"/>
      <c r="G6525" s="513"/>
      <c r="H6525" s="422"/>
      <c r="I6525" s="422"/>
      <c r="J6525" s="750" t="e">
        <f t="shared" si="85"/>
        <v>#DIV/0!</v>
      </c>
      <c r="K6525" s="423"/>
      <c r="L6525" s="424"/>
      <c r="M6525" s="682"/>
      <c r="N6525" s="171"/>
      <c r="O6525" s="171"/>
      <c r="P6525" s="171"/>
      <c r="Q6525" s="171"/>
      <c r="R6525" s="171"/>
      <c r="S6525" s="171"/>
      <c r="T6525" s="171"/>
      <c r="U6525" s="171"/>
      <c r="V6525" s="171"/>
      <c r="W6525" s="171"/>
      <c r="X6525" s="171"/>
      <c r="Y6525" s="171"/>
      <c r="Z6525" s="171"/>
      <c r="AA6525" s="171"/>
    </row>
    <row r="6526" spans="1:27" s="530" customFormat="1" ht="15.75" hidden="1" customHeight="1" x14ac:dyDescent="0.2">
      <c r="A6526" s="526"/>
      <c r="B6526" s="527"/>
      <c r="C6526" s="534"/>
      <c r="D6526" s="535"/>
      <c r="E6526" s="535"/>
      <c r="F6526" s="167"/>
      <c r="G6526" s="513"/>
      <c r="H6526" s="422"/>
      <c r="I6526" s="422"/>
      <c r="J6526" s="750" t="e">
        <f t="shared" si="85"/>
        <v>#DIV/0!</v>
      </c>
      <c r="K6526" s="423"/>
      <c r="L6526" s="424"/>
      <c r="M6526" s="682"/>
      <c r="N6526" s="171"/>
      <c r="O6526" s="171"/>
      <c r="P6526" s="171"/>
      <c r="Q6526" s="171"/>
      <c r="R6526" s="171"/>
      <c r="S6526" s="171"/>
      <c r="T6526" s="171"/>
      <c r="U6526" s="171"/>
      <c r="V6526" s="171"/>
      <c r="W6526" s="171"/>
      <c r="X6526" s="171"/>
      <c r="Y6526" s="171"/>
      <c r="Z6526" s="171"/>
      <c r="AA6526" s="171"/>
    </row>
    <row r="6527" spans="1:27" s="530" customFormat="1" ht="15.75" hidden="1" customHeight="1" x14ac:dyDescent="0.2">
      <c r="A6527" s="526"/>
      <c r="B6527" s="527"/>
      <c r="C6527" s="534"/>
      <c r="D6527" s="535"/>
      <c r="E6527" s="535"/>
      <c r="F6527" s="167"/>
      <c r="G6527" s="513"/>
      <c r="H6527" s="422"/>
      <c r="I6527" s="422"/>
      <c r="J6527" s="750" t="e">
        <f t="shared" si="85"/>
        <v>#DIV/0!</v>
      </c>
      <c r="K6527" s="423"/>
      <c r="L6527" s="424"/>
      <c r="M6527" s="682"/>
      <c r="N6527" s="171"/>
      <c r="O6527" s="171"/>
      <c r="P6527" s="171"/>
      <c r="Q6527" s="171"/>
      <c r="R6527" s="171"/>
      <c r="S6527" s="171"/>
      <c r="T6527" s="171"/>
      <c r="U6527" s="171"/>
      <c r="V6527" s="171"/>
      <c r="W6527" s="171"/>
      <c r="X6527" s="171"/>
      <c r="Y6527" s="171"/>
      <c r="Z6527" s="171"/>
      <c r="AA6527" s="171"/>
    </row>
    <row r="6528" spans="1:27" s="530" customFormat="1" ht="15.75" hidden="1" customHeight="1" x14ac:dyDescent="0.2">
      <c r="A6528" s="526"/>
      <c r="B6528" s="527"/>
      <c r="C6528" s="534"/>
      <c r="D6528" s="535"/>
      <c r="E6528" s="535"/>
      <c r="F6528" s="167"/>
      <c r="G6528" s="513"/>
      <c r="H6528" s="422"/>
      <c r="I6528" s="422"/>
      <c r="J6528" s="750" t="e">
        <f t="shared" si="85"/>
        <v>#DIV/0!</v>
      </c>
      <c r="K6528" s="423"/>
      <c r="L6528" s="424"/>
      <c r="M6528" s="682"/>
      <c r="N6528" s="171"/>
      <c r="O6528" s="171"/>
      <c r="P6528" s="171"/>
      <c r="Q6528" s="171"/>
      <c r="R6528" s="171"/>
      <c r="S6528" s="171"/>
      <c r="T6528" s="171"/>
      <c r="U6528" s="171"/>
      <c r="V6528" s="171"/>
      <c r="W6528" s="171"/>
      <c r="X6528" s="171"/>
      <c r="Y6528" s="171"/>
      <c r="Z6528" s="171"/>
      <c r="AA6528" s="171"/>
    </row>
    <row r="6529" spans="1:27" s="530" customFormat="1" ht="15.75" hidden="1" customHeight="1" x14ac:dyDescent="0.2">
      <c r="A6529" s="526"/>
      <c r="B6529" s="527"/>
      <c r="C6529" s="534"/>
      <c r="D6529" s="535"/>
      <c r="E6529" s="535"/>
      <c r="F6529" s="167"/>
      <c r="G6529" s="513"/>
      <c r="H6529" s="422"/>
      <c r="I6529" s="422"/>
      <c r="J6529" s="750" t="e">
        <f t="shared" si="85"/>
        <v>#DIV/0!</v>
      </c>
      <c r="K6529" s="423"/>
      <c r="L6529" s="424"/>
      <c r="M6529" s="682"/>
      <c r="N6529" s="171"/>
      <c r="O6529" s="171"/>
      <c r="P6529" s="171"/>
      <c r="Q6529" s="171"/>
      <c r="R6529" s="171"/>
      <c r="S6529" s="171"/>
      <c r="T6529" s="171"/>
      <c r="U6529" s="171"/>
      <c r="V6529" s="171"/>
      <c r="W6529" s="171"/>
      <c r="X6529" s="171"/>
      <c r="Y6529" s="171"/>
      <c r="Z6529" s="171"/>
      <c r="AA6529" s="171"/>
    </row>
    <row r="6530" spans="1:27" s="530" customFormat="1" ht="15.75" hidden="1" customHeight="1" x14ac:dyDescent="0.2">
      <c r="A6530" s="526"/>
      <c r="B6530" s="527"/>
      <c r="C6530" s="534"/>
      <c r="D6530" s="535"/>
      <c r="E6530" s="535"/>
      <c r="F6530" s="167"/>
      <c r="G6530" s="513"/>
      <c r="H6530" s="422"/>
      <c r="I6530" s="422"/>
      <c r="J6530" s="750" t="e">
        <f t="shared" si="85"/>
        <v>#DIV/0!</v>
      </c>
      <c r="K6530" s="423"/>
      <c r="L6530" s="424"/>
      <c r="M6530" s="682"/>
      <c r="N6530" s="171"/>
      <c r="O6530" s="171"/>
      <c r="P6530" s="171"/>
      <c r="Q6530" s="171"/>
      <c r="R6530" s="171"/>
      <c r="S6530" s="171"/>
      <c r="T6530" s="171"/>
      <c r="U6530" s="171"/>
      <c r="V6530" s="171"/>
      <c r="W6530" s="171"/>
      <c r="X6530" s="171"/>
      <c r="Y6530" s="171"/>
      <c r="Z6530" s="171"/>
      <c r="AA6530" s="171"/>
    </row>
    <row r="6531" spans="1:27" s="530" customFormat="1" ht="15.75" hidden="1" customHeight="1" x14ac:dyDescent="0.2">
      <c r="A6531" s="526"/>
      <c r="B6531" s="527"/>
      <c r="C6531" s="534"/>
      <c r="D6531" s="535"/>
      <c r="E6531" s="535"/>
      <c r="F6531" s="167"/>
      <c r="G6531" s="513"/>
      <c r="H6531" s="422"/>
      <c r="I6531" s="422"/>
      <c r="J6531" s="750" t="e">
        <f t="shared" si="85"/>
        <v>#DIV/0!</v>
      </c>
      <c r="K6531" s="423"/>
      <c r="L6531" s="424"/>
      <c r="M6531" s="682"/>
      <c r="N6531" s="171"/>
      <c r="O6531" s="171"/>
      <c r="P6531" s="171"/>
      <c r="Q6531" s="171"/>
      <c r="R6531" s="171"/>
      <c r="S6531" s="171"/>
      <c r="T6531" s="171"/>
      <c r="U6531" s="171"/>
      <c r="V6531" s="171"/>
      <c r="W6531" s="171"/>
      <c r="X6531" s="171"/>
      <c r="Y6531" s="171"/>
      <c r="Z6531" s="171"/>
      <c r="AA6531" s="171"/>
    </row>
    <row r="6532" spans="1:27" s="530" customFormat="1" ht="15.75" hidden="1" customHeight="1" x14ac:dyDescent="0.2">
      <c r="A6532" s="526"/>
      <c r="B6532" s="527"/>
      <c r="C6532" s="534"/>
      <c r="D6532" s="535"/>
      <c r="E6532" s="535"/>
      <c r="F6532" s="167"/>
      <c r="G6532" s="513"/>
      <c r="H6532" s="422"/>
      <c r="I6532" s="422"/>
      <c r="J6532" s="750" t="e">
        <f t="shared" si="85"/>
        <v>#DIV/0!</v>
      </c>
      <c r="K6532" s="423"/>
      <c r="L6532" s="424"/>
      <c r="M6532" s="682"/>
      <c r="N6532" s="171"/>
      <c r="O6532" s="171"/>
      <c r="P6532" s="171"/>
      <c r="Q6532" s="171"/>
      <c r="R6532" s="171"/>
      <c r="S6532" s="171"/>
      <c r="T6532" s="171"/>
      <c r="U6532" s="171"/>
      <c r="V6532" s="171"/>
      <c r="W6532" s="171"/>
      <c r="X6532" s="171"/>
      <c r="Y6532" s="171"/>
      <c r="Z6532" s="171"/>
      <c r="AA6532" s="171"/>
    </row>
    <row r="6533" spans="1:27" s="530" customFormat="1" ht="15.75" hidden="1" customHeight="1" x14ac:dyDescent="0.2">
      <c r="A6533" s="526"/>
      <c r="B6533" s="527"/>
      <c r="C6533" s="534"/>
      <c r="D6533" s="535"/>
      <c r="E6533" s="535"/>
      <c r="F6533" s="167"/>
      <c r="G6533" s="513"/>
      <c r="H6533" s="422"/>
      <c r="I6533" s="422"/>
      <c r="J6533" s="750" t="e">
        <f t="shared" si="85"/>
        <v>#DIV/0!</v>
      </c>
      <c r="K6533" s="423"/>
      <c r="L6533" s="424"/>
      <c r="M6533" s="682"/>
      <c r="N6533" s="171"/>
      <c r="O6533" s="171"/>
      <c r="P6533" s="171"/>
      <c r="Q6533" s="171"/>
      <c r="R6533" s="171"/>
      <c r="S6533" s="171"/>
      <c r="T6533" s="171"/>
      <c r="U6533" s="171"/>
      <c r="V6533" s="171"/>
      <c r="W6533" s="171"/>
      <c r="X6533" s="171"/>
      <c r="Y6533" s="171"/>
      <c r="Z6533" s="171"/>
      <c r="AA6533" s="171"/>
    </row>
    <row r="6534" spans="1:27" s="530" customFormat="1" ht="15.75" hidden="1" customHeight="1" x14ac:dyDescent="0.2">
      <c r="A6534" s="526"/>
      <c r="B6534" s="527"/>
      <c r="C6534" s="534"/>
      <c r="D6534" s="535"/>
      <c r="E6534" s="535"/>
      <c r="F6534" s="167"/>
      <c r="G6534" s="513"/>
      <c r="H6534" s="422"/>
      <c r="I6534" s="422"/>
      <c r="J6534" s="750" t="e">
        <f t="shared" si="85"/>
        <v>#DIV/0!</v>
      </c>
      <c r="K6534" s="423"/>
      <c r="L6534" s="424"/>
      <c r="M6534" s="682"/>
      <c r="N6534" s="171"/>
      <c r="O6534" s="171"/>
      <c r="P6534" s="171"/>
      <c r="Q6534" s="171"/>
      <c r="R6534" s="171"/>
      <c r="S6534" s="171"/>
      <c r="T6534" s="171"/>
      <c r="U6534" s="171"/>
      <c r="V6534" s="171"/>
      <c r="W6534" s="171"/>
      <c r="X6534" s="171"/>
      <c r="Y6534" s="171"/>
      <c r="Z6534" s="171"/>
      <c r="AA6534" s="171"/>
    </row>
    <row r="6535" spans="1:27" s="530" customFormat="1" ht="15.75" hidden="1" customHeight="1" x14ac:dyDescent="0.2">
      <c r="A6535" s="526"/>
      <c r="B6535" s="527"/>
      <c r="C6535" s="534"/>
      <c r="D6535" s="535"/>
      <c r="E6535" s="535"/>
      <c r="F6535" s="167"/>
      <c r="G6535" s="513"/>
      <c r="H6535" s="422"/>
      <c r="I6535" s="422"/>
      <c r="J6535" s="750" t="e">
        <f t="shared" si="85"/>
        <v>#DIV/0!</v>
      </c>
      <c r="K6535" s="423"/>
      <c r="L6535" s="424"/>
      <c r="M6535" s="682"/>
      <c r="N6535" s="171"/>
      <c r="O6535" s="171"/>
      <c r="P6535" s="171"/>
      <c r="Q6535" s="171"/>
      <c r="R6535" s="171"/>
      <c r="S6535" s="171"/>
      <c r="T6535" s="171"/>
      <c r="U6535" s="171"/>
      <c r="V6535" s="171"/>
      <c r="W6535" s="171"/>
      <c r="X6535" s="171"/>
      <c r="Y6535" s="171"/>
      <c r="Z6535" s="171"/>
      <c r="AA6535" s="171"/>
    </row>
    <row r="6536" spans="1:27" s="530" customFormat="1" ht="15.75" hidden="1" customHeight="1" x14ac:dyDescent="0.2">
      <c r="A6536" s="526"/>
      <c r="B6536" s="527"/>
      <c r="C6536" s="534"/>
      <c r="D6536" s="535"/>
      <c r="E6536" s="535"/>
      <c r="F6536" s="167"/>
      <c r="G6536" s="513"/>
      <c r="H6536" s="422"/>
      <c r="I6536" s="422"/>
      <c r="J6536" s="750" t="e">
        <f t="shared" si="85"/>
        <v>#DIV/0!</v>
      </c>
      <c r="K6536" s="423"/>
      <c r="L6536" s="424"/>
      <c r="M6536" s="682"/>
      <c r="N6536" s="171"/>
      <c r="O6536" s="171"/>
      <c r="P6536" s="171"/>
      <c r="Q6536" s="171"/>
      <c r="R6536" s="171"/>
      <c r="S6536" s="171"/>
      <c r="T6536" s="171"/>
      <c r="U6536" s="171"/>
      <c r="V6536" s="171"/>
      <c r="W6536" s="171"/>
      <c r="X6536" s="171"/>
      <c r="Y6536" s="171"/>
      <c r="Z6536" s="171"/>
      <c r="AA6536" s="171"/>
    </row>
    <row r="6537" spans="1:27" s="530" customFormat="1" ht="15.75" hidden="1" customHeight="1" x14ac:dyDescent="0.2">
      <c r="A6537" s="526"/>
      <c r="B6537" s="527"/>
      <c r="C6537" s="534"/>
      <c r="D6537" s="535"/>
      <c r="E6537" s="535"/>
      <c r="F6537" s="167"/>
      <c r="G6537" s="513"/>
      <c r="H6537" s="422"/>
      <c r="I6537" s="422"/>
      <c r="J6537" s="750" t="e">
        <f t="shared" si="85"/>
        <v>#DIV/0!</v>
      </c>
      <c r="K6537" s="423"/>
      <c r="L6537" s="424"/>
      <c r="M6537" s="682"/>
      <c r="N6537" s="171"/>
      <c r="O6537" s="171"/>
      <c r="P6537" s="171"/>
      <c r="Q6537" s="171"/>
      <c r="R6537" s="171"/>
      <c r="S6537" s="171"/>
      <c r="T6537" s="171"/>
      <c r="U6537" s="171"/>
      <c r="V6537" s="171"/>
      <c r="W6537" s="171"/>
      <c r="X6537" s="171"/>
      <c r="Y6537" s="171"/>
      <c r="Z6537" s="171"/>
      <c r="AA6537" s="171"/>
    </row>
    <row r="6538" spans="1:27" s="530" customFormat="1" ht="15.75" hidden="1" customHeight="1" x14ac:dyDescent="0.2">
      <c r="A6538" s="526"/>
      <c r="B6538" s="527"/>
      <c r="C6538" s="534"/>
      <c r="D6538" s="535"/>
      <c r="E6538" s="535"/>
      <c r="F6538" s="167"/>
      <c r="G6538" s="513"/>
      <c r="H6538" s="422"/>
      <c r="I6538" s="422"/>
      <c r="J6538" s="750" t="e">
        <f t="shared" si="85"/>
        <v>#DIV/0!</v>
      </c>
      <c r="K6538" s="423"/>
      <c r="L6538" s="424"/>
      <c r="M6538" s="682"/>
      <c r="N6538" s="171"/>
      <c r="O6538" s="171"/>
      <c r="P6538" s="171"/>
      <c r="Q6538" s="171"/>
      <c r="R6538" s="171"/>
      <c r="S6538" s="171"/>
      <c r="T6538" s="171"/>
      <c r="U6538" s="171"/>
      <c r="V6538" s="171"/>
      <c r="W6538" s="171"/>
      <c r="X6538" s="171"/>
      <c r="Y6538" s="171"/>
      <c r="Z6538" s="171"/>
      <c r="AA6538" s="171"/>
    </row>
    <row r="6539" spans="1:27" s="530" customFormat="1" ht="15.75" hidden="1" customHeight="1" x14ac:dyDescent="0.2">
      <c r="A6539" s="526"/>
      <c r="B6539" s="527"/>
      <c r="C6539" s="534"/>
      <c r="D6539" s="535"/>
      <c r="E6539" s="535"/>
      <c r="F6539" s="167"/>
      <c r="G6539" s="513"/>
      <c r="H6539" s="422"/>
      <c r="I6539" s="422"/>
      <c r="J6539" s="750" t="e">
        <f t="shared" si="85"/>
        <v>#DIV/0!</v>
      </c>
      <c r="K6539" s="423"/>
      <c r="L6539" s="424"/>
      <c r="M6539" s="682"/>
      <c r="N6539" s="171"/>
      <c r="O6539" s="171"/>
      <c r="P6539" s="171"/>
      <c r="Q6539" s="171"/>
      <c r="R6539" s="171"/>
      <c r="S6539" s="171"/>
      <c r="T6539" s="171"/>
      <c r="U6539" s="171"/>
      <c r="V6539" s="171"/>
      <c r="W6539" s="171"/>
      <c r="X6539" s="171"/>
      <c r="Y6539" s="171"/>
      <c r="Z6539" s="171"/>
      <c r="AA6539" s="171"/>
    </row>
    <row r="6540" spans="1:27" s="530" customFormat="1" ht="15.75" hidden="1" customHeight="1" x14ac:dyDescent="0.2">
      <c r="A6540" s="526"/>
      <c r="B6540" s="527"/>
      <c r="C6540" s="534"/>
      <c r="D6540" s="535"/>
      <c r="E6540" s="535"/>
      <c r="F6540" s="167"/>
      <c r="G6540" s="513"/>
      <c r="H6540" s="422"/>
      <c r="I6540" s="422"/>
      <c r="J6540" s="750" t="e">
        <f t="shared" si="85"/>
        <v>#DIV/0!</v>
      </c>
      <c r="K6540" s="423"/>
      <c r="L6540" s="424"/>
      <c r="M6540" s="682"/>
      <c r="N6540" s="171"/>
      <c r="O6540" s="171"/>
      <c r="P6540" s="171"/>
      <c r="Q6540" s="171"/>
      <c r="R6540" s="171"/>
      <c r="S6540" s="171"/>
      <c r="T6540" s="171"/>
      <c r="U6540" s="171"/>
      <c r="V6540" s="171"/>
      <c r="W6540" s="171"/>
      <c r="X6540" s="171"/>
      <c r="Y6540" s="171"/>
      <c r="Z6540" s="171"/>
      <c r="AA6540" s="171"/>
    </row>
    <row r="6541" spans="1:27" s="530" customFormat="1" ht="15.75" hidden="1" customHeight="1" x14ac:dyDescent="0.2">
      <c r="A6541" s="526"/>
      <c r="B6541" s="527"/>
      <c r="C6541" s="534"/>
      <c r="D6541" s="535"/>
      <c r="E6541" s="535"/>
      <c r="F6541" s="167"/>
      <c r="G6541" s="513"/>
      <c r="H6541" s="422"/>
      <c r="I6541" s="422"/>
      <c r="J6541" s="750" t="e">
        <f t="shared" ref="J6541:J6604" si="86">SUM(I6541/H6541)*100</f>
        <v>#DIV/0!</v>
      </c>
      <c r="K6541" s="423"/>
      <c r="L6541" s="424"/>
      <c r="M6541" s="682"/>
      <c r="N6541" s="171"/>
      <c r="O6541" s="171"/>
      <c r="P6541" s="171"/>
      <c r="Q6541" s="171"/>
      <c r="R6541" s="171"/>
      <c r="S6541" s="171"/>
      <c r="T6541" s="171"/>
      <c r="U6541" s="171"/>
      <c r="V6541" s="171"/>
      <c r="W6541" s="171"/>
      <c r="X6541" s="171"/>
      <c r="Y6541" s="171"/>
      <c r="Z6541" s="171"/>
      <c r="AA6541" s="171"/>
    </row>
    <row r="6542" spans="1:27" s="530" customFormat="1" ht="15.75" hidden="1" customHeight="1" x14ac:dyDescent="0.2">
      <c r="A6542" s="526"/>
      <c r="B6542" s="527"/>
      <c r="C6542" s="534"/>
      <c r="D6542" s="535"/>
      <c r="E6542" s="535"/>
      <c r="F6542" s="167"/>
      <c r="G6542" s="513"/>
      <c r="H6542" s="422"/>
      <c r="I6542" s="422"/>
      <c r="J6542" s="750" t="e">
        <f t="shared" si="86"/>
        <v>#DIV/0!</v>
      </c>
      <c r="K6542" s="423"/>
      <c r="L6542" s="424"/>
      <c r="M6542" s="682"/>
      <c r="N6542" s="171"/>
      <c r="O6542" s="171"/>
      <c r="P6542" s="171"/>
      <c r="Q6542" s="171"/>
      <c r="R6542" s="171"/>
      <c r="S6542" s="171"/>
      <c r="T6542" s="171"/>
      <c r="U6542" s="171"/>
      <c r="V6542" s="171"/>
      <c r="W6542" s="171"/>
      <c r="X6542" s="171"/>
      <c r="Y6542" s="171"/>
      <c r="Z6542" s="171"/>
      <c r="AA6542" s="171"/>
    </row>
    <row r="6543" spans="1:27" s="530" customFormat="1" ht="15.75" hidden="1" customHeight="1" x14ac:dyDescent="0.2">
      <c r="A6543" s="526"/>
      <c r="B6543" s="527"/>
      <c r="C6543" s="534"/>
      <c r="D6543" s="535"/>
      <c r="E6543" s="535"/>
      <c r="F6543" s="167"/>
      <c r="G6543" s="513"/>
      <c r="H6543" s="422"/>
      <c r="I6543" s="422"/>
      <c r="J6543" s="750" t="e">
        <f t="shared" si="86"/>
        <v>#DIV/0!</v>
      </c>
      <c r="K6543" s="423"/>
      <c r="L6543" s="424"/>
      <c r="M6543" s="682"/>
      <c r="N6543" s="171"/>
      <c r="O6543" s="171"/>
      <c r="P6543" s="171"/>
      <c r="Q6543" s="171"/>
      <c r="R6543" s="171"/>
      <c r="S6543" s="171"/>
      <c r="T6543" s="171"/>
      <c r="U6543" s="171"/>
      <c r="V6543" s="171"/>
      <c r="W6543" s="171"/>
      <c r="X6543" s="171"/>
      <c r="Y6543" s="171"/>
      <c r="Z6543" s="171"/>
      <c r="AA6543" s="171"/>
    </row>
    <row r="6544" spans="1:27" s="530" customFormat="1" ht="15.75" hidden="1" customHeight="1" x14ac:dyDescent="0.2">
      <c r="A6544" s="526"/>
      <c r="B6544" s="527"/>
      <c r="C6544" s="534"/>
      <c r="D6544" s="535"/>
      <c r="E6544" s="535"/>
      <c r="F6544" s="167"/>
      <c r="G6544" s="513"/>
      <c r="H6544" s="422"/>
      <c r="I6544" s="422"/>
      <c r="J6544" s="750" t="e">
        <f t="shared" si="86"/>
        <v>#DIV/0!</v>
      </c>
      <c r="K6544" s="423"/>
      <c r="L6544" s="424"/>
      <c r="M6544" s="682"/>
      <c r="N6544" s="171"/>
      <c r="O6544" s="171"/>
      <c r="P6544" s="171"/>
      <c r="Q6544" s="171"/>
      <c r="R6544" s="171"/>
      <c r="S6544" s="171"/>
      <c r="T6544" s="171"/>
      <c r="U6544" s="171"/>
      <c r="V6544" s="171"/>
      <c r="W6544" s="171"/>
      <c r="X6544" s="171"/>
      <c r="Y6544" s="171"/>
      <c r="Z6544" s="171"/>
      <c r="AA6544" s="171"/>
    </row>
    <row r="6545" spans="1:27" s="530" customFormat="1" ht="15.75" hidden="1" customHeight="1" x14ac:dyDescent="0.2">
      <c r="A6545" s="526"/>
      <c r="B6545" s="527"/>
      <c r="C6545" s="534"/>
      <c r="D6545" s="535"/>
      <c r="E6545" s="535"/>
      <c r="F6545" s="167"/>
      <c r="G6545" s="513"/>
      <c r="H6545" s="422"/>
      <c r="I6545" s="422"/>
      <c r="J6545" s="750" t="e">
        <f t="shared" si="86"/>
        <v>#DIV/0!</v>
      </c>
      <c r="K6545" s="423"/>
      <c r="L6545" s="424"/>
      <c r="M6545" s="682"/>
      <c r="N6545" s="171"/>
      <c r="O6545" s="171"/>
      <c r="P6545" s="171"/>
      <c r="Q6545" s="171"/>
      <c r="R6545" s="171"/>
      <c r="S6545" s="171"/>
      <c r="T6545" s="171"/>
      <c r="U6545" s="171"/>
      <c r="V6545" s="171"/>
      <c r="W6545" s="171"/>
      <c r="X6545" s="171"/>
      <c r="Y6545" s="171"/>
      <c r="Z6545" s="171"/>
      <c r="AA6545" s="171"/>
    </row>
    <row r="6546" spans="1:27" s="530" customFormat="1" ht="15.75" hidden="1" customHeight="1" x14ac:dyDescent="0.2">
      <c r="A6546" s="526"/>
      <c r="B6546" s="527"/>
      <c r="C6546" s="534"/>
      <c r="D6546" s="535"/>
      <c r="E6546" s="535"/>
      <c r="F6546" s="167"/>
      <c r="G6546" s="513"/>
      <c r="H6546" s="422"/>
      <c r="I6546" s="422"/>
      <c r="J6546" s="750" t="e">
        <f t="shared" si="86"/>
        <v>#DIV/0!</v>
      </c>
      <c r="K6546" s="423"/>
      <c r="L6546" s="424"/>
      <c r="M6546" s="682"/>
      <c r="N6546" s="171"/>
      <c r="O6546" s="171"/>
      <c r="P6546" s="171"/>
      <c r="Q6546" s="171"/>
      <c r="R6546" s="171"/>
      <c r="S6546" s="171"/>
      <c r="T6546" s="171"/>
      <c r="U6546" s="171"/>
      <c r="V6546" s="171"/>
      <c r="W6546" s="171"/>
      <c r="X6546" s="171"/>
      <c r="Y6546" s="171"/>
      <c r="Z6546" s="171"/>
      <c r="AA6546" s="171"/>
    </row>
    <row r="6547" spans="1:27" s="530" customFormat="1" ht="15.75" hidden="1" customHeight="1" x14ac:dyDescent="0.2">
      <c r="A6547" s="526"/>
      <c r="B6547" s="527"/>
      <c r="C6547" s="534"/>
      <c r="D6547" s="535"/>
      <c r="E6547" s="535"/>
      <c r="F6547" s="167"/>
      <c r="G6547" s="513"/>
      <c r="H6547" s="422"/>
      <c r="I6547" s="422"/>
      <c r="J6547" s="750" t="e">
        <f t="shared" si="86"/>
        <v>#DIV/0!</v>
      </c>
      <c r="K6547" s="423"/>
      <c r="L6547" s="424"/>
      <c r="M6547" s="682"/>
      <c r="N6547" s="171"/>
      <c r="O6547" s="171"/>
      <c r="P6547" s="171"/>
      <c r="Q6547" s="171"/>
      <c r="R6547" s="171"/>
      <c r="S6547" s="171"/>
      <c r="T6547" s="171"/>
      <c r="U6547" s="171"/>
      <c r="V6547" s="171"/>
      <c r="W6547" s="171"/>
      <c r="X6547" s="171"/>
      <c r="Y6547" s="171"/>
      <c r="Z6547" s="171"/>
      <c r="AA6547" s="171"/>
    </row>
    <row r="6548" spans="1:27" s="530" customFormat="1" ht="15.75" hidden="1" customHeight="1" x14ac:dyDescent="0.2">
      <c r="A6548" s="526"/>
      <c r="B6548" s="527"/>
      <c r="C6548" s="534"/>
      <c r="D6548" s="535"/>
      <c r="E6548" s="535"/>
      <c r="F6548" s="167"/>
      <c r="G6548" s="513"/>
      <c r="H6548" s="422"/>
      <c r="I6548" s="422"/>
      <c r="J6548" s="750" t="e">
        <f t="shared" si="86"/>
        <v>#DIV/0!</v>
      </c>
      <c r="K6548" s="423"/>
      <c r="L6548" s="424"/>
      <c r="M6548" s="682"/>
      <c r="N6548" s="171"/>
      <c r="O6548" s="171"/>
      <c r="P6548" s="171"/>
      <c r="Q6548" s="171"/>
      <c r="R6548" s="171"/>
      <c r="S6548" s="171"/>
      <c r="T6548" s="171"/>
      <c r="U6548" s="171"/>
      <c r="V6548" s="171"/>
      <c r="W6548" s="171"/>
      <c r="X6548" s="171"/>
      <c r="Y6548" s="171"/>
      <c r="Z6548" s="171"/>
      <c r="AA6548" s="171"/>
    </row>
    <row r="6549" spans="1:27" s="530" customFormat="1" ht="15.75" hidden="1" customHeight="1" x14ac:dyDescent="0.2">
      <c r="A6549" s="526"/>
      <c r="B6549" s="527"/>
      <c r="C6549" s="534"/>
      <c r="D6549" s="535"/>
      <c r="E6549" s="535"/>
      <c r="F6549" s="167"/>
      <c r="G6549" s="513"/>
      <c r="H6549" s="422"/>
      <c r="I6549" s="422"/>
      <c r="J6549" s="750" t="e">
        <f t="shared" si="86"/>
        <v>#DIV/0!</v>
      </c>
      <c r="K6549" s="423"/>
      <c r="L6549" s="424"/>
      <c r="M6549" s="682"/>
      <c r="N6549" s="171"/>
      <c r="O6549" s="171"/>
      <c r="P6549" s="171"/>
      <c r="Q6549" s="171"/>
      <c r="R6549" s="171"/>
      <c r="S6549" s="171"/>
      <c r="T6549" s="171"/>
      <c r="U6549" s="171"/>
      <c r="V6549" s="171"/>
      <c r="W6549" s="171"/>
      <c r="X6549" s="171"/>
      <c r="Y6549" s="171"/>
      <c r="Z6549" s="171"/>
      <c r="AA6549" s="171"/>
    </row>
    <row r="6550" spans="1:27" s="530" customFormat="1" ht="15.75" hidden="1" customHeight="1" x14ac:dyDescent="0.2">
      <c r="A6550" s="526"/>
      <c r="B6550" s="527"/>
      <c r="C6550" s="534"/>
      <c r="D6550" s="535"/>
      <c r="E6550" s="535"/>
      <c r="F6550" s="167"/>
      <c r="G6550" s="513"/>
      <c r="H6550" s="422"/>
      <c r="I6550" s="422"/>
      <c r="J6550" s="750" t="e">
        <f t="shared" si="86"/>
        <v>#DIV/0!</v>
      </c>
      <c r="K6550" s="423"/>
      <c r="L6550" s="424"/>
      <c r="M6550" s="682"/>
      <c r="N6550" s="171"/>
      <c r="O6550" s="171"/>
      <c r="P6550" s="171"/>
      <c r="Q6550" s="171"/>
      <c r="R6550" s="171"/>
      <c r="S6550" s="171"/>
      <c r="T6550" s="171"/>
      <c r="U6550" s="171"/>
      <c r="V6550" s="171"/>
      <c r="W6550" s="171"/>
      <c r="X6550" s="171"/>
      <c r="Y6550" s="171"/>
      <c r="Z6550" s="171"/>
      <c r="AA6550" s="171"/>
    </row>
    <row r="6551" spans="1:27" s="530" customFormat="1" ht="15.75" hidden="1" customHeight="1" x14ac:dyDescent="0.2">
      <c r="A6551" s="526"/>
      <c r="B6551" s="527"/>
      <c r="C6551" s="534"/>
      <c r="D6551" s="535"/>
      <c r="E6551" s="535"/>
      <c r="F6551" s="167"/>
      <c r="G6551" s="513"/>
      <c r="H6551" s="422"/>
      <c r="I6551" s="422"/>
      <c r="J6551" s="750" t="e">
        <f t="shared" si="86"/>
        <v>#DIV/0!</v>
      </c>
      <c r="K6551" s="423"/>
      <c r="L6551" s="424"/>
      <c r="M6551" s="682"/>
      <c r="N6551" s="171"/>
      <c r="O6551" s="171"/>
      <c r="P6551" s="171"/>
      <c r="Q6551" s="171"/>
      <c r="R6551" s="171"/>
      <c r="S6551" s="171"/>
      <c r="T6551" s="171"/>
      <c r="U6551" s="171"/>
      <c r="V6551" s="171"/>
      <c r="W6551" s="171"/>
      <c r="X6551" s="171"/>
      <c r="Y6551" s="171"/>
      <c r="Z6551" s="171"/>
      <c r="AA6551" s="171"/>
    </row>
    <row r="6552" spans="1:27" s="530" customFormat="1" ht="15.75" hidden="1" customHeight="1" x14ac:dyDescent="0.2">
      <c r="A6552" s="526"/>
      <c r="B6552" s="527"/>
      <c r="C6552" s="534"/>
      <c r="D6552" s="535"/>
      <c r="E6552" s="535"/>
      <c r="F6552" s="167"/>
      <c r="G6552" s="513"/>
      <c r="H6552" s="422"/>
      <c r="I6552" s="422"/>
      <c r="J6552" s="750" t="e">
        <f t="shared" si="86"/>
        <v>#DIV/0!</v>
      </c>
      <c r="K6552" s="423"/>
      <c r="L6552" s="424"/>
      <c r="M6552" s="682"/>
      <c r="N6552" s="171"/>
      <c r="O6552" s="171"/>
      <c r="P6552" s="171"/>
      <c r="Q6552" s="171"/>
      <c r="R6552" s="171"/>
      <c r="S6552" s="171"/>
      <c r="T6552" s="171"/>
      <c r="U6552" s="171"/>
      <c r="V6552" s="171"/>
      <c r="W6552" s="171"/>
      <c r="X6552" s="171"/>
      <c r="Y6552" s="171"/>
      <c r="Z6552" s="171"/>
      <c r="AA6552" s="171"/>
    </row>
    <row r="6553" spans="1:27" s="530" customFormat="1" ht="15.75" hidden="1" customHeight="1" x14ac:dyDescent="0.2">
      <c r="A6553" s="526"/>
      <c r="B6553" s="527"/>
      <c r="C6553" s="534"/>
      <c r="D6553" s="535"/>
      <c r="E6553" s="535"/>
      <c r="F6553" s="167"/>
      <c r="G6553" s="513"/>
      <c r="H6553" s="422"/>
      <c r="I6553" s="422"/>
      <c r="J6553" s="750" t="e">
        <f t="shared" si="86"/>
        <v>#DIV/0!</v>
      </c>
      <c r="K6553" s="423"/>
      <c r="L6553" s="424"/>
      <c r="M6553" s="682"/>
      <c r="N6553" s="171"/>
      <c r="O6553" s="171"/>
      <c r="P6553" s="171"/>
      <c r="Q6553" s="171"/>
      <c r="R6553" s="171"/>
      <c r="S6553" s="171"/>
      <c r="T6553" s="171"/>
      <c r="U6553" s="171"/>
      <c r="V6553" s="171"/>
      <c r="W6553" s="171"/>
      <c r="X6553" s="171"/>
      <c r="Y6553" s="171"/>
      <c r="Z6553" s="171"/>
      <c r="AA6553" s="171"/>
    </row>
    <row r="6554" spans="1:27" s="530" customFormat="1" ht="15.75" hidden="1" customHeight="1" x14ac:dyDescent="0.2">
      <c r="A6554" s="526"/>
      <c r="B6554" s="527"/>
      <c r="C6554" s="534"/>
      <c r="D6554" s="535"/>
      <c r="E6554" s="535"/>
      <c r="F6554" s="167"/>
      <c r="G6554" s="513"/>
      <c r="H6554" s="422"/>
      <c r="I6554" s="422"/>
      <c r="J6554" s="750" t="e">
        <f t="shared" si="86"/>
        <v>#DIV/0!</v>
      </c>
      <c r="K6554" s="423"/>
      <c r="L6554" s="424"/>
      <c r="M6554" s="682"/>
      <c r="N6554" s="171"/>
      <c r="O6554" s="171"/>
      <c r="P6554" s="171"/>
      <c r="Q6554" s="171"/>
      <c r="R6554" s="171"/>
      <c r="S6554" s="171"/>
      <c r="T6554" s="171"/>
      <c r="U6554" s="171"/>
      <c r="V6554" s="171"/>
      <c r="W6554" s="171"/>
      <c r="X6554" s="171"/>
      <c r="Y6554" s="171"/>
      <c r="Z6554" s="171"/>
      <c r="AA6554" s="171"/>
    </row>
    <row r="6555" spans="1:27" s="530" customFormat="1" ht="15.75" hidden="1" customHeight="1" x14ac:dyDescent="0.2">
      <c r="A6555" s="526"/>
      <c r="B6555" s="527"/>
      <c r="C6555" s="534"/>
      <c r="D6555" s="535"/>
      <c r="E6555" s="535"/>
      <c r="F6555" s="167"/>
      <c r="G6555" s="513"/>
      <c r="H6555" s="422"/>
      <c r="I6555" s="422"/>
      <c r="J6555" s="750" t="e">
        <f t="shared" si="86"/>
        <v>#DIV/0!</v>
      </c>
      <c r="K6555" s="423"/>
      <c r="L6555" s="424"/>
      <c r="M6555" s="682"/>
      <c r="N6555" s="171"/>
      <c r="O6555" s="171"/>
      <c r="P6555" s="171"/>
      <c r="Q6555" s="171"/>
      <c r="R6555" s="171"/>
      <c r="S6555" s="171"/>
      <c r="T6555" s="171"/>
      <c r="U6555" s="171"/>
      <c r="V6555" s="171"/>
      <c r="W6555" s="171"/>
      <c r="X6555" s="171"/>
      <c r="Y6555" s="171"/>
      <c r="Z6555" s="171"/>
      <c r="AA6555" s="171"/>
    </row>
    <row r="6556" spans="1:27" s="530" customFormat="1" ht="15.75" hidden="1" customHeight="1" x14ac:dyDescent="0.2">
      <c r="A6556" s="526"/>
      <c r="B6556" s="527"/>
      <c r="C6556" s="534"/>
      <c r="D6556" s="535"/>
      <c r="E6556" s="535"/>
      <c r="F6556" s="167"/>
      <c r="G6556" s="513"/>
      <c r="H6556" s="422"/>
      <c r="I6556" s="422"/>
      <c r="J6556" s="750" t="e">
        <f t="shared" si="86"/>
        <v>#DIV/0!</v>
      </c>
      <c r="K6556" s="423"/>
      <c r="L6556" s="424"/>
      <c r="M6556" s="682"/>
      <c r="N6556" s="171"/>
      <c r="O6556" s="171"/>
      <c r="P6556" s="171"/>
      <c r="Q6556" s="171"/>
      <c r="R6556" s="171"/>
      <c r="S6556" s="171"/>
      <c r="T6556" s="171"/>
      <c r="U6556" s="171"/>
      <c r="V6556" s="171"/>
      <c r="W6556" s="171"/>
      <c r="X6556" s="171"/>
      <c r="Y6556" s="171"/>
      <c r="Z6556" s="171"/>
      <c r="AA6556" s="171"/>
    </row>
    <row r="6557" spans="1:27" s="530" customFormat="1" ht="15.75" hidden="1" customHeight="1" x14ac:dyDescent="0.2">
      <c r="A6557" s="526"/>
      <c r="B6557" s="527"/>
      <c r="C6557" s="534"/>
      <c r="D6557" s="535"/>
      <c r="E6557" s="535"/>
      <c r="F6557" s="167"/>
      <c r="G6557" s="513"/>
      <c r="H6557" s="422"/>
      <c r="I6557" s="422"/>
      <c r="J6557" s="750" t="e">
        <f t="shared" si="86"/>
        <v>#DIV/0!</v>
      </c>
      <c r="K6557" s="423"/>
      <c r="L6557" s="424"/>
      <c r="M6557" s="682"/>
      <c r="N6557" s="171"/>
      <c r="O6557" s="171"/>
      <c r="P6557" s="171"/>
      <c r="Q6557" s="171"/>
      <c r="R6557" s="171"/>
      <c r="S6557" s="171"/>
      <c r="T6557" s="171"/>
      <c r="U6557" s="171"/>
      <c r="V6557" s="171"/>
      <c r="W6557" s="171"/>
      <c r="X6557" s="171"/>
      <c r="Y6557" s="171"/>
      <c r="Z6557" s="171"/>
      <c r="AA6557" s="171"/>
    </row>
    <row r="6558" spans="1:27" s="530" customFormat="1" ht="15.75" hidden="1" customHeight="1" x14ac:dyDescent="0.2">
      <c r="A6558" s="526"/>
      <c r="B6558" s="527"/>
      <c r="C6558" s="534"/>
      <c r="D6558" s="535"/>
      <c r="E6558" s="535"/>
      <c r="F6558" s="167"/>
      <c r="G6558" s="513"/>
      <c r="H6558" s="422"/>
      <c r="I6558" s="422"/>
      <c r="J6558" s="750" t="e">
        <f t="shared" si="86"/>
        <v>#DIV/0!</v>
      </c>
      <c r="K6558" s="423"/>
      <c r="L6558" s="424"/>
      <c r="M6558" s="682"/>
      <c r="N6558" s="171"/>
      <c r="O6558" s="171"/>
      <c r="P6558" s="171"/>
      <c r="Q6558" s="171"/>
      <c r="R6558" s="171"/>
      <c r="S6558" s="171"/>
      <c r="T6558" s="171"/>
      <c r="U6558" s="171"/>
      <c r="V6558" s="171"/>
      <c r="W6558" s="171"/>
      <c r="X6558" s="171"/>
      <c r="Y6558" s="171"/>
      <c r="Z6558" s="171"/>
      <c r="AA6558" s="171"/>
    </row>
    <row r="6559" spans="1:27" s="530" customFormat="1" ht="15.75" hidden="1" customHeight="1" x14ac:dyDescent="0.2">
      <c r="A6559" s="526"/>
      <c r="B6559" s="527"/>
      <c r="C6559" s="534"/>
      <c r="D6559" s="535"/>
      <c r="E6559" s="535"/>
      <c r="F6559" s="167"/>
      <c r="G6559" s="513"/>
      <c r="H6559" s="422"/>
      <c r="I6559" s="422"/>
      <c r="J6559" s="750" t="e">
        <f t="shared" si="86"/>
        <v>#DIV/0!</v>
      </c>
      <c r="K6559" s="423"/>
      <c r="L6559" s="424"/>
      <c r="M6559" s="682"/>
      <c r="N6559" s="171"/>
      <c r="O6559" s="171"/>
      <c r="P6559" s="171"/>
      <c r="Q6559" s="171"/>
      <c r="R6559" s="171"/>
      <c r="S6559" s="171"/>
      <c r="T6559" s="171"/>
      <c r="U6559" s="171"/>
      <c r="V6559" s="171"/>
      <c r="W6559" s="171"/>
      <c r="X6559" s="171"/>
      <c r="Y6559" s="171"/>
      <c r="Z6559" s="171"/>
      <c r="AA6559" s="171"/>
    </row>
    <row r="6560" spans="1:27" s="530" customFormat="1" ht="15.75" hidden="1" customHeight="1" x14ac:dyDescent="0.2">
      <c r="A6560" s="526"/>
      <c r="B6560" s="527"/>
      <c r="C6560" s="534"/>
      <c r="D6560" s="535"/>
      <c r="E6560" s="535"/>
      <c r="F6560" s="167"/>
      <c r="G6560" s="513"/>
      <c r="H6560" s="422"/>
      <c r="I6560" s="422"/>
      <c r="J6560" s="750" t="e">
        <f t="shared" si="86"/>
        <v>#DIV/0!</v>
      </c>
      <c r="K6560" s="423"/>
      <c r="L6560" s="424"/>
      <c r="M6560" s="682"/>
      <c r="N6560" s="171"/>
      <c r="O6560" s="171"/>
      <c r="P6560" s="171"/>
      <c r="Q6560" s="171"/>
      <c r="R6560" s="171"/>
      <c r="S6560" s="171"/>
      <c r="T6560" s="171"/>
      <c r="U6560" s="171"/>
      <c r="V6560" s="171"/>
      <c r="W6560" s="171"/>
      <c r="X6560" s="171"/>
      <c r="Y6560" s="171"/>
      <c r="Z6560" s="171"/>
      <c r="AA6560" s="171"/>
    </row>
    <row r="6561" spans="1:27" s="530" customFormat="1" ht="15.75" hidden="1" customHeight="1" x14ac:dyDescent="0.2">
      <c r="A6561" s="526"/>
      <c r="B6561" s="527"/>
      <c r="C6561" s="534"/>
      <c r="D6561" s="535"/>
      <c r="E6561" s="535"/>
      <c r="F6561" s="167"/>
      <c r="G6561" s="513"/>
      <c r="H6561" s="422"/>
      <c r="I6561" s="422"/>
      <c r="J6561" s="750" t="e">
        <f t="shared" si="86"/>
        <v>#DIV/0!</v>
      </c>
      <c r="K6561" s="423"/>
      <c r="L6561" s="424"/>
      <c r="M6561" s="682"/>
      <c r="N6561" s="171"/>
      <c r="O6561" s="171"/>
      <c r="P6561" s="171"/>
      <c r="Q6561" s="171"/>
      <c r="R6561" s="171"/>
      <c r="S6561" s="171"/>
      <c r="T6561" s="171"/>
      <c r="U6561" s="171"/>
      <c r="V6561" s="171"/>
      <c r="W6561" s="171"/>
      <c r="X6561" s="171"/>
      <c r="Y6561" s="171"/>
      <c r="Z6561" s="171"/>
      <c r="AA6561" s="171"/>
    </row>
    <row r="6562" spans="1:27" s="530" customFormat="1" ht="15.75" hidden="1" customHeight="1" x14ac:dyDescent="0.2">
      <c r="A6562" s="526"/>
      <c r="B6562" s="527"/>
      <c r="C6562" s="534"/>
      <c r="D6562" s="535"/>
      <c r="E6562" s="535"/>
      <c r="F6562" s="167"/>
      <c r="G6562" s="513"/>
      <c r="H6562" s="422"/>
      <c r="I6562" s="422"/>
      <c r="J6562" s="750" t="e">
        <f t="shared" si="86"/>
        <v>#DIV/0!</v>
      </c>
      <c r="K6562" s="423"/>
      <c r="L6562" s="424"/>
      <c r="M6562" s="682"/>
      <c r="N6562" s="171"/>
      <c r="O6562" s="171"/>
      <c r="P6562" s="171"/>
      <c r="Q6562" s="171"/>
      <c r="R6562" s="171"/>
      <c r="S6562" s="171"/>
      <c r="T6562" s="171"/>
      <c r="U6562" s="171"/>
      <c r="V6562" s="171"/>
      <c r="W6562" s="171"/>
      <c r="X6562" s="171"/>
      <c r="Y6562" s="171"/>
      <c r="Z6562" s="171"/>
      <c r="AA6562" s="171"/>
    </row>
    <row r="6563" spans="1:27" s="530" customFormat="1" ht="15.75" hidden="1" customHeight="1" x14ac:dyDescent="0.2">
      <c r="A6563" s="526"/>
      <c r="B6563" s="527"/>
      <c r="C6563" s="534"/>
      <c r="D6563" s="535"/>
      <c r="E6563" s="535"/>
      <c r="F6563" s="167"/>
      <c r="G6563" s="513"/>
      <c r="H6563" s="422"/>
      <c r="I6563" s="422"/>
      <c r="J6563" s="750" t="e">
        <f t="shared" si="86"/>
        <v>#DIV/0!</v>
      </c>
      <c r="K6563" s="423"/>
      <c r="L6563" s="424"/>
      <c r="M6563" s="682"/>
      <c r="N6563" s="171"/>
      <c r="O6563" s="171"/>
      <c r="P6563" s="171"/>
      <c r="Q6563" s="171"/>
      <c r="R6563" s="171"/>
      <c r="S6563" s="171"/>
      <c r="T6563" s="171"/>
      <c r="U6563" s="171"/>
      <c r="V6563" s="171"/>
      <c r="W6563" s="171"/>
      <c r="X6563" s="171"/>
      <c r="Y6563" s="171"/>
      <c r="Z6563" s="171"/>
      <c r="AA6563" s="171"/>
    </row>
    <row r="6564" spans="1:27" s="530" customFormat="1" ht="15.75" hidden="1" customHeight="1" x14ac:dyDescent="0.2">
      <c r="A6564" s="526"/>
      <c r="B6564" s="527"/>
      <c r="C6564" s="534"/>
      <c r="D6564" s="535"/>
      <c r="E6564" s="535"/>
      <c r="F6564" s="167"/>
      <c r="G6564" s="513"/>
      <c r="H6564" s="422"/>
      <c r="I6564" s="422"/>
      <c r="J6564" s="750" t="e">
        <f t="shared" si="86"/>
        <v>#DIV/0!</v>
      </c>
      <c r="K6564" s="423"/>
      <c r="L6564" s="424"/>
      <c r="M6564" s="682"/>
      <c r="N6564" s="171"/>
      <c r="O6564" s="171"/>
      <c r="P6564" s="171"/>
      <c r="Q6564" s="171"/>
      <c r="R6564" s="171"/>
      <c r="S6564" s="171"/>
      <c r="T6564" s="171"/>
      <c r="U6564" s="171"/>
      <c r="V6564" s="171"/>
      <c r="W6564" s="171"/>
      <c r="X6564" s="171"/>
      <c r="Y6564" s="171"/>
      <c r="Z6564" s="171"/>
      <c r="AA6564" s="171"/>
    </row>
    <row r="6565" spans="1:27" s="530" customFormat="1" ht="15.75" hidden="1" customHeight="1" x14ac:dyDescent="0.2">
      <c r="A6565" s="526"/>
      <c r="B6565" s="527"/>
      <c r="C6565" s="534"/>
      <c r="D6565" s="535"/>
      <c r="E6565" s="535"/>
      <c r="F6565" s="167"/>
      <c r="G6565" s="513"/>
      <c r="H6565" s="422"/>
      <c r="I6565" s="422"/>
      <c r="J6565" s="750" t="e">
        <f t="shared" si="86"/>
        <v>#DIV/0!</v>
      </c>
      <c r="K6565" s="423"/>
      <c r="L6565" s="424"/>
      <c r="M6565" s="682"/>
      <c r="N6565" s="171"/>
      <c r="O6565" s="171"/>
      <c r="P6565" s="171"/>
      <c r="Q6565" s="171"/>
      <c r="R6565" s="171"/>
      <c r="S6565" s="171"/>
      <c r="T6565" s="171"/>
      <c r="U6565" s="171"/>
      <c r="V6565" s="171"/>
      <c r="W6565" s="171"/>
      <c r="X6565" s="171"/>
      <c r="Y6565" s="171"/>
      <c r="Z6565" s="171"/>
      <c r="AA6565" s="171"/>
    </row>
    <row r="6566" spans="1:27" s="530" customFormat="1" ht="15.75" hidden="1" customHeight="1" x14ac:dyDescent="0.2">
      <c r="A6566" s="526"/>
      <c r="B6566" s="527"/>
      <c r="C6566" s="534"/>
      <c r="D6566" s="535"/>
      <c r="E6566" s="535"/>
      <c r="F6566" s="167"/>
      <c r="G6566" s="513"/>
      <c r="H6566" s="422"/>
      <c r="I6566" s="422"/>
      <c r="J6566" s="750" t="e">
        <f t="shared" si="86"/>
        <v>#DIV/0!</v>
      </c>
      <c r="K6566" s="423"/>
      <c r="L6566" s="424"/>
      <c r="M6566" s="682"/>
      <c r="N6566" s="171"/>
      <c r="O6566" s="171"/>
      <c r="P6566" s="171"/>
      <c r="Q6566" s="171"/>
      <c r="R6566" s="171"/>
      <c r="S6566" s="171"/>
      <c r="T6566" s="171"/>
      <c r="U6566" s="171"/>
      <c r="V6566" s="171"/>
      <c r="W6566" s="171"/>
      <c r="X6566" s="171"/>
      <c r="Y6566" s="171"/>
      <c r="Z6566" s="171"/>
      <c r="AA6566" s="171"/>
    </row>
    <row r="6567" spans="1:27" s="530" customFormat="1" ht="15.75" hidden="1" customHeight="1" x14ac:dyDescent="0.2">
      <c r="A6567" s="526"/>
      <c r="B6567" s="527"/>
      <c r="C6567" s="534"/>
      <c r="D6567" s="535"/>
      <c r="E6567" s="535"/>
      <c r="F6567" s="167"/>
      <c r="G6567" s="513"/>
      <c r="H6567" s="422"/>
      <c r="I6567" s="422"/>
      <c r="J6567" s="750" t="e">
        <f t="shared" si="86"/>
        <v>#DIV/0!</v>
      </c>
      <c r="K6567" s="423"/>
      <c r="L6567" s="424"/>
      <c r="M6567" s="682"/>
      <c r="N6567" s="171"/>
      <c r="O6567" s="171"/>
      <c r="P6567" s="171"/>
      <c r="Q6567" s="171"/>
      <c r="R6567" s="171"/>
      <c r="S6567" s="171"/>
      <c r="T6567" s="171"/>
      <c r="U6567" s="171"/>
      <c r="V6567" s="171"/>
      <c r="W6567" s="171"/>
      <c r="X6567" s="171"/>
      <c r="Y6567" s="171"/>
      <c r="Z6567" s="171"/>
      <c r="AA6567" s="171"/>
    </row>
    <row r="6568" spans="1:27" s="530" customFormat="1" ht="15.75" hidden="1" customHeight="1" x14ac:dyDescent="0.2">
      <c r="A6568" s="526"/>
      <c r="B6568" s="527"/>
      <c r="C6568" s="534"/>
      <c r="D6568" s="535"/>
      <c r="E6568" s="535"/>
      <c r="F6568" s="167"/>
      <c r="G6568" s="513"/>
      <c r="H6568" s="422"/>
      <c r="I6568" s="422"/>
      <c r="J6568" s="750" t="e">
        <f t="shared" si="86"/>
        <v>#DIV/0!</v>
      </c>
      <c r="K6568" s="423"/>
      <c r="L6568" s="424"/>
      <c r="M6568" s="682"/>
      <c r="N6568" s="171"/>
      <c r="O6568" s="171"/>
      <c r="P6568" s="171"/>
      <c r="Q6568" s="171"/>
      <c r="R6568" s="171"/>
      <c r="S6568" s="171"/>
      <c r="T6568" s="171"/>
      <c r="U6568" s="171"/>
      <c r="V6568" s="171"/>
      <c r="W6568" s="171"/>
      <c r="X6568" s="171"/>
      <c r="Y6568" s="171"/>
      <c r="Z6568" s="171"/>
      <c r="AA6568" s="171"/>
    </row>
    <row r="6569" spans="1:27" s="530" customFormat="1" ht="15.75" hidden="1" customHeight="1" x14ac:dyDescent="0.2">
      <c r="A6569" s="526"/>
      <c r="B6569" s="527"/>
      <c r="C6569" s="534"/>
      <c r="D6569" s="535"/>
      <c r="E6569" s="535"/>
      <c r="F6569" s="167"/>
      <c r="G6569" s="513"/>
      <c r="H6569" s="422"/>
      <c r="I6569" s="422"/>
      <c r="J6569" s="750" t="e">
        <f t="shared" si="86"/>
        <v>#DIV/0!</v>
      </c>
      <c r="K6569" s="423"/>
      <c r="L6569" s="424"/>
      <c r="M6569" s="682"/>
      <c r="N6569" s="171"/>
      <c r="O6569" s="171"/>
      <c r="P6569" s="171"/>
      <c r="Q6569" s="171"/>
      <c r="R6569" s="171"/>
      <c r="S6569" s="171"/>
      <c r="T6569" s="171"/>
      <c r="U6569" s="171"/>
      <c r="V6569" s="171"/>
      <c r="W6569" s="171"/>
      <c r="X6569" s="171"/>
      <c r="Y6569" s="171"/>
      <c r="Z6569" s="171"/>
      <c r="AA6569" s="171"/>
    </row>
    <row r="6570" spans="1:27" s="530" customFormat="1" ht="15.75" hidden="1" customHeight="1" x14ac:dyDescent="0.2">
      <c r="A6570" s="526"/>
      <c r="B6570" s="527"/>
      <c r="C6570" s="534"/>
      <c r="D6570" s="535"/>
      <c r="E6570" s="535"/>
      <c r="F6570" s="167"/>
      <c r="G6570" s="513"/>
      <c r="H6570" s="422"/>
      <c r="I6570" s="422"/>
      <c r="J6570" s="750" t="e">
        <f t="shared" si="86"/>
        <v>#DIV/0!</v>
      </c>
      <c r="K6570" s="423"/>
      <c r="L6570" s="424"/>
      <c r="M6570" s="682"/>
      <c r="N6570" s="171"/>
      <c r="O6570" s="171"/>
      <c r="P6570" s="171"/>
      <c r="Q6570" s="171"/>
      <c r="R6570" s="171"/>
      <c r="S6570" s="171"/>
      <c r="T6570" s="171"/>
      <c r="U6570" s="171"/>
      <c r="V6570" s="171"/>
      <c r="W6570" s="171"/>
      <c r="X6570" s="171"/>
      <c r="Y6570" s="171"/>
      <c r="Z6570" s="171"/>
      <c r="AA6570" s="171"/>
    </row>
    <row r="6571" spans="1:27" s="530" customFormat="1" ht="15.75" hidden="1" customHeight="1" x14ac:dyDescent="0.2">
      <c r="A6571" s="526"/>
      <c r="B6571" s="527"/>
      <c r="C6571" s="534"/>
      <c r="D6571" s="535"/>
      <c r="E6571" s="535"/>
      <c r="F6571" s="167"/>
      <c r="G6571" s="513"/>
      <c r="H6571" s="422"/>
      <c r="I6571" s="422"/>
      <c r="J6571" s="750" t="e">
        <f t="shared" si="86"/>
        <v>#DIV/0!</v>
      </c>
      <c r="K6571" s="423"/>
      <c r="L6571" s="424"/>
      <c r="M6571" s="682"/>
      <c r="N6571" s="171"/>
      <c r="O6571" s="171"/>
      <c r="P6571" s="171"/>
      <c r="Q6571" s="171"/>
      <c r="R6571" s="171"/>
      <c r="S6571" s="171"/>
      <c r="T6571" s="171"/>
      <c r="U6571" s="171"/>
      <c r="V6571" s="171"/>
      <c r="W6571" s="171"/>
      <c r="X6571" s="171"/>
      <c r="Y6571" s="171"/>
      <c r="Z6571" s="171"/>
      <c r="AA6571" s="171"/>
    </row>
    <row r="6572" spans="1:27" s="530" customFormat="1" ht="15.75" hidden="1" customHeight="1" x14ac:dyDescent="0.2">
      <c r="A6572" s="526"/>
      <c r="B6572" s="527"/>
      <c r="C6572" s="534"/>
      <c r="D6572" s="535"/>
      <c r="E6572" s="535"/>
      <c r="F6572" s="167"/>
      <c r="G6572" s="513"/>
      <c r="H6572" s="422"/>
      <c r="I6572" s="422"/>
      <c r="J6572" s="750" t="e">
        <f t="shared" si="86"/>
        <v>#DIV/0!</v>
      </c>
      <c r="K6572" s="423"/>
      <c r="L6572" s="424"/>
      <c r="M6572" s="682"/>
      <c r="N6572" s="171"/>
      <c r="O6572" s="171"/>
      <c r="P6572" s="171"/>
      <c r="Q6572" s="171"/>
      <c r="R6572" s="171"/>
      <c r="S6572" s="171"/>
      <c r="T6572" s="171"/>
      <c r="U6572" s="171"/>
      <c r="V6572" s="171"/>
      <c r="W6572" s="171"/>
      <c r="X6572" s="171"/>
      <c r="Y6572" s="171"/>
      <c r="Z6572" s="171"/>
      <c r="AA6572" s="171"/>
    </row>
    <row r="6573" spans="1:27" s="530" customFormat="1" ht="15.75" hidden="1" customHeight="1" x14ac:dyDescent="0.2">
      <c r="A6573" s="526"/>
      <c r="B6573" s="527"/>
      <c r="C6573" s="534"/>
      <c r="D6573" s="535"/>
      <c r="E6573" s="535"/>
      <c r="F6573" s="167"/>
      <c r="G6573" s="513"/>
      <c r="H6573" s="422"/>
      <c r="I6573" s="422"/>
      <c r="J6573" s="750" t="e">
        <f t="shared" si="86"/>
        <v>#DIV/0!</v>
      </c>
      <c r="K6573" s="423"/>
      <c r="L6573" s="424"/>
      <c r="M6573" s="682"/>
      <c r="N6573" s="171"/>
      <c r="O6573" s="171"/>
      <c r="P6573" s="171"/>
      <c r="Q6573" s="171"/>
      <c r="R6573" s="171"/>
      <c r="S6573" s="171"/>
      <c r="T6573" s="171"/>
      <c r="U6573" s="171"/>
      <c r="V6573" s="171"/>
      <c r="W6573" s="171"/>
      <c r="X6573" s="171"/>
      <c r="Y6573" s="171"/>
      <c r="Z6573" s="171"/>
      <c r="AA6573" s="171"/>
    </row>
    <row r="6574" spans="1:27" s="530" customFormat="1" ht="15.75" hidden="1" customHeight="1" x14ac:dyDescent="0.2">
      <c r="A6574" s="526"/>
      <c r="B6574" s="527"/>
      <c r="C6574" s="534"/>
      <c r="D6574" s="535"/>
      <c r="E6574" s="535"/>
      <c r="F6574" s="167"/>
      <c r="G6574" s="513"/>
      <c r="H6574" s="422"/>
      <c r="I6574" s="422"/>
      <c r="J6574" s="750" t="e">
        <f t="shared" si="86"/>
        <v>#DIV/0!</v>
      </c>
      <c r="K6574" s="423"/>
      <c r="L6574" s="424"/>
      <c r="M6574" s="682"/>
      <c r="N6574" s="171"/>
      <c r="O6574" s="171"/>
      <c r="P6574" s="171"/>
      <c r="Q6574" s="171"/>
      <c r="R6574" s="171"/>
      <c r="S6574" s="171"/>
      <c r="T6574" s="171"/>
      <c r="U6574" s="171"/>
      <c r="V6574" s="171"/>
      <c r="W6574" s="171"/>
      <c r="X6574" s="171"/>
      <c r="Y6574" s="171"/>
      <c r="Z6574" s="171"/>
      <c r="AA6574" s="171"/>
    </row>
    <row r="6575" spans="1:27" s="530" customFormat="1" ht="15.75" hidden="1" customHeight="1" x14ac:dyDescent="0.2">
      <c r="A6575" s="526"/>
      <c r="B6575" s="527"/>
      <c r="C6575" s="534"/>
      <c r="D6575" s="535"/>
      <c r="E6575" s="535"/>
      <c r="F6575" s="167"/>
      <c r="G6575" s="513"/>
      <c r="H6575" s="422"/>
      <c r="I6575" s="422"/>
      <c r="J6575" s="750" t="e">
        <f t="shared" si="86"/>
        <v>#DIV/0!</v>
      </c>
      <c r="K6575" s="423"/>
      <c r="L6575" s="424"/>
      <c r="M6575" s="682"/>
      <c r="N6575" s="171"/>
      <c r="O6575" s="171"/>
      <c r="P6575" s="171"/>
      <c r="Q6575" s="171"/>
      <c r="R6575" s="171"/>
      <c r="S6575" s="171"/>
      <c r="T6575" s="171"/>
      <c r="U6575" s="171"/>
      <c r="V6575" s="171"/>
      <c r="W6575" s="171"/>
      <c r="X6575" s="171"/>
      <c r="Y6575" s="171"/>
      <c r="Z6575" s="171"/>
      <c r="AA6575" s="171"/>
    </row>
    <row r="6576" spans="1:27" s="530" customFormat="1" ht="15.75" hidden="1" customHeight="1" x14ac:dyDescent="0.2">
      <c r="A6576" s="526"/>
      <c r="B6576" s="527"/>
      <c r="C6576" s="534"/>
      <c r="D6576" s="535"/>
      <c r="E6576" s="535"/>
      <c r="F6576" s="167"/>
      <c r="G6576" s="513"/>
      <c r="H6576" s="422"/>
      <c r="I6576" s="422"/>
      <c r="J6576" s="750" t="e">
        <f t="shared" si="86"/>
        <v>#DIV/0!</v>
      </c>
      <c r="K6576" s="423"/>
      <c r="L6576" s="424"/>
      <c r="M6576" s="682"/>
      <c r="N6576" s="171"/>
      <c r="O6576" s="171"/>
      <c r="P6576" s="171"/>
      <c r="Q6576" s="171"/>
      <c r="R6576" s="171"/>
      <c r="S6576" s="171"/>
      <c r="T6576" s="171"/>
      <c r="U6576" s="171"/>
      <c r="V6576" s="171"/>
      <c r="W6576" s="171"/>
      <c r="X6576" s="171"/>
      <c r="Y6576" s="171"/>
      <c r="Z6576" s="171"/>
      <c r="AA6576" s="171"/>
    </row>
    <row r="6577" spans="1:27" s="530" customFormat="1" ht="15.75" hidden="1" customHeight="1" x14ac:dyDescent="0.2">
      <c r="A6577" s="526"/>
      <c r="B6577" s="527"/>
      <c r="C6577" s="534"/>
      <c r="D6577" s="535"/>
      <c r="E6577" s="535"/>
      <c r="F6577" s="167"/>
      <c r="G6577" s="513"/>
      <c r="H6577" s="422"/>
      <c r="I6577" s="422"/>
      <c r="J6577" s="750" t="e">
        <f t="shared" si="86"/>
        <v>#DIV/0!</v>
      </c>
      <c r="K6577" s="423"/>
      <c r="L6577" s="424"/>
      <c r="M6577" s="682"/>
      <c r="N6577" s="171"/>
      <c r="O6577" s="171"/>
      <c r="P6577" s="171"/>
      <c r="Q6577" s="171"/>
      <c r="R6577" s="171"/>
      <c r="S6577" s="171"/>
      <c r="T6577" s="171"/>
      <c r="U6577" s="171"/>
      <c r="V6577" s="171"/>
      <c r="W6577" s="171"/>
      <c r="X6577" s="171"/>
      <c r="Y6577" s="171"/>
      <c r="Z6577" s="171"/>
      <c r="AA6577" s="171"/>
    </row>
    <row r="6578" spans="1:27" s="530" customFormat="1" ht="15.75" hidden="1" customHeight="1" x14ac:dyDescent="0.2">
      <c r="A6578" s="526"/>
      <c r="B6578" s="527"/>
      <c r="C6578" s="534"/>
      <c r="D6578" s="535"/>
      <c r="E6578" s="535"/>
      <c r="F6578" s="167"/>
      <c r="G6578" s="513"/>
      <c r="H6578" s="422"/>
      <c r="I6578" s="422"/>
      <c r="J6578" s="750" t="e">
        <f t="shared" si="86"/>
        <v>#DIV/0!</v>
      </c>
      <c r="K6578" s="423"/>
      <c r="L6578" s="424"/>
      <c r="M6578" s="682"/>
      <c r="N6578" s="171"/>
      <c r="O6578" s="171"/>
      <c r="P6578" s="171"/>
      <c r="Q6578" s="171"/>
      <c r="R6578" s="171"/>
      <c r="S6578" s="171"/>
      <c r="T6578" s="171"/>
      <c r="U6578" s="171"/>
      <c r="V6578" s="171"/>
      <c r="W6578" s="171"/>
      <c r="X6578" s="171"/>
      <c r="Y6578" s="171"/>
      <c r="Z6578" s="171"/>
      <c r="AA6578" s="171"/>
    </row>
    <row r="6579" spans="1:27" s="530" customFormat="1" ht="15.75" hidden="1" customHeight="1" x14ac:dyDescent="0.2">
      <c r="A6579" s="526"/>
      <c r="B6579" s="527"/>
      <c r="C6579" s="534"/>
      <c r="D6579" s="535"/>
      <c r="E6579" s="535"/>
      <c r="F6579" s="167"/>
      <c r="G6579" s="513"/>
      <c r="H6579" s="422"/>
      <c r="I6579" s="422"/>
      <c r="J6579" s="750" t="e">
        <f t="shared" si="86"/>
        <v>#DIV/0!</v>
      </c>
      <c r="K6579" s="423"/>
      <c r="L6579" s="424"/>
      <c r="M6579" s="682"/>
      <c r="N6579" s="171"/>
      <c r="O6579" s="171"/>
      <c r="P6579" s="171"/>
      <c r="Q6579" s="171"/>
      <c r="R6579" s="171"/>
      <c r="S6579" s="171"/>
      <c r="T6579" s="171"/>
      <c r="U6579" s="171"/>
      <c r="V6579" s="171"/>
      <c r="W6579" s="171"/>
      <c r="X6579" s="171"/>
      <c r="Y6579" s="171"/>
      <c r="Z6579" s="171"/>
      <c r="AA6579" s="171"/>
    </row>
    <row r="6580" spans="1:27" s="530" customFormat="1" ht="15.75" hidden="1" customHeight="1" x14ac:dyDescent="0.2">
      <c r="A6580" s="526"/>
      <c r="B6580" s="527"/>
      <c r="C6580" s="534"/>
      <c r="D6580" s="535"/>
      <c r="E6580" s="535"/>
      <c r="F6580" s="167"/>
      <c r="G6580" s="513"/>
      <c r="H6580" s="422"/>
      <c r="I6580" s="422"/>
      <c r="J6580" s="750" t="e">
        <f t="shared" si="86"/>
        <v>#DIV/0!</v>
      </c>
      <c r="K6580" s="423"/>
      <c r="L6580" s="424"/>
      <c r="M6580" s="682"/>
      <c r="N6580" s="171"/>
      <c r="O6580" s="171"/>
      <c r="P6580" s="171"/>
      <c r="Q6580" s="171"/>
      <c r="R6580" s="171"/>
      <c r="S6580" s="171"/>
      <c r="T6580" s="171"/>
      <c r="U6580" s="171"/>
      <c r="V6580" s="171"/>
      <c r="W6580" s="171"/>
      <c r="X6580" s="171"/>
      <c r="Y6580" s="171"/>
      <c r="Z6580" s="171"/>
      <c r="AA6580" s="171"/>
    </row>
    <row r="6581" spans="1:27" s="530" customFormat="1" ht="15.75" hidden="1" customHeight="1" x14ac:dyDescent="0.2">
      <c r="A6581" s="526"/>
      <c r="B6581" s="527"/>
      <c r="C6581" s="534"/>
      <c r="D6581" s="535"/>
      <c r="E6581" s="535"/>
      <c r="F6581" s="167"/>
      <c r="G6581" s="513"/>
      <c r="H6581" s="422"/>
      <c r="I6581" s="422"/>
      <c r="J6581" s="750" t="e">
        <f t="shared" si="86"/>
        <v>#DIV/0!</v>
      </c>
      <c r="K6581" s="423"/>
      <c r="L6581" s="424"/>
      <c r="M6581" s="682"/>
      <c r="N6581" s="171"/>
      <c r="O6581" s="171"/>
      <c r="P6581" s="171"/>
      <c r="Q6581" s="171"/>
      <c r="R6581" s="171"/>
      <c r="S6581" s="171"/>
      <c r="T6581" s="171"/>
      <c r="U6581" s="171"/>
      <c r="V6581" s="171"/>
      <c r="W6581" s="171"/>
      <c r="X6581" s="171"/>
      <c r="Y6581" s="171"/>
      <c r="Z6581" s="171"/>
      <c r="AA6581" s="171"/>
    </row>
    <row r="6582" spans="1:27" s="530" customFormat="1" ht="15.75" hidden="1" customHeight="1" x14ac:dyDescent="0.2">
      <c r="A6582" s="526"/>
      <c r="B6582" s="527"/>
      <c r="C6582" s="534"/>
      <c r="D6582" s="535"/>
      <c r="E6582" s="535"/>
      <c r="F6582" s="167"/>
      <c r="G6582" s="513"/>
      <c r="H6582" s="422"/>
      <c r="I6582" s="422"/>
      <c r="J6582" s="750" t="e">
        <f t="shared" si="86"/>
        <v>#DIV/0!</v>
      </c>
      <c r="K6582" s="423"/>
      <c r="L6582" s="424"/>
      <c r="M6582" s="682"/>
      <c r="N6582" s="171"/>
      <c r="O6582" s="171"/>
      <c r="P6582" s="171"/>
      <c r="Q6582" s="171"/>
      <c r="R6582" s="171"/>
      <c r="S6582" s="171"/>
      <c r="T6582" s="171"/>
      <c r="U6582" s="171"/>
      <c r="V6582" s="171"/>
      <c r="W6582" s="171"/>
      <c r="X6582" s="171"/>
      <c r="Y6582" s="171"/>
      <c r="Z6582" s="171"/>
      <c r="AA6582" s="171"/>
    </row>
    <row r="6583" spans="1:27" s="530" customFormat="1" ht="15.75" hidden="1" customHeight="1" x14ac:dyDescent="0.2">
      <c r="A6583" s="526"/>
      <c r="B6583" s="527"/>
      <c r="C6583" s="534"/>
      <c r="D6583" s="535"/>
      <c r="E6583" s="535"/>
      <c r="F6583" s="167"/>
      <c r="G6583" s="513"/>
      <c r="H6583" s="422"/>
      <c r="I6583" s="422"/>
      <c r="J6583" s="750" t="e">
        <f t="shared" si="86"/>
        <v>#DIV/0!</v>
      </c>
      <c r="K6583" s="423"/>
      <c r="L6583" s="424"/>
      <c r="M6583" s="682"/>
      <c r="N6583" s="171"/>
      <c r="O6583" s="171"/>
      <c r="P6583" s="171"/>
      <c r="Q6583" s="171"/>
      <c r="R6583" s="171"/>
      <c r="S6583" s="171"/>
      <c r="T6583" s="171"/>
      <c r="U6583" s="171"/>
      <c r="V6583" s="171"/>
      <c r="W6583" s="171"/>
      <c r="X6583" s="171"/>
      <c r="Y6583" s="171"/>
      <c r="Z6583" s="171"/>
      <c r="AA6583" s="171"/>
    </row>
    <row r="6584" spans="1:27" s="530" customFormat="1" ht="15.75" hidden="1" customHeight="1" x14ac:dyDescent="0.2">
      <c r="A6584" s="526"/>
      <c r="B6584" s="527"/>
      <c r="C6584" s="534"/>
      <c r="D6584" s="535"/>
      <c r="E6584" s="535"/>
      <c r="F6584" s="167"/>
      <c r="G6584" s="513"/>
      <c r="H6584" s="422"/>
      <c r="I6584" s="422"/>
      <c r="J6584" s="750" t="e">
        <f t="shared" si="86"/>
        <v>#DIV/0!</v>
      </c>
      <c r="K6584" s="423"/>
      <c r="L6584" s="424"/>
      <c r="M6584" s="682"/>
      <c r="N6584" s="171"/>
      <c r="O6584" s="171"/>
      <c r="P6584" s="171"/>
      <c r="Q6584" s="171"/>
      <c r="R6584" s="171"/>
      <c r="S6584" s="171"/>
      <c r="T6584" s="171"/>
      <c r="U6584" s="171"/>
      <c r="V6584" s="171"/>
      <c r="W6584" s="171"/>
      <c r="X6584" s="171"/>
      <c r="Y6584" s="171"/>
      <c r="Z6584" s="171"/>
      <c r="AA6584" s="171"/>
    </row>
    <row r="6585" spans="1:27" s="530" customFormat="1" ht="15.75" hidden="1" customHeight="1" x14ac:dyDescent="0.2">
      <c r="A6585" s="526"/>
      <c r="B6585" s="527"/>
      <c r="C6585" s="534"/>
      <c r="D6585" s="535"/>
      <c r="E6585" s="535"/>
      <c r="F6585" s="167"/>
      <c r="G6585" s="513"/>
      <c r="H6585" s="422"/>
      <c r="I6585" s="422"/>
      <c r="J6585" s="750" t="e">
        <f t="shared" si="86"/>
        <v>#DIV/0!</v>
      </c>
      <c r="K6585" s="423"/>
      <c r="L6585" s="424"/>
      <c r="M6585" s="682"/>
      <c r="N6585" s="171"/>
      <c r="O6585" s="171"/>
      <c r="P6585" s="171"/>
      <c r="Q6585" s="171"/>
      <c r="R6585" s="171"/>
      <c r="S6585" s="171"/>
      <c r="T6585" s="171"/>
      <c r="U6585" s="171"/>
      <c r="V6585" s="171"/>
      <c r="W6585" s="171"/>
      <c r="X6585" s="171"/>
      <c r="Y6585" s="171"/>
      <c r="Z6585" s="171"/>
      <c r="AA6585" s="171"/>
    </row>
    <row r="6586" spans="1:27" s="530" customFormat="1" ht="15.75" hidden="1" customHeight="1" x14ac:dyDescent="0.2">
      <c r="A6586" s="526"/>
      <c r="B6586" s="527"/>
      <c r="C6586" s="534"/>
      <c r="D6586" s="535"/>
      <c r="E6586" s="535"/>
      <c r="F6586" s="167"/>
      <c r="G6586" s="513"/>
      <c r="H6586" s="422"/>
      <c r="I6586" s="422"/>
      <c r="J6586" s="750" t="e">
        <f t="shared" si="86"/>
        <v>#DIV/0!</v>
      </c>
      <c r="K6586" s="423"/>
      <c r="L6586" s="424"/>
      <c r="M6586" s="682"/>
      <c r="N6586" s="171"/>
      <c r="O6586" s="171"/>
      <c r="P6586" s="171"/>
      <c r="Q6586" s="171"/>
      <c r="R6586" s="171"/>
      <c r="S6586" s="171"/>
      <c r="T6586" s="171"/>
      <c r="U6586" s="171"/>
      <c r="V6586" s="171"/>
      <c r="W6586" s="171"/>
      <c r="X6586" s="171"/>
      <c r="Y6586" s="171"/>
      <c r="Z6586" s="171"/>
      <c r="AA6586" s="171"/>
    </row>
    <row r="6587" spans="1:27" s="530" customFormat="1" ht="15.75" hidden="1" customHeight="1" x14ac:dyDescent="0.2">
      <c r="A6587" s="526"/>
      <c r="B6587" s="527"/>
      <c r="C6587" s="534"/>
      <c r="D6587" s="535"/>
      <c r="E6587" s="535"/>
      <c r="F6587" s="167"/>
      <c r="G6587" s="513"/>
      <c r="H6587" s="422"/>
      <c r="I6587" s="422"/>
      <c r="J6587" s="750" t="e">
        <f t="shared" si="86"/>
        <v>#DIV/0!</v>
      </c>
      <c r="K6587" s="423"/>
      <c r="L6587" s="424"/>
      <c r="M6587" s="682"/>
      <c r="N6587" s="171"/>
      <c r="O6587" s="171"/>
      <c r="P6587" s="171"/>
      <c r="Q6587" s="171"/>
      <c r="R6587" s="171"/>
      <c r="S6587" s="171"/>
      <c r="T6587" s="171"/>
      <c r="U6587" s="171"/>
      <c r="V6587" s="171"/>
      <c r="W6587" s="171"/>
      <c r="X6587" s="171"/>
      <c r="Y6587" s="171"/>
      <c r="Z6587" s="171"/>
      <c r="AA6587" s="171"/>
    </row>
    <row r="6588" spans="1:27" s="530" customFormat="1" ht="15.75" hidden="1" customHeight="1" x14ac:dyDescent="0.2">
      <c r="A6588" s="526"/>
      <c r="B6588" s="527"/>
      <c r="C6588" s="534"/>
      <c r="D6588" s="535"/>
      <c r="E6588" s="535"/>
      <c r="F6588" s="167"/>
      <c r="G6588" s="513"/>
      <c r="H6588" s="422"/>
      <c r="I6588" s="422"/>
      <c r="J6588" s="750" t="e">
        <f t="shared" si="86"/>
        <v>#DIV/0!</v>
      </c>
      <c r="K6588" s="423"/>
      <c r="L6588" s="424"/>
      <c r="M6588" s="682"/>
      <c r="N6588" s="171"/>
      <c r="O6588" s="171"/>
      <c r="P6588" s="171"/>
      <c r="Q6588" s="171"/>
      <c r="R6588" s="171"/>
      <c r="S6588" s="171"/>
      <c r="T6588" s="171"/>
      <c r="U6588" s="171"/>
      <c r="V6588" s="171"/>
      <c r="W6588" s="171"/>
      <c r="X6588" s="171"/>
      <c r="Y6588" s="171"/>
      <c r="Z6588" s="171"/>
      <c r="AA6588" s="171"/>
    </row>
    <row r="6589" spans="1:27" s="530" customFormat="1" ht="15.75" hidden="1" customHeight="1" x14ac:dyDescent="0.2">
      <c r="A6589" s="526"/>
      <c r="B6589" s="527"/>
      <c r="C6589" s="534"/>
      <c r="D6589" s="535"/>
      <c r="E6589" s="535"/>
      <c r="F6589" s="167"/>
      <c r="G6589" s="513"/>
      <c r="H6589" s="422"/>
      <c r="I6589" s="422"/>
      <c r="J6589" s="750" t="e">
        <f t="shared" si="86"/>
        <v>#DIV/0!</v>
      </c>
      <c r="K6589" s="423"/>
      <c r="L6589" s="424"/>
      <c r="M6589" s="682"/>
      <c r="N6589" s="171"/>
      <c r="O6589" s="171"/>
      <c r="P6589" s="171"/>
      <c r="Q6589" s="171"/>
      <c r="R6589" s="171"/>
      <c r="S6589" s="171"/>
      <c r="T6589" s="171"/>
      <c r="U6589" s="171"/>
      <c r="V6589" s="171"/>
      <c r="W6589" s="171"/>
      <c r="X6589" s="171"/>
      <c r="Y6589" s="171"/>
      <c r="Z6589" s="171"/>
      <c r="AA6589" s="171"/>
    </row>
    <row r="6590" spans="1:27" s="530" customFormat="1" ht="15.75" hidden="1" customHeight="1" x14ac:dyDescent="0.2">
      <c r="A6590" s="526"/>
      <c r="B6590" s="527"/>
      <c r="C6590" s="534"/>
      <c r="D6590" s="535"/>
      <c r="E6590" s="535"/>
      <c r="F6590" s="167"/>
      <c r="G6590" s="513"/>
      <c r="H6590" s="422"/>
      <c r="I6590" s="422"/>
      <c r="J6590" s="750" t="e">
        <f t="shared" si="86"/>
        <v>#DIV/0!</v>
      </c>
      <c r="K6590" s="423"/>
      <c r="L6590" s="424"/>
      <c r="M6590" s="682"/>
      <c r="N6590" s="171"/>
      <c r="O6590" s="171"/>
      <c r="P6590" s="171"/>
      <c r="Q6590" s="171"/>
      <c r="R6590" s="171"/>
      <c r="S6590" s="171"/>
      <c r="T6590" s="171"/>
      <c r="U6590" s="171"/>
      <c r="V6590" s="171"/>
      <c r="W6590" s="171"/>
      <c r="X6590" s="171"/>
      <c r="Y6590" s="171"/>
      <c r="Z6590" s="171"/>
      <c r="AA6590" s="171"/>
    </row>
    <row r="6591" spans="1:27" s="530" customFormat="1" ht="15.75" hidden="1" customHeight="1" x14ac:dyDescent="0.2">
      <c r="A6591" s="526"/>
      <c r="B6591" s="527"/>
      <c r="C6591" s="534"/>
      <c r="D6591" s="535"/>
      <c r="E6591" s="535"/>
      <c r="F6591" s="167"/>
      <c r="G6591" s="513"/>
      <c r="H6591" s="422"/>
      <c r="I6591" s="422"/>
      <c r="J6591" s="750" t="e">
        <f t="shared" si="86"/>
        <v>#DIV/0!</v>
      </c>
      <c r="K6591" s="423"/>
      <c r="L6591" s="424"/>
      <c r="M6591" s="682"/>
      <c r="N6591" s="171"/>
      <c r="O6591" s="171"/>
      <c r="P6591" s="171"/>
      <c r="Q6591" s="171"/>
      <c r="R6591" s="171"/>
      <c r="S6591" s="171"/>
      <c r="T6591" s="171"/>
      <c r="U6591" s="171"/>
      <c r="V6591" s="171"/>
      <c r="W6591" s="171"/>
      <c r="X6591" s="171"/>
      <c r="Y6591" s="171"/>
      <c r="Z6591" s="171"/>
      <c r="AA6591" s="171"/>
    </row>
    <row r="6592" spans="1:27" s="530" customFormat="1" ht="15.75" hidden="1" customHeight="1" x14ac:dyDescent="0.2">
      <c r="A6592" s="526"/>
      <c r="B6592" s="527"/>
      <c r="C6592" s="534"/>
      <c r="D6592" s="535"/>
      <c r="E6592" s="535"/>
      <c r="F6592" s="167"/>
      <c r="G6592" s="513"/>
      <c r="H6592" s="422"/>
      <c r="I6592" s="422"/>
      <c r="J6592" s="750" t="e">
        <f t="shared" si="86"/>
        <v>#DIV/0!</v>
      </c>
      <c r="K6592" s="423"/>
      <c r="L6592" s="424"/>
      <c r="M6592" s="682"/>
      <c r="N6592" s="171"/>
      <c r="O6592" s="171"/>
      <c r="P6592" s="171"/>
      <c r="Q6592" s="171"/>
      <c r="R6592" s="171"/>
      <c r="S6592" s="171"/>
      <c r="T6592" s="171"/>
      <c r="U6592" s="171"/>
      <c r="V6592" s="171"/>
      <c r="W6592" s="171"/>
      <c r="X6592" s="171"/>
      <c r="Y6592" s="171"/>
      <c r="Z6592" s="171"/>
      <c r="AA6592" s="171"/>
    </row>
    <row r="6593" spans="1:27" s="530" customFormat="1" ht="15.75" hidden="1" customHeight="1" x14ac:dyDescent="0.2">
      <c r="A6593" s="526"/>
      <c r="B6593" s="527"/>
      <c r="C6593" s="534"/>
      <c r="D6593" s="535"/>
      <c r="E6593" s="535"/>
      <c r="F6593" s="167"/>
      <c r="G6593" s="513"/>
      <c r="H6593" s="422"/>
      <c r="I6593" s="422"/>
      <c r="J6593" s="750" t="e">
        <f t="shared" si="86"/>
        <v>#DIV/0!</v>
      </c>
      <c r="K6593" s="423"/>
      <c r="L6593" s="424"/>
      <c r="M6593" s="682"/>
      <c r="N6593" s="171"/>
      <c r="O6593" s="171"/>
      <c r="P6593" s="171"/>
      <c r="Q6593" s="171"/>
      <c r="R6593" s="171"/>
      <c r="S6593" s="171"/>
      <c r="T6593" s="171"/>
      <c r="U6593" s="171"/>
      <c r="V6593" s="171"/>
      <c r="W6593" s="171"/>
      <c r="X6593" s="171"/>
      <c r="Y6593" s="171"/>
      <c r="Z6593" s="171"/>
      <c r="AA6593" s="171"/>
    </row>
    <row r="6594" spans="1:27" s="530" customFormat="1" ht="15.75" hidden="1" customHeight="1" x14ac:dyDescent="0.2">
      <c r="A6594" s="526"/>
      <c r="B6594" s="527"/>
      <c r="C6594" s="534"/>
      <c r="D6594" s="535"/>
      <c r="E6594" s="535"/>
      <c r="F6594" s="167"/>
      <c r="G6594" s="513"/>
      <c r="H6594" s="422"/>
      <c r="I6594" s="422"/>
      <c r="J6594" s="750" t="e">
        <f t="shared" si="86"/>
        <v>#DIV/0!</v>
      </c>
      <c r="K6594" s="423"/>
      <c r="L6594" s="424"/>
      <c r="M6594" s="682"/>
      <c r="N6594" s="171"/>
      <c r="O6594" s="171"/>
      <c r="P6594" s="171"/>
      <c r="Q6594" s="171"/>
      <c r="R6594" s="171"/>
      <c r="S6594" s="171"/>
      <c r="T6594" s="171"/>
      <c r="U6594" s="171"/>
      <c r="V6594" s="171"/>
      <c r="W6594" s="171"/>
      <c r="X6594" s="171"/>
      <c r="Y6594" s="171"/>
      <c r="Z6594" s="171"/>
      <c r="AA6594" s="171"/>
    </row>
    <row r="6595" spans="1:27" s="530" customFormat="1" ht="15.75" hidden="1" customHeight="1" x14ac:dyDescent="0.2">
      <c r="A6595" s="526"/>
      <c r="B6595" s="527"/>
      <c r="C6595" s="534"/>
      <c r="D6595" s="535"/>
      <c r="E6595" s="535"/>
      <c r="F6595" s="167"/>
      <c r="G6595" s="513"/>
      <c r="H6595" s="422"/>
      <c r="I6595" s="422"/>
      <c r="J6595" s="750" t="e">
        <f t="shared" si="86"/>
        <v>#DIV/0!</v>
      </c>
      <c r="K6595" s="423"/>
      <c r="L6595" s="424"/>
      <c r="M6595" s="682"/>
      <c r="N6595" s="171"/>
      <c r="O6595" s="171"/>
      <c r="P6595" s="171"/>
      <c r="Q6595" s="171"/>
      <c r="R6595" s="171"/>
      <c r="S6595" s="171"/>
      <c r="T6595" s="171"/>
      <c r="U6595" s="171"/>
      <c r="V6595" s="171"/>
      <c r="W6595" s="171"/>
      <c r="X6595" s="171"/>
      <c r="Y6595" s="171"/>
      <c r="Z6595" s="171"/>
      <c r="AA6595" s="171"/>
    </row>
    <row r="6596" spans="1:27" s="530" customFormat="1" ht="15.75" hidden="1" customHeight="1" x14ac:dyDescent="0.2">
      <c r="A6596" s="526"/>
      <c r="B6596" s="527"/>
      <c r="C6596" s="534"/>
      <c r="D6596" s="535"/>
      <c r="E6596" s="535"/>
      <c r="F6596" s="167"/>
      <c r="G6596" s="513"/>
      <c r="H6596" s="422"/>
      <c r="I6596" s="422"/>
      <c r="J6596" s="750" t="e">
        <f t="shared" si="86"/>
        <v>#DIV/0!</v>
      </c>
      <c r="K6596" s="423"/>
      <c r="L6596" s="424"/>
      <c r="M6596" s="682"/>
      <c r="N6596" s="171"/>
      <c r="O6596" s="171"/>
      <c r="P6596" s="171"/>
      <c r="Q6596" s="171"/>
      <c r="R6596" s="171"/>
      <c r="S6596" s="171"/>
      <c r="T6596" s="171"/>
      <c r="U6596" s="171"/>
      <c r="V6596" s="171"/>
      <c r="W6596" s="171"/>
      <c r="X6596" s="171"/>
      <c r="Y6596" s="171"/>
      <c r="Z6596" s="171"/>
      <c r="AA6596" s="171"/>
    </row>
    <row r="6597" spans="1:27" s="530" customFormat="1" ht="15.75" hidden="1" customHeight="1" x14ac:dyDescent="0.2">
      <c r="A6597" s="526"/>
      <c r="B6597" s="527"/>
      <c r="C6597" s="534"/>
      <c r="D6597" s="535"/>
      <c r="E6597" s="535"/>
      <c r="F6597" s="167"/>
      <c r="G6597" s="513"/>
      <c r="H6597" s="422"/>
      <c r="I6597" s="422"/>
      <c r="J6597" s="750" t="e">
        <f t="shared" si="86"/>
        <v>#DIV/0!</v>
      </c>
      <c r="K6597" s="423"/>
      <c r="L6597" s="424"/>
      <c r="M6597" s="682"/>
      <c r="N6597" s="171"/>
      <c r="O6597" s="171"/>
      <c r="P6597" s="171"/>
      <c r="Q6597" s="171"/>
      <c r="R6597" s="171"/>
      <c r="S6597" s="171"/>
      <c r="T6597" s="171"/>
      <c r="U6597" s="171"/>
      <c r="V6597" s="171"/>
      <c r="W6597" s="171"/>
      <c r="X6597" s="171"/>
      <c r="Y6597" s="171"/>
      <c r="Z6597" s="171"/>
      <c r="AA6597" s="171"/>
    </row>
    <row r="6598" spans="1:27" s="530" customFormat="1" ht="15.75" hidden="1" customHeight="1" x14ac:dyDescent="0.2">
      <c r="A6598" s="526"/>
      <c r="B6598" s="527"/>
      <c r="C6598" s="534"/>
      <c r="D6598" s="535"/>
      <c r="E6598" s="535"/>
      <c r="F6598" s="167"/>
      <c r="G6598" s="513"/>
      <c r="H6598" s="422"/>
      <c r="I6598" s="422"/>
      <c r="J6598" s="750" t="e">
        <f t="shared" si="86"/>
        <v>#DIV/0!</v>
      </c>
      <c r="K6598" s="423"/>
      <c r="L6598" s="424"/>
      <c r="M6598" s="682"/>
      <c r="N6598" s="171"/>
      <c r="O6598" s="171"/>
      <c r="P6598" s="171"/>
      <c r="Q6598" s="171"/>
      <c r="R6598" s="171"/>
      <c r="S6598" s="171"/>
      <c r="T6598" s="171"/>
      <c r="U6598" s="171"/>
      <c r="V6598" s="171"/>
      <c r="W6598" s="171"/>
      <c r="X6598" s="171"/>
      <c r="Y6598" s="171"/>
      <c r="Z6598" s="171"/>
      <c r="AA6598" s="171"/>
    </row>
    <row r="6599" spans="1:27" s="530" customFormat="1" ht="15.75" hidden="1" customHeight="1" x14ac:dyDescent="0.2">
      <c r="A6599" s="526"/>
      <c r="B6599" s="527"/>
      <c r="C6599" s="534"/>
      <c r="D6599" s="535"/>
      <c r="E6599" s="535"/>
      <c r="F6599" s="167"/>
      <c r="G6599" s="513"/>
      <c r="H6599" s="422"/>
      <c r="I6599" s="422"/>
      <c r="J6599" s="750" t="e">
        <f t="shared" si="86"/>
        <v>#DIV/0!</v>
      </c>
      <c r="K6599" s="423"/>
      <c r="L6599" s="424"/>
      <c r="M6599" s="682"/>
      <c r="N6599" s="171"/>
      <c r="O6599" s="171"/>
      <c r="P6599" s="171"/>
      <c r="Q6599" s="171"/>
      <c r="R6599" s="171"/>
      <c r="S6599" s="171"/>
      <c r="T6599" s="171"/>
      <c r="U6599" s="171"/>
      <c r="V6599" s="171"/>
      <c r="W6599" s="171"/>
      <c r="X6599" s="171"/>
      <c r="Y6599" s="171"/>
      <c r="Z6599" s="171"/>
      <c r="AA6599" s="171"/>
    </row>
    <row r="6600" spans="1:27" s="530" customFormat="1" ht="15.75" hidden="1" customHeight="1" x14ac:dyDescent="0.2">
      <c r="A6600" s="526"/>
      <c r="B6600" s="527"/>
      <c r="C6600" s="534"/>
      <c r="D6600" s="535"/>
      <c r="E6600" s="535"/>
      <c r="F6600" s="167"/>
      <c r="G6600" s="513"/>
      <c r="H6600" s="422"/>
      <c r="I6600" s="422"/>
      <c r="J6600" s="750" t="e">
        <f t="shared" si="86"/>
        <v>#DIV/0!</v>
      </c>
      <c r="K6600" s="423"/>
      <c r="L6600" s="424"/>
      <c r="M6600" s="682"/>
      <c r="N6600" s="171"/>
      <c r="O6600" s="171"/>
      <c r="P6600" s="171"/>
      <c r="Q6600" s="171"/>
      <c r="R6600" s="171"/>
      <c r="S6600" s="171"/>
      <c r="T6600" s="171"/>
      <c r="U6600" s="171"/>
      <c r="V6600" s="171"/>
      <c r="W6600" s="171"/>
      <c r="X6600" s="171"/>
      <c r="Y6600" s="171"/>
      <c r="Z6600" s="171"/>
      <c r="AA6600" s="171"/>
    </row>
    <row r="6601" spans="1:27" s="530" customFormat="1" ht="15.75" hidden="1" customHeight="1" x14ac:dyDescent="0.2">
      <c r="A6601" s="526"/>
      <c r="B6601" s="527"/>
      <c r="C6601" s="534"/>
      <c r="D6601" s="535"/>
      <c r="E6601" s="535"/>
      <c r="F6601" s="167"/>
      <c r="G6601" s="513"/>
      <c r="H6601" s="422"/>
      <c r="I6601" s="422"/>
      <c r="J6601" s="750" t="e">
        <f t="shared" si="86"/>
        <v>#DIV/0!</v>
      </c>
      <c r="K6601" s="423"/>
      <c r="L6601" s="424"/>
      <c r="M6601" s="682"/>
      <c r="N6601" s="171"/>
      <c r="O6601" s="171"/>
      <c r="P6601" s="171"/>
      <c r="Q6601" s="171"/>
      <c r="R6601" s="171"/>
      <c r="S6601" s="171"/>
      <c r="T6601" s="171"/>
      <c r="U6601" s="171"/>
      <c r="V6601" s="171"/>
      <c r="W6601" s="171"/>
      <c r="X6601" s="171"/>
      <c r="Y6601" s="171"/>
      <c r="Z6601" s="171"/>
      <c r="AA6601" s="171"/>
    </row>
    <row r="6602" spans="1:27" s="530" customFormat="1" ht="15.75" hidden="1" customHeight="1" x14ac:dyDescent="0.2">
      <c r="A6602" s="526"/>
      <c r="B6602" s="527"/>
      <c r="C6602" s="534"/>
      <c r="D6602" s="535"/>
      <c r="E6602" s="535"/>
      <c r="F6602" s="167"/>
      <c r="G6602" s="513"/>
      <c r="H6602" s="422"/>
      <c r="I6602" s="422"/>
      <c r="J6602" s="750" t="e">
        <f t="shared" si="86"/>
        <v>#DIV/0!</v>
      </c>
      <c r="K6602" s="423"/>
      <c r="L6602" s="424"/>
      <c r="M6602" s="682"/>
      <c r="N6602" s="171"/>
      <c r="O6602" s="171"/>
      <c r="P6602" s="171"/>
      <c r="Q6602" s="171"/>
      <c r="R6602" s="171"/>
      <c r="S6602" s="171"/>
      <c r="T6602" s="171"/>
      <c r="U6602" s="171"/>
      <c r="V6602" s="171"/>
      <c r="W6602" s="171"/>
      <c r="X6602" s="171"/>
      <c r="Y6602" s="171"/>
      <c r="Z6602" s="171"/>
      <c r="AA6602" s="171"/>
    </row>
    <row r="6603" spans="1:27" s="530" customFormat="1" ht="15.75" hidden="1" customHeight="1" x14ac:dyDescent="0.2">
      <c r="A6603" s="526"/>
      <c r="B6603" s="527"/>
      <c r="C6603" s="534"/>
      <c r="D6603" s="535"/>
      <c r="E6603" s="535"/>
      <c r="F6603" s="167"/>
      <c r="G6603" s="513"/>
      <c r="H6603" s="422"/>
      <c r="I6603" s="422"/>
      <c r="J6603" s="750" t="e">
        <f t="shared" si="86"/>
        <v>#DIV/0!</v>
      </c>
      <c r="K6603" s="423"/>
      <c r="L6603" s="424"/>
      <c r="M6603" s="682"/>
      <c r="N6603" s="171"/>
      <c r="O6603" s="171"/>
      <c r="P6603" s="171"/>
      <c r="Q6603" s="171"/>
      <c r="R6603" s="171"/>
      <c r="S6603" s="171"/>
      <c r="T6603" s="171"/>
      <c r="U6603" s="171"/>
      <c r="V6603" s="171"/>
      <c r="W6603" s="171"/>
      <c r="X6603" s="171"/>
      <c r="Y6603" s="171"/>
      <c r="Z6603" s="171"/>
      <c r="AA6603" s="171"/>
    </row>
    <row r="6604" spans="1:27" s="530" customFormat="1" ht="15.75" hidden="1" customHeight="1" x14ac:dyDescent="0.2">
      <c r="A6604" s="526"/>
      <c r="B6604" s="527"/>
      <c r="C6604" s="534"/>
      <c r="D6604" s="535"/>
      <c r="E6604" s="535"/>
      <c r="F6604" s="167"/>
      <c r="G6604" s="513"/>
      <c r="H6604" s="422"/>
      <c r="I6604" s="422"/>
      <c r="J6604" s="750" t="e">
        <f t="shared" si="86"/>
        <v>#DIV/0!</v>
      </c>
      <c r="K6604" s="423"/>
      <c r="L6604" s="424"/>
      <c r="M6604" s="682"/>
      <c r="N6604" s="171"/>
      <c r="O6604" s="171"/>
      <c r="P6604" s="171"/>
      <c r="Q6604" s="171"/>
      <c r="R6604" s="171"/>
      <c r="S6604" s="171"/>
      <c r="T6604" s="171"/>
      <c r="U6604" s="171"/>
      <c r="V6604" s="171"/>
      <c r="W6604" s="171"/>
      <c r="X6604" s="171"/>
      <c r="Y6604" s="171"/>
      <c r="Z6604" s="171"/>
      <c r="AA6604" s="171"/>
    </row>
    <row r="6605" spans="1:27" s="530" customFormat="1" ht="15.75" hidden="1" customHeight="1" x14ac:dyDescent="0.2">
      <c r="A6605" s="526"/>
      <c r="B6605" s="527"/>
      <c r="C6605" s="534"/>
      <c r="D6605" s="535"/>
      <c r="E6605" s="535"/>
      <c r="F6605" s="167"/>
      <c r="G6605" s="513"/>
      <c r="H6605" s="422"/>
      <c r="I6605" s="422"/>
      <c r="J6605" s="750" t="e">
        <f t="shared" ref="J6605:J6668" si="87">SUM(I6605/H6605)*100</f>
        <v>#DIV/0!</v>
      </c>
      <c r="K6605" s="423"/>
      <c r="L6605" s="424"/>
      <c r="M6605" s="682"/>
      <c r="N6605" s="171"/>
      <c r="O6605" s="171"/>
      <c r="P6605" s="171"/>
      <c r="Q6605" s="171"/>
      <c r="R6605" s="171"/>
      <c r="S6605" s="171"/>
      <c r="T6605" s="171"/>
      <c r="U6605" s="171"/>
      <c r="V6605" s="171"/>
      <c r="W6605" s="171"/>
      <c r="X6605" s="171"/>
      <c r="Y6605" s="171"/>
      <c r="Z6605" s="171"/>
      <c r="AA6605" s="171"/>
    </row>
    <row r="6606" spans="1:27" s="530" customFormat="1" ht="15.75" hidden="1" customHeight="1" x14ac:dyDescent="0.2">
      <c r="A6606" s="526"/>
      <c r="B6606" s="527"/>
      <c r="C6606" s="534"/>
      <c r="D6606" s="535"/>
      <c r="E6606" s="535"/>
      <c r="F6606" s="167"/>
      <c r="G6606" s="513"/>
      <c r="H6606" s="422"/>
      <c r="I6606" s="422"/>
      <c r="J6606" s="750" t="e">
        <f t="shared" si="87"/>
        <v>#DIV/0!</v>
      </c>
      <c r="K6606" s="423"/>
      <c r="L6606" s="424"/>
      <c r="M6606" s="682"/>
      <c r="N6606" s="171"/>
      <c r="O6606" s="171"/>
      <c r="P6606" s="171"/>
      <c r="Q6606" s="171"/>
      <c r="R6606" s="171"/>
      <c r="S6606" s="171"/>
      <c r="T6606" s="171"/>
      <c r="U6606" s="171"/>
      <c r="V6606" s="171"/>
      <c r="W6606" s="171"/>
      <c r="X6606" s="171"/>
      <c r="Y6606" s="171"/>
      <c r="Z6606" s="171"/>
      <c r="AA6606" s="171"/>
    </row>
    <row r="6607" spans="1:27" s="530" customFormat="1" ht="15.75" hidden="1" customHeight="1" x14ac:dyDescent="0.2">
      <c r="A6607" s="526"/>
      <c r="B6607" s="527"/>
      <c r="C6607" s="534"/>
      <c r="D6607" s="535"/>
      <c r="E6607" s="535"/>
      <c r="F6607" s="167"/>
      <c r="G6607" s="513"/>
      <c r="H6607" s="422"/>
      <c r="I6607" s="422"/>
      <c r="J6607" s="750" t="e">
        <f t="shared" si="87"/>
        <v>#DIV/0!</v>
      </c>
      <c r="K6607" s="423"/>
      <c r="L6607" s="424"/>
      <c r="M6607" s="682"/>
      <c r="N6607" s="171"/>
      <c r="O6607" s="171"/>
      <c r="P6607" s="171"/>
      <c r="Q6607" s="171"/>
      <c r="R6607" s="171"/>
      <c r="S6607" s="171"/>
      <c r="T6607" s="171"/>
      <c r="U6607" s="171"/>
      <c r="V6607" s="171"/>
      <c r="W6607" s="171"/>
      <c r="X6607" s="171"/>
      <c r="Y6607" s="171"/>
      <c r="Z6607" s="171"/>
      <c r="AA6607" s="171"/>
    </row>
    <row r="6608" spans="1:27" s="530" customFormat="1" ht="15.75" hidden="1" customHeight="1" x14ac:dyDescent="0.2">
      <c r="A6608" s="526"/>
      <c r="B6608" s="527"/>
      <c r="C6608" s="534"/>
      <c r="D6608" s="535"/>
      <c r="E6608" s="535"/>
      <c r="F6608" s="167"/>
      <c r="G6608" s="513"/>
      <c r="H6608" s="422"/>
      <c r="I6608" s="422"/>
      <c r="J6608" s="750" t="e">
        <f t="shared" si="87"/>
        <v>#DIV/0!</v>
      </c>
      <c r="K6608" s="423"/>
      <c r="L6608" s="424"/>
      <c r="M6608" s="682"/>
      <c r="N6608" s="171"/>
      <c r="O6608" s="171"/>
      <c r="P6608" s="171"/>
      <c r="Q6608" s="171"/>
      <c r="R6608" s="171"/>
      <c r="S6608" s="171"/>
      <c r="T6608" s="171"/>
      <c r="U6608" s="171"/>
      <c r="V6608" s="171"/>
      <c r="W6608" s="171"/>
      <c r="X6608" s="171"/>
      <c r="Y6608" s="171"/>
      <c r="Z6608" s="171"/>
      <c r="AA6608" s="171"/>
    </row>
    <row r="6609" spans="1:27" s="530" customFormat="1" ht="15.75" hidden="1" customHeight="1" x14ac:dyDescent="0.2">
      <c r="A6609" s="526"/>
      <c r="B6609" s="527"/>
      <c r="C6609" s="534"/>
      <c r="D6609" s="535"/>
      <c r="E6609" s="535"/>
      <c r="F6609" s="167"/>
      <c r="G6609" s="513"/>
      <c r="H6609" s="422"/>
      <c r="I6609" s="422"/>
      <c r="J6609" s="750" t="e">
        <f t="shared" si="87"/>
        <v>#DIV/0!</v>
      </c>
      <c r="K6609" s="423"/>
      <c r="L6609" s="424"/>
      <c r="M6609" s="682"/>
      <c r="N6609" s="171"/>
      <c r="O6609" s="171"/>
      <c r="P6609" s="171"/>
      <c r="Q6609" s="171"/>
      <c r="R6609" s="171"/>
      <c r="S6609" s="171"/>
      <c r="T6609" s="171"/>
      <c r="U6609" s="171"/>
      <c r="V6609" s="171"/>
      <c r="W6609" s="171"/>
      <c r="X6609" s="171"/>
      <c r="Y6609" s="171"/>
      <c r="Z6609" s="171"/>
      <c r="AA6609" s="171"/>
    </row>
    <row r="6610" spans="1:27" s="530" customFormat="1" ht="15.75" hidden="1" customHeight="1" x14ac:dyDescent="0.2">
      <c r="A6610" s="526"/>
      <c r="B6610" s="527"/>
      <c r="C6610" s="534"/>
      <c r="D6610" s="535"/>
      <c r="E6610" s="535"/>
      <c r="F6610" s="167"/>
      <c r="G6610" s="513"/>
      <c r="H6610" s="422"/>
      <c r="I6610" s="422"/>
      <c r="J6610" s="750" t="e">
        <f t="shared" si="87"/>
        <v>#DIV/0!</v>
      </c>
      <c r="K6610" s="423"/>
      <c r="L6610" s="424"/>
      <c r="M6610" s="682"/>
      <c r="N6610" s="171"/>
      <c r="O6610" s="171"/>
      <c r="P6610" s="171"/>
      <c r="Q6610" s="171"/>
      <c r="R6610" s="171"/>
      <c r="S6610" s="171"/>
      <c r="T6610" s="171"/>
      <c r="U6610" s="171"/>
      <c r="V6610" s="171"/>
      <c r="W6610" s="171"/>
      <c r="X6610" s="171"/>
      <c r="Y6610" s="171"/>
      <c r="Z6610" s="171"/>
      <c r="AA6610" s="171"/>
    </row>
    <row r="6611" spans="1:27" s="530" customFormat="1" ht="15.75" hidden="1" customHeight="1" x14ac:dyDescent="0.2">
      <c r="A6611" s="526"/>
      <c r="B6611" s="527"/>
      <c r="C6611" s="534"/>
      <c r="D6611" s="535"/>
      <c r="E6611" s="535"/>
      <c r="F6611" s="167"/>
      <c r="G6611" s="513"/>
      <c r="H6611" s="422"/>
      <c r="I6611" s="422"/>
      <c r="J6611" s="750" t="e">
        <f t="shared" si="87"/>
        <v>#DIV/0!</v>
      </c>
      <c r="K6611" s="423"/>
      <c r="L6611" s="424"/>
      <c r="M6611" s="682"/>
      <c r="N6611" s="171"/>
      <c r="O6611" s="171"/>
      <c r="P6611" s="171"/>
      <c r="Q6611" s="171"/>
      <c r="R6611" s="171"/>
      <c r="S6611" s="171"/>
      <c r="T6611" s="171"/>
      <c r="U6611" s="171"/>
      <c r="V6611" s="171"/>
      <c r="W6611" s="171"/>
      <c r="X6611" s="171"/>
      <c r="Y6611" s="171"/>
      <c r="Z6611" s="171"/>
      <c r="AA6611" s="171"/>
    </row>
    <row r="6612" spans="1:27" s="530" customFormat="1" ht="15.75" hidden="1" customHeight="1" x14ac:dyDescent="0.2">
      <c r="A6612" s="526"/>
      <c r="B6612" s="527"/>
      <c r="C6612" s="534"/>
      <c r="D6612" s="535"/>
      <c r="E6612" s="535"/>
      <c r="F6612" s="167"/>
      <c r="G6612" s="513"/>
      <c r="H6612" s="422"/>
      <c r="I6612" s="422"/>
      <c r="J6612" s="750" t="e">
        <f t="shared" si="87"/>
        <v>#DIV/0!</v>
      </c>
      <c r="K6612" s="423"/>
      <c r="L6612" s="424"/>
      <c r="M6612" s="682"/>
      <c r="N6612" s="171"/>
      <c r="O6612" s="171"/>
      <c r="P6612" s="171"/>
      <c r="Q6612" s="171"/>
      <c r="R6612" s="171"/>
      <c r="S6612" s="171"/>
      <c r="T6612" s="171"/>
      <c r="U6612" s="171"/>
      <c r="V6612" s="171"/>
      <c r="W6612" s="171"/>
      <c r="X6612" s="171"/>
      <c r="Y6612" s="171"/>
      <c r="Z6612" s="171"/>
      <c r="AA6612" s="171"/>
    </row>
    <row r="6613" spans="1:27" s="530" customFormat="1" ht="15.75" hidden="1" customHeight="1" x14ac:dyDescent="0.2">
      <c r="A6613" s="526"/>
      <c r="B6613" s="527"/>
      <c r="C6613" s="534"/>
      <c r="D6613" s="535"/>
      <c r="E6613" s="535"/>
      <c r="F6613" s="167"/>
      <c r="G6613" s="513"/>
      <c r="H6613" s="422"/>
      <c r="I6613" s="422"/>
      <c r="J6613" s="750" t="e">
        <f t="shared" si="87"/>
        <v>#DIV/0!</v>
      </c>
      <c r="K6613" s="423"/>
      <c r="L6613" s="424"/>
      <c r="M6613" s="682"/>
      <c r="N6613" s="171"/>
      <c r="O6613" s="171"/>
      <c r="P6613" s="171"/>
      <c r="Q6613" s="171"/>
      <c r="R6613" s="171"/>
      <c r="S6613" s="171"/>
      <c r="T6613" s="171"/>
      <c r="U6613" s="171"/>
      <c r="V6613" s="171"/>
      <c r="W6613" s="171"/>
      <c r="X6613" s="171"/>
      <c r="Y6613" s="171"/>
      <c r="Z6613" s="171"/>
      <c r="AA6613" s="171"/>
    </row>
    <row r="6614" spans="1:27" s="530" customFormat="1" ht="15.75" hidden="1" customHeight="1" x14ac:dyDescent="0.2">
      <c r="A6614" s="526"/>
      <c r="B6614" s="527"/>
      <c r="C6614" s="534"/>
      <c r="D6614" s="535"/>
      <c r="E6614" s="535"/>
      <c r="F6614" s="167"/>
      <c r="G6614" s="513"/>
      <c r="H6614" s="422"/>
      <c r="I6614" s="422"/>
      <c r="J6614" s="750" t="e">
        <f t="shared" si="87"/>
        <v>#DIV/0!</v>
      </c>
      <c r="K6614" s="423"/>
      <c r="L6614" s="424"/>
      <c r="M6614" s="682"/>
      <c r="N6614" s="171"/>
      <c r="O6614" s="171"/>
      <c r="P6614" s="171"/>
      <c r="Q6614" s="171"/>
      <c r="R6614" s="171"/>
      <c r="S6614" s="171"/>
      <c r="T6614" s="171"/>
      <c r="U6614" s="171"/>
      <c r="V6614" s="171"/>
      <c r="W6614" s="171"/>
      <c r="X6614" s="171"/>
      <c r="Y6614" s="171"/>
      <c r="Z6614" s="171"/>
      <c r="AA6614" s="171"/>
    </row>
    <row r="6615" spans="1:27" s="530" customFormat="1" ht="15.75" hidden="1" customHeight="1" x14ac:dyDescent="0.2">
      <c r="A6615" s="526"/>
      <c r="B6615" s="527"/>
      <c r="C6615" s="534"/>
      <c r="D6615" s="535"/>
      <c r="E6615" s="535"/>
      <c r="F6615" s="167"/>
      <c r="G6615" s="513"/>
      <c r="H6615" s="422"/>
      <c r="I6615" s="422"/>
      <c r="J6615" s="750" t="e">
        <f t="shared" si="87"/>
        <v>#DIV/0!</v>
      </c>
      <c r="K6615" s="423"/>
      <c r="L6615" s="424"/>
      <c r="M6615" s="682"/>
      <c r="N6615" s="171"/>
      <c r="O6615" s="171"/>
      <c r="P6615" s="171"/>
      <c r="Q6615" s="171"/>
      <c r="R6615" s="171"/>
      <c r="S6615" s="171"/>
      <c r="T6615" s="171"/>
      <c r="U6615" s="171"/>
      <c r="V6615" s="171"/>
      <c r="W6615" s="171"/>
      <c r="X6615" s="171"/>
      <c r="Y6615" s="171"/>
      <c r="Z6615" s="171"/>
      <c r="AA6615" s="171"/>
    </row>
    <row r="6616" spans="1:27" s="530" customFormat="1" ht="15.75" hidden="1" customHeight="1" x14ac:dyDescent="0.2">
      <c r="A6616" s="526"/>
      <c r="B6616" s="527"/>
      <c r="C6616" s="534"/>
      <c r="D6616" s="535"/>
      <c r="E6616" s="535"/>
      <c r="F6616" s="167"/>
      <c r="G6616" s="513"/>
      <c r="H6616" s="422"/>
      <c r="I6616" s="422"/>
      <c r="J6616" s="750" t="e">
        <f t="shared" si="87"/>
        <v>#DIV/0!</v>
      </c>
      <c r="K6616" s="423"/>
      <c r="L6616" s="424"/>
      <c r="M6616" s="682"/>
      <c r="N6616" s="171"/>
      <c r="O6616" s="171"/>
      <c r="P6616" s="171"/>
      <c r="Q6616" s="171"/>
      <c r="R6616" s="171"/>
      <c r="S6616" s="171"/>
      <c r="T6616" s="171"/>
      <c r="U6616" s="171"/>
      <c r="V6616" s="171"/>
      <c r="W6616" s="171"/>
      <c r="X6616" s="171"/>
      <c r="Y6616" s="171"/>
      <c r="Z6616" s="171"/>
      <c r="AA6616" s="171"/>
    </row>
    <row r="6617" spans="1:27" s="530" customFormat="1" ht="15.75" hidden="1" customHeight="1" x14ac:dyDescent="0.2">
      <c r="A6617" s="526"/>
      <c r="B6617" s="527"/>
      <c r="C6617" s="534"/>
      <c r="D6617" s="535"/>
      <c r="E6617" s="535"/>
      <c r="F6617" s="167"/>
      <c r="G6617" s="513"/>
      <c r="H6617" s="422"/>
      <c r="I6617" s="422"/>
      <c r="J6617" s="750" t="e">
        <f t="shared" si="87"/>
        <v>#DIV/0!</v>
      </c>
      <c r="K6617" s="423"/>
      <c r="L6617" s="424"/>
      <c r="M6617" s="682"/>
      <c r="N6617" s="171"/>
      <c r="O6617" s="171"/>
      <c r="P6617" s="171"/>
      <c r="Q6617" s="171"/>
      <c r="R6617" s="171"/>
      <c r="S6617" s="171"/>
      <c r="T6617" s="171"/>
      <c r="U6617" s="171"/>
      <c r="V6617" s="171"/>
      <c r="W6617" s="171"/>
      <c r="X6617" s="171"/>
      <c r="Y6617" s="171"/>
      <c r="Z6617" s="171"/>
      <c r="AA6617" s="171"/>
    </row>
    <row r="6618" spans="1:27" s="530" customFormat="1" ht="15.75" hidden="1" customHeight="1" x14ac:dyDescent="0.2">
      <c r="A6618" s="526"/>
      <c r="B6618" s="527"/>
      <c r="C6618" s="534"/>
      <c r="D6618" s="535"/>
      <c r="E6618" s="535"/>
      <c r="F6618" s="167"/>
      <c r="G6618" s="513"/>
      <c r="H6618" s="422"/>
      <c r="I6618" s="422"/>
      <c r="J6618" s="750" t="e">
        <f t="shared" si="87"/>
        <v>#DIV/0!</v>
      </c>
      <c r="K6618" s="423"/>
      <c r="L6618" s="424"/>
      <c r="M6618" s="682"/>
      <c r="N6618" s="171"/>
      <c r="O6618" s="171"/>
      <c r="P6618" s="171"/>
      <c r="Q6618" s="171"/>
      <c r="R6618" s="171"/>
      <c r="S6618" s="171"/>
      <c r="T6618" s="171"/>
      <c r="U6618" s="171"/>
      <c r="V6618" s="171"/>
      <c r="W6618" s="171"/>
      <c r="X6618" s="171"/>
      <c r="Y6618" s="171"/>
      <c r="Z6618" s="171"/>
      <c r="AA6618" s="171"/>
    </row>
    <row r="6619" spans="1:27" s="530" customFormat="1" ht="15.75" hidden="1" customHeight="1" x14ac:dyDescent="0.2">
      <c r="A6619" s="526"/>
      <c r="B6619" s="527"/>
      <c r="C6619" s="534"/>
      <c r="D6619" s="535"/>
      <c r="E6619" s="535"/>
      <c r="F6619" s="167"/>
      <c r="G6619" s="513"/>
      <c r="H6619" s="422"/>
      <c r="I6619" s="422"/>
      <c r="J6619" s="750" t="e">
        <f t="shared" si="87"/>
        <v>#DIV/0!</v>
      </c>
      <c r="K6619" s="423"/>
      <c r="L6619" s="424"/>
      <c r="M6619" s="682"/>
      <c r="N6619" s="171"/>
      <c r="O6619" s="171"/>
      <c r="P6619" s="171"/>
      <c r="Q6619" s="171"/>
      <c r="R6619" s="171"/>
      <c r="S6619" s="171"/>
      <c r="T6619" s="171"/>
      <c r="U6619" s="171"/>
      <c r="V6619" s="171"/>
      <c r="W6619" s="171"/>
      <c r="X6619" s="171"/>
      <c r="Y6619" s="171"/>
      <c r="Z6619" s="171"/>
      <c r="AA6619" s="171"/>
    </row>
    <row r="6620" spans="1:27" s="530" customFormat="1" ht="15.75" hidden="1" customHeight="1" x14ac:dyDescent="0.2">
      <c r="A6620" s="526"/>
      <c r="B6620" s="527"/>
      <c r="C6620" s="534"/>
      <c r="D6620" s="535"/>
      <c r="E6620" s="535"/>
      <c r="F6620" s="167"/>
      <c r="G6620" s="513"/>
      <c r="H6620" s="422"/>
      <c r="I6620" s="422"/>
      <c r="J6620" s="750" t="e">
        <f t="shared" si="87"/>
        <v>#DIV/0!</v>
      </c>
      <c r="K6620" s="423"/>
      <c r="L6620" s="424"/>
      <c r="M6620" s="682"/>
      <c r="N6620" s="171"/>
      <c r="O6620" s="171"/>
      <c r="P6620" s="171"/>
      <c r="Q6620" s="171"/>
      <c r="R6620" s="171"/>
      <c r="S6620" s="171"/>
      <c r="T6620" s="171"/>
      <c r="U6620" s="171"/>
      <c r="V6620" s="171"/>
      <c r="W6620" s="171"/>
      <c r="X6620" s="171"/>
      <c r="Y6620" s="171"/>
      <c r="Z6620" s="171"/>
      <c r="AA6620" s="171"/>
    </row>
    <row r="6621" spans="1:27" s="530" customFormat="1" ht="15.75" hidden="1" customHeight="1" x14ac:dyDescent="0.2">
      <c r="A6621" s="526"/>
      <c r="B6621" s="527"/>
      <c r="C6621" s="534"/>
      <c r="D6621" s="535"/>
      <c r="E6621" s="535"/>
      <c r="F6621" s="167"/>
      <c r="G6621" s="513"/>
      <c r="H6621" s="422"/>
      <c r="I6621" s="422"/>
      <c r="J6621" s="750" t="e">
        <f t="shared" si="87"/>
        <v>#DIV/0!</v>
      </c>
      <c r="K6621" s="423"/>
      <c r="L6621" s="424"/>
      <c r="M6621" s="682"/>
      <c r="N6621" s="171"/>
      <c r="O6621" s="171"/>
      <c r="P6621" s="171"/>
      <c r="Q6621" s="171"/>
      <c r="R6621" s="171"/>
      <c r="S6621" s="171"/>
      <c r="T6621" s="171"/>
      <c r="U6621" s="171"/>
      <c r="V6621" s="171"/>
      <c r="W6621" s="171"/>
      <c r="X6621" s="171"/>
      <c r="Y6621" s="171"/>
      <c r="Z6621" s="171"/>
      <c r="AA6621" s="171"/>
    </row>
    <row r="6622" spans="1:27" s="530" customFormat="1" ht="15.75" hidden="1" customHeight="1" x14ac:dyDescent="0.2">
      <c r="A6622" s="526"/>
      <c r="B6622" s="527"/>
      <c r="C6622" s="534"/>
      <c r="D6622" s="535"/>
      <c r="E6622" s="535"/>
      <c r="F6622" s="167"/>
      <c r="G6622" s="513"/>
      <c r="H6622" s="422"/>
      <c r="I6622" s="422"/>
      <c r="J6622" s="750" t="e">
        <f t="shared" si="87"/>
        <v>#DIV/0!</v>
      </c>
      <c r="K6622" s="423"/>
      <c r="L6622" s="424"/>
      <c r="M6622" s="682"/>
      <c r="N6622" s="171"/>
      <c r="O6622" s="171"/>
      <c r="P6622" s="171"/>
      <c r="Q6622" s="171"/>
      <c r="R6622" s="171"/>
      <c r="S6622" s="171"/>
      <c r="T6622" s="171"/>
      <c r="U6622" s="171"/>
      <c r="V6622" s="171"/>
      <c r="W6622" s="171"/>
      <c r="X6622" s="171"/>
      <c r="Y6622" s="171"/>
      <c r="Z6622" s="171"/>
      <c r="AA6622" s="171"/>
    </row>
    <row r="6623" spans="1:27" s="530" customFormat="1" ht="15.75" hidden="1" customHeight="1" x14ac:dyDescent="0.2">
      <c r="A6623" s="526"/>
      <c r="B6623" s="527"/>
      <c r="C6623" s="534"/>
      <c r="D6623" s="535"/>
      <c r="E6623" s="535"/>
      <c r="F6623" s="167"/>
      <c r="G6623" s="513"/>
      <c r="H6623" s="422"/>
      <c r="I6623" s="422"/>
      <c r="J6623" s="750" t="e">
        <f t="shared" si="87"/>
        <v>#DIV/0!</v>
      </c>
      <c r="K6623" s="423"/>
      <c r="L6623" s="424"/>
      <c r="M6623" s="682"/>
      <c r="N6623" s="171"/>
      <c r="O6623" s="171"/>
      <c r="P6623" s="171"/>
      <c r="Q6623" s="171"/>
      <c r="R6623" s="171"/>
      <c r="S6623" s="171"/>
      <c r="T6623" s="171"/>
      <c r="U6623" s="171"/>
      <c r="V6623" s="171"/>
      <c r="W6623" s="171"/>
      <c r="X6623" s="171"/>
      <c r="Y6623" s="171"/>
      <c r="Z6623" s="171"/>
      <c r="AA6623" s="171"/>
    </row>
    <row r="6624" spans="1:27" s="530" customFormat="1" ht="15.75" hidden="1" customHeight="1" x14ac:dyDescent="0.2">
      <c r="A6624" s="526"/>
      <c r="B6624" s="527"/>
      <c r="C6624" s="534"/>
      <c r="D6624" s="535"/>
      <c r="E6624" s="535"/>
      <c r="F6624" s="167"/>
      <c r="G6624" s="513"/>
      <c r="H6624" s="422"/>
      <c r="I6624" s="422"/>
      <c r="J6624" s="750" t="e">
        <f t="shared" si="87"/>
        <v>#DIV/0!</v>
      </c>
      <c r="K6624" s="423"/>
      <c r="L6624" s="424"/>
      <c r="M6624" s="682"/>
      <c r="N6624" s="171"/>
      <c r="O6624" s="171"/>
      <c r="P6624" s="171"/>
      <c r="Q6624" s="171"/>
      <c r="R6624" s="171"/>
      <c r="S6624" s="171"/>
      <c r="T6624" s="171"/>
      <c r="U6624" s="171"/>
      <c r="V6624" s="171"/>
      <c r="W6624" s="171"/>
      <c r="X6624" s="171"/>
      <c r="Y6624" s="171"/>
      <c r="Z6624" s="171"/>
      <c r="AA6624" s="171"/>
    </row>
    <row r="6625" spans="1:27" s="530" customFormat="1" ht="15.75" hidden="1" customHeight="1" x14ac:dyDescent="0.2">
      <c r="A6625" s="526"/>
      <c r="B6625" s="527"/>
      <c r="C6625" s="534"/>
      <c r="D6625" s="535"/>
      <c r="E6625" s="535"/>
      <c r="F6625" s="167"/>
      <c r="G6625" s="513"/>
      <c r="H6625" s="422"/>
      <c r="I6625" s="422"/>
      <c r="J6625" s="750" t="e">
        <f t="shared" si="87"/>
        <v>#DIV/0!</v>
      </c>
      <c r="K6625" s="423"/>
      <c r="L6625" s="424"/>
      <c r="M6625" s="682"/>
      <c r="N6625" s="171"/>
      <c r="O6625" s="171"/>
      <c r="P6625" s="171"/>
      <c r="Q6625" s="171"/>
      <c r="R6625" s="171"/>
      <c r="S6625" s="171"/>
      <c r="T6625" s="171"/>
      <c r="U6625" s="171"/>
      <c r="V6625" s="171"/>
      <c r="W6625" s="171"/>
      <c r="X6625" s="171"/>
      <c r="Y6625" s="171"/>
      <c r="Z6625" s="171"/>
      <c r="AA6625" s="171"/>
    </row>
    <row r="6626" spans="1:27" s="530" customFormat="1" ht="15.75" hidden="1" customHeight="1" x14ac:dyDescent="0.2">
      <c r="A6626" s="526"/>
      <c r="B6626" s="527"/>
      <c r="C6626" s="534"/>
      <c r="D6626" s="535"/>
      <c r="E6626" s="535"/>
      <c r="F6626" s="167"/>
      <c r="G6626" s="513"/>
      <c r="H6626" s="422"/>
      <c r="I6626" s="422"/>
      <c r="J6626" s="750" t="e">
        <f t="shared" si="87"/>
        <v>#DIV/0!</v>
      </c>
      <c r="K6626" s="423"/>
      <c r="L6626" s="424"/>
      <c r="M6626" s="682"/>
      <c r="N6626" s="171"/>
      <c r="O6626" s="171"/>
      <c r="P6626" s="171"/>
      <c r="Q6626" s="171"/>
      <c r="R6626" s="171"/>
      <c r="S6626" s="171"/>
      <c r="T6626" s="171"/>
      <c r="U6626" s="171"/>
      <c r="V6626" s="171"/>
      <c r="W6626" s="171"/>
      <c r="X6626" s="171"/>
      <c r="Y6626" s="171"/>
      <c r="Z6626" s="171"/>
      <c r="AA6626" s="171"/>
    </row>
    <row r="6627" spans="1:27" s="530" customFormat="1" ht="15.75" hidden="1" customHeight="1" x14ac:dyDescent="0.2">
      <c r="A6627" s="526"/>
      <c r="B6627" s="527"/>
      <c r="C6627" s="534"/>
      <c r="D6627" s="535"/>
      <c r="E6627" s="535"/>
      <c r="F6627" s="167"/>
      <c r="G6627" s="513"/>
      <c r="H6627" s="422"/>
      <c r="I6627" s="422"/>
      <c r="J6627" s="750" t="e">
        <f t="shared" si="87"/>
        <v>#DIV/0!</v>
      </c>
      <c r="K6627" s="423"/>
      <c r="L6627" s="424"/>
      <c r="M6627" s="682"/>
      <c r="N6627" s="171"/>
      <c r="O6627" s="171"/>
      <c r="P6627" s="171"/>
      <c r="Q6627" s="171"/>
      <c r="R6627" s="171"/>
      <c r="S6627" s="171"/>
      <c r="T6627" s="171"/>
      <c r="U6627" s="171"/>
      <c r="V6627" s="171"/>
      <c r="W6627" s="171"/>
      <c r="X6627" s="171"/>
      <c r="Y6627" s="171"/>
      <c r="Z6627" s="171"/>
      <c r="AA6627" s="171"/>
    </row>
    <row r="6628" spans="1:27" s="530" customFormat="1" ht="15.75" hidden="1" customHeight="1" x14ac:dyDescent="0.2">
      <c r="A6628" s="526"/>
      <c r="B6628" s="527"/>
      <c r="C6628" s="534"/>
      <c r="D6628" s="535"/>
      <c r="E6628" s="535"/>
      <c r="F6628" s="167"/>
      <c r="G6628" s="513"/>
      <c r="H6628" s="422"/>
      <c r="I6628" s="422"/>
      <c r="J6628" s="750" t="e">
        <f t="shared" si="87"/>
        <v>#DIV/0!</v>
      </c>
      <c r="K6628" s="423"/>
      <c r="L6628" s="424"/>
      <c r="M6628" s="682"/>
      <c r="N6628" s="171"/>
      <c r="O6628" s="171"/>
      <c r="P6628" s="171"/>
      <c r="Q6628" s="171"/>
      <c r="R6628" s="171"/>
      <c r="S6628" s="171"/>
      <c r="T6628" s="171"/>
      <c r="U6628" s="171"/>
      <c r="V6628" s="171"/>
      <c r="W6628" s="171"/>
      <c r="X6628" s="171"/>
      <c r="Y6628" s="171"/>
      <c r="Z6628" s="171"/>
      <c r="AA6628" s="171"/>
    </row>
    <row r="6629" spans="1:27" s="530" customFormat="1" ht="15.75" hidden="1" customHeight="1" x14ac:dyDescent="0.2">
      <c r="A6629" s="526"/>
      <c r="B6629" s="527"/>
      <c r="C6629" s="534"/>
      <c r="D6629" s="535"/>
      <c r="E6629" s="535"/>
      <c r="F6629" s="167"/>
      <c r="G6629" s="513"/>
      <c r="H6629" s="422"/>
      <c r="I6629" s="422"/>
      <c r="J6629" s="750" t="e">
        <f t="shared" si="87"/>
        <v>#DIV/0!</v>
      </c>
      <c r="K6629" s="423"/>
      <c r="L6629" s="424"/>
      <c r="M6629" s="682"/>
      <c r="N6629" s="171"/>
      <c r="O6629" s="171"/>
      <c r="P6629" s="171"/>
      <c r="Q6629" s="171"/>
      <c r="R6629" s="171"/>
      <c r="S6629" s="171"/>
      <c r="T6629" s="171"/>
      <c r="U6629" s="171"/>
      <c r="V6629" s="171"/>
      <c r="W6629" s="171"/>
      <c r="X6629" s="171"/>
      <c r="Y6629" s="171"/>
      <c r="Z6629" s="171"/>
      <c r="AA6629" s="171"/>
    </row>
    <row r="6630" spans="1:27" s="530" customFormat="1" ht="15.75" hidden="1" customHeight="1" x14ac:dyDescent="0.2">
      <c r="A6630" s="526"/>
      <c r="B6630" s="527"/>
      <c r="C6630" s="534"/>
      <c r="D6630" s="535"/>
      <c r="E6630" s="535"/>
      <c r="F6630" s="167"/>
      <c r="G6630" s="513"/>
      <c r="H6630" s="422"/>
      <c r="I6630" s="422"/>
      <c r="J6630" s="750" t="e">
        <f t="shared" si="87"/>
        <v>#DIV/0!</v>
      </c>
      <c r="K6630" s="423"/>
      <c r="L6630" s="424"/>
      <c r="M6630" s="682"/>
      <c r="N6630" s="171"/>
      <c r="O6630" s="171"/>
      <c r="P6630" s="171"/>
      <c r="Q6630" s="171"/>
      <c r="R6630" s="171"/>
      <c r="S6630" s="171"/>
      <c r="T6630" s="171"/>
      <c r="U6630" s="171"/>
      <c r="V6630" s="171"/>
      <c r="W6630" s="171"/>
      <c r="X6630" s="171"/>
      <c r="Y6630" s="171"/>
      <c r="Z6630" s="171"/>
      <c r="AA6630" s="171"/>
    </row>
    <row r="6631" spans="1:27" s="530" customFormat="1" ht="15.75" hidden="1" customHeight="1" x14ac:dyDescent="0.2">
      <c r="A6631" s="526"/>
      <c r="B6631" s="527"/>
      <c r="C6631" s="534"/>
      <c r="D6631" s="535"/>
      <c r="E6631" s="535"/>
      <c r="F6631" s="167"/>
      <c r="G6631" s="513"/>
      <c r="H6631" s="422"/>
      <c r="I6631" s="422"/>
      <c r="J6631" s="750" t="e">
        <f t="shared" si="87"/>
        <v>#DIV/0!</v>
      </c>
      <c r="K6631" s="423"/>
      <c r="L6631" s="424"/>
      <c r="M6631" s="682"/>
      <c r="N6631" s="171"/>
      <c r="O6631" s="171"/>
      <c r="P6631" s="171"/>
      <c r="Q6631" s="171"/>
      <c r="R6631" s="171"/>
      <c r="S6631" s="171"/>
      <c r="T6631" s="171"/>
      <c r="U6631" s="171"/>
      <c r="V6631" s="171"/>
      <c r="W6631" s="171"/>
      <c r="X6631" s="171"/>
      <c r="Y6631" s="171"/>
      <c r="Z6631" s="171"/>
      <c r="AA6631" s="171"/>
    </row>
    <row r="6632" spans="1:27" s="530" customFormat="1" hidden="1" x14ac:dyDescent="0.2">
      <c r="A6632" s="526"/>
      <c r="B6632" s="527"/>
      <c r="C6632" s="534"/>
      <c r="D6632" s="535"/>
      <c r="E6632" s="535"/>
      <c r="F6632" s="167"/>
      <c r="G6632" s="513"/>
      <c r="H6632" s="422"/>
      <c r="I6632" s="422"/>
      <c r="J6632" s="750" t="e">
        <f t="shared" si="87"/>
        <v>#DIV/0!</v>
      </c>
      <c r="K6632" s="423"/>
      <c r="L6632" s="424"/>
      <c r="M6632" s="682"/>
      <c r="N6632" s="171"/>
      <c r="O6632" s="171"/>
      <c r="P6632" s="171"/>
      <c r="Q6632" s="171"/>
      <c r="R6632" s="171"/>
      <c r="S6632" s="171"/>
      <c r="T6632" s="171"/>
      <c r="U6632" s="171"/>
      <c r="V6632" s="171"/>
      <c r="W6632" s="171"/>
      <c r="X6632" s="171"/>
      <c r="Y6632" s="171"/>
      <c r="Z6632" s="171"/>
      <c r="AA6632" s="171"/>
    </row>
    <row r="6633" spans="1:27" s="530" customFormat="1" hidden="1" x14ac:dyDescent="0.2">
      <c r="A6633" s="526"/>
      <c r="B6633" s="527"/>
      <c r="C6633" s="534"/>
      <c r="D6633" s="535"/>
      <c r="E6633" s="535"/>
      <c r="F6633" s="167"/>
      <c r="G6633" s="513"/>
      <c r="H6633" s="422"/>
      <c r="I6633" s="422"/>
      <c r="J6633" s="750" t="e">
        <f t="shared" si="87"/>
        <v>#DIV/0!</v>
      </c>
      <c r="K6633" s="423"/>
      <c r="L6633" s="424"/>
      <c r="M6633" s="682"/>
      <c r="N6633" s="171"/>
      <c r="O6633" s="171"/>
      <c r="P6633" s="171"/>
      <c r="Q6633" s="171"/>
      <c r="R6633" s="171"/>
      <c r="S6633" s="171"/>
      <c r="T6633" s="171"/>
      <c r="U6633" s="171"/>
      <c r="V6633" s="171"/>
      <c r="W6633" s="171"/>
      <c r="X6633" s="171"/>
      <c r="Y6633" s="171"/>
      <c r="Z6633" s="171"/>
      <c r="AA6633" s="171"/>
    </row>
    <row r="6634" spans="1:27" s="530" customFormat="1" hidden="1" x14ac:dyDescent="0.2">
      <c r="A6634" s="526"/>
      <c r="B6634" s="527"/>
      <c r="C6634" s="534"/>
      <c r="D6634" s="535"/>
      <c r="E6634" s="535"/>
      <c r="F6634" s="167"/>
      <c r="G6634" s="513"/>
      <c r="H6634" s="422"/>
      <c r="I6634" s="422"/>
      <c r="J6634" s="750" t="e">
        <f t="shared" si="87"/>
        <v>#DIV/0!</v>
      </c>
      <c r="K6634" s="423"/>
      <c r="L6634" s="424"/>
      <c r="M6634" s="682"/>
      <c r="N6634" s="171"/>
      <c r="O6634" s="171"/>
      <c r="P6634" s="171"/>
      <c r="Q6634" s="171"/>
      <c r="R6634" s="171"/>
      <c r="S6634" s="171"/>
      <c r="T6634" s="171"/>
      <c r="U6634" s="171"/>
      <c r="V6634" s="171"/>
      <c r="W6634" s="171"/>
      <c r="X6634" s="171"/>
      <c r="Y6634" s="171"/>
      <c r="Z6634" s="171"/>
      <c r="AA6634" s="171"/>
    </row>
    <row r="6635" spans="1:27" s="530" customFormat="1" hidden="1" x14ac:dyDescent="0.2">
      <c r="A6635" s="526"/>
      <c r="B6635" s="527"/>
      <c r="C6635" s="534"/>
      <c r="D6635" s="535"/>
      <c r="E6635" s="535"/>
      <c r="F6635" s="167"/>
      <c r="G6635" s="513"/>
      <c r="H6635" s="422"/>
      <c r="I6635" s="422"/>
      <c r="J6635" s="750" t="e">
        <f t="shared" si="87"/>
        <v>#DIV/0!</v>
      </c>
      <c r="K6635" s="423"/>
      <c r="L6635" s="424"/>
      <c r="M6635" s="682"/>
      <c r="N6635" s="171"/>
      <c r="O6635" s="171"/>
      <c r="P6635" s="171"/>
      <c r="Q6635" s="171"/>
      <c r="R6635" s="171"/>
      <c r="S6635" s="171"/>
      <c r="T6635" s="171"/>
      <c r="U6635" s="171"/>
      <c r="V6635" s="171"/>
      <c r="W6635" s="171"/>
      <c r="X6635" s="171"/>
      <c r="Y6635" s="171"/>
      <c r="Z6635" s="171"/>
      <c r="AA6635" s="171"/>
    </row>
    <row r="6636" spans="1:27" s="530" customFormat="1" hidden="1" x14ac:dyDescent="0.2">
      <c r="A6636" s="526"/>
      <c r="B6636" s="527"/>
      <c r="C6636" s="534"/>
      <c r="D6636" s="535"/>
      <c r="E6636" s="535"/>
      <c r="F6636" s="167"/>
      <c r="G6636" s="513"/>
      <c r="H6636" s="422"/>
      <c r="I6636" s="422"/>
      <c r="J6636" s="750" t="e">
        <f t="shared" si="87"/>
        <v>#DIV/0!</v>
      </c>
      <c r="K6636" s="423"/>
      <c r="L6636" s="424"/>
      <c r="M6636" s="682"/>
      <c r="N6636" s="171"/>
      <c r="O6636" s="171"/>
      <c r="P6636" s="171"/>
      <c r="Q6636" s="171"/>
      <c r="R6636" s="171"/>
      <c r="S6636" s="171"/>
      <c r="T6636" s="171"/>
      <c r="U6636" s="171"/>
      <c r="V6636" s="171"/>
      <c r="W6636" s="171"/>
      <c r="X6636" s="171"/>
      <c r="Y6636" s="171"/>
      <c r="Z6636" s="171"/>
      <c r="AA6636" s="171"/>
    </row>
    <row r="6637" spans="1:27" s="530" customFormat="1" hidden="1" x14ac:dyDescent="0.2">
      <c r="A6637" s="526"/>
      <c r="B6637" s="527"/>
      <c r="C6637" s="534"/>
      <c r="D6637" s="535"/>
      <c r="E6637" s="535"/>
      <c r="F6637" s="167"/>
      <c r="G6637" s="513"/>
      <c r="H6637" s="422"/>
      <c r="I6637" s="422"/>
      <c r="J6637" s="750" t="e">
        <f t="shared" si="87"/>
        <v>#DIV/0!</v>
      </c>
      <c r="K6637" s="423"/>
      <c r="L6637" s="424"/>
      <c r="M6637" s="682"/>
      <c r="N6637" s="171"/>
      <c r="O6637" s="171"/>
      <c r="P6637" s="171"/>
      <c r="Q6637" s="171"/>
      <c r="R6637" s="171"/>
      <c r="S6637" s="171"/>
      <c r="T6637" s="171"/>
      <c r="U6637" s="171"/>
      <c r="V6637" s="171"/>
      <c r="W6637" s="171"/>
      <c r="X6637" s="171"/>
      <c r="Y6637" s="171"/>
      <c r="Z6637" s="171"/>
      <c r="AA6637" s="171"/>
    </row>
    <row r="6638" spans="1:27" s="530" customFormat="1" hidden="1" x14ac:dyDescent="0.2">
      <c r="A6638" s="526"/>
      <c r="B6638" s="527"/>
      <c r="C6638" s="534"/>
      <c r="D6638" s="535"/>
      <c r="E6638" s="535"/>
      <c r="F6638" s="167"/>
      <c r="G6638" s="513"/>
      <c r="H6638" s="422"/>
      <c r="I6638" s="422"/>
      <c r="J6638" s="750" t="e">
        <f t="shared" si="87"/>
        <v>#DIV/0!</v>
      </c>
      <c r="K6638" s="423"/>
      <c r="L6638" s="424"/>
      <c r="M6638" s="682"/>
      <c r="N6638" s="171"/>
      <c r="O6638" s="171"/>
      <c r="P6638" s="171"/>
      <c r="Q6638" s="171"/>
      <c r="R6638" s="171"/>
      <c r="S6638" s="171"/>
      <c r="T6638" s="171"/>
      <c r="U6638" s="171"/>
      <c r="V6638" s="171"/>
      <c r="W6638" s="171"/>
      <c r="X6638" s="171"/>
      <c r="Y6638" s="171"/>
      <c r="Z6638" s="171"/>
      <c r="AA6638" s="171"/>
    </row>
    <row r="6639" spans="1:27" s="530" customFormat="1" hidden="1" x14ac:dyDescent="0.2">
      <c r="A6639" s="526"/>
      <c r="B6639" s="527"/>
      <c r="C6639" s="484"/>
      <c r="D6639" s="485"/>
      <c r="E6639" s="485"/>
      <c r="F6639" s="485"/>
      <c r="G6639" s="615" t="s">
        <v>4272</v>
      </c>
      <c r="H6639" s="416"/>
      <c r="I6639" s="416"/>
      <c r="J6639" s="750" t="e">
        <f t="shared" si="87"/>
        <v>#DIV/0!</v>
      </c>
      <c r="K6639" s="417"/>
      <c r="L6639" s="417"/>
      <c r="M6639" s="682"/>
      <c r="N6639" s="171"/>
      <c r="O6639" s="171"/>
      <c r="P6639" s="171"/>
      <c r="Q6639" s="171"/>
      <c r="R6639" s="171"/>
      <c r="S6639" s="171"/>
      <c r="T6639" s="171"/>
      <c r="U6639" s="171"/>
      <c r="V6639" s="171"/>
      <c r="W6639" s="171"/>
      <c r="X6639" s="171"/>
      <c r="Y6639" s="171"/>
      <c r="Z6639" s="171"/>
      <c r="AA6639" s="171"/>
    </row>
    <row r="6640" spans="1:27" s="530" customFormat="1" hidden="1" x14ac:dyDescent="0.2">
      <c r="A6640" s="526"/>
      <c r="B6640" s="527"/>
      <c r="C6640" s="489" t="s">
        <v>3600</v>
      </c>
      <c r="D6640" s="464"/>
      <c r="E6640" s="464"/>
      <c r="F6640" s="464"/>
      <c r="G6640" s="513" t="s">
        <v>4166</v>
      </c>
      <c r="H6640" s="397"/>
      <c r="I6640" s="397"/>
      <c r="J6640" s="750" t="e">
        <f t="shared" si="87"/>
        <v>#DIV/0!</v>
      </c>
      <c r="K6640" s="398"/>
      <c r="L6640" s="398"/>
      <c r="M6640" s="682"/>
      <c r="N6640" s="171"/>
      <c r="O6640" s="171"/>
      <c r="P6640" s="171"/>
      <c r="Q6640" s="171"/>
      <c r="R6640" s="171"/>
      <c r="S6640" s="171"/>
      <c r="T6640" s="171"/>
      <c r="U6640" s="171"/>
      <c r="V6640" s="171"/>
      <c r="W6640" s="171"/>
      <c r="X6640" s="171"/>
      <c r="Y6640" s="171"/>
      <c r="Z6640" s="171"/>
      <c r="AA6640" s="171"/>
    </row>
    <row r="6641" spans="8:27" s="530" customFormat="1" hidden="1" x14ac:dyDescent="0.2">
      <c r="H6641" s="428"/>
      <c r="I6641" s="428"/>
      <c r="J6641" s="750" t="e">
        <f t="shared" si="87"/>
        <v>#DIV/0!</v>
      </c>
      <c r="K6641" s="428"/>
      <c r="L6641" s="428"/>
      <c r="M6641" s="682"/>
      <c r="N6641" s="171"/>
      <c r="O6641" s="171"/>
      <c r="P6641" s="171"/>
      <c r="Q6641" s="171"/>
      <c r="R6641" s="171"/>
      <c r="S6641" s="171"/>
      <c r="T6641" s="171"/>
      <c r="U6641" s="171"/>
      <c r="V6641" s="171"/>
      <c r="W6641" s="171"/>
      <c r="X6641" s="171"/>
      <c r="Y6641" s="171"/>
      <c r="Z6641" s="171"/>
      <c r="AA6641" s="171"/>
    </row>
    <row r="6642" spans="8:27" s="530" customFormat="1" hidden="1" x14ac:dyDescent="0.2">
      <c r="H6642" s="428"/>
      <c r="I6642" s="428"/>
      <c r="J6642" s="750" t="e">
        <f t="shared" si="87"/>
        <v>#DIV/0!</v>
      </c>
      <c r="K6642" s="428"/>
      <c r="L6642" s="428"/>
      <c r="M6642" s="682"/>
      <c r="N6642" s="171"/>
      <c r="O6642" s="171"/>
      <c r="P6642" s="171"/>
      <c r="Q6642" s="171"/>
      <c r="R6642" s="171"/>
      <c r="S6642" s="171"/>
      <c r="T6642" s="171"/>
      <c r="U6642" s="171"/>
      <c r="V6642" s="171"/>
      <c r="W6642" s="171"/>
      <c r="X6642" s="171"/>
      <c r="Y6642" s="171"/>
      <c r="Z6642" s="171"/>
      <c r="AA6642" s="171"/>
    </row>
    <row r="6643" spans="8:27" s="530" customFormat="1" hidden="1" x14ac:dyDescent="0.2">
      <c r="H6643" s="428"/>
      <c r="I6643" s="428"/>
      <c r="J6643" s="750" t="e">
        <f t="shared" si="87"/>
        <v>#DIV/0!</v>
      </c>
      <c r="K6643" s="428"/>
      <c r="L6643" s="428"/>
      <c r="M6643" s="682"/>
      <c r="N6643" s="171"/>
      <c r="O6643" s="171"/>
      <c r="P6643" s="171"/>
      <c r="Q6643" s="171"/>
      <c r="R6643" s="171"/>
      <c r="S6643" s="171"/>
      <c r="T6643" s="171"/>
      <c r="U6643" s="171"/>
      <c r="V6643" s="171"/>
      <c r="W6643" s="171"/>
      <c r="X6643" s="171"/>
      <c r="Y6643" s="171"/>
      <c r="Z6643" s="171"/>
      <c r="AA6643" s="171"/>
    </row>
    <row r="6644" spans="8:27" s="530" customFormat="1" hidden="1" x14ac:dyDescent="0.2">
      <c r="H6644" s="428"/>
      <c r="I6644" s="428"/>
      <c r="J6644" s="750" t="e">
        <f t="shared" si="87"/>
        <v>#DIV/0!</v>
      </c>
      <c r="K6644" s="428"/>
      <c r="L6644" s="428"/>
      <c r="M6644" s="682"/>
      <c r="N6644" s="171"/>
      <c r="O6644" s="171"/>
      <c r="P6644" s="171"/>
      <c r="Q6644" s="171"/>
      <c r="R6644" s="171"/>
      <c r="S6644" s="171"/>
      <c r="T6644" s="171"/>
      <c r="U6644" s="171"/>
      <c r="V6644" s="171"/>
      <c r="W6644" s="171"/>
      <c r="X6644" s="171"/>
      <c r="Y6644" s="171"/>
      <c r="Z6644" s="171"/>
      <c r="AA6644" s="171"/>
    </row>
    <row r="6645" spans="8:27" s="530" customFormat="1" hidden="1" x14ac:dyDescent="0.2">
      <c r="H6645" s="428"/>
      <c r="I6645" s="428"/>
      <c r="J6645" s="750" t="e">
        <f t="shared" si="87"/>
        <v>#DIV/0!</v>
      </c>
      <c r="K6645" s="428"/>
      <c r="L6645" s="428"/>
      <c r="M6645" s="682"/>
      <c r="N6645" s="171"/>
      <c r="O6645" s="171"/>
      <c r="P6645" s="171"/>
      <c r="Q6645" s="171"/>
      <c r="R6645" s="171"/>
      <c r="S6645" s="171"/>
      <c r="T6645" s="171"/>
      <c r="U6645" s="171"/>
      <c r="V6645" s="171"/>
      <c r="W6645" s="171"/>
      <c r="X6645" s="171"/>
      <c r="Y6645" s="171"/>
      <c r="Z6645" s="171"/>
      <c r="AA6645" s="171"/>
    </row>
    <row r="6646" spans="8:27" s="530" customFormat="1" hidden="1" x14ac:dyDescent="0.2">
      <c r="H6646" s="428"/>
      <c r="I6646" s="428"/>
      <c r="J6646" s="750" t="e">
        <f t="shared" si="87"/>
        <v>#DIV/0!</v>
      </c>
      <c r="K6646" s="428"/>
      <c r="L6646" s="428"/>
      <c r="M6646" s="682"/>
      <c r="N6646" s="171"/>
      <c r="O6646" s="171"/>
      <c r="P6646" s="171"/>
      <c r="Q6646" s="171"/>
      <c r="R6646" s="171"/>
      <c r="S6646" s="171"/>
      <c r="T6646" s="171"/>
      <c r="U6646" s="171"/>
      <c r="V6646" s="171"/>
      <c r="W6646" s="171"/>
      <c r="X6646" s="171"/>
      <c r="Y6646" s="171"/>
      <c r="Z6646" s="171"/>
      <c r="AA6646" s="171"/>
    </row>
    <row r="6647" spans="8:27" s="530" customFormat="1" hidden="1" x14ac:dyDescent="0.2">
      <c r="H6647" s="428"/>
      <c r="I6647" s="428"/>
      <c r="J6647" s="750" t="e">
        <f t="shared" si="87"/>
        <v>#DIV/0!</v>
      </c>
      <c r="K6647" s="428"/>
      <c r="L6647" s="428"/>
      <c r="M6647" s="682"/>
      <c r="N6647" s="171"/>
      <c r="O6647" s="171"/>
      <c r="P6647" s="171"/>
      <c r="Q6647" s="171"/>
      <c r="R6647" s="171"/>
      <c r="S6647" s="171"/>
      <c r="T6647" s="171"/>
      <c r="U6647" s="171"/>
      <c r="V6647" s="171"/>
      <c r="W6647" s="171"/>
      <c r="X6647" s="171"/>
      <c r="Y6647" s="171"/>
      <c r="Z6647" s="171"/>
      <c r="AA6647" s="171"/>
    </row>
    <row r="6648" spans="8:27" s="530" customFormat="1" hidden="1" x14ac:dyDescent="0.2">
      <c r="H6648" s="428"/>
      <c r="I6648" s="428"/>
      <c r="J6648" s="750" t="e">
        <f t="shared" si="87"/>
        <v>#DIV/0!</v>
      </c>
      <c r="K6648" s="428"/>
      <c r="L6648" s="428"/>
      <c r="M6648" s="682"/>
      <c r="N6648" s="171"/>
      <c r="O6648" s="171"/>
      <c r="P6648" s="171"/>
      <c r="Q6648" s="171"/>
      <c r="R6648" s="171"/>
      <c r="S6648" s="171"/>
      <c r="T6648" s="171"/>
      <c r="U6648" s="171"/>
      <c r="V6648" s="171"/>
      <c r="W6648" s="171"/>
      <c r="X6648" s="171"/>
      <c r="Y6648" s="171"/>
      <c r="Z6648" s="171"/>
      <c r="AA6648" s="171"/>
    </row>
    <row r="6649" spans="8:27" s="530" customFormat="1" hidden="1" x14ac:dyDescent="0.2">
      <c r="H6649" s="428"/>
      <c r="I6649" s="428"/>
      <c r="J6649" s="750" t="e">
        <f t="shared" si="87"/>
        <v>#DIV/0!</v>
      </c>
      <c r="K6649" s="428"/>
      <c r="L6649" s="428"/>
      <c r="M6649" s="682"/>
      <c r="N6649" s="171"/>
      <c r="O6649" s="171"/>
      <c r="P6649" s="171"/>
      <c r="Q6649" s="171"/>
      <c r="R6649" s="171"/>
      <c r="S6649" s="171"/>
      <c r="T6649" s="171"/>
      <c r="U6649" s="171"/>
      <c r="V6649" s="171"/>
      <c r="W6649" s="171"/>
      <c r="X6649" s="171"/>
      <c r="Y6649" s="171"/>
      <c r="Z6649" s="171"/>
      <c r="AA6649" s="171"/>
    </row>
    <row r="6650" spans="8:27" s="530" customFormat="1" hidden="1" x14ac:dyDescent="0.2">
      <c r="H6650" s="428"/>
      <c r="I6650" s="428"/>
      <c r="J6650" s="750" t="e">
        <f t="shared" si="87"/>
        <v>#DIV/0!</v>
      </c>
      <c r="K6650" s="428"/>
      <c r="L6650" s="428"/>
      <c r="M6650" s="682"/>
      <c r="N6650" s="171"/>
      <c r="O6650" s="171"/>
      <c r="P6650" s="171"/>
      <c r="Q6650" s="171"/>
      <c r="R6650" s="171"/>
      <c r="S6650" s="171"/>
      <c r="T6650" s="171"/>
      <c r="U6650" s="171"/>
      <c r="V6650" s="171"/>
      <c r="W6650" s="171"/>
      <c r="X6650" s="171"/>
      <c r="Y6650" s="171"/>
      <c r="Z6650" s="171"/>
      <c r="AA6650" s="171"/>
    </row>
    <row r="6651" spans="8:27" s="530" customFormat="1" hidden="1" x14ac:dyDescent="0.2">
      <c r="H6651" s="428"/>
      <c r="I6651" s="428"/>
      <c r="J6651" s="750" t="e">
        <f t="shared" si="87"/>
        <v>#DIV/0!</v>
      </c>
      <c r="K6651" s="428"/>
      <c r="L6651" s="428"/>
      <c r="M6651" s="682"/>
      <c r="N6651" s="171"/>
      <c r="O6651" s="171"/>
      <c r="P6651" s="171"/>
      <c r="Q6651" s="171"/>
      <c r="R6651" s="171"/>
      <c r="S6651" s="171"/>
      <c r="T6651" s="171"/>
      <c r="U6651" s="171"/>
      <c r="V6651" s="171"/>
      <c r="W6651" s="171"/>
      <c r="X6651" s="171"/>
      <c r="Y6651" s="171"/>
      <c r="Z6651" s="171"/>
      <c r="AA6651" s="171"/>
    </row>
    <row r="6652" spans="8:27" s="530" customFormat="1" hidden="1" x14ac:dyDescent="0.2">
      <c r="H6652" s="428"/>
      <c r="I6652" s="428"/>
      <c r="J6652" s="750" t="e">
        <f t="shared" si="87"/>
        <v>#DIV/0!</v>
      </c>
      <c r="K6652" s="428"/>
      <c r="L6652" s="428"/>
      <c r="M6652" s="682"/>
      <c r="N6652" s="171"/>
      <c r="O6652" s="171"/>
      <c r="P6652" s="171"/>
      <c r="Q6652" s="171"/>
      <c r="R6652" s="171"/>
      <c r="S6652" s="171"/>
      <c r="T6652" s="171"/>
      <c r="U6652" s="171"/>
      <c r="V6652" s="171"/>
      <c r="W6652" s="171"/>
      <c r="X6652" s="171"/>
      <c r="Y6652" s="171"/>
      <c r="Z6652" s="171"/>
      <c r="AA6652" s="171"/>
    </row>
    <row r="6653" spans="8:27" s="530" customFormat="1" hidden="1" x14ac:dyDescent="0.2">
      <c r="H6653" s="428"/>
      <c r="I6653" s="428"/>
      <c r="J6653" s="750" t="e">
        <f t="shared" si="87"/>
        <v>#DIV/0!</v>
      </c>
      <c r="K6653" s="428"/>
      <c r="L6653" s="428"/>
      <c r="M6653" s="682"/>
      <c r="N6653" s="171"/>
      <c r="O6653" s="171"/>
      <c r="P6653" s="171"/>
      <c r="Q6653" s="171"/>
      <c r="R6653" s="171"/>
      <c r="S6653" s="171"/>
      <c r="T6653" s="171"/>
      <c r="U6653" s="171"/>
      <c r="V6653" s="171"/>
      <c r="W6653" s="171"/>
      <c r="X6653" s="171"/>
      <c r="Y6653" s="171"/>
      <c r="Z6653" s="171"/>
      <c r="AA6653" s="171"/>
    </row>
    <row r="6654" spans="8:27" s="530" customFormat="1" hidden="1" x14ac:dyDescent="0.2">
      <c r="H6654" s="428"/>
      <c r="I6654" s="428"/>
      <c r="J6654" s="750" t="e">
        <f t="shared" si="87"/>
        <v>#DIV/0!</v>
      </c>
      <c r="K6654" s="428"/>
      <c r="L6654" s="428"/>
      <c r="M6654" s="682"/>
      <c r="N6654" s="171"/>
      <c r="O6654" s="171"/>
      <c r="P6654" s="171"/>
      <c r="Q6654" s="171"/>
      <c r="R6654" s="171"/>
      <c r="S6654" s="171"/>
      <c r="T6654" s="171"/>
      <c r="U6654" s="171"/>
      <c r="V6654" s="171"/>
      <c r="W6654" s="171"/>
      <c r="X6654" s="171"/>
      <c r="Y6654" s="171"/>
      <c r="Z6654" s="171"/>
      <c r="AA6654" s="171"/>
    </row>
    <row r="6655" spans="8:27" s="530" customFormat="1" hidden="1" x14ac:dyDescent="0.2">
      <c r="H6655" s="428"/>
      <c r="I6655" s="428"/>
      <c r="J6655" s="750" t="e">
        <f t="shared" si="87"/>
        <v>#DIV/0!</v>
      </c>
      <c r="K6655" s="428"/>
      <c r="L6655" s="428"/>
      <c r="M6655" s="682"/>
      <c r="N6655" s="171"/>
      <c r="O6655" s="171"/>
      <c r="P6655" s="171"/>
      <c r="Q6655" s="171"/>
      <c r="R6655" s="171"/>
      <c r="S6655" s="171"/>
      <c r="T6655" s="171"/>
      <c r="U6655" s="171"/>
      <c r="V6655" s="171"/>
      <c r="W6655" s="171"/>
      <c r="X6655" s="171"/>
      <c r="Y6655" s="171"/>
      <c r="Z6655" s="171"/>
      <c r="AA6655" s="171"/>
    </row>
    <row r="6656" spans="8:27" s="530" customFormat="1" hidden="1" x14ac:dyDescent="0.2">
      <c r="H6656" s="428"/>
      <c r="I6656" s="428"/>
      <c r="J6656" s="750" t="e">
        <f t="shared" si="87"/>
        <v>#DIV/0!</v>
      </c>
      <c r="K6656" s="428"/>
      <c r="L6656" s="428"/>
      <c r="M6656" s="682"/>
      <c r="N6656" s="171"/>
      <c r="O6656" s="171"/>
      <c r="P6656" s="171"/>
      <c r="Q6656" s="171"/>
      <c r="R6656" s="171"/>
      <c r="S6656" s="171"/>
      <c r="T6656" s="171"/>
      <c r="U6656" s="171"/>
      <c r="V6656" s="171"/>
      <c r="W6656" s="171"/>
      <c r="X6656" s="171"/>
      <c r="Y6656" s="171"/>
      <c r="Z6656" s="171"/>
      <c r="AA6656" s="171"/>
    </row>
    <row r="6657" spans="8:27" s="530" customFormat="1" hidden="1" x14ac:dyDescent="0.2">
      <c r="H6657" s="428"/>
      <c r="I6657" s="428"/>
      <c r="J6657" s="750" t="e">
        <f t="shared" si="87"/>
        <v>#DIV/0!</v>
      </c>
      <c r="K6657" s="428"/>
      <c r="L6657" s="428"/>
      <c r="M6657" s="682"/>
      <c r="N6657" s="171"/>
      <c r="O6657" s="171"/>
      <c r="P6657" s="171"/>
      <c r="Q6657" s="171"/>
      <c r="R6657" s="171"/>
      <c r="S6657" s="171"/>
      <c r="T6657" s="171"/>
      <c r="U6657" s="171"/>
      <c r="V6657" s="171"/>
      <c r="W6657" s="171"/>
      <c r="X6657" s="171"/>
      <c r="Y6657" s="171"/>
      <c r="Z6657" s="171"/>
      <c r="AA6657" s="171"/>
    </row>
    <row r="6658" spans="8:27" s="530" customFormat="1" hidden="1" x14ac:dyDescent="0.2">
      <c r="H6658" s="428"/>
      <c r="I6658" s="428"/>
      <c r="J6658" s="750" t="e">
        <f t="shared" si="87"/>
        <v>#DIV/0!</v>
      </c>
      <c r="K6658" s="428"/>
      <c r="L6658" s="428"/>
      <c r="M6658" s="682"/>
      <c r="N6658" s="171"/>
      <c r="O6658" s="171"/>
      <c r="P6658" s="171"/>
      <c r="Q6658" s="171"/>
      <c r="R6658" s="171"/>
      <c r="S6658" s="171"/>
      <c r="T6658" s="171"/>
      <c r="U6658" s="171"/>
      <c r="V6658" s="171"/>
      <c r="W6658" s="171"/>
      <c r="X6658" s="171"/>
      <c r="Y6658" s="171"/>
      <c r="Z6658" s="171"/>
      <c r="AA6658" s="171"/>
    </row>
    <row r="6659" spans="8:27" s="530" customFormat="1" hidden="1" x14ac:dyDescent="0.2">
      <c r="H6659" s="428"/>
      <c r="I6659" s="428"/>
      <c r="J6659" s="750" t="e">
        <f t="shared" si="87"/>
        <v>#DIV/0!</v>
      </c>
      <c r="K6659" s="428"/>
      <c r="L6659" s="428"/>
      <c r="M6659" s="682"/>
      <c r="N6659" s="171"/>
      <c r="O6659" s="171"/>
      <c r="P6659" s="171"/>
      <c r="Q6659" s="171"/>
      <c r="R6659" s="171"/>
      <c r="S6659" s="171"/>
      <c r="T6659" s="171"/>
      <c r="U6659" s="171"/>
      <c r="V6659" s="171"/>
      <c r="W6659" s="171"/>
      <c r="X6659" s="171"/>
      <c r="Y6659" s="171"/>
      <c r="Z6659" s="171"/>
      <c r="AA6659" s="171"/>
    </row>
    <row r="6660" spans="8:27" s="530" customFormat="1" hidden="1" x14ac:dyDescent="0.2">
      <c r="H6660" s="428"/>
      <c r="I6660" s="428"/>
      <c r="J6660" s="750" t="e">
        <f t="shared" si="87"/>
        <v>#DIV/0!</v>
      </c>
      <c r="K6660" s="428"/>
      <c r="L6660" s="428"/>
      <c r="M6660" s="682"/>
      <c r="N6660" s="171"/>
      <c r="O6660" s="171"/>
      <c r="P6660" s="171"/>
      <c r="Q6660" s="171"/>
      <c r="R6660" s="171"/>
      <c r="S6660" s="171"/>
      <c r="T6660" s="171"/>
      <c r="U6660" s="171"/>
      <c r="V6660" s="171"/>
      <c r="W6660" s="171"/>
      <c r="X6660" s="171"/>
      <c r="Y6660" s="171"/>
      <c r="Z6660" s="171"/>
      <c r="AA6660" s="171"/>
    </row>
    <row r="6661" spans="8:27" s="530" customFormat="1" hidden="1" x14ac:dyDescent="0.2">
      <c r="H6661" s="428"/>
      <c r="I6661" s="428"/>
      <c r="J6661" s="750" t="e">
        <f t="shared" si="87"/>
        <v>#DIV/0!</v>
      </c>
      <c r="K6661" s="428"/>
      <c r="L6661" s="428"/>
      <c r="M6661" s="682"/>
      <c r="N6661" s="171"/>
      <c r="O6661" s="171"/>
      <c r="P6661" s="171"/>
      <c r="Q6661" s="171"/>
      <c r="R6661" s="171"/>
      <c r="S6661" s="171"/>
      <c r="T6661" s="171"/>
      <c r="U6661" s="171"/>
      <c r="V6661" s="171"/>
      <c r="W6661" s="171"/>
      <c r="X6661" s="171"/>
      <c r="Y6661" s="171"/>
      <c r="Z6661" s="171"/>
      <c r="AA6661" s="171"/>
    </row>
    <row r="6662" spans="8:27" s="530" customFormat="1" hidden="1" x14ac:dyDescent="0.2">
      <c r="H6662" s="428"/>
      <c r="I6662" s="428"/>
      <c r="J6662" s="750" t="e">
        <f t="shared" si="87"/>
        <v>#DIV/0!</v>
      </c>
      <c r="K6662" s="428"/>
      <c r="L6662" s="428"/>
      <c r="M6662" s="682"/>
      <c r="N6662" s="171"/>
      <c r="O6662" s="171"/>
      <c r="P6662" s="171"/>
      <c r="Q6662" s="171"/>
      <c r="R6662" s="171"/>
      <c r="S6662" s="171"/>
      <c r="T6662" s="171"/>
      <c r="U6662" s="171"/>
      <c r="V6662" s="171"/>
      <c r="W6662" s="171"/>
      <c r="X6662" s="171"/>
      <c r="Y6662" s="171"/>
      <c r="Z6662" s="171"/>
      <c r="AA6662" s="171"/>
    </row>
    <row r="6663" spans="8:27" s="530" customFormat="1" hidden="1" x14ac:dyDescent="0.2">
      <c r="H6663" s="428"/>
      <c r="I6663" s="428"/>
      <c r="J6663" s="750" t="e">
        <f t="shared" si="87"/>
        <v>#DIV/0!</v>
      </c>
      <c r="K6663" s="428"/>
      <c r="L6663" s="428"/>
      <c r="M6663" s="682"/>
      <c r="N6663" s="171"/>
      <c r="O6663" s="171"/>
      <c r="P6663" s="171"/>
      <c r="Q6663" s="171"/>
      <c r="R6663" s="171"/>
      <c r="S6663" s="171"/>
      <c r="T6663" s="171"/>
      <c r="U6663" s="171"/>
      <c r="V6663" s="171"/>
      <c r="W6663" s="171"/>
      <c r="X6663" s="171"/>
      <c r="Y6663" s="171"/>
      <c r="Z6663" s="171"/>
      <c r="AA6663" s="171"/>
    </row>
    <row r="6664" spans="8:27" s="530" customFormat="1" hidden="1" x14ac:dyDescent="0.2">
      <c r="H6664" s="428"/>
      <c r="I6664" s="428"/>
      <c r="J6664" s="750" t="e">
        <f t="shared" si="87"/>
        <v>#DIV/0!</v>
      </c>
      <c r="K6664" s="428"/>
      <c r="L6664" s="428"/>
      <c r="M6664" s="682"/>
      <c r="N6664" s="171"/>
      <c r="O6664" s="171"/>
      <c r="P6664" s="171"/>
      <c r="Q6664" s="171"/>
      <c r="R6664" s="171"/>
      <c r="S6664" s="171"/>
      <c r="T6664" s="171"/>
      <c r="U6664" s="171"/>
      <c r="V6664" s="171"/>
      <c r="W6664" s="171"/>
      <c r="X6664" s="171"/>
      <c r="Y6664" s="171"/>
      <c r="Z6664" s="171"/>
      <c r="AA6664" s="171"/>
    </row>
    <row r="6665" spans="8:27" s="530" customFormat="1" hidden="1" x14ac:dyDescent="0.2">
      <c r="H6665" s="428"/>
      <c r="I6665" s="428"/>
      <c r="J6665" s="750" t="e">
        <f t="shared" si="87"/>
        <v>#DIV/0!</v>
      </c>
      <c r="K6665" s="428"/>
      <c r="L6665" s="428"/>
      <c r="M6665" s="682"/>
      <c r="N6665" s="171"/>
      <c r="O6665" s="171"/>
      <c r="P6665" s="171"/>
      <c r="Q6665" s="171"/>
      <c r="R6665" s="171"/>
      <c r="S6665" s="171"/>
      <c r="T6665" s="171"/>
      <c r="U6665" s="171"/>
      <c r="V6665" s="171"/>
      <c r="W6665" s="171"/>
      <c r="X6665" s="171"/>
      <c r="Y6665" s="171"/>
      <c r="Z6665" s="171"/>
      <c r="AA6665" s="171"/>
    </row>
    <row r="6666" spans="8:27" s="530" customFormat="1" hidden="1" x14ac:dyDescent="0.2">
      <c r="H6666" s="428"/>
      <c r="I6666" s="428"/>
      <c r="J6666" s="750" t="e">
        <f t="shared" si="87"/>
        <v>#DIV/0!</v>
      </c>
      <c r="K6666" s="428"/>
      <c r="L6666" s="428"/>
      <c r="M6666" s="682"/>
      <c r="N6666" s="171"/>
      <c r="O6666" s="171"/>
      <c r="P6666" s="171"/>
      <c r="Q6666" s="171"/>
      <c r="R6666" s="171"/>
      <c r="S6666" s="171"/>
      <c r="T6666" s="171"/>
      <c r="U6666" s="171"/>
      <c r="V6666" s="171"/>
      <c r="W6666" s="171"/>
      <c r="X6666" s="171"/>
      <c r="Y6666" s="171"/>
      <c r="Z6666" s="171"/>
      <c r="AA6666" s="171"/>
    </row>
    <row r="6667" spans="8:27" s="530" customFormat="1" hidden="1" x14ac:dyDescent="0.2">
      <c r="H6667" s="428"/>
      <c r="I6667" s="428"/>
      <c r="J6667" s="750" t="e">
        <f t="shared" si="87"/>
        <v>#DIV/0!</v>
      </c>
      <c r="K6667" s="428"/>
      <c r="L6667" s="428"/>
      <c r="M6667" s="682"/>
      <c r="N6667" s="171"/>
      <c r="O6667" s="171"/>
      <c r="P6667" s="171"/>
      <c r="Q6667" s="171"/>
      <c r="R6667" s="171"/>
      <c r="S6667" s="171"/>
      <c r="T6667" s="171"/>
      <c r="U6667" s="171"/>
      <c r="V6667" s="171"/>
      <c r="W6667" s="171"/>
      <c r="X6667" s="171"/>
      <c r="Y6667" s="171"/>
      <c r="Z6667" s="171"/>
      <c r="AA6667" s="171"/>
    </row>
    <row r="6668" spans="8:27" s="530" customFormat="1" hidden="1" x14ac:dyDescent="0.2">
      <c r="H6668" s="428"/>
      <c r="I6668" s="428"/>
      <c r="J6668" s="750" t="e">
        <f t="shared" si="87"/>
        <v>#DIV/0!</v>
      </c>
      <c r="K6668" s="428"/>
      <c r="L6668" s="428"/>
      <c r="M6668" s="682"/>
      <c r="N6668" s="171"/>
      <c r="O6668" s="171"/>
      <c r="P6668" s="171"/>
      <c r="Q6668" s="171"/>
      <c r="R6668" s="171"/>
      <c r="S6668" s="171"/>
      <c r="T6668" s="171"/>
      <c r="U6668" s="171"/>
      <c r="V6668" s="171"/>
      <c r="W6668" s="171"/>
      <c r="X6668" s="171"/>
      <c r="Y6668" s="171"/>
      <c r="Z6668" s="171"/>
      <c r="AA6668" s="171"/>
    </row>
    <row r="6669" spans="8:27" s="530" customFormat="1" hidden="1" x14ac:dyDescent="0.2">
      <c r="H6669" s="428"/>
      <c r="I6669" s="428"/>
      <c r="J6669" s="750" t="e">
        <f t="shared" ref="J6669:J6732" si="88">SUM(I6669/H6669)*100</f>
        <v>#DIV/0!</v>
      </c>
      <c r="K6669" s="428"/>
      <c r="L6669" s="428"/>
      <c r="M6669" s="682"/>
      <c r="N6669" s="171"/>
      <c r="O6669" s="171"/>
      <c r="P6669" s="171"/>
      <c r="Q6669" s="171"/>
      <c r="R6669" s="171"/>
      <c r="S6669" s="171"/>
      <c r="T6669" s="171"/>
      <c r="U6669" s="171"/>
      <c r="V6669" s="171"/>
      <c r="W6669" s="171"/>
      <c r="X6669" s="171"/>
      <c r="Y6669" s="171"/>
      <c r="Z6669" s="171"/>
      <c r="AA6669" s="171"/>
    </row>
    <row r="6670" spans="8:27" s="530" customFormat="1" hidden="1" x14ac:dyDescent="0.2">
      <c r="H6670" s="428"/>
      <c r="I6670" s="428"/>
      <c r="J6670" s="750" t="e">
        <f t="shared" si="88"/>
        <v>#DIV/0!</v>
      </c>
      <c r="K6670" s="428"/>
      <c r="L6670" s="428"/>
      <c r="M6670" s="682"/>
      <c r="N6670" s="171"/>
      <c r="O6670" s="171"/>
      <c r="P6670" s="171"/>
      <c r="Q6670" s="171"/>
      <c r="R6670" s="171"/>
      <c r="S6670" s="171"/>
      <c r="T6670" s="171"/>
      <c r="U6670" s="171"/>
      <c r="V6670" s="171"/>
      <c r="W6670" s="171"/>
      <c r="X6670" s="171"/>
      <c r="Y6670" s="171"/>
      <c r="Z6670" s="171"/>
      <c r="AA6670" s="171"/>
    </row>
    <row r="6671" spans="8:27" s="530" customFormat="1" hidden="1" x14ac:dyDescent="0.2">
      <c r="H6671" s="428"/>
      <c r="I6671" s="428"/>
      <c r="J6671" s="750" t="e">
        <f t="shared" si="88"/>
        <v>#DIV/0!</v>
      </c>
      <c r="K6671" s="428"/>
      <c r="L6671" s="428"/>
      <c r="M6671" s="682"/>
      <c r="N6671" s="171"/>
      <c r="O6671" s="171"/>
      <c r="P6671" s="171"/>
      <c r="Q6671" s="171"/>
      <c r="R6671" s="171"/>
      <c r="S6671" s="171"/>
      <c r="T6671" s="171"/>
      <c r="U6671" s="171"/>
      <c r="V6671" s="171"/>
      <c r="W6671" s="171"/>
      <c r="X6671" s="171"/>
      <c r="Y6671" s="171"/>
      <c r="Z6671" s="171"/>
      <c r="AA6671" s="171"/>
    </row>
    <row r="6672" spans="8:27" s="530" customFormat="1" hidden="1" x14ac:dyDescent="0.2">
      <c r="H6672" s="428"/>
      <c r="I6672" s="428"/>
      <c r="J6672" s="750" t="e">
        <f t="shared" si="88"/>
        <v>#DIV/0!</v>
      </c>
      <c r="K6672" s="428"/>
      <c r="L6672" s="428"/>
      <c r="M6672" s="682"/>
      <c r="N6672" s="171"/>
      <c r="O6672" s="171"/>
      <c r="P6672" s="171"/>
      <c r="Q6672" s="171"/>
      <c r="R6672" s="171"/>
      <c r="S6672" s="171"/>
      <c r="T6672" s="171"/>
      <c r="U6672" s="171"/>
      <c r="V6672" s="171"/>
      <c r="W6672" s="171"/>
      <c r="X6672" s="171"/>
      <c r="Y6672" s="171"/>
      <c r="Z6672" s="171"/>
      <c r="AA6672" s="171"/>
    </row>
    <row r="6673" spans="8:27" s="530" customFormat="1" hidden="1" x14ac:dyDescent="0.2">
      <c r="H6673" s="428"/>
      <c r="I6673" s="428"/>
      <c r="J6673" s="750" t="e">
        <f t="shared" si="88"/>
        <v>#DIV/0!</v>
      </c>
      <c r="K6673" s="428"/>
      <c r="L6673" s="428"/>
      <c r="M6673" s="682"/>
      <c r="N6673" s="171"/>
      <c r="O6673" s="171"/>
      <c r="P6673" s="171"/>
      <c r="Q6673" s="171"/>
      <c r="R6673" s="171"/>
      <c r="S6673" s="171"/>
      <c r="T6673" s="171"/>
      <c r="U6673" s="171"/>
      <c r="V6673" s="171"/>
      <c r="W6673" s="171"/>
      <c r="X6673" s="171"/>
      <c r="Y6673" s="171"/>
      <c r="Z6673" s="171"/>
      <c r="AA6673" s="171"/>
    </row>
    <row r="6674" spans="8:27" s="530" customFormat="1" hidden="1" x14ac:dyDescent="0.2">
      <c r="H6674" s="428"/>
      <c r="I6674" s="428"/>
      <c r="J6674" s="750" t="e">
        <f t="shared" si="88"/>
        <v>#DIV/0!</v>
      </c>
      <c r="K6674" s="428"/>
      <c r="L6674" s="428"/>
      <c r="M6674" s="682"/>
      <c r="N6674" s="171"/>
      <c r="O6674" s="171"/>
      <c r="P6674" s="171"/>
      <c r="Q6674" s="171"/>
      <c r="R6674" s="171"/>
      <c r="S6674" s="171"/>
      <c r="T6674" s="171"/>
      <c r="U6674" s="171"/>
      <c r="V6674" s="171"/>
      <c r="W6674" s="171"/>
      <c r="X6674" s="171"/>
      <c r="Y6674" s="171"/>
      <c r="Z6674" s="171"/>
      <c r="AA6674" s="171"/>
    </row>
    <row r="6675" spans="8:27" s="530" customFormat="1" hidden="1" x14ac:dyDescent="0.2">
      <c r="H6675" s="428"/>
      <c r="I6675" s="428"/>
      <c r="J6675" s="750" t="e">
        <f t="shared" si="88"/>
        <v>#DIV/0!</v>
      </c>
      <c r="K6675" s="428"/>
      <c r="L6675" s="428"/>
      <c r="M6675" s="682"/>
      <c r="N6675" s="171"/>
      <c r="O6675" s="171"/>
      <c r="P6675" s="171"/>
      <c r="Q6675" s="171"/>
      <c r="R6675" s="171"/>
      <c r="S6675" s="171"/>
      <c r="T6675" s="171"/>
      <c r="U6675" s="171"/>
      <c r="V6675" s="171"/>
      <c r="W6675" s="171"/>
      <c r="X6675" s="171"/>
      <c r="Y6675" s="171"/>
      <c r="Z6675" s="171"/>
      <c r="AA6675" s="171"/>
    </row>
    <row r="6676" spans="8:27" s="530" customFormat="1" hidden="1" x14ac:dyDescent="0.2">
      <c r="H6676" s="428"/>
      <c r="I6676" s="428"/>
      <c r="J6676" s="750" t="e">
        <f t="shared" si="88"/>
        <v>#DIV/0!</v>
      </c>
      <c r="K6676" s="428"/>
      <c r="L6676" s="428"/>
      <c r="M6676" s="682"/>
      <c r="N6676" s="171"/>
      <c r="O6676" s="171"/>
      <c r="P6676" s="171"/>
      <c r="Q6676" s="171"/>
      <c r="R6676" s="171"/>
      <c r="S6676" s="171"/>
      <c r="T6676" s="171"/>
      <c r="U6676" s="171"/>
      <c r="V6676" s="171"/>
      <c r="W6676" s="171"/>
      <c r="X6676" s="171"/>
      <c r="Y6676" s="171"/>
      <c r="Z6676" s="171"/>
      <c r="AA6676" s="171"/>
    </row>
    <row r="6677" spans="8:27" s="530" customFormat="1" hidden="1" x14ac:dyDescent="0.2">
      <c r="H6677" s="428"/>
      <c r="I6677" s="428"/>
      <c r="J6677" s="750" t="e">
        <f t="shared" si="88"/>
        <v>#DIV/0!</v>
      </c>
      <c r="K6677" s="428"/>
      <c r="L6677" s="428"/>
      <c r="M6677" s="682"/>
      <c r="N6677" s="171"/>
      <c r="O6677" s="171"/>
      <c r="P6677" s="171"/>
      <c r="Q6677" s="171"/>
      <c r="R6677" s="171"/>
      <c r="S6677" s="171"/>
      <c r="T6677" s="171"/>
      <c r="U6677" s="171"/>
      <c r="V6677" s="171"/>
      <c r="W6677" s="171"/>
      <c r="X6677" s="171"/>
      <c r="Y6677" s="171"/>
      <c r="Z6677" s="171"/>
      <c r="AA6677" s="171"/>
    </row>
    <row r="6678" spans="8:27" s="530" customFormat="1" hidden="1" x14ac:dyDescent="0.2">
      <c r="H6678" s="428"/>
      <c r="I6678" s="428"/>
      <c r="J6678" s="750" t="e">
        <f t="shared" si="88"/>
        <v>#DIV/0!</v>
      </c>
      <c r="K6678" s="428"/>
      <c r="L6678" s="428"/>
      <c r="M6678" s="682"/>
      <c r="N6678" s="171"/>
      <c r="O6678" s="171"/>
      <c r="P6678" s="171"/>
      <c r="Q6678" s="171"/>
      <c r="R6678" s="171"/>
      <c r="S6678" s="171"/>
      <c r="T6678" s="171"/>
      <c r="U6678" s="171"/>
      <c r="V6678" s="171"/>
      <c r="W6678" s="171"/>
      <c r="X6678" s="171"/>
      <c r="Y6678" s="171"/>
      <c r="Z6678" s="171"/>
      <c r="AA6678" s="171"/>
    </row>
    <row r="6679" spans="8:27" s="530" customFormat="1" hidden="1" x14ac:dyDescent="0.2">
      <c r="H6679" s="428"/>
      <c r="I6679" s="428"/>
      <c r="J6679" s="750" t="e">
        <f t="shared" si="88"/>
        <v>#DIV/0!</v>
      </c>
      <c r="K6679" s="428"/>
      <c r="L6679" s="428"/>
      <c r="M6679" s="682"/>
      <c r="N6679" s="171"/>
      <c r="O6679" s="171"/>
      <c r="P6679" s="171"/>
      <c r="Q6679" s="171"/>
      <c r="R6679" s="171"/>
      <c r="S6679" s="171"/>
      <c r="T6679" s="171"/>
      <c r="U6679" s="171"/>
      <c r="V6679" s="171"/>
      <c r="W6679" s="171"/>
      <c r="X6679" s="171"/>
      <c r="Y6679" s="171"/>
      <c r="Z6679" s="171"/>
      <c r="AA6679" s="171"/>
    </row>
    <row r="6680" spans="8:27" s="530" customFormat="1" hidden="1" x14ac:dyDescent="0.2">
      <c r="H6680" s="428"/>
      <c r="I6680" s="428"/>
      <c r="J6680" s="750" t="e">
        <f t="shared" si="88"/>
        <v>#DIV/0!</v>
      </c>
      <c r="K6680" s="428"/>
      <c r="L6680" s="428"/>
      <c r="M6680" s="682"/>
      <c r="N6680" s="171"/>
      <c r="O6680" s="171"/>
      <c r="P6680" s="171"/>
      <c r="Q6680" s="171"/>
      <c r="R6680" s="171"/>
      <c r="S6680" s="171"/>
      <c r="T6680" s="171"/>
      <c r="U6680" s="171"/>
      <c r="V6680" s="171"/>
      <c r="W6680" s="171"/>
      <c r="X6680" s="171"/>
      <c r="Y6680" s="171"/>
      <c r="Z6680" s="171"/>
      <c r="AA6680" s="171"/>
    </row>
    <row r="6681" spans="8:27" s="530" customFormat="1" hidden="1" x14ac:dyDescent="0.2">
      <c r="H6681" s="428"/>
      <c r="I6681" s="428"/>
      <c r="J6681" s="750" t="e">
        <f t="shared" si="88"/>
        <v>#DIV/0!</v>
      </c>
      <c r="K6681" s="428"/>
      <c r="L6681" s="428"/>
      <c r="M6681" s="682"/>
      <c r="N6681" s="171"/>
      <c r="O6681" s="171"/>
      <c r="P6681" s="171"/>
      <c r="Q6681" s="171"/>
      <c r="R6681" s="171"/>
      <c r="S6681" s="171"/>
      <c r="T6681" s="171"/>
      <c r="U6681" s="171"/>
      <c r="V6681" s="171"/>
      <c r="W6681" s="171"/>
      <c r="X6681" s="171"/>
      <c r="Y6681" s="171"/>
      <c r="Z6681" s="171"/>
      <c r="AA6681" s="171"/>
    </row>
    <row r="6682" spans="8:27" s="530" customFormat="1" hidden="1" x14ac:dyDescent="0.2">
      <c r="H6682" s="428"/>
      <c r="I6682" s="428"/>
      <c r="J6682" s="750" t="e">
        <f t="shared" si="88"/>
        <v>#DIV/0!</v>
      </c>
      <c r="K6682" s="428"/>
      <c r="L6682" s="428"/>
      <c r="M6682" s="682"/>
      <c r="N6682" s="171"/>
      <c r="O6682" s="171"/>
      <c r="P6682" s="171"/>
      <c r="Q6682" s="171"/>
      <c r="R6682" s="171"/>
      <c r="S6682" s="171"/>
      <c r="T6682" s="171"/>
      <c r="U6682" s="171"/>
      <c r="V6682" s="171"/>
      <c r="W6682" s="171"/>
      <c r="X6682" s="171"/>
      <c r="Y6682" s="171"/>
      <c r="Z6682" s="171"/>
      <c r="AA6682" s="171"/>
    </row>
    <row r="6683" spans="8:27" s="530" customFormat="1" hidden="1" x14ac:dyDescent="0.2">
      <c r="H6683" s="428"/>
      <c r="I6683" s="428"/>
      <c r="J6683" s="750" t="e">
        <f t="shared" si="88"/>
        <v>#DIV/0!</v>
      </c>
      <c r="K6683" s="428"/>
      <c r="L6683" s="428"/>
      <c r="M6683" s="682"/>
      <c r="N6683" s="171"/>
      <c r="O6683" s="171"/>
      <c r="P6683" s="171"/>
      <c r="Q6683" s="171"/>
      <c r="R6683" s="171"/>
      <c r="S6683" s="171"/>
      <c r="T6683" s="171"/>
      <c r="U6683" s="171"/>
      <c r="V6683" s="171"/>
      <c r="W6683" s="171"/>
      <c r="X6683" s="171"/>
      <c r="Y6683" s="171"/>
      <c r="Z6683" s="171"/>
      <c r="AA6683" s="171"/>
    </row>
    <row r="6684" spans="8:27" s="530" customFormat="1" hidden="1" x14ac:dyDescent="0.2">
      <c r="H6684" s="428"/>
      <c r="I6684" s="428"/>
      <c r="J6684" s="750" t="e">
        <f t="shared" si="88"/>
        <v>#DIV/0!</v>
      </c>
      <c r="K6684" s="428"/>
      <c r="L6684" s="428"/>
      <c r="M6684" s="682"/>
      <c r="N6684" s="171"/>
      <c r="O6684" s="171"/>
      <c r="P6684" s="171"/>
      <c r="Q6684" s="171"/>
      <c r="R6684" s="171"/>
      <c r="S6684" s="171"/>
      <c r="T6684" s="171"/>
      <c r="U6684" s="171"/>
      <c r="V6684" s="171"/>
      <c r="W6684" s="171"/>
      <c r="X6684" s="171"/>
      <c r="Y6684" s="171"/>
      <c r="Z6684" s="171"/>
      <c r="AA6684" s="171"/>
    </row>
    <row r="6685" spans="8:27" s="530" customFormat="1" hidden="1" x14ac:dyDescent="0.2">
      <c r="H6685" s="428"/>
      <c r="I6685" s="428"/>
      <c r="J6685" s="750" t="e">
        <f t="shared" si="88"/>
        <v>#DIV/0!</v>
      </c>
      <c r="K6685" s="428"/>
      <c r="L6685" s="428"/>
      <c r="M6685" s="682"/>
      <c r="N6685" s="171"/>
      <c r="O6685" s="171"/>
      <c r="P6685" s="171"/>
      <c r="Q6685" s="171"/>
      <c r="R6685" s="171"/>
      <c r="S6685" s="171"/>
      <c r="T6685" s="171"/>
      <c r="U6685" s="171"/>
      <c r="V6685" s="171"/>
      <c r="W6685" s="171"/>
      <c r="X6685" s="171"/>
      <c r="Y6685" s="171"/>
      <c r="Z6685" s="171"/>
      <c r="AA6685" s="171"/>
    </row>
    <row r="6686" spans="8:27" s="530" customFormat="1" hidden="1" x14ac:dyDescent="0.2">
      <c r="H6686" s="428"/>
      <c r="I6686" s="428"/>
      <c r="J6686" s="750" t="e">
        <f t="shared" si="88"/>
        <v>#DIV/0!</v>
      </c>
      <c r="K6686" s="428"/>
      <c r="L6686" s="428"/>
      <c r="M6686" s="682"/>
      <c r="N6686" s="171"/>
      <c r="O6686" s="171"/>
      <c r="P6686" s="171"/>
      <c r="Q6686" s="171"/>
      <c r="R6686" s="171"/>
      <c r="S6686" s="171"/>
      <c r="T6686" s="171"/>
      <c r="U6686" s="171"/>
      <c r="V6686" s="171"/>
      <c r="W6686" s="171"/>
      <c r="X6686" s="171"/>
      <c r="Y6686" s="171"/>
      <c r="Z6686" s="171"/>
      <c r="AA6686" s="171"/>
    </row>
    <row r="6687" spans="8:27" s="530" customFormat="1" hidden="1" x14ac:dyDescent="0.2">
      <c r="H6687" s="428"/>
      <c r="I6687" s="428"/>
      <c r="J6687" s="750" t="e">
        <f t="shared" si="88"/>
        <v>#DIV/0!</v>
      </c>
      <c r="K6687" s="428"/>
      <c r="L6687" s="428"/>
      <c r="M6687" s="682"/>
      <c r="N6687" s="171"/>
      <c r="O6687" s="171"/>
      <c r="P6687" s="171"/>
      <c r="Q6687" s="171"/>
      <c r="R6687" s="171"/>
      <c r="S6687" s="171"/>
      <c r="T6687" s="171"/>
      <c r="U6687" s="171"/>
      <c r="V6687" s="171"/>
      <c r="W6687" s="171"/>
      <c r="X6687" s="171"/>
      <c r="Y6687" s="171"/>
      <c r="Z6687" s="171"/>
      <c r="AA6687" s="171"/>
    </row>
    <row r="6688" spans="8:27" s="530" customFormat="1" hidden="1" x14ac:dyDescent="0.2">
      <c r="H6688" s="428"/>
      <c r="I6688" s="428"/>
      <c r="J6688" s="750" t="e">
        <f t="shared" si="88"/>
        <v>#DIV/0!</v>
      </c>
      <c r="K6688" s="428"/>
      <c r="L6688" s="428"/>
      <c r="M6688" s="682"/>
      <c r="N6688" s="171"/>
      <c r="O6688" s="171"/>
      <c r="P6688" s="171"/>
      <c r="Q6688" s="171"/>
      <c r="R6688" s="171"/>
      <c r="S6688" s="171"/>
      <c r="T6688" s="171"/>
      <c r="U6688" s="171"/>
      <c r="V6688" s="171"/>
      <c r="W6688" s="171"/>
      <c r="X6688" s="171"/>
      <c r="Y6688" s="171"/>
      <c r="Z6688" s="171"/>
      <c r="AA6688" s="171"/>
    </row>
    <row r="6689" spans="8:27" s="530" customFormat="1" hidden="1" x14ac:dyDescent="0.2">
      <c r="H6689" s="428"/>
      <c r="I6689" s="428"/>
      <c r="J6689" s="750" t="e">
        <f t="shared" si="88"/>
        <v>#DIV/0!</v>
      </c>
      <c r="K6689" s="428"/>
      <c r="L6689" s="428"/>
      <c r="M6689" s="682"/>
      <c r="N6689" s="171"/>
      <c r="O6689" s="171"/>
      <c r="P6689" s="171"/>
      <c r="Q6689" s="171"/>
      <c r="R6689" s="171"/>
      <c r="S6689" s="171"/>
      <c r="T6689" s="171"/>
      <c r="U6689" s="171"/>
      <c r="V6689" s="171"/>
      <c r="W6689" s="171"/>
      <c r="X6689" s="171"/>
      <c r="Y6689" s="171"/>
      <c r="Z6689" s="171"/>
      <c r="AA6689" s="171"/>
    </row>
    <row r="6690" spans="8:27" s="530" customFormat="1" hidden="1" x14ac:dyDescent="0.2">
      <c r="H6690" s="428"/>
      <c r="I6690" s="428"/>
      <c r="J6690" s="750" t="e">
        <f t="shared" si="88"/>
        <v>#DIV/0!</v>
      </c>
      <c r="K6690" s="428"/>
      <c r="L6690" s="428"/>
      <c r="M6690" s="682"/>
      <c r="N6690" s="171"/>
      <c r="O6690" s="171"/>
      <c r="P6690" s="171"/>
      <c r="Q6690" s="171"/>
      <c r="R6690" s="171"/>
      <c r="S6690" s="171"/>
      <c r="T6690" s="171"/>
      <c r="U6690" s="171"/>
      <c r="V6690" s="171"/>
      <c r="W6690" s="171"/>
      <c r="X6690" s="171"/>
      <c r="Y6690" s="171"/>
      <c r="Z6690" s="171"/>
      <c r="AA6690" s="171"/>
    </row>
    <row r="6691" spans="8:27" s="530" customFormat="1" hidden="1" x14ac:dyDescent="0.2">
      <c r="H6691" s="428"/>
      <c r="I6691" s="428"/>
      <c r="J6691" s="750" t="e">
        <f t="shared" si="88"/>
        <v>#DIV/0!</v>
      </c>
      <c r="K6691" s="428"/>
      <c r="L6691" s="428"/>
      <c r="M6691" s="682"/>
      <c r="N6691" s="171"/>
      <c r="O6691" s="171"/>
      <c r="P6691" s="171"/>
      <c r="Q6691" s="171"/>
      <c r="R6691" s="171"/>
      <c r="S6691" s="171"/>
      <c r="T6691" s="171"/>
      <c r="U6691" s="171"/>
      <c r="V6691" s="171"/>
      <c r="W6691" s="171"/>
      <c r="X6691" s="171"/>
      <c r="Y6691" s="171"/>
      <c r="Z6691" s="171"/>
      <c r="AA6691" s="171"/>
    </row>
    <row r="6692" spans="8:27" s="530" customFormat="1" hidden="1" x14ac:dyDescent="0.2">
      <c r="H6692" s="428"/>
      <c r="I6692" s="428"/>
      <c r="J6692" s="750" t="e">
        <f t="shared" si="88"/>
        <v>#DIV/0!</v>
      </c>
      <c r="K6692" s="428"/>
      <c r="L6692" s="428"/>
      <c r="M6692" s="682"/>
      <c r="N6692" s="171"/>
      <c r="O6692" s="171"/>
      <c r="P6692" s="171"/>
      <c r="Q6692" s="171"/>
      <c r="R6692" s="171"/>
      <c r="S6692" s="171"/>
      <c r="T6692" s="171"/>
      <c r="U6692" s="171"/>
      <c r="V6692" s="171"/>
      <c r="W6692" s="171"/>
      <c r="X6692" s="171"/>
      <c r="Y6692" s="171"/>
      <c r="Z6692" s="171"/>
      <c r="AA6692" s="171"/>
    </row>
    <row r="6693" spans="8:27" s="530" customFormat="1" hidden="1" x14ac:dyDescent="0.2">
      <c r="H6693" s="428"/>
      <c r="I6693" s="428"/>
      <c r="J6693" s="750" t="e">
        <f t="shared" si="88"/>
        <v>#DIV/0!</v>
      </c>
      <c r="K6693" s="428"/>
      <c r="L6693" s="428"/>
      <c r="M6693" s="682"/>
      <c r="N6693" s="171"/>
      <c r="O6693" s="171"/>
      <c r="P6693" s="171"/>
      <c r="Q6693" s="171"/>
      <c r="R6693" s="171"/>
      <c r="S6693" s="171"/>
      <c r="T6693" s="171"/>
      <c r="U6693" s="171"/>
      <c r="V6693" s="171"/>
      <c r="W6693" s="171"/>
      <c r="X6693" s="171"/>
      <c r="Y6693" s="171"/>
      <c r="Z6693" s="171"/>
      <c r="AA6693" s="171"/>
    </row>
    <row r="6694" spans="8:27" s="530" customFormat="1" hidden="1" x14ac:dyDescent="0.2">
      <c r="H6694" s="428"/>
      <c r="I6694" s="428"/>
      <c r="J6694" s="750" t="e">
        <f t="shared" si="88"/>
        <v>#DIV/0!</v>
      </c>
      <c r="K6694" s="428"/>
      <c r="L6694" s="428"/>
      <c r="M6694" s="682"/>
      <c r="N6694" s="171"/>
      <c r="O6694" s="171"/>
      <c r="P6694" s="171"/>
      <c r="Q6694" s="171"/>
      <c r="R6694" s="171"/>
      <c r="S6694" s="171"/>
      <c r="T6694" s="171"/>
      <c r="U6694" s="171"/>
      <c r="V6694" s="171"/>
      <c r="W6694" s="171"/>
      <c r="X6694" s="171"/>
      <c r="Y6694" s="171"/>
      <c r="Z6694" s="171"/>
      <c r="AA6694" s="171"/>
    </row>
    <row r="6695" spans="8:27" s="530" customFormat="1" hidden="1" x14ac:dyDescent="0.2">
      <c r="H6695" s="428"/>
      <c r="I6695" s="428"/>
      <c r="J6695" s="750" t="e">
        <f t="shared" si="88"/>
        <v>#DIV/0!</v>
      </c>
      <c r="K6695" s="428"/>
      <c r="L6695" s="428"/>
      <c r="M6695" s="682"/>
      <c r="N6695" s="171"/>
      <c r="O6695" s="171"/>
      <c r="P6695" s="171"/>
      <c r="Q6695" s="171"/>
      <c r="R6695" s="171"/>
      <c r="S6695" s="171"/>
      <c r="T6695" s="171"/>
      <c r="U6695" s="171"/>
      <c r="V6695" s="171"/>
      <c r="W6695" s="171"/>
      <c r="X6695" s="171"/>
      <c r="Y6695" s="171"/>
      <c r="Z6695" s="171"/>
      <c r="AA6695" s="171"/>
    </row>
    <row r="6696" spans="8:27" s="530" customFormat="1" hidden="1" x14ac:dyDescent="0.2">
      <c r="H6696" s="428"/>
      <c r="I6696" s="428"/>
      <c r="J6696" s="750" t="e">
        <f t="shared" si="88"/>
        <v>#DIV/0!</v>
      </c>
      <c r="K6696" s="428"/>
      <c r="L6696" s="428"/>
      <c r="M6696" s="682"/>
      <c r="N6696" s="171"/>
      <c r="O6696" s="171"/>
      <c r="P6696" s="171"/>
      <c r="Q6696" s="171"/>
      <c r="R6696" s="171"/>
      <c r="S6696" s="171"/>
      <c r="T6696" s="171"/>
      <c r="U6696" s="171"/>
      <c r="V6696" s="171"/>
      <c r="W6696" s="171"/>
      <c r="X6696" s="171"/>
      <c r="Y6696" s="171"/>
      <c r="Z6696" s="171"/>
      <c r="AA6696" s="171"/>
    </row>
    <row r="6697" spans="8:27" s="530" customFormat="1" hidden="1" x14ac:dyDescent="0.2">
      <c r="H6697" s="428"/>
      <c r="I6697" s="428"/>
      <c r="J6697" s="750" t="e">
        <f t="shared" si="88"/>
        <v>#DIV/0!</v>
      </c>
      <c r="K6697" s="428"/>
      <c r="L6697" s="428"/>
      <c r="M6697" s="682"/>
      <c r="N6697" s="171"/>
      <c r="O6697" s="171"/>
      <c r="P6697" s="171"/>
      <c r="Q6697" s="171"/>
      <c r="R6697" s="171"/>
      <c r="S6697" s="171"/>
      <c r="T6697" s="171"/>
      <c r="U6697" s="171"/>
      <c r="V6697" s="171"/>
      <c r="W6697" s="171"/>
      <c r="X6697" s="171"/>
      <c r="Y6697" s="171"/>
      <c r="Z6697" s="171"/>
      <c r="AA6697" s="171"/>
    </row>
    <row r="6698" spans="8:27" s="530" customFormat="1" hidden="1" x14ac:dyDescent="0.2">
      <c r="H6698" s="428"/>
      <c r="I6698" s="428"/>
      <c r="J6698" s="750" t="e">
        <f t="shared" si="88"/>
        <v>#DIV/0!</v>
      </c>
      <c r="K6698" s="428"/>
      <c r="L6698" s="428"/>
      <c r="M6698" s="682"/>
      <c r="N6698" s="171"/>
      <c r="O6698" s="171"/>
      <c r="P6698" s="171"/>
      <c r="Q6698" s="171"/>
      <c r="R6698" s="171"/>
      <c r="S6698" s="171"/>
      <c r="T6698" s="171"/>
      <c r="U6698" s="171"/>
      <c r="V6698" s="171"/>
      <c r="W6698" s="171"/>
      <c r="X6698" s="171"/>
      <c r="Y6698" s="171"/>
      <c r="Z6698" s="171"/>
      <c r="AA6698" s="171"/>
    </row>
    <row r="6699" spans="8:27" s="530" customFormat="1" hidden="1" x14ac:dyDescent="0.2">
      <c r="H6699" s="428"/>
      <c r="I6699" s="428"/>
      <c r="J6699" s="750" t="e">
        <f t="shared" si="88"/>
        <v>#DIV/0!</v>
      </c>
      <c r="K6699" s="428"/>
      <c r="L6699" s="428"/>
      <c r="M6699" s="682"/>
      <c r="N6699" s="171"/>
      <c r="O6699" s="171"/>
      <c r="P6699" s="171"/>
      <c r="Q6699" s="171"/>
      <c r="R6699" s="171"/>
      <c r="S6699" s="171"/>
      <c r="T6699" s="171"/>
      <c r="U6699" s="171"/>
      <c r="V6699" s="171"/>
      <c r="W6699" s="171"/>
      <c r="X6699" s="171"/>
      <c r="Y6699" s="171"/>
      <c r="Z6699" s="171"/>
      <c r="AA6699" s="171"/>
    </row>
    <row r="6700" spans="8:27" s="530" customFormat="1" hidden="1" x14ac:dyDescent="0.2">
      <c r="H6700" s="428"/>
      <c r="I6700" s="428"/>
      <c r="J6700" s="750" t="e">
        <f t="shared" si="88"/>
        <v>#DIV/0!</v>
      </c>
      <c r="K6700" s="428"/>
      <c r="L6700" s="428"/>
      <c r="M6700" s="682"/>
      <c r="N6700" s="171"/>
      <c r="O6700" s="171"/>
      <c r="P6700" s="171"/>
      <c r="Q6700" s="171"/>
      <c r="R6700" s="171"/>
      <c r="S6700" s="171"/>
      <c r="T6700" s="171"/>
      <c r="U6700" s="171"/>
      <c r="V6700" s="171"/>
      <c r="W6700" s="171"/>
      <c r="X6700" s="171"/>
      <c r="Y6700" s="171"/>
      <c r="Z6700" s="171"/>
      <c r="AA6700" s="171"/>
    </row>
    <row r="6701" spans="8:27" s="530" customFormat="1" hidden="1" x14ac:dyDescent="0.2">
      <c r="H6701" s="428"/>
      <c r="I6701" s="428"/>
      <c r="J6701" s="750" t="e">
        <f t="shared" si="88"/>
        <v>#DIV/0!</v>
      </c>
      <c r="K6701" s="428"/>
      <c r="L6701" s="428"/>
      <c r="M6701" s="682"/>
      <c r="N6701" s="171"/>
      <c r="O6701" s="171"/>
      <c r="P6701" s="171"/>
      <c r="Q6701" s="171"/>
      <c r="R6701" s="171"/>
      <c r="S6701" s="171"/>
      <c r="T6701" s="171"/>
      <c r="U6701" s="171"/>
      <c r="V6701" s="171"/>
      <c r="W6701" s="171"/>
      <c r="X6701" s="171"/>
      <c r="Y6701" s="171"/>
      <c r="Z6701" s="171"/>
      <c r="AA6701" s="171"/>
    </row>
    <row r="6702" spans="8:27" s="530" customFormat="1" hidden="1" x14ac:dyDescent="0.2">
      <c r="H6702" s="428"/>
      <c r="I6702" s="428"/>
      <c r="J6702" s="750" t="e">
        <f t="shared" si="88"/>
        <v>#DIV/0!</v>
      </c>
      <c r="K6702" s="428"/>
      <c r="L6702" s="428"/>
      <c r="M6702" s="682"/>
      <c r="N6702" s="171"/>
      <c r="O6702" s="171"/>
      <c r="P6702" s="171"/>
      <c r="Q6702" s="171"/>
      <c r="R6702" s="171"/>
      <c r="S6702" s="171"/>
      <c r="T6702" s="171"/>
      <c r="U6702" s="171"/>
      <c r="V6702" s="171"/>
      <c r="W6702" s="171"/>
      <c r="X6702" s="171"/>
      <c r="Y6702" s="171"/>
      <c r="Z6702" s="171"/>
      <c r="AA6702" s="171"/>
    </row>
    <row r="6703" spans="8:27" s="530" customFormat="1" hidden="1" x14ac:dyDescent="0.2">
      <c r="H6703" s="428"/>
      <c r="I6703" s="428"/>
      <c r="J6703" s="750" t="e">
        <f t="shared" si="88"/>
        <v>#DIV/0!</v>
      </c>
      <c r="K6703" s="428"/>
      <c r="L6703" s="428"/>
      <c r="M6703" s="682"/>
      <c r="N6703" s="171"/>
      <c r="O6703" s="171"/>
      <c r="P6703" s="171"/>
      <c r="Q6703" s="171"/>
      <c r="R6703" s="171"/>
      <c r="S6703" s="171"/>
      <c r="T6703" s="171"/>
      <c r="U6703" s="171"/>
      <c r="V6703" s="171"/>
      <c r="W6703" s="171"/>
      <c r="X6703" s="171"/>
      <c r="Y6703" s="171"/>
      <c r="Z6703" s="171"/>
      <c r="AA6703" s="171"/>
    </row>
    <row r="6704" spans="8:27" s="530" customFormat="1" hidden="1" x14ac:dyDescent="0.2">
      <c r="H6704" s="428"/>
      <c r="I6704" s="428"/>
      <c r="J6704" s="750" t="e">
        <f t="shared" si="88"/>
        <v>#DIV/0!</v>
      </c>
      <c r="K6704" s="428"/>
      <c r="L6704" s="428"/>
      <c r="M6704" s="682"/>
      <c r="N6704" s="171"/>
      <c r="O6704" s="171"/>
      <c r="P6704" s="171"/>
      <c r="Q6704" s="171"/>
      <c r="R6704" s="171"/>
      <c r="S6704" s="171"/>
      <c r="T6704" s="171"/>
      <c r="U6704" s="171"/>
      <c r="V6704" s="171"/>
      <c r="W6704" s="171"/>
      <c r="X6704" s="171"/>
      <c r="Y6704" s="171"/>
      <c r="Z6704" s="171"/>
      <c r="AA6704" s="171"/>
    </row>
    <row r="6705" spans="8:27" s="530" customFormat="1" hidden="1" x14ac:dyDescent="0.2">
      <c r="H6705" s="428"/>
      <c r="I6705" s="428"/>
      <c r="J6705" s="750" t="e">
        <f t="shared" si="88"/>
        <v>#DIV/0!</v>
      </c>
      <c r="K6705" s="428"/>
      <c r="L6705" s="428"/>
      <c r="M6705" s="682"/>
      <c r="N6705" s="171"/>
      <c r="O6705" s="171"/>
      <c r="P6705" s="171"/>
      <c r="Q6705" s="171"/>
      <c r="R6705" s="171"/>
      <c r="S6705" s="171"/>
      <c r="T6705" s="171"/>
      <c r="U6705" s="171"/>
      <c r="V6705" s="171"/>
      <c r="W6705" s="171"/>
      <c r="X6705" s="171"/>
      <c r="Y6705" s="171"/>
      <c r="Z6705" s="171"/>
      <c r="AA6705" s="171"/>
    </row>
    <row r="6706" spans="8:27" s="530" customFormat="1" hidden="1" x14ac:dyDescent="0.2">
      <c r="H6706" s="428"/>
      <c r="I6706" s="428"/>
      <c r="J6706" s="750" t="e">
        <f t="shared" si="88"/>
        <v>#DIV/0!</v>
      </c>
      <c r="K6706" s="428"/>
      <c r="L6706" s="428"/>
      <c r="M6706" s="682"/>
      <c r="N6706" s="171"/>
      <c r="O6706" s="171"/>
      <c r="P6706" s="171"/>
      <c r="Q6706" s="171"/>
      <c r="R6706" s="171"/>
      <c r="S6706" s="171"/>
      <c r="T6706" s="171"/>
      <c r="U6706" s="171"/>
      <c r="V6706" s="171"/>
      <c r="W6706" s="171"/>
      <c r="X6706" s="171"/>
      <c r="Y6706" s="171"/>
      <c r="Z6706" s="171"/>
      <c r="AA6706" s="171"/>
    </row>
    <row r="6707" spans="8:27" s="530" customFormat="1" hidden="1" x14ac:dyDescent="0.2">
      <c r="H6707" s="428"/>
      <c r="I6707" s="428"/>
      <c r="J6707" s="750" t="e">
        <f t="shared" si="88"/>
        <v>#DIV/0!</v>
      </c>
      <c r="K6707" s="428"/>
      <c r="L6707" s="428"/>
      <c r="M6707" s="682"/>
      <c r="N6707" s="171"/>
      <c r="O6707" s="171"/>
      <c r="P6707" s="171"/>
      <c r="Q6707" s="171"/>
      <c r="R6707" s="171"/>
      <c r="S6707" s="171"/>
      <c r="T6707" s="171"/>
      <c r="U6707" s="171"/>
      <c r="V6707" s="171"/>
      <c r="W6707" s="171"/>
      <c r="X6707" s="171"/>
      <c r="Y6707" s="171"/>
      <c r="Z6707" s="171"/>
      <c r="AA6707" s="171"/>
    </row>
    <row r="6708" spans="8:27" s="530" customFormat="1" hidden="1" x14ac:dyDescent="0.2">
      <c r="H6708" s="428"/>
      <c r="I6708" s="428"/>
      <c r="J6708" s="750" t="e">
        <f t="shared" si="88"/>
        <v>#DIV/0!</v>
      </c>
      <c r="K6708" s="428"/>
      <c r="L6708" s="428"/>
      <c r="M6708" s="682"/>
      <c r="N6708" s="171"/>
      <c r="O6708" s="171"/>
      <c r="P6708" s="171"/>
      <c r="Q6708" s="171"/>
      <c r="R6708" s="171"/>
      <c r="S6708" s="171"/>
      <c r="T6708" s="171"/>
      <c r="U6708" s="171"/>
      <c r="V6708" s="171"/>
      <c r="W6708" s="171"/>
      <c r="X6708" s="171"/>
      <c r="Y6708" s="171"/>
      <c r="Z6708" s="171"/>
      <c r="AA6708" s="171"/>
    </row>
    <row r="6709" spans="8:27" s="530" customFormat="1" hidden="1" x14ac:dyDescent="0.2">
      <c r="H6709" s="428"/>
      <c r="I6709" s="428"/>
      <c r="J6709" s="750" t="e">
        <f t="shared" si="88"/>
        <v>#DIV/0!</v>
      </c>
      <c r="K6709" s="428"/>
      <c r="L6709" s="428"/>
      <c r="M6709" s="682"/>
      <c r="N6709" s="171"/>
      <c r="O6709" s="171"/>
      <c r="P6709" s="171"/>
      <c r="Q6709" s="171"/>
      <c r="R6709" s="171"/>
      <c r="S6709" s="171"/>
      <c r="T6709" s="171"/>
      <c r="U6709" s="171"/>
      <c r="V6709" s="171"/>
      <c r="W6709" s="171"/>
      <c r="X6709" s="171"/>
      <c r="Y6709" s="171"/>
      <c r="Z6709" s="171"/>
      <c r="AA6709" s="171"/>
    </row>
    <row r="6710" spans="8:27" s="530" customFormat="1" hidden="1" x14ac:dyDescent="0.2">
      <c r="H6710" s="428"/>
      <c r="I6710" s="428"/>
      <c r="J6710" s="750" t="e">
        <f t="shared" si="88"/>
        <v>#DIV/0!</v>
      </c>
      <c r="K6710" s="428"/>
      <c r="L6710" s="428"/>
      <c r="M6710" s="682"/>
      <c r="N6710" s="171"/>
      <c r="O6710" s="171"/>
      <c r="P6710" s="171"/>
      <c r="Q6710" s="171"/>
      <c r="R6710" s="171"/>
      <c r="S6710" s="171"/>
      <c r="T6710" s="171"/>
      <c r="U6710" s="171"/>
      <c r="V6710" s="171"/>
      <c r="W6710" s="171"/>
      <c r="X6710" s="171"/>
      <c r="Y6710" s="171"/>
      <c r="Z6710" s="171"/>
      <c r="AA6710" s="171"/>
    </row>
    <row r="6711" spans="8:27" s="530" customFormat="1" hidden="1" x14ac:dyDescent="0.2">
      <c r="H6711" s="428"/>
      <c r="I6711" s="428"/>
      <c r="J6711" s="750" t="e">
        <f t="shared" si="88"/>
        <v>#DIV/0!</v>
      </c>
      <c r="K6711" s="428"/>
      <c r="L6711" s="428"/>
      <c r="M6711" s="682"/>
      <c r="N6711" s="171"/>
      <c r="O6711" s="171"/>
      <c r="P6711" s="171"/>
      <c r="Q6711" s="171"/>
      <c r="R6711" s="171"/>
      <c r="S6711" s="171"/>
      <c r="T6711" s="171"/>
      <c r="U6711" s="171"/>
      <c r="V6711" s="171"/>
      <c r="W6711" s="171"/>
      <c r="X6711" s="171"/>
      <c r="Y6711" s="171"/>
      <c r="Z6711" s="171"/>
      <c r="AA6711" s="171"/>
    </row>
    <row r="6712" spans="8:27" s="530" customFormat="1" hidden="1" x14ac:dyDescent="0.2">
      <c r="H6712" s="428"/>
      <c r="I6712" s="428"/>
      <c r="J6712" s="750" t="e">
        <f t="shared" si="88"/>
        <v>#DIV/0!</v>
      </c>
      <c r="K6712" s="428"/>
      <c r="L6712" s="428"/>
      <c r="M6712" s="682"/>
      <c r="N6712" s="171"/>
      <c r="O6712" s="171"/>
      <c r="P6712" s="171"/>
      <c r="Q6712" s="171"/>
      <c r="R6712" s="171"/>
      <c r="S6712" s="171"/>
      <c r="T6712" s="171"/>
      <c r="U6712" s="171"/>
      <c r="V6712" s="171"/>
      <c r="W6712" s="171"/>
      <c r="X6712" s="171"/>
      <c r="Y6712" s="171"/>
      <c r="Z6712" s="171"/>
      <c r="AA6712" s="171"/>
    </row>
    <row r="6713" spans="8:27" s="530" customFormat="1" hidden="1" x14ac:dyDescent="0.2">
      <c r="H6713" s="428"/>
      <c r="I6713" s="428"/>
      <c r="J6713" s="750" t="e">
        <f t="shared" si="88"/>
        <v>#DIV/0!</v>
      </c>
      <c r="K6713" s="428"/>
      <c r="L6713" s="428"/>
      <c r="M6713" s="682"/>
      <c r="N6713" s="171"/>
      <c r="O6713" s="171"/>
      <c r="P6713" s="171"/>
      <c r="Q6713" s="171"/>
      <c r="R6713" s="171"/>
      <c r="S6713" s="171"/>
      <c r="T6713" s="171"/>
      <c r="U6713" s="171"/>
      <c r="V6713" s="171"/>
      <c r="W6713" s="171"/>
      <c r="X6713" s="171"/>
      <c r="Y6713" s="171"/>
      <c r="Z6713" s="171"/>
      <c r="AA6713" s="171"/>
    </row>
    <row r="6714" spans="8:27" s="530" customFormat="1" hidden="1" x14ac:dyDescent="0.2">
      <c r="H6714" s="428"/>
      <c r="I6714" s="428"/>
      <c r="J6714" s="750" t="e">
        <f t="shared" si="88"/>
        <v>#DIV/0!</v>
      </c>
      <c r="K6714" s="428"/>
      <c r="L6714" s="428"/>
      <c r="M6714" s="682"/>
      <c r="N6714" s="171"/>
      <c r="O6714" s="171"/>
      <c r="P6714" s="171"/>
      <c r="Q6714" s="171"/>
      <c r="R6714" s="171"/>
      <c r="S6714" s="171"/>
      <c r="T6714" s="171"/>
      <c r="U6714" s="171"/>
      <c r="V6714" s="171"/>
      <c r="W6714" s="171"/>
      <c r="X6714" s="171"/>
      <c r="Y6714" s="171"/>
      <c r="Z6714" s="171"/>
      <c r="AA6714" s="171"/>
    </row>
    <row r="6715" spans="8:27" s="530" customFormat="1" hidden="1" x14ac:dyDescent="0.2">
      <c r="H6715" s="428"/>
      <c r="I6715" s="428"/>
      <c r="J6715" s="750" t="e">
        <f t="shared" si="88"/>
        <v>#DIV/0!</v>
      </c>
      <c r="K6715" s="428"/>
      <c r="L6715" s="428"/>
      <c r="M6715" s="682"/>
      <c r="N6715" s="171"/>
      <c r="O6715" s="171"/>
      <c r="P6715" s="171"/>
      <c r="Q6715" s="171"/>
      <c r="R6715" s="171"/>
      <c r="S6715" s="171"/>
      <c r="T6715" s="171"/>
      <c r="U6715" s="171"/>
      <c r="V6715" s="171"/>
      <c r="W6715" s="171"/>
      <c r="X6715" s="171"/>
      <c r="Y6715" s="171"/>
      <c r="Z6715" s="171"/>
      <c r="AA6715" s="171"/>
    </row>
    <row r="6716" spans="8:27" s="530" customFormat="1" hidden="1" x14ac:dyDescent="0.2">
      <c r="H6716" s="428"/>
      <c r="I6716" s="428"/>
      <c r="J6716" s="750" t="e">
        <f t="shared" si="88"/>
        <v>#DIV/0!</v>
      </c>
      <c r="K6716" s="428"/>
      <c r="L6716" s="428"/>
      <c r="M6716" s="682"/>
      <c r="N6716" s="171"/>
      <c r="O6716" s="171"/>
      <c r="P6716" s="171"/>
      <c r="Q6716" s="171"/>
      <c r="R6716" s="171"/>
      <c r="S6716" s="171"/>
      <c r="T6716" s="171"/>
      <c r="U6716" s="171"/>
      <c r="V6716" s="171"/>
      <c r="W6716" s="171"/>
      <c r="X6716" s="171"/>
      <c r="Y6716" s="171"/>
      <c r="Z6716" s="171"/>
      <c r="AA6716" s="171"/>
    </row>
    <row r="6717" spans="8:27" s="530" customFormat="1" hidden="1" x14ac:dyDescent="0.2">
      <c r="H6717" s="428"/>
      <c r="I6717" s="428"/>
      <c r="J6717" s="750" t="e">
        <f t="shared" si="88"/>
        <v>#DIV/0!</v>
      </c>
      <c r="K6717" s="428"/>
      <c r="L6717" s="428"/>
      <c r="M6717" s="682"/>
      <c r="N6717" s="171"/>
      <c r="O6717" s="171"/>
      <c r="P6717" s="171"/>
      <c r="Q6717" s="171"/>
      <c r="R6717" s="171"/>
      <c r="S6717" s="171"/>
      <c r="T6717" s="171"/>
      <c r="U6717" s="171"/>
      <c r="V6717" s="171"/>
      <c r="W6717" s="171"/>
      <c r="X6717" s="171"/>
      <c r="Y6717" s="171"/>
      <c r="Z6717" s="171"/>
      <c r="AA6717" s="171"/>
    </row>
    <row r="6718" spans="8:27" s="530" customFormat="1" hidden="1" x14ac:dyDescent="0.2">
      <c r="H6718" s="428"/>
      <c r="I6718" s="428"/>
      <c r="J6718" s="750" t="e">
        <f t="shared" si="88"/>
        <v>#DIV/0!</v>
      </c>
      <c r="K6718" s="428"/>
      <c r="L6718" s="428"/>
      <c r="M6718" s="682"/>
      <c r="N6718" s="171"/>
      <c r="O6718" s="171"/>
      <c r="P6718" s="171"/>
      <c r="Q6718" s="171"/>
      <c r="R6718" s="171"/>
      <c r="S6718" s="171"/>
      <c r="T6718" s="171"/>
      <c r="U6718" s="171"/>
      <c r="V6718" s="171"/>
      <c r="W6718" s="171"/>
      <c r="X6718" s="171"/>
      <c r="Y6718" s="171"/>
      <c r="Z6718" s="171"/>
      <c r="AA6718" s="171"/>
    </row>
    <row r="6719" spans="8:27" s="530" customFormat="1" hidden="1" x14ac:dyDescent="0.2">
      <c r="H6719" s="428"/>
      <c r="I6719" s="428"/>
      <c r="J6719" s="750" t="e">
        <f t="shared" si="88"/>
        <v>#DIV/0!</v>
      </c>
      <c r="K6719" s="428"/>
      <c r="L6719" s="428"/>
      <c r="M6719" s="682"/>
      <c r="N6719" s="171"/>
      <c r="O6719" s="171"/>
      <c r="P6719" s="171"/>
      <c r="Q6719" s="171"/>
      <c r="R6719" s="171"/>
      <c r="S6719" s="171"/>
      <c r="T6719" s="171"/>
      <c r="U6719" s="171"/>
      <c r="V6719" s="171"/>
      <c r="W6719" s="171"/>
      <c r="X6719" s="171"/>
      <c r="Y6719" s="171"/>
      <c r="Z6719" s="171"/>
      <c r="AA6719" s="171"/>
    </row>
    <row r="6720" spans="8:27" s="530" customFormat="1" hidden="1" x14ac:dyDescent="0.2">
      <c r="H6720" s="428"/>
      <c r="I6720" s="428"/>
      <c r="J6720" s="750" t="e">
        <f t="shared" si="88"/>
        <v>#DIV/0!</v>
      </c>
      <c r="K6720" s="428"/>
      <c r="L6720" s="428"/>
      <c r="M6720" s="682"/>
      <c r="N6720" s="171"/>
      <c r="O6720" s="171"/>
      <c r="P6720" s="171"/>
      <c r="Q6720" s="171"/>
      <c r="R6720" s="171"/>
      <c r="S6720" s="171"/>
      <c r="T6720" s="171"/>
      <c r="U6720" s="171"/>
      <c r="V6720" s="171"/>
      <c r="W6720" s="171"/>
      <c r="X6720" s="171"/>
      <c r="Y6720" s="171"/>
      <c r="Z6720" s="171"/>
      <c r="AA6720" s="171"/>
    </row>
    <row r="6721" spans="8:27" s="530" customFormat="1" hidden="1" x14ac:dyDescent="0.2">
      <c r="H6721" s="428"/>
      <c r="I6721" s="428"/>
      <c r="J6721" s="750" t="e">
        <f t="shared" si="88"/>
        <v>#DIV/0!</v>
      </c>
      <c r="K6721" s="428"/>
      <c r="L6721" s="428"/>
      <c r="M6721" s="682"/>
      <c r="N6721" s="171"/>
      <c r="O6721" s="171"/>
      <c r="P6721" s="171"/>
      <c r="Q6721" s="171"/>
      <c r="R6721" s="171"/>
      <c r="S6721" s="171"/>
      <c r="T6721" s="171"/>
      <c r="U6721" s="171"/>
      <c r="V6721" s="171"/>
      <c r="W6721" s="171"/>
      <c r="X6721" s="171"/>
      <c r="Y6721" s="171"/>
      <c r="Z6721" s="171"/>
      <c r="AA6721" s="171"/>
    </row>
    <row r="6722" spans="8:27" s="530" customFormat="1" hidden="1" x14ac:dyDescent="0.2">
      <c r="H6722" s="428"/>
      <c r="I6722" s="428"/>
      <c r="J6722" s="750" t="e">
        <f t="shared" si="88"/>
        <v>#DIV/0!</v>
      </c>
      <c r="K6722" s="428"/>
      <c r="L6722" s="428"/>
      <c r="M6722" s="682"/>
      <c r="N6722" s="171"/>
      <c r="O6722" s="171"/>
      <c r="P6722" s="171"/>
      <c r="Q6722" s="171"/>
      <c r="R6722" s="171"/>
      <c r="S6722" s="171"/>
      <c r="T6722" s="171"/>
      <c r="U6722" s="171"/>
      <c r="V6722" s="171"/>
      <c r="W6722" s="171"/>
      <c r="X6722" s="171"/>
      <c r="Y6722" s="171"/>
      <c r="Z6722" s="171"/>
      <c r="AA6722" s="171"/>
    </row>
    <row r="6723" spans="8:27" s="530" customFormat="1" hidden="1" x14ac:dyDescent="0.2">
      <c r="H6723" s="428"/>
      <c r="I6723" s="428"/>
      <c r="J6723" s="750" t="e">
        <f t="shared" si="88"/>
        <v>#DIV/0!</v>
      </c>
      <c r="K6723" s="428"/>
      <c r="L6723" s="428"/>
      <c r="M6723" s="682"/>
      <c r="N6723" s="171"/>
      <c r="O6723" s="171"/>
      <c r="P6723" s="171"/>
      <c r="Q6723" s="171"/>
      <c r="R6723" s="171"/>
      <c r="S6723" s="171"/>
      <c r="T6723" s="171"/>
      <c r="U6723" s="171"/>
      <c r="V6723" s="171"/>
      <c r="W6723" s="171"/>
      <c r="X6723" s="171"/>
      <c r="Y6723" s="171"/>
      <c r="Z6723" s="171"/>
      <c r="AA6723" s="171"/>
    </row>
    <row r="6724" spans="8:27" s="530" customFormat="1" hidden="1" x14ac:dyDescent="0.2">
      <c r="H6724" s="428"/>
      <c r="I6724" s="428"/>
      <c r="J6724" s="750" t="e">
        <f t="shared" si="88"/>
        <v>#DIV/0!</v>
      </c>
      <c r="K6724" s="428"/>
      <c r="L6724" s="428"/>
      <c r="M6724" s="682"/>
      <c r="N6724" s="171"/>
      <c r="O6724" s="171"/>
      <c r="P6724" s="171"/>
      <c r="Q6724" s="171"/>
      <c r="R6724" s="171"/>
      <c r="S6724" s="171"/>
      <c r="T6724" s="171"/>
      <c r="U6724" s="171"/>
      <c r="V6724" s="171"/>
      <c r="W6724" s="171"/>
      <c r="X6724" s="171"/>
      <c r="Y6724" s="171"/>
      <c r="Z6724" s="171"/>
      <c r="AA6724" s="171"/>
    </row>
    <row r="6725" spans="8:27" s="530" customFormat="1" hidden="1" x14ac:dyDescent="0.2">
      <c r="H6725" s="428"/>
      <c r="I6725" s="428"/>
      <c r="J6725" s="750" t="e">
        <f t="shared" si="88"/>
        <v>#DIV/0!</v>
      </c>
      <c r="K6725" s="428"/>
      <c r="L6725" s="428"/>
      <c r="M6725" s="682"/>
      <c r="N6725" s="171"/>
      <c r="O6725" s="171"/>
      <c r="P6725" s="171"/>
      <c r="Q6725" s="171"/>
      <c r="R6725" s="171"/>
      <c r="S6725" s="171"/>
      <c r="T6725" s="171"/>
      <c r="U6725" s="171"/>
      <c r="V6725" s="171"/>
      <c r="W6725" s="171"/>
      <c r="X6725" s="171"/>
      <c r="Y6725" s="171"/>
      <c r="Z6725" s="171"/>
      <c r="AA6725" s="171"/>
    </row>
    <row r="6726" spans="8:27" s="530" customFormat="1" hidden="1" x14ac:dyDescent="0.2">
      <c r="H6726" s="428"/>
      <c r="I6726" s="428"/>
      <c r="J6726" s="750" t="e">
        <f t="shared" si="88"/>
        <v>#DIV/0!</v>
      </c>
      <c r="K6726" s="428"/>
      <c r="L6726" s="428"/>
      <c r="M6726" s="682"/>
      <c r="N6726" s="171"/>
      <c r="O6726" s="171"/>
      <c r="P6726" s="171"/>
      <c r="Q6726" s="171"/>
      <c r="R6726" s="171"/>
      <c r="S6726" s="171"/>
      <c r="T6726" s="171"/>
      <c r="U6726" s="171"/>
      <c r="V6726" s="171"/>
      <c r="W6726" s="171"/>
      <c r="X6726" s="171"/>
      <c r="Y6726" s="171"/>
      <c r="Z6726" s="171"/>
      <c r="AA6726" s="171"/>
    </row>
    <row r="6727" spans="8:27" s="530" customFormat="1" hidden="1" x14ac:dyDescent="0.2">
      <c r="H6727" s="428"/>
      <c r="I6727" s="428"/>
      <c r="J6727" s="750" t="e">
        <f t="shared" si="88"/>
        <v>#DIV/0!</v>
      </c>
      <c r="K6727" s="428"/>
      <c r="L6727" s="428"/>
      <c r="M6727" s="682"/>
      <c r="N6727" s="171"/>
      <c r="O6727" s="171"/>
      <c r="P6727" s="171"/>
      <c r="Q6727" s="171"/>
      <c r="R6727" s="171"/>
      <c r="S6727" s="171"/>
      <c r="T6727" s="171"/>
      <c r="U6727" s="171"/>
      <c r="V6727" s="171"/>
      <c r="W6727" s="171"/>
      <c r="X6727" s="171"/>
      <c r="Y6727" s="171"/>
      <c r="Z6727" s="171"/>
      <c r="AA6727" s="171"/>
    </row>
    <row r="6728" spans="8:27" s="530" customFormat="1" hidden="1" x14ac:dyDescent="0.2">
      <c r="H6728" s="428"/>
      <c r="I6728" s="428"/>
      <c r="J6728" s="750" t="e">
        <f t="shared" si="88"/>
        <v>#DIV/0!</v>
      </c>
      <c r="K6728" s="428"/>
      <c r="L6728" s="428"/>
      <c r="M6728" s="682"/>
      <c r="N6728" s="171"/>
      <c r="O6728" s="171"/>
      <c r="P6728" s="171"/>
      <c r="Q6728" s="171"/>
      <c r="R6728" s="171"/>
      <c r="S6728" s="171"/>
      <c r="T6728" s="171"/>
      <c r="U6728" s="171"/>
      <c r="V6728" s="171"/>
      <c r="W6728" s="171"/>
      <c r="X6728" s="171"/>
      <c r="Y6728" s="171"/>
      <c r="Z6728" s="171"/>
      <c r="AA6728" s="171"/>
    </row>
    <row r="6729" spans="8:27" s="530" customFormat="1" hidden="1" x14ac:dyDescent="0.2">
      <c r="H6729" s="428"/>
      <c r="I6729" s="428"/>
      <c r="J6729" s="750" t="e">
        <f t="shared" si="88"/>
        <v>#DIV/0!</v>
      </c>
      <c r="K6729" s="428"/>
      <c r="L6729" s="428"/>
      <c r="M6729" s="682"/>
      <c r="N6729" s="171"/>
      <c r="O6729" s="171"/>
      <c r="P6729" s="171"/>
      <c r="Q6729" s="171"/>
      <c r="R6729" s="171"/>
      <c r="S6729" s="171"/>
      <c r="T6729" s="171"/>
      <c r="U6729" s="171"/>
      <c r="V6729" s="171"/>
      <c r="W6729" s="171"/>
      <c r="X6729" s="171"/>
      <c r="Y6729" s="171"/>
      <c r="Z6729" s="171"/>
      <c r="AA6729" s="171"/>
    </row>
    <row r="6730" spans="8:27" s="530" customFormat="1" hidden="1" x14ac:dyDescent="0.2">
      <c r="H6730" s="428"/>
      <c r="I6730" s="428"/>
      <c r="J6730" s="750" t="e">
        <f t="shared" si="88"/>
        <v>#DIV/0!</v>
      </c>
      <c r="K6730" s="428"/>
      <c r="L6730" s="428"/>
      <c r="M6730" s="682"/>
      <c r="N6730" s="171"/>
      <c r="O6730" s="171"/>
      <c r="P6730" s="171"/>
      <c r="Q6730" s="171"/>
      <c r="R6730" s="171"/>
      <c r="S6730" s="171"/>
      <c r="T6730" s="171"/>
      <c r="U6730" s="171"/>
      <c r="V6730" s="171"/>
      <c r="W6730" s="171"/>
      <c r="X6730" s="171"/>
      <c r="Y6730" s="171"/>
      <c r="Z6730" s="171"/>
      <c r="AA6730" s="171"/>
    </row>
    <row r="6731" spans="8:27" s="530" customFormat="1" hidden="1" x14ac:dyDescent="0.2">
      <c r="H6731" s="428"/>
      <c r="I6731" s="428"/>
      <c r="J6731" s="750" t="e">
        <f t="shared" si="88"/>
        <v>#DIV/0!</v>
      </c>
      <c r="K6731" s="428"/>
      <c r="L6731" s="428"/>
      <c r="M6731" s="682"/>
      <c r="N6731" s="171"/>
      <c r="O6731" s="171"/>
      <c r="P6731" s="171"/>
      <c r="Q6731" s="171"/>
      <c r="R6731" s="171"/>
      <c r="S6731" s="171"/>
      <c r="T6731" s="171"/>
      <c r="U6731" s="171"/>
      <c r="V6731" s="171"/>
      <c r="W6731" s="171"/>
      <c r="X6731" s="171"/>
      <c r="Y6731" s="171"/>
      <c r="Z6731" s="171"/>
      <c r="AA6731" s="171"/>
    </row>
    <row r="6732" spans="8:27" s="530" customFormat="1" hidden="1" x14ac:dyDescent="0.2">
      <c r="H6732" s="428"/>
      <c r="I6732" s="428"/>
      <c r="J6732" s="750" t="e">
        <f t="shared" si="88"/>
        <v>#DIV/0!</v>
      </c>
      <c r="K6732" s="428"/>
      <c r="L6732" s="428"/>
      <c r="M6732" s="682"/>
      <c r="N6732" s="171"/>
      <c r="O6732" s="171"/>
      <c r="P6732" s="171"/>
      <c r="Q6732" s="171"/>
      <c r="R6732" s="171"/>
      <c r="S6732" s="171"/>
      <c r="T6732" s="171"/>
      <c r="U6732" s="171"/>
      <c r="V6732" s="171"/>
      <c r="W6732" s="171"/>
      <c r="X6732" s="171"/>
      <c r="Y6732" s="171"/>
      <c r="Z6732" s="171"/>
      <c r="AA6732" s="171"/>
    </row>
    <row r="6733" spans="8:27" s="530" customFormat="1" hidden="1" x14ac:dyDescent="0.2">
      <c r="H6733" s="428"/>
      <c r="I6733" s="428"/>
      <c r="J6733" s="750" t="e">
        <f t="shared" ref="J6733:J6796" si="89">SUM(I6733/H6733)*100</f>
        <v>#DIV/0!</v>
      </c>
      <c r="K6733" s="428"/>
      <c r="L6733" s="428"/>
      <c r="M6733" s="682"/>
      <c r="N6733" s="171"/>
      <c r="O6733" s="171"/>
      <c r="P6733" s="171"/>
      <c r="Q6733" s="171"/>
      <c r="R6733" s="171"/>
      <c r="S6733" s="171"/>
      <c r="T6733" s="171"/>
      <c r="U6733" s="171"/>
      <c r="V6733" s="171"/>
      <c r="W6733" s="171"/>
      <c r="X6733" s="171"/>
      <c r="Y6733" s="171"/>
      <c r="Z6733" s="171"/>
      <c r="AA6733" s="171"/>
    </row>
    <row r="6734" spans="8:27" s="530" customFormat="1" hidden="1" x14ac:dyDescent="0.2">
      <c r="H6734" s="428"/>
      <c r="I6734" s="428"/>
      <c r="J6734" s="750" t="e">
        <f t="shared" si="89"/>
        <v>#DIV/0!</v>
      </c>
      <c r="K6734" s="428"/>
      <c r="L6734" s="428"/>
      <c r="M6734" s="682"/>
      <c r="N6734" s="171"/>
      <c r="O6734" s="171"/>
      <c r="P6734" s="171"/>
      <c r="Q6734" s="171"/>
      <c r="R6734" s="171"/>
      <c r="S6734" s="171"/>
      <c r="T6734" s="171"/>
      <c r="U6734" s="171"/>
      <c r="V6734" s="171"/>
      <c r="W6734" s="171"/>
      <c r="X6734" s="171"/>
      <c r="Y6734" s="171"/>
      <c r="Z6734" s="171"/>
      <c r="AA6734" s="171"/>
    </row>
    <row r="6735" spans="8:27" s="530" customFormat="1" hidden="1" x14ac:dyDescent="0.2">
      <c r="H6735" s="428"/>
      <c r="I6735" s="428"/>
      <c r="J6735" s="750" t="e">
        <f t="shared" si="89"/>
        <v>#DIV/0!</v>
      </c>
      <c r="K6735" s="428"/>
      <c r="L6735" s="428"/>
      <c r="M6735" s="682"/>
      <c r="N6735" s="171"/>
      <c r="O6735" s="171"/>
      <c r="P6735" s="171"/>
      <c r="Q6735" s="171"/>
      <c r="R6735" s="171"/>
      <c r="S6735" s="171"/>
      <c r="T6735" s="171"/>
      <c r="U6735" s="171"/>
      <c r="V6735" s="171"/>
      <c r="W6735" s="171"/>
      <c r="X6735" s="171"/>
      <c r="Y6735" s="171"/>
      <c r="Z6735" s="171"/>
      <c r="AA6735" s="171"/>
    </row>
    <row r="6736" spans="8:27" s="530" customFormat="1" hidden="1" x14ac:dyDescent="0.2">
      <c r="H6736" s="428"/>
      <c r="I6736" s="428"/>
      <c r="J6736" s="750" t="e">
        <f t="shared" si="89"/>
        <v>#DIV/0!</v>
      </c>
      <c r="K6736" s="428"/>
      <c r="L6736" s="428"/>
      <c r="M6736" s="682"/>
      <c r="N6736" s="171"/>
      <c r="O6736" s="171"/>
      <c r="P6736" s="171"/>
      <c r="Q6736" s="171"/>
      <c r="R6736" s="171"/>
      <c r="S6736" s="171"/>
      <c r="T6736" s="171"/>
      <c r="U6736" s="171"/>
      <c r="V6736" s="171"/>
      <c r="W6736" s="171"/>
      <c r="X6736" s="171"/>
      <c r="Y6736" s="171"/>
      <c r="Z6736" s="171"/>
      <c r="AA6736" s="171"/>
    </row>
    <row r="6737" spans="1:27" s="530" customFormat="1" hidden="1" x14ac:dyDescent="0.2">
      <c r="H6737" s="428"/>
      <c r="I6737" s="428"/>
      <c r="J6737" s="750" t="e">
        <f t="shared" si="89"/>
        <v>#DIV/0!</v>
      </c>
      <c r="K6737" s="428"/>
      <c r="L6737" s="428"/>
      <c r="M6737" s="682"/>
      <c r="N6737" s="171"/>
      <c r="O6737" s="171"/>
      <c r="P6737" s="171"/>
      <c r="Q6737" s="171"/>
      <c r="R6737" s="171"/>
      <c r="S6737" s="171"/>
      <c r="T6737" s="171"/>
      <c r="U6737" s="171"/>
      <c r="V6737" s="171"/>
      <c r="W6737" s="171"/>
      <c r="X6737" s="171"/>
      <c r="Y6737" s="171"/>
      <c r="Z6737" s="171"/>
      <c r="AA6737" s="171"/>
    </row>
    <row r="6738" spans="1:27" s="530" customFormat="1" hidden="1" x14ac:dyDescent="0.2">
      <c r="H6738" s="428"/>
      <c r="I6738" s="428"/>
      <c r="J6738" s="750" t="e">
        <f t="shared" si="89"/>
        <v>#DIV/0!</v>
      </c>
      <c r="K6738" s="428"/>
      <c r="L6738" s="428"/>
      <c r="M6738" s="682"/>
      <c r="N6738" s="171"/>
      <c r="O6738" s="171"/>
      <c r="P6738" s="171"/>
      <c r="Q6738" s="171"/>
      <c r="R6738" s="171"/>
      <c r="S6738" s="171"/>
      <c r="T6738" s="171"/>
      <c r="U6738" s="171"/>
      <c r="V6738" s="171"/>
      <c r="W6738" s="171"/>
      <c r="X6738" s="171"/>
      <c r="Y6738" s="171"/>
      <c r="Z6738" s="171"/>
      <c r="AA6738" s="171"/>
    </row>
    <row r="6739" spans="1:27" s="530" customFormat="1" hidden="1" x14ac:dyDescent="0.2">
      <c r="A6739" s="526"/>
      <c r="B6739" s="527"/>
      <c r="C6739" s="534"/>
      <c r="D6739" s="535"/>
      <c r="E6739" s="535"/>
      <c r="F6739" s="167"/>
      <c r="G6739" s="513"/>
      <c r="H6739" s="422"/>
      <c r="I6739" s="422"/>
      <c r="J6739" s="750" t="e">
        <f t="shared" si="89"/>
        <v>#DIV/0!</v>
      </c>
      <c r="K6739" s="423"/>
      <c r="L6739" s="424"/>
      <c r="M6739" s="682"/>
      <c r="N6739" s="171"/>
      <c r="O6739" s="171"/>
      <c r="P6739" s="171"/>
      <c r="Q6739" s="171"/>
      <c r="R6739" s="171"/>
      <c r="S6739" s="171"/>
      <c r="T6739" s="171"/>
      <c r="U6739" s="171"/>
      <c r="V6739" s="171"/>
      <c r="W6739" s="171"/>
      <c r="X6739" s="171"/>
      <c r="Y6739" s="171"/>
      <c r="Z6739" s="171"/>
      <c r="AA6739" s="171"/>
    </row>
    <row r="6740" spans="1:27" s="530" customFormat="1" hidden="1" x14ac:dyDescent="0.2">
      <c r="A6740" s="526"/>
      <c r="B6740" s="527"/>
      <c r="C6740" s="489" t="s">
        <v>4932</v>
      </c>
      <c r="D6740" s="490"/>
      <c r="E6740" s="464"/>
      <c r="F6740" s="464"/>
      <c r="G6740" s="508"/>
      <c r="H6740" s="397"/>
      <c r="I6740" s="397"/>
      <c r="J6740" s="750" t="e">
        <f t="shared" si="89"/>
        <v>#DIV/0!</v>
      </c>
      <c r="K6740" s="398"/>
      <c r="L6740" s="398"/>
      <c r="M6740" s="682"/>
      <c r="N6740" s="171"/>
      <c r="O6740" s="171"/>
      <c r="P6740" s="171"/>
      <c r="Q6740" s="171"/>
      <c r="R6740" s="171"/>
      <c r="S6740" s="171"/>
      <c r="T6740" s="171"/>
      <c r="U6740" s="171"/>
      <c r="V6740" s="171"/>
      <c r="W6740" s="171"/>
      <c r="X6740" s="171"/>
      <c r="Y6740" s="171"/>
      <c r="Z6740" s="171"/>
      <c r="AA6740" s="171"/>
    </row>
    <row r="6741" spans="1:27" s="530" customFormat="1" hidden="1" x14ac:dyDescent="0.2">
      <c r="A6741" s="526"/>
      <c r="B6741" s="527"/>
      <c r="C6741" s="489"/>
      <c r="D6741" s="492">
        <v>150</v>
      </c>
      <c r="E6741" s="492"/>
      <c r="F6741" s="492"/>
      <c r="G6741" s="551" t="s">
        <v>4292</v>
      </c>
      <c r="H6741" s="397"/>
      <c r="I6741" s="397"/>
      <c r="J6741" s="750" t="e">
        <f t="shared" si="89"/>
        <v>#DIV/0!</v>
      </c>
      <c r="K6741" s="398"/>
      <c r="L6741" s="398"/>
      <c r="M6741" s="682"/>
      <c r="N6741" s="171"/>
      <c r="O6741" s="171"/>
      <c r="P6741" s="171"/>
      <c r="Q6741" s="171"/>
      <c r="R6741" s="171"/>
      <c r="S6741" s="171"/>
      <c r="T6741" s="171"/>
      <c r="U6741" s="171"/>
      <c r="V6741" s="171"/>
      <c r="W6741" s="171"/>
      <c r="X6741" s="171"/>
      <c r="Y6741" s="171"/>
      <c r="Z6741" s="171"/>
      <c r="AA6741" s="171"/>
    </row>
    <row r="6742" spans="1:27" s="530" customFormat="1" hidden="1" x14ac:dyDescent="0.2">
      <c r="A6742" s="526"/>
      <c r="B6742" s="527"/>
      <c r="C6742" s="465"/>
      <c r="D6742" s="464"/>
      <c r="E6742" s="464"/>
      <c r="F6742" s="494">
        <v>411</v>
      </c>
      <c r="G6742" s="495" t="s">
        <v>4167</v>
      </c>
      <c r="H6742" s="397"/>
      <c r="I6742" s="397"/>
      <c r="J6742" s="750" t="e">
        <f t="shared" si="89"/>
        <v>#DIV/0!</v>
      </c>
      <c r="K6742" s="398"/>
      <c r="L6742" s="398"/>
      <c r="M6742" s="682"/>
      <c r="N6742" s="171"/>
      <c r="O6742" s="171"/>
      <c r="P6742" s="171"/>
      <c r="Q6742" s="171"/>
      <c r="R6742" s="171"/>
      <c r="S6742" s="171"/>
      <c r="T6742" s="171"/>
      <c r="U6742" s="171"/>
      <c r="V6742" s="171"/>
      <c r="W6742" s="171"/>
      <c r="X6742" s="171"/>
      <c r="Y6742" s="171"/>
      <c r="Z6742" s="171"/>
      <c r="AA6742" s="171"/>
    </row>
    <row r="6743" spans="1:27" s="530" customFormat="1" hidden="1" x14ac:dyDescent="0.2">
      <c r="A6743" s="526"/>
      <c r="B6743" s="527"/>
      <c r="C6743" s="465"/>
      <c r="D6743" s="464"/>
      <c r="E6743" s="464"/>
      <c r="F6743" s="494">
        <v>412</v>
      </c>
      <c r="G6743" s="496" t="s">
        <v>3764</v>
      </c>
      <c r="H6743" s="397"/>
      <c r="I6743" s="397"/>
      <c r="J6743" s="750" t="e">
        <f t="shared" si="89"/>
        <v>#DIV/0!</v>
      </c>
      <c r="K6743" s="398"/>
      <c r="L6743" s="398"/>
      <c r="M6743" s="682"/>
      <c r="N6743" s="171"/>
      <c r="O6743" s="171"/>
      <c r="P6743" s="171"/>
      <c r="Q6743" s="171"/>
      <c r="R6743" s="171"/>
      <c r="S6743" s="171"/>
      <c r="T6743" s="171"/>
      <c r="U6743" s="171"/>
      <c r="V6743" s="171"/>
      <c r="W6743" s="171"/>
      <c r="X6743" s="171"/>
      <c r="Y6743" s="171"/>
      <c r="Z6743" s="171"/>
      <c r="AA6743" s="171"/>
    </row>
    <row r="6744" spans="1:27" s="530" customFormat="1" hidden="1" x14ac:dyDescent="0.2">
      <c r="A6744" s="526"/>
      <c r="B6744" s="527"/>
      <c r="C6744" s="465"/>
      <c r="D6744" s="464"/>
      <c r="E6744" s="464"/>
      <c r="F6744" s="494">
        <v>413</v>
      </c>
      <c r="G6744" s="495" t="s">
        <v>4168</v>
      </c>
      <c r="H6744" s="397"/>
      <c r="I6744" s="397"/>
      <c r="J6744" s="750" t="e">
        <f t="shared" si="89"/>
        <v>#DIV/0!</v>
      </c>
      <c r="K6744" s="398"/>
      <c r="L6744" s="398"/>
      <c r="M6744" s="682"/>
      <c r="N6744" s="171"/>
      <c r="O6744" s="171"/>
      <c r="P6744" s="171"/>
      <c r="Q6744" s="171"/>
      <c r="R6744" s="171"/>
      <c r="S6744" s="171"/>
      <c r="T6744" s="171"/>
      <c r="U6744" s="171"/>
      <c r="V6744" s="171"/>
      <c r="W6744" s="171"/>
      <c r="X6744" s="171"/>
      <c r="Y6744" s="171"/>
      <c r="Z6744" s="171"/>
      <c r="AA6744" s="171"/>
    </row>
    <row r="6745" spans="1:27" s="530" customFormat="1" hidden="1" x14ac:dyDescent="0.2">
      <c r="A6745" s="526"/>
      <c r="B6745" s="527"/>
      <c r="C6745" s="465"/>
      <c r="D6745" s="464"/>
      <c r="E6745" s="464"/>
      <c r="F6745" s="494">
        <v>414</v>
      </c>
      <c r="G6745" s="495" t="s">
        <v>3767</v>
      </c>
      <c r="H6745" s="397"/>
      <c r="I6745" s="397"/>
      <c r="J6745" s="750" t="e">
        <f t="shared" si="89"/>
        <v>#DIV/0!</v>
      </c>
      <c r="K6745" s="398"/>
      <c r="L6745" s="398"/>
      <c r="M6745" s="682"/>
      <c r="N6745" s="171"/>
      <c r="O6745" s="171"/>
      <c r="P6745" s="171"/>
      <c r="Q6745" s="171"/>
      <c r="R6745" s="171"/>
      <c r="S6745" s="171"/>
      <c r="T6745" s="171"/>
      <c r="U6745" s="171"/>
      <c r="V6745" s="171"/>
      <c r="W6745" s="171"/>
      <c r="X6745" s="171"/>
      <c r="Y6745" s="171"/>
      <c r="Z6745" s="171"/>
      <c r="AA6745" s="171"/>
    </row>
    <row r="6746" spans="1:27" s="530" customFormat="1" hidden="1" x14ac:dyDescent="0.2">
      <c r="A6746" s="526"/>
      <c r="B6746" s="527"/>
      <c r="C6746" s="465"/>
      <c r="D6746" s="464"/>
      <c r="E6746" s="464"/>
      <c r="F6746" s="494">
        <v>415</v>
      </c>
      <c r="G6746" s="495" t="s">
        <v>4177</v>
      </c>
      <c r="H6746" s="397"/>
      <c r="I6746" s="397"/>
      <c r="J6746" s="750" t="e">
        <f t="shared" si="89"/>
        <v>#DIV/0!</v>
      </c>
      <c r="K6746" s="398"/>
      <c r="L6746" s="398"/>
      <c r="M6746" s="682"/>
      <c r="N6746" s="171"/>
      <c r="O6746" s="171"/>
      <c r="P6746" s="171"/>
      <c r="Q6746" s="171"/>
      <c r="R6746" s="171"/>
      <c r="S6746" s="171"/>
      <c r="T6746" s="171"/>
      <c r="U6746" s="171"/>
      <c r="V6746" s="171"/>
      <c r="W6746" s="171"/>
      <c r="X6746" s="171"/>
      <c r="Y6746" s="171"/>
      <c r="Z6746" s="171"/>
      <c r="AA6746" s="171"/>
    </row>
    <row r="6747" spans="1:27" s="530" customFormat="1" ht="25.5" hidden="1" x14ac:dyDescent="0.2">
      <c r="A6747" s="526"/>
      <c r="B6747" s="527"/>
      <c r="C6747" s="465"/>
      <c r="D6747" s="464"/>
      <c r="E6747" s="464"/>
      <c r="F6747" s="494">
        <v>416</v>
      </c>
      <c r="G6747" s="495" t="s">
        <v>4178</v>
      </c>
      <c r="H6747" s="397"/>
      <c r="I6747" s="397"/>
      <c r="J6747" s="750" t="e">
        <f t="shared" si="89"/>
        <v>#DIV/0!</v>
      </c>
      <c r="K6747" s="398"/>
      <c r="L6747" s="398"/>
      <c r="M6747" s="682"/>
      <c r="N6747" s="171"/>
      <c r="O6747" s="171"/>
      <c r="P6747" s="171"/>
      <c r="Q6747" s="171"/>
      <c r="R6747" s="171"/>
      <c r="S6747" s="171"/>
      <c r="T6747" s="171"/>
      <c r="U6747" s="171"/>
      <c r="V6747" s="171"/>
      <c r="W6747" s="171"/>
      <c r="X6747" s="171"/>
      <c r="Y6747" s="171"/>
      <c r="Z6747" s="171"/>
      <c r="AA6747" s="171"/>
    </row>
    <row r="6748" spans="1:27" s="530" customFormat="1" hidden="1" x14ac:dyDescent="0.2">
      <c r="A6748" s="526"/>
      <c r="B6748" s="527"/>
      <c r="C6748" s="465"/>
      <c r="D6748" s="464"/>
      <c r="E6748" s="464"/>
      <c r="F6748" s="494">
        <v>417</v>
      </c>
      <c r="G6748" s="495" t="s">
        <v>4179</v>
      </c>
      <c r="H6748" s="397"/>
      <c r="I6748" s="397"/>
      <c r="J6748" s="750" t="e">
        <f t="shared" si="89"/>
        <v>#DIV/0!</v>
      </c>
      <c r="K6748" s="398"/>
      <c r="L6748" s="398"/>
      <c r="M6748" s="682"/>
      <c r="N6748" s="171"/>
      <c r="O6748" s="171"/>
      <c r="P6748" s="171"/>
      <c r="Q6748" s="171"/>
      <c r="R6748" s="171"/>
      <c r="S6748" s="171"/>
      <c r="T6748" s="171"/>
      <c r="U6748" s="171"/>
      <c r="V6748" s="171"/>
      <c r="W6748" s="171"/>
      <c r="X6748" s="171"/>
      <c r="Y6748" s="171"/>
      <c r="Z6748" s="171"/>
      <c r="AA6748" s="171"/>
    </row>
    <row r="6749" spans="1:27" s="530" customFormat="1" hidden="1" x14ac:dyDescent="0.2">
      <c r="A6749" s="526"/>
      <c r="B6749" s="527"/>
      <c r="C6749" s="465"/>
      <c r="D6749" s="464"/>
      <c r="E6749" s="464"/>
      <c r="F6749" s="494">
        <v>418</v>
      </c>
      <c r="G6749" s="495" t="s">
        <v>3773</v>
      </c>
      <c r="H6749" s="397"/>
      <c r="I6749" s="397"/>
      <c r="J6749" s="750" t="e">
        <f t="shared" si="89"/>
        <v>#DIV/0!</v>
      </c>
      <c r="K6749" s="398"/>
      <c r="L6749" s="398"/>
      <c r="M6749" s="682"/>
      <c r="N6749" s="171"/>
      <c r="O6749" s="171"/>
      <c r="P6749" s="171"/>
      <c r="Q6749" s="171"/>
      <c r="R6749" s="171"/>
      <c r="S6749" s="171"/>
      <c r="T6749" s="171"/>
      <c r="U6749" s="171"/>
      <c r="V6749" s="171"/>
      <c r="W6749" s="171"/>
      <c r="X6749" s="171"/>
      <c r="Y6749" s="171"/>
      <c r="Z6749" s="171"/>
      <c r="AA6749" s="171"/>
    </row>
    <row r="6750" spans="1:27" s="530" customFormat="1" hidden="1" x14ac:dyDescent="0.2">
      <c r="A6750" s="526"/>
      <c r="B6750" s="527"/>
      <c r="C6750" s="465"/>
      <c r="D6750" s="464"/>
      <c r="E6750" s="464"/>
      <c r="F6750" s="494">
        <v>421</v>
      </c>
      <c r="G6750" s="495" t="s">
        <v>3777</v>
      </c>
      <c r="H6750" s="397"/>
      <c r="I6750" s="397"/>
      <c r="J6750" s="750" t="e">
        <f t="shared" si="89"/>
        <v>#DIV/0!</v>
      </c>
      <c r="K6750" s="398"/>
      <c r="L6750" s="398"/>
      <c r="M6750" s="682"/>
      <c r="N6750" s="171"/>
      <c r="O6750" s="171"/>
      <c r="P6750" s="171"/>
      <c r="Q6750" s="171"/>
      <c r="R6750" s="171"/>
      <c r="S6750" s="171"/>
      <c r="T6750" s="171"/>
      <c r="U6750" s="171"/>
      <c r="V6750" s="171"/>
      <c r="W6750" s="171"/>
      <c r="X6750" s="171"/>
      <c r="Y6750" s="171"/>
      <c r="Z6750" s="171"/>
      <c r="AA6750" s="171"/>
    </row>
    <row r="6751" spans="1:27" s="530" customFormat="1" hidden="1" x14ac:dyDescent="0.2">
      <c r="A6751" s="526"/>
      <c r="B6751" s="527"/>
      <c r="C6751" s="465"/>
      <c r="D6751" s="464"/>
      <c r="E6751" s="464"/>
      <c r="F6751" s="494">
        <v>422</v>
      </c>
      <c r="G6751" s="495" t="s">
        <v>3778</v>
      </c>
      <c r="H6751" s="397"/>
      <c r="I6751" s="397"/>
      <c r="J6751" s="750" t="e">
        <f t="shared" si="89"/>
        <v>#DIV/0!</v>
      </c>
      <c r="K6751" s="398"/>
      <c r="L6751" s="398"/>
      <c r="M6751" s="682"/>
      <c r="N6751" s="171"/>
      <c r="O6751" s="171"/>
      <c r="P6751" s="171"/>
      <c r="Q6751" s="171"/>
      <c r="R6751" s="171"/>
      <c r="S6751" s="171"/>
      <c r="T6751" s="171"/>
      <c r="U6751" s="171"/>
      <c r="V6751" s="171"/>
      <c r="W6751" s="171"/>
      <c r="X6751" s="171"/>
      <c r="Y6751" s="171"/>
      <c r="Z6751" s="171"/>
      <c r="AA6751" s="171"/>
    </row>
    <row r="6752" spans="1:27" s="530" customFormat="1" hidden="1" x14ac:dyDescent="0.2">
      <c r="A6752" s="526"/>
      <c r="B6752" s="527"/>
      <c r="C6752" s="465"/>
      <c r="D6752" s="464"/>
      <c r="E6752" s="464"/>
      <c r="F6752" s="494">
        <v>423</v>
      </c>
      <c r="G6752" s="495" t="s">
        <v>3779</v>
      </c>
      <c r="H6752" s="397"/>
      <c r="I6752" s="397"/>
      <c r="J6752" s="750" t="e">
        <f t="shared" si="89"/>
        <v>#DIV/0!</v>
      </c>
      <c r="K6752" s="398"/>
      <c r="L6752" s="398"/>
      <c r="M6752" s="682"/>
      <c r="N6752" s="171"/>
      <c r="O6752" s="171"/>
      <c r="P6752" s="171"/>
      <c r="Q6752" s="171"/>
      <c r="R6752" s="171"/>
      <c r="S6752" s="171"/>
      <c r="T6752" s="171"/>
      <c r="U6752" s="171"/>
      <c r="V6752" s="171"/>
      <c r="W6752" s="171"/>
      <c r="X6752" s="171"/>
      <c r="Y6752" s="171"/>
      <c r="Z6752" s="171"/>
      <c r="AA6752" s="171"/>
    </row>
    <row r="6753" spans="1:27" s="530" customFormat="1" hidden="1" x14ac:dyDescent="0.2">
      <c r="A6753" s="526"/>
      <c r="B6753" s="527"/>
      <c r="C6753" s="465"/>
      <c r="D6753" s="464"/>
      <c r="E6753" s="464"/>
      <c r="F6753" s="494">
        <v>424</v>
      </c>
      <c r="G6753" s="495" t="s">
        <v>3781</v>
      </c>
      <c r="H6753" s="397"/>
      <c r="I6753" s="397"/>
      <c r="J6753" s="750" t="e">
        <f t="shared" si="89"/>
        <v>#DIV/0!</v>
      </c>
      <c r="K6753" s="398"/>
      <c r="L6753" s="398"/>
      <c r="M6753" s="682"/>
      <c r="N6753" s="171"/>
      <c r="O6753" s="171"/>
      <c r="P6753" s="171"/>
      <c r="Q6753" s="171"/>
      <c r="R6753" s="171"/>
      <c r="S6753" s="171"/>
      <c r="T6753" s="171"/>
      <c r="U6753" s="171"/>
      <c r="V6753" s="171"/>
      <c r="W6753" s="171"/>
      <c r="X6753" s="171"/>
      <c r="Y6753" s="171"/>
      <c r="Z6753" s="171"/>
      <c r="AA6753" s="171"/>
    </row>
    <row r="6754" spans="1:27" s="530" customFormat="1" hidden="1" x14ac:dyDescent="0.2">
      <c r="A6754" s="526"/>
      <c r="B6754" s="527"/>
      <c r="C6754" s="465"/>
      <c r="D6754" s="464"/>
      <c r="E6754" s="464"/>
      <c r="F6754" s="494">
        <v>425</v>
      </c>
      <c r="G6754" s="495" t="s">
        <v>4180</v>
      </c>
      <c r="H6754" s="397"/>
      <c r="I6754" s="397"/>
      <c r="J6754" s="750" t="e">
        <f t="shared" si="89"/>
        <v>#DIV/0!</v>
      </c>
      <c r="K6754" s="398"/>
      <c r="L6754" s="398"/>
      <c r="M6754" s="682"/>
      <c r="N6754" s="171"/>
      <c r="O6754" s="171"/>
      <c r="P6754" s="171"/>
      <c r="Q6754" s="171"/>
      <c r="R6754" s="171"/>
      <c r="S6754" s="171"/>
      <c r="T6754" s="171"/>
      <c r="U6754" s="171"/>
      <c r="V6754" s="171"/>
      <c r="W6754" s="171"/>
      <c r="X6754" s="171"/>
      <c r="Y6754" s="171"/>
      <c r="Z6754" s="171"/>
      <c r="AA6754" s="171"/>
    </row>
    <row r="6755" spans="1:27" s="530" customFormat="1" hidden="1" x14ac:dyDescent="0.2">
      <c r="A6755" s="526"/>
      <c r="B6755" s="527"/>
      <c r="C6755" s="465"/>
      <c r="D6755" s="464"/>
      <c r="E6755" s="464"/>
      <c r="F6755" s="494">
        <v>426</v>
      </c>
      <c r="G6755" s="495" t="s">
        <v>3785</v>
      </c>
      <c r="H6755" s="397"/>
      <c r="I6755" s="397"/>
      <c r="J6755" s="750" t="e">
        <f t="shared" si="89"/>
        <v>#DIV/0!</v>
      </c>
      <c r="K6755" s="398"/>
      <c r="L6755" s="398"/>
      <c r="M6755" s="682"/>
      <c r="N6755" s="171"/>
      <c r="O6755" s="171"/>
      <c r="P6755" s="171"/>
      <c r="Q6755" s="171"/>
      <c r="R6755" s="171"/>
      <c r="S6755" s="171"/>
      <c r="T6755" s="171"/>
      <c r="U6755" s="171"/>
      <c r="V6755" s="171"/>
      <c r="W6755" s="171"/>
      <c r="X6755" s="171"/>
      <c r="Y6755" s="171"/>
      <c r="Z6755" s="171"/>
      <c r="AA6755" s="171"/>
    </row>
    <row r="6756" spans="1:27" s="530" customFormat="1" hidden="1" x14ac:dyDescent="0.2">
      <c r="A6756" s="526"/>
      <c r="B6756" s="527"/>
      <c r="C6756" s="465"/>
      <c r="D6756" s="464"/>
      <c r="E6756" s="464"/>
      <c r="F6756" s="494">
        <v>431</v>
      </c>
      <c r="G6756" s="495" t="s">
        <v>4181</v>
      </c>
      <c r="H6756" s="397"/>
      <c r="I6756" s="397"/>
      <c r="J6756" s="750" t="e">
        <f t="shared" si="89"/>
        <v>#DIV/0!</v>
      </c>
      <c r="K6756" s="398"/>
      <c r="L6756" s="398"/>
      <c r="M6756" s="682"/>
      <c r="N6756" s="171"/>
      <c r="O6756" s="171"/>
      <c r="P6756" s="171"/>
      <c r="Q6756" s="171"/>
      <c r="R6756" s="171"/>
      <c r="S6756" s="171"/>
      <c r="T6756" s="171"/>
      <c r="U6756" s="171"/>
      <c r="V6756" s="171"/>
      <c r="W6756" s="171"/>
      <c r="X6756" s="171"/>
      <c r="Y6756" s="171"/>
      <c r="Z6756" s="171"/>
      <c r="AA6756" s="171"/>
    </row>
    <row r="6757" spans="1:27" s="530" customFormat="1" hidden="1" x14ac:dyDescent="0.2">
      <c r="A6757" s="526"/>
      <c r="B6757" s="527"/>
      <c r="C6757" s="465"/>
      <c r="D6757" s="464"/>
      <c r="E6757" s="464"/>
      <c r="F6757" s="494">
        <v>432</v>
      </c>
      <c r="G6757" s="495" t="s">
        <v>4182</v>
      </c>
      <c r="H6757" s="397"/>
      <c r="I6757" s="397"/>
      <c r="J6757" s="750" t="e">
        <f t="shared" si="89"/>
        <v>#DIV/0!</v>
      </c>
      <c r="K6757" s="398"/>
      <c r="L6757" s="398"/>
      <c r="M6757" s="682"/>
      <c r="N6757" s="171"/>
      <c r="O6757" s="171"/>
      <c r="P6757" s="171"/>
      <c r="Q6757" s="171"/>
      <c r="R6757" s="171"/>
      <c r="S6757" s="171"/>
      <c r="T6757" s="171"/>
      <c r="U6757" s="171"/>
      <c r="V6757" s="171"/>
      <c r="W6757" s="171"/>
      <c r="X6757" s="171"/>
      <c r="Y6757" s="171"/>
      <c r="Z6757" s="171"/>
      <c r="AA6757" s="171"/>
    </row>
    <row r="6758" spans="1:27" s="530" customFormat="1" hidden="1" x14ac:dyDescent="0.2">
      <c r="A6758" s="526"/>
      <c r="B6758" s="527"/>
      <c r="C6758" s="465"/>
      <c r="D6758" s="464"/>
      <c r="E6758" s="464"/>
      <c r="F6758" s="494">
        <v>433</v>
      </c>
      <c r="G6758" s="495" t="s">
        <v>4183</v>
      </c>
      <c r="H6758" s="397"/>
      <c r="I6758" s="397"/>
      <c r="J6758" s="750" t="e">
        <f t="shared" si="89"/>
        <v>#DIV/0!</v>
      </c>
      <c r="K6758" s="398"/>
      <c r="L6758" s="398"/>
      <c r="M6758" s="682"/>
      <c r="N6758" s="171"/>
      <c r="O6758" s="171"/>
      <c r="P6758" s="171"/>
      <c r="Q6758" s="171"/>
      <c r="R6758" s="171"/>
      <c r="S6758" s="171"/>
      <c r="T6758" s="171"/>
      <c r="U6758" s="171"/>
      <c r="V6758" s="171"/>
      <c r="W6758" s="171"/>
      <c r="X6758" s="171"/>
      <c r="Y6758" s="171"/>
      <c r="Z6758" s="171"/>
      <c r="AA6758" s="171"/>
    </row>
    <row r="6759" spans="1:27" s="530" customFormat="1" hidden="1" x14ac:dyDescent="0.2">
      <c r="A6759" s="526"/>
      <c r="B6759" s="527"/>
      <c r="C6759" s="465"/>
      <c r="D6759" s="464"/>
      <c r="E6759" s="464"/>
      <c r="F6759" s="494">
        <v>434</v>
      </c>
      <c r="G6759" s="495" t="s">
        <v>4184</v>
      </c>
      <c r="H6759" s="397"/>
      <c r="I6759" s="397"/>
      <c r="J6759" s="750" t="e">
        <f t="shared" si="89"/>
        <v>#DIV/0!</v>
      </c>
      <c r="K6759" s="398"/>
      <c r="L6759" s="398"/>
      <c r="M6759" s="682"/>
      <c r="N6759" s="171"/>
      <c r="O6759" s="171"/>
      <c r="P6759" s="171"/>
      <c r="Q6759" s="171"/>
      <c r="R6759" s="171"/>
      <c r="S6759" s="171"/>
      <c r="T6759" s="171"/>
      <c r="U6759" s="171"/>
      <c r="V6759" s="171"/>
      <c r="W6759" s="171"/>
      <c r="X6759" s="171"/>
      <c r="Y6759" s="171"/>
      <c r="Z6759" s="171"/>
      <c r="AA6759" s="171"/>
    </row>
    <row r="6760" spans="1:27" s="530" customFormat="1" hidden="1" x14ac:dyDescent="0.2">
      <c r="A6760" s="526"/>
      <c r="B6760" s="527"/>
      <c r="C6760" s="465"/>
      <c r="D6760" s="464"/>
      <c r="E6760" s="464"/>
      <c r="F6760" s="494">
        <v>435</v>
      </c>
      <c r="G6760" s="495" t="s">
        <v>3792</v>
      </c>
      <c r="H6760" s="397"/>
      <c r="I6760" s="397"/>
      <c r="J6760" s="750" t="e">
        <f t="shared" si="89"/>
        <v>#DIV/0!</v>
      </c>
      <c r="K6760" s="398"/>
      <c r="L6760" s="398"/>
      <c r="M6760" s="682"/>
      <c r="N6760" s="171"/>
      <c r="O6760" s="171"/>
      <c r="P6760" s="171"/>
      <c r="Q6760" s="171"/>
      <c r="R6760" s="171"/>
      <c r="S6760" s="171"/>
      <c r="T6760" s="171"/>
      <c r="U6760" s="171"/>
      <c r="V6760" s="171"/>
      <c r="W6760" s="171"/>
      <c r="X6760" s="171"/>
      <c r="Y6760" s="171"/>
      <c r="Z6760" s="171"/>
      <c r="AA6760" s="171"/>
    </row>
    <row r="6761" spans="1:27" s="530" customFormat="1" hidden="1" x14ac:dyDescent="0.2">
      <c r="A6761" s="526"/>
      <c r="B6761" s="527"/>
      <c r="C6761" s="465"/>
      <c r="D6761" s="464"/>
      <c r="E6761" s="464"/>
      <c r="F6761" s="494">
        <v>441</v>
      </c>
      <c r="G6761" s="495" t="s">
        <v>4185</v>
      </c>
      <c r="H6761" s="397"/>
      <c r="I6761" s="397"/>
      <c r="J6761" s="750" t="e">
        <f t="shared" si="89"/>
        <v>#DIV/0!</v>
      </c>
      <c r="K6761" s="398"/>
      <c r="L6761" s="398"/>
      <c r="M6761" s="682"/>
      <c r="N6761" s="171"/>
      <c r="O6761" s="171"/>
      <c r="P6761" s="171"/>
      <c r="Q6761" s="171"/>
      <c r="R6761" s="171"/>
      <c r="S6761" s="171"/>
      <c r="T6761" s="171"/>
      <c r="U6761" s="171"/>
      <c r="V6761" s="171"/>
      <c r="W6761" s="171"/>
      <c r="X6761" s="171"/>
      <c r="Y6761" s="171"/>
      <c r="Z6761" s="171"/>
      <c r="AA6761" s="171"/>
    </row>
    <row r="6762" spans="1:27" s="530" customFormat="1" hidden="1" x14ac:dyDescent="0.2">
      <c r="A6762" s="526"/>
      <c r="B6762" s="527"/>
      <c r="C6762" s="465"/>
      <c r="D6762" s="464"/>
      <c r="E6762" s="464"/>
      <c r="F6762" s="494">
        <v>442</v>
      </c>
      <c r="G6762" s="495" t="s">
        <v>4186</v>
      </c>
      <c r="H6762" s="397"/>
      <c r="I6762" s="397"/>
      <c r="J6762" s="750" t="e">
        <f t="shared" si="89"/>
        <v>#DIV/0!</v>
      </c>
      <c r="K6762" s="398"/>
      <c r="L6762" s="398"/>
      <c r="M6762" s="682"/>
      <c r="N6762" s="171"/>
      <c r="O6762" s="171"/>
      <c r="P6762" s="171"/>
      <c r="Q6762" s="171"/>
      <c r="R6762" s="171"/>
      <c r="S6762" s="171"/>
      <c r="T6762" s="171"/>
      <c r="U6762" s="171"/>
      <c r="V6762" s="171"/>
      <c r="W6762" s="171"/>
      <c r="X6762" s="171"/>
      <c r="Y6762" s="171"/>
      <c r="Z6762" s="171"/>
      <c r="AA6762" s="171"/>
    </row>
    <row r="6763" spans="1:27" s="530" customFormat="1" hidden="1" x14ac:dyDescent="0.2">
      <c r="A6763" s="526"/>
      <c r="B6763" s="527"/>
      <c r="C6763" s="465"/>
      <c r="D6763" s="464"/>
      <c r="E6763" s="464"/>
      <c r="F6763" s="494">
        <v>443</v>
      </c>
      <c r="G6763" s="495" t="s">
        <v>3797</v>
      </c>
      <c r="H6763" s="397"/>
      <c r="I6763" s="397"/>
      <c r="J6763" s="750" t="e">
        <f t="shared" si="89"/>
        <v>#DIV/0!</v>
      </c>
      <c r="K6763" s="398"/>
      <c r="L6763" s="398"/>
      <c r="M6763" s="682"/>
      <c r="N6763" s="171"/>
      <c r="O6763" s="171"/>
      <c r="P6763" s="171"/>
      <c r="Q6763" s="171"/>
      <c r="R6763" s="171"/>
      <c r="S6763" s="171"/>
      <c r="T6763" s="171"/>
      <c r="U6763" s="171"/>
      <c r="V6763" s="171"/>
      <c r="W6763" s="171"/>
      <c r="X6763" s="171"/>
      <c r="Y6763" s="171"/>
      <c r="Z6763" s="171"/>
      <c r="AA6763" s="171"/>
    </row>
    <row r="6764" spans="1:27" s="530" customFormat="1" hidden="1" x14ac:dyDescent="0.2">
      <c r="A6764" s="526"/>
      <c r="B6764" s="527"/>
      <c r="C6764" s="465"/>
      <c r="D6764" s="464"/>
      <c r="E6764" s="464"/>
      <c r="F6764" s="494">
        <v>444</v>
      </c>
      <c r="G6764" s="495" t="s">
        <v>3798</v>
      </c>
      <c r="H6764" s="397"/>
      <c r="I6764" s="397"/>
      <c r="J6764" s="750" t="e">
        <f t="shared" si="89"/>
        <v>#DIV/0!</v>
      </c>
      <c r="K6764" s="398"/>
      <c r="L6764" s="398"/>
      <c r="M6764" s="682"/>
      <c r="N6764" s="171"/>
      <c r="O6764" s="171"/>
      <c r="P6764" s="171"/>
      <c r="Q6764" s="171"/>
      <c r="R6764" s="171"/>
      <c r="S6764" s="171"/>
      <c r="T6764" s="171"/>
      <c r="U6764" s="171"/>
      <c r="V6764" s="171"/>
      <c r="W6764" s="171"/>
      <c r="X6764" s="171"/>
      <c r="Y6764" s="171"/>
      <c r="Z6764" s="171"/>
      <c r="AA6764" s="171"/>
    </row>
    <row r="6765" spans="1:27" s="530" customFormat="1" ht="25.5" hidden="1" x14ac:dyDescent="0.2">
      <c r="A6765" s="526"/>
      <c r="B6765" s="527"/>
      <c r="C6765" s="465"/>
      <c r="D6765" s="464"/>
      <c r="E6765" s="464"/>
      <c r="F6765" s="494">
        <v>4511</v>
      </c>
      <c r="G6765" s="466" t="s">
        <v>1692</v>
      </c>
      <c r="H6765" s="397"/>
      <c r="I6765" s="397"/>
      <c r="J6765" s="750" t="e">
        <f t="shared" si="89"/>
        <v>#DIV/0!</v>
      </c>
      <c r="K6765" s="398"/>
      <c r="L6765" s="398"/>
      <c r="M6765" s="682"/>
      <c r="N6765" s="171"/>
      <c r="O6765" s="171"/>
      <c r="P6765" s="171"/>
      <c r="Q6765" s="171"/>
      <c r="R6765" s="171"/>
      <c r="S6765" s="171"/>
      <c r="T6765" s="171"/>
      <c r="U6765" s="171"/>
      <c r="V6765" s="171"/>
      <c r="W6765" s="171"/>
      <c r="X6765" s="171"/>
      <c r="Y6765" s="171"/>
      <c r="Z6765" s="171"/>
      <c r="AA6765" s="171"/>
    </row>
    <row r="6766" spans="1:27" s="530" customFormat="1" ht="25.5" hidden="1" x14ac:dyDescent="0.2">
      <c r="A6766" s="526"/>
      <c r="B6766" s="527"/>
      <c r="C6766" s="465"/>
      <c r="D6766" s="464"/>
      <c r="E6766" s="464"/>
      <c r="F6766" s="494">
        <v>4512</v>
      </c>
      <c r="G6766" s="466" t="s">
        <v>1701</v>
      </c>
      <c r="H6766" s="397"/>
      <c r="I6766" s="397"/>
      <c r="J6766" s="750" t="e">
        <f t="shared" si="89"/>
        <v>#DIV/0!</v>
      </c>
      <c r="K6766" s="398"/>
      <c r="L6766" s="398"/>
      <c r="M6766" s="682"/>
      <c r="N6766" s="171"/>
      <c r="O6766" s="171"/>
      <c r="P6766" s="171"/>
      <c r="Q6766" s="171"/>
      <c r="R6766" s="171"/>
      <c r="S6766" s="171"/>
      <c r="T6766" s="171"/>
      <c r="U6766" s="171"/>
      <c r="V6766" s="171"/>
      <c r="W6766" s="171"/>
      <c r="X6766" s="171"/>
      <c r="Y6766" s="171"/>
      <c r="Z6766" s="171"/>
      <c r="AA6766" s="171"/>
    </row>
    <row r="6767" spans="1:27" s="530" customFormat="1" ht="25.5" hidden="1" x14ac:dyDescent="0.2">
      <c r="A6767" s="526"/>
      <c r="B6767" s="527"/>
      <c r="C6767" s="465"/>
      <c r="D6767" s="464"/>
      <c r="E6767" s="464"/>
      <c r="F6767" s="494">
        <v>452</v>
      </c>
      <c r="G6767" s="495" t="s">
        <v>4187</v>
      </c>
      <c r="H6767" s="397"/>
      <c r="I6767" s="397"/>
      <c r="J6767" s="750" t="e">
        <f t="shared" si="89"/>
        <v>#DIV/0!</v>
      </c>
      <c r="K6767" s="398"/>
      <c r="L6767" s="398"/>
      <c r="M6767" s="682"/>
      <c r="N6767" s="171"/>
      <c r="O6767" s="171"/>
      <c r="P6767" s="171"/>
      <c r="Q6767" s="171"/>
      <c r="R6767" s="171"/>
      <c r="S6767" s="171"/>
      <c r="T6767" s="171"/>
      <c r="U6767" s="171"/>
      <c r="V6767" s="171"/>
      <c r="W6767" s="171"/>
      <c r="X6767" s="171"/>
      <c r="Y6767" s="171"/>
      <c r="Z6767" s="171"/>
      <c r="AA6767" s="171"/>
    </row>
    <row r="6768" spans="1:27" s="530" customFormat="1" ht="25.5" hidden="1" x14ac:dyDescent="0.2">
      <c r="A6768" s="526"/>
      <c r="B6768" s="527"/>
      <c r="C6768" s="465"/>
      <c r="D6768" s="464"/>
      <c r="E6768" s="464"/>
      <c r="F6768" s="494">
        <v>453</v>
      </c>
      <c r="G6768" s="495" t="s">
        <v>4188</v>
      </c>
      <c r="H6768" s="397"/>
      <c r="I6768" s="397"/>
      <c r="J6768" s="750" t="e">
        <f t="shared" si="89"/>
        <v>#DIV/0!</v>
      </c>
      <c r="K6768" s="398"/>
      <c r="L6768" s="398"/>
      <c r="M6768" s="682"/>
      <c r="N6768" s="171"/>
      <c r="O6768" s="171"/>
      <c r="P6768" s="171"/>
      <c r="Q6768" s="171"/>
      <c r="R6768" s="171"/>
      <c r="S6768" s="171"/>
      <c r="T6768" s="171"/>
      <c r="U6768" s="171"/>
      <c r="V6768" s="171"/>
      <c r="W6768" s="171"/>
      <c r="X6768" s="171"/>
      <c r="Y6768" s="171"/>
      <c r="Z6768" s="171"/>
      <c r="AA6768" s="171"/>
    </row>
    <row r="6769" spans="1:27" s="530" customFormat="1" hidden="1" x14ac:dyDescent="0.2">
      <c r="A6769" s="526"/>
      <c r="B6769" s="527"/>
      <c r="C6769" s="465"/>
      <c r="D6769" s="464"/>
      <c r="E6769" s="464"/>
      <c r="F6769" s="494">
        <v>454</v>
      </c>
      <c r="G6769" s="495" t="s">
        <v>3803</v>
      </c>
      <c r="H6769" s="397"/>
      <c r="I6769" s="397"/>
      <c r="J6769" s="750" t="e">
        <f t="shared" si="89"/>
        <v>#DIV/0!</v>
      </c>
      <c r="K6769" s="398"/>
      <c r="L6769" s="398"/>
      <c r="M6769" s="682"/>
      <c r="N6769" s="171"/>
      <c r="O6769" s="171"/>
      <c r="P6769" s="171"/>
      <c r="Q6769" s="171"/>
      <c r="R6769" s="171"/>
      <c r="S6769" s="171"/>
      <c r="T6769" s="171"/>
      <c r="U6769" s="171"/>
      <c r="V6769" s="171"/>
      <c r="W6769" s="171"/>
      <c r="X6769" s="171"/>
      <c r="Y6769" s="171"/>
      <c r="Z6769" s="171"/>
      <c r="AA6769" s="171"/>
    </row>
    <row r="6770" spans="1:27" s="530" customFormat="1" hidden="1" x14ac:dyDescent="0.2">
      <c r="A6770" s="526"/>
      <c r="B6770" s="527"/>
      <c r="C6770" s="465"/>
      <c r="D6770" s="464"/>
      <c r="E6770" s="464"/>
      <c r="F6770" s="494">
        <v>461</v>
      </c>
      <c r="G6770" s="495" t="s">
        <v>4169</v>
      </c>
      <c r="H6770" s="397"/>
      <c r="I6770" s="397"/>
      <c r="J6770" s="750" t="e">
        <f t="shared" si="89"/>
        <v>#DIV/0!</v>
      </c>
      <c r="K6770" s="398"/>
      <c r="L6770" s="398"/>
      <c r="M6770" s="682"/>
      <c r="N6770" s="171"/>
      <c r="O6770" s="171"/>
      <c r="P6770" s="171"/>
      <c r="Q6770" s="171"/>
      <c r="R6770" s="171"/>
      <c r="S6770" s="171"/>
      <c r="T6770" s="171"/>
      <c r="U6770" s="171"/>
      <c r="V6770" s="171"/>
      <c r="W6770" s="171"/>
      <c r="X6770" s="171"/>
      <c r="Y6770" s="171"/>
      <c r="Z6770" s="171"/>
      <c r="AA6770" s="171"/>
    </row>
    <row r="6771" spans="1:27" s="530" customFormat="1" ht="25.5" hidden="1" x14ac:dyDescent="0.2">
      <c r="A6771" s="526"/>
      <c r="B6771" s="527"/>
      <c r="C6771" s="465"/>
      <c r="D6771" s="464"/>
      <c r="E6771" s="464"/>
      <c r="F6771" s="494">
        <v>462</v>
      </c>
      <c r="G6771" s="495" t="s">
        <v>3806</v>
      </c>
      <c r="H6771" s="397"/>
      <c r="I6771" s="397"/>
      <c r="J6771" s="750" t="e">
        <f t="shared" si="89"/>
        <v>#DIV/0!</v>
      </c>
      <c r="K6771" s="398"/>
      <c r="L6771" s="398"/>
      <c r="M6771" s="682"/>
      <c r="N6771" s="171"/>
      <c r="O6771" s="171"/>
      <c r="P6771" s="171"/>
      <c r="Q6771" s="171"/>
      <c r="R6771" s="171"/>
      <c r="S6771" s="171"/>
      <c r="T6771" s="171"/>
      <c r="U6771" s="171"/>
      <c r="V6771" s="171"/>
      <c r="W6771" s="171"/>
      <c r="X6771" s="171"/>
      <c r="Y6771" s="171"/>
      <c r="Z6771" s="171"/>
      <c r="AA6771" s="171"/>
    </row>
    <row r="6772" spans="1:27" s="530" customFormat="1" hidden="1" x14ac:dyDescent="0.2">
      <c r="A6772" s="526"/>
      <c r="B6772" s="527"/>
      <c r="C6772" s="465"/>
      <c r="D6772" s="464"/>
      <c r="E6772" s="464"/>
      <c r="F6772" s="494">
        <v>4631</v>
      </c>
      <c r="G6772" s="495" t="s">
        <v>3807</v>
      </c>
      <c r="H6772" s="397"/>
      <c r="I6772" s="397"/>
      <c r="J6772" s="750" t="e">
        <f t="shared" si="89"/>
        <v>#DIV/0!</v>
      </c>
      <c r="K6772" s="398"/>
      <c r="L6772" s="398"/>
      <c r="M6772" s="682"/>
      <c r="N6772" s="171"/>
      <c r="O6772" s="171"/>
      <c r="P6772" s="171"/>
      <c r="Q6772" s="171"/>
      <c r="R6772" s="171"/>
      <c r="S6772" s="171"/>
      <c r="T6772" s="171"/>
      <c r="U6772" s="171"/>
      <c r="V6772" s="171"/>
      <c r="W6772" s="171"/>
      <c r="X6772" s="171"/>
      <c r="Y6772" s="171"/>
      <c r="Z6772" s="171"/>
      <c r="AA6772" s="171"/>
    </row>
    <row r="6773" spans="1:27" s="530" customFormat="1" hidden="1" x14ac:dyDescent="0.2">
      <c r="A6773" s="526"/>
      <c r="B6773" s="527"/>
      <c r="C6773" s="465"/>
      <c r="D6773" s="464"/>
      <c r="E6773" s="464"/>
      <c r="F6773" s="494">
        <v>4632</v>
      </c>
      <c r="G6773" s="495" t="s">
        <v>3808</v>
      </c>
      <c r="H6773" s="397"/>
      <c r="I6773" s="397"/>
      <c r="J6773" s="750" t="e">
        <f t="shared" si="89"/>
        <v>#DIV/0!</v>
      </c>
      <c r="K6773" s="398"/>
      <c r="L6773" s="398"/>
      <c r="M6773" s="682"/>
      <c r="N6773" s="171"/>
      <c r="O6773" s="171"/>
      <c r="P6773" s="171"/>
      <c r="Q6773" s="171"/>
      <c r="R6773" s="171"/>
      <c r="S6773" s="171"/>
      <c r="T6773" s="171"/>
      <c r="U6773" s="171"/>
      <c r="V6773" s="171"/>
      <c r="W6773" s="171"/>
      <c r="X6773" s="171"/>
      <c r="Y6773" s="171"/>
      <c r="Z6773" s="171"/>
      <c r="AA6773" s="171"/>
    </row>
    <row r="6774" spans="1:27" s="530" customFormat="1" ht="25.5" hidden="1" x14ac:dyDescent="0.2">
      <c r="A6774" s="526"/>
      <c r="B6774" s="527"/>
      <c r="C6774" s="465"/>
      <c r="D6774" s="464"/>
      <c r="E6774" s="464"/>
      <c r="F6774" s="494">
        <v>464</v>
      </c>
      <c r="G6774" s="495" t="s">
        <v>3809</v>
      </c>
      <c r="H6774" s="397"/>
      <c r="I6774" s="397"/>
      <c r="J6774" s="750" t="e">
        <f t="shared" si="89"/>
        <v>#DIV/0!</v>
      </c>
      <c r="K6774" s="398"/>
      <c r="L6774" s="398"/>
      <c r="M6774" s="682"/>
      <c r="N6774" s="171"/>
      <c r="O6774" s="171"/>
      <c r="P6774" s="171"/>
      <c r="Q6774" s="171"/>
      <c r="R6774" s="171"/>
      <c r="S6774" s="171"/>
      <c r="T6774" s="171"/>
      <c r="U6774" s="171"/>
      <c r="V6774" s="171"/>
      <c r="W6774" s="171"/>
      <c r="X6774" s="171"/>
      <c r="Y6774" s="171"/>
      <c r="Z6774" s="171"/>
      <c r="AA6774" s="171"/>
    </row>
    <row r="6775" spans="1:27" s="530" customFormat="1" hidden="1" x14ac:dyDescent="0.2">
      <c r="A6775" s="526"/>
      <c r="B6775" s="527"/>
      <c r="C6775" s="465"/>
      <c r="D6775" s="464"/>
      <c r="E6775" s="464"/>
      <c r="F6775" s="494">
        <v>465</v>
      </c>
      <c r="G6775" s="495" t="s">
        <v>4170</v>
      </c>
      <c r="H6775" s="397"/>
      <c r="I6775" s="397"/>
      <c r="J6775" s="750" t="e">
        <f t="shared" si="89"/>
        <v>#DIV/0!</v>
      </c>
      <c r="K6775" s="398"/>
      <c r="L6775" s="398"/>
      <c r="M6775" s="682"/>
      <c r="N6775" s="171"/>
      <c r="O6775" s="171"/>
      <c r="P6775" s="171"/>
      <c r="Q6775" s="171"/>
      <c r="R6775" s="171"/>
      <c r="S6775" s="171"/>
      <c r="T6775" s="171"/>
      <c r="U6775" s="171"/>
      <c r="V6775" s="171"/>
      <c r="W6775" s="171"/>
      <c r="X6775" s="171"/>
      <c r="Y6775" s="171"/>
      <c r="Z6775" s="171"/>
      <c r="AA6775" s="171"/>
    </row>
    <row r="6776" spans="1:27" s="530" customFormat="1" hidden="1" x14ac:dyDescent="0.2">
      <c r="A6776" s="526"/>
      <c r="B6776" s="527"/>
      <c r="C6776" s="465"/>
      <c r="D6776" s="464"/>
      <c r="E6776" s="464"/>
      <c r="F6776" s="494">
        <v>472</v>
      </c>
      <c r="G6776" s="495" t="s">
        <v>3813</v>
      </c>
      <c r="H6776" s="397"/>
      <c r="I6776" s="397"/>
      <c r="J6776" s="750" t="e">
        <f t="shared" si="89"/>
        <v>#DIV/0!</v>
      </c>
      <c r="K6776" s="398"/>
      <c r="L6776" s="398"/>
      <c r="M6776" s="682"/>
      <c r="N6776" s="171"/>
      <c r="O6776" s="171"/>
      <c r="P6776" s="171"/>
      <c r="Q6776" s="171"/>
      <c r="R6776" s="171"/>
      <c r="S6776" s="171"/>
      <c r="T6776" s="171"/>
      <c r="U6776" s="171"/>
      <c r="V6776" s="171"/>
      <c r="W6776" s="171"/>
      <c r="X6776" s="171"/>
      <c r="Y6776" s="171"/>
      <c r="Z6776" s="171"/>
      <c r="AA6776" s="171"/>
    </row>
    <row r="6777" spans="1:27" s="530" customFormat="1" hidden="1" x14ac:dyDescent="0.2">
      <c r="A6777" s="526"/>
      <c r="B6777" s="527"/>
      <c r="C6777" s="465"/>
      <c r="D6777" s="464"/>
      <c r="E6777" s="464"/>
      <c r="F6777" s="494">
        <v>481</v>
      </c>
      <c r="G6777" s="495" t="s">
        <v>4189</v>
      </c>
      <c r="H6777" s="397"/>
      <c r="I6777" s="397"/>
      <c r="J6777" s="750" t="e">
        <f t="shared" si="89"/>
        <v>#DIV/0!</v>
      </c>
      <c r="K6777" s="398"/>
      <c r="L6777" s="398"/>
      <c r="M6777" s="682"/>
      <c r="N6777" s="171"/>
      <c r="O6777" s="171"/>
      <c r="P6777" s="171"/>
      <c r="Q6777" s="171"/>
      <c r="R6777" s="171"/>
      <c r="S6777" s="171"/>
      <c r="T6777" s="171"/>
      <c r="U6777" s="171"/>
      <c r="V6777" s="171"/>
      <c r="W6777" s="171"/>
      <c r="X6777" s="171"/>
      <c r="Y6777" s="171"/>
      <c r="Z6777" s="171"/>
      <c r="AA6777" s="171"/>
    </row>
    <row r="6778" spans="1:27" s="530" customFormat="1" hidden="1" x14ac:dyDescent="0.2">
      <c r="A6778" s="526"/>
      <c r="B6778" s="527"/>
      <c r="C6778" s="465"/>
      <c r="D6778" s="464"/>
      <c r="E6778" s="464"/>
      <c r="F6778" s="494">
        <v>482</v>
      </c>
      <c r="G6778" s="495" t="s">
        <v>4190</v>
      </c>
      <c r="H6778" s="397"/>
      <c r="I6778" s="397"/>
      <c r="J6778" s="750" t="e">
        <f t="shared" si="89"/>
        <v>#DIV/0!</v>
      </c>
      <c r="K6778" s="398"/>
      <c r="L6778" s="398"/>
      <c r="M6778" s="682"/>
      <c r="N6778" s="171"/>
      <c r="O6778" s="171"/>
      <c r="P6778" s="171"/>
      <c r="Q6778" s="171"/>
      <c r="R6778" s="171"/>
      <c r="S6778" s="171"/>
      <c r="T6778" s="171"/>
      <c r="U6778" s="171"/>
      <c r="V6778" s="171"/>
      <c r="W6778" s="171"/>
      <c r="X6778" s="171"/>
      <c r="Y6778" s="171"/>
      <c r="Z6778" s="171"/>
      <c r="AA6778" s="171"/>
    </row>
    <row r="6779" spans="1:27" s="530" customFormat="1" hidden="1" x14ac:dyDescent="0.2">
      <c r="A6779" s="526"/>
      <c r="B6779" s="527"/>
      <c r="C6779" s="465"/>
      <c r="D6779" s="464"/>
      <c r="E6779" s="464"/>
      <c r="F6779" s="494">
        <v>483</v>
      </c>
      <c r="G6779" s="497" t="s">
        <v>4191</v>
      </c>
      <c r="H6779" s="397"/>
      <c r="I6779" s="397"/>
      <c r="J6779" s="750" t="e">
        <f t="shared" si="89"/>
        <v>#DIV/0!</v>
      </c>
      <c r="K6779" s="398"/>
      <c r="L6779" s="398"/>
      <c r="M6779" s="682"/>
      <c r="N6779" s="171"/>
      <c r="O6779" s="171"/>
      <c r="P6779" s="171"/>
      <c r="Q6779" s="171"/>
      <c r="R6779" s="171"/>
      <c r="S6779" s="171"/>
      <c r="T6779" s="171"/>
      <c r="U6779" s="171"/>
      <c r="V6779" s="171"/>
      <c r="W6779" s="171"/>
      <c r="X6779" s="171"/>
      <c r="Y6779" s="171"/>
      <c r="Z6779" s="171"/>
      <c r="AA6779" s="171"/>
    </row>
    <row r="6780" spans="1:27" s="530" customFormat="1" ht="38.25" hidden="1" x14ac:dyDescent="0.2">
      <c r="A6780" s="526"/>
      <c r="B6780" s="527"/>
      <c r="C6780" s="465"/>
      <c r="D6780" s="464"/>
      <c r="E6780" s="464"/>
      <c r="F6780" s="494">
        <v>484</v>
      </c>
      <c r="G6780" s="495" t="s">
        <v>4192</v>
      </c>
      <c r="H6780" s="397"/>
      <c r="I6780" s="397"/>
      <c r="J6780" s="750" t="e">
        <f t="shared" si="89"/>
        <v>#DIV/0!</v>
      </c>
      <c r="K6780" s="398"/>
      <c r="L6780" s="398"/>
      <c r="M6780" s="682"/>
      <c r="N6780" s="171"/>
      <c r="O6780" s="171"/>
      <c r="P6780" s="171"/>
      <c r="Q6780" s="171"/>
      <c r="R6780" s="171"/>
      <c r="S6780" s="171"/>
      <c r="T6780" s="171"/>
      <c r="U6780" s="171"/>
      <c r="V6780" s="171"/>
      <c r="W6780" s="171"/>
      <c r="X6780" s="171"/>
      <c r="Y6780" s="171"/>
      <c r="Z6780" s="171"/>
      <c r="AA6780" s="171"/>
    </row>
    <row r="6781" spans="1:27" s="530" customFormat="1" ht="25.5" hidden="1" x14ac:dyDescent="0.2">
      <c r="A6781" s="526"/>
      <c r="B6781" s="527"/>
      <c r="C6781" s="465"/>
      <c r="D6781" s="464"/>
      <c r="E6781" s="464"/>
      <c r="F6781" s="494">
        <v>485</v>
      </c>
      <c r="G6781" s="495" t="s">
        <v>4193</v>
      </c>
      <c r="H6781" s="397"/>
      <c r="I6781" s="397"/>
      <c r="J6781" s="750" t="e">
        <f t="shared" si="89"/>
        <v>#DIV/0!</v>
      </c>
      <c r="K6781" s="398"/>
      <c r="L6781" s="398"/>
      <c r="M6781" s="682"/>
      <c r="N6781" s="171"/>
      <c r="O6781" s="171"/>
      <c r="P6781" s="171"/>
      <c r="Q6781" s="171"/>
      <c r="R6781" s="171"/>
      <c r="S6781" s="171"/>
      <c r="T6781" s="171"/>
      <c r="U6781" s="171"/>
      <c r="V6781" s="171"/>
      <c r="W6781" s="171"/>
      <c r="X6781" s="171"/>
      <c r="Y6781" s="171"/>
      <c r="Z6781" s="171"/>
      <c r="AA6781" s="171"/>
    </row>
    <row r="6782" spans="1:27" s="530" customFormat="1" ht="25.5" hidden="1" x14ac:dyDescent="0.2">
      <c r="A6782" s="526"/>
      <c r="B6782" s="527"/>
      <c r="C6782" s="465"/>
      <c r="D6782" s="464"/>
      <c r="E6782" s="464"/>
      <c r="F6782" s="494">
        <v>489</v>
      </c>
      <c r="G6782" s="495" t="s">
        <v>3821</v>
      </c>
      <c r="H6782" s="397"/>
      <c r="I6782" s="397"/>
      <c r="J6782" s="750" t="e">
        <f t="shared" si="89"/>
        <v>#DIV/0!</v>
      </c>
      <c r="K6782" s="398"/>
      <c r="L6782" s="398"/>
      <c r="M6782" s="682"/>
      <c r="N6782" s="171"/>
      <c r="O6782" s="171"/>
      <c r="P6782" s="171"/>
      <c r="Q6782" s="171"/>
      <c r="R6782" s="171"/>
      <c r="S6782" s="171"/>
      <c r="T6782" s="171"/>
      <c r="U6782" s="171"/>
      <c r="V6782" s="171"/>
      <c r="W6782" s="171"/>
      <c r="X6782" s="171"/>
      <c r="Y6782" s="171"/>
      <c r="Z6782" s="171"/>
      <c r="AA6782" s="171"/>
    </row>
    <row r="6783" spans="1:27" s="530" customFormat="1" ht="25.5" hidden="1" x14ac:dyDescent="0.2">
      <c r="A6783" s="526"/>
      <c r="B6783" s="527"/>
      <c r="C6783" s="465"/>
      <c r="D6783" s="464"/>
      <c r="E6783" s="464"/>
      <c r="F6783" s="494">
        <v>494</v>
      </c>
      <c r="G6783" s="495" t="s">
        <v>4171</v>
      </c>
      <c r="H6783" s="397"/>
      <c r="I6783" s="397"/>
      <c r="J6783" s="750" t="e">
        <f t="shared" si="89"/>
        <v>#DIV/0!</v>
      </c>
      <c r="K6783" s="398"/>
      <c r="L6783" s="398"/>
      <c r="M6783" s="682"/>
      <c r="N6783" s="171"/>
      <c r="O6783" s="171"/>
      <c r="P6783" s="171"/>
      <c r="Q6783" s="171"/>
      <c r="R6783" s="171"/>
      <c r="S6783" s="171"/>
      <c r="T6783" s="171"/>
      <c r="U6783" s="171"/>
      <c r="V6783" s="171"/>
      <c r="W6783" s="171"/>
      <c r="X6783" s="171"/>
      <c r="Y6783" s="171"/>
      <c r="Z6783" s="171"/>
      <c r="AA6783" s="171"/>
    </row>
    <row r="6784" spans="1:27" s="530" customFormat="1" ht="25.5" hidden="1" x14ac:dyDescent="0.2">
      <c r="A6784" s="526"/>
      <c r="B6784" s="527"/>
      <c r="C6784" s="465"/>
      <c r="D6784" s="464"/>
      <c r="E6784" s="464"/>
      <c r="F6784" s="494">
        <v>495</v>
      </c>
      <c r="G6784" s="495" t="s">
        <v>4172</v>
      </c>
      <c r="H6784" s="397"/>
      <c r="I6784" s="397"/>
      <c r="J6784" s="750" t="e">
        <f t="shared" si="89"/>
        <v>#DIV/0!</v>
      </c>
      <c r="K6784" s="398"/>
      <c r="L6784" s="398"/>
      <c r="M6784" s="682"/>
      <c r="N6784" s="171"/>
      <c r="O6784" s="171"/>
      <c r="P6784" s="171"/>
      <c r="Q6784" s="171"/>
      <c r="R6784" s="171"/>
      <c r="S6784" s="171"/>
      <c r="T6784" s="171"/>
      <c r="U6784" s="171"/>
      <c r="V6784" s="171"/>
      <c r="W6784" s="171"/>
      <c r="X6784" s="171"/>
      <c r="Y6784" s="171"/>
      <c r="Z6784" s="171"/>
      <c r="AA6784" s="171"/>
    </row>
    <row r="6785" spans="1:27" s="530" customFormat="1" ht="38.25" hidden="1" x14ac:dyDescent="0.2">
      <c r="A6785" s="526"/>
      <c r="B6785" s="527"/>
      <c r="C6785" s="465"/>
      <c r="D6785" s="464"/>
      <c r="E6785" s="464"/>
      <c r="F6785" s="494">
        <v>496</v>
      </c>
      <c r="G6785" s="495" t="s">
        <v>4173</v>
      </c>
      <c r="H6785" s="397"/>
      <c r="I6785" s="397"/>
      <c r="J6785" s="750" t="e">
        <f t="shared" si="89"/>
        <v>#DIV/0!</v>
      </c>
      <c r="K6785" s="398"/>
      <c r="L6785" s="398"/>
      <c r="M6785" s="682"/>
      <c r="N6785" s="171"/>
      <c r="O6785" s="171"/>
      <c r="P6785" s="171"/>
      <c r="Q6785" s="171"/>
      <c r="R6785" s="171"/>
      <c r="S6785" s="171"/>
      <c r="T6785" s="171"/>
      <c r="U6785" s="171"/>
      <c r="V6785" s="171"/>
      <c r="W6785" s="171"/>
      <c r="X6785" s="171"/>
      <c r="Y6785" s="171"/>
      <c r="Z6785" s="171"/>
      <c r="AA6785" s="171"/>
    </row>
    <row r="6786" spans="1:27" s="530" customFormat="1" ht="25.5" hidden="1" x14ac:dyDescent="0.2">
      <c r="A6786" s="526"/>
      <c r="B6786" s="527"/>
      <c r="C6786" s="465"/>
      <c r="D6786" s="464"/>
      <c r="E6786" s="464"/>
      <c r="F6786" s="494">
        <v>499</v>
      </c>
      <c r="G6786" s="495" t="s">
        <v>4174</v>
      </c>
      <c r="H6786" s="397"/>
      <c r="I6786" s="397"/>
      <c r="J6786" s="750" t="e">
        <f t="shared" si="89"/>
        <v>#DIV/0!</v>
      </c>
      <c r="K6786" s="398"/>
      <c r="L6786" s="398"/>
      <c r="M6786" s="682"/>
      <c r="N6786" s="171"/>
      <c r="O6786" s="171"/>
      <c r="P6786" s="171"/>
      <c r="Q6786" s="171"/>
      <c r="R6786" s="171"/>
      <c r="S6786" s="171"/>
      <c r="T6786" s="171"/>
      <c r="U6786" s="171"/>
      <c r="V6786" s="171"/>
      <c r="W6786" s="171"/>
      <c r="X6786" s="171"/>
      <c r="Y6786" s="171"/>
      <c r="Z6786" s="171"/>
      <c r="AA6786" s="171"/>
    </row>
    <row r="6787" spans="1:27" s="530" customFormat="1" hidden="1" x14ac:dyDescent="0.2">
      <c r="A6787" s="526"/>
      <c r="B6787" s="527"/>
      <c r="C6787" s="465"/>
      <c r="D6787" s="464"/>
      <c r="E6787" s="464"/>
      <c r="F6787" s="494">
        <v>511</v>
      </c>
      <c r="G6787" s="497" t="s">
        <v>4194</v>
      </c>
      <c r="H6787" s="397"/>
      <c r="I6787" s="397"/>
      <c r="J6787" s="750" t="e">
        <f t="shared" si="89"/>
        <v>#DIV/0!</v>
      </c>
      <c r="K6787" s="398"/>
      <c r="L6787" s="398"/>
      <c r="M6787" s="682"/>
      <c r="N6787" s="171"/>
      <c r="O6787" s="171"/>
      <c r="P6787" s="171"/>
      <c r="Q6787" s="171"/>
      <c r="R6787" s="171"/>
      <c r="S6787" s="171"/>
      <c r="T6787" s="171"/>
      <c r="U6787" s="171"/>
      <c r="V6787" s="171"/>
      <c r="W6787" s="171"/>
      <c r="X6787" s="171"/>
      <c r="Y6787" s="171"/>
      <c r="Z6787" s="171"/>
      <c r="AA6787" s="171"/>
    </row>
    <row r="6788" spans="1:27" s="530" customFormat="1" hidden="1" x14ac:dyDescent="0.2">
      <c r="A6788" s="526"/>
      <c r="B6788" s="527"/>
      <c r="C6788" s="465"/>
      <c r="D6788" s="464"/>
      <c r="E6788" s="464"/>
      <c r="F6788" s="494">
        <v>512</v>
      </c>
      <c r="G6788" s="497" t="s">
        <v>4195</v>
      </c>
      <c r="H6788" s="397"/>
      <c r="I6788" s="397"/>
      <c r="J6788" s="750" t="e">
        <f t="shared" si="89"/>
        <v>#DIV/0!</v>
      </c>
      <c r="K6788" s="398"/>
      <c r="L6788" s="398"/>
      <c r="M6788" s="682"/>
      <c r="N6788" s="171"/>
      <c r="O6788" s="171"/>
      <c r="P6788" s="171"/>
      <c r="Q6788" s="171"/>
      <c r="R6788" s="171"/>
      <c r="S6788" s="171"/>
      <c r="T6788" s="171"/>
      <c r="U6788" s="171"/>
      <c r="V6788" s="171"/>
      <c r="W6788" s="171"/>
      <c r="X6788" s="171"/>
      <c r="Y6788" s="171"/>
      <c r="Z6788" s="171"/>
      <c r="AA6788" s="171"/>
    </row>
    <row r="6789" spans="1:27" s="530" customFormat="1" hidden="1" x14ac:dyDescent="0.2">
      <c r="A6789" s="526"/>
      <c r="B6789" s="527"/>
      <c r="C6789" s="465"/>
      <c r="D6789" s="464"/>
      <c r="E6789" s="464"/>
      <c r="F6789" s="494">
        <v>513</v>
      </c>
      <c r="G6789" s="497" t="s">
        <v>4196</v>
      </c>
      <c r="H6789" s="397"/>
      <c r="I6789" s="397"/>
      <c r="J6789" s="750" t="e">
        <f t="shared" si="89"/>
        <v>#DIV/0!</v>
      </c>
      <c r="K6789" s="398"/>
      <c r="L6789" s="398"/>
      <c r="M6789" s="682"/>
      <c r="N6789" s="171"/>
      <c r="O6789" s="171"/>
      <c r="P6789" s="171"/>
      <c r="Q6789" s="171"/>
      <c r="R6789" s="171"/>
      <c r="S6789" s="171"/>
      <c r="T6789" s="171"/>
      <c r="U6789" s="171"/>
      <c r="V6789" s="171"/>
      <c r="W6789" s="171"/>
      <c r="X6789" s="171"/>
      <c r="Y6789" s="171"/>
      <c r="Z6789" s="171"/>
      <c r="AA6789" s="171"/>
    </row>
    <row r="6790" spans="1:27" s="530" customFormat="1" hidden="1" x14ac:dyDescent="0.2">
      <c r="A6790" s="526"/>
      <c r="B6790" s="527"/>
      <c r="C6790" s="465"/>
      <c r="D6790" s="464"/>
      <c r="E6790" s="464"/>
      <c r="F6790" s="494">
        <v>514</v>
      </c>
      <c r="G6790" s="495" t="s">
        <v>4197</v>
      </c>
      <c r="H6790" s="397"/>
      <c r="I6790" s="397"/>
      <c r="J6790" s="750" t="e">
        <f t="shared" si="89"/>
        <v>#DIV/0!</v>
      </c>
      <c r="K6790" s="398"/>
      <c r="L6790" s="398"/>
      <c r="M6790" s="682"/>
      <c r="N6790" s="171"/>
      <c r="O6790" s="171"/>
      <c r="P6790" s="171"/>
      <c r="Q6790" s="171"/>
      <c r="R6790" s="171"/>
      <c r="S6790" s="171"/>
      <c r="T6790" s="171"/>
      <c r="U6790" s="171"/>
      <c r="V6790" s="171"/>
      <c r="W6790" s="171"/>
      <c r="X6790" s="171"/>
      <c r="Y6790" s="171"/>
      <c r="Z6790" s="171"/>
      <c r="AA6790" s="171"/>
    </row>
    <row r="6791" spans="1:27" s="530" customFormat="1" hidden="1" x14ac:dyDescent="0.2">
      <c r="A6791" s="526"/>
      <c r="B6791" s="527"/>
      <c r="C6791" s="465"/>
      <c r="D6791" s="464"/>
      <c r="E6791" s="464"/>
      <c r="F6791" s="494">
        <v>515</v>
      </c>
      <c r="G6791" s="495" t="s">
        <v>3832</v>
      </c>
      <c r="H6791" s="397"/>
      <c r="I6791" s="397"/>
      <c r="J6791" s="750" t="e">
        <f t="shared" si="89"/>
        <v>#DIV/0!</v>
      </c>
      <c r="K6791" s="398"/>
      <c r="L6791" s="398"/>
      <c r="M6791" s="682"/>
      <c r="N6791" s="171"/>
      <c r="O6791" s="171"/>
      <c r="P6791" s="171"/>
      <c r="Q6791" s="171"/>
      <c r="R6791" s="171"/>
      <c r="S6791" s="171"/>
      <c r="T6791" s="171"/>
      <c r="U6791" s="171"/>
      <c r="V6791" s="171"/>
      <c r="W6791" s="171"/>
      <c r="X6791" s="171"/>
      <c r="Y6791" s="171"/>
      <c r="Z6791" s="171"/>
      <c r="AA6791" s="171"/>
    </row>
    <row r="6792" spans="1:27" s="530" customFormat="1" hidden="1" x14ac:dyDescent="0.2">
      <c r="A6792" s="526"/>
      <c r="B6792" s="527"/>
      <c r="C6792" s="465"/>
      <c r="D6792" s="464"/>
      <c r="E6792" s="464"/>
      <c r="F6792" s="494">
        <v>521</v>
      </c>
      <c r="G6792" s="495" t="s">
        <v>4198</v>
      </c>
      <c r="H6792" s="397"/>
      <c r="I6792" s="397"/>
      <c r="J6792" s="750" t="e">
        <f t="shared" si="89"/>
        <v>#DIV/0!</v>
      </c>
      <c r="K6792" s="398"/>
      <c r="L6792" s="398"/>
      <c r="M6792" s="682"/>
      <c r="N6792" s="171"/>
      <c r="O6792" s="171"/>
      <c r="P6792" s="171"/>
      <c r="Q6792" s="171"/>
      <c r="R6792" s="171"/>
      <c r="S6792" s="171"/>
      <c r="T6792" s="171"/>
      <c r="U6792" s="171"/>
      <c r="V6792" s="171"/>
      <c r="W6792" s="171"/>
      <c r="X6792" s="171"/>
      <c r="Y6792" s="171"/>
      <c r="Z6792" s="171"/>
      <c r="AA6792" s="171"/>
    </row>
    <row r="6793" spans="1:27" s="530" customFormat="1" hidden="1" x14ac:dyDescent="0.2">
      <c r="A6793" s="526"/>
      <c r="B6793" s="527"/>
      <c r="C6793" s="465"/>
      <c r="D6793" s="464"/>
      <c r="E6793" s="464"/>
      <c r="F6793" s="494">
        <v>522</v>
      </c>
      <c r="G6793" s="495" t="s">
        <v>4199</v>
      </c>
      <c r="H6793" s="397"/>
      <c r="I6793" s="397"/>
      <c r="J6793" s="750" t="e">
        <f t="shared" si="89"/>
        <v>#DIV/0!</v>
      </c>
      <c r="K6793" s="398"/>
      <c r="L6793" s="398"/>
      <c r="M6793" s="682"/>
      <c r="N6793" s="171"/>
      <c r="O6793" s="171"/>
      <c r="P6793" s="171"/>
      <c r="Q6793" s="171"/>
      <c r="R6793" s="171"/>
      <c r="S6793" s="171"/>
      <c r="T6793" s="171"/>
      <c r="U6793" s="171"/>
      <c r="V6793" s="171"/>
      <c r="W6793" s="171"/>
      <c r="X6793" s="171"/>
      <c r="Y6793" s="171"/>
      <c r="Z6793" s="171"/>
      <c r="AA6793" s="171"/>
    </row>
    <row r="6794" spans="1:27" s="530" customFormat="1" hidden="1" x14ac:dyDescent="0.2">
      <c r="A6794" s="526"/>
      <c r="B6794" s="527"/>
      <c r="C6794" s="465"/>
      <c r="D6794" s="464"/>
      <c r="E6794" s="464"/>
      <c r="F6794" s="494">
        <v>523</v>
      </c>
      <c r="G6794" s="495" t="s">
        <v>3837</v>
      </c>
      <c r="H6794" s="397"/>
      <c r="I6794" s="397"/>
      <c r="J6794" s="750" t="e">
        <f t="shared" si="89"/>
        <v>#DIV/0!</v>
      </c>
      <c r="K6794" s="398"/>
      <c r="L6794" s="398"/>
      <c r="M6794" s="682"/>
      <c r="N6794" s="171"/>
      <c r="O6794" s="171"/>
      <c r="P6794" s="171"/>
      <c r="Q6794" s="171"/>
      <c r="R6794" s="171"/>
      <c r="S6794" s="171"/>
      <c r="T6794" s="171"/>
      <c r="U6794" s="171"/>
      <c r="V6794" s="171"/>
      <c r="W6794" s="171"/>
      <c r="X6794" s="171"/>
      <c r="Y6794" s="171"/>
      <c r="Z6794" s="171"/>
      <c r="AA6794" s="171"/>
    </row>
    <row r="6795" spans="1:27" s="530" customFormat="1" hidden="1" x14ac:dyDescent="0.2">
      <c r="A6795" s="526"/>
      <c r="B6795" s="527"/>
      <c r="C6795" s="465"/>
      <c r="D6795" s="464"/>
      <c r="E6795" s="464"/>
      <c r="F6795" s="494">
        <v>531</v>
      </c>
      <c r="G6795" s="496" t="s">
        <v>4175</v>
      </c>
      <c r="H6795" s="397"/>
      <c r="I6795" s="397"/>
      <c r="J6795" s="750" t="e">
        <f t="shared" si="89"/>
        <v>#DIV/0!</v>
      </c>
      <c r="K6795" s="398"/>
      <c r="L6795" s="398"/>
      <c r="M6795" s="682"/>
      <c r="N6795" s="171"/>
      <c r="O6795" s="171"/>
      <c r="P6795" s="171"/>
      <c r="Q6795" s="171"/>
      <c r="R6795" s="171"/>
      <c r="S6795" s="171"/>
      <c r="T6795" s="171"/>
      <c r="U6795" s="171"/>
      <c r="V6795" s="171"/>
      <c r="W6795" s="171"/>
      <c r="X6795" s="171"/>
      <c r="Y6795" s="171"/>
      <c r="Z6795" s="171"/>
      <c r="AA6795" s="171"/>
    </row>
    <row r="6796" spans="1:27" s="530" customFormat="1" hidden="1" x14ac:dyDescent="0.2">
      <c r="A6796" s="526"/>
      <c r="B6796" s="527"/>
      <c r="C6796" s="465"/>
      <c r="D6796" s="464"/>
      <c r="E6796" s="464"/>
      <c r="F6796" s="494">
        <v>541</v>
      </c>
      <c r="G6796" s="495" t="s">
        <v>4200</v>
      </c>
      <c r="H6796" s="397"/>
      <c r="I6796" s="397"/>
      <c r="J6796" s="750" t="e">
        <f t="shared" si="89"/>
        <v>#DIV/0!</v>
      </c>
      <c r="K6796" s="398"/>
      <c r="L6796" s="398"/>
      <c r="M6796" s="682"/>
      <c r="N6796" s="171"/>
      <c r="O6796" s="171"/>
      <c r="P6796" s="171"/>
      <c r="Q6796" s="171"/>
      <c r="R6796" s="171"/>
      <c r="S6796" s="171"/>
      <c r="T6796" s="171"/>
      <c r="U6796" s="171"/>
      <c r="V6796" s="171"/>
      <c r="W6796" s="171"/>
      <c r="X6796" s="171"/>
      <c r="Y6796" s="171"/>
      <c r="Z6796" s="171"/>
      <c r="AA6796" s="171"/>
    </row>
    <row r="6797" spans="1:27" s="530" customFormat="1" hidden="1" x14ac:dyDescent="0.2">
      <c r="A6797" s="526"/>
      <c r="B6797" s="527"/>
      <c r="C6797" s="465"/>
      <c r="D6797" s="464"/>
      <c r="E6797" s="464"/>
      <c r="F6797" s="494">
        <v>542</v>
      </c>
      <c r="G6797" s="495" t="s">
        <v>4201</v>
      </c>
      <c r="H6797" s="397"/>
      <c r="I6797" s="397"/>
      <c r="J6797" s="750" t="e">
        <f t="shared" ref="J6797:J6860" si="90">SUM(I6797/H6797)*100</f>
        <v>#DIV/0!</v>
      </c>
      <c r="K6797" s="398"/>
      <c r="L6797" s="398"/>
      <c r="M6797" s="682"/>
      <c r="N6797" s="171"/>
      <c r="O6797" s="171"/>
      <c r="P6797" s="171"/>
      <c r="Q6797" s="171"/>
      <c r="R6797" s="171"/>
      <c r="S6797" s="171"/>
      <c r="T6797" s="171"/>
      <c r="U6797" s="171"/>
      <c r="V6797" s="171"/>
      <c r="W6797" s="171"/>
      <c r="X6797" s="171"/>
      <c r="Y6797" s="171"/>
      <c r="Z6797" s="171"/>
      <c r="AA6797" s="171"/>
    </row>
    <row r="6798" spans="1:27" s="530" customFormat="1" hidden="1" x14ac:dyDescent="0.2">
      <c r="A6798" s="526"/>
      <c r="B6798" s="527"/>
      <c r="C6798" s="465"/>
      <c r="D6798" s="464"/>
      <c r="E6798" s="464"/>
      <c r="F6798" s="494">
        <v>543</v>
      </c>
      <c r="G6798" s="495" t="s">
        <v>3842</v>
      </c>
      <c r="H6798" s="397"/>
      <c r="I6798" s="397"/>
      <c r="J6798" s="750" t="e">
        <f t="shared" si="90"/>
        <v>#DIV/0!</v>
      </c>
      <c r="K6798" s="398"/>
      <c r="L6798" s="398"/>
      <c r="M6798" s="682"/>
      <c r="N6798" s="171"/>
      <c r="O6798" s="171"/>
      <c r="P6798" s="171"/>
      <c r="Q6798" s="171"/>
      <c r="R6798" s="171"/>
      <c r="S6798" s="171"/>
      <c r="T6798" s="171"/>
      <c r="U6798" s="171"/>
      <c r="V6798" s="171"/>
      <c r="W6798" s="171"/>
      <c r="X6798" s="171"/>
      <c r="Y6798" s="171"/>
      <c r="Z6798" s="171"/>
      <c r="AA6798" s="171"/>
    </row>
    <row r="6799" spans="1:27" s="530" customFormat="1" ht="38.25" hidden="1" x14ac:dyDescent="0.2">
      <c r="A6799" s="526"/>
      <c r="B6799" s="527"/>
      <c r="C6799" s="465"/>
      <c r="D6799" s="464"/>
      <c r="E6799" s="464"/>
      <c r="F6799" s="494">
        <v>551</v>
      </c>
      <c r="G6799" s="495" t="s">
        <v>4176</v>
      </c>
      <c r="H6799" s="397"/>
      <c r="I6799" s="397"/>
      <c r="J6799" s="750" t="e">
        <f t="shared" si="90"/>
        <v>#DIV/0!</v>
      </c>
      <c r="K6799" s="398"/>
      <c r="L6799" s="398"/>
      <c r="M6799" s="682"/>
      <c r="N6799" s="171"/>
      <c r="O6799" s="171"/>
      <c r="P6799" s="171"/>
      <c r="Q6799" s="171"/>
      <c r="R6799" s="171"/>
      <c r="S6799" s="171"/>
      <c r="T6799" s="171"/>
      <c r="U6799" s="171"/>
      <c r="V6799" s="171"/>
      <c r="W6799" s="171"/>
      <c r="X6799" s="171"/>
      <c r="Y6799" s="171"/>
      <c r="Z6799" s="171"/>
      <c r="AA6799" s="171"/>
    </row>
    <row r="6800" spans="1:27" s="530" customFormat="1" hidden="1" x14ac:dyDescent="0.2">
      <c r="A6800" s="526"/>
      <c r="B6800" s="527"/>
      <c r="C6800" s="465"/>
      <c r="D6800" s="464"/>
      <c r="E6800" s="464"/>
      <c r="F6800" s="498">
        <v>611</v>
      </c>
      <c r="G6800" s="499" t="s">
        <v>3848</v>
      </c>
      <c r="H6800" s="397"/>
      <c r="I6800" s="397"/>
      <c r="J6800" s="750" t="e">
        <f t="shared" si="90"/>
        <v>#DIV/0!</v>
      </c>
      <c r="K6800" s="398"/>
      <c r="L6800" s="398"/>
      <c r="M6800" s="682"/>
      <c r="N6800" s="171"/>
      <c r="O6800" s="171"/>
      <c r="P6800" s="171"/>
      <c r="Q6800" s="171"/>
      <c r="R6800" s="171"/>
      <c r="S6800" s="171"/>
      <c r="T6800" s="171"/>
      <c r="U6800" s="171"/>
      <c r="V6800" s="171"/>
      <c r="W6800" s="171"/>
      <c r="X6800" s="171"/>
      <c r="Y6800" s="171"/>
      <c r="Z6800" s="171"/>
      <c r="AA6800" s="171"/>
    </row>
    <row r="6801" spans="1:27" s="530" customFormat="1" hidden="1" x14ac:dyDescent="0.2">
      <c r="A6801" s="526"/>
      <c r="B6801" s="527"/>
      <c r="C6801" s="465"/>
      <c r="D6801" s="464"/>
      <c r="E6801" s="464"/>
      <c r="F6801" s="498">
        <v>620</v>
      </c>
      <c r="G6801" s="499" t="s">
        <v>88</v>
      </c>
      <c r="H6801" s="397"/>
      <c r="I6801" s="397"/>
      <c r="J6801" s="750" t="e">
        <f t="shared" si="90"/>
        <v>#DIV/0!</v>
      </c>
      <c r="K6801" s="398"/>
      <c r="L6801" s="398"/>
      <c r="M6801" s="682"/>
      <c r="N6801" s="171"/>
      <c r="O6801" s="171"/>
      <c r="P6801" s="171"/>
      <c r="Q6801" s="171"/>
      <c r="R6801" s="171"/>
      <c r="S6801" s="171"/>
      <c r="T6801" s="171"/>
      <c r="U6801" s="171"/>
      <c r="V6801" s="171"/>
      <c r="W6801" s="171"/>
      <c r="X6801" s="171"/>
      <c r="Y6801" s="171"/>
      <c r="Z6801" s="171"/>
      <c r="AA6801" s="171"/>
    </row>
    <row r="6802" spans="1:27" s="530" customFormat="1" hidden="1" x14ac:dyDescent="0.2">
      <c r="A6802" s="526"/>
      <c r="B6802" s="527"/>
      <c r="C6802" s="465"/>
      <c r="D6802" s="464"/>
      <c r="E6802" s="500"/>
      <c r="F6802" s="498"/>
      <c r="G6802" s="501" t="s">
        <v>4390</v>
      </c>
      <c r="H6802" s="400"/>
      <c r="I6802" s="400"/>
      <c r="J6802" s="750" t="e">
        <f t="shared" si="90"/>
        <v>#DIV/0!</v>
      </c>
      <c r="K6802" s="401"/>
      <c r="L6802" s="402"/>
      <c r="M6802" s="682"/>
      <c r="N6802" s="171"/>
      <c r="O6802" s="171"/>
      <c r="P6802" s="171"/>
      <c r="Q6802" s="171"/>
      <c r="R6802" s="171"/>
      <c r="S6802" s="171"/>
      <c r="T6802" s="171"/>
      <c r="U6802" s="171"/>
      <c r="V6802" s="171"/>
      <c r="W6802" s="171"/>
      <c r="X6802" s="171"/>
      <c r="Y6802" s="171"/>
      <c r="Z6802" s="171"/>
      <c r="AA6802" s="171"/>
    </row>
    <row r="6803" spans="1:27" s="530" customFormat="1" hidden="1" x14ac:dyDescent="0.2">
      <c r="A6803" s="526"/>
      <c r="B6803" s="527"/>
      <c r="C6803" s="465"/>
      <c r="D6803" s="464"/>
      <c r="E6803" s="502"/>
      <c r="F6803" s="503" t="s">
        <v>234</v>
      </c>
      <c r="G6803" s="504" t="s">
        <v>235</v>
      </c>
      <c r="H6803" s="403">
        <f>SUM(H6742:H6801)</f>
        <v>0</v>
      </c>
      <c r="I6803" s="403"/>
      <c r="J6803" s="750" t="e">
        <f t="shared" si="90"/>
        <v>#DIV/0!</v>
      </c>
      <c r="K6803" s="404"/>
      <c r="L6803" s="404"/>
      <c r="M6803" s="682"/>
      <c r="N6803" s="171"/>
      <c r="O6803" s="171"/>
      <c r="P6803" s="171"/>
      <c r="Q6803" s="171"/>
      <c r="R6803" s="171"/>
      <c r="S6803" s="171"/>
      <c r="T6803" s="171"/>
      <c r="U6803" s="171"/>
      <c r="V6803" s="171"/>
      <c r="W6803" s="171"/>
      <c r="X6803" s="171"/>
      <c r="Y6803" s="171"/>
      <c r="Z6803" s="171"/>
      <c r="AA6803" s="171"/>
    </row>
    <row r="6804" spans="1:27" s="530" customFormat="1" hidden="1" x14ac:dyDescent="0.2">
      <c r="A6804" s="526"/>
      <c r="B6804" s="527"/>
      <c r="C6804" s="465"/>
      <c r="D6804" s="464"/>
      <c r="E6804" s="464"/>
      <c r="F6804" s="503" t="s">
        <v>236</v>
      </c>
      <c r="G6804" s="504" t="s">
        <v>237</v>
      </c>
      <c r="H6804" s="397"/>
      <c r="I6804" s="397"/>
      <c r="J6804" s="750" t="e">
        <f t="shared" si="90"/>
        <v>#DIV/0!</v>
      </c>
      <c r="K6804" s="398"/>
      <c r="L6804" s="404"/>
      <c r="M6804" s="682"/>
      <c r="N6804" s="171"/>
      <c r="O6804" s="171"/>
      <c r="P6804" s="171"/>
      <c r="Q6804" s="171"/>
      <c r="R6804" s="171"/>
      <c r="S6804" s="171"/>
      <c r="T6804" s="171"/>
      <c r="U6804" s="171"/>
      <c r="V6804" s="171"/>
      <c r="W6804" s="171"/>
      <c r="X6804" s="171"/>
      <c r="Y6804" s="171"/>
      <c r="Z6804" s="171"/>
      <c r="AA6804" s="171"/>
    </row>
    <row r="6805" spans="1:27" s="530" customFormat="1" hidden="1" x14ac:dyDescent="0.2">
      <c r="A6805" s="526"/>
      <c r="B6805" s="527"/>
      <c r="C6805" s="465"/>
      <c r="D6805" s="464"/>
      <c r="E6805" s="464"/>
      <c r="F6805" s="503" t="s">
        <v>238</v>
      </c>
      <c r="G6805" s="504" t="s">
        <v>239</v>
      </c>
      <c r="H6805" s="397"/>
      <c r="I6805" s="397"/>
      <c r="J6805" s="750" t="e">
        <f t="shared" si="90"/>
        <v>#DIV/0!</v>
      </c>
      <c r="K6805" s="398"/>
      <c r="L6805" s="404"/>
      <c r="M6805" s="682"/>
      <c r="N6805" s="171"/>
      <c r="O6805" s="171"/>
      <c r="P6805" s="171"/>
      <c r="Q6805" s="171"/>
      <c r="R6805" s="171"/>
      <c r="S6805" s="171"/>
      <c r="T6805" s="171"/>
      <c r="U6805" s="171"/>
      <c r="V6805" s="171"/>
      <c r="W6805" s="171"/>
      <c r="X6805" s="171"/>
      <c r="Y6805" s="171"/>
      <c r="Z6805" s="171"/>
      <c r="AA6805" s="171"/>
    </row>
    <row r="6806" spans="1:27" s="530" customFormat="1" hidden="1" x14ac:dyDescent="0.2">
      <c r="A6806" s="526"/>
      <c r="B6806" s="527"/>
      <c r="C6806" s="465"/>
      <c r="D6806" s="464"/>
      <c r="E6806" s="464"/>
      <c r="F6806" s="503" t="s">
        <v>240</v>
      </c>
      <c r="G6806" s="504" t="s">
        <v>241</v>
      </c>
      <c r="H6806" s="397"/>
      <c r="I6806" s="397"/>
      <c r="J6806" s="750" t="e">
        <f t="shared" si="90"/>
        <v>#DIV/0!</v>
      </c>
      <c r="K6806" s="398"/>
      <c r="L6806" s="404"/>
      <c r="M6806" s="682"/>
      <c r="N6806" s="171"/>
      <c r="O6806" s="171"/>
      <c r="P6806" s="171"/>
      <c r="Q6806" s="171"/>
      <c r="R6806" s="171"/>
      <c r="S6806" s="171"/>
      <c r="T6806" s="171"/>
      <c r="U6806" s="171"/>
      <c r="V6806" s="171"/>
      <c r="W6806" s="171"/>
      <c r="X6806" s="171"/>
      <c r="Y6806" s="171"/>
      <c r="Z6806" s="171"/>
      <c r="AA6806" s="171"/>
    </row>
    <row r="6807" spans="1:27" s="530" customFormat="1" hidden="1" x14ac:dyDescent="0.2">
      <c r="A6807" s="526"/>
      <c r="B6807" s="527"/>
      <c r="C6807" s="465"/>
      <c r="D6807" s="464"/>
      <c r="E6807" s="464"/>
      <c r="F6807" s="503" t="s">
        <v>242</v>
      </c>
      <c r="G6807" s="504" t="s">
        <v>243</v>
      </c>
      <c r="H6807" s="397"/>
      <c r="I6807" s="397"/>
      <c r="J6807" s="750" t="e">
        <f t="shared" si="90"/>
        <v>#DIV/0!</v>
      </c>
      <c r="K6807" s="398"/>
      <c r="L6807" s="404"/>
      <c r="M6807" s="682"/>
      <c r="N6807" s="171"/>
      <c r="O6807" s="171"/>
      <c r="P6807" s="171"/>
      <c r="Q6807" s="171"/>
      <c r="R6807" s="171"/>
      <c r="S6807" s="171"/>
      <c r="T6807" s="171"/>
      <c r="U6807" s="171"/>
      <c r="V6807" s="171"/>
      <c r="W6807" s="171"/>
      <c r="X6807" s="171"/>
      <c r="Y6807" s="171"/>
      <c r="Z6807" s="171"/>
      <c r="AA6807" s="171"/>
    </row>
    <row r="6808" spans="1:27" s="530" customFormat="1" hidden="1" x14ac:dyDescent="0.2">
      <c r="A6808" s="526"/>
      <c r="B6808" s="527"/>
      <c r="C6808" s="465"/>
      <c r="D6808" s="464"/>
      <c r="E6808" s="464"/>
      <c r="F6808" s="503" t="s">
        <v>244</v>
      </c>
      <c r="G6808" s="504" t="s">
        <v>245</v>
      </c>
      <c r="H6808" s="397"/>
      <c r="I6808" s="397"/>
      <c r="J6808" s="750" t="e">
        <f t="shared" si="90"/>
        <v>#DIV/0!</v>
      </c>
      <c r="K6808" s="398"/>
      <c r="L6808" s="404"/>
      <c r="M6808" s="682"/>
      <c r="N6808" s="171"/>
      <c r="O6808" s="171"/>
      <c r="P6808" s="171"/>
      <c r="Q6808" s="171"/>
      <c r="R6808" s="171"/>
      <c r="S6808" s="171"/>
      <c r="T6808" s="171"/>
      <c r="U6808" s="171"/>
      <c r="V6808" s="171"/>
      <c r="W6808" s="171"/>
      <c r="X6808" s="171"/>
      <c r="Y6808" s="171"/>
      <c r="Z6808" s="171"/>
      <c r="AA6808" s="171"/>
    </row>
    <row r="6809" spans="1:27" s="530" customFormat="1" hidden="1" x14ac:dyDescent="0.2">
      <c r="A6809" s="526"/>
      <c r="B6809" s="527"/>
      <c r="C6809" s="465"/>
      <c r="D6809" s="464"/>
      <c r="E6809" s="464"/>
      <c r="F6809" s="503" t="s">
        <v>246</v>
      </c>
      <c r="G6809" s="504" t="s">
        <v>247</v>
      </c>
      <c r="H6809" s="397"/>
      <c r="I6809" s="397"/>
      <c r="J6809" s="750" t="e">
        <f t="shared" si="90"/>
        <v>#DIV/0!</v>
      </c>
      <c r="K6809" s="398"/>
      <c r="L6809" s="404"/>
      <c r="M6809" s="682"/>
      <c r="N6809" s="171"/>
      <c r="O6809" s="171"/>
      <c r="P6809" s="171"/>
      <c r="Q6809" s="171"/>
      <c r="R6809" s="171"/>
      <c r="S6809" s="171"/>
      <c r="T6809" s="171"/>
      <c r="U6809" s="171"/>
      <c r="V6809" s="171"/>
      <c r="W6809" s="171"/>
      <c r="X6809" s="171"/>
      <c r="Y6809" s="171"/>
      <c r="Z6809" s="171"/>
      <c r="AA6809" s="171"/>
    </row>
    <row r="6810" spans="1:27" s="530" customFormat="1" ht="25.5" hidden="1" x14ac:dyDescent="0.2">
      <c r="A6810" s="526"/>
      <c r="B6810" s="527"/>
      <c r="C6810" s="465"/>
      <c r="D6810" s="464"/>
      <c r="E6810" s="464"/>
      <c r="F6810" s="503" t="s">
        <v>248</v>
      </c>
      <c r="G6810" s="504" t="s">
        <v>249</v>
      </c>
      <c r="H6810" s="397"/>
      <c r="I6810" s="397"/>
      <c r="J6810" s="750" t="e">
        <f t="shared" si="90"/>
        <v>#DIV/0!</v>
      </c>
      <c r="K6810" s="398"/>
      <c r="L6810" s="404"/>
      <c r="M6810" s="682"/>
      <c r="N6810" s="171"/>
      <c r="O6810" s="171"/>
      <c r="P6810" s="171"/>
      <c r="Q6810" s="171"/>
      <c r="R6810" s="171"/>
      <c r="S6810" s="171"/>
      <c r="T6810" s="171"/>
      <c r="U6810" s="171"/>
      <c r="V6810" s="171"/>
      <c r="W6810" s="171"/>
      <c r="X6810" s="171"/>
      <c r="Y6810" s="171"/>
      <c r="Z6810" s="171"/>
      <c r="AA6810" s="171"/>
    </row>
    <row r="6811" spans="1:27" s="530" customFormat="1" hidden="1" x14ac:dyDescent="0.2">
      <c r="A6811" s="526"/>
      <c r="B6811" s="527"/>
      <c r="C6811" s="465"/>
      <c r="D6811" s="464"/>
      <c r="E6811" s="464"/>
      <c r="F6811" s="503" t="s">
        <v>250</v>
      </c>
      <c r="G6811" s="504" t="s">
        <v>57</v>
      </c>
      <c r="H6811" s="397"/>
      <c r="I6811" s="397"/>
      <c r="J6811" s="750" t="e">
        <f t="shared" si="90"/>
        <v>#DIV/0!</v>
      </c>
      <c r="K6811" s="398"/>
      <c r="L6811" s="404"/>
      <c r="M6811" s="682"/>
      <c r="N6811" s="171"/>
      <c r="O6811" s="171"/>
      <c r="P6811" s="171"/>
      <c r="Q6811" s="171"/>
      <c r="R6811" s="171"/>
      <c r="S6811" s="171"/>
      <c r="T6811" s="171"/>
      <c r="U6811" s="171"/>
      <c r="V6811" s="171"/>
      <c r="W6811" s="171"/>
      <c r="X6811" s="171"/>
      <c r="Y6811" s="171"/>
      <c r="Z6811" s="171"/>
      <c r="AA6811" s="171"/>
    </row>
    <row r="6812" spans="1:27" s="530" customFormat="1" hidden="1" x14ac:dyDescent="0.2">
      <c r="A6812" s="526"/>
      <c r="B6812" s="527"/>
      <c r="C6812" s="465"/>
      <c r="D6812" s="464"/>
      <c r="E6812" s="464"/>
      <c r="F6812" s="503" t="s">
        <v>251</v>
      </c>
      <c r="G6812" s="504" t="s">
        <v>252</v>
      </c>
      <c r="H6812" s="397"/>
      <c r="I6812" s="397"/>
      <c r="J6812" s="750" t="e">
        <f t="shared" si="90"/>
        <v>#DIV/0!</v>
      </c>
      <c r="K6812" s="398"/>
      <c r="L6812" s="404"/>
      <c r="M6812" s="682"/>
      <c r="N6812" s="171"/>
      <c r="O6812" s="171"/>
      <c r="P6812" s="171"/>
      <c r="Q6812" s="171"/>
      <c r="R6812" s="171"/>
      <c r="S6812" s="171"/>
      <c r="T6812" s="171"/>
      <c r="U6812" s="171"/>
      <c r="V6812" s="171"/>
      <c r="W6812" s="171"/>
      <c r="X6812" s="171"/>
      <c r="Y6812" s="171"/>
      <c r="Z6812" s="171"/>
      <c r="AA6812" s="171"/>
    </row>
    <row r="6813" spans="1:27" s="530" customFormat="1" hidden="1" x14ac:dyDescent="0.2">
      <c r="A6813" s="526"/>
      <c r="B6813" s="527"/>
      <c r="C6813" s="465"/>
      <c r="D6813" s="464"/>
      <c r="E6813" s="464"/>
      <c r="F6813" s="503" t="s">
        <v>253</v>
      </c>
      <c r="G6813" s="504" t="s">
        <v>254</v>
      </c>
      <c r="H6813" s="397"/>
      <c r="I6813" s="397"/>
      <c r="J6813" s="750" t="e">
        <f t="shared" si="90"/>
        <v>#DIV/0!</v>
      </c>
      <c r="K6813" s="398"/>
      <c r="L6813" s="404"/>
      <c r="M6813" s="682"/>
      <c r="N6813" s="171"/>
      <c r="O6813" s="171"/>
      <c r="P6813" s="171"/>
      <c r="Q6813" s="171"/>
      <c r="R6813" s="171"/>
      <c r="S6813" s="171"/>
      <c r="T6813" s="171"/>
      <c r="U6813" s="171"/>
      <c r="V6813" s="171"/>
      <c r="W6813" s="171"/>
      <c r="X6813" s="171"/>
      <c r="Y6813" s="171"/>
      <c r="Z6813" s="171"/>
      <c r="AA6813" s="171"/>
    </row>
    <row r="6814" spans="1:27" s="530" customFormat="1" ht="25.5" hidden="1" x14ac:dyDescent="0.2">
      <c r="A6814" s="526"/>
      <c r="B6814" s="527"/>
      <c r="C6814" s="465"/>
      <c r="D6814" s="464"/>
      <c r="E6814" s="464"/>
      <c r="F6814" s="503" t="s">
        <v>255</v>
      </c>
      <c r="G6814" s="504" t="s">
        <v>256</v>
      </c>
      <c r="H6814" s="397"/>
      <c r="I6814" s="397"/>
      <c r="J6814" s="750" t="e">
        <f t="shared" si="90"/>
        <v>#DIV/0!</v>
      </c>
      <c r="K6814" s="398"/>
      <c r="L6814" s="404"/>
      <c r="M6814" s="682"/>
      <c r="N6814" s="171"/>
      <c r="O6814" s="171"/>
      <c r="P6814" s="171"/>
      <c r="Q6814" s="171"/>
      <c r="R6814" s="171"/>
      <c r="S6814" s="171"/>
      <c r="T6814" s="171"/>
      <c r="U6814" s="171"/>
      <c r="V6814" s="171"/>
      <c r="W6814" s="171"/>
      <c r="X6814" s="171"/>
      <c r="Y6814" s="171"/>
      <c r="Z6814" s="171"/>
      <c r="AA6814" s="171"/>
    </row>
    <row r="6815" spans="1:27" s="530" customFormat="1" ht="25.5" hidden="1" x14ac:dyDescent="0.2">
      <c r="A6815" s="526"/>
      <c r="B6815" s="527"/>
      <c r="C6815" s="465"/>
      <c r="D6815" s="464"/>
      <c r="E6815" s="464"/>
      <c r="F6815" s="503" t="s">
        <v>257</v>
      </c>
      <c r="G6815" s="504" t="s">
        <v>258</v>
      </c>
      <c r="H6815" s="397"/>
      <c r="I6815" s="397"/>
      <c r="J6815" s="750" t="e">
        <f t="shared" si="90"/>
        <v>#DIV/0!</v>
      </c>
      <c r="K6815" s="398"/>
      <c r="L6815" s="404"/>
      <c r="M6815" s="682"/>
      <c r="N6815" s="171"/>
      <c r="O6815" s="171"/>
      <c r="P6815" s="171"/>
      <c r="Q6815" s="171"/>
      <c r="R6815" s="171"/>
      <c r="S6815" s="171"/>
      <c r="T6815" s="171"/>
      <c r="U6815" s="171"/>
      <c r="V6815" s="171"/>
      <c r="W6815" s="171"/>
      <c r="X6815" s="171"/>
      <c r="Y6815" s="171"/>
      <c r="Z6815" s="171"/>
      <c r="AA6815" s="171"/>
    </row>
    <row r="6816" spans="1:27" s="530" customFormat="1" ht="25.5" hidden="1" x14ac:dyDescent="0.2">
      <c r="A6816" s="526"/>
      <c r="B6816" s="527"/>
      <c r="C6816" s="465"/>
      <c r="D6816" s="464"/>
      <c r="E6816" s="464"/>
      <c r="F6816" s="503" t="s">
        <v>259</v>
      </c>
      <c r="G6816" s="504" t="s">
        <v>260</v>
      </c>
      <c r="H6816" s="397"/>
      <c r="I6816" s="397"/>
      <c r="J6816" s="750" t="e">
        <f t="shared" si="90"/>
        <v>#DIV/0!</v>
      </c>
      <c r="K6816" s="398"/>
      <c r="L6816" s="404"/>
      <c r="M6816" s="682"/>
      <c r="N6816" s="171"/>
      <c r="O6816" s="171"/>
      <c r="P6816" s="171"/>
      <c r="Q6816" s="171"/>
      <c r="R6816" s="171"/>
      <c r="S6816" s="171"/>
      <c r="T6816" s="171"/>
      <c r="U6816" s="171"/>
      <c r="V6816" s="171"/>
      <c r="W6816" s="171"/>
      <c r="X6816" s="171"/>
      <c r="Y6816" s="171"/>
      <c r="Z6816" s="171"/>
      <c r="AA6816" s="171"/>
    </row>
    <row r="6817" spans="1:27" s="530" customFormat="1" ht="25.5" hidden="1" x14ac:dyDescent="0.2">
      <c r="A6817" s="526"/>
      <c r="B6817" s="527"/>
      <c r="C6817" s="465"/>
      <c r="D6817" s="464"/>
      <c r="E6817" s="464"/>
      <c r="F6817" s="503" t="s">
        <v>261</v>
      </c>
      <c r="G6817" s="504" t="s">
        <v>262</v>
      </c>
      <c r="H6817" s="397"/>
      <c r="I6817" s="397"/>
      <c r="J6817" s="750" t="e">
        <f t="shared" si="90"/>
        <v>#DIV/0!</v>
      </c>
      <c r="K6817" s="398"/>
      <c r="L6817" s="404"/>
      <c r="M6817" s="682"/>
      <c r="N6817" s="171"/>
      <c r="O6817" s="171"/>
      <c r="P6817" s="171"/>
      <c r="Q6817" s="171"/>
      <c r="R6817" s="171"/>
      <c r="S6817" s="171"/>
      <c r="T6817" s="171"/>
      <c r="U6817" s="171"/>
      <c r="V6817" s="171"/>
      <c r="W6817" s="171"/>
      <c r="X6817" s="171"/>
      <c r="Y6817" s="171"/>
      <c r="Z6817" s="171"/>
      <c r="AA6817" s="171"/>
    </row>
    <row r="6818" spans="1:27" s="530" customFormat="1" hidden="1" x14ac:dyDescent="0.2">
      <c r="A6818" s="526"/>
      <c r="B6818" s="527"/>
      <c r="C6818" s="465"/>
      <c r="D6818" s="464"/>
      <c r="E6818" s="464"/>
      <c r="F6818" s="503" t="s">
        <v>263</v>
      </c>
      <c r="G6818" s="504" t="s">
        <v>264</v>
      </c>
      <c r="H6818" s="403"/>
      <c r="I6818" s="403"/>
      <c r="J6818" s="750" t="e">
        <f t="shared" si="90"/>
        <v>#DIV/0!</v>
      </c>
      <c r="K6818" s="404"/>
      <c r="L6818" s="404"/>
      <c r="M6818" s="682"/>
      <c r="N6818" s="171"/>
      <c r="O6818" s="171"/>
      <c r="P6818" s="171"/>
      <c r="Q6818" s="171"/>
      <c r="R6818" s="171"/>
      <c r="S6818" s="171"/>
      <c r="T6818" s="171"/>
      <c r="U6818" s="171"/>
      <c r="V6818" s="171"/>
      <c r="W6818" s="171"/>
      <c r="X6818" s="171"/>
      <c r="Y6818" s="171"/>
      <c r="Z6818" s="171"/>
      <c r="AA6818" s="171"/>
    </row>
    <row r="6819" spans="1:27" s="530" customFormat="1" ht="13.5" hidden="1" thickBot="1" x14ac:dyDescent="0.25">
      <c r="A6819" s="526"/>
      <c r="B6819" s="527"/>
      <c r="C6819" s="465"/>
      <c r="D6819" s="464"/>
      <c r="E6819" s="464"/>
      <c r="F6819" s="464"/>
      <c r="G6819" s="505" t="s">
        <v>4391</v>
      </c>
      <c r="H6819" s="405">
        <f>SUM(H6803:H6818)</f>
        <v>0</v>
      </c>
      <c r="I6819" s="405"/>
      <c r="J6819" s="750" t="e">
        <f t="shared" si="90"/>
        <v>#DIV/0!</v>
      </c>
      <c r="K6819" s="406">
        <f>SUM(K6804:K6818)</f>
        <v>0</v>
      </c>
      <c r="L6819" s="406"/>
      <c r="M6819" s="682"/>
      <c r="N6819" s="171"/>
      <c r="O6819" s="171"/>
      <c r="P6819" s="171"/>
      <c r="Q6819" s="171"/>
      <c r="R6819" s="171"/>
      <c r="S6819" s="171"/>
      <c r="T6819" s="171"/>
      <c r="U6819" s="171"/>
      <c r="V6819" s="171"/>
      <c r="W6819" s="171"/>
      <c r="X6819" s="171"/>
      <c r="Y6819" s="171"/>
      <c r="Z6819" s="171"/>
      <c r="AA6819" s="171"/>
    </row>
    <row r="6820" spans="1:27" s="530" customFormat="1" hidden="1" x14ac:dyDescent="0.2">
      <c r="A6820" s="526"/>
      <c r="B6820" s="527"/>
      <c r="C6820" s="465"/>
      <c r="D6820" s="464"/>
      <c r="E6820" s="500"/>
      <c r="F6820" s="498"/>
      <c r="G6820" s="506" t="s">
        <v>5042</v>
      </c>
      <c r="H6820" s="407"/>
      <c r="I6820" s="408"/>
      <c r="J6820" s="750" t="e">
        <f t="shared" si="90"/>
        <v>#DIV/0!</v>
      </c>
      <c r="K6820" s="409"/>
      <c r="L6820" s="410"/>
      <c r="M6820" s="682"/>
      <c r="N6820" s="171"/>
      <c r="O6820" s="171"/>
      <c r="P6820" s="171"/>
      <c r="Q6820" s="171"/>
      <c r="R6820" s="171"/>
      <c r="S6820" s="171"/>
      <c r="T6820" s="171"/>
      <c r="U6820" s="171"/>
      <c r="V6820" s="171"/>
      <c r="W6820" s="171"/>
      <c r="X6820" s="171"/>
      <c r="Y6820" s="171"/>
      <c r="Z6820" s="171"/>
      <c r="AA6820" s="171"/>
    </row>
    <row r="6821" spans="1:27" s="530" customFormat="1" hidden="1" x14ac:dyDescent="0.2">
      <c r="A6821" s="526"/>
      <c r="B6821" s="527"/>
      <c r="C6821" s="465"/>
      <c r="D6821" s="464"/>
      <c r="E6821" s="502"/>
      <c r="F6821" s="503" t="s">
        <v>234</v>
      </c>
      <c r="G6821" s="504" t="s">
        <v>235</v>
      </c>
      <c r="H6821" s="403">
        <f>SUM(H6742:H6801)</f>
        <v>0</v>
      </c>
      <c r="I6821" s="403"/>
      <c r="J6821" s="750" t="e">
        <f t="shared" si="90"/>
        <v>#DIV/0!</v>
      </c>
      <c r="K6821" s="404"/>
      <c r="L6821" s="404"/>
      <c r="M6821" s="682"/>
      <c r="N6821" s="171"/>
      <c r="O6821" s="171"/>
      <c r="P6821" s="171"/>
      <c r="Q6821" s="171"/>
      <c r="R6821" s="171"/>
      <c r="S6821" s="171"/>
      <c r="T6821" s="171"/>
      <c r="U6821" s="171"/>
      <c r="V6821" s="171"/>
      <c r="W6821" s="171"/>
      <c r="X6821" s="171"/>
      <c r="Y6821" s="171"/>
      <c r="Z6821" s="171"/>
      <c r="AA6821" s="171"/>
    </row>
    <row r="6822" spans="1:27" s="530" customFormat="1" hidden="1" x14ac:dyDescent="0.2">
      <c r="A6822" s="526"/>
      <c r="B6822" s="527"/>
      <c r="C6822" s="465"/>
      <c r="D6822" s="464"/>
      <c r="E6822" s="464"/>
      <c r="F6822" s="503" t="s">
        <v>236</v>
      </c>
      <c r="G6822" s="504" t="s">
        <v>237</v>
      </c>
      <c r="H6822" s="397"/>
      <c r="I6822" s="397"/>
      <c r="J6822" s="750" t="e">
        <f t="shared" si="90"/>
        <v>#DIV/0!</v>
      </c>
      <c r="K6822" s="398"/>
      <c r="L6822" s="404"/>
      <c r="M6822" s="682"/>
      <c r="N6822" s="171"/>
      <c r="O6822" s="171"/>
      <c r="P6822" s="171"/>
      <c r="Q6822" s="171"/>
      <c r="R6822" s="171"/>
      <c r="S6822" s="171"/>
      <c r="T6822" s="171"/>
      <c r="U6822" s="171"/>
      <c r="V6822" s="171"/>
      <c r="W6822" s="171"/>
      <c r="X6822" s="171"/>
      <c r="Y6822" s="171"/>
      <c r="Z6822" s="171"/>
      <c r="AA6822" s="171"/>
    </row>
    <row r="6823" spans="1:27" s="530" customFormat="1" hidden="1" x14ac:dyDescent="0.2">
      <c r="A6823" s="526"/>
      <c r="B6823" s="527"/>
      <c r="C6823" s="465"/>
      <c r="D6823" s="464"/>
      <c r="E6823" s="464"/>
      <c r="F6823" s="503" t="s">
        <v>238</v>
      </c>
      <c r="G6823" s="504" t="s">
        <v>239</v>
      </c>
      <c r="H6823" s="397"/>
      <c r="I6823" s="397"/>
      <c r="J6823" s="750" t="e">
        <f t="shared" si="90"/>
        <v>#DIV/0!</v>
      </c>
      <c r="K6823" s="398"/>
      <c r="L6823" s="404"/>
      <c r="M6823" s="682"/>
      <c r="N6823" s="171"/>
      <c r="O6823" s="171"/>
      <c r="P6823" s="171"/>
      <c r="Q6823" s="171"/>
      <c r="R6823" s="171"/>
      <c r="S6823" s="171"/>
      <c r="T6823" s="171"/>
      <c r="U6823" s="171"/>
      <c r="V6823" s="171"/>
      <c r="W6823" s="171"/>
      <c r="X6823" s="171"/>
      <c r="Y6823" s="171"/>
      <c r="Z6823" s="171"/>
      <c r="AA6823" s="171"/>
    </row>
    <row r="6824" spans="1:27" s="530" customFormat="1" hidden="1" x14ac:dyDescent="0.2">
      <c r="A6824" s="526"/>
      <c r="B6824" s="527"/>
      <c r="C6824" s="465"/>
      <c r="D6824" s="464"/>
      <c r="E6824" s="464"/>
      <c r="F6824" s="503" t="s">
        <v>240</v>
      </c>
      <c r="G6824" s="504" t="s">
        <v>241</v>
      </c>
      <c r="H6824" s="397"/>
      <c r="I6824" s="397"/>
      <c r="J6824" s="750" t="e">
        <f t="shared" si="90"/>
        <v>#DIV/0!</v>
      </c>
      <c r="K6824" s="398"/>
      <c r="L6824" s="404"/>
      <c r="M6824" s="682"/>
      <c r="N6824" s="171"/>
      <c r="O6824" s="171"/>
      <c r="P6824" s="171"/>
      <c r="Q6824" s="171"/>
      <c r="R6824" s="171"/>
      <c r="S6824" s="171"/>
      <c r="T6824" s="171"/>
      <c r="U6824" s="171"/>
      <c r="V6824" s="171"/>
      <c r="W6824" s="171"/>
      <c r="X6824" s="171"/>
      <c r="Y6824" s="171"/>
      <c r="Z6824" s="171"/>
      <c r="AA6824" s="171"/>
    </row>
    <row r="6825" spans="1:27" s="530" customFormat="1" hidden="1" x14ac:dyDescent="0.2">
      <c r="A6825" s="526"/>
      <c r="B6825" s="527"/>
      <c r="C6825" s="465"/>
      <c r="D6825" s="464"/>
      <c r="E6825" s="464"/>
      <c r="F6825" s="503" t="s">
        <v>242</v>
      </c>
      <c r="G6825" s="504" t="s">
        <v>243</v>
      </c>
      <c r="H6825" s="397"/>
      <c r="I6825" s="397"/>
      <c r="J6825" s="750" t="e">
        <f t="shared" si="90"/>
        <v>#DIV/0!</v>
      </c>
      <c r="K6825" s="398"/>
      <c r="L6825" s="404"/>
      <c r="M6825" s="682"/>
      <c r="N6825" s="171"/>
      <c r="O6825" s="171"/>
      <c r="P6825" s="171"/>
      <c r="Q6825" s="171"/>
      <c r="R6825" s="171"/>
      <c r="S6825" s="171"/>
      <c r="T6825" s="171"/>
      <c r="U6825" s="171"/>
      <c r="V6825" s="171"/>
      <c r="W6825" s="171"/>
      <c r="X6825" s="171"/>
      <c r="Y6825" s="171"/>
      <c r="Z6825" s="171"/>
      <c r="AA6825" s="171"/>
    </row>
    <row r="6826" spans="1:27" s="530" customFormat="1" hidden="1" x14ac:dyDescent="0.2">
      <c r="A6826" s="526"/>
      <c r="B6826" s="527"/>
      <c r="C6826" s="465"/>
      <c r="D6826" s="464"/>
      <c r="E6826" s="464"/>
      <c r="F6826" s="503" t="s">
        <v>244</v>
      </c>
      <c r="G6826" s="504" t="s">
        <v>245</v>
      </c>
      <c r="H6826" s="397"/>
      <c r="I6826" s="397"/>
      <c r="J6826" s="750" t="e">
        <f t="shared" si="90"/>
        <v>#DIV/0!</v>
      </c>
      <c r="K6826" s="398"/>
      <c r="L6826" s="404"/>
      <c r="M6826" s="682"/>
      <c r="N6826" s="171"/>
      <c r="O6826" s="171"/>
      <c r="P6826" s="171"/>
      <c r="Q6826" s="171"/>
      <c r="R6826" s="171"/>
      <c r="S6826" s="171"/>
      <c r="T6826" s="171"/>
      <c r="U6826" s="171"/>
      <c r="V6826" s="171"/>
      <c r="W6826" s="171"/>
      <c r="X6826" s="171"/>
      <c r="Y6826" s="171"/>
      <c r="Z6826" s="171"/>
      <c r="AA6826" s="171"/>
    </row>
    <row r="6827" spans="1:27" s="530" customFormat="1" hidden="1" x14ac:dyDescent="0.2">
      <c r="A6827" s="526"/>
      <c r="B6827" s="527"/>
      <c r="C6827" s="465"/>
      <c r="D6827" s="464"/>
      <c r="E6827" s="464"/>
      <c r="F6827" s="503" t="s">
        <v>246</v>
      </c>
      <c r="G6827" s="504" t="s">
        <v>247</v>
      </c>
      <c r="H6827" s="397"/>
      <c r="I6827" s="397"/>
      <c r="J6827" s="750" t="e">
        <f t="shared" si="90"/>
        <v>#DIV/0!</v>
      </c>
      <c r="K6827" s="398"/>
      <c r="L6827" s="404"/>
      <c r="M6827" s="682"/>
      <c r="N6827" s="171"/>
      <c r="O6827" s="171"/>
      <c r="P6827" s="171"/>
      <c r="Q6827" s="171"/>
      <c r="R6827" s="171"/>
      <c r="S6827" s="171"/>
      <c r="T6827" s="171"/>
      <c r="U6827" s="171"/>
      <c r="V6827" s="171"/>
      <c r="W6827" s="171"/>
      <c r="X6827" s="171"/>
      <c r="Y6827" s="171"/>
      <c r="Z6827" s="171"/>
      <c r="AA6827" s="171"/>
    </row>
    <row r="6828" spans="1:27" s="530" customFormat="1" ht="25.5" hidden="1" x14ac:dyDescent="0.2">
      <c r="A6828" s="526"/>
      <c r="B6828" s="527"/>
      <c r="C6828" s="465"/>
      <c r="D6828" s="464"/>
      <c r="E6828" s="464"/>
      <c r="F6828" s="503" t="s">
        <v>248</v>
      </c>
      <c r="G6828" s="504" t="s">
        <v>249</v>
      </c>
      <c r="H6828" s="397"/>
      <c r="I6828" s="397"/>
      <c r="J6828" s="750" t="e">
        <f t="shared" si="90"/>
        <v>#DIV/0!</v>
      </c>
      <c r="K6828" s="398"/>
      <c r="L6828" s="404"/>
      <c r="M6828" s="682"/>
      <c r="N6828" s="171"/>
      <c r="O6828" s="171"/>
      <c r="P6828" s="171"/>
      <c r="Q6828" s="171"/>
      <c r="R6828" s="171"/>
      <c r="S6828" s="171"/>
      <c r="T6828" s="171"/>
      <c r="U6828" s="171"/>
      <c r="V6828" s="171"/>
      <c r="W6828" s="171"/>
      <c r="X6828" s="171"/>
      <c r="Y6828" s="171"/>
      <c r="Z6828" s="171"/>
      <c r="AA6828" s="171"/>
    </row>
    <row r="6829" spans="1:27" s="530" customFormat="1" hidden="1" x14ac:dyDescent="0.2">
      <c r="A6829" s="526"/>
      <c r="B6829" s="527"/>
      <c r="C6829" s="465"/>
      <c r="D6829" s="464"/>
      <c r="E6829" s="464"/>
      <c r="F6829" s="503" t="s">
        <v>250</v>
      </c>
      <c r="G6829" s="504" t="s">
        <v>57</v>
      </c>
      <c r="H6829" s="397"/>
      <c r="I6829" s="397"/>
      <c r="J6829" s="750" t="e">
        <f t="shared" si="90"/>
        <v>#DIV/0!</v>
      </c>
      <c r="K6829" s="398"/>
      <c r="L6829" s="404"/>
      <c r="M6829" s="682"/>
      <c r="N6829" s="171"/>
      <c r="O6829" s="171"/>
      <c r="P6829" s="171"/>
      <c r="Q6829" s="171"/>
      <c r="R6829" s="171"/>
      <c r="S6829" s="171"/>
      <c r="T6829" s="171"/>
      <c r="U6829" s="171"/>
      <c r="V6829" s="171"/>
      <c r="W6829" s="171"/>
      <c r="X6829" s="171"/>
      <c r="Y6829" s="171"/>
      <c r="Z6829" s="171"/>
      <c r="AA6829" s="171"/>
    </row>
    <row r="6830" spans="1:27" s="530" customFormat="1" hidden="1" x14ac:dyDescent="0.2">
      <c r="A6830" s="526"/>
      <c r="B6830" s="527"/>
      <c r="C6830" s="465"/>
      <c r="D6830" s="464"/>
      <c r="E6830" s="464"/>
      <c r="F6830" s="503" t="s">
        <v>251</v>
      </c>
      <c r="G6830" s="504" t="s">
        <v>252</v>
      </c>
      <c r="H6830" s="397"/>
      <c r="I6830" s="397"/>
      <c r="J6830" s="750" t="e">
        <f t="shared" si="90"/>
        <v>#DIV/0!</v>
      </c>
      <c r="K6830" s="398"/>
      <c r="L6830" s="404"/>
      <c r="M6830" s="682"/>
      <c r="N6830" s="171"/>
      <c r="O6830" s="171"/>
      <c r="P6830" s="171"/>
      <c r="Q6830" s="171"/>
      <c r="R6830" s="171"/>
      <c r="S6830" s="171"/>
      <c r="T6830" s="171"/>
      <c r="U6830" s="171"/>
      <c r="V6830" s="171"/>
      <c r="W6830" s="171"/>
      <c r="X6830" s="171"/>
      <c r="Y6830" s="171"/>
      <c r="Z6830" s="171"/>
      <c r="AA6830" s="171"/>
    </row>
    <row r="6831" spans="1:27" s="530" customFormat="1" hidden="1" x14ac:dyDescent="0.2">
      <c r="A6831" s="526"/>
      <c r="B6831" s="527"/>
      <c r="C6831" s="465"/>
      <c r="D6831" s="464"/>
      <c r="E6831" s="464"/>
      <c r="F6831" s="503" t="s">
        <v>253</v>
      </c>
      <c r="G6831" s="504" t="s">
        <v>254</v>
      </c>
      <c r="H6831" s="397"/>
      <c r="I6831" s="397"/>
      <c r="J6831" s="750" t="e">
        <f t="shared" si="90"/>
        <v>#DIV/0!</v>
      </c>
      <c r="K6831" s="398"/>
      <c r="L6831" s="404"/>
      <c r="M6831" s="682"/>
      <c r="N6831" s="171"/>
      <c r="O6831" s="171"/>
      <c r="P6831" s="171"/>
      <c r="Q6831" s="171"/>
      <c r="R6831" s="171"/>
      <c r="S6831" s="171"/>
      <c r="T6831" s="171"/>
      <c r="U6831" s="171"/>
      <c r="V6831" s="171"/>
      <c r="W6831" s="171"/>
      <c r="X6831" s="171"/>
      <c r="Y6831" s="171"/>
      <c r="Z6831" s="171"/>
      <c r="AA6831" s="171"/>
    </row>
    <row r="6832" spans="1:27" s="530" customFormat="1" ht="25.5" hidden="1" x14ac:dyDescent="0.2">
      <c r="A6832" s="526"/>
      <c r="B6832" s="527"/>
      <c r="C6832" s="465"/>
      <c r="D6832" s="464"/>
      <c r="E6832" s="464"/>
      <c r="F6832" s="503" t="s">
        <v>255</v>
      </c>
      <c r="G6832" s="504" t="s">
        <v>256</v>
      </c>
      <c r="H6832" s="397"/>
      <c r="I6832" s="397"/>
      <c r="J6832" s="750" t="e">
        <f t="shared" si="90"/>
        <v>#DIV/0!</v>
      </c>
      <c r="K6832" s="398"/>
      <c r="L6832" s="404"/>
      <c r="M6832" s="682"/>
      <c r="N6832" s="171"/>
      <c r="O6832" s="171"/>
      <c r="P6832" s="171"/>
      <c r="Q6832" s="171"/>
      <c r="R6832" s="171"/>
      <c r="S6832" s="171"/>
      <c r="T6832" s="171"/>
      <c r="U6832" s="171"/>
      <c r="V6832" s="171"/>
      <c r="W6832" s="171"/>
      <c r="X6832" s="171"/>
      <c r="Y6832" s="171"/>
      <c r="Z6832" s="171"/>
      <c r="AA6832" s="171"/>
    </row>
    <row r="6833" spans="1:27" s="530" customFormat="1" ht="25.5" hidden="1" x14ac:dyDescent="0.2">
      <c r="A6833" s="526"/>
      <c r="B6833" s="527"/>
      <c r="C6833" s="465"/>
      <c r="D6833" s="464"/>
      <c r="E6833" s="464"/>
      <c r="F6833" s="503" t="s">
        <v>257</v>
      </c>
      <c r="G6833" s="504" t="s">
        <v>258</v>
      </c>
      <c r="H6833" s="397"/>
      <c r="I6833" s="397"/>
      <c r="J6833" s="750" t="e">
        <f t="shared" si="90"/>
        <v>#DIV/0!</v>
      </c>
      <c r="K6833" s="398"/>
      <c r="L6833" s="404"/>
      <c r="M6833" s="682"/>
      <c r="N6833" s="171"/>
      <c r="O6833" s="171"/>
      <c r="P6833" s="171"/>
      <c r="Q6833" s="171"/>
      <c r="R6833" s="171"/>
      <c r="S6833" s="171"/>
      <c r="T6833" s="171"/>
      <c r="U6833" s="171"/>
      <c r="V6833" s="171"/>
      <c r="W6833" s="171"/>
      <c r="X6833" s="171"/>
      <c r="Y6833" s="171"/>
      <c r="Z6833" s="171"/>
      <c r="AA6833" s="171"/>
    </row>
    <row r="6834" spans="1:27" s="530" customFormat="1" ht="25.5" hidden="1" x14ac:dyDescent="0.2">
      <c r="A6834" s="526"/>
      <c r="B6834" s="527"/>
      <c r="C6834" s="465"/>
      <c r="D6834" s="464"/>
      <c r="E6834" s="464"/>
      <c r="F6834" s="503" t="s">
        <v>259</v>
      </c>
      <c r="G6834" s="504" t="s">
        <v>260</v>
      </c>
      <c r="H6834" s="397"/>
      <c r="I6834" s="397"/>
      <c r="J6834" s="750" t="e">
        <f t="shared" si="90"/>
        <v>#DIV/0!</v>
      </c>
      <c r="K6834" s="398"/>
      <c r="L6834" s="404"/>
      <c r="M6834" s="682"/>
      <c r="N6834" s="171"/>
      <c r="O6834" s="171"/>
      <c r="P6834" s="171"/>
      <c r="Q6834" s="171"/>
      <c r="R6834" s="171"/>
      <c r="S6834" s="171"/>
      <c r="T6834" s="171"/>
      <c r="U6834" s="171"/>
      <c r="V6834" s="171"/>
      <c r="W6834" s="171"/>
      <c r="X6834" s="171"/>
      <c r="Y6834" s="171"/>
      <c r="Z6834" s="171"/>
      <c r="AA6834" s="171"/>
    </row>
    <row r="6835" spans="1:27" s="530" customFormat="1" ht="25.5" hidden="1" x14ac:dyDescent="0.2">
      <c r="A6835" s="526"/>
      <c r="B6835" s="527"/>
      <c r="C6835" s="465"/>
      <c r="D6835" s="464"/>
      <c r="E6835" s="464"/>
      <c r="F6835" s="503" t="s">
        <v>261</v>
      </c>
      <c r="G6835" s="504" t="s">
        <v>262</v>
      </c>
      <c r="H6835" s="397"/>
      <c r="I6835" s="397"/>
      <c r="J6835" s="750" t="e">
        <f t="shared" si="90"/>
        <v>#DIV/0!</v>
      </c>
      <c r="K6835" s="398"/>
      <c r="L6835" s="404"/>
      <c r="M6835" s="682"/>
      <c r="N6835" s="171"/>
      <c r="O6835" s="171"/>
      <c r="P6835" s="171"/>
      <c r="Q6835" s="171"/>
      <c r="R6835" s="171"/>
      <c r="S6835" s="171"/>
      <c r="T6835" s="171"/>
      <c r="U6835" s="171"/>
      <c r="V6835" s="171"/>
      <c r="W6835" s="171"/>
      <c r="X6835" s="171"/>
      <c r="Y6835" s="171"/>
      <c r="Z6835" s="171"/>
      <c r="AA6835" s="171"/>
    </row>
    <row r="6836" spans="1:27" s="530" customFormat="1" hidden="1" x14ac:dyDescent="0.2">
      <c r="A6836" s="526"/>
      <c r="B6836" s="527"/>
      <c r="C6836" s="465"/>
      <c r="D6836" s="464"/>
      <c r="E6836" s="464"/>
      <c r="F6836" s="503" t="s">
        <v>263</v>
      </c>
      <c r="G6836" s="504" t="s">
        <v>264</v>
      </c>
      <c r="H6836" s="403"/>
      <c r="I6836" s="403"/>
      <c r="J6836" s="750" t="e">
        <f t="shared" si="90"/>
        <v>#DIV/0!</v>
      </c>
      <c r="K6836" s="404"/>
      <c r="L6836" s="404"/>
      <c r="M6836" s="682"/>
      <c r="N6836" s="171"/>
      <c r="O6836" s="171"/>
      <c r="P6836" s="171"/>
      <c r="Q6836" s="171"/>
      <c r="R6836" s="171"/>
      <c r="S6836" s="171"/>
      <c r="T6836" s="171"/>
      <c r="U6836" s="171"/>
      <c r="V6836" s="171"/>
      <c r="W6836" s="171"/>
      <c r="X6836" s="171"/>
      <c r="Y6836" s="171"/>
      <c r="Z6836" s="171"/>
      <c r="AA6836" s="171"/>
    </row>
    <row r="6837" spans="1:27" s="530" customFormat="1" ht="13.5" hidden="1" thickBot="1" x14ac:dyDescent="0.25">
      <c r="A6837" s="526"/>
      <c r="B6837" s="527"/>
      <c r="C6837" s="465"/>
      <c r="D6837" s="464"/>
      <c r="E6837" s="464"/>
      <c r="F6837" s="464"/>
      <c r="G6837" s="505" t="s">
        <v>5043</v>
      </c>
      <c r="H6837" s="405">
        <f>SUM(H6821:H6836)</f>
        <v>0</v>
      </c>
      <c r="I6837" s="405"/>
      <c r="J6837" s="750" t="e">
        <f t="shared" si="90"/>
        <v>#DIV/0!</v>
      </c>
      <c r="K6837" s="406">
        <f>SUM(K6822:K6836)</f>
        <v>0</v>
      </c>
      <c r="L6837" s="406"/>
      <c r="M6837" s="682"/>
      <c r="N6837" s="171"/>
      <c r="O6837" s="171"/>
      <c r="P6837" s="171"/>
      <c r="Q6837" s="171"/>
      <c r="R6837" s="171"/>
      <c r="S6837" s="171"/>
      <c r="T6837" s="171"/>
      <c r="U6837" s="171"/>
      <c r="V6837" s="171"/>
      <c r="W6837" s="171"/>
      <c r="X6837" s="171"/>
      <c r="Y6837" s="171"/>
      <c r="Z6837" s="171"/>
      <c r="AA6837" s="171"/>
    </row>
    <row r="6838" spans="1:27" s="530" customFormat="1" hidden="1" x14ac:dyDescent="0.2">
      <c r="A6838" s="526"/>
      <c r="B6838" s="527"/>
      <c r="C6838" s="465"/>
      <c r="D6838" s="464"/>
      <c r="E6838" s="464"/>
      <c r="F6838" s="464"/>
      <c r="G6838" s="507"/>
      <c r="H6838" s="397"/>
      <c r="I6838" s="397"/>
      <c r="J6838" s="750" t="e">
        <f t="shared" si="90"/>
        <v>#DIV/0!</v>
      </c>
      <c r="K6838" s="398"/>
      <c r="L6838" s="398"/>
      <c r="M6838" s="682"/>
      <c r="N6838" s="171"/>
      <c r="O6838" s="171"/>
      <c r="P6838" s="171"/>
      <c r="Q6838" s="171"/>
      <c r="R6838" s="171"/>
      <c r="S6838" s="171"/>
      <c r="T6838" s="171"/>
      <c r="U6838" s="171"/>
      <c r="V6838" s="171"/>
      <c r="W6838" s="171"/>
      <c r="X6838" s="171"/>
      <c r="Y6838" s="171"/>
      <c r="Z6838" s="171"/>
      <c r="AA6838" s="171"/>
    </row>
    <row r="6839" spans="1:27" hidden="1" x14ac:dyDescent="0.2">
      <c r="H6839" s="397"/>
      <c r="I6839" s="397"/>
      <c r="J6839" s="750" t="e">
        <f t="shared" si="90"/>
        <v>#DIV/0!</v>
      </c>
      <c r="K6839" s="398"/>
      <c r="L6839" s="398"/>
      <c r="M6839" s="682"/>
    </row>
    <row r="6840" spans="1:27" hidden="1" x14ac:dyDescent="0.2">
      <c r="H6840" s="397"/>
      <c r="I6840" s="397"/>
      <c r="J6840" s="750" t="e">
        <f t="shared" si="90"/>
        <v>#DIV/0!</v>
      </c>
      <c r="K6840" s="398"/>
      <c r="L6840" s="398"/>
      <c r="M6840" s="682"/>
    </row>
    <row r="6841" spans="1:27" hidden="1" x14ac:dyDescent="0.2">
      <c r="H6841" s="397"/>
      <c r="I6841" s="397"/>
      <c r="J6841" s="750" t="e">
        <f t="shared" si="90"/>
        <v>#DIV/0!</v>
      </c>
      <c r="K6841" s="398"/>
      <c r="L6841" s="398"/>
      <c r="M6841" s="682"/>
    </row>
    <row r="6842" spans="1:27" hidden="1" x14ac:dyDescent="0.2">
      <c r="H6842" s="397"/>
      <c r="I6842" s="397"/>
      <c r="J6842" s="750" t="e">
        <f t="shared" si="90"/>
        <v>#DIV/0!</v>
      </c>
      <c r="K6842" s="398"/>
      <c r="L6842" s="398"/>
      <c r="M6842" s="682"/>
    </row>
    <row r="6843" spans="1:27" hidden="1" x14ac:dyDescent="0.2">
      <c r="H6843" s="397"/>
      <c r="I6843" s="397"/>
      <c r="J6843" s="750" t="e">
        <f t="shared" si="90"/>
        <v>#DIV/0!</v>
      </c>
      <c r="K6843" s="398"/>
      <c r="L6843" s="398"/>
      <c r="M6843" s="682"/>
    </row>
    <row r="6844" spans="1:27" hidden="1" x14ac:dyDescent="0.2">
      <c r="H6844" s="397"/>
      <c r="I6844" s="397"/>
      <c r="J6844" s="750" t="e">
        <f t="shared" si="90"/>
        <v>#DIV/0!</v>
      </c>
      <c r="K6844" s="398"/>
      <c r="L6844" s="398"/>
      <c r="M6844" s="682"/>
    </row>
    <row r="6845" spans="1:27" hidden="1" x14ac:dyDescent="0.2">
      <c r="H6845" s="397"/>
      <c r="I6845" s="397"/>
      <c r="J6845" s="750" t="e">
        <f t="shared" si="90"/>
        <v>#DIV/0!</v>
      </c>
      <c r="K6845" s="398"/>
      <c r="L6845" s="398"/>
      <c r="M6845" s="682"/>
    </row>
    <row r="6846" spans="1:27" hidden="1" x14ac:dyDescent="0.2">
      <c r="H6846" s="397"/>
      <c r="I6846" s="397"/>
      <c r="J6846" s="750" t="e">
        <f t="shared" si="90"/>
        <v>#DIV/0!</v>
      </c>
      <c r="K6846" s="398"/>
      <c r="L6846" s="398"/>
      <c r="M6846" s="682"/>
    </row>
    <row r="6847" spans="1:27" hidden="1" x14ac:dyDescent="0.2">
      <c r="H6847" s="397"/>
      <c r="I6847" s="397"/>
      <c r="J6847" s="750" t="e">
        <f t="shared" si="90"/>
        <v>#DIV/0!</v>
      </c>
      <c r="K6847" s="398"/>
      <c r="L6847" s="398"/>
      <c r="M6847" s="682"/>
    </row>
    <row r="6848" spans="1:27" hidden="1" x14ac:dyDescent="0.2">
      <c r="H6848" s="397"/>
      <c r="I6848" s="397"/>
      <c r="J6848" s="750" t="e">
        <f t="shared" si="90"/>
        <v>#DIV/0!</v>
      </c>
      <c r="K6848" s="398"/>
      <c r="L6848" s="398"/>
      <c r="M6848" s="682"/>
    </row>
    <row r="6849" spans="1:27" hidden="1" x14ac:dyDescent="0.2">
      <c r="H6849" s="397"/>
      <c r="I6849" s="397"/>
      <c r="J6849" s="750" t="e">
        <f t="shared" si="90"/>
        <v>#DIV/0!</v>
      </c>
      <c r="K6849" s="398"/>
      <c r="L6849" s="398"/>
      <c r="M6849" s="682"/>
    </row>
    <row r="6850" spans="1:27" hidden="1" x14ac:dyDescent="0.2">
      <c r="H6850" s="397"/>
      <c r="I6850" s="397"/>
      <c r="J6850" s="750" t="e">
        <f t="shared" si="90"/>
        <v>#DIV/0!</v>
      </c>
      <c r="K6850" s="398"/>
      <c r="L6850" s="398"/>
      <c r="M6850" s="682"/>
    </row>
    <row r="6851" spans="1:27" hidden="1" x14ac:dyDescent="0.2">
      <c r="H6851" s="397"/>
      <c r="I6851" s="397"/>
      <c r="J6851" s="750" t="e">
        <f t="shared" si="90"/>
        <v>#DIV/0!</v>
      </c>
      <c r="K6851" s="398"/>
      <c r="L6851" s="398"/>
      <c r="M6851" s="682"/>
    </row>
    <row r="6852" spans="1:27" hidden="1" x14ac:dyDescent="0.2">
      <c r="H6852" s="397"/>
      <c r="I6852" s="397"/>
      <c r="J6852" s="750" t="e">
        <f t="shared" si="90"/>
        <v>#DIV/0!</v>
      </c>
      <c r="K6852" s="398"/>
      <c r="L6852" s="398"/>
      <c r="M6852" s="682"/>
    </row>
    <row r="6853" spans="1:27" hidden="1" x14ac:dyDescent="0.2">
      <c r="H6853" s="397"/>
      <c r="I6853" s="397"/>
      <c r="J6853" s="750" t="e">
        <f t="shared" si="90"/>
        <v>#DIV/0!</v>
      </c>
      <c r="K6853" s="398"/>
      <c r="L6853" s="398"/>
      <c r="M6853" s="682"/>
    </row>
    <row r="6854" spans="1:27" hidden="1" x14ac:dyDescent="0.2">
      <c r="H6854" s="397"/>
      <c r="I6854" s="397"/>
      <c r="J6854" s="750" t="e">
        <f t="shared" si="90"/>
        <v>#DIV/0!</v>
      </c>
      <c r="K6854" s="398"/>
      <c r="L6854" s="398"/>
      <c r="M6854" s="682"/>
    </row>
    <row r="6855" spans="1:27" hidden="1" x14ac:dyDescent="0.2">
      <c r="H6855" s="397"/>
      <c r="I6855" s="397"/>
      <c r="J6855" s="750" t="e">
        <f t="shared" si="90"/>
        <v>#DIV/0!</v>
      </c>
      <c r="K6855" s="398"/>
      <c r="L6855" s="398"/>
      <c r="M6855" s="682"/>
    </row>
    <row r="6856" spans="1:27" hidden="1" x14ac:dyDescent="0.2">
      <c r="H6856" s="397"/>
      <c r="I6856" s="397"/>
      <c r="J6856" s="750" t="e">
        <f t="shared" si="90"/>
        <v>#DIV/0!</v>
      </c>
      <c r="K6856" s="398"/>
      <c r="L6856" s="398"/>
      <c r="M6856" s="682"/>
    </row>
    <row r="6857" spans="1:27" s="530" customFormat="1" hidden="1" x14ac:dyDescent="0.2">
      <c r="A6857" s="526"/>
      <c r="B6857" s="527"/>
      <c r="C6857" s="465"/>
      <c r="D6857" s="464"/>
      <c r="E6857" s="464"/>
      <c r="F6857" s="464"/>
      <c r="G6857" s="510"/>
      <c r="H6857" s="411"/>
      <c r="I6857" s="411"/>
      <c r="J6857" s="750" t="e">
        <f t="shared" si="90"/>
        <v>#DIV/0!</v>
      </c>
      <c r="K6857" s="412"/>
      <c r="L6857" s="412"/>
      <c r="M6857" s="682"/>
      <c r="N6857" s="171"/>
      <c r="O6857" s="171"/>
      <c r="P6857" s="171"/>
      <c r="Q6857" s="171"/>
      <c r="R6857" s="171"/>
      <c r="S6857" s="171"/>
      <c r="T6857" s="171"/>
      <c r="U6857" s="171"/>
      <c r="V6857" s="171"/>
      <c r="W6857" s="171"/>
      <c r="X6857" s="171"/>
      <c r="Y6857" s="171"/>
      <c r="Z6857" s="171"/>
      <c r="AA6857" s="171"/>
    </row>
    <row r="6858" spans="1:27" s="530" customFormat="1" hidden="1" x14ac:dyDescent="0.2">
      <c r="A6858" s="526"/>
      <c r="B6858" s="527"/>
      <c r="C6858" s="534"/>
      <c r="D6858" s="535"/>
      <c r="E6858" s="535"/>
      <c r="F6858" s="498"/>
      <c r="G6858" s="511" t="s">
        <v>5138</v>
      </c>
      <c r="H6858" s="413"/>
      <c r="I6858" s="413"/>
      <c r="J6858" s="750" t="e">
        <f t="shared" si="90"/>
        <v>#DIV/0!</v>
      </c>
      <c r="K6858" s="414"/>
      <c r="L6858" s="415"/>
      <c r="M6858" s="682"/>
      <c r="N6858" s="171"/>
      <c r="O6858" s="171"/>
      <c r="P6858" s="171"/>
      <c r="Q6858" s="171"/>
      <c r="R6858" s="171"/>
      <c r="S6858" s="171"/>
      <c r="T6858" s="171"/>
      <c r="U6858" s="171"/>
      <c r="V6858" s="171"/>
      <c r="W6858" s="171"/>
      <c r="X6858" s="171"/>
      <c r="Y6858" s="171"/>
      <c r="Z6858" s="171"/>
      <c r="AA6858" s="171"/>
    </row>
    <row r="6859" spans="1:27" s="530" customFormat="1" hidden="1" x14ac:dyDescent="0.2">
      <c r="A6859" s="526"/>
      <c r="B6859" s="527"/>
      <c r="C6859" s="534"/>
      <c r="D6859" s="535"/>
      <c r="E6859" s="535"/>
      <c r="F6859" s="503" t="s">
        <v>234</v>
      </c>
      <c r="G6859" s="504" t="s">
        <v>235</v>
      </c>
      <c r="H6859" s="403">
        <f>SUM(H1976)</f>
        <v>1185000</v>
      </c>
      <c r="I6859" s="403"/>
      <c r="J6859" s="750">
        <f t="shared" si="90"/>
        <v>0</v>
      </c>
      <c r="K6859" s="404"/>
      <c r="L6859" s="404"/>
      <c r="M6859" s="682"/>
      <c r="N6859" s="171"/>
      <c r="O6859" s="171"/>
      <c r="P6859" s="171"/>
      <c r="Q6859" s="171"/>
      <c r="R6859" s="171"/>
      <c r="S6859" s="171"/>
      <c r="T6859" s="171"/>
      <c r="U6859" s="171"/>
      <c r="V6859" s="171"/>
      <c r="W6859" s="171"/>
      <c r="X6859" s="171"/>
      <c r="Y6859" s="171"/>
      <c r="Z6859" s="171"/>
      <c r="AA6859" s="171"/>
    </row>
    <row r="6860" spans="1:27" s="530" customFormat="1" hidden="1" x14ac:dyDescent="0.2">
      <c r="A6860" s="526"/>
      <c r="B6860" s="527"/>
      <c r="C6860" s="534"/>
      <c r="D6860" s="535"/>
      <c r="E6860" s="535"/>
      <c r="F6860" s="503" t="s">
        <v>236</v>
      </c>
      <c r="G6860" s="504" t="s">
        <v>237</v>
      </c>
      <c r="H6860" s="397"/>
      <c r="I6860" s="397"/>
      <c r="J6860" s="750" t="e">
        <f t="shared" si="90"/>
        <v>#DIV/0!</v>
      </c>
      <c r="K6860" s="398"/>
      <c r="L6860" s="404"/>
      <c r="M6860" s="682"/>
      <c r="N6860" s="171"/>
      <c r="O6860" s="171"/>
      <c r="P6860" s="171"/>
      <c r="Q6860" s="171"/>
      <c r="R6860" s="171"/>
      <c r="S6860" s="171"/>
      <c r="T6860" s="171"/>
      <c r="U6860" s="171"/>
      <c r="V6860" s="171"/>
      <c r="W6860" s="171"/>
      <c r="X6860" s="171"/>
      <c r="Y6860" s="171"/>
      <c r="Z6860" s="171"/>
      <c r="AA6860" s="171"/>
    </row>
    <row r="6861" spans="1:27" s="530" customFormat="1" hidden="1" x14ac:dyDescent="0.2">
      <c r="A6861" s="526"/>
      <c r="B6861" s="527"/>
      <c r="C6861" s="534"/>
      <c r="D6861" s="535"/>
      <c r="E6861" s="535"/>
      <c r="F6861" s="503" t="s">
        <v>238</v>
      </c>
      <c r="G6861" s="504" t="s">
        <v>239</v>
      </c>
      <c r="H6861" s="397"/>
      <c r="I6861" s="397"/>
      <c r="J6861" s="750" t="e">
        <f t="shared" ref="J6861:J6924" si="91">SUM(I6861/H6861)*100</f>
        <v>#DIV/0!</v>
      </c>
      <c r="K6861" s="398"/>
      <c r="L6861" s="404"/>
      <c r="M6861" s="682"/>
      <c r="N6861" s="171"/>
      <c r="O6861" s="171"/>
      <c r="P6861" s="171"/>
      <c r="Q6861" s="171"/>
      <c r="R6861" s="171"/>
      <c r="S6861" s="171"/>
      <c r="T6861" s="171"/>
      <c r="U6861" s="171"/>
      <c r="V6861" s="171"/>
      <c r="W6861" s="171"/>
      <c r="X6861" s="171"/>
      <c r="Y6861" s="171"/>
      <c r="Z6861" s="171"/>
      <c r="AA6861" s="171"/>
    </row>
    <row r="6862" spans="1:27" s="530" customFormat="1" hidden="1" x14ac:dyDescent="0.2">
      <c r="A6862" s="526"/>
      <c r="B6862" s="527"/>
      <c r="C6862" s="534"/>
      <c r="D6862" s="535"/>
      <c r="E6862" s="535"/>
      <c r="F6862" s="503" t="s">
        <v>240</v>
      </c>
      <c r="G6862" s="504" t="s">
        <v>241</v>
      </c>
      <c r="H6862" s="397"/>
      <c r="I6862" s="397"/>
      <c r="J6862" s="750" t="e">
        <f t="shared" si="91"/>
        <v>#DIV/0!</v>
      </c>
      <c r="K6862" s="398"/>
      <c r="L6862" s="404"/>
      <c r="M6862" s="682"/>
      <c r="N6862" s="171"/>
      <c r="O6862" s="171"/>
      <c r="P6862" s="171"/>
      <c r="Q6862" s="171"/>
      <c r="R6862" s="171"/>
      <c r="S6862" s="171"/>
      <c r="T6862" s="171"/>
      <c r="U6862" s="171"/>
      <c r="V6862" s="171"/>
      <c r="W6862" s="171"/>
      <c r="X6862" s="171"/>
      <c r="Y6862" s="171"/>
      <c r="Z6862" s="171"/>
      <c r="AA6862" s="171"/>
    </row>
    <row r="6863" spans="1:27" s="530" customFormat="1" hidden="1" x14ac:dyDescent="0.2">
      <c r="A6863" s="526"/>
      <c r="B6863" s="527"/>
      <c r="C6863" s="534"/>
      <c r="D6863" s="535"/>
      <c r="E6863" s="535"/>
      <c r="F6863" s="503" t="s">
        <v>242</v>
      </c>
      <c r="G6863" s="504" t="s">
        <v>243</v>
      </c>
      <c r="H6863" s="397"/>
      <c r="I6863" s="397"/>
      <c r="J6863" s="750" t="e">
        <f t="shared" si="91"/>
        <v>#DIV/0!</v>
      </c>
      <c r="K6863" s="398"/>
      <c r="L6863" s="404"/>
      <c r="M6863" s="682"/>
      <c r="N6863" s="171"/>
      <c r="O6863" s="171"/>
      <c r="P6863" s="171"/>
      <c r="Q6863" s="171"/>
      <c r="R6863" s="171"/>
      <c r="S6863" s="171"/>
      <c r="T6863" s="171"/>
      <c r="U6863" s="171"/>
      <c r="V6863" s="171"/>
      <c r="W6863" s="171"/>
      <c r="X6863" s="171"/>
      <c r="Y6863" s="171"/>
      <c r="Z6863" s="171"/>
      <c r="AA6863" s="171"/>
    </row>
    <row r="6864" spans="1:27" s="530" customFormat="1" hidden="1" x14ac:dyDescent="0.2">
      <c r="A6864" s="526"/>
      <c r="B6864" s="527"/>
      <c r="C6864" s="534"/>
      <c r="D6864" s="535"/>
      <c r="E6864" s="535"/>
      <c r="F6864" s="503" t="s">
        <v>244</v>
      </c>
      <c r="G6864" s="504" t="s">
        <v>245</v>
      </c>
      <c r="H6864" s="397"/>
      <c r="I6864" s="397"/>
      <c r="J6864" s="750" t="e">
        <f t="shared" si="91"/>
        <v>#DIV/0!</v>
      </c>
      <c r="K6864" s="398"/>
      <c r="L6864" s="404"/>
      <c r="M6864" s="682"/>
      <c r="N6864" s="171"/>
      <c r="O6864" s="171"/>
      <c r="P6864" s="171"/>
      <c r="Q6864" s="171"/>
      <c r="R6864" s="171"/>
      <c r="S6864" s="171"/>
      <c r="T6864" s="171"/>
      <c r="U6864" s="171"/>
      <c r="V6864" s="171"/>
      <c r="W6864" s="171"/>
      <c r="X6864" s="171"/>
      <c r="Y6864" s="171"/>
      <c r="Z6864" s="171"/>
      <c r="AA6864" s="171"/>
    </row>
    <row r="6865" spans="1:27" s="530" customFormat="1" hidden="1" x14ac:dyDescent="0.2">
      <c r="A6865" s="526"/>
      <c r="B6865" s="527"/>
      <c r="C6865" s="534"/>
      <c r="D6865" s="535"/>
      <c r="E6865" s="535"/>
      <c r="F6865" s="503" t="s">
        <v>246</v>
      </c>
      <c r="G6865" s="504" t="s">
        <v>247</v>
      </c>
      <c r="H6865" s="397"/>
      <c r="I6865" s="397"/>
      <c r="J6865" s="750" t="e">
        <f t="shared" si="91"/>
        <v>#DIV/0!</v>
      </c>
      <c r="K6865" s="398"/>
      <c r="L6865" s="404"/>
      <c r="M6865" s="682"/>
      <c r="N6865" s="171"/>
      <c r="O6865" s="171"/>
      <c r="P6865" s="171"/>
      <c r="Q6865" s="171"/>
      <c r="R6865" s="171"/>
      <c r="S6865" s="171"/>
      <c r="T6865" s="171"/>
      <c r="U6865" s="171"/>
      <c r="V6865" s="171"/>
      <c r="W6865" s="171"/>
      <c r="X6865" s="171"/>
      <c r="Y6865" s="171"/>
      <c r="Z6865" s="171"/>
      <c r="AA6865" s="171"/>
    </row>
    <row r="6866" spans="1:27" s="530" customFormat="1" ht="25.5" hidden="1" x14ac:dyDescent="0.2">
      <c r="A6866" s="526"/>
      <c r="B6866" s="527"/>
      <c r="C6866" s="534"/>
      <c r="D6866" s="535"/>
      <c r="E6866" s="535"/>
      <c r="F6866" s="503" t="s">
        <v>248</v>
      </c>
      <c r="G6866" s="504" t="s">
        <v>249</v>
      </c>
      <c r="H6866" s="397"/>
      <c r="I6866" s="397"/>
      <c r="J6866" s="750" t="e">
        <f t="shared" si="91"/>
        <v>#DIV/0!</v>
      </c>
      <c r="K6866" s="398"/>
      <c r="L6866" s="404"/>
      <c r="M6866" s="682"/>
      <c r="N6866" s="171"/>
      <c r="O6866" s="171"/>
      <c r="P6866" s="171"/>
      <c r="Q6866" s="171"/>
      <c r="R6866" s="171"/>
      <c r="S6866" s="171"/>
      <c r="T6866" s="171"/>
      <c r="U6866" s="171"/>
      <c r="V6866" s="171"/>
      <c r="W6866" s="171"/>
      <c r="X6866" s="171"/>
      <c r="Y6866" s="171"/>
      <c r="Z6866" s="171"/>
      <c r="AA6866" s="171"/>
    </row>
    <row r="6867" spans="1:27" s="530" customFormat="1" hidden="1" x14ac:dyDescent="0.2">
      <c r="A6867" s="526"/>
      <c r="B6867" s="527"/>
      <c r="C6867" s="534"/>
      <c r="D6867" s="535"/>
      <c r="E6867" s="535"/>
      <c r="F6867" s="503" t="s">
        <v>250</v>
      </c>
      <c r="G6867" s="504" t="s">
        <v>57</v>
      </c>
      <c r="H6867" s="397"/>
      <c r="I6867" s="397"/>
      <c r="J6867" s="750" t="e">
        <f t="shared" si="91"/>
        <v>#DIV/0!</v>
      </c>
      <c r="K6867" s="398"/>
      <c r="L6867" s="404"/>
      <c r="M6867" s="682"/>
      <c r="N6867" s="171"/>
      <c r="O6867" s="171"/>
      <c r="P6867" s="171"/>
      <c r="Q6867" s="171"/>
      <c r="R6867" s="171"/>
      <c r="S6867" s="171"/>
      <c r="T6867" s="171"/>
      <c r="U6867" s="171"/>
      <c r="V6867" s="171"/>
      <c r="W6867" s="171"/>
      <c r="X6867" s="171"/>
      <c r="Y6867" s="171"/>
      <c r="Z6867" s="171"/>
      <c r="AA6867" s="171"/>
    </row>
    <row r="6868" spans="1:27" s="530" customFormat="1" hidden="1" x14ac:dyDescent="0.2">
      <c r="A6868" s="526"/>
      <c r="B6868" s="527"/>
      <c r="C6868" s="534"/>
      <c r="D6868" s="535"/>
      <c r="E6868" s="535"/>
      <c r="F6868" s="503" t="s">
        <v>251</v>
      </c>
      <c r="G6868" s="504" t="s">
        <v>252</v>
      </c>
      <c r="H6868" s="397"/>
      <c r="I6868" s="397"/>
      <c r="J6868" s="750" t="e">
        <f t="shared" si="91"/>
        <v>#DIV/0!</v>
      </c>
      <c r="K6868" s="398"/>
      <c r="L6868" s="404"/>
      <c r="M6868" s="682"/>
      <c r="N6868" s="171"/>
      <c r="O6868" s="171"/>
      <c r="P6868" s="171"/>
      <c r="Q6868" s="171"/>
      <c r="R6868" s="171"/>
      <c r="S6868" s="171"/>
      <c r="T6868" s="171"/>
      <c r="U6868" s="171"/>
      <c r="V6868" s="171"/>
      <c r="W6868" s="171"/>
      <c r="X6868" s="171"/>
      <c r="Y6868" s="171"/>
      <c r="Z6868" s="171"/>
      <c r="AA6868" s="171"/>
    </row>
    <row r="6869" spans="1:27" s="530" customFormat="1" hidden="1" x14ac:dyDescent="0.2">
      <c r="A6869" s="526"/>
      <c r="B6869" s="527"/>
      <c r="C6869" s="534"/>
      <c r="D6869" s="535"/>
      <c r="E6869" s="535"/>
      <c r="F6869" s="503" t="s">
        <v>253</v>
      </c>
      <c r="G6869" s="504" t="s">
        <v>254</v>
      </c>
      <c r="H6869" s="397"/>
      <c r="I6869" s="397"/>
      <c r="J6869" s="750" t="e">
        <f t="shared" si="91"/>
        <v>#DIV/0!</v>
      </c>
      <c r="K6869" s="398"/>
      <c r="L6869" s="404"/>
      <c r="M6869" s="682"/>
      <c r="N6869" s="171"/>
      <c r="O6869" s="171"/>
      <c r="P6869" s="171"/>
      <c r="Q6869" s="171"/>
      <c r="R6869" s="171"/>
      <c r="S6869" s="171"/>
      <c r="T6869" s="171"/>
      <c r="U6869" s="171"/>
      <c r="V6869" s="171"/>
      <c r="W6869" s="171"/>
      <c r="X6869" s="171"/>
      <c r="Y6869" s="171"/>
      <c r="Z6869" s="171"/>
      <c r="AA6869" s="171"/>
    </row>
    <row r="6870" spans="1:27" s="530" customFormat="1" ht="25.5" hidden="1" x14ac:dyDescent="0.2">
      <c r="A6870" s="526"/>
      <c r="B6870" s="527"/>
      <c r="C6870" s="534"/>
      <c r="D6870" s="535"/>
      <c r="E6870" s="535"/>
      <c r="F6870" s="503" t="s">
        <v>255</v>
      </c>
      <c r="G6870" s="504" t="s">
        <v>256</v>
      </c>
      <c r="H6870" s="397"/>
      <c r="I6870" s="397"/>
      <c r="J6870" s="750" t="e">
        <f t="shared" si="91"/>
        <v>#DIV/0!</v>
      </c>
      <c r="K6870" s="398"/>
      <c r="L6870" s="404"/>
      <c r="M6870" s="682"/>
      <c r="N6870" s="171"/>
      <c r="O6870" s="171"/>
      <c r="P6870" s="171"/>
      <c r="Q6870" s="171"/>
      <c r="R6870" s="171"/>
      <c r="S6870" s="171"/>
      <c r="T6870" s="171"/>
      <c r="U6870" s="171"/>
      <c r="V6870" s="171"/>
      <c r="W6870" s="171"/>
      <c r="X6870" s="171"/>
      <c r="Y6870" s="171"/>
      <c r="Z6870" s="171"/>
      <c r="AA6870" s="171"/>
    </row>
    <row r="6871" spans="1:27" s="530" customFormat="1" ht="25.5" hidden="1" x14ac:dyDescent="0.2">
      <c r="A6871" s="526"/>
      <c r="B6871" s="527"/>
      <c r="C6871" s="534"/>
      <c r="D6871" s="535"/>
      <c r="E6871" s="535"/>
      <c r="F6871" s="503" t="s">
        <v>257</v>
      </c>
      <c r="G6871" s="504" t="s">
        <v>258</v>
      </c>
      <c r="H6871" s="397"/>
      <c r="I6871" s="397"/>
      <c r="J6871" s="750" t="e">
        <f t="shared" si="91"/>
        <v>#DIV/0!</v>
      </c>
      <c r="K6871" s="398"/>
      <c r="L6871" s="404"/>
      <c r="M6871" s="682"/>
      <c r="N6871" s="171"/>
      <c r="O6871" s="171"/>
      <c r="P6871" s="171"/>
      <c r="Q6871" s="171"/>
      <c r="R6871" s="171"/>
      <c r="S6871" s="171"/>
      <c r="T6871" s="171"/>
      <c r="U6871" s="171"/>
      <c r="V6871" s="171"/>
      <c r="W6871" s="171"/>
      <c r="X6871" s="171"/>
      <c r="Y6871" s="171"/>
      <c r="Z6871" s="171"/>
      <c r="AA6871" s="171"/>
    </row>
    <row r="6872" spans="1:27" s="530" customFormat="1" ht="25.5" hidden="1" x14ac:dyDescent="0.2">
      <c r="A6872" s="526"/>
      <c r="B6872" s="527"/>
      <c r="C6872" s="534"/>
      <c r="D6872" s="535"/>
      <c r="E6872" s="535"/>
      <c r="F6872" s="503" t="s">
        <v>259</v>
      </c>
      <c r="G6872" s="504" t="s">
        <v>260</v>
      </c>
      <c r="H6872" s="397"/>
      <c r="I6872" s="397"/>
      <c r="J6872" s="750" t="e">
        <f t="shared" si="91"/>
        <v>#DIV/0!</v>
      </c>
      <c r="K6872" s="398"/>
      <c r="L6872" s="404"/>
      <c r="M6872" s="682"/>
      <c r="N6872" s="171"/>
      <c r="O6872" s="171"/>
      <c r="P6872" s="171"/>
      <c r="Q6872" s="171"/>
      <c r="R6872" s="171"/>
      <c r="S6872" s="171"/>
      <c r="T6872" s="171"/>
      <c r="U6872" s="171"/>
      <c r="V6872" s="171"/>
      <c r="W6872" s="171"/>
      <c r="X6872" s="171"/>
      <c r="Y6872" s="171"/>
      <c r="Z6872" s="171"/>
      <c r="AA6872" s="171"/>
    </row>
    <row r="6873" spans="1:27" s="530" customFormat="1" ht="25.5" hidden="1" x14ac:dyDescent="0.2">
      <c r="A6873" s="526"/>
      <c r="B6873" s="527"/>
      <c r="C6873" s="534"/>
      <c r="D6873" s="535"/>
      <c r="E6873" s="535"/>
      <c r="F6873" s="503" t="s">
        <v>261</v>
      </c>
      <c r="G6873" s="504" t="s">
        <v>262</v>
      </c>
      <c r="H6873" s="397"/>
      <c r="I6873" s="397"/>
      <c r="J6873" s="750" t="e">
        <f t="shared" si="91"/>
        <v>#DIV/0!</v>
      </c>
      <c r="K6873" s="398"/>
      <c r="L6873" s="404"/>
      <c r="M6873" s="682"/>
      <c r="N6873" s="171"/>
      <c r="O6873" s="171"/>
      <c r="P6873" s="171"/>
      <c r="Q6873" s="171"/>
      <c r="R6873" s="171"/>
      <c r="S6873" s="171"/>
      <c r="T6873" s="171"/>
      <c r="U6873" s="171"/>
      <c r="V6873" s="171"/>
      <c r="W6873" s="171"/>
      <c r="X6873" s="171"/>
      <c r="Y6873" s="171"/>
      <c r="Z6873" s="171"/>
      <c r="AA6873" s="171"/>
    </row>
    <row r="6874" spans="1:27" s="530" customFormat="1" hidden="1" x14ac:dyDescent="0.2">
      <c r="A6874" s="526"/>
      <c r="B6874" s="527"/>
      <c r="C6874" s="534"/>
      <c r="D6874" s="535"/>
      <c r="E6874" s="535"/>
      <c r="F6874" s="503" t="s">
        <v>263</v>
      </c>
      <c r="G6874" s="504" t="s">
        <v>264</v>
      </c>
      <c r="H6874" s="403"/>
      <c r="I6874" s="403"/>
      <c r="J6874" s="750" t="e">
        <f t="shared" si="91"/>
        <v>#DIV/0!</v>
      </c>
      <c r="K6874" s="404"/>
      <c r="L6874" s="404"/>
      <c r="M6874" s="682"/>
      <c r="N6874" s="171"/>
      <c r="O6874" s="171"/>
      <c r="P6874" s="171"/>
      <c r="Q6874" s="171"/>
      <c r="R6874" s="171"/>
      <c r="S6874" s="171"/>
      <c r="T6874" s="171"/>
      <c r="U6874" s="171"/>
      <c r="V6874" s="171"/>
      <c r="W6874" s="171"/>
      <c r="X6874" s="171"/>
      <c r="Y6874" s="171"/>
      <c r="Z6874" s="171"/>
      <c r="AA6874" s="171"/>
    </row>
    <row r="6875" spans="1:27" s="530" customFormat="1" ht="13.5" hidden="1" thickBot="1" x14ac:dyDescent="0.25">
      <c r="A6875" s="526"/>
      <c r="B6875" s="527"/>
      <c r="C6875" s="534"/>
      <c r="D6875" s="535"/>
      <c r="E6875" s="535"/>
      <c r="F6875" s="464"/>
      <c r="G6875" s="505" t="s">
        <v>5139</v>
      </c>
      <c r="H6875" s="405">
        <f>SUM(H6859:H6874)</f>
        <v>1185000</v>
      </c>
      <c r="I6875" s="405"/>
      <c r="J6875" s="750">
        <f t="shared" si="91"/>
        <v>0</v>
      </c>
      <c r="K6875" s="406">
        <f>SUM(K6860:K6874)</f>
        <v>0</v>
      </c>
      <c r="L6875" s="406"/>
      <c r="M6875" s="682"/>
      <c r="N6875" s="171"/>
      <c r="O6875" s="171"/>
      <c r="P6875" s="171"/>
      <c r="Q6875" s="171"/>
      <c r="R6875" s="171"/>
      <c r="S6875" s="171"/>
      <c r="T6875" s="171"/>
      <c r="U6875" s="171"/>
      <c r="V6875" s="171"/>
      <c r="W6875" s="171"/>
      <c r="X6875" s="171"/>
      <c r="Y6875" s="171"/>
      <c r="Z6875" s="171"/>
      <c r="AA6875" s="171"/>
    </row>
    <row r="6876" spans="1:27" s="530" customFormat="1" ht="2.25" customHeight="1" x14ac:dyDescent="0.2">
      <c r="A6876" s="526"/>
      <c r="B6876" s="527"/>
      <c r="C6876" s="534"/>
      <c r="D6876" s="535"/>
      <c r="E6876" s="535"/>
      <c r="F6876" s="167"/>
      <c r="G6876" s="513"/>
      <c r="H6876" s="422"/>
      <c r="I6876" s="422"/>
      <c r="J6876" s="750" t="e">
        <f t="shared" si="91"/>
        <v>#DIV/0!</v>
      </c>
      <c r="K6876" s="423"/>
      <c r="L6876" s="424"/>
      <c r="M6876" s="682"/>
      <c r="N6876" s="171"/>
      <c r="O6876" s="171"/>
      <c r="P6876" s="171"/>
      <c r="Q6876" s="171"/>
      <c r="R6876" s="171"/>
      <c r="S6876" s="171"/>
      <c r="T6876" s="171"/>
      <c r="U6876" s="171"/>
      <c r="V6876" s="171"/>
      <c r="W6876" s="171"/>
      <c r="X6876" s="171"/>
      <c r="Y6876" s="171"/>
      <c r="Z6876" s="171"/>
      <c r="AA6876" s="171"/>
    </row>
    <row r="6877" spans="1:27" s="530" customFormat="1" ht="24.75" customHeight="1" x14ac:dyDescent="0.2">
      <c r="A6877" s="526"/>
      <c r="B6877" s="616">
        <v>4</v>
      </c>
      <c r="C6877" s="484"/>
      <c r="D6877" s="485"/>
      <c r="E6877" s="485"/>
      <c r="F6877" s="485"/>
      <c r="G6877" s="615" t="s">
        <v>5318</v>
      </c>
      <c r="H6877" s="416"/>
      <c r="I6877" s="416"/>
      <c r="J6877" s="751"/>
      <c r="K6877" s="417"/>
      <c r="L6877" s="417"/>
      <c r="M6877" s="682"/>
      <c r="N6877" s="171"/>
      <c r="O6877" s="171"/>
      <c r="P6877" s="171"/>
      <c r="Q6877" s="171"/>
      <c r="R6877" s="171"/>
      <c r="S6877" s="171"/>
      <c r="T6877" s="171"/>
      <c r="U6877" s="171"/>
      <c r="V6877" s="171"/>
      <c r="W6877" s="171"/>
      <c r="X6877" s="171"/>
      <c r="Y6877" s="171"/>
      <c r="Z6877" s="171"/>
      <c r="AA6877" s="171"/>
    </row>
    <row r="6878" spans="1:27" s="530" customFormat="1" ht="12.75" customHeight="1" x14ac:dyDescent="0.2">
      <c r="A6878" s="526"/>
      <c r="B6878" s="527"/>
      <c r="C6878" s="489" t="s">
        <v>3576</v>
      </c>
      <c r="D6878" s="464"/>
      <c r="E6878" s="464"/>
      <c r="F6878" s="464"/>
      <c r="G6878" s="513" t="s">
        <v>4306</v>
      </c>
      <c r="H6878" s="397"/>
      <c r="I6878" s="397"/>
      <c r="J6878" s="750"/>
      <c r="K6878" s="398"/>
      <c r="L6878" s="398"/>
      <c r="M6878" s="682"/>
      <c r="N6878" s="171"/>
      <c r="O6878" s="171"/>
      <c r="P6878" s="171"/>
      <c r="Q6878" s="171"/>
      <c r="R6878" s="171"/>
      <c r="S6878" s="171"/>
      <c r="T6878" s="171"/>
      <c r="U6878" s="171"/>
      <c r="V6878" s="171"/>
      <c r="W6878" s="171"/>
      <c r="X6878" s="171"/>
      <c r="Y6878" s="171"/>
      <c r="Z6878" s="171"/>
      <c r="AA6878" s="171"/>
    </row>
    <row r="6879" spans="1:27" s="530" customFormat="1" ht="12" customHeight="1" x14ac:dyDescent="0.2">
      <c r="A6879" s="526"/>
      <c r="B6879" s="527"/>
      <c r="C6879" s="542" t="s">
        <v>4475</v>
      </c>
      <c r="D6879" s="173"/>
      <c r="E6879" s="173"/>
      <c r="F6879" s="502"/>
      <c r="G6879" s="550" t="s">
        <v>4104</v>
      </c>
      <c r="H6879" s="397"/>
      <c r="I6879" s="397"/>
      <c r="J6879" s="750"/>
      <c r="K6879" s="398"/>
      <c r="L6879" s="398"/>
      <c r="M6879" s="682"/>
      <c r="N6879" s="171"/>
      <c r="O6879" s="171"/>
      <c r="P6879" s="171"/>
      <c r="Q6879" s="171"/>
      <c r="R6879" s="171"/>
      <c r="S6879" s="171"/>
      <c r="T6879" s="171"/>
      <c r="U6879" s="171"/>
      <c r="V6879" s="171"/>
      <c r="W6879" s="171"/>
      <c r="X6879" s="171"/>
      <c r="Y6879" s="171"/>
      <c r="Z6879" s="171"/>
      <c r="AA6879" s="171"/>
    </row>
    <row r="6880" spans="1:27" s="530" customFormat="1" ht="26.25" customHeight="1" x14ac:dyDescent="0.2">
      <c r="A6880" s="526"/>
      <c r="B6880" s="527"/>
      <c r="C6880" s="489"/>
      <c r="D6880" s="492">
        <v>360</v>
      </c>
      <c r="E6880" s="492"/>
      <c r="F6880" s="492"/>
      <c r="G6880" s="514" t="s">
        <v>5129</v>
      </c>
      <c r="H6880" s="397"/>
      <c r="I6880" s="397"/>
      <c r="J6880" s="750"/>
      <c r="K6880" s="398"/>
      <c r="L6880" s="398"/>
      <c r="M6880" s="682"/>
      <c r="N6880" s="171"/>
      <c r="O6880" s="171"/>
      <c r="P6880" s="171"/>
      <c r="Q6880" s="171"/>
      <c r="R6880" s="171"/>
      <c r="S6880" s="171"/>
      <c r="T6880" s="171"/>
      <c r="U6880" s="171"/>
      <c r="V6880" s="171"/>
      <c r="W6880" s="171"/>
      <c r="X6880" s="171"/>
      <c r="Y6880" s="171"/>
      <c r="Z6880" s="171"/>
      <c r="AA6880" s="171"/>
    </row>
    <row r="6881" spans="1:27" s="530" customFormat="1" hidden="1" x14ac:dyDescent="0.2">
      <c r="A6881" s="526"/>
      <c r="B6881" s="527"/>
      <c r="C6881" s="465"/>
      <c r="D6881" s="464"/>
      <c r="E6881" s="464"/>
      <c r="F6881" s="494">
        <v>411</v>
      </c>
      <c r="G6881" s="495" t="s">
        <v>4167</v>
      </c>
      <c r="H6881" s="397"/>
      <c r="I6881" s="397"/>
      <c r="J6881" s="750" t="e">
        <f t="shared" si="91"/>
        <v>#DIV/0!</v>
      </c>
      <c r="K6881" s="398"/>
      <c r="L6881" s="398"/>
      <c r="M6881" s="682"/>
      <c r="N6881" s="171"/>
      <c r="O6881" s="171"/>
      <c r="P6881" s="171"/>
      <c r="Q6881" s="171"/>
      <c r="R6881" s="171"/>
      <c r="S6881" s="171"/>
      <c r="T6881" s="171"/>
      <c r="U6881" s="171"/>
      <c r="V6881" s="171"/>
      <c r="W6881" s="171"/>
      <c r="X6881" s="171"/>
      <c r="Y6881" s="171"/>
      <c r="Z6881" s="171"/>
      <c r="AA6881" s="171"/>
    </row>
    <row r="6882" spans="1:27" s="530" customFormat="1" hidden="1" x14ac:dyDescent="0.2">
      <c r="A6882" s="526"/>
      <c r="B6882" s="527"/>
      <c r="C6882" s="465"/>
      <c r="D6882" s="464"/>
      <c r="E6882" s="464"/>
      <c r="F6882" s="494">
        <v>412</v>
      </c>
      <c r="G6882" s="496" t="s">
        <v>3764</v>
      </c>
      <c r="H6882" s="397"/>
      <c r="I6882" s="397"/>
      <c r="J6882" s="750" t="e">
        <f t="shared" si="91"/>
        <v>#DIV/0!</v>
      </c>
      <c r="K6882" s="398"/>
      <c r="L6882" s="398"/>
      <c r="M6882" s="682"/>
      <c r="N6882" s="171"/>
      <c r="O6882" s="171"/>
      <c r="P6882" s="171"/>
      <c r="Q6882" s="171"/>
      <c r="R6882" s="171"/>
      <c r="S6882" s="171"/>
      <c r="T6882" s="171"/>
      <c r="U6882" s="171"/>
      <c r="V6882" s="171"/>
      <c r="W6882" s="171"/>
      <c r="X6882" s="171"/>
      <c r="Y6882" s="171"/>
      <c r="Z6882" s="171"/>
      <c r="AA6882" s="171"/>
    </row>
    <row r="6883" spans="1:27" s="530" customFormat="1" hidden="1" x14ac:dyDescent="0.2">
      <c r="A6883" s="526"/>
      <c r="B6883" s="527"/>
      <c r="C6883" s="465"/>
      <c r="D6883" s="464"/>
      <c r="E6883" s="464"/>
      <c r="F6883" s="494">
        <v>413</v>
      </c>
      <c r="G6883" s="495" t="s">
        <v>4168</v>
      </c>
      <c r="H6883" s="397"/>
      <c r="I6883" s="397"/>
      <c r="J6883" s="750" t="e">
        <f t="shared" si="91"/>
        <v>#DIV/0!</v>
      </c>
      <c r="K6883" s="398"/>
      <c r="L6883" s="398"/>
      <c r="M6883" s="682"/>
      <c r="N6883" s="171"/>
      <c r="O6883" s="171"/>
      <c r="P6883" s="171"/>
      <c r="Q6883" s="171"/>
      <c r="R6883" s="171"/>
      <c r="S6883" s="171"/>
      <c r="T6883" s="171"/>
      <c r="U6883" s="171"/>
      <c r="V6883" s="171"/>
      <c r="W6883" s="171"/>
      <c r="X6883" s="171"/>
      <c r="Y6883" s="171"/>
      <c r="Z6883" s="171"/>
      <c r="AA6883" s="171"/>
    </row>
    <row r="6884" spans="1:27" s="530" customFormat="1" hidden="1" x14ac:dyDescent="0.2">
      <c r="A6884" s="526"/>
      <c r="B6884" s="527"/>
      <c r="C6884" s="465"/>
      <c r="D6884" s="464"/>
      <c r="E6884" s="464"/>
      <c r="F6884" s="494">
        <v>414</v>
      </c>
      <c r="G6884" s="495" t="s">
        <v>3767</v>
      </c>
      <c r="H6884" s="397"/>
      <c r="I6884" s="397"/>
      <c r="J6884" s="750" t="e">
        <f t="shared" si="91"/>
        <v>#DIV/0!</v>
      </c>
      <c r="K6884" s="398"/>
      <c r="L6884" s="398"/>
      <c r="M6884" s="682"/>
      <c r="N6884" s="171"/>
      <c r="O6884" s="171"/>
      <c r="P6884" s="171"/>
      <c r="Q6884" s="171"/>
      <c r="R6884" s="171"/>
      <c r="S6884" s="171"/>
      <c r="T6884" s="171"/>
      <c r="U6884" s="171"/>
      <c r="V6884" s="171"/>
      <c r="W6884" s="171"/>
      <c r="X6884" s="171"/>
      <c r="Y6884" s="171"/>
      <c r="Z6884" s="171"/>
      <c r="AA6884" s="171"/>
    </row>
    <row r="6885" spans="1:27" s="530" customFormat="1" hidden="1" x14ac:dyDescent="0.2">
      <c r="A6885" s="526"/>
      <c r="B6885" s="527"/>
      <c r="C6885" s="465"/>
      <c r="D6885" s="464"/>
      <c r="E6885" s="464"/>
      <c r="F6885" s="494">
        <v>415</v>
      </c>
      <c r="G6885" s="495" t="s">
        <v>4177</v>
      </c>
      <c r="H6885" s="397"/>
      <c r="I6885" s="397"/>
      <c r="J6885" s="750" t="e">
        <f t="shared" si="91"/>
        <v>#DIV/0!</v>
      </c>
      <c r="K6885" s="398"/>
      <c r="L6885" s="398"/>
      <c r="M6885" s="682"/>
      <c r="N6885" s="171"/>
      <c r="O6885" s="171"/>
      <c r="P6885" s="171"/>
      <c r="Q6885" s="171"/>
      <c r="R6885" s="171"/>
      <c r="S6885" s="171"/>
      <c r="T6885" s="171"/>
      <c r="U6885" s="171"/>
      <c r="V6885" s="171"/>
      <c r="W6885" s="171"/>
      <c r="X6885" s="171"/>
      <c r="Y6885" s="171"/>
      <c r="Z6885" s="171"/>
      <c r="AA6885" s="171"/>
    </row>
    <row r="6886" spans="1:27" s="530" customFormat="1" ht="25.5" hidden="1" x14ac:dyDescent="0.2">
      <c r="A6886" s="526"/>
      <c r="B6886" s="527"/>
      <c r="C6886" s="465"/>
      <c r="D6886" s="464"/>
      <c r="E6886" s="464"/>
      <c r="F6886" s="494">
        <v>416</v>
      </c>
      <c r="G6886" s="495" t="s">
        <v>4178</v>
      </c>
      <c r="H6886" s="397"/>
      <c r="I6886" s="397"/>
      <c r="J6886" s="750" t="e">
        <f t="shared" si="91"/>
        <v>#DIV/0!</v>
      </c>
      <c r="K6886" s="398"/>
      <c r="L6886" s="398"/>
      <c r="M6886" s="682"/>
      <c r="N6886" s="171"/>
      <c r="O6886" s="171"/>
      <c r="P6886" s="171"/>
      <c r="Q6886" s="171"/>
      <c r="R6886" s="171"/>
      <c r="S6886" s="171"/>
      <c r="T6886" s="171"/>
      <c r="U6886" s="171"/>
      <c r="V6886" s="171"/>
      <c r="W6886" s="171"/>
      <c r="X6886" s="171"/>
      <c r="Y6886" s="171"/>
      <c r="Z6886" s="171"/>
      <c r="AA6886" s="171"/>
    </row>
    <row r="6887" spans="1:27" s="530" customFormat="1" hidden="1" x14ac:dyDescent="0.2">
      <c r="A6887" s="526"/>
      <c r="B6887" s="527"/>
      <c r="C6887" s="465"/>
      <c r="D6887" s="464"/>
      <c r="E6887" s="464"/>
      <c r="F6887" s="494">
        <v>417</v>
      </c>
      <c r="G6887" s="495" t="s">
        <v>4179</v>
      </c>
      <c r="H6887" s="397"/>
      <c r="I6887" s="397"/>
      <c r="J6887" s="750" t="e">
        <f t="shared" si="91"/>
        <v>#DIV/0!</v>
      </c>
      <c r="K6887" s="398"/>
      <c r="L6887" s="398"/>
      <c r="M6887" s="682"/>
      <c r="N6887" s="171"/>
      <c r="O6887" s="171"/>
      <c r="P6887" s="171"/>
      <c r="Q6887" s="171"/>
      <c r="R6887" s="171"/>
      <c r="S6887" s="171"/>
      <c r="T6887" s="171"/>
      <c r="U6887" s="171"/>
      <c r="V6887" s="171"/>
      <c r="W6887" s="171"/>
      <c r="X6887" s="171"/>
      <c r="Y6887" s="171"/>
      <c r="Z6887" s="171"/>
      <c r="AA6887" s="171"/>
    </row>
    <row r="6888" spans="1:27" s="530" customFormat="1" hidden="1" x14ac:dyDescent="0.2">
      <c r="A6888" s="526"/>
      <c r="B6888" s="527"/>
      <c r="C6888" s="465"/>
      <c r="D6888" s="464"/>
      <c r="E6888" s="464"/>
      <c r="F6888" s="494">
        <v>418</v>
      </c>
      <c r="G6888" s="495" t="s">
        <v>3773</v>
      </c>
      <c r="H6888" s="397"/>
      <c r="I6888" s="397"/>
      <c r="J6888" s="750" t="e">
        <f t="shared" si="91"/>
        <v>#DIV/0!</v>
      </c>
      <c r="K6888" s="398"/>
      <c r="L6888" s="398"/>
      <c r="M6888" s="682"/>
      <c r="N6888" s="171"/>
      <c r="O6888" s="171"/>
      <c r="P6888" s="171"/>
      <c r="Q6888" s="171"/>
      <c r="R6888" s="171"/>
      <c r="S6888" s="171"/>
      <c r="T6888" s="171"/>
      <c r="U6888" s="171"/>
      <c r="V6888" s="171"/>
      <c r="W6888" s="171"/>
      <c r="X6888" s="171"/>
      <c r="Y6888" s="171"/>
      <c r="Z6888" s="171"/>
      <c r="AA6888" s="171"/>
    </row>
    <row r="6889" spans="1:27" s="530" customFormat="1" ht="13.5" customHeight="1" x14ac:dyDescent="0.2">
      <c r="A6889" s="526"/>
      <c r="B6889" s="527"/>
      <c r="C6889" s="465"/>
      <c r="D6889" s="464"/>
      <c r="E6889" s="464">
        <v>63</v>
      </c>
      <c r="F6889" s="494">
        <v>421</v>
      </c>
      <c r="G6889" s="495" t="s">
        <v>3777</v>
      </c>
      <c r="H6889" s="397">
        <v>20000</v>
      </c>
      <c r="I6889" s="397">
        <v>0</v>
      </c>
      <c r="J6889" s="750">
        <f t="shared" si="91"/>
        <v>0</v>
      </c>
      <c r="K6889" s="398"/>
      <c r="L6889" s="398">
        <v>1537.19</v>
      </c>
      <c r="M6889" s="682"/>
      <c r="N6889" s="171"/>
      <c r="O6889" s="171"/>
      <c r="P6889" s="171"/>
      <c r="Q6889" s="171"/>
      <c r="R6889" s="171"/>
      <c r="S6889" s="171"/>
      <c r="T6889" s="171"/>
      <c r="U6889" s="171"/>
      <c r="V6889" s="171"/>
      <c r="W6889" s="171"/>
      <c r="X6889" s="171"/>
      <c r="Y6889" s="171"/>
      <c r="Z6889" s="171"/>
      <c r="AA6889" s="171"/>
    </row>
    <row r="6890" spans="1:27" s="530" customFormat="1" ht="13.5" customHeight="1" x14ac:dyDescent="0.2">
      <c r="A6890" s="526"/>
      <c r="B6890" s="527"/>
      <c r="C6890" s="465"/>
      <c r="D6890" s="464"/>
      <c r="E6890" s="464">
        <v>64</v>
      </c>
      <c r="F6890" s="494">
        <v>422</v>
      </c>
      <c r="G6890" s="495" t="s">
        <v>3778</v>
      </c>
      <c r="H6890" s="397">
        <v>50000</v>
      </c>
      <c r="I6890" s="397">
        <v>0</v>
      </c>
      <c r="J6890" s="750">
        <f t="shared" si="91"/>
        <v>0</v>
      </c>
      <c r="K6890" s="398"/>
      <c r="L6890" s="398"/>
      <c r="M6890" s="682"/>
      <c r="N6890" s="171"/>
      <c r="O6890" s="171"/>
      <c r="P6890" s="171"/>
      <c r="Q6890" s="171"/>
      <c r="R6890" s="171"/>
      <c r="S6890" s="171"/>
      <c r="T6890" s="171"/>
      <c r="U6890" s="171"/>
      <c r="V6890" s="171"/>
      <c r="W6890" s="171"/>
      <c r="X6890" s="171"/>
      <c r="Y6890" s="171"/>
      <c r="Z6890" s="171"/>
      <c r="AA6890" s="171"/>
    </row>
    <row r="6891" spans="1:27" s="530" customFormat="1" ht="12.75" customHeight="1" x14ac:dyDescent="0.2">
      <c r="A6891" s="526"/>
      <c r="B6891" s="527"/>
      <c r="C6891" s="465"/>
      <c r="D6891" s="464"/>
      <c r="E6891" s="464">
        <v>65</v>
      </c>
      <c r="F6891" s="494">
        <v>423</v>
      </c>
      <c r="G6891" s="495" t="s">
        <v>3779</v>
      </c>
      <c r="H6891" s="397">
        <v>320000</v>
      </c>
      <c r="I6891" s="397">
        <v>7170</v>
      </c>
      <c r="J6891" s="750">
        <f t="shared" si="91"/>
        <v>2.2406250000000001</v>
      </c>
      <c r="K6891" s="398"/>
      <c r="L6891" s="398">
        <v>19301.3</v>
      </c>
      <c r="M6891" s="682"/>
      <c r="N6891" s="171"/>
      <c r="O6891" s="171"/>
      <c r="P6891" s="171"/>
      <c r="Q6891" s="171"/>
      <c r="R6891" s="171"/>
      <c r="S6891" s="171"/>
      <c r="T6891" s="171"/>
      <c r="U6891" s="171"/>
      <c r="V6891" s="171"/>
      <c r="W6891" s="171"/>
      <c r="X6891" s="171"/>
      <c r="Y6891" s="171"/>
      <c r="Z6891" s="171"/>
      <c r="AA6891" s="171"/>
    </row>
    <row r="6892" spans="1:27" s="530" customFormat="1" hidden="1" x14ac:dyDescent="0.2">
      <c r="A6892" s="526"/>
      <c r="B6892" s="527"/>
      <c r="C6892" s="465"/>
      <c r="D6892" s="464"/>
      <c r="E6892" s="464"/>
      <c r="F6892" s="494">
        <v>424</v>
      </c>
      <c r="G6892" s="495" t="s">
        <v>3781</v>
      </c>
      <c r="H6892" s="397"/>
      <c r="I6892" s="397"/>
      <c r="J6892" s="750" t="e">
        <f t="shared" si="91"/>
        <v>#DIV/0!</v>
      </c>
      <c r="K6892" s="398"/>
      <c r="L6892" s="398"/>
      <c r="M6892" s="682"/>
      <c r="N6892" s="171"/>
      <c r="O6892" s="171"/>
      <c r="P6892" s="171"/>
      <c r="Q6892" s="171"/>
      <c r="R6892" s="171"/>
      <c r="S6892" s="171"/>
      <c r="T6892" s="171"/>
      <c r="U6892" s="171"/>
      <c r="V6892" s="171"/>
      <c r="W6892" s="171"/>
      <c r="X6892" s="171"/>
      <c r="Y6892" s="171"/>
      <c r="Z6892" s="171"/>
      <c r="AA6892" s="171"/>
    </row>
    <row r="6893" spans="1:27" s="530" customFormat="1" hidden="1" x14ac:dyDescent="0.2">
      <c r="A6893" s="526"/>
      <c r="B6893" s="527"/>
      <c r="C6893" s="465"/>
      <c r="D6893" s="464"/>
      <c r="E6893" s="464"/>
      <c r="F6893" s="494">
        <v>425</v>
      </c>
      <c r="G6893" s="495" t="s">
        <v>4180</v>
      </c>
      <c r="H6893" s="397"/>
      <c r="I6893" s="397"/>
      <c r="J6893" s="750" t="e">
        <f t="shared" si="91"/>
        <v>#DIV/0!</v>
      </c>
      <c r="K6893" s="398"/>
      <c r="L6893" s="398"/>
      <c r="M6893" s="682"/>
      <c r="N6893" s="171"/>
      <c r="O6893" s="171"/>
      <c r="P6893" s="171"/>
      <c r="Q6893" s="171"/>
      <c r="R6893" s="171"/>
      <c r="S6893" s="171"/>
      <c r="T6893" s="171"/>
      <c r="U6893" s="171"/>
      <c r="V6893" s="171"/>
      <c r="W6893" s="171"/>
      <c r="X6893" s="171"/>
      <c r="Y6893" s="171"/>
      <c r="Z6893" s="171"/>
      <c r="AA6893" s="171"/>
    </row>
    <row r="6894" spans="1:27" s="530" customFormat="1" ht="12.75" customHeight="1" x14ac:dyDescent="0.2">
      <c r="A6894" s="526"/>
      <c r="B6894" s="527"/>
      <c r="C6894" s="465"/>
      <c r="D6894" s="464"/>
      <c r="E6894" s="464">
        <v>66</v>
      </c>
      <c r="F6894" s="494">
        <v>426</v>
      </c>
      <c r="G6894" s="495" t="s">
        <v>3785</v>
      </c>
      <c r="H6894" s="397">
        <v>808029.26</v>
      </c>
      <c r="I6894" s="397">
        <v>63514</v>
      </c>
      <c r="J6894" s="750">
        <f t="shared" si="91"/>
        <v>7.8603589181906601</v>
      </c>
      <c r="K6894" s="398"/>
      <c r="L6894" s="398">
        <v>5765</v>
      </c>
      <c r="M6894" s="682"/>
      <c r="N6894" s="171"/>
      <c r="O6894" s="171"/>
      <c r="P6894" s="171"/>
      <c r="Q6894" s="171"/>
      <c r="R6894" s="171"/>
      <c r="S6894" s="171"/>
      <c r="T6894" s="171"/>
      <c r="U6894" s="171"/>
      <c r="V6894" s="171"/>
      <c r="W6894" s="171"/>
      <c r="X6894" s="171"/>
      <c r="Y6894" s="171"/>
      <c r="Z6894" s="171"/>
      <c r="AA6894" s="171"/>
    </row>
    <row r="6895" spans="1:27" s="530" customFormat="1" hidden="1" x14ac:dyDescent="0.2">
      <c r="A6895" s="526"/>
      <c r="B6895" s="527"/>
      <c r="C6895" s="465"/>
      <c r="D6895" s="464"/>
      <c r="E6895" s="464"/>
      <c r="F6895" s="494">
        <v>431</v>
      </c>
      <c r="G6895" s="495" t="s">
        <v>4181</v>
      </c>
      <c r="H6895" s="397"/>
      <c r="I6895" s="397"/>
      <c r="J6895" s="750" t="e">
        <f t="shared" si="91"/>
        <v>#DIV/0!</v>
      </c>
      <c r="K6895" s="398"/>
      <c r="L6895" s="398"/>
      <c r="M6895" s="682"/>
      <c r="N6895" s="171"/>
      <c r="O6895" s="171"/>
      <c r="P6895" s="171"/>
      <c r="Q6895" s="171"/>
      <c r="R6895" s="171"/>
      <c r="S6895" s="171"/>
      <c r="T6895" s="171"/>
      <c r="U6895" s="171"/>
      <c r="V6895" s="171"/>
      <c r="W6895" s="171"/>
      <c r="X6895" s="171"/>
      <c r="Y6895" s="171"/>
      <c r="Z6895" s="171"/>
      <c r="AA6895" s="171"/>
    </row>
    <row r="6896" spans="1:27" s="530" customFormat="1" hidden="1" x14ac:dyDescent="0.2">
      <c r="A6896" s="526"/>
      <c r="B6896" s="527"/>
      <c r="C6896" s="465"/>
      <c r="D6896" s="464"/>
      <c r="E6896" s="464"/>
      <c r="F6896" s="494">
        <v>432</v>
      </c>
      <c r="G6896" s="495" t="s">
        <v>4182</v>
      </c>
      <c r="H6896" s="397"/>
      <c r="I6896" s="397"/>
      <c r="J6896" s="750" t="e">
        <f t="shared" si="91"/>
        <v>#DIV/0!</v>
      </c>
      <c r="K6896" s="398"/>
      <c r="L6896" s="398"/>
      <c r="M6896" s="682"/>
      <c r="N6896" s="171"/>
      <c r="O6896" s="171"/>
      <c r="P6896" s="171"/>
      <c r="Q6896" s="171"/>
      <c r="R6896" s="171"/>
      <c r="S6896" s="171"/>
      <c r="T6896" s="171"/>
      <c r="U6896" s="171"/>
      <c r="V6896" s="171"/>
      <c r="W6896" s="171"/>
      <c r="X6896" s="171"/>
      <c r="Y6896" s="171"/>
      <c r="Z6896" s="171"/>
      <c r="AA6896" s="171"/>
    </row>
    <row r="6897" spans="1:27" s="530" customFormat="1" hidden="1" x14ac:dyDescent="0.2">
      <c r="A6897" s="526"/>
      <c r="B6897" s="527"/>
      <c r="C6897" s="465"/>
      <c r="D6897" s="464"/>
      <c r="E6897" s="464"/>
      <c r="F6897" s="494">
        <v>433</v>
      </c>
      <c r="G6897" s="495" t="s">
        <v>4183</v>
      </c>
      <c r="H6897" s="397"/>
      <c r="I6897" s="397"/>
      <c r="J6897" s="750" t="e">
        <f t="shared" si="91"/>
        <v>#DIV/0!</v>
      </c>
      <c r="K6897" s="398"/>
      <c r="L6897" s="398"/>
      <c r="M6897" s="682"/>
      <c r="N6897" s="171"/>
      <c r="O6897" s="171"/>
      <c r="P6897" s="171"/>
      <c r="Q6897" s="171"/>
      <c r="R6897" s="171"/>
      <c r="S6897" s="171"/>
      <c r="T6897" s="171"/>
      <c r="U6897" s="171"/>
      <c r="V6897" s="171"/>
      <c r="W6897" s="171"/>
      <c r="X6897" s="171"/>
      <c r="Y6897" s="171"/>
      <c r="Z6897" s="171"/>
      <c r="AA6897" s="171"/>
    </row>
    <row r="6898" spans="1:27" s="530" customFormat="1" hidden="1" x14ac:dyDescent="0.2">
      <c r="A6898" s="526"/>
      <c r="B6898" s="527"/>
      <c r="C6898" s="465"/>
      <c r="D6898" s="464"/>
      <c r="E6898" s="464"/>
      <c r="F6898" s="494">
        <v>434</v>
      </c>
      <c r="G6898" s="495" t="s">
        <v>4184</v>
      </c>
      <c r="H6898" s="397"/>
      <c r="I6898" s="397"/>
      <c r="J6898" s="750" t="e">
        <f t="shared" si="91"/>
        <v>#DIV/0!</v>
      </c>
      <c r="K6898" s="398"/>
      <c r="L6898" s="398"/>
      <c r="M6898" s="682"/>
      <c r="N6898" s="171"/>
      <c r="O6898" s="171"/>
      <c r="P6898" s="171"/>
      <c r="Q6898" s="171"/>
      <c r="R6898" s="171"/>
      <c r="S6898" s="171"/>
      <c r="T6898" s="171"/>
      <c r="U6898" s="171"/>
      <c r="V6898" s="171"/>
      <c r="W6898" s="171"/>
      <c r="X6898" s="171"/>
      <c r="Y6898" s="171"/>
      <c r="Z6898" s="171"/>
      <c r="AA6898" s="171"/>
    </row>
    <row r="6899" spans="1:27" s="530" customFormat="1" hidden="1" x14ac:dyDescent="0.2">
      <c r="A6899" s="526"/>
      <c r="B6899" s="527"/>
      <c r="C6899" s="465"/>
      <c r="D6899" s="464"/>
      <c r="E6899" s="464"/>
      <c r="F6899" s="494">
        <v>435</v>
      </c>
      <c r="G6899" s="495" t="s">
        <v>3792</v>
      </c>
      <c r="H6899" s="397"/>
      <c r="I6899" s="397"/>
      <c r="J6899" s="750" t="e">
        <f t="shared" si="91"/>
        <v>#DIV/0!</v>
      </c>
      <c r="K6899" s="398"/>
      <c r="L6899" s="398"/>
      <c r="M6899" s="682"/>
      <c r="N6899" s="171"/>
      <c r="O6899" s="171"/>
      <c r="P6899" s="171"/>
      <c r="Q6899" s="171"/>
      <c r="R6899" s="171"/>
      <c r="S6899" s="171"/>
      <c r="T6899" s="171"/>
      <c r="U6899" s="171"/>
      <c r="V6899" s="171"/>
      <c r="W6899" s="171"/>
      <c r="X6899" s="171"/>
      <c r="Y6899" s="171"/>
      <c r="Z6899" s="171"/>
      <c r="AA6899" s="171"/>
    </row>
    <row r="6900" spans="1:27" s="530" customFormat="1" hidden="1" x14ac:dyDescent="0.2">
      <c r="A6900" s="526"/>
      <c r="B6900" s="527"/>
      <c r="C6900" s="465"/>
      <c r="D6900" s="464"/>
      <c r="E6900" s="464"/>
      <c r="F6900" s="494">
        <v>441</v>
      </c>
      <c r="G6900" s="495" t="s">
        <v>4185</v>
      </c>
      <c r="H6900" s="397"/>
      <c r="I6900" s="397"/>
      <c r="J6900" s="750" t="e">
        <f t="shared" si="91"/>
        <v>#DIV/0!</v>
      </c>
      <c r="K6900" s="398"/>
      <c r="L6900" s="398"/>
      <c r="M6900" s="682"/>
      <c r="N6900" s="171"/>
      <c r="O6900" s="171"/>
      <c r="P6900" s="171"/>
      <c r="Q6900" s="171"/>
      <c r="R6900" s="171"/>
      <c r="S6900" s="171"/>
      <c r="T6900" s="171"/>
      <c r="U6900" s="171"/>
      <c r="V6900" s="171"/>
      <c r="W6900" s="171"/>
      <c r="X6900" s="171"/>
      <c r="Y6900" s="171"/>
      <c r="Z6900" s="171"/>
      <c r="AA6900" s="171"/>
    </row>
    <row r="6901" spans="1:27" s="530" customFormat="1" hidden="1" x14ac:dyDescent="0.2">
      <c r="A6901" s="526"/>
      <c r="B6901" s="527"/>
      <c r="C6901" s="465"/>
      <c r="D6901" s="464"/>
      <c r="E6901" s="464"/>
      <c r="F6901" s="494">
        <v>442</v>
      </c>
      <c r="G6901" s="495" t="s">
        <v>4186</v>
      </c>
      <c r="H6901" s="397"/>
      <c r="I6901" s="397"/>
      <c r="J6901" s="750" t="e">
        <f t="shared" si="91"/>
        <v>#DIV/0!</v>
      </c>
      <c r="K6901" s="398"/>
      <c r="L6901" s="398"/>
      <c r="M6901" s="682"/>
      <c r="N6901" s="171"/>
      <c r="O6901" s="171"/>
      <c r="P6901" s="171"/>
      <c r="Q6901" s="171"/>
      <c r="R6901" s="171"/>
      <c r="S6901" s="171"/>
      <c r="T6901" s="171"/>
      <c r="U6901" s="171"/>
      <c r="V6901" s="171"/>
      <c r="W6901" s="171"/>
      <c r="X6901" s="171"/>
      <c r="Y6901" s="171"/>
      <c r="Z6901" s="171"/>
      <c r="AA6901" s="171"/>
    </row>
    <row r="6902" spans="1:27" s="530" customFormat="1" hidden="1" x14ac:dyDescent="0.2">
      <c r="A6902" s="526"/>
      <c r="B6902" s="527"/>
      <c r="C6902" s="465"/>
      <c r="D6902" s="464"/>
      <c r="E6902" s="464"/>
      <c r="F6902" s="494">
        <v>443</v>
      </c>
      <c r="G6902" s="495" t="s">
        <v>3797</v>
      </c>
      <c r="H6902" s="397"/>
      <c r="I6902" s="397"/>
      <c r="J6902" s="750" t="e">
        <f t="shared" si="91"/>
        <v>#DIV/0!</v>
      </c>
      <c r="K6902" s="398"/>
      <c r="L6902" s="398"/>
      <c r="M6902" s="682"/>
      <c r="N6902" s="171"/>
      <c r="O6902" s="171"/>
      <c r="P6902" s="171"/>
      <c r="Q6902" s="171"/>
      <c r="R6902" s="171"/>
      <c r="S6902" s="171"/>
      <c r="T6902" s="171"/>
      <c r="U6902" s="171"/>
      <c r="V6902" s="171"/>
      <c r="W6902" s="171"/>
      <c r="X6902" s="171"/>
      <c r="Y6902" s="171"/>
      <c r="Z6902" s="171"/>
      <c r="AA6902" s="171"/>
    </row>
    <row r="6903" spans="1:27" s="530" customFormat="1" hidden="1" x14ac:dyDescent="0.2">
      <c r="A6903" s="526"/>
      <c r="B6903" s="527"/>
      <c r="C6903" s="465"/>
      <c r="D6903" s="464"/>
      <c r="E6903" s="464"/>
      <c r="F6903" s="494">
        <v>444</v>
      </c>
      <c r="G6903" s="495" t="s">
        <v>3798</v>
      </c>
      <c r="H6903" s="397"/>
      <c r="I6903" s="397"/>
      <c r="J6903" s="750" t="e">
        <f t="shared" si="91"/>
        <v>#DIV/0!</v>
      </c>
      <c r="K6903" s="398"/>
      <c r="L6903" s="398"/>
      <c r="M6903" s="682"/>
      <c r="N6903" s="171"/>
      <c r="O6903" s="171"/>
      <c r="P6903" s="171"/>
      <c r="Q6903" s="171"/>
      <c r="R6903" s="171"/>
      <c r="S6903" s="171"/>
      <c r="T6903" s="171"/>
      <c r="U6903" s="171"/>
      <c r="V6903" s="171"/>
      <c r="W6903" s="171"/>
      <c r="X6903" s="171"/>
      <c r="Y6903" s="171"/>
      <c r="Z6903" s="171"/>
      <c r="AA6903" s="171"/>
    </row>
    <row r="6904" spans="1:27" s="530" customFormat="1" ht="25.5" hidden="1" x14ac:dyDescent="0.2">
      <c r="A6904" s="526"/>
      <c r="B6904" s="527"/>
      <c r="C6904" s="465"/>
      <c r="D6904" s="464"/>
      <c r="E6904" s="464"/>
      <c r="F6904" s="494">
        <v>4511</v>
      </c>
      <c r="G6904" s="466" t="s">
        <v>1692</v>
      </c>
      <c r="H6904" s="397"/>
      <c r="I6904" s="397"/>
      <c r="J6904" s="750" t="e">
        <f t="shared" si="91"/>
        <v>#DIV/0!</v>
      </c>
      <c r="K6904" s="398"/>
      <c r="L6904" s="398"/>
      <c r="M6904" s="682"/>
      <c r="N6904" s="171"/>
      <c r="O6904" s="171"/>
      <c r="P6904" s="171"/>
      <c r="Q6904" s="171"/>
      <c r="R6904" s="171"/>
      <c r="S6904" s="171"/>
      <c r="T6904" s="171"/>
      <c r="U6904" s="171"/>
      <c r="V6904" s="171"/>
      <c r="W6904" s="171"/>
      <c r="X6904" s="171"/>
      <c r="Y6904" s="171"/>
      <c r="Z6904" s="171"/>
      <c r="AA6904" s="171"/>
    </row>
    <row r="6905" spans="1:27" s="530" customFormat="1" ht="25.5" hidden="1" x14ac:dyDescent="0.2">
      <c r="A6905" s="526"/>
      <c r="B6905" s="527"/>
      <c r="C6905" s="465"/>
      <c r="D6905" s="464"/>
      <c r="E6905" s="464"/>
      <c r="F6905" s="494">
        <v>4512</v>
      </c>
      <c r="G6905" s="466" t="s">
        <v>1701</v>
      </c>
      <c r="H6905" s="397"/>
      <c r="I6905" s="397"/>
      <c r="J6905" s="750" t="e">
        <f t="shared" si="91"/>
        <v>#DIV/0!</v>
      </c>
      <c r="K6905" s="398"/>
      <c r="L6905" s="398"/>
      <c r="M6905" s="682"/>
      <c r="N6905" s="171"/>
      <c r="O6905" s="171"/>
      <c r="P6905" s="171"/>
      <c r="Q6905" s="171"/>
      <c r="R6905" s="171"/>
      <c r="S6905" s="171"/>
      <c r="T6905" s="171"/>
      <c r="U6905" s="171"/>
      <c r="V6905" s="171"/>
      <c r="W6905" s="171"/>
      <c r="X6905" s="171"/>
      <c r="Y6905" s="171"/>
      <c r="Z6905" s="171"/>
      <c r="AA6905" s="171"/>
    </row>
    <row r="6906" spans="1:27" s="530" customFormat="1" ht="25.5" hidden="1" x14ac:dyDescent="0.2">
      <c r="A6906" s="526"/>
      <c r="B6906" s="527"/>
      <c r="C6906" s="465"/>
      <c r="D6906" s="464"/>
      <c r="E6906" s="464"/>
      <c r="F6906" s="494">
        <v>452</v>
      </c>
      <c r="G6906" s="495" t="s">
        <v>4187</v>
      </c>
      <c r="H6906" s="397"/>
      <c r="I6906" s="397"/>
      <c r="J6906" s="750" t="e">
        <f t="shared" si="91"/>
        <v>#DIV/0!</v>
      </c>
      <c r="K6906" s="398"/>
      <c r="L6906" s="398"/>
      <c r="M6906" s="682"/>
      <c r="N6906" s="171"/>
      <c r="O6906" s="171"/>
      <c r="P6906" s="171"/>
      <c r="Q6906" s="171"/>
      <c r="R6906" s="171"/>
      <c r="S6906" s="171"/>
      <c r="T6906" s="171"/>
      <c r="U6906" s="171"/>
      <c r="V6906" s="171"/>
      <c r="W6906" s="171"/>
      <c r="X6906" s="171"/>
      <c r="Y6906" s="171"/>
      <c r="Z6906" s="171"/>
      <c r="AA6906" s="171"/>
    </row>
    <row r="6907" spans="1:27" s="530" customFormat="1" ht="25.5" hidden="1" x14ac:dyDescent="0.2">
      <c r="A6907" s="526"/>
      <c r="B6907" s="527"/>
      <c r="C6907" s="465"/>
      <c r="D6907" s="464"/>
      <c r="E6907" s="464"/>
      <c r="F6907" s="494">
        <v>453</v>
      </c>
      <c r="G6907" s="495" t="s">
        <v>4188</v>
      </c>
      <c r="H6907" s="397"/>
      <c r="I6907" s="397"/>
      <c r="J6907" s="750" t="e">
        <f t="shared" si="91"/>
        <v>#DIV/0!</v>
      </c>
      <c r="K6907" s="398"/>
      <c r="L6907" s="398"/>
      <c r="M6907" s="682"/>
      <c r="N6907" s="171"/>
      <c r="O6907" s="171"/>
      <c r="P6907" s="171"/>
      <c r="Q6907" s="171"/>
      <c r="R6907" s="171"/>
      <c r="S6907" s="171"/>
      <c r="T6907" s="171"/>
      <c r="U6907" s="171"/>
      <c r="V6907" s="171"/>
      <c r="W6907" s="171"/>
      <c r="X6907" s="171"/>
      <c r="Y6907" s="171"/>
      <c r="Z6907" s="171"/>
      <c r="AA6907" s="171"/>
    </row>
    <row r="6908" spans="1:27" s="530" customFormat="1" hidden="1" x14ac:dyDescent="0.2">
      <c r="A6908" s="526"/>
      <c r="B6908" s="527"/>
      <c r="C6908" s="465"/>
      <c r="D6908" s="464"/>
      <c r="E6908" s="464"/>
      <c r="F6908" s="494">
        <v>454</v>
      </c>
      <c r="G6908" s="495" t="s">
        <v>3803</v>
      </c>
      <c r="H6908" s="397"/>
      <c r="I6908" s="397"/>
      <c r="J6908" s="750" t="e">
        <f t="shared" si="91"/>
        <v>#DIV/0!</v>
      </c>
      <c r="K6908" s="398"/>
      <c r="L6908" s="398"/>
      <c r="M6908" s="682"/>
      <c r="N6908" s="171"/>
      <c r="O6908" s="171"/>
      <c r="P6908" s="171"/>
      <c r="Q6908" s="171"/>
      <c r="R6908" s="171"/>
      <c r="S6908" s="171"/>
      <c r="T6908" s="171"/>
      <c r="U6908" s="171"/>
      <c r="V6908" s="171"/>
      <c r="W6908" s="171"/>
      <c r="X6908" s="171"/>
      <c r="Y6908" s="171"/>
      <c r="Z6908" s="171"/>
      <c r="AA6908" s="171"/>
    </row>
    <row r="6909" spans="1:27" s="530" customFormat="1" hidden="1" x14ac:dyDescent="0.2">
      <c r="A6909" s="526"/>
      <c r="B6909" s="527"/>
      <c r="C6909" s="465"/>
      <c r="D6909" s="464"/>
      <c r="E6909" s="464"/>
      <c r="F6909" s="494">
        <v>461</v>
      </c>
      <c r="G6909" s="495" t="s">
        <v>4169</v>
      </c>
      <c r="H6909" s="397"/>
      <c r="I6909" s="397"/>
      <c r="J6909" s="750" t="e">
        <f t="shared" si="91"/>
        <v>#DIV/0!</v>
      </c>
      <c r="K6909" s="398"/>
      <c r="L6909" s="398"/>
      <c r="M6909" s="682"/>
      <c r="N6909" s="171"/>
      <c r="O6909" s="171"/>
      <c r="P6909" s="171"/>
      <c r="Q6909" s="171"/>
      <c r="R6909" s="171"/>
      <c r="S6909" s="171"/>
      <c r="T6909" s="171"/>
      <c r="U6909" s="171"/>
      <c r="V6909" s="171"/>
      <c r="W6909" s="171"/>
      <c r="X6909" s="171"/>
      <c r="Y6909" s="171"/>
      <c r="Z6909" s="171"/>
      <c r="AA6909" s="171"/>
    </row>
    <row r="6910" spans="1:27" s="530" customFormat="1" ht="25.5" hidden="1" x14ac:dyDescent="0.2">
      <c r="A6910" s="526"/>
      <c r="B6910" s="527"/>
      <c r="C6910" s="465"/>
      <c r="D6910" s="464"/>
      <c r="E6910" s="464"/>
      <c r="F6910" s="494">
        <v>462</v>
      </c>
      <c r="G6910" s="495" t="s">
        <v>3806</v>
      </c>
      <c r="H6910" s="397"/>
      <c r="I6910" s="397"/>
      <c r="J6910" s="750" t="e">
        <f t="shared" si="91"/>
        <v>#DIV/0!</v>
      </c>
      <c r="K6910" s="398"/>
      <c r="L6910" s="398"/>
      <c r="M6910" s="682"/>
      <c r="N6910" s="171"/>
      <c r="O6910" s="171"/>
      <c r="P6910" s="171"/>
      <c r="Q6910" s="171"/>
      <c r="R6910" s="171"/>
      <c r="S6910" s="171"/>
      <c r="T6910" s="171"/>
      <c r="U6910" s="171"/>
      <c r="V6910" s="171"/>
      <c r="W6910" s="171"/>
      <c r="X6910" s="171"/>
      <c r="Y6910" s="171"/>
      <c r="Z6910" s="171"/>
      <c r="AA6910" s="171"/>
    </row>
    <row r="6911" spans="1:27" s="530" customFormat="1" hidden="1" x14ac:dyDescent="0.2">
      <c r="A6911" s="526"/>
      <c r="B6911" s="527"/>
      <c r="C6911" s="465"/>
      <c r="D6911" s="464"/>
      <c r="E6911" s="464"/>
      <c r="F6911" s="494">
        <v>4631</v>
      </c>
      <c r="G6911" s="495" t="s">
        <v>3807</v>
      </c>
      <c r="H6911" s="397"/>
      <c r="I6911" s="397"/>
      <c r="J6911" s="750" t="e">
        <f t="shared" si="91"/>
        <v>#DIV/0!</v>
      </c>
      <c r="K6911" s="398"/>
      <c r="L6911" s="398"/>
      <c r="M6911" s="682"/>
      <c r="N6911" s="171"/>
      <c r="O6911" s="171"/>
      <c r="P6911" s="171"/>
      <c r="Q6911" s="171"/>
      <c r="R6911" s="171"/>
      <c r="S6911" s="171"/>
      <c r="T6911" s="171"/>
      <c r="U6911" s="171"/>
      <c r="V6911" s="171"/>
      <c r="W6911" s="171"/>
      <c r="X6911" s="171"/>
      <c r="Y6911" s="171"/>
      <c r="Z6911" s="171"/>
      <c r="AA6911" s="171"/>
    </row>
    <row r="6912" spans="1:27" s="530" customFormat="1" hidden="1" x14ac:dyDescent="0.2">
      <c r="A6912" s="526"/>
      <c r="B6912" s="527"/>
      <c r="C6912" s="465"/>
      <c r="D6912" s="464"/>
      <c r="E6912" s="464"/>
      <c r="F6912" s="494">
        <v>4632</v>
      </c>
      <c r="G6912" s="495" t="s">
        <v>3808</v>
      </c>
      <c r="H6912" s="397"/>
      <c r="I6912" s="397"/>
      <c r="J6912" s="750" t="e">
        <f t="shared" si="91"/>
        <v>#DIV/0!</v>
      </c>
      <c r="K6912" s="398"/>
      <c r="L6912" s="398"/>
      <c r="M6912" s="682"/>
      <c r="N6912" s="171"/>
      <c r="O6912" s="171"/>
      <c r="P6912" s="171"/>
      <c r="Q6912" s="171"/>
      <c r="R6912" s="171"/>
      <c r="S6912" s="171"/>
      <c r="T6912" s="171"/>
      <c r="U6912" s="171"/>
      <c r="V6912" s="171"/>
      <c r="W6912" s="171"/>
      <c r="X6912" s="171"/>
      <c r="Y6912" s="171"/>
      <c r="Z6912" s="171"/>
      <c r="AA6912" s="171"/>
    </row>
    <row r="6913" spans="1:27" s="530" customFormat="1" ht="25.5" hidden="1" x14ac:dyDescent="0.2">
      <c r="A6913" s="526"/>
      <c r="B6913" s="527"/>
      <c r="C6913" s="465"/>
      <c r="D6913" s="464"/>
      <c r="E6913" s="464"/>
      <c r="F6913" s="494">
        <v>464</v>
      </c>
      <c r="G6913" s="495" t="s">
        <v>3809</v>
      </c>
      <c r="H6913" s="397"/>
      <c r="I6913" s="397"/>
      <c r="J6913" s="750" t="e">
        <f t="shared" si="91"/>
        <v>#DIV/0!</v>
      </c>
      <c r="K6913" s="398"/>
      <c r="L6913" s="398"/>
      <c r="M6913" s="682"/>
      <c r="N6913" s="171"/>
      <c r="O6913" s="171"/>
      <c r="P6913" s="171"/>
      <c r="Q6913" s="171"/>
      <c r="R6913" s="171"/>
      <c r="S6913" s="171"/>
      <c r="T6913" s="171"/>
      <c r="U6913" s="171"/>
      <c r="V6913" s="171"/>
      <c r="W6913" s="171"/>
      <c r="X6913" s="171"/>
      <c r="Y6913" s="171"/>
      <c r="Z6913" s="171"/>
      <c r="AA6913" s="171"/>
    </row>
    <row r="6914" spans="1:27" s="530" customFormat="1" hidden="1" x14ac:dyDescent="0.2">
      <c r="A6914" s="526"/>
      <c r="B6914" s="527"/>
      <c r="C6914" s="465"/>
      <c r="D6914" s="464"/>
      <c r="E6914" s="464"/>
      <c r="F6914" s="494">
        <v>465</v>
      </c>
      <c r="G6914" s="495" t="s">
        <v>4170</v>
      </c>
      <c r="H6914" s="397"/>
      <c r="I6914" s="397"/>
      <c r="J6914" s="750" t="e">
        <f t="shared" si="91"/>
        <v>#DIV/0!</v>
      </c>
      <c r="K6914" s="398"/>
      <c r="L6914" s="398"/>
      <c r="M6914" s="682"/>
      <c r="N6914" s="171"/>
      <c r="O6914" s="171"/>
      <c r="P6914" s="171"/>
      <c r="Q6914" s="171"/>
      <c r="R6914" s="171"/>
      <c r="S6914" s="171"/>
      <c r="T6914" s="171"/>
      <c r="U6914" s="171"/>
      <c r="V6914" s="171"/>
      <c r="W6914" s="171"/>
      <c r="X6914" s="171"/>
      <c r="Y6914" s="171"/>
      <c r="Z6914" s="171"/>
      <c r="AA6914" s="171"/>
    </row>
    <row r="6915" spans="1:27" s="530" customFormat="1" hidden="1" x14ac:dyDescent="0.2">
      <c r="A6915" s="526"/>
      <c r="B6915" s="527"/>
      <c r="C6915" s="465"/>
      <c r="D6915" s="464"/>
      <c r="E6915" s="464"/>
      <c r="F6915" s="494">
        <v>472</v>
      </c>
      <c r="G6915" s="495" t="s">
        <v>3813</v>
      </c>
      <c r="H6915" s="397"/>
      <c r="I6915" s="397"/>
      <c r="J6915" s="750" t="e">
        <f t="shared" si="91"/>
        <v>#DIV/0!</v>
      </c>
      <c r="K6915" s="398"/>
      <c r="L6915" s="398"/>
      <c r="M6915" s="682"/>
      <c r="N6915" s="171"/>
      <c r="O6915" s="171"/>
      <c r="P6915" s="171"/>
      <c r="Q6915" s="171"/>
      <c r="R6915" s="171"/>
      <c r="S6915" s="171"/>
      <c r="T6915" s="171"/>
      <c r="U6915" s="171"/>
      <c r="V6915" s="171"/>
      <c r="W6915" s="171"/>
      <c r="X6915" s="171"/>
      <c r="Y6915" s="171"/>
      <c r="Z6915" s="171"/>
      <c r="AA6915" s="171"/>
    </row>
    <row r="6916" spans="1:27" s="530" customFormat="1" hidden="1" x14ac:dyDescent="0.2">
      <c r="A6916" s="526"/>
      <c r="B6916" s="527"/>
      <c r="C6916" s="465"/>
      <c r="D6916" s="464"/>
      <c r="E6916" s="464"/>
      <c r="F6916" s="494">
        <v>481</v>
      </c>
      <c r="G6916" s="495" t="s">
        <v>4189</v>
      </c>
      <c r="H6916" s="397"/>
      <c r="I6916" s="397"/>
      <c r="J6916" s="750" t="e">
        <f t="shared" si="91"/>
        <v>#DIV/0!</v>
      </c>
      <c r="K6916" s="398"/>
      <c r="L6916" s="398"/>
      <c r="M6916" s="682"/>
      <c r="N6916" s="171"/>
      <c r="O6916" s="171"/>
      <c r="P6916" s="171"/>
      <c r="Q6916" s="171"/>
      <c r="R6916" s="171"/>
      <c r="S6916" s="171"/>
      <c r="T6916" s="171"/>
      <c r="U6916" s="171"/>
      <c r="V6916" s="171"/>
      <c r="W6916" s="171"/>
      <c r="X6916" s="171"/>
      <c r="Y6916" s="171"/>
      <c r="Z6916" s="171"/>
      <c r="AA6916" s="171"/>
    </row>
    <row r="6917" spans="1:27" s="530" customFormat="1" hidden="1" x14ac:dyDescent="0.2">
      <c r="A6917" s="526"/>
      <c r="B6917" s="527"/>
      <c r="C6917" s="465"/>
      <c r="D6917" s="464"/>
      <c r="E6917" s="464"/>
      <c r="F6917" s="494">
        <v>482</v>
      </c>
      <c r="G6917" s="495" t="s">
        <v>4190</v>
      </c>
      <c r="H6917" s="397"/>
      <c r="I6917" s="397"/>
      <c r="J6917" s="750" t="e">
        <f t="shared" si="91"/>
        <v>#DIV/0!</v>
      </c>
      <c r="K6917" s="398"/>
      <c r="L6917" s="398"/>
      <c r="M6917" s="682"/>
      <c r="N6917" s="171"/>
      <c r="O6917" s="171"/>
      <c r="P6917" s="171"/>
      <c r="Q6917" s="171"/>
      <c r="R6917" s="171"/>
      <c r="S6917" s="171"/>
      <c r="T6917" s="171"/>
      <c r="U6917" s="171"/>
      <c r="V6917" s="171"/>
      <c r="W6917" s="171"/>
      <c r="X6917" s="171"/>
      <c r="Y6917" s="171"/>
      <c r="Z6917" s="171"/>
      <c r="AA6917" s="171"/>
    </row>
    <row r="6918" spans="1:27" s="530" customFormat="1" hidden="1" x14ac:dyDescent="0.2">
      <c r="A6918" s="526"/>
      <c r="B6918" s="527"/>
      <c r="C6918" s="465"/>
      <c r="D6918" s="464"/>
      <c r="E6918" s="464"/>
      <c r="F6918" s="494">
        <v>483</v>
      </c>
      <c r="G6918" s="497" t="s">
        <v>4191</v>
      </c>
      <c r="H6918" s="397"/>
      <c r="I6918" s="397"/>
      <c r="J6918" s="750" t="e">
        <f t="shared" si="91"/>
        <v>#DIV/0!</v>
      </c>
      <c r="K6918" s="398"/>
      <c r="L6918" s="398"/>
      <c r="M6918" s="682"/>
      <c r="N6918" s="171"/>
      <c r="O6918" s="171"/>
      <c r="P6918" s="171"/>
      <c r="Q6918" s="171"/>
      <c r="R6918" s="171"/>
      <c r="S6918" s="171"/>
      <c r="T6918" s="171"/>
      <c r="U6918" s="171"/>
      <c r="V6918" s="171"/>
      <c r="W6918" s="171"/>
      <c r="X6918" s="171"/>
      <c r="Y6918" s="171"/>
      <c r="Z6918" s="171"/>
      <c r="AA6918" s="171"/>
    </row>
    <row r="6919" spans="1:27" s="530" customFormat="1" ht="38.25" hidden="1" x14ac:dyDescent="0.2">
      <c r="A6919" s="526"/>
      <c r="B6919" s="527"/>
      <c r="C6919" s="465"/>
      <c r="D6919" s="464"/>
      <c r="E6919" s="464"/>
      <c r="F6919" s="494">
        <v>484</v>
      </c>
      <c r="G6919" s="495" t="s">
        <v>4192</v>
      </c>
      <c r="H6919" s="397"/>
      <c r="I6919" s="397"/>
      <c r="J6919" s="750" t="e">
        <f t="shared" si="91"/>
        <v>#DIV/0!</v>
      </c>
      <c r="K6919" s="398"/>
      <c r="L6919" s="398"/>
      <c r="M6919" s="682"/>
      <c r="N6919" s="171"/>
      <c r="O6919" s="171"/>
      <c r="P6919" s="171"/>
      <c r="Q6919" s="171"/>
      <c r="R6919" s="171"/>
      <c r="S6919" s="171"/>
      <c r="T6919" s="171"/>
      <c r="U6919" s="171"/>
      <c r="V6919" s="171"/>
      <c r="W6919" s="171"/>
      <c r="X6919" s="171"/>
      <c r="Y6919" s="171"/>
      <c r="Z6919" s="171"/>
      <c r="AA6919" s="171"/>
    </row>
    <row r="6920" spans="1:27" s="530" customFormat="1" ht="25.5" hidden="1" x14ac:dyDescent="0.2">
      <c r="A6920" s="526"/>
      <c r="B6920" s="527"/>
      <c r="C6920" s="465"/>
      <c r="D6920" s="464"/>
      <c r="E6920" s="464"/>
      <c r="F6920" s="494">
        <v>485</v>
      </c>
      <c r="G6920" s="495" t="s">
        <v>4193</v>
      </c>
      <c r="H6920" s="397"/>
      <c r="I6920" s="397"/>
      <c r="J6920" s="750" t="e">
        <f t="shared" si="91"/>
        <v>#DIV/0!</v>
      </c>
      <c r="K6920" s="398"/>
      <c r="L6920" s="398"/>
      <c r="M6920" s="682"/>
      <c r="N6920" s="171"/>
      <c r="O6920" s="171"/>
      <c r="P6920" s="171"/>
      <c r="Q6920" s="171"/>
      <c r="R6920" s="171"/>
      <c r="S6920" s="171"/>
      <c r="T6920" s="171"/>
      <c r="U6920" s="171"/>
      <c r="V6920" s="171"/>
      <c r="W6920" s="171"/>
      <c r="X6920" s="171"/>
      <c r="Y6920" s="171"/>
      <c r="Z6920" s="171"/>
      <c r="AA6920" s="171"/>
    </row>
    <row r="6921" spans="1:27" s="530" customFormat="1" ht="25.5" hidden="1" x14ac:dyDescent="0.2">
      <c r="A6921" s="526"/>
      <c r="B6921" s="527"/>
      <c r="C6921" s="465"/>
      <c r="D6921" s="464"/>
      <c r="E6921" s="464"/>
      <c r="F6921" s="494">
        <v>489</v>
      </c>
      <c r="G6921" s="495" t="s">
        <v>3821</v>
      </c>
      <c r="H6921" s="397"/>
      <c r="I6921" s="397"/>
      <c r="J6921" s="750" t="e">
        <f t="shared" si="91"/>
        <v>#DIV/0!</v>
      </c>
      <c r="K6921" s="398"/>
      <c r="L6921" s="398"/>
      <c r="M6921" s="682"/>
      <c r="N6921" s="171"/>
      <c r="O6921" s="171"/>
      <c r="P6921" s="171"/>
      <c r="Q6921" s="171"/>
      <c r="R6921" s="171"/>
      <c r="S6921" s="171"/>
      <c r="T6921" s="171"/>
      <c r="U6921" s="171"/>
      <c r="V6921" s="171"/>
      <c r="W6921" s="171"/>
      <c r="X6921" s="171"/>
      <c r="Y6921" s="171"/>
      <c r="Z6921" s="171"/>
      <c r="AA6921" s="171"/>
    </row>
    <row r="6922" spans="1:27" s="530" customFormat="1" ht="25.5" hidden="1" x14ac:dyDescent="0.2">
      <c r="A6922" s="526"/>
      <c r="B6922" s="527"/>
      <c r="C6922" s="465"/>
      <c r="D6922" s="464"/>
      <c r="E6922" s="464"/>
      <c r="F6922" s="494">
        <v>494</v>
      </c>
      <c r="G6922" s="495" t="s">
        <v>4171</v>
      </c>
      <c r="H6922" s="397"/>
      <c r="I6922" s="397"/>
      <c r="J6922" s="750" t="e">
        <f t="shared" si="91"/>
        <v>#DIV/0!</v>
      </c>
      <c r="K6922" s="398"/>
      <c r="L6922" s="398"/>
      <c r="M6922" s="682"/>
      <c r="N6922" s="171"/>
      <c r="O6922" s="171"/>
      <c r="P6922" s="171"/>
      <c r="Q6922" s="171"/>
      <c r="R6922" s="171"/>
      <c r="S6922" s="171"/>
      <c r="T6922" s="171"/>
      <c r="U6922" s="171"/>
      <c r="V6922" s="171"/>
      <c r="W6922" s="171"/>
      <c r="X6922" s="171"/>
      <c r="Y6922" s="171"/>
      <c r="Z6922" s="171"/>
      <c r="AA6922" s="171"/>
    </row>
    <row r="6923" spans="1:27" s="530" customFormat="1" ht="25.5" hidden="1" x14ac:dyDescent="0.2">
      <c r="A6923" s="526"/>
      <c r="B6923" s="527"/>
      <c r="C6923" s="465"/>
      <c r="D6923" s="464"/>
      <c r="E6923" s="464"/>
      <c r="F6923" s="494">
        <v>495</v>
      </c>
      <c r="G6923" s="495" t="s">
        <v>4172</v>
      </c>
      <c r="H6923" s="397"/>
      <c r="I6923" s="397"/>
      <c r="J6923" s="750" t="e">
        <f t="shared" si="91"/>
        <v>#DIV/0!</v>
      </c>
      <c r="K6923" s="398"/>
      <c r="L6923" s="398"/>
      <c r="M6923" s="682"/>
      <c r="N6923" s="171"/>
      <c r="O6923" s="171"/>
      <c r="P6923" s="171"/>
      <c r="Q6923" s="171"/>
      <c r="R6923" s="171"/>
      <c r="S6923" s="171"/>
      <c r="T6923" s="171"/>
      <c r="U6923" s="171"/>
      <c r="V6923" s="171"/>
      <c r="W6923" s="171"/>
      <c r="X6923" s="171"/>
      <c r="Y6923" s="171"/>
      <c r="Z6923" s="171"/>
      <c r="AA6923" s="171"/>
    </row>
    <row r="6924" spans="1:27" s="530" customFormat="1" ht="38.25" hidden="1" x14ac:dyDescent="0.2">
      <c r="A6924" s="526"/>
      <c r="B6924" s="527"/>
      <c r="C6924" s="465"/>
      <c r="D6924" s="464"/>
      <c r="E6924" s="464"/>
      <c r="F6924" s="494">
        <v>496</v>
      </c>
      <c r="G6924" s="495" t="s">
        <v>4173</v>
      </c>
      <c r="H6924" s="397"/>
      <c r="I6924" s="397"/>
      <c r="J6924" s="750" t="e">
        <f t="shared" si="91"/>
        <v>#DIV/0!</v>
      </c>
      <c r="K6924" s="398"/>
      <c r="L6924" s="398"/>
      <c r="M6924" s="682"/>
      <c r="N6924" s="171"/>
      <c r="O6924" s="171"/>
      <c r="P6924" s="171"/>
      <c r="Q6924" s="171"/>
      <c r="R6924" s="171"/>
      <c r="S6924" s="171"/>
      <c r="T6924" s="171"/>
      <c r="U6924" s="171"/>
      <c r="V6924" s="171"/>
      <c r="W6924" s="171"/>
      <c r="X6924" s="171"/>
      <c r="Y6924" s="171"/>
      <c r="Z6924" s="171"/>
      <c r="AA6924" s="171"/>
    </row>
    <row r="6925" spans="1:27" s="530" customFormat="1" ht="25.5" hidden="1" x14ac:dyDescent="0.2">
      <c r="A6925" s="526"/>
      <c r="B6925" s="527"/>
      <c r="C6925" s="465"/>
      <c r="D6925" s="464"/>
      <c r="E6925" s="464"/>
      <c r="F6925" s="494">
        <v>499</v>
      </c>
      <c r="G6925" s="495" t="s">
        <v>4174</v>
      </c>
      <c r="H6925" s="397"/>
      <c r="I6925" s="397"/>
      <c r="J6925" s="750" t="e">
        <f t="shared" ref="J6925:J6988" si="92">SUM(I6925/H6925)*100</f>
        <v>#DIV/0!</v>
      </c>
      <c r="K6925" s="398"/>
      <c r="L6925" s="398"/>
      <c r="M6925" s="682"/>
      <c r="N6925" s="171"/>
      <c r="O6925" s="171"/>
      <c r="P6925" s="171"/>
      <c r="Q6925" s="171"/>
      <c r="R6925" s="171"/>
      <c r="S6925" s="171"/>
      <c r="T6925" s="171"/>
      <c r="U6925" s="171"/>
      <c r="V6925" s="171"/>
      <c r="W6925" s="171"/>
      <c r="X6925" s="171"/>
      <c r="Y6925" s="171"/>
      <c r="Z6925" s="171"/>
      <c r="AA6925" s="171"/>
    </row>
    <row r="6926" spans="1:27" s="530" customFormat="1" hidden="1" x14ac:dyDescent="0.2">
      <c r="A6926" s="526"/>
      <c r="B6926" s="527"/>
      <c r="C6926" s="465"/>
      <c r="D6926" s="464"/>
      <c r="E6926" s="464"/>
      <c r="F6926" s="494">
        <v>511</v>
      </c>
      <c r="G6926" s="497" t="s">
        <v>4194</v>
      </c>
      <c r="H6926" s="397"/>
      <c r="I6926" s="397"/>
      <c r="J6926" s="750" t="e">
        <f t="shared" si="92"/>
        <v>#DIV/0!</v>
      </c>
      <c r="K6926" s="398"/>
      <c r="L6926" s="398"/>
      <c r="M6926" s="682"/>
      <c r="N6926" s="171"/>
      <c r="O6926" s="171"/>
      <c r="P6926" s="171"/>
      <c r="Q6926" s="171"/>
      <c r="R6926" s="171"/>
      <c r="S6926" s="171"/>
      <c r="T6926" s="171"/>
      <c r="U6926" s="171"/>
      <c r="V6926" s="171"/>
      <c r="W6926" s="171"/>
      <c r="X6926" s="171"/>
      <c r="Y6926" s="171"/>
      <c r="Z6926" s="171"/>
      <c r="AA6926" s="171"/>
    </row>
    <row r="6927" spans="1:27" s="530" customFormat="1" ht="13.5" thickBot="1" x14ac:dyDescent="0.25">
      <c r="A6927" s="526"/>
      <c r="B6927" s="527"/>
      <c r="C6927" s="465"/>
      <c r="D6927" s="464"/>
      <c r="E6927" s="464">
        <v>67</v>
      </c>
      <c r="F6927" s="494">
        <v>512</v>
      </c>
      <c r="G6927" s="497" t="s">
        <v>4195</v>
      </c>
      <c r="H6927" s="397">
        <v>1610000</v>
      </c>
      <c r="I6927" s="397">
        <v>492000</v>
      </c>
      <c r="J6927" s="750">
        <f t="shared" si="92"/>
        <v>30.559006211180122</v>
      </c>
      <c r="K6927" s="398"/>
      <c r="L6927" s="398"/>
      <c r="M6927" s="682"/>
      <c r="N6927" s="171"/>
      <c r="O6927" s="545"/>
      <c r="P6927" s="171"/>
      <c r="Q6927" s="171"/>
      <c r="R6927" s="171"/>
      <c r="S6927" s="171"/>
      <c r="T6927" s="171"/>
      <c r="U6927" s="171"/>
      <c r="V6927" s="171"/>
      <c r="W6927" s="171"/>
      <c r="X6927" s="171"/>
      <c r="Y6927" s="171"/>
      <c r="Z6927" s="171"/>
      <c r="AA6927" s="171"/>
    </row>
    <row r="6928" spans="1:27" s="530" customFormat="1" ht="13.5" hidden="1" thickBot="1" x14ac:dyDescent="0.25">
      <c r="A6928" s="526"/>
      <c r="B6928" s="527"/>
      <c r="C6928" s="465"/>
      <c r="D6928" s="464"/>
      <c r="E6928" s="464"/>
      <c r="F6928" s="494">
        <v>513</v>
      </c>
      <c r="G6928" s="497" t="s">
        <v>4196</v>
      </c>
      <c r="H6928" s="397"/>
      <c r="I6928" s="397"/>
      <c r="J6928" s="750" t="e">
        <f t="shared" si="92"/>
        <v>#DIV/0!</v>
      </c>
      <c r="K6928" s="398"/>
      <c r="L6928" s="398"/>
      <c r="M6928" s="682"/>
      <c r="N6928" s="171"/>
      <c r="O6928" s="171"/>
      <c r="P6928" s="171"/>
      <c r="Q6928" s="171"/>
      <c r="R6928" s="171"/>
      <c r="S6928" s="171"/>
      <c r="T6928" s="171"/>
      <c r="U6928" s="171"/>
      <c r="V6928" s="171"/>
      <c r="W6928" s="171"/>
      <c r="X6928" s="171"/>
      <c r="Y6928" s="171"/>
      <c r="Z6928" s="171"/>
      <c r="AA6928" s="171"/>
    </row>
    <row r="6929" spans="1:27" s="530" customFormat="1" ht="13.5" hidden="1" thickBot="1" x14ac:dyDescent="0.25">
      <c r="A6929" s="526"/>
      <c r="B6929" s="527"/>
      <c r="C6929" s="465"/>
      <c r="D6929" s="464"/>
      <c r="E6929" s="464"/>
      <c r="F6929" s="494">
        <v>514</v>
      </c>
      <c r="G6929" s="495" t="s">
        <v>4197</v>
      </c>
      <c r="H6929" s="397"/>
      <c r="I6929" s="397"/>
      <c r="J6929" s="750" t="e">
        <f t="shared" si="92"/>
        <v>#DIV/0!</v>
      </c>
      <c r="K6929" s="398"/>
      <c r="L6929" s="398"/>
      <c r="M6929" s="682"/>
      <c r="N6929" s="171"/>
      <c r="O6929" s="171"/>
      <c r="P6929" s="171"/>
      <c r="Q6929" s="171"/>
      <c r="R6929" s="171"/>
      <c r="S6929" s="171"/>
      <c r="T6929" s="171"/>
      <c r="U6929" s="171"/>
      <c r="V6929" s="171"/>
      <c r="W6929" s="171"/>
      <c r="X6929" s="171"/>
      <c r="Y6929" s="171"/>
      <c r="Z6929" s="171"/>
      <c r="AA6929" s="171"/>
    </row>
    <row r="6930" spans="1:27" s="530" customFormat="1" ht="13.5" hidden="1" thickBot="1" x14ac:dyDescent="0.25">
      <c r="A6930" s="526"/>
      <c r="B6930" s="527"/>
      <c r="C6930" s="465"/>
      <c r="D6930" s="464"/>
      <c r="E6930" s="464"/>
      <c r="F6930" s="494">
        <v>515</v>
      </c>
      <c r="G6930" s="495" t="s">
        <v>3832</v>
      </c>
      <c r="H6930" s="397"/>
      <c r="I6930" s="397"/>
      <c r="J6930" s="750" t="e">
        <f t="shared" si="92"/>
        <v>#DIV/0!</v>
      </c>
      <c r="K6930" s="398"/>
      <c r="L6930" s="398"/>
      <c r="M6930" s="682"/>
      <c r="N6930" s="171"/>
      <c r="O6930" s="171"/>
      <c r="P6930" s="171"/>
      <c r="Q6930" s="171"/>
      <c r="R6930" s="171"/>
      <c r="S6930" s="171"/>
      <c r="T6930" s="171"/>
      <c r="U6930" s="171"/>
      <c r="V6930" s="171"/>
      <c r="W6930" s="171"/>
      <c r="X6930" s="171"/>
      <c r="Y6930" s="171"/>
      <c r="Z6930" s="171"/>
      <c r="AA6930" s="171"/>
    </row>
    <row r="6931" spans="1:27" s="530" customFormat="1" ht="13.5" hidden="1" thickBot="1" x14ac:dyDescent="0.25">
      <c r="A6931" s="526"/>
      <c r="B6931" s="527"/>
      <c r="C6931" s="465"/>
      <c r="D6931" s="464"/>
      <c r="E6931" s="464"/>
      <c r="F6931" s="494">
        <v>521</v>
      </c>
      <c r="G6931" s="495" t="s">
        <v>4198</v>
      </c>
      <c r="H6931" s="397"/>
      <c r="I6931" s="397"/>
      <c r="J6931" s="750" t="e">
        <f t="shared" si="92"/>
        <v>#DIV/0!</v>
      </c>
      <c r="K6931" s="398"/>
      <c r="L6931" s="398"/>
      <c r="M6931" s="682"/>
      <c r="N6931" s="171"/>
      <c r="O6931" s="171"/>
      <c r="P6931" s="171"/>
      <c r="Q6931" s="171"/>
      <c r="R6931" s="171"/>
      <c r="S6931" s="171"/>
      <c r="T6931" s="171"/>
      <c r="U6931" s="171"/>
      <c r="V6931" s="171"/>
      <c r="W6931" s="171"/>
      <c r="X6931" s="171"/>
      <c r="Y6931" s="171"/>
      <c r="Z6931" s="171"/>
      <c r="AA6931" s="171"/>
    </row>
    <row r="6932" spans="1:27" s="530" customFormat="1" ht="13.5" hidden="1" thickBot="1" x14ac:dyDescent="0.25">
      <c r="A6932" s="526"/>
      <c r="B6932" s="527"/>
      <c r="C6932" s="465"/>
      <c r="D6932" s="464"/>
      <c r="E6932" s="464"/>
      <c r="F6932" s="494">
        <v>522</v>
      </c>
      <c r="G6932" s="495" t="s">
        <v>4199</v>
      </c>
      <c r="H6932" s="397"/>
      <c r="I6932" s="397"/>
      <c r="J6932" s="750" t="e">
        <f t="shared" si="92"/>
        <v>#DIV/0!</v>
      </c>
      <c r="K6932" s="398"/>
      <c r="L6932" s="398"/>
      <c r="M6932" s="682"/>
      <c r="N6932" s="171"/>
      <c r="O6932" s="171"/>
      <c r="P6932" s="171"/>
      <c r="Q6932" s="171"/>
      <c r="R6932" s="171"/>
      <c r="S6932" s="171"/>
      <c r="T6932" s="171"/>
      <c r="U6932" s="171"/>
      <c r="V6932" s="171"/>
      <c r="W6932" s="171"/>
      <c r="X6932" s="171"/>
      <c r="Y6932" s="171"/>
      <c r="Z6932" s="171"/>
      <c r="AA6932" s="171"/>
    </row>
    <row r="6933" spans="1:27" s="530" customFormat="1" ht="13.5" hidden="1" thickBot="1" x14ac:dyDescent="0.25">
      <c r="A6933" s="526"/>
      <c r="B6933" s="527"/>
      <c r="C6933" s="465"/>
      <c r="D6933" s="464"/>
      <c r="E6933" s="464"/>
      <c r="F6933" s="494">
        <v>523</v>
      </c>
      <c r="G6933" s="495" t="s">
        <v>3837</v>
      </c>
      <c r="H6933" s="397"/>
      <c r="I6933" s="397"/>
      <c r="J6933" s="750" t="e">
        <f t="shared" si="92"/>
        <v>#DIV/0!</v>
      </c>
      <c r="K6933" s="398"/>
      <c r="L6933" s="398"/>
      <c r="M6933" s="682"/>
      <c r="N6933" s="171"/>
      <c r="O6933" s="171"/>
      <c r="P6933" s="171"/>
      <c r="Q6933" s="171"/>
      <c r="R6933" s="171"/>
      <c r="S6933" s="171"/>
      <c r="T6933" s="171"/>
      <c r="U6933" s="171"/>
      <c r="V6933" s="171"/>
      <c r="W6933" s="171"/>
      <c r="X6933" s="171"/>
      <c r="Y6933" s="171"/>
      <c r="Z6933" s="171"/>
      <c r="AA6933" s="171"/>
    </row>
    <row r="6934" spans="1:27" s="530" customFormat="1" ht="13.5" hidden="1" thickBot="1" x14ac:dyDescent="0.25">
      <c r="A6934" s="526"/>
      <c r="B6934" s="527"/>
      <c r="C6934" s="465"/>
      <c r="D6934" s="464"/>
      <c r="E6934" s="464"/>
      <c r="F6934" s="494">
        <v>531</v>
      </c>
      <c r="G6934" s="496" t="s">
        <v>4175</v>
      </c>
      <c r="H6934" s="397"/>
      <c r="I6934" s="397"/>
      <c r="J6934" s="750" t="e">
        <f t="shared" si="92"/>
        <v>#DIV/0!</v>
      </c>
      <c r="K6934" s="398"/>
      <c r="L6934" s="398"/>
      <c r="M6934" s="682"/>
      <c r="N6934" s="171"/>
      <c r="O6934" s="171"/>
      <c r="P6934" s="171"/>
      <c r="Q6934" s="171"/>
      <c r="R6934" s="171"/>
      <c r="S6934" s="171"/>
      <c r="T6934" s="171"/>
      <c r="U6934" s="171"/>
      <c r="V6934" s="171"/>
      <c r="W6934" s="171"/>
      <c r="X6934" s="171"/>
      <c r="Y6934" s="171"/>
      <c r="Z6934" s="171"/>
      <c r="AA6934" s="171"/>
    </row>
    <row r="6935" spans="1:27" s="530" customFormat="1" ht="13.5" hidden="1" thickBot="1" x14ac:dyDescent="0.25">
      <c r="A6935" s="526"/>
      <c r="B6935" s="527"/>
      <c r="C6935" s="465"/>
      <c r="D6935" s="464"/>
      <c r="E6935" s="464"/>
      <c r="F6935" s="494">
        <v>541</v>
      </c>
      <c r="G6935" s="495" t="s">
        <v>4200</v>
      </c>
      <c r="H6935" s="397"/>
      <c r="I6935" s="397"/>
      <c r="J6935" s="750" t="e">
        <f t="shared" si="92"/>
        <v>#DIV/0!</v>
      </c>
      <c r="K6935" s="398"/>
      <c r="L6935" s="398"/>
      <c r="M6935" s="682"/>
      <c r="N6935" s="171"/>
      <c r="O6935" s="171"/>
      <c r="P6935" s="171"/>
      <c r="Q6935" s="171"/>
      <c r="R6935" s="171"/>
      <c r="S6935" s="171"/>
      <c r="T6935" s="171"/>
      <c r="U6935" s="171"/>
      <c r="V6935" s="171"/>
      <c r="W6935" s="171"/>
      <c r="X6935" s="171"/>
      <c r="Y6935" s="171"/>
      <c r="Z6935" s="171"/>
      <c r="AA6935" s="171"/>
    </row>
    <row r="6936" spans="1:27" s="530" customFormat="1" ht="13.5" hidden="1" thickBot="1" x14ac:dyDescent="0.25">
      <c r="A6936" s="526"/>
      <c r="B6936" s="527"/>
      <c r="C6936" s="465"/>
      <c r="D6936" s="464"/>
      <c r="E6936" s="464"/>
      <c r="F6936" s="494">
        <v>542</v>
      </c>
      <c r="G6936" s="495" t="s">
        <v>4201</v>
      </c>
      <c r="H6936" s="397"/>
      <c r="I6936" s="397"/>
      <c r="J6936" s="750" t="e">
        <f t="shared" si="92"/>
        <v>#DIV/0!</v>
      </c>
      <c r="K6936" s="398"/>
      <c r="L6936" s="398"/>
      <c r="M6936" s="682"/>
      <c r="N6936" s="171"/>
      <c r="O6936" s="171"/>
      <c r="P6936" s="171"/>
      <c r="Q6936" s="171"/>
      <c r="R6936" s="171"/>
      <c r="S6936" s="171"/>
      <c r="T6936" s="171"/>
      <c r="U6936" s="171"/>
      <c r="V6936" s="171"/>
      <c r="W6936" s="171"/>
      <c r="X6936" s="171"/>
      <c r="Y6936" s="171"/>
      <c r="Z6936" s="171"/>
      <c r="AA6936" s="171"/>
    </row>
    <row r="6937" spans="1:27" s="530" customFormat="1" ht="13.5" hidden="1" thickBot="1" x14ac:dyDescent="0.25">
      <c r="A6937" s="526"/>
      <c r="B6937" s="527"/>
      <c r="C6937" s="465"/>
      <c r="D6937" s="464"/>
      <c r="E6937" s="464"/>
      <c r="F6937" s="494">
        <v>543</v>
      </c>
      <c r="G6937" s="495" t="s">
        <v>3842</v>
      </c>
      <c r="H6937" s="397"/>
      <c r="I6937" s="397"/>
      <c r="J6937" s="750" t="e">
        <f t="shared" si="92"/>
        <v>#DIV/0!</v>
      </c>
      <c r="K6937" s="398"/>
      <c r="L6937" s="398"/>
      <c r="M6937" s="682"/>
      <c r="N6937" s="171"/>
      <c r="O6937" s="171"/>
      <c r="P6937" s="171"/>
      <c r="Q6937" s="171"/>
      <c r="R6937" s="171"/>
      <c r="S6937" s="171"/>
      <c r="T6937" s="171"/>
      <c r="U6937" s="171"/>
      <c r="V6937" s="171"/>
      <c r="W6937" s="171"/>
      <c r="X6937" s="171"/>
      <c r="Y6937" s="171"/>
      <c r="Z6937" s="171"/>
      <c r="AA6937" s="171"/>
    </row>
    <row r="6938" spans="1:27" s="530" customFormat="1" ht="39" hidden="1" thickBot="1" x14ac:dyDescent="0.25">
      <c r="A6938" s="526"/>
      <c r="B6938" s="527"/>
      <c r="C6938" s="465"/>
      <c r="D6938" s="464"/>
      <c r="E6938" s="464"/>
      <c r="F6938" s="494">
        <v>551</v>
      </c>
      <c r="G6938" s="495" t="s">
        <v>4176</v>
      </c>
      <c r="H6938" s="397"/>
      <c r="I6938" s="397"/>
      <c r="J6938" s="750" t="e">
        <f t="shared" si="92"/>
        <v>#DIV/0!</v>
      </c>
      <c r="K6938" s="398"/>
      <c r="L6938" s="398"/>
      <c r="M6938" s="682"/>
      <c r="N6938" s="171"/>
      <c r="O6938" s="171"/>
      <c r="P6938" s="171"/>
      <c r="Q6938" s="171"/>
      <c r="R6938" s="171"/>
      <c r="S6938" s="171"/>
      <c r="T6938" s="171"/>
      <c r="U6938" s="171"/>
      <c r="V6938" s="171"/>
      <c r="W6938" s="171"/>
      <c r="X6938" s="171"/>
      <c r="Y6938" s="171"/>
      <c r="Z6938" s="171"/>
      <c r="AA6938" s="171"/>
    </row>
    <row r="6939" spans="1:27" s="530" customFormat="1" ht="13.5" hidden="1" thickBot="1" x14ac:dyDescent="0.25">
      <c r="A6939" s="526"/>
      <c r="B6939" s="527"/>
      <c r="C6939" s="465"/>
      <c r="D6939" s="464"/>
      <c r="E6939" s="464"/>
      <c r="F6939" s="498">
        <v>611</v>
      </c>
      <c r="G6939" s="499" t="s">
        <v>3848</v>
      </c>
      <c r="H6939" s="397"/>
      <c r="I6939" s="397"/>
      <c r="J6939" s="750" t="e">
        <f t="shared" si="92"/>
        <v>#DIV/0!</v>
      </c>
      <c r="K6939" s="398"/>
      <c r="L6939" s="398"/>
      <c r="M6939" s="682"/>
      <c r="N6939" s="171"/>
      <c r="O6939" s="171"/>
      <c r="P6939" s="171"/>
      <c r="Q6939" s="171"/>
      <c r="R6939" s="171"/>
      <c r="S6939" s="171"/>
      <c r="T6939" s="171"/>
      <c r="U6939" s="171"/>
      <c r="V6939" s="171"/>
      <c r="W6939" s="171"/>
      <c r="X6939" s="171"/>
      <c r="Y6939" s="171"/>
      <c r="Z6939" s="171"/>
      <c r="AA6939" s="171"/>
    </row>
    <row r="6940" spans="1:27" s="530" customFormat="1" ht="13.5" hidden="1" thickBot="1" x14ac:dyDescent="0.25">
      <c r="A6940" s="526"/>
      <c r="B6940" s="527"/>
      <c r="C6940" s="465"/>
      <c r="D6940" s="464"/>
      <c r="E6940" s="464"/>
      <c r="F6940" s="498">
        <v>620</v>
      </c>
      <c r="G6940" s="499" t="s">
        <v>88</v>
      </c>
      <c r="H6940" s="397"/>
      <c r="I6940" s="397"/>
      <c r="J6940" s="750" t="e">
        <f t="shared" si="92"/>
        <v>#DIV/0!</v>
      </c>
      <c r="K6940" s="398"/>
      <c r="L6940" s="398"/>
      <c r="M6940" s="682"/>
      <c r="N6940" s="171"/>
      <c r="O6940" s="171"/>
      <c r="P6940" s="171"/>
      <c r="Q6940" s="171"/>
      <c r="R6940" s="171"/>
      <c r="S6940" s="171"/>
      <c r="T6940" s="171"/>
      <c r="U6940" s="171"/>
      <c r="V6940" s="171"/>
      <c r="W6940" s="171"/>
      <c r="X6940" s="171"/>
      <c r="Y6940" s="171"/>
      <c r="Z6940" s="171"/>
      <c r="AA6940" s="171"/>
    </row>
    <row r="6941" spans="1:27" s="530" customFormat="1" ht="12.75" customHeight="1" x14ac:dyDescent="0.2">
      <c r="A6941" s="526"/>
      <c r="B6941" s="527"/>
      <c r="C6941" s="465"/>
      <c r="D6941" s="464"/>
      <c r="E6941" s="500"/>
      <c r="F6941" s="498"/>
      <c r="G6941" s="501" t="s">
        <v>5128</v>
      </c>
      <c r="H6941" s="400"/>
      <c r="I6941" s="400"/>
      <c r="J6941" s="750"/>
      <c r="K6941" s="401"/>
      <c r="L6941" s="402"/>
      <c r="M6941" s="682"/>
      <c r="N6941" s="171"/>
      <c r="O6941" s="171"/>
      <c r="P6941" s="171"/>
      <c r="Q6941" s="171"/>
      <c r="R6941" s="171"/>
      <c r="S6941" s="171"/>
      <c r="T6941" s="171"/>
      <c r="U6941" s="171"/>
      <c r="V6941" s="171"/>
      <c r="W6941" s="171"/>
      <c r="X6941" s="171"/>
      <c r="Y6941" s="171"/>
      <c r="Z6941" s="171"/>
      <c r="AA6941" s="171"/>
    </row>
    <row r="6942" spans="1:27" s="530" customFormat="1" ht="12.75" customHeight="1" x14ac:dyDescent="0.2">
      <c r="A6942" s="526"/>
      <c r="B6942" s="527"/>
      <c r="C6942" s="465"/>
      <c r="D6942" s="464"/>
      <c r="E6942" s="502"/>
      <c r="F6942" s="503" t="s">
        <v>234</v>
      </c>
      <c r="G6942" s="504" t="s">
        <v>235</v>
      </c>
      <c r="H6942" s="403">
        <v>2300000</v>
      </c>
      <c r="I6942" s="403">
        <f>SUM(I6889:I6927)</f>
        <v>562684</v>
      </c>
      <c r="J6942" s="750">
        <f t="shared" si="92"/>
        <v>24.464521739130436</v>
      </c>
      <c r="K6942" s="404"/>
      <c r="L6942" s="404"/>
      <c r="M6942" s="682"/>
      <c r="N6942" s="171"/>
      <c r="O6942" s="171"/>
      <c r="P6942" s="171"/>
      <c r="Q6942" s="171"/>
      <c r="R6942" s="171"/>
      <c r="S6942" s="171"/>
      <c r="T6942" s="171"/>
      <c r="U6942" s="171"/>
      <c r="V6942" s="171"/>
      <c r="W6942" s="171"/>
      <c r="X6942" s="171"/>
      <c r="Y6942" s="171"/>
      <c r="Z6942" s="171"/>
      <c r="AA6942" s="171"/>
    </row>
    <row r="6943" spans="1:27" s="530" customFormat="1" hidden="1" x14ac:dyDescent="0.2">
      <c r="A6943" s="526"/>
      <c r="B6943" s="527"/>
      <c r="C6943" s="465"/>
      <c r="D6943" s="464"/>
      <c r="E6943" s="464"/>
      <c r="F6943" s="503" t="s">
        <v>236</v>
      </c>
      <c r="G6943" s="504" t="s">
        <v>237</v>
      </c>
      <c r="H6943" s="397"/>
      <c r="I6943" s="397"/>
      <c r="J6943" s="750" t="e">
        <f t="shared" si="92"/>
        <v>#DIV/0!</v>
      </c>
      <c r="K6943" s="398"/>
      <c r="L6943" s="404"/>
      <c r="M6943" s="682"/>
      <c r="N6943" s="171"/>
      <c r="O6943" s="171"/>
      <c r="P6943" s="171"/>
      <c r="Q6943" s="171"/>
      <c r="R6943" s="171"/>
      <c r="S6943" s="171"/>
      <c r="T6943" s="171"/>
      <c r="U6943" s="171"/>
      <c r="V6943" s="171"/>
      <c r="W6943" s="171"/>
      <c r="X6943" s="171"/>
      <c r="Y6943" s="171"/>
      <c r="Z6943" s="171"/>
      <c r="AA6943" s="171"/>
    </row>
    <row r="6944" spans="1:27" s="530" customFormat="1" hidden="1" x14ac:dyDescent="0.2">
      <c r="A6944" s="526"/>
      <c r="B6944" s="527"/>
      <c r="C6944" s="465"/>
      <c r="D6944" s="464"/>
      <c r="E6944" s="464"/>
      <c r="F6944" s="503" t="s">
        <v>238</v>
      </c>
      <c r="G6944" s="504" t="s">
        <v>239</v>
      </c>
      <c r="H6944" s="397"/>
      <c r="I6944" s="397"/>
      <c r="J6944" s="750" t="e">
        <f t="shared" si="92"/>
        <v>#DIV/0!</v>
      </c>
      <c r="K6944" s="398"/>
      <c r="L6944" s="404"/>
      <c r="M6944" s="682"/>
      <c r="N6944" s="171"/>
      <c r="O6944" s="171"/>
      <c r="P6944" s="171"/>
      <c r="Q6944" s="171"/>
      <c r="R6944" s="171"/>
      <c r="S6944" s="171"/>
      <c r="T6944" s="171"/>
      <c r="U6944" s="171"/>
      <c r="V6944" s="171"/>
      <c r="W6944" s="171"/>
      <c r="X6944" s="171"/>
      <c r="Y6944" s="171"/>
      <c r="Z6944" s="171"/>
      <c r="AA6944" s="171"/>
    </row>
    <row r="6945" spans="1:27" s="530" customFormat="1" hidden="1" x14ac:dyDescent="0.2">
      <c r="A6945" s="526"/>
      <c r="B6945" s="527"/>
      <c r="C6945" s="465"/>
      <c r="D6945" s="464"/>
      <c r="E6945" s="464"/>
      <c r="F6945" s="503" t="s">
        <v>240</v>
      </c>
      <c r="G6945" s="504" t="s">
        <v>241</v>
      </c>
      <c r="H6945" s="397"/>
      <c r="I6945" s="397"/>
      <c r="J6945" s="750" t="e">
        <f t="shared" si="92"/>
        <v>#DIV/0!</v>
      </c>
      <c r="K6945" s="398"/>
      <c r="L6945" s="404"/>
      <c r="M6945" s="682"/>
      <c r="N6945" s="171"/>
      <c r="O6945" s="171"/>
      <c r="P6945" s="171"/>
      <c r="Q6945" s="171"/>
      <c r="R6945" s="171"/>
      <c r="S6945" s="171"/>
      <c r="T6945" s="171"/>
      <c r="U6945" s="171"/>
      <c r="V6945" s="171"/>
      <c r="W6945" s="171"/>
      <c r="X6945" s="171"/>
      <c r="Y6945" s="171"/>
      <c r="Z6945" s="171"/>
      <c r="AA6945" s="171"/>
    </row>
    <row r="6946" spans="1:27" s="530" customFormat="1" hidden="1" x14ac:dyDescent="0.2">
      <c r="A6946" s="526"/>
      <c r="B6946" s="527"/>
      <c r="C6946" s="465"/>
      <c r="D6946" s="464"/>
      <c r="E6946" s="464"/>
      <c r="F6946" s="503" t="s">
        <v>242</v>
      </c>
      <c r="G6946" s="504" t="s">
        <v>243</v>
      </c>
      <c r="H6946" s="397"/>
      <c r="I6946" s="397"/>
      <c r="J6946" s="750" t="e">
        <f t="shared" si="92"/>
        <v>#DIV/0!</v>
      </c>
      <c r="K6946" s="398"/>
      <c r="L6946" s="404"/>
      <c r="M6946" s="682"/>
      <c r="N6946" s="171"/>
      <c r="O6946" s="171"/>
      <c r="P6946" s="171"/>
      <c r="Q6946" s="171"/>
      <c r="R6946" s="171"/>
      <c r="S6946" s="171"/>
      <c r="T6946" s="171"/>
      <c r="U6946" s="171"/>
      <c r="V6946" s="171"/>
      <c r="W6946" s="171"/>
      <c r="X6946" s="171"/>
      <c r="Y6946" s="171"/>
      <c r="Z6946" s="171"/>
      <c r="AA6946" s="171"/>
    </row>
    <row r="6947" spans="1:27" s="530" customFormat="1" hidden="1" x14ac:dyDescent="0.2">
      <c r="A6947" s="526"/>
      <c r="B6947" s="527"/>
      <c r="C6947" s="465"/>
      <c r="D6947" s="464"/>
      <c r="E6947" s="464"/>
      <c r="F6947" s="503" t="s">
        <v>244</v>
      </c>
      <c r="G6947" s="504" t="s">
        <v>245</v>
      </c>
      <c r="H6947" s="397"/>
      <c r="I6947" s="397"/>
      <c r="J6947" s="750" t="e">
        <f t="shared" si="92"/>
        <v>#DIV/0!</v>
      </c>
      <c r="K6947" s="398"/>
      <c r="L6947" s="404"/>
      <c r="M6947" s="682"/>
      <c r="N6947" s="171"/>
      <c r="O6947" s="171"/>
      <c r="P6947" s="171"/>
      <c r="Q6947" s="171"/>
      <c r="R6947" s="171"/>
      <c r="S6947" s="171"/>
      <c r="T6947" s="171"/>
      <c r="U6947" s="171"/>
      <c r="V6947" s="171"/>
      <c r="W6947" s="171"/>
      <c r="X6947" s="171"/>
      <c r="Y6947" s="171"/>
      <c r="Z6947" s="171"/>
      <c r="AA6947" s="171"/>
    </row>
    <row r="6948" spans="1:27" s="530" customFormat="1" hidden="1" x14ac:dyDescent="0.2">
      <c r="A6948" s="526"/>
      <c r="B6948" s="527"/>
      <c r="C6948" s="465"/>
      <c r="D6948" s="464"/>
      <c r="E6948" s="464"/>
      <c r="F6948" s="503" t="s">
        <v>246</v>
      </c>
      <c r="G6948" s="504" t="s">
        <v>247</v>
      </c>
      <c r="H6948" s="397"/>
      <c r="I6948" s="397"/>
      <c r="J6948" s="750" t="e">
        <f t="shared" si="92"/>
        <v>#DIV/0!</v>
      </c>
      <c r="K6948" s="398"/>
      <c r="L6948" s="404"/>
      <c r="M6948" s="682"/>
      <c r="N6948" s="171"/>
      <c r="O6948" s="171"/>
      <c r="P6948" s="171"/>
      <c r="Q6948" s="171"/>
      <c r="R6948" s="171"/>
      <c r="S6948" s="171"/>
      <c r="T6948" s="171"/>
      <c r="U6948" s="171"/>
      <c r="V6948" s="171"/>
      <c r="W6948" s="171"/>
      <c r="X6948" s="171"/>
      <c r="Y6948" s="171"/>
      <c r="Z6948" s="171"/>
      <c r="AA6948" s="171"/>
    </row>
    <row r="6949" spans="1:27" s="530" customFormat="1" ht="25.5" hidden="1" x14ac:dyDescent="0.2">
      <c r="A6949" s="526"/>
      <c r="B6949" s="527"/>
      <c r="C6949" s="465"/>
      <c r="D6949" s="464"/>
      <c r="E6949" s="464"/>
      <c r="F6949" s="503" t="s">
        <v>248</v>
      </c>
      <c r="G6949" s="504" t="s">
        <v>249</v>
      </c>
      <c r="H6949" s="397"/>
      <c r="I6949" s="397"/>
      <c r="J6949" s="750" t="e">
        <f t="shared" si="92"/>
        <v>#DIV/0!</v>
      </c>
      <c r="K6949" s="398"/>
      <c r="L6949" s="404"/>
      <c r="M6949" s="682"/>
      <c r="N6949" s="171"/>
      <c r="O6949" s="171"/>
      <c r="P6949" s="171"/>
      <c r="Q6949" s="171"/>
      <c r="R6949" s="171"/>
      <c r="S6949" s="171"/>
      <c r="T6949" s="171"/>
      <c r="U6949" s="171"/>
      <c r="V6949" s="171"/>
      <c r="W6949" s="171"/>
      <c r="X6949" s="171"/>
      <c r="Y6949" s="171"/>
      <c r="Z6949" s="171"/>
      <c r="AA6949" s="171"/>
    </row>
    <row r="6950" spans="1:27" hidden="1" x14ac:dyDescent="0.2">
      <c r="F6950" s="503" t="s">
        <v>250</v>
      </c>
      <c r="G6950" s="504" t="s">
        <v>57</v>
      </c>
      <c r="H6950" s="397"/>
      <c r="I6950" s="397"/>
      <c r="J6950" s="750" t="e">
        <f t="shared" si="92"/>
        <v>#DIV/0!</v>
      </c>
      <c r="K6950" s="398"/>
      <c r="L6950" s="404"/>
      <c r="M6950" s="682"/>
    </row>
    <row r="6951" spans="1:27" hidden="1" x14ac:dyDescent="0.2">
      <c r="F6951" s="503" t="s">
        <v>251</v>
      </c>
      <c r="G6951" s="504" t="s">
        <v>252</v>
      </c>
      <c r="H6951" s="397"/>
      <c r="I6951" s="397"/>
      <c r="J6951" s="750" t="e">
        <f t="shared" si="92"/>
        <v>#DIV/0!</v>
      </c>
      <c r="K6951" s="398"/>
      <c r="L6951" s="404"/>
      <c r="M6951" s="682"/>
    </row>
    <row r="6952" spans="1:27" hidden="1" x14ac:dyDescent="0.2">
      <c r="F6952" s="503" t="s">
        <v>253</v>
      </c>
      <c r="G6952" s="504" t="s">
        <v>254</v>
      </c>
      <c r="H6952" s="397"/>
      <c r="I6952" s="397"/>
      <c r="J6952" s="750" t="e">
        <f t="shared" si="92"/>
        <v>#DIV/0!</v>
      </c>
      <c r="K6952" s="398"/>
      <c r="L6952" s="404"/>
      <c r="M6952" s="682"/>
    </row>
    <row r="6953" spans="1:27" ht="12.75" customHeight="1" x14ac:dyDescent="0.2">
      <c r="F6953" s="549" t="s">
        <v>240</v>
      </c>
      <c r="G6953" s="504" t="s">
        <v>241</v>
      </c>
      <c r="H6953" s="397"/>
      <c r="I6953" s="397"/>
      <c r="J6953" s="750"/>
      <c r="K6953" s="398"/>
      <c r="L6953" s="404">
        <v>21956.49</v>
      </c>
      <c r="M6953" s="682"/>
    </row>
    <row r="6954" spans="1:27" ht="13.5" customHeight="1" thickBot="1" x14ac:dyDescent="0.25">
      <c r="F6954" s="503" t="s">
        <v>257</v>
      </c>
      <c r="G6954" s="504" t="s">
        <v>258</v>
      </c>
      <c r="H6954" s="397">
        <v>508029.26</v>
      </c>
      <c r="I6954" s="397"/>
      <c r="J6954" s="750">
        <f t="shared" si="92"/>
        <v>0</v>
      </c>
      <c r="K6954" s="398"/>
      <c r="L6954" s="404">
        <v>4647</v>
      </c>
      <c r="M6954" s="682"/>
    </row>
    <row r="6955" spans="1:27" ht="17.25" hidden="1" customHeight="1" x14ac:dyDescent="0.2">
      <c r="F6955" s="503" t="s">
        <v>259</v>
      </c>
      <c r="G6955" s="504" t="s">
        <v>260</v>
      </c>
      <c r="H6955" s="397"/>
      <c r="I6955" s="397"/>
      <c r="J6955" s="750" t="e">
        <f t="shared" si="92"/>
        <v>#DIV/0!</v>
      </c>
      <c r="K6955" s="398"/>
      <c r="L6955" s="404"/>
      <c r="M6955" s="682"/>
    </row>
    <row r="6956" spans="1:27" ht="14.25" hidden="1" customHeight="1" x14ac:dyDescent="0.2">
      <c r="F6956" s="503" t="s">
        <v>261</v>
      </c>
      <c r="G6956" s="504" t="s">
        <v>262</v>
      </c>
      <c r="H6956" s="397"/>
      <c r="I6956" s="397"/>
      <c r="J6956" s="750" t="e">
        <f t="shared" si="92"/>
        <v>#DIV/0!</v>
      </c>
      <c r="K6956" s="398"/>
      <c r="L6956" s="404"/>
      <c r="M6956" s="682"/>
    </row>
    <row r="6957" spans="1:27" ht="16.5" hidden="1" customHeight="1" thickBot="1" x14ac:dyDescent="0.25">
      <c r="F6957" s="503" t="s">
        <v>263</v>
      </c>
      <c r="G6957" s="504" t="s">
        <v>264</v>
      </c>
      <c r="H6957" s="403"/>
      <c r="I6957" s="403"/>
      <c r="J6957" s="750" t="e">
        <f t="shared" si="92"/>
        <v>#DIV/0!</v>
      </c>
      <c r="K6957" s="404"/>
      <c r="L6957" s="404"/>
      <c r="M6957" s="682"/>
    </row>
    <row r="6958" spans="1:27" ht="12.75" customHeight="1" thickBot="1" x14ac:dyDescent="0.25">
      <c r="G6958" s="505" t="s">
        <v>5130</v>
      </c>
      <c r="H6958" s="405">
        <f>SUM(H6942:H6957)</f>
        <v>2808029.26</v>
      </c>
      <c r="I6958" s="405">
        <f>SUM(I6942)</f>
        <v>562684</v>
      </c>
      <c r="J6958" s="750">
        <f t="shared" si="92"/>
        <v>20.038395183959018</v>
      </c>
      <c r="K6958" s="406">
        <f>SUM(K6943:K6957)</f>
        <v>0</v>
      </c>
      <c r="L6958" s="406">
        <f>SUM(L6953:L6957)</f>
        <v>26603.49</v>
      </c>
      <c r="M6958" s="682"/>
    </row>
    <row r="6959" spans="1:27" ht="25.5" hidden="1" x14ac:dyDescent="0.2">
      <c r="E6959" s="500"/>
      <c r="F6959" s="498"/>
      <c r="G6959" s="506" t="s">
        <v>4276</v>
      </c>
      <c r="H6959" s="407"/>
      <c r="I6959" s="408"/>
      <c r="J6959" s="750" t="e">
        <f t="shared" si="92"/>
        <v>#DIV/0!</v>
      </c>
      <c r="K6959" s="409"/>
      <c r="L6959" s="410"/>
      <c r="M6959" s="682"/>
    </row>
    <row r="6960" spans="1:27" ht="12.75" customHeight="1" x14ac:dyDescent="0.2">
      <c r="E6960" s="502"/>
      <c r="F6960" s="503" t="s">
        <v>234</v>
      </c>
      <c r="G6960" s="504" t="s">
        <v>235</v>
      </c>
      <c r="H6960" s="403">
        <v>2300000</v>
      </c>
      <c r="I6960" s="403">
        <f>SUM(I6942)</f>
        <v>562684</v>
      </c>
      <c r="J6960" s="750">
        <f t="shared" si="92"/>
        <v>24.464521739130436</v>
      </c>
      <c r="K6960" s="404"/>
      <c r="L6960" s="404"/>
      <c r="M6960" s="682"/>
    </row>
    <row r="6961" spans="6:14" hidden="1" x14ac:dyDescent="0.2">
      <c r="F6961" s="503" t="s">
        <v>236</v>
      </c>
      <c r="G6961" s="504" t="s">
        <v>237</v>
      </c>
      <c r="H6961" s="397"/>
      <c r="I6961" s="397"/>
      <c r="J6961" s="750" t="e">
        <f t="shared" si="92"/>
        <v>#DIV/0!</v>
      </c>
      <c r="K6961" s="398"/>
      <c r="L6961" s="404"/>
      <c r="M6961" s="682"/>
    </row>
    <row r="6962" spans="6:14" hidden="1" x14ac:dyDescent="0.2">
      <c r="F6962" s="503" t="s">
        <v>238</v>
      </c>
      <c r="G6962" s="504" t="s">
        <v>239</v>
      </c>
      <c r="H6962" s="397"/>
      <c r="I6962" s="397"/>
      <c r="J6962" s="750" t="e">
        <f t="shared" si="92"/>
        <v>#DIV/0!</v>
      </c>
      <c r="K6962" s="398"/>
      <c r="L6962" s="404"/>
      <c r="M6962" s="682"/>
    </row>
    <row r="6963" spans="6:14" hidden="1" x14ac:dyDescent="0.2">
      <c r="F6963" s="503" t="s">
        <v>240</v>
      </c>
      <c r="G6963" s="504" t="s">
        <v>241</v>
      </c>
      <c r="H6963" s="397"/>
      <c r="I6963" s="397"/>
      <c r="J6963" s="750" t="e">
        <f t="shared" si="92"/>
        <v>#DIV/0!</v>
      </c>
      <c r="K6963" s="398"/>
      <c r="L6963" s="404"/>
      <c r="M6963" s="682"/>
    </row>
    <row r="6964" spans="6:14" hidden="1" x14ac:dyDescent="0.2">
      <c r="F6964" s="503" t="s">
        <v>242</v>
      </c>
      <c r="G6964" s="504" t="s">
        <v>243</v>
      </c>
      <c r="H6964" s="397"/>
      <c r="I6964" s="397"/>
      <c r="J6964" s="750" t="e">
        <f t="shared" si="92"/>
        <v>#DIV/0!</v>
      </c>
      <c r="K6964" s="398"/>
      <c r="L6964" s="404"/>
      <c r="M6964" s="682"/>
    </row>
    <row r="6965" spans="6:14" hidden="1" x14ac:dyDescent="0.2">
      <c r="F6965" s="503" t="s">
        <v>244</v>
      </c>
      <c r="G6965" s="504" t="s">
        <v>245</v>
      </c>
      <c r="H6965" s="397"/>
      <c r="I6965" s="397"/>
      <c r="J6965" s="750" t="e">
        <f t="shared" si="92"/>
        <v>#DIV/0!</v>
      </c>
      <c r="K6965" s="398"/>
      <c r="L6965" s="404"/>
      <c r="M6965" s="682"/>
    </row>
    <row r="6966" spans="6:14" hidden="1" x14ac:dyDescent="0.2">
      <c r="F6966" s="503" t="s">
        <v>246</v>
      </c>
      <c r="G6966" s="504" t="s">
        <v>247</v>
      </c>
      <c r="H6966" s="397"/>
      <c r="I6966" s="397"/>
      <c r="J6966" s="750" t="e">
        <f t="shared" si="92"/>
        <v>#DIV/0!</v>
      </c>
      <c r="K6966" s="398"/>
      <c r="L6966" s="404"/>
      <c r="M6966" s="682"/>
    </row>
    <row r="6967" spans="6:14" ht="25.5" hidden="1" x14ac:dyDescent="0.2">
      <c r="F6967" s="503" t="s">
        <v>248</v>
      </c>
      <c r="G6967" s="504" t="s">
        <v>249</v>
      </c>
      <c r="H6967" s="397"/>
      <c r="I6967" s="397"/>
      <c r="J6967" s="750" t="e">
        <f t="shared" si="92"/>
        <v>#DIV/0!</v>
      </c>
      <c r="K6967" s="398"/>
      <c r="L6967" s="404"/>
      <c r="M6967" s="682"/>
    </row>
    <row r="6968" spans="6:14" hidden="1" x14ac:dyDescent="0.2">
      <c r="F6968" s="503" t="s">
        <v>250</v>
      </c>
      <c r="G6968" s="504" t="s">
        <v>57</v>
      </c>
      <c r="H6968" s="397"/>
      <c r="I6968" s="397"/>
      <c r="J6968" s="750" t="e">
        <f t="shared" si="92"/>
        <v>#DIV/0!</v>
      </c>
      <c r="K6968" s="398"/>
      <c r="L6968" s="404"/>
      <c r="M6968" s="682"/>
    </row>
    <row r="6969" spans="6:14" hidden="1" x14ac:dyDescent="0.2">
      <c r="F6969" s="503" t="s">
        <v>251</v>
      </c>
      <c r="G6969" s="504" t="s">
        <v>252</v>
      </c>
      <c r="H6969" s="397"/>
      <c r="I6969" s="397"/>
      <c r="J6969" s="750" t="e">
        <f t="shared" si="92"/>
        <v>#DIV/0!</v>
      </c>
      <c r="K6969" s="398"/>
      <c r="L6969" s="404"/>
      <c r="M6969" s="682"/>
    </row>
    <row r="6970" spans="6:14" hidden="1" x14ac:dyDescent="0.2">
      <c r="F6970" s="503" t="s">
        <v>253</v>
      </c>
      <c r="G6970" s="504" t="s">
        <v>254</v>
      </c>
      <c r="H6970" s="397"/>
      <c r="I6970" s="397"/>
      <c r="J6970" s="750" t="e">
        <f t="shared" si="92"/>
        <v>#DIV/0!</v>
      </c>
      <c r="K6970" s="398"/>
      <c r="L6970" s="404"/>
      <c r="M6970" s="682"/>
    </row>
    <row r="6971" spans="6:14" ht="18" customHeight="1" x14ac:dyDescent="0.2">
      <c r="F6971" s="549" t="s">
        <v>240</v>
      </c>
      <c r="G6971" s="504" t="s">
        <v>241</v>
      </c>
      <c r="H6971" s="397"/>
      <c r="I6971" s="397"/>
      <c r="J6971" s="750"/>
      <c r="K6971" s="398"/>
      <c r="L6971" s="404">
        <v>21956.49</v>
      </c>
      <c r="M6971" s="682"/>
      <c r="N6971" s="399"/>
    </row>
    <row r="6972" spans="6:14" ht="13.5" customHeight="1" thickBot="1" x14ac:dyDescent="0.25">
      <c r="F6972" s="503" t="s">
        <v>257</v>
      </c>
      <c r="G6972" s="504" t="s">
        <v>258</v>
      </c>
      <c r="H6972" s="397">
        <v>508029</v>
      </c>
      <c r="I6972" s="397"/>
      <c r="J6972" s="750">
        <f t="shared" si="92"/>
        <v>0</v>
      </c>
      <c r="K6972" s="398"/>
      <c r="L6972" s="404">
        <v>4647</v>
      </c>
      <c r="M6972" s="682"/>
    </row>
    <row r="6973" spans="6:14" ht="13.5" hidden="1" customHeight="1" x14ac:dyDescent="0.2">
      <c r="F6973" s="503" t="s">
        <v>259</v>
      </c>
      <c r="G6973" s="504" t="s">
        <v>260</v>
      </c>
      <c r="H6973" s="397"/>
      <c r="I6973" s="397"/>
      <c r="J6973" s="750" t="e">
        <f t="shared" si="92"/>
        <v>#DIV/0!</v>
      </c>
      <c r="K6973" s="398"/>
      <c r="L6973" s="404"/>
      <c r="M6973" s="682"/>
    </row>
    <row r="6974" spans="6:14" ht="18.75" hidden="1" customHeight="1" x14ac:dyDescent="0.2">
      <c r="F6974" s="503" t="s">
        <v>261</v>
      </c>
      <c r="G6974" s="504" t="s">
        <v>262</v>
      </c>
      <c r="H6974" s="397"/>
      <c r="I6974" s="397"/>
      <c r="J6974" s="750" t="e">
        <f t="shared" si="92"/>
        <v>#DIV/0!</v>
      </c>
      <c r="K6974" s="398"/>
      <c r="L6974" s="404"/>
      <c r="M6974" s="682"/>
    </row>
    <row r="6975" spans="6:14" ht="18.75" hidden="1" customHeight="1" thickBot="1" x14ac:dyDescent="0.25">
      <c r="F6975" s="503" t="s">
        <v>263</v>
      </c>
      <c r="G6975" s="504" t="s">
        <v>264</v>
      </c>
      <c r="H6975" s="403"/>
      <c r="I6975" s="403"/>
      <c r="J6975" s="750" t="e">
        <f t="shared" si="92"/>
        <v>#DIV/0!</v>
      </c>
      <c r="K6975" s="404"/>
      <c r="L6975" s="404"/>
      <c r="M6975" s="682"/>
    </row>
    <row r="6976" spans="6:14" ht="13.5" thickBot="1" x14ac:dyDescent="0.25">
      <c r="G6976" s="505" t="s">
        <v>4328</v>
      </c>
      <c r="H6976" s="405">
        <f>SUM(H6960:H6975)</f>
        <v>2808029</v>
      </c>
      <c r="I6976" s="405">
        <f>SUM(I6960)</f>
        <v>562684</v>
      </c>
      <c r="J6976" s="750">
        <f t="shared" si="92"/>
        <v>20.038397039346815</v>
      </c>
      <c r="K6976" s="406">
        <f>SUM(K6961:K6975)</f>
        <v>0</v>
      </c>
      <c r="L6976" s="406">
        <f>SUM(L6971:L6975)</f>
        <v>26603.49</v>
      </c>
      <c r="M6976" s="682"/>
    </row>
    <row r="6977" spans="5:13" hidden="1" x14ac:dyDescent="0.2">
      <c r="H6977" s="397"/>
      <c r="I6977" s="397"/>
      <c r="J6977" s="750" t="e">
        <f t="shared" si="92"/>
        <v>#DIV/0!</v>
      </c>
      <c r="K6977" s="398"/>
      <c r="L6977" s="398"/>
      <c r="M6977" s="682"/>
    </row>
    <row r="6978" spans="5:13" ht="12.75" customHeight="1" x14ac:dyDescent="0.2">
      <c r="E6978" s="500"/>
      <c r="F6978" s="498"/>
      <c r="G6978" s="511" t="s">
        <v>4247</v>
      </c>
      <c r="H6978" s="413"/>
      <c r="I6978" s="413"/>
      <c r="J6978" s="750"/>
      <c r="K6978" s="414"/>
      <c r="L6978" s="415"/>
      <c r="M6978" s="682"/>
    </row>
    <row r="6979" spans="5:13" ht="13.5" customHeight="1" x14ac:dyDescent="0.2">
      <c r="E6979" s="502"/>
      <c r="F6979" s="503" t="s">
        <v>234</v>
      </c>
      <c r="G6979" s="504" t="s">
        <v>235</v>
      </c>
      <c r="H6979" s="403">
        <f>SUM(H6960)</f>
        <v>2300000</v>
      </c>
      <c r="I6979" s="403">
        <f>SUM(I6976)</f>
        <v>562684</v>
      </c>
      <c r="J6979" s="750">
        <f t="shared" si="92"/>
        <v>24.464521739130436</v>
      </c>
      <c r="K6979" s="404"/>
      <c r="L6979" s="404"/>
      <c r="M6979" s="682"/>
    </row>
    <row r="6980" spans="5:13" hidden="1" x14ac:dyDescent="0.2">
      <c r="F6980" s="503" t="s">
        <v>236</v>
      </c>
      <c r="G6980" s="504" t="s">
        <v>237</v>
      </c>
      <c r="H6980" s="397"/>
      <c r="I6980" s="397"/>
      <c r="J6980" s="750" t="e">
        <f t="shared" si="92"/>
        <v>#DIV/0!</v>
      </c>
      <c r="K6980" s="398"/>
      <c r="L6980" s="404"/>
      <c r="M6980" s="682"/>
    </row>
    <row r="6981" spans="5:13" hidden="1" x14ac:dyDescent="0.2">
      <c r="F6981" s="503" t="s">
        <v>238</v>
      </c>
      <c r="G6981" s="504" t="s">
        <v>239</v>
      </c>
      <c r="H6981" s="397"/>
      <c r="I6981" s="397"/>
      <c r="J6981" s="750" t="e">
        <f t="shared" si="92"/>
        <v>#DIV/0!</v>
      </c>
      <c r="K6981" s="398"/>
      <c r="L6981" s="404"/>
      <c r="M6981" s="682"/>
    </row>
    <row r="6982" spans="5:13" hidden="1" x14ac:dyDescent="0.2">
      <c r="F6982" s="503" t="s">
        <v>240</v>
      </c>
      <c r="G6982" s="504" t="s">
        <v>241</v>
      </c>
      <c r="H6982" s="397"/>
      <c r="I6982" s="397"/>
      <c r="J6982" s="750" t="e">
        <f t="shared" si="92"/>
        <v>#DIV/0!</v>
      </c>
      <c r="K6982" s="398"/>
      <c r="L6982" s="404"/>
      <c r="M6982" s="682"/>
    </row>
    <row r="6983" spans="5:13" hidden="1" x14ac:dyDescent="0.2">
      <c r="F6983" s="503" t="s">
        <v>242</v>
      </c>
      <c r="G6983" s="504" t="s">
        <v>243</v>
      </c>
      <c r="H6983" s="397"/>
      <c r="I6983" s="397"/>
      <c r="J6983" s="750" t="e">
        <f t="shared" si="92"/>
        <v>#DIV/0!</v>
      </c>
      <c r="K6983" s="398"/>
      <c r="L6983" s="404"/>
      <c r="M6983" s="682"/>
    </row>
    <row r="6984" spans="5:13" hidden="1" x14ac:dyDescent="0.2">
      <c r="F6984" s="503" t="s">
        <v>244</v>
      </c>
      <c r="G6984" s="504" t="s">
        <v>245</v>
      </c>
      <c r="H6984" s="397"/>
      <c r="I6984" s="397"/>
      <c r="J6984" s="750" t="e">
        <f t="shared" si="92"/>
        <v>#DIV/0!</v>
      </c>
      <c r="K6984" s="398"/>
      <c r="L6984" s="404"/>
      <c r="M6984" s="682"/>
    </row>
    <row r="6985" spans="5:13" hidden="1" x14ac:dyDescent="0.2">
      <c r="F6985" s="503" t="s">
        <v>246</v>
      </c>
      <c r="G6985" s="504" t="s">
        <v>247</v>
      </c>
      <c r="H6985" s="397"/>
      <c r="I6985" s="397"/>
      <c r="J6985" s="750" t="e">
        <f t="shared" si="92"/>
        <v>#DIV/0!</v>
      </c>
      <c r="K6985" s="398"/>
      <c r="L6985" s="404"/>
      <c r="M6985" s="682"/>
    </row>
    <row r="6986" spans="5:13" ht="25.5" hidden="1" x14ac:dyDescent="0.2">
      <c r="F6986" s="503" t="s">
        <v>248</v>
      </c>
      <c r="G6986" s="504" t="s">
        <v>249</v>
      </c>
      <c r="H6986" s="397"/>
      <c r="I6986" s="397"/>
      <c r="J6986" s="750" t="e">
        <f t="shared" si="92"/>
        <v>#DIV/0!</v>
      </c>
      <c r="K6986" s="398"/>
      <c r="L6986" s="404"/>
      <c r="M6986" s="682"/>
    </row>
    <row r="6987" spans="5:13" hidden="1" x14ac:dyDescent="0.2">
      <c r="F6987" s="503" t="s">
        <v>250</v>
      </c>
      <c r="G6987" s="504" t="s">
        <v>57</v>
      </c>
      <c r="H6987" s="397"/>
      <c r="I6987" s="397"/>
      <c r="J6987" s="750" t="e">
        <f t="shared" si="92"/>
        <v>#DIV/0!</v>
      </c>
      <c r="K6987" s="398"/>
      <c r="L6987" s="404"/>
      <c r="M6987" s="682"/>
    </row>
    <row r="6988" spans="5:13" hidden="1" x14ac:dyDescent="0.2">
      <c r="F6988" s="503" t="s">
        <v>251</v>
      </c>
      <c r="G6988" s="504" t="s">
        <v>252</v>
      </c>
      <c r="H6988" s="397"/>
      <c r="I6988" s="397"/>
      <c r="J6988" s="750" t="e">
        <f t="shared" si="92"/>
        <v>#DIV/0!</v>
      </c>
      <c r="K6988" s="398"/>
      <c r="L6988" s="404"/>
      <c r="M6988" s="682"/>
    </row>
    <row r="6989" spans="5:13" hidden="1" x14ac:dyDescent="0.2">
      <c r="F6989" s="503" t="s">
        <v>253</v>
      </c>
      <c r="G6989" s="504" t="s">
        <v>254</v>
      </c>
      <c r="H6989" s="397"/>
      <c r="I6989" s="397"/>
      <c r="J6989" s="750" t="e">
        <f t="shared" ref="J6989:J7052" si="93">SUM(I6989/H6989)*100</f>
        <v>#DIV/0!</v>
      </c>
      <c r="K6989" s="398"/>
      <c r="L6989" s="404"/>
      <c r="M6989" s="682"/>
    </row>
    <row r="6990" spans="5:13" ht="13.5" customHeight="1" x14ac:dyDescent="0.2">
      <c r="F6990" s="549" t="s">
        <v>240</v>
      </c>
      <c r="G6990" s="504" t="s">
        <v>241</v>
      </c>
      <c r="H6990" s="397"/>
      <c r="I6990" s="397"/>
      <c r="J6990" s="750"/>
      <c r="K6990" s="398"/>
      <c r="L6990" s="404">
        <v>21956.49</v>
      </c>
      <c r="M6990" s="682"/>
    </row>
    <row r="6991" spans="5:13" ht="13.5" customHeight="1" thickBot="1" x14ac:dyDescent="0.25">
      <c r="F6991" s="503" t="s">
        <v>257</v>
      </c>
      <c r="G6991" s="504" t="s">
        <v>258</v>
      </c>
      <c r="H6991" s="397">
        <v>508029</v>
      </c>
      <c r="I6991" s="397"/>
      <c r="J6991" s="750">
        <f t="shared" si="93"/>
        <v>0</v>
      </c>
      <c r="K6991" s="398"/>
      <c r="L6991" s="404">
        <v>4647</v>
      </c>
      <c r="M6991" s="682"/>
    </row>
    <row r="6992" spans="5:13" ht="15.75" hidden="1" customHeight="1" x14ac:dyDescent="0.2">
      <c r="F6992" s="503" t="s">
        <v>259</v>
      </c>
      <c r="G6992" s="504" t="s">
        <v>260</v>
      </c>
      <c r="H6992" s="397"/>
      <c r="I6992" s="397"/>
      <c r="J6992" s="750" t="e">
        <f t="shared" si="93"/>
        <v>#DIV/0!</v>
      </c>
      <c r="K6992" s="398"/>
      <c r="L6992" s="404"/>
      <c r="M6992" s="682"/>
    </row>
    <row r="6993" spans="3:13" ht="13.5" hidden="1" customHeight="1" x14ac:dyDescent="0.2">
      <c r="F6993" s="503" t="s">
        <v>261</v>
      </c>
      <c r="G6993" s="504" t="s">
        <v>262</v>
      </c>
      <c r="H6993" s="397"/>
      <c r="I6993" s="397"/>
      <c r="J6993" s="750" t="e">
        <f t="shared" si="93"/>
        <v>#DIV/0!</v>
      </c>
      <c r="K6993" s="398"/>
      <c r="L6993" s="404"/>
      <c r="M6993" s="682"/>
    </row>
    <row r="6994" spans="3:13" ht="12.75" hidden="1" customHeight="1" thickBot="1" x14ac:dyDescent="0.25">
      <c r="F6994" s="503" t="s">
        <v>263</v>
      </c>
      <c r="G6994" s="504" t="s">
        <v>264</v>
      </c>
      <c r="H6994" s="403"/>
      <c r="I6994" s="403"/>
      <c r="J6994" s="750" t="e">
        <f t="shared" si="93"/>
        <v>#DIV/0!</v>
      </c>
      <c r="K6994" s="404"/>
      <c r="L6994" s="404"/>
      <c r="M6994" s="682"/>
    </row>
    <row r="6995" spans="3:13" ht="13.5" thickBot="1" x14ac:dyDescent="0.25">
      <c r="G6995" s="505" t="s">
        <v>4248</v>
      </c>
      <c r="H6995" s="405">
        <f>SUM(H6979:H6994)</f>
        <v>2808029</v>
      </c>
      <c r="I6995" s="405">
        <f>SUM(I6979)</f>
        <v>562684</v>
      </c>
      <c r="J6995" s="750">
        <f t="shared" si="93"/>
        <v>20.038397039346815</v>
      </c>
      <c r="K6995" s="406">
        <f>SUM(K6980:K6994)</f>
        <v>0</v>
      </c>
      <c r="L6995" s="406">
        <f>SUM(L6990:L6994)</f>
        <v>26603.49</v>
      </c>
      <c r="M6995" s="682"/>
    </row>
    <row r="6996" spans="3:13" hidden="1" x14ac:dyDescent="0.2">
      <c r="H6996" s="397"/>
      <c r="I6996" s="397"/>
      <c r="J6996" s="750" t="e">
        <f t="shared" si="93"/>
        <v>#DIV/0!</v>
      </c>
      <c r="K6996" s="398"/>
      <c r="L6996" s="398"/>
      <c r="M6996" s="682"/>
    </row>
    <row r="6997" spans="3:13" x14ac:dyDescent="0.2">
      <c r="C6997" s="534"/>
      <c r="D6997" s="535"/>
      <c r="E6997" s="535"/>
      <c r="F6997" s="498"/>
      <c r="G6997" s="511" t="s">
        <v>4277</v>
      </c>
      <c r="H6997" s="413"/>
      <c r="I6997" s="413"/>
      <c r="J6997" s="750"/>
      <c r="K6997" s="414"/>
      <c r="L6997" s="415"/>
      <c r="M6997" s="682"/>
    </row>
    <row r="6998" spans="3:13" ht="12" customHeight="1" x14ac:dyDescent="0.2">
      <c r="C6998" s="534"/>
      <c r="D6998" s="535"/>
      <c r="E6998" s="535"/>
      <c r="F6998" s="503" t="s">
        <v>234</v>
      </c>
      <c r="G6998" s="504" t="s">
        <v>235</v>
      </c>
      <c r="H6998" s="403">
        <f>SUM(H6960)</f>
        <v>2300000</v>
      </c>
      <c r="I6998" s="403">
        <f>SUM(I6995)</f>
        <v>562684</v>
      </c>
      <c r="J6998" s="750">
        <f t="shared" si="93"/>
        <v>24.464521739130436</v>
      </c>
      <c r="K6998" s="404"/>
      <c r="L6998" s="404"/>
      <c r="M6998" s="682"/>
    </row>
    <row r="6999" spans="3:13" hidden="1" x14ac:dyDescent="0.2">
      <c r="C6999" s="534"/>
      <c r="D6999" s="535"/>
      <c r="E6999" s="535"/>
      <c r="F6999" s="503" t="s">
        <v>236</v>
      </c>
      <c r="G6999" s="504" t="s">
        <v>237</v>
      </c>
      <c r="H6999" s="397"/>
      <c r="I6999" s="397"/>
      <c r="J6999" s="750" t="e">
        <f t="shared" si="93"/>
        <v>#DIV/0!</v>
      </c>
      <c r="K6999" s="398"/>
      <c r="L6999" s="404"/>
      <c r="M6999" s="682"/>
    </row>
    <row r="7000" spans="3:13" hidden="1" x14ac:dyDescent="0.2">
      <c r="C7000" s="534"/>
      <c r="D7000" s="535"/>
      <c r="E7000" s="535"/>
      <c r="F7000" s="503" t="s">
        <v>238</v>
      </c>
      <c r="G7000" s="504" t="s">
        <v>239</v>
      </c>
      <c r="H7000" s="397"/>
      <c r="I7000" s="397"/>
      <c r="J7000" s="750" t="e">
        <f t="shared" si="93"/>
        <v>#DIV/0!</v>
      </c>
      <c r="K7000" s="398"/>
      <c r="L7000" s="404"/>
      <c r="M7000" s="682"/>
    </row>
    <row r="7001" spans="3:13" hidden="1" x14ac:dyDescent="0.2">
      <c r="C7001" s="534"/>
      <c r="D7001" s="535"/>
      <c r="E7001" s="535"/>
      <c r="F7001" s="503" t="s">
        <v>240</v>
      </c>
      <c r="G7001" s="504" t="s">
        <v>241</v>
      </c>
      <c r="H7001" s="397"/>
      <c r="I7001" s="397"/>
      <c r="J7001" s="750" t="e">
        <f t="shared" si="93"/>
        <v>#DIV/0!</v>
      </c>
      <c r="K7001" s="398"/>
      <c r="L7001" s="404"/>
      <c r="M7001" s="682"/>
    </row>
    <row r="7002" spans="3:13" hidden="1" x14ac:dyDescent="0.2">
      <c r="C7002" s="534"/>
      <c r="D7002" s="535"/>
      <c r="E7002" s="535"/>
      <c r="F7002" s="503" t="s">
        <v>242</v>
      </c>
      <c r="G7002" s="504" t="s">
        <v>243</v>
      </c>
      <c r="H7002" s="397"/>
      <c r="I7002" s="397"/>
      <c r="J7002" s="750" t="e">
        <f t="shared" si="93"/>
        <v>#DIV/0!</v>
      </c>
      <c r="K7002" s="398"/>
      <c r="L7002" s="404"/>
      <c r="M7002" s="682"/>
    </row>
    <row r="7003" spans="3:13" hidden="1" x14ac:dyDescent="0.2">
      <c r="C7003" s="534"/>
      <c r="D7003" s="535"/>
      <c r="E7003" s="535"/>
      <c r="F7003" s="503" t="s">
        <v>244</v>
      </c>
      <c r="G7003" s="504" t="s">
        <v>245</v>
      </c>
      <c r="H7003" s="397"/>
      <c r="I7003" s="397"/>
      <c r="J7003" s="750" t="e">
        <f t="shared" si="93"/>
        <v>#DIV/0!</v>
      </c>
      <c r="K7003" s="398"/>
      <c r="L7003" s="404"/>
      <c r="M7003" s="682"/>
    </row>
    <row r="7004" spans="3:13" hidden="1" x14ac:dyDescent="0.2">
      <c r="C7004" s="534"/>
      <c r="D7004" s="535"/>
      <c r="E7004" s="535"/>
      <c r="F7004" s="503" t="s">
        <v>246</v>
      </c>
      <c r="G7004" s="504" t="s">
        <v>247</v>
      </c>
      <c r="H7004" s="397"/>
      <c r="I7004" s="397"/>
      <c r="J7004" s="750" t="e">
        <f t="shared" si="93"/>
        <v>#DIV/0!</v>
      </c>
      <c r="K7004" s="398"/>
      <c r="L7004" s="404"/>
      <c r="M7004" s="682"/>
    </row>
    <row r="7005" spans="3:13" ht="25.5" hidden="1" x14ac:dyDescent="0.2">
      <c r="C7005" s="534"/>
      <c r="D7005" s="535"/>
      <c r="E7005" s="535"/>
      <c r="F7005" s="503" t="s">
        <v>248</v>
      </c>
      <c r="G7005" s="504" t="s">
        <v>249</v>
      </c>
      <c r="H7005" s="397"/>
      <c r="I7005" s="397"/>
      <c r="J7005" s="750" t="e">
        <f t="shared" si="93"/>
        <v>#DIV/0!</v>
      </c>
      <c r="K7005" s="398"/>
      <c r="L7005" s="404"/>
      <c r="M7005" s="682"/>
    </row>
    <row r="7006" spans="3:13" hidden="1" x14ac:dyDescent="0.2">
      <c r="C7006" s="534"/>
      <c r="D7006" s="535"/>
      <c r="E7006" s="535"/>
      <c r="F7006" s="503" t="s">
        <v>250</v>
      </c>
      <c r="G7006" s="504" t="s">
        <v>57</v>
      </c>
      <c r="H7006" s="397"/>
      <c r="I7006" s="397"/>
      <c r="J7006" s="750" t="e">
        <f t="shared" si="93"/>
        <v>#DIV/0!</v>
      </c>
      <c r="K7006" s="398"/>
      <c r="L7006" s="404"/>
      <c r="M7006" s="682"/>
    </row>
    <row r="7007" spans="3:13" hidden="1" x14ac:dyDescent="0.2">
      <c r="C7007" s="534"/>
      <c r="D7007" s="535"/>
      <c r="E7007" s="535"/>
      <c r="F7007" s="503" t="s">
        <v>251</v>
      </c>
      <c r="G7007" s="504" t="s">
        <v>252</v>
      </c>
      <c r="H7007" s="397"/>
      <c r="I7007" s="397"/>
      <c r="J7007" s="750" t="e">
        <f t="shared" si="93"/>
        <v>#DIV/0!</v>
      </c>
      <c r="K7007" s="398"/>
      <c r="L7007" s="404"/>
      <c r="M7007" s="682"/>
    </row>
    <row r="7008" spans="3:13" hidden="1" x14ac:dyDescent="0.2">
      <c r="C7008" s="534"/>
      <c r="D7008" s="535"/>
      <c r="E7008" s="535"/>
      <c r="F7008" s="503" t="s">
        <v>253</v>
      </c>
      <c r="G7008" s="504" t="s">
        <v>254</v>
      </c>
      <c r="H7008" s="397"/>
      <c r="I7008" s="397"/>
      <c r="J7008" s="750" t="e">
        <f t="shared" si="93"/>
        <v>#DIV/0!</v>
      </c>
      <c r="K7008" s="398"/>
      <c r="L7008" s="404"/>
      <c r="M7008" s="682"/>
    </row>
    <row r="7009" spans="3:13" ht="13.5" customHeight="1" x14ac:dyDescent="0.2">
      <c r="C7009" s="534"/>
      <c r="D7009" s="535"/>
      <c r="E7009" s="535"/>
      <c r="F7009" s="549" t="s">
        <v>240</v>
      </c>
      <c r="G7009" s="504" t="s">
        <v>241</v>
      </c>
      <c r="H7009" s="397"/>
      <c r="I7009" s="397"/>
      <c r="J7009" s="750"/>
      <c r="K7009" s="398"/>
      <c r="L7009" s="404">
        <v>21956.49</v>
      </c>
      <c r="M7009" s="682"/>
    </row>
    <row r="7010" spans="3:13" ht="12.75" customHeight="1" thickBot="1" x14ac:dyDescent="0.25">
      <c r="C7010" s="534"/>
      <c r="D7010" s="535"/>
      <c r="E7010" s="535"/>
      <c r="F7010" s="503" t="s">
        <v>257</v>
      </c>
      <c r="G7010" s="504" t="s">
        <v>258</v>
      </c>
      <c r="H7010" s="397">
        <v>508029</v>
      </c>
      <c r="I7010" s="397"/>
      <c r="J7010" s="750">
        <f t="shared" si="93"/>
        <v>0</v>
      </c>
      <c r="K7010" s="398"/>
      <c r="L7010" s="404">
        <v>4647</v>
      </c>
      <c r="M7010" s="682"/>
    </row>
    <row r="7011" spans="3:13" ht="12.75" hidden="1" customHeight="1" x14ac:dyDescent="0.2">
      <c r="C7011" s="534"/>
      <c r="D7011" s="535"/>
      <c r="E7011" s="535"/>
      <c r="F7011" s="503" t="s">
        <v>259</v>
      </c>
      <c r="G7011" s="504" t="s">
        <v>260</v>
      </c>
      <c r="H7011" s="397"/>
      <c r="I7011" s="397"/>
      <c r="J7011" s="750" t="e">
        <f t="shared" si="93"/>
        <v>#DIV/0!</v>
      </c>
      <c r="K7011" s="398"/>
      <c r="L7011" s="404"/>
      <c r="M7011" s="682"/>
    </row>
    <row r="7012" spans="3:13" ht="12.75" hidden="1" customHeight="1" x14ac:dyDescent="0.2">
      <c r="C7012" s="534"/>
      <c r="D7012" s="535"/>
      <c r="E7012" s="535"/>
      <c r="F7012" s="503" t="s">
        <v>261</v>
      </c>
      <c r="G7012" s="504" t="s">
        <v>262</v>
      </c>
      <c r="H7012" s="397"/>
      <c r="I7012" s="397"/>
      <c r="J7012" s="750" t="e">
        <f t="shared" si="93"/>
        <v>#DIV/0!</v>
      </c>
      <c r="K7012" s="398"/>
      <c r="L7012" s="404"/>
      <c r="M7012" s="682"/>
    </row>
    <row r="7013" spans="3:13" ht="15.75" hidden="1" customHeight="1" thickBot="1" x14ac:dyDescent="0.25">
      <c r="C7013" s="534"/>
      <c r="D7013" s="535"/>
      <c r="E7013" s="535"/>
      <c r="F7013" s="503" t="s">
        <v>263</v>
      </c>
      <c r="G7013" s="504" t="s">
        <v>264</v>
      </c>
      <c r="H7013" s="403"/>
      <c r="I7013" s="403"/>
      <c r="J7013" s="750" t="e">
        <f t="shared" si="93"/>
        <v>#DIV/0!</v>
      </c>
      <c r="K7013" s="404"/>
      <c r="L7013" s="404"/>
      <c r="M7013" s="682"/>
    </row>
    <row r="7014" spans="3:13" ht="13.5" customHeight="1" thickBot="1" x14ac:dyDescent="0.25">
      <c r="C7014" s="534"/>
      <c r="D7014" s="535"/>
      <c r="E7014" s="535"/>
      <c r="G7014" s="505" t="s">
        <v>4278</v>
      </c>
      <c r="H7014" s="405">
        <f>SUM(H6998:H7013)</f>
        <v>2808029</v>
      </c>
      <c r="I7014" s="405">
        <f>SUM(I6998)</f>
        <v>562684</v>
      </c>
      <c r="J7014" s="750">
        <f t="shared" si="93"/>
        <v>20.038397039346815</v>
      </c>
      <c r="K7014" s="406">
        <f>SUM(K6999:K7013)</f>
        <v>0</v>
      </c>
      <c r="L7014" s="406">
        <f>SUM(L7009:L7013)</f>
        <v>26603.49</v>
      </c>
      <c r="M7014" s="682"/>
    </row>
    <row r="7015" spans="3:13" hidden="1" x14ac:dyDescent="0.2">
      <c r="C7015" s="224"/>
      <c r="D7015" s="224"/>
      <c r="E7015" s="224"/>
      <c r="F7015" s="224"/>
      <c r="G7015" s="224"/>
      <c r="H7015" s="439"/>
      <c r="I7015" s="439"/>
      <c r="J7015" s="750" t="e">
        <f t="shared" si="93"/>
        <v>#DIV/0!</v>
      </c>
      <c r="K7015" s="439"/>
      <c r="L7015" s="439"/>
      <c r="M7015" s="682"/>
    </row>
    <row r="7016" spans="3:13" hidden="1" x14ac:dyDescent="0.2">
      <c r="C7016" s="224"/>
      <c r="D7016" s="224"/>
      <c r="E7016" s="224"/>
      <c r="F7016" s="224"/>
      <c r="G7016" s="224"/>
      <c r="H7016" s="439"/>
      <c r="I7016" s="439"/>
      <c r="J7016" s="750" t="e">
        <f t="shared" si="93"/>
        <v>#DIV/0!</v>
      </c>
      <c r="K7016" s="439"/>
      <c r="L7016" s="439"/>
      <c r="M7016" s="682"/>
    </row>
    <row r="7017" spans="3:13" hidden="1" x14ac:dyDescent="0.2">
      <c r="C7017" s="224"/>
      <c r="D7017" s="224"/>
      <c r="E7017" s="224"/>
      <c r="F7017" s="224"/>
      <c r="G7017" s="224"/>
      <c r="H7017" s="439"/>
      <c r="I7017" s="439"/>
      <c r="J7017" s="750" t="e">
        <f t="shared" si="93"/>
        <v>#DIV/0!</v>
      </c>
      <c r="K7017" s="439"/>
      <c r="L7017" s="439"/>
      <c r="M7017" s="682"/>
    </row>
    <row r="7018" spans="3:13" hidden="1" x14ac:dyDescent="0.2">
      <c r="C7018" s="224"/>
      <c r="D7018" s="224"/>
      <c r="E7018" s="224"/>
      <c r="F7018" s="224"/>
      <c r="G7018" s="224"/>
      <c r="H7018" s="439"/>
      <c r="I7018" s="439"/>
      <c r="J7018" s="750" t="e">
        <f t="shared" si="93"/>
        <v>#DIV/0!</v>
      </c>
      <c r="K7018" s="439"/>
      <c r="L7018" s="439"/>
      <c r="M7018" s="682"/>
    </row>
    <row r="7019" spans="3:13" hidden="1" x14ac:dyDescent="0.2">
      <c r="C7019" s="224"/>
      <c r="D7019" s="224"/>
      <c r="E7019" s="224"/>
      <c r="F7019" s="224"/>
      <c r="G7019" s="224"/>
      <c r="H7019" s="439"/>
      <c r="I7019" s="439"/>
      <c r="J7019" s="750" t="e">
        <f t="shared" si="93"/>
        <v>#DIV/0!</v>
      </c>
      <c r="K7019" s="439"/>
      <c r="L7019" s="439"/>
      <c r="M7019" s="682"/>
    </row>
    <row r="7020" spans="3:13" hidden="1" x14ac:dyDescent="0.2">
      <c r="C7020" s="224"/>
      <c r="D7020" s="224"/>
      <c r="E7020" s="224"/>
      <c r="F7020" s="224"/>
      <c r="G7020" s="224"/>
      <c r="H7020" s="439"/>
      <c r="I7020" s="439"/>
      <c r="J7020" s="750" t="e">
        <f t="shared" si="93"/>
        <v>#DIV/0!</v>
      </c>
      <c r="K7020" s="439"/>
      <c r="L7020" s="439"/>
      <c r="M7020" s="682"/>
    </row>
    <row r="7021" spans="3:13" hidden="1" x14ac:dyDescent="0.2">
      <c r="C7021" s="224"/>
      <c r="D7021" s="224"/>
      <c r="E7021" s="224"/>
      <c r="F7021" s="224"/>
      <c r="G7021" s="224"/>
      <c r="H7021" s="439"/>
      <c r="I7021" s="439"/>
      <c r="J7021" s="750" t="e">
        <f t="shared" si="93"/>
        <v>#DIV/0!</v>
      </c>
      <c r="K7021" s="439"/>
      <c r="L7021" s="439"/>
      <c r="M7021" s="682"/>
    </row>
    <row r="7022" spans="3:13" hidden="1" x14ac:dyDescent="0.2">
      <c r="C7022" s="224"/>
      <c r="D7022" s="224"/>
      <c r="E7022" s="224"/>
      <c r="F7022" s="224"/>
      <c r="G7022" s="224"/>
      <c r="H7022" s="439"/>
      <c r="I7022" s="439"/>
      <c r="J7022" s="750" t="e">
        <f t="shared" si="93"/>
        <v>#DIV/0!</v>
      </c>
      <c r="K7022" s="439"/>
      <c r="L7022" s="439"/>
      <c r="M7022" s="682"/>
    </row>
    <row r="7023" spans="3:13" hidden="1" x14ac:dyDescent="0.2">
      <c r="C7023" s="224"/>
      <c r="D7023" s="224"/>
      <c r="E7023" s="224"/>
      <c r="F7023" s="224"/>
      <c r="G7023" s="224"/>
      <c r="H7023" s="439"/>
      <c r="I7023" s="439"/>
      <c r="J7023" s="750" t="e">
        <f t="shared" si="93"/>
        <v>#DIV/0!</v>
      </c>
      <c r="K7023" s="439"/>
      <c r="L7023" s="439"/>
      <c r="M7023" s="682"/>
    </row>
    <row r="7024" spans="3:13" hidden="1" x14ac:dyDescent="0.2">
      <c r="C7024" s="224"/>
      <c r="D7024" s="224"/>
      <c r="E7024" s="224"/>
      <c r="F7024" s="224"/>
      <c r="G7024" s="224"/>
      <c r="H7024" s="439"/>
      <c r="I7024" s="439"/>
      <c r="J7024" s="750" t="e">
        <f t="shared" si="93"/>
        <v>#DIV/0!</v>
      </c>
      <c r="K7024" s="439"/>
      <c r="L7024" s="439"/>
      <c r="M7024" s="682"/>
    </row>
    <row r="7025" spans="3:13" hidden="1" x14ac:dyDescent="0.2">
      <c r="C7025" s="224"/>
      <c r="D7025" s="224"/>
      <c r="E7025" s="224"/>
      <c r="F7025" s="224"/>
      <c r="G7025" s="224"/>
      <c r="H7025" s="439"/>
      <c r="I7025" s="439"/>
      <c r="J7025" s="750" t="e">
        <f t="shared" si="93"/>
        <v>#DIV/0!</v>
      </c>
      <c r="K7025" s="439"/>
      <c r="L7025" s="439"/>
      <c r="M7025" s="682"/>
    </row>
    <row r="7026" spans="3:13" hidden="1" x14ac:dyDescent="0.2">
      <c r="C7026" s="224"/>
      <c r="D7026" s="224"/>
      <c r="E7026" s="224"/>
      <c r="F7026" s="224"/>
      <c r="G7026" s="224"/>
      <c r="H7026" s="439"/>
      <c r="I7026" s="439"/>
      <c r="J7026" s="750" t="e">
        <f t="shared" si="93"/>
        <v>#DIV/0!</v>
      </c>
      <c r="K7026" s="439"/>
      <c r="L7026" s="439"/>
      <c r="M7026" s="682"/>
    </row>
    <row r="7027" spans="3:13" hidden="1" x14ac:dyDescent="0.2">
      <c r="C7027" s="224"/>
      <c r="D7027" s="224"/>
      <c r="E7027" s="224"/>
      <c r="F7027" s="224"/>
      <c r="G7027" s="224"/>
      <c r="H7027" s="439"/>
      <c r="I7027" s="439"/>
      <c r="J7027" s="750" t="e">
        <f t="shared" si="93"/>
        <v>#DIV/0!</v>
      </c>
      <c r="K7027" s="439"/>
      <c r="L7027" s="439"/>
      <c r="M7027" s="682"/>
    </row>
    <row r="7028" spans="3:13" hidden="1" x14ac:dyDescent="0.2">
      <c r="C7028" s="224"/>
      <c r="D7028" s="224"/>
      <c r="E7028" s="224"/>
      <c r="F7028" s="224"/>
      <c r="G7028" s="224"/>
      <c r="H7028" s="439"/>
      <c r="I7028" s="439"/>
      <c r="J7028" s="750" t="e">
        <f t="shared" si="93"/>
        <v>#DIV/0!</v>
      </c>
      <c r="K7028" s="439"/>
      <c r="L7028" s="439"/>
      <c r="M7028" s="682"/>
    </row>
    <row r="7029" spans="3:13" hidden="1" x14ac:dyDescent="0.2">
      <c r="C7029" s="224"/>
      <c r="D7029" s="224"/>
      <c r="E7029" s="224"/>
      <c r="F7029" s="224"/>
      <c r="G7029" s="224"/>
      <c r="H7029" s="439"/>
      <c r="I7029" s="439"/>
      <c r="J7029" s="750" t="e">
        <f t="shared" si="93"/>
        <v>#DIV/0!</v>
      </c>
      <c r="K7029" s="439"/>
      <c r="L7029" s="439"/>
      <c r="M7029" s="682"/>
    </row>
    <row r="7030" spans="3:13" hidden="1" x14ac:dyDescent="0.2">
      <c r="C7030" s="224"/>
      <c r="D7030" s="224"/>
      <c r="E7030" s="224"/>
      <c r="F7030" s="224"/>
      <c r="G7030" s="224"/>
      <c r="H7030" s="439"/>
      <c r="I7030" s="439"/>
      <c r="J7030" s="750" t="e">
        <f t="shared" si="93"/>
        <v>#DIV/0!</v>
      </c>
      <c r="K7030" s="439"/>
      <c r="L7030" s="439"/>
      <c r="M7030" s="682"/>
    </row>
    <row r="7031" spans="3:13" hidden="1" collapsed="1" x14ac:dyDescent="0.2">
      <c r="C7031" s="224"/>
      <c r="D7031" s="224"/>
      <c r="E7031" s="224"/>
      <c r="F7031" s="224"/>
      <c r="G7031" s="224"/>
      <c r="H7031" s="439"/>
      <c r="I7031" s="439"/>
      <c r="J7031" s="750" t="e">
        <f t="shared" si="93"/>
        <v>#DIV/0!</v>
      </c>
      <c r="K7031" s="439"/>
      <c r="L7031" s="439"/>
      <c r="M7031" s="682"/>
    </row>
    <row r="7032" spans="3:13" hidden="1" x14ac:dyDescent="0.2">
      <c r="C7032" s="224"/>
      <c r="D7032" s="224"/>
      <c r="E7032" s="224"/>
      <c r="F7032" s="224"/>
      <c r="G7032" s="224"/>
      <c r="H7032" s="439"/>
      <c r="I7032" s="439"/>
      <c r="J7032" s="750" t="e">
        <f t="shared" si="93"/>
        <v>#DIV/0!</v>
      </c>
      <c r="K7032" s="439"/>
      <c r="L7032" s="439"/>
      <c r="M7032" s="682"/>
    </row>
    <row r="7033" spans="3:13" hidden="1" x14ac:dyDescent="0.2">
      <c r="C7033" s="224"/>
      <c r="D7033" s="224"/>
      <c r="E7033" s="224"/>
      <c r="F7033" s="224"/>
      <c r="G7033" s="224"/>
      <c r="H7033" s="439"/>
      <c r="I7033" s="439"/>
      <c r="J7033" s="750" t="e">
        <f t="shared" si="93"/>
        <v>#DIV/0!</v>
      </c>
      <c r="K7033" s="439"/>
      <c r="L7033" s="439"/>
      <c r="M7033" s="682"/>
    </row>
    <row r="7034" spans="3:13" hidden="1" x14ac:dyDescent="0.2">
      <c r="C7034" s="224"/>
      <c r="D7034" s="224"/>
      <c r="E7034" s="224"/>
      <c r="F7034" s="224"/>
      <c r="G7034" s="224"/>
      <c r="H7034" s="439"/>
      <c r="I7034" s="439"/>
      <c r="J7034" s="750" t="e">
        <f t="shared" si="93"/>
        <v>#DIV/0!</v>
      </c>
      <c r="K7034" s="439"/>
      <c r="L7034" s="439"/>
      <c r="M7034" s="682"/>
    </row>
    <row r="7035" spans="3:13" hidden="1" x14ac:dyDescent="0.2">
      <c r="C7035" s="224"/>
      <c r="D7035" s="224"/>
      <c r="E7035" s="224"/>
      <c r="F7035" s="224"/>
      <c r="G7035" s="224"/>
      <c r="H7035" s="439"/>
      <c r="I7035" s="439"/>
      <c r="J7035" s="750" t="e">
        <f t="shared" si="93"/>
        <v>#DIV/0!</v>
      </c>
      <c r="K7035" s="439"/>
      <c r="L7035" s="439"/>
      <c r="M7035" s="682"/>
    </row>
    <row r="7036" spans="3:13" hidden="1" x14ac:dyDescent="0.2">
      <c r="C7036" s="224"/>
      <c r="D7036" s="224"/>
      <c r="E7036" s="224"/>
      <c r="F7036" s="224"/>
      <c r="G7036" s="224"/>
      <c r="H7036" s="439"/>
      <c r="I7036" s="439"/>
      <c r="J7036" s="750" t="e">
        <f t="shared" si="93"/>
        <v>#DIV/0!</v>
      </c>
      <c r="K7036" s="439"/>
      <c r="L7036" s="439"/>
      <c r="M7036" s="682"/>
    </row>
    <row r="7037" spans="3:13" hidden="1" x14ac:dyDescent="0.2">
      <c r="C7037" s="224"/>
      <c r="D7037" s="224"/>
      <c r="E7037" s="224"/>
      <c r="F7037" s="224"/>
      <c r="G7037" s="224"/>
      <c r="H7037" s="439"/>
      <c r="I7037" s="439"/>
      <c r="J7037" s="750" t="e">
        <f t="shared" si="93"/>
        <v>#DIV/0!</v>
      </c>
      <c r="K7037" s="439"/>
      <c r="L7037" s="439"/>
      <c r="M7037" s="682"/>
    </row>
    <row r="7038" spans="3:13" hidden="1" x14ac:dyDescent="0.2">
      <c r="C7038" s="224"/>
      <c r="D7038" s="224"/>
      <c r="E7038" s="224"/>
      <c r="F7038" s="224"/>
      <c r="G7038" s="224"/>
      <c r="H7038" s="439"/>
      <c r="I7038" s="439"/>
      <c r="J7038" s="750" t="e">
        <f t="shared" si="93"/>
        <v>#DIV/0!</v>
      </c>
      <c r="K7038" s="439"/>
      <c r="L7038" s="439"/>
      <c r="M7038" s="682"/>
    </row>
    <row r="7039" spans="3:13" hidden="1" x14ac:dyDescent="0.2">
      <c r="C7039" s="224"/>
      <c r="D7039" s="224"/>
      <c r="E7039" s="224"/>
      <c r="F7039" s="224"/>
      <c r="G7039" s="224"/>
      <c r="H7039" s="439"/>
      <c r="I7039" s="439"/>
      <c r="J7039" s="750" t="e">
        <f t="shared" si="93"/>
        <v>#DIV/0!</v>
      </c>
      <c r="K7039" s="439"/>
      <c r="L7039" s="439"/>
      <c r="M7039" s="682"/>
    </row>
    <row r="7040" spans="3:13" hidden="1" x14ac:dyDescent="0.2">
      <c r="C7040" s="224"/>
      <c r="D7040" s="224"/>
      <c r="E7040" s="224"/>
      <c r="F7040" s="224"/>
      <c r="G7040" s="224"/>
      <c r="H7040" s="439"/>
      <c r="I7040" s="439"/>
      <c r="J7040" s="750" t="e">
        <f t="shared" si="93"/>
        <v>#DIV/0!</v>
      </c>
      <c r="K7040" s="439"/>
      <c r="L7040" s="439"/>
      <c r="M7040" s="682"/>
    </row>
    <row r="7041" spans="3:13" hidden="1" x14ac:dyDescent="0.2">
      <c r="C7041" s="224"/>
      <c r="D7041" s="224"/>
      <c r="E7041" s="224"/>
      <c r="F7041" s="224"/>
      <c r="G7041" s="224"/>
      <c r="H7041" s="439"/>
      <c r="I7041" s="439"/>
      <c r="J7041" s="750" t="e">
        <f t="shared" si="93"/>
        <v>#DIV/0!</v>
      </c>
      <c r="K7041" s="439"/>
      <c r="L7041" s="439"/>
      <c r="M7041" s="682"/>
    </row>
    <row r="7042" spans="3:13" hidden="1" x14ac:dyDescent="0.2">
      <c r="C7042" s="224"/>
      <c r="D7042" s="224"/>
      <c r="E7042" s="224"/>
      <c r="F7042" s="224"/>
      <c r="G7042" s="224"/>
      <c r="H7042" s="439"/>
      <c r="I7042" s="439"/>
      <c r="J7042" s="750" t="e">
        <f t="shared" si="93"/>
        <v>#DIV/0!</v>
      </c>
      <c r="K7042" s="439"/>
      <c r="L7042" s="439"/>
      <c r="M7042" s="682"/>
    </row>
    <row r="7043" spans="3:13" hidden="1" x14ac:dyDescent="0.2">
      <c r="C7043" s="224"/>
      <c r="D7043" s="224"/>
      <c r="E7043" s="224"/>
      <c r="F7043" s="224"/>
      <c r="G7043" s="224"/>
      <c r="H7043" s="439"/>
      <c r="I7043" s="439"/>
      <c r="J7043" s="750" t="e">
        <f t="shared" si="93"/>
        <v>#DIV/0!</v>
      </c>
      <c r="K7043" s="439"/>
      <c r="L7043" s="439"/>
      <c r="M7043" s="682"/>
    </row>
    <row r="7044" spans="3:13" hidden="1" x14ac:dyDescent="0.2">
      <c r="C7044" s="224"/>
      <c r="D7044" s="224"/>
      <c r="E7044" s="224"/>
      <c r="F7044" s="224"/>
      <c r="G7044" s="224"/>
      <c r="H7044" s="439"/>
      <c r="I7044" s="439"/>
      <c r="J7044" s="750" t="e">
        <f t="shared" si="93"/>
        <v>#DIV/0!</v>
      </c>
      <c r="K7044" s="439"/>
      <c r="L7044" s="439"/>
      <c r="M7044" s="682"/>
    </row>
    <row r="7045" spans="3:13" hidden="1" x14ac:dyDescent="0.2">
      <c r="C7045" s="224"/>
      <c r="D7045" s="224"/>
      <c r="E7045" s="224"/>
      <c r="F7045" s="224"/>
      <c r="G7045" s="224"/>
      <c r="H7045" s="439"/>
      <c r="I7045" s="439"/>
      <c r="J7045" s="750" t="e">
        <f t="shared" si="93"/>
        <v>#DIV/0!</v>
      </c>
      <c r="K7045" s="439"/>
      <c r="L7045" s="439"/>
      <c r="M7045" s="682"/>
    </row>
    <row r="7046" spans="3:13" hidden="1" x14ac:dyDescent="0.2">
      <c r="C7046" s="224"/>
      <c r="D7046" s="224"/>
      <c r="E7046" s="224"/>
      <c r="F7046" s="224"/>
      <c r="G7046" s="224"/>
      <c r="H7046" s="439"/>
      <c r="I7046" s="439"/>
      <c r="J7046" s="750" t="e">
        <f t="shared" si="93"/>
        <v>#DIV/0!</v>
      </c>
      <c r="K7046" s="439"/>
      <c r="L7046" s="439"/>
      <c r="M7046" s="682"/>
    </row>
    <row r="7047" spans="3:13" hidden="1" x14ac:dyDescent="0.2">
      <c r="C7047" s="224"/>
      <c r="D7047" s="224"/>
      <c r="E7047" s="224"/>
      <c r="F7047" s="224"/>
      <c r="G7047" s="224"/>
      <c r="H7047" s="439"/>
      <c r="I7047" s="439"/>
      <c r="J7047" s="750" t="e">
        <f t="shared" si="93"/>
        <v>#DIV/0!</v>
      </c>
      <c r="K7047" s="439"/>
      <c r="L7047" s="439"/>
      <c r="M7047" s="682"/>
    </row>
    <row r="7048" spans="3:13" hidden="1" collapsed="1" x14ac:dyDescent="0.2">
      <c r="C7048" s="224"/>
      <c r="D7048" s="224"/>
      <c r="E7048" s="224"/>
      <c r="F7048" s="224"/>
      <c r="G7048" s="224"/>
      <c r="H7048" s="439"/>
      <c r="I7048" s="439"/>
      <c r="J7048" s="750" t="e">
        <f t="shared" si="93"/>
        <v>#DIV/0!</v>
      </c>
      <c r="K7048" s="439"/>
      <c r="L7048" s="439"/>
      <c r="M7048" s="682"/>
    </row>
    <row r="7049" spans="3:13" hidden="1" x14ac:dyDescent="0.2">
      <c r="C7049" s="224"/>
      <c r="D7049" s="224"/>
      <c r="E7049" s="224"/>
      <c r="F7049" s="224"/>
      <c r="G7049" s="224"/>
      <c r="H7049" s="439"/>
      <c r="I7049" s="439"/>
      <c r="J7049" s="750" t="e">
        <f t="shared" si="93"/>
        <v>#DIV/0!</v>
      </c>
      <c r="K7049" s="439"/>
      <c r="L7049" s="439"/>
      <c r="M7049" s="682"/>
    </row>
    <row r="7050" spans="3:13" hidden="1" x14ac:dyDescent="0.2">
      <c r="C7050" s="224"/>
      <c r="D7050" s="224"/>
      <c r="E7050" s="224"/>
      <c r="F7050" s="224"/>
      <c r="G7050" s="224"/>
      <c r="H7050" s="439"/>
      <c r="I7050" s="439"/>
      <c r="J7050" s="750" t="e">
        <f t="shared" si="93"/>
        <v>#DIV/0!</v>
      </c>
      <c r="K7050" s="439"/>
      <c r="L7050" s="439"/>
      <c r="M7050" s="682"/>
    </row>
    <row r="7051" spans="3:13" hidden="1" x14ac:dyDescent="0.2">
      <c r="C7051" s="224"/>
      <c r="D7051" s="224"/>
      <c r="E7051" s="224"/>
      <c r="F7051" s="224"/>
      <c r="G7051" s="224"/>
      <c r="H7051" s="439"/>
      <c r="I7051" s="439"/>
      <c r="J7051" s="750" t="e">
        <f t="shared" si="93"/>
        <v>#DIV/0!</v>
      </c>
      <c r="K7051" s="439"/>
      <c r="L7051" s="439"/>
      <c r="M7051" s="682"/>
    </row>
    <row r="7052" spans="3:13" hidden="1" x14ac:dyDescent="0.2">
      <c r="C7052" s="224"/>
      <c r="D7052" s="224"/>
      <c r="E7052" s="224"/>
      <c r="F7052" s="224"/>
      <c r="G7052" s="224"/>
      <c r="H7052" s="439"/>
      <c r="I7052" s="439"/>
      <c r="J7052" s="750" t="e">
        <f t="shared" si="93"/>
        <v>#DIV/0!</v>
      </c>
      <c r="K7052" s="439"/>
      <c r="L7052" s="439"/>
      <c r="M7052" s="682"/>
    </row>
    <row r="7053" spans="3:13" hidden="1" x14ac:dyDescent="0.2">
      <c r="C7053" s="224"/>
      <c r="D7053" s="224"/>
      <c r="E7053" s="224"/>
      <c r="F7053" s="224"/>
      <c r="G7053" s="224"/>
      <c r="H7053" s="439"/>
      <c r="I7053" s="439"/>
      <c r="J7053" s="750" t="e">
        <f t="shared" ref="J7053:J7116" si="94">SUM(I7053/H7053)*100</f>
        <v>#DIV/0!</v>
      </c>
      <c r="K7053" s="439"/>
      <c r="L7053" s="439"/>
      <c r="M7053" s="682"/>
    </row>
    <row r="7054" spans="3:13" hidden="1" x14ac:dyDescent="0.2">
      <c r="C7054" s="224"/>
      <c r="D7054" s="224"/>
      <c r="E7054" s="224"/>
      <c r="F7054" s="224"/>
      <c r="G7054" s="224"/>
      <c r="H7054" s="439"/>
      <c r="I7054" s="439"/>
      <c r="J7054" s="750" t="e">
        <f t="shared" si="94"/>
        <v>#DIV/0!</v>
      </c>
      <c r="K7054" s="439"/>
      <c r="L7054" s="439"/>
      <c r="M7054" s="682"/>
    </row>
    <row r="7055" spans="3:13" hidden="1" x14ac:dyDescent="0.2">
      <c r="C7055" s="224"/>
      <c r="D7055" s="224"/>
      <c r="E7055" s="224"/>
      <c r="F7055" s="224"/>
      <c r="G7055" s="224"/>
      <c r="H7055" s="439"/>
      <c r="I7055" s="439"/>
      <c r="J7055" s="750" t="e">
        <f t="shared" si="94"/>
        <v>#DIV/0!</v>
      </c>
      <c r="K7055" s="439"/>
      <c r="L7055" s="439"/>
      <c r="M7055" s="682"/>
    </row>
    <row r="7056" spans="3:13" hidden="1" x14ac:dyDescent="0.2">
      <c r="C7056" s="224"/>
      <c r="D7056" s="224"/>
      <c r="E7056" s="224"/>
      <c r="F7056" s="224"/>
      <c r="G7056" s="224"/>
      <c r="H7056" s="439"/>
      <c r="I7056" s="439"/>
      <c r="J7056" s="750" t="e">
        <f t="shared" si="94"/>
        <v>#DIV/0!</v>
      </c>
      <c r="K7056" s="439"/>
      <c r="L7056" s="439"/>
      <c r="M7056" s="682"/>
    </row>
    <row r="7057" spans="3:13" hidden="1" x14ac:dyDescent="0.2">
      <c r="C7057" s="224"/>
      <c r="D7057" s="224"/>
      <c r="E7057" s="224"/>
      <c r="F7057" s="224"/>
      <c r="G7057" s="224"/>
      <c r="H7057" s="439"/>
      <c r="I7057" s="439"/>
      <c r="J7057" s="750" t="e">
        <f t="shared" si="94"/>
        <v>#DIV/0!</v>
      </c>
      <c r="K7057" s="439"/>
      <c r="L7057" s="439"/>
      <c r="M7057" s="682"/>
    </row>
    <row r="7058" spans="3:13" hidden="1" x14ac:dyDescent="0.2">
      <c r="C7058" s="224"/>
      <c r="D7058" s="224"/>
      <c r="E7058" s="224"/>
      <c r="F7058" s="224"/>
      <c r="G7058" s="224"/>
      <c r="H7058" s="439"/>
      <c r="I7058" s="439"/>
      <c r="J7058" s="750" t="e">
        <f t="shared" si="94"/>
        <v>#DIV/0!</v>
      </c>
      <c r="K7058" s="439"/>
      <c r="L7058" s="439"/>
      <c r="M7058" s="682"/>
    </row>
    <row r="7059" spans="3:13" hidden="1" x14ac:dyDescent="0.2">
      <c r="C7059" s="224"/>
      <c r="D7059" s="224"/>
      <c r="E7059" s="224"/>
      <c r="F7059" s="224"/>
      <c r="G7059" s="224"/>
      <c r="H7059" s="439"/>
      <c r="I7059" s="439"/>
      <c r="J7059" s="750" t="e">
        <f t="shared" si="94"/>
        <v>#DIV/0!</v>
      </c>
      <c r="K7059" s="439"/>
      <c r="L7059" s="439"/>
      <c r="M7059" s="682"/>
    </row>
    <row r="7060" spans="3:13" hidden="1" x14ac:dyDescent="0.2">
      <c r="C7060" s="224"/>
      <c r="D7060" s="224"/>
      <c r="E7060" s="224"/>
      <c r="F7060" s="224"/>
      <c r="G7060" s="224"/>
      <c r="H7060" s="439"/>
      <c r="I7060" s="439"/>
      <c r="J7060" s="750" t="e">
        <f t="shared" si="94"/>
        <v>#DIV/0!</v>
      </c>
      <c r="K7060" s="439"/>
      <c r="L7060" s="439"/>
      <c r="M7060" s="682"/>
    </row>
    <row r="7061" spans="3:13" hidden="1" x14ac:dyDescent="0.2">
      <c r="C7061" s="224"/>
      <c r="D7061" s="224"/>
      <c r="E7061" s="224"/>
      <c r="F7061" s="224"/>
      <c r="G7061" s="224"/>
      <c r="H7061" s="439"/>
      <c r="I7061" s="439"/>
      <c r="J7061" s="750" t="e">
        <f t="shared" si="94"/>
        <v>#DIV/0!</v>
      </c>
      <c r="K7061" s="439"/>
      <c r="L7061" s="439"/>
      <c r="M7061" s="682"/>
    </row>
    <row r="7062" spans="3:13" hidden="1" x14ac:dyDescent="0.2">
      <c r="C7062" s="224"/>
      <c r="D7062" s="224"/>
      <c r="E7062" s="224"/>
      <c r="F7062" s="224"/>
      <c r="G7062" s="224"/>
      <c r="H7062" s="439"/>
      <c r="I7062" s="439"/>
      <c r="J7062" s="750" t="e">
        <f t="shared" si="94"/>
        <v>#DIV/0!</v>
      </c>
      <c r="K7062" s="439"/>
      <c r="L7062" s="439"/>
      <c r="M7062" s="682"/>
    </row>
    <row r="7063" spans="3:13" hidden="1" x14ac:dyDescent="0.2">
      <c r="C7063" s="224"/>
      <c r="D7063" s="224"/>
      <c r="E7063" s="224"/>
      <c r="F7063" s="224"/>
      <c r="G7063" s="224"/>
      <c r="H7063" s="439"/>
      <c r="I7063" s="439"/>
      <c r="J7063" s="750" t="e">
        <f t="shared" si="94"/>
        <v>#DIV/0!</v>
      </c>
      <c r="K7063" s="439"/>
      <c r="L7063" s="439"/>
      <c r="M7063" s="682"/>
    </row>
    <row r="7064" spans="3:13" hidden="1" x14ac:dyDescent="0.2">
      <c r="C7064" s="224"/>
      <c r="D7064" s="224"/>
      <c r="E7064" s="224"/>
      <c r="F7064" s="224"/>
      <c r="G7064" s="224"/>
      <c r="H7064" s="439"/>
      <c r="I7064" s="439"/>
      <c r="J7064" s="750" t="e">
        <f t="shared" si="94"/>
        <v>#DIV/0!</v>
      </c>
      <c r="K7064" s="439"/>
      <c r="L7064" s="439"/>
      <c r="M7064" s="682"/>
    </row>
    <row r="7065" spans="3:13" hidden="1" x14ac:dyDescent="0.2">
      <c r="C7065" s="224"/>
      <c r="D7065" s="224"/>
      <c r="E7065" s="224"/>
      <c r="F7065" s="224"/>
      <c r="G7065" s="224"/>
      <c r="H7065" s="439"/>
      <c r="I7065" s="439"/>
      <c r="J7065" s="750" t="e">
        <f t="shared" si="94"/>
        <v>#DIV/0!</v>
      </c>
      <c r="K7065" s="439"/>
      <c r="L7065" s="439"/>
      <c r="M7065" s="682"/>
    </row>
    <row r="7066" spans="3:13" hidden="1" x14ac:dyDescent="0.2">
      <c r="C7066" s="224"/>
      <c r="D7066" s="224"/>
      <c r="E7066" s="224"/>
      <c r="F7066" s="224"/>
      <c r="G7066" s="224"/>
      <c r="H7066" s="439"/>
      <c r="I7066" s="439"/>
      <c r="J7066" s="750" t="e">
        <f t="shared" si="94"/>
        <v>#DIV/0!</v>
      </c>
      <c r="K7066" s="439"/>
      <c r="L7066" s="439"/>
      <c r="M7066" s="682"/>
    </row>
    <row r="7067" spans="3:13" hidden="1" x14ac:dyDescent="0.2">
      <c r="C7067" s="224"/>
      <c r="D7067" s="224"/>
      <c r="E7067" s="224"/>
      <c r="F7067" s="224"/>
      <c r="G7067" s="224"/>
      <c r="H7067" s="439"/>
      <c r="I7067" s="439"/>
      <c r="J7067" s="750" t="e">
        <f t="shared" si="94"/>
        <v>#DIV/0!</v>
      </c>
      <c r="K7067" s="439"/>
      <c r="L7067" s="439"/>
      <c r="M7067" s="682"/>
    </row>
    <row r="7068" spans="3:13" hidden="1" x14ac:dyDescent="0.2">
      <c r="C7068" s="224"/>
      <c r="D7068" s="224"/>
      <c r="E7068" s="224"/>
      <c r="F7068" s="224"/>
      <c r="G7068" s="224"/>
      <c r="H7068" s="439"/>
      <c r="I7068" s="439"/>
      <c r="J7068" s="750" t="e">
        <f t="shared" si="94"/>
        <v>#DIV/0!</v>
      </c>
      <c r="K7068" s="439"/>
      <c r="L7068" s="439"/>
      <c r="M7068" s="682"/>
    </row>
    <row r="7069" spans="3:13" hidden="1" x14ac:dyDescent="0.2">
      <c r="C7069" s="224"/>
      <c r="D7069" s="224"/>
      <c r="E7069" s="224"/>
      <c r="F7069" s="224"/>
      <c r="G7069" s="224"/>
      <c r="H7069" s="439"/>
      <c r="I7069" s="439"/>
      <c r="J7069" s="750" t="e">
        <f t="shared" si="94"/>
        <v>#DIV/0!</v>
      </c>
      <c r="K7069" s="439"/>
      <c r="L7069" s="439"/>
      <c r="M7069" s="682"/>
    </row>
    <row r="7070" spans="3:13" hidden="1" x14ac:dyDescent="0.2">
      <c r="C7070" s="224"/>
      <c r="D7070" s="224"/>
      <c r="E7070" s="224"/>
      <c r="F7070" s="224"/>
      <c r="G7070" s="224"/>
      <c r="H7070" s="439"/>
      <c r="I7070" s="439"/>
      <c r="J7070" s="750" t="e">
        <f t="shared" si="94"/>
        <v>#DIV/0!</v>
      </c>
      <c r="K7070" s="439"/>
      <c r="L7070" s="439"/>
      <c r="M7070" s="682"/>
    </row>
    <row r="7071" spans="3:13" hidden="1" x14ac:dyDescent="0.2">
      <c r="C7071" s="224"/>
      <c r="D7071" s="224"/>
      <c r="E7071" s="224"/>
      <c r="F7071" s="224"/>
      <c r="G7071" s="224"/>
      <c r="H7071" s="439"/>
      <c r="I7071" s="439"/>
      <c r="J7071" s="750" t="e">
        <f t="shared" si="94"/>
        <v>#DIV/0!</v>
      </c>
      <c r="K7071" s="439"/>
      <c r="L7071" s="439"/>
      <c r="M7071" s="682"/>
    </row>
    <row r="7072" spans="3:13" hidden="1" x14ac:dyDescent="0.2">
      <c r="C7072" s="224"/>
      <c r="D7072" s="224"/>
      <c r="E7072" s="224"/>
      <c r="F7072" s="224"/>
      <c r="G7072" s="224"/>
      <c r="H7072" s="439"/>
      <c r="I7072" s="439"/>
      <c r="J7072" s="750" t="e">
        <f t="shared" si="94"/>
        <v>#DIV/0!</v>
      </c>
      <c r="K7072" s="439"/>
      <c r="L7072" s="439"/>
      <c r="M7072" s="682"/>
    </row>
    <row r="7073" spans="3:13" hidden="1" x14ac:dyDescent="0.2">
      <c r="C7073" s="224"/>
      <c r="D7073" s="224"/>
      <c r="E7073" s="224"/>
      <c r="F7073" s="224"/>
      <c r="G7073" s="224"/>
      <c r="H7073" s="439"/>
      <c r="I7073" s="439"/>
      <c r="J7073" s="750" t="e">
        <f t="shared" si="94"/>
        <v>#DIV/0!</v>
      </c>
      <c r="K7073" s="439"/>
      <c r="L7073" s="439"/>
      <c r="M7073" s="682"/>
    </row>
    <row r="7074" spans="3:13" hidden="1" x14ac:dyDescent="0.2">
      <c r="C7074" s="224"/>
      <c r="D7074" s="224"/>
      <c r="E7074" s="224"/>
      <c r="F7074" s="224"/>
      <c r="G7074" s="224"/>
      <c r="H7074" s="439"/>
      <c r="I7074" s="439"/>
      <c r="J7074" s="750" t="e">
        <f t="shared" si="94"/>
        <v>#DIV/0!</v>
      </c>
      <c r="K7074" s="439"/>
      <c r="L7074" s="439"/>
      <c r="M7074" s="682"/>
    </row>
    <row r="7075" spans="3:13" hidden="1" x14ac:dyDescent="0.2">
      <c r="C7075" s="224"/>
      <c r="D7075" s="224"/>
      <c r="E7075" s="224"/>
      <c r="F7075" s="224"/>
      <c r="G7075" s="224"/>
      <c r="H7075" s="439"/>
      <c r="I7075" s="439"/>
      <c r="J7075" s="750" t="e">
        <f t="shared" si="94"/>
        <v>#DIV/0!</v>
      </c>
      <c r="K7075" s="439"/>
      <c r="L7075" s="439"/>
      <c r="M7075" s="682"/>
    </row>
    <row r="7076" spans="3:13" ht="16.5" hidden="1" customHeight="1" x14ac:dyDescent="0.2">
      <c r="C7076" s="224"/>
      <c r="D7076" s="224"/>
      <c r="E7076" s="224"/>
      <c r="F7076" s="224"/>
      <c r="G7076" s="224"/>
      <c r="H7076" s="439"/>
      <c r="I7076" s="439"/>
      <c r="J7076" s="750" t="e">
        <f t="shared" si="94"/>
        <v>#DIV/0!</v>
      </c>
      <c r="K7076" s="439"/>
      <c r="L7076" s="439"/>
      <c r="M7076" s="682"/>
    </row>
    <row r="7077" spans="3:13" hidden="1" x14ac:dyDescent="0.2">
      <c r="C7077" s="224"/>
      <c r="D7077" s="224"/>
      <c r="E7077" s="224"/>
      <c r="F7077" s="224"/>
      <c r="G7077" s="224"/>
      <c r="H7077" s="439"/>
      <c r="I7077" s="439"/>
      <c r="J7077" s="750" t="e">
        <f t="shared" si="94"/>
        <v>#DIV/0!</v>
      </c>
      <c r="K7077" s="439"/>
      <c r="L7077" s="439"/>
      <c r="M7077" s="682"/>
    </row>
    <row r="7078" spans="3:13" hidden="1" x14ac:dyDescent="0.2">
      <c r="C7078" s="224"/>
      <c r="D7078" s="224"/>
      <c r="E7078" s="224"/>
      <c r="F7078" s="224"/>
      <c r="G7078" s="224"/>
      <c r="H7078" s="439"/>
      <c r="I7078" s="439"/>
      <c r="J7078" s="750" t="e">
        <f t="shared" si="94"/>
        <v>#DIV/0!</v>
      </c>
      <c r="K7078" s="439"/>
      <c r="L7078" s="439"/>
      <c r="M7078" s="682"/>
    </row>
    <row r="7079" spans="3:13" hidden="1" x14ac:dyDescent="0.2">
      <c r="C7079" s="224"/>
      <c r="D7079" s="224"/>
      <c r="E7079" s="224"/>
      <c r="F7079" s="224"/>
      <c r="G7079" s="224"/>
      <c r="H7079" s="439"/>
      <c r="I7079" s="439"/>
      <c r="J7079" s="750" t="e">
        <f t="shared" si="94"/>
        <v>#DIV/0!</v>
      </c>
      <c r="K7079" s="439"/>
      <c r="L7079" s="439"/>
      <c r="M7079" s="682"/>
    </row>
    <row r="7080" spans="3:13" hidden="1" x14ac:dyDescent="0.2">
      <c r="C7080" s="224"/>
      <c r="D7080" s="224"/>
      <c r="E7080" s="224"/>
      <c r="F7080" s="224"/>
      <c r="G7080" s="224"/>
      <c r="H7080" s="439"/>
      <c r="I7080" s="439"/>
      <c r="J7080" s="750" t="e">
        <f t="shared" si="94"/>
        <v>#DIV/0!</v>
      </c>
      <c r="K7080" s="439"/>
      <c r="L7080" s="439"/>
      <c r="M7080" s="682"/>
    </row>
    <row r="7081" spans="3:13" hidden="1" x14ac:dyDescent="0.2">
      <c r="C7081" s="224"/>
      <c r="D7081" s="224"/>
      <c r="E7081" s="224"/>
      <c r="F7081" s="224"/>
      <c r="G7081" s="224"/>
      <c r="H7081" s="439"/>
      <c r="I7081" s="439"/>
      <c r="J7081" s="750" t="e">
        <f t="shared" si="94"/>
        <v>#DIV/0!</v>
      </c>
      <c r="K7081" s="439"/>
      <c r="L7081" s="439"/>
      <c r="M7081" s="682"/>
    </row>
    <row r="7082" spans="3:13" hidden="1" x14ac:dyDescent="0.2">
      <c r="C7082" s="224"/>
      <c r="D7082" s="224"/>
      <c r="E7082" s="224"/>
      <c r="F7082" s="224"/>
      <c r="G7082" s="224"/>
      <c r="H7082" s="439"/>
      <c r="I7082" s="439"/>
      <c r="J7082" s="750" t="e">
        <f t="shared" si="94"/>
        <v>#DIV/0!</v>
      </c>
      <c r="K7082" s="439"/>
      <c r="L7082" s="439"/>
      <c r="M7082" s="682"/>
    </row>
    <row r="7083" spans="3:13" hidden="1" x14ac:dyDescent="0.2">
      <c r="C7083" s="224"/>
      <c r="D7083" s="224"/>
      <c r="E7083" s="224"/>
      <c r="F7083" s="224"/>
      <c r="G7083" s="224"/>
      <c r="H7083" s="439"/>
      <c r="I7083" s="439"/>
      <c r="J7083" s="750" t="e">
        <f t="shared" si="94"/>
        <v>#DIV/0!</v>
      </c>
      <c r="K7083" s="439"/>
      <c r="L7083" s="439"/>
      <c r="M7083" s="682"/>
    </row>
    <row r="7084" spans="3:13" hidden="1" x14ac:dyDescent="0.2">
      <c r="C7084" s="224"/>
      <c r="D7084" s="224"/>
      <c r="E7084" s="224"/>
      <c r="F7084" s="224"/>
      <c r="G7084" s="224"/>
      <c r="H7084" s="439"/>
      <c r="I7084" s="439"/>
      <c r="J7084" s="750" t="e">
        <f t="shared" si="94"/>
        <v>#DIV/0!</v>
      </c>
      <c r="K7084" s="439"/>
      <c r="L7084" s="439"/>
      <c r="M7084" s="682"/>
    </row>
    <row r="7085" spans="3:13" hidden="1" x14ac:dyDescent="0.2">
      <c r="C7085" s="224"/>
      <c r="D7085" s="224"/>
      <c r="E7085" s="224"/>
      <c r="F7085" s="224"/>
      <c r="G7085" s="224"/>
      <c r="H7085" s="439"/>
      <c r="I7085" s="439"/>
      <c r="J7085" s="750" t="e">
        <f t="shared" si="94"/>
        <v>#DIV/0!</v>
      </c>
      <c r="K7085" s="439"/>
      <c r="L7085" s="439"/>
      <c r="M7085" s="682"/>
    </row>
    <row r="7086" spans="3:13" hidden="1" x14ac:dyDescent="0.2">
      <c r="C7086" s="224"/>
      <c r="D7086" s="224"/>
      <c r="E7086" s="224"/>
      <c r="F7086" s="224"/>
      <c r="G7086" s="224"/>
      <c r="H7086" s="439"/>
      <c r="I7086" s="439"/>
      <c r="J7086" s="750" t="e">
        <f t="shared" si="94"/>
        <v>#DIV/0!</v>
      </c>
      <c r="K7086" s="439"/>
      <c r="L7086" s="439"/>
      <c r="M7086" s="682"/>
    </row>
    <row r="7087" spans="3:13" hidden="1" x14ac:dyDescent="0.2">
      <c r="C7087" s="224"/>
      <c r="D7087" s="224"/>
      <c r="E7087" s="224"/>
      <c r="F7087" s="224"/>
      <c r="G7087" s="224"/>
      <c r="H7087" s="439"/>
      <c r="I7087" s="439"/>
      <c r="J7087" s="750" t="e">
        <f t="shared" si="94"/>
        <v>#DIV/0!</v>
      </c>
      <c r="K7087" s="439"/>
      <c r="L7087" s="439"/>
      <c r="M7087" s="682"/>
    </row>
    <row r="7088" spans="3:13" hidden="1" x14ac:dyDescent="0.2">
      <c r="C7088" s="224"/>
      <c r="D7088" s="224"/>
      <c r="E7088" s="224"/>
      <c r="F7088" s="224"/>
      <c r="G7088" s="224"/>
      <c r="H7088" s="439"/>
      <c r="I7088" s="439"/>
      <c r="J7088" s="750" t="e">
        <f t="shared" si="94"/>
        <v>#DIV/0!</v>
      </c>
      <c r="K7088" s="439"/>
      <c r="L7088" s="439"/>
      <c r="M7088" s="682"/>
    </row>
    <row r="7089" spans="3:13" hidden="1" x14ac:dyDescent="0.2">
      <c r="C7089" s="224"/>
      <c r="D7089" s="224"/>
      <c r="E7089" s="224"/>
      <c r="F7089" s="224"/>
      <c r="G7089" s="224"/>
      <c r="H7089" s="439"/>
      <c r="I7089" s="439"/>
      <c r="J7089" s="750" t="e">
        <f t="shared" si="94"/>
        <v>#DIV/0!</v>
      </c>
      <c r="K7089" s="439"/>
      <c r="L7089" s="439"/>
      <c r="M7089" s="682"/>
    </row>
    <row r="7090" spans="3:13" hidden="1" x14ac:dyDescent="0.2">
      <c r="C7090" s="224"/>
      <c r="D7090" s="224"/>
      <c r="E7090" s="224"/>
      <c r="F7090" s="224"/>
      <c r="G7090" s="224"/>
      <c r="H7090" s="439"/>
      <c r="I7090" s="439"/>
      <c r="J7090" s="750" t="e">
        <f t="shared" si="94"/>
        <v>#DIV/0!</v>
      </c>
      <c r="K7090" s="439"/>
      <c r="L7090" s="439"/>
      <c r="M7090" s="682"/>
    </row>
    <row r="7091" spans="3:13" hidden="1" x14ac:dyDescent="0.2">
      <c r="C7091" s="224"/>
      <c r="D7091" s="224"/>
      <c r="E7091" s="224"/>
      <c r="F7091" s="224"/>
      <c r="G7091" s="224"/>
      <c r="H7091" s="439"/>
      <c r="I7091" s="439"/>
      <c r="J7091" s="750" t="e">
        <f t="shared" si="94"/>
        <v>#DIV/0!</v>
      </c>
      <c r="K7091" s="439"/>
      <c r="L7091" s="439"/>
      <c r="M7091" s="682"/>
    </row>
    <row r="7092" spans="3:13" hidden="1" x14ac:dyDescent="0.2">
      <c r="C7092" s="224"/>
      <c r="D7092" s="224"/>
      <c r="E7092" s="224"/>
      <c r="F7092" s="224"/>
      <c r="G7092" s="224"/>
      <c r="H7092" s="439"/>
      <c r="I7092" s="439"/>
      <c r="J7092" s="750" t="e">
        <f t="shared" si="94"/>
        <v>#DIV/0!</v>
      </c>
      <c r="K7092" s="439"/>
      <c r="L7092" s="439"/>
      <c r="M7092" s="682"/>
    </row>
    <row r="7093" spans="3:13" hidden="1" x14ac:dyDescent="0.2">
      <c r="C7093" s="224"/>
      <c r="D7093" s="224"/>
      <c r="E7093" s="224"/>
      <c r="F7093" s="224"/>
      <c r="G7093" s="224"/>
      <c r="H7093" s="439"/>
      <c r="I7093" s="439"/>
      <c r="J7093" s="750" t="e">
        <f t="shared" si="94"/>
        <v>#DIV/0!</v>
      </c>
      <c r="K7093" s="439"/>
      <c r="L7093" s="439"/>
      <c r="M7093" s="682"/>
    </row>
    <row r="7094" spans="3:13" hidden="1" x14ac:dyDescent="0.2">
      <c r="C7094" s="224"/>
      <c r="D7094" s="224"/>
      <c r="E7094" s="224"/>
      <c r="F7094" s="224"/>
      <c r="G7094" s="224"/>
      <c r="H7094" s="439"/>
      <c r="I7094" s="439"/>
      <c r="J7094" s="750" t="e">
        <f t="shared" si="94"/>
        <v>#DIV/0!</v>
      </c>
      <c r="K7094" s="439"/>
      <c r="L7094" s="439"/>
      <c r="M7094" s="682"/>
    </row>
    <row r="7095" spans="3:13" hidden="1" x14ac:dyDescent="0.2">
      <c r="C7095" s="224"/>
      <c r="D7095" s="224"/>
      <c r="E7095" s="224"/>
      <c r="F7095" s="224"/>
      <c r="G7095" s="224"/>
      <c r="H7095" s="439"/>
      <c r="I7095" s="439"/>
      <c r="J7095" s="750" t="e">
        <f t="shared" si="94"/>
        <v>#DIV/0!</v>
      </c>
      <c r="K7095" s="439"/>
      <c r="L7095" s="439"/>
      <c r="M7095" s="682"/>
    </row>
    <row r="7096" spans="3:13" hidden="1" x14ac:dyDescent="0.2">
      <c r="C7096" s="224"/>
      <c r="D7096" s="224"/>
      <c r="E7096" s="224"/>
      <c r="F7096" s="224"/>
      <c r="G7096" s="224"/>
      <c r="H7096" s="439"/>
      <c r="I7096" s="439"/>
      <c r="J7096" s="750" t="e">
        <f t="shared" si="94"/>
        <v>#DIV/0!</v>
      </c>
      <c r="K7096" s="439"/>
      <c r="L7096" s="439"/>
      <c r="M7096" s="682"/>
    </row>
    <row r="7097" spans="3:13" hidden="1" x14ac:dyDescent="0.2">
      <c r="C7097" s="224"/>
      <c r="D7097" s="224"/>
      <c r="E7097" s="224"/>
      <c r="F7097" s="224"/>
      <c r="G7097" s="224"/>
      <c r="H7097" s="439"/>
      <c r="I7097" s="439"/>
      <c r="J7097" s="750" t="e">
        <f t="shared" si="94"/>
        <v>#DIV/0!</v>
      </c>
      <c r="K7097" s="439"/>
      <c r="L7097" s="439"/>
      <c r="M7097" s="682"/>
    </row>
    <row r="7098" spans="3:13" hidden="1" x14ac:dyDescent="0.2">
      <c r="C7098" s="224"/>
      <c r="D7098" s="224"/>
      <c r="E7098" s="224"/>
      <c r="F7098" s="224"/>
      <c r="G7098" s="224"/>
      <c r="H7098" s="439"/>
      <c r="I7098" s="439"/>
      <c r="J7098" s="750" t="e">
        <f t="shared" si="94"/>
        <v>#DIV/0!</v>
      </c>
      <c r="K7098" s="439"/>
      <c r="L7098" s="439"/>
      <c r="M7098" s="682"/>
    </row>
    <row r="7099" spans="3:13" hidden="1" x14ac:dyDescent="0.2">
      <c r="C7099" s="224"/>
      <c r="D7099" s="224"/>
      <c r="E7099" s="224"/>
      <c r="F7099" s="224"/>
      <c r="G7099" s="224"/>
      <c r="H7099" s="439"/>
      <c r="I7099" s="439"/>
      <c r="J7099" s="750" t="e">
        <f t="shared" si="94"/>
        <v>#DIV/0!</v>
      </c>
      <c r="K7099" s="439"/>
      <c r="L7099" s="439"/>
      <c r="M7099" s="682"/>
    </row>
    <row r="7100" spans="3:13" hidden="1" x14ac:dyDescent="0.2">
      <c r="C7100" s="224"/>
      <c r="D7100" s="224"/>
      <c r="E7100" s="224"/>
      <c r="F7100" s="224"/>
      <c r="G7100" s="224"/>
      <c r="H7100" s="439"/>
      <c r="I7100" s="439"/>
      <c r="J7100" s="750" t="e">
        <f t="shared" si="94"/>
        <v>#DIV/0!</v>
      </c>
      <c r="K7100" s="439"/>
      <c r="L7100" s="439"/>
      <c r="M7100" s="682"/>
    </row>
    <row r="7101" spans="3:13" hidden="1" x14ac:dyDescent="0.2">
      <c r="C7101" s="224"/>
      <c r="D7101" s="224"/>
      <c r="E7101" s="224"/>
      <c r="F7101" s="224"/>
      <c r="G7101" s="224"/>
      <c r="H7101" s="439"/>
      <c r="I7101" s="439"/>
      <c r="J7101" s="750" t="e">
        <f t="shared" si="94"/>
        <v>#DIV/0!</v>
      </c>
      <c r="K7101" s="439"/>
      <c r="L7101" s="439"/>
      <c r="M7101" s="682"/>
    </row>
    <row r="7102" spans="3:13" hidden="1" x14ac:dyDescent="0.2">
      <c r="C7102" s="224"/>
      <c r="D7102" s="224"/>
      <c r="E7102" s="224"/>
      <c r="F7102" s="224"/>
      <c r="G7102" s="224"/>
      <c r="H7102" s="439"/>
      <c r="I7102" s="439"/>
      <c r="J7102" s="750" t="e">
        <f t="shared" si="94"/>
        <v>#DIV/0!</v>
      </c>
      <c r="K7102" s="439"/>
      <c r="L7102" s="439"/>
      <c r="M7102" s="682"/>
    </row>
    <row r="7103" spans="3:13" hidden="1" x14ac:dyDescent="0.2">
      <c r="C7103" s="224"/>
      <c r="D7103" s="224"/>
      <c r="E7103" s="224"/>
      <c r="F7103" s="224"/>
      <c r="G7103" s="224"/>
      <c r="H7103" s="439"/>
      <c r="I7103" s="439"/>
      <c r="J7103" s="750" t="e">
        <f t="shared" si="94"/>
        <v>#DIV/0!</v>
      </c>
      <c r="K7103" s="439"/>
      <c r="L7103" s="439"/>
      <c r="M7103" s="682"/>
    </row>
    <row r="7104" spans="3:13" hidden="1" x14ac:dyDescent="0.2">
      <c r="C7104" s="224"/>
      <c r="D7104" s="224"/>
      <c r="E7104" s="224"/>
      <c r="F7104" s="224"/>
      <c r="G7104" s="224"/>
      <c r="H7104" s="439"/>
      <c r="I7104" s="439"/>
      <c r="J7104" s="750" t="e">
        <f t="shared" si="94"/>
        <v>#DIV/0!</v>
      </c>
      <c r="K7104" s="439"/>
      <c r="L7104" s="439"/>
      <c r="M7104" s="682"/>
    </row>
    <row r="7105" spans="3:13" hidden="1" x14ac:dyDescent="0.2">
      <c r="C7105" s="224"/>
      <c r="D7105" s="224"/>
      <c r="E7105" s="224"/>
      <c r="F7105" s="224"/>
      <c r="G7105" s="224"/>
      <c r="H7105" s="439"/>
      <c r="I7105" s="439"/>
      <c r="J7105" s="750" t="e">
        <f t="shared" si="94"/>
        <v>#DIV/0!</v>
      </c>
      <c r="K7105" s="439"/>
      <c r="L7105" s="439"/>
      <c r="M7105" s="682"/>
    </row>
    <row r="7106" spans="3:13" hidden="1" x14ac:dyDescent="0.2">
      <c r="C7106" s="224"/>
      <c r="D7106" s="224"/>
      <c r="E7106" s="224"/>
      <c r="F7106" s="224"/>
      <c r="G7106" s="224"/>
      <c r="H7106" s="439"/>
      <c r="I7106" s="439"/>
      <c r="J7106" s="750" t="e">
        <f t="shared" si="94"/>
        <v>#DIV/0!</v>
      </c>
      <c r="K7106" s="439"/>
      <c r="L7106" s="439"/>
      <c r="M7106" s="682"/>
    </row>
    <row r="7107" spans="3:13" hidden="1" x14ac:dyDescent="0.2">
      <c r="C7107" s="224"/>
      <c r="D7107" s="224"/>
      <c r="E7107" s="224"/>
      <c r="F7107" s="224"/>
      <c r="G7107" s="224"/>
      <c r="H7107" s="439"/>
      <c r="I7107" s="439"/>
      <c r="J7107" s="750" t="e">
        <f t="shared" si="94"/>
        <v>#DIV/0!</v>
      </c>
      <c r="K7107" s="439"/>
      <c r="L7107" s="439"/>
      <c r="M7107" s="682"/>
    </row>
    <row r="7108" spans="3:13" hidden="1" x14ac:dyDescent="0.2">
      <c r="C7108" s="224"/>
      <c r="D7108" s="224"/>
      <c r="E7108" s="224"/>
      <c r="F7108" s="224"/>
      <c r="G7108" s="224"/>
      <c r="H7108" s="439"/>
      <c r="I7108" s="439"/>
      <c r="J7108" s="750" t="e">
        <f t="shared" si="94"/>
        <v>#DIV/0!</v>
      </c>
      <c r="K7108" s="439"/>
      <c r="L7108" s="439"/>
      <c r="M7108" s="682"/>
    </row>
    <row r="7109" spans="3:13" hidden="1" x14ac:dyDescent="0.2">
      <c r="C7109" s="224"/>
      <c r="D7109" s="224"/>
      <c r="E7109" s="224"/>
      <c r="F7109" s="224"/>
      <c r="G7109" s="224"/>
      <c r="H7109" s="439"/>
      <c r="I7109" s="439"/>
      <c r="J7109" s="750" t="e">
        <f t="shared" si="94"/>
        <v>#DIV/0!</v>
      </c>
      <c r="K7109" s="439"/>
      <c r="L7109" s="439"/>
      <c r="M7109" s="682"/>
    </row>
    <row r="7110" spans="3:13" hidden="1" x14ac:dyDescent="0.2">
      <c r="C7110" s="224"/>
      <c r="D7110" s="224"/>
      <c r="E7110" s="224"/>
      <c r="F7110" s="224"/>
      <c r="G7110" s="224"/>
      <c r="H7110" s="439"/>
      <c r="I7110" s="439"/>
      <c r="J7110" s="750" t="e">
        <f t="shared" si="94"/>
        <v>#DIV/0!</v>
      </c>
      <c r="K7110" s="439"/>
      <c r="L7110" s="439"/>
      <c r="M7110" s="682"/>
    </row>
    <row r="7111" spans="3:13" hidden="1" x14ac:dyDescent="0.2">
      <c r="C7111" s="224"/>
      <c r="D7111" s="224"/>
      <c r="E7111" s="224"/>
      <c r="F7111" s="224"/>
      <c r="G7111" s="224"/>
      <c r="H7111" s="439"/>
      <c r="I7111" s="439"/>
      <c r="J7111" s="750" t="e">
        <f t="shared" si="94"/>
        <v>#DIV/0!</v>
      </c>
      <c r="K7111" s="439"/>
      <c r="L7111" s="439"/>
      <c r="M7111" s="682"/>
    </row>
    <row r="7112" spans="3:13" hidden="1" x14ac:dyDescent="0.2">
      <c r="C7112" s="224"/>
      <c r="D7112" s="224"/>
      <c r="E7112" s="224"/>
      <c r="F7112" s="224"/>
      <c r="G7112" s="224"/>
      <c r="H7112" s="439"/>
      <c r="I7112" s="439"/>
      <c r="J7112" s="750" t="e">
        <f t="shared" si="94"/>
        <v>#DIV/0!</v>
      </c>
      <c r="K7112" s="439"/>
      <c r="L7112" s="439"/>
      <c r="M7112" s="682"/>
    </row>
    <row r="7113" spans="3:13" hidden="1" x14ac:dyDescent="0.2">
      <c r="C7113" s="224"/>
      <c r="D7113" s="224"/>
      <c r="E7113" s="224"/>
      <c r="F7113" s="224"/>
      <c r="G7113" s="224"/>
      <c r="H7113" s="439"/>
      <c r="I7113" s="439"/>
      <c r="J7113" s="750" t="e">
        <f t="shared" si="94"/>
        <v>#DIV/0!</v>
      </c>
      <c r="K7113" s="439"/>
      <c r="L7113" s="439"/>
      <c r="M7113" s="682"/>
    </row>
    <row r="7114" spans="3:13" hidden="1" x14ac:dyDescent="0.2">
      <c r="C7114" s="224"/>
      <c r="D7114" s="224"/>
      <c r="E7114" s="224"/>
      <c r="F7114" s="224"/>
      <c r="G7114" s="224"/>
      <c r="H7114" s="439"/>
      <c r="I7114" s="439"/>
      <c r="J7114" s="750" t="e">
        <f t="shared" si="94"/>
        <v>#DIV/0!</v>
      </c>
      <c r="K7114" s="439"/>
      <c r="L7114" s="439"/>
      <c r="M7114" s="682"/>
    </row>
    <row r="7115" spans="3:13" hidden="1" x14ac:dyDescent="0.2">
      <c r="C7115" s="224"/>
      <c r="D7115" s="224"/>
      <c r="E7115" s="224"/>
      <c r="F7115" s="224"/>
      <c r="G7115" s="224"/>
      <c r="H7115" s="439"/>
      <c r="I7115" s="439"/>
      <c r="J7115" s="750" t="e">
        <f t="shared" si="94"/>
        <v>#DIV/0!</v>
      </c>
      <c r="K7115" s="439"/>
      <c r="L7115" s="439"/>
      <c r="M7115" s="682"/>
    </row>
    <row r="7116" spans="3:13" hidden="1" x14ac:dyDescent="0.2">
      <c r="C7116" s="224"/>
      <c r="D7116" s="224"/>
      <c r="E7116" s="224"/>
      <c r="F7116" s="224"/>
      <c r="G7116" s="224"/>
      <c r="H7116" s="439"/>
      <c r="I7116" s="439"/>
      <c r="J7116" s="750" t="e">
        <f t="shared" si="94"/>
        <v>#DIV/0!</v>
      </c>
      <c r="K7116" s="439"/>
      <c r="L7116" s="439"/>
      <c r="M7116" s="682"/>
    </row>
    <row r="7117" spans="3:13" hidden="1" x14ac:dyDescent="0.2">
      <c r="C7117" s="224"/>
      <c r="D7117" s="224"/>
      <c r="E7117" s="224"/>
      <c r="F7117" s="224"/>
      <c r="G7117" s="224"/>
      <c r="H7117" s="439"/>
      <c r="I7117" s="439"/>
      <c r="J7117" s="750" t="e">
        <f t="shared" ref="J7117:J7180" si="95">SUM(I7117/H7117)*100</f>
        <v>#DIV/0!</v>
      </c>
      <c r="K7117" s="439"/>
      <c r="L7117" s="439"/>
      <c r="M7117" s="682"/>
    </row>
    <row r="7118" spans="3:13" hidden="1" x14ac:dyDescent="0.2">
      <c r="C7118" s="224"/>
      <c r="D7118" s="224"/>
      <c r="E7118" s="224"/>
      <c r="F7118" s="224"/>
      <c r="G7118" s="224"/>
      <c r="H7118" s="439"/>
      <c r="I7118" s="439"/>
      <c r="J7118" s="750" t="e">
        <f t="shared" si="95"/>
        <v>#DIV/0!</v>
      </c>
      <c r="K7118" s="439"/>
      <c r="L7118" s="439"/>
      <c r="M7118" s="682"/>
    </row>
    <row r="7119" spans="3:13" hidden="1" x14ac:dyDescent="0.2">
      <c r="C7119" s="224"/>
      <c r="D7119" s="224"/>
      <c r="E7119" s="224"/>
      <c r="F7119" s="224"/>
      <c r="G7119" s="224"/>
      <c r="H7119" s="439"/>
      <c r="I7119" s="439"/>
      <c r="J7119" s="750" t="e">
        <f t="shared" si="95"/>
        <v>#DIV/0!</v>
      </c>
      <c r="K7119" s="439"/>
      <c r="L7119" s="439"/>
      <c r="M7119" s="682"/>
    </row>
    <row r="7120" spans="3:13" hidden="1" x14ac:dyDescent="0.2">
      <c r="C7120" s="224"/>
      <c r="D7120" s="224"/>
      <c r="E7120" s="224"/>
      <c r="F7120" s="224"/>
      <c r="G7120" s="224"/>
      <c r="H7120" s="439"/>
      <c r="I7120" s="439"/>
      <c r="J7120" s="750" t="e">
        <f t="shared" si="95"/>
        <v>#DIV/0!</v>
      </c>
      <c r="K7120" s="439"/>
      <c r="L7120" s="439"/>
      <c r="M7120" s="682"/>
    </row>
    <row r="7121" spans="3:13" hidden="1" x14ac:dyDescent="0.2">
      <c r="C7121" s="224"/>
      <c r="D7121" s="224"/>
      <c r="E7121" s="224"/>
      <c r="F7121" s="224"/>
      <c r="G7121" s="224"/>
      <c r="H7121" s="439"/>
      <c r="I7121" s="439"/>
      <c r="J7121" s="750" t="e">
        <f t="shared" si="95"/>
        <v>#DIV/0!</v>
      </c>
      <c r="K7121" s="439"/>
      <c r="L7121" s="439"/>
      <c r="M7121" s="682"/>
    </row>
    <row r="7122" spans="3:13" hidden="1" x14ac:dyDescent="0.2">
      <c r="C7122" s="224"/>
      <c r="D7122" s="224"/>
      <c r="E7122" s="224"/>
      <c r="F7122" s="224"/>
      <c r="G7122" s="224"/>
      <c r="H7122" s="439"/>
      <c r="I7122" s="439"/>
      <c r="J7122" s="750" t="e">
        <f t="shared" si="95"/>
        <v>#DIV/0!</v>
      </c>
      <c r="K7122" s="439"/>
      <c r="L7122" s="439"/>
      <c r="M7122" s="682"/>
    </row>
    <row r="7123" spans="3:13" hidden="1" x14ac:dyDescent="0.2">
      <c r="C7123" s="224"/>
      <c r="D7123" s="224"/>
      <c r="E7123" s="224"/>
      <c r="F7123" s="224"/>
      <c r="G7123" s="224"/>
      <c r="H7123" s="439"/>
      <c r="I7123" s="439"/>
      <c r="J7123" s="750" t="e">
        <f t="shared" si="95"/>
        <v>#DIV/0!</v>
      </c>
      <c r="K7123" s="439"/>
      <c r="L7123" s="439"/>
      <c r="M7123" s="682"/>
    </row>
    <row r="7124" spans="3:13" hidden="1" x14ac:dyDescent="0.2">
      <c r="C7124" s="224"/>
      <c r="D7124" s="224"/>
      <c r="E7124" s="224"/>
      <c r="F7124" s="224"/>
      <c r="G7124" s="224"/>
      <c r="H7124" s="439"/>
      <c r="I7124" s="439"/>
      <c r="J7124" s="750" t="e">
        <f t="shared" si="95"/>
        <v>#DIV/0!</v>
      </c>
      <c r="K7124" s="439"/>
      <c r="L7124" s="439"/>
      <c r="M7124" s="682"/>
    </row>
    <row r="7125" spans="3:13" hidden="1" x14ac:dyDescent="0.2">
      <c r="C7125" s="224"/>
      <c r="D7125" s="224"/>
      <c r="E7125" s="224"/>
      <c r="F7125" s="224"/>
      <c r="G7125" s="224"/>
      <c r="H7125" s="439"/>
      <c r="I7125" s="439"/>
      <c r="J7125" s="750" t="e">
        <f t="shared" si="95"/>
        <v>#DIV/0!</v>
      </c>
      <c r="K7125" s="439"/>
      <c r="L7125" s="439"/>
      <c r="M7125" s="682"/>
    </row>
    <row r="7126" spans="3:13" hidden="1" x14ac:dyDescent="0.2">
      <c r="C7126" s="224"/>
      <c r="D7126" s="224"/>
      <c r="E7126" s="224"/>
      <c r="F7126" s="224"/>
      <c r="G7126" s="224"/>
      <c r="H7126" s="439"/>
      <c r="I7126" s="439"/>
      <c r="J7126" s="750" t="e">
        <f t="shared" si="95"/>
        <v>#DIV/0!</v>
      </c>
      <c r="K7126" s="439"/>
      <c r="L7126" s="439"/>
      <c r="M7126" s="682"/>
    </row>
    <row r="7127" spans="3:13" hidden="1" x14ac:dyDescent="0.2">
      <c r="C7127" s="224"/>
      <c r="D7127" s="224"/>
      <c r="E7127" s="224"/>
      <c r="F7127" s="224"/>
      <c r="G7127" s="224"/>
      <c r="H7127" s="439"/>
      <c r="I7127" s="439"/>
      <c r="J7127" s="750" t="e">
        <f t="shared" si="95"/>
        <v>#DIV/0!</v>
      </c>
      <c r="K7127" s="439"/>
      <c r="L7127" s="439"/>
      <c r="M7127" s="682"/>
    </row>
    <row r="7128" spans="3:13" hidden="1" x14ac:dyDescent="0.2">
      <c r="C7128" s="224"/>
      <c r="D7128" s="224"/>
      <c r="E7128" s="224"/>
      <c r="F7128" s="224"/>
      <c r="G7128" s="224"/>
      <c r="H7128" s="439"/>
      <c r="I7128" s="439"/>
      <c r="J7128" s="750" t="e">
        <f t="shared" si="95"/>
        <v>#DIV/0!</v>
      </c>
      <c r="K7128" s="439"/>
      <c r="L7128" s="439"/>
      <c r="M7128" s="682"/>
    </row>
    <row r="7129" spans="3:13" hidden="1" x14ac:dyDescent="0.2">
      <c r="C7129" s="224"/>
      <c r="D7129" s="224"/>
      <c r="E7129" s="224"/>
      <c r="F7129" s="224"/>
      <c r="G7129" s="224"/>
      <c r="H7129" s="439"/>
      <c r="I7129" s="439"/>
      <c r="J7129" s="750" t="e">
        <f t="shared" si="95"/>
        <v>#DIV/0!</v>
      </c>
      <c r="K7129" s="439"/>
      <c r="L7129" s="439"/>
      <c r="M7129" s="682"/>
    </row>
    <row r="7130" spans="3:13" hidden="1" x14ac:dyDescent="0.2">
      <c r="C7130" s="224"/>
      <c r="D7130" s="224"/>
      <c r="E7130" s="224"/>
      <c r="F7130" s="224"/>
      <c r="G7130" s="224"/>
      <c r="H7130" s="439"/>
      <c r="I7130" s="439"/>
      <c r="J7130" s="750" t="e">
        <f t="shared" si="95"/>
        <v>#DIV/0!</v>
      </c>
      <c r="K7130" s="439"/>
      <c r="L7130" s="439"/>
      <c r="M7130" s="682"/>
    </row>
    <row r="7131" spans="3:13" hidden="1" x14ac:dyDescent="0.2">
      <c r="C7131" s="224"/>
      <c r="D7131" s="224"/>
      <c r="E7131" s="224"/>
      <c r="F7131" s="224"/>
      <c r="G7131" s="224"/>
      <c r="H7131" s="439"/>
      <c r="I7131" s="439"/>
      <c r="J7131" s="750" t="e">
        <f t="shared" si="95"/>
        <v>#DIV/0!</v>
      </c>
      <c r="K7131" s="439"/>
      <c r="L7131" s="439"/>
      <c r="M7131" s="682"/>
    </row>
    <row r="7132" spans="3:13" hidden="1" x14ac:dyDescent="0.2">
      <c r="C7132" s="224"/>
      <c r="D7132" s="224"/>
      <c r="E7132" s="224"/>
      <c r="F7132" s="224"/>
      <c r="G7132" s="224"/>
      <c r="H7132" s="439"/>
      <c r="I7132" s="439"/>
      <c r="J7132" s="750" t="e">
        <f t="shared" si="95"/>
        <v>#DIV/0!</v>
      </c>
      <c r="K7132" s="439"/>
      <c r="L7132" s="439"/>
      <c r="M7132" s="682"/>
    </row>
    <row r="7133" spans="3:13" hidden="1" x14ac:dyDescent="0.2">
      <c r="C7133" s="224"/>
      <c r="D7133" s="224"/>
      <c r="E7133" s="224"/>
      <c r="F7133" s="224"/>
      <c r="G7133" s="224"/>
      <c r="H7133" s="439"/>
      <c r="I7133" s="439"/>
      <c r="J7133" s="750" t="e">
        <f t="shared" si="95"/>
        <v>#DIV/0!</v>
      </c>
      <c r="K7133" s="439"/>
      <c r="L7133" s="439"/>
      <c r="M7133" s="682"/>
    </row>
    <row r="7134" spans="3:13" hidden="1" x14ac:dyDescent="0.2">
      <c r="C7134" s="224"/>
      <c r="D7134" s="224"/>
      <c r="E7134" s="224"/>
      <c r="F7134" s="224"/>
      <c r="G7134" s="224"/>
      <c r="H7134" s="439"/>
      <c r="I7134" s="439"/>
      <c r="J7134" s="750" t="e">
        <f t="shared" si="95"/>
        <v>#DIV/0!</v>
      </c>
      <c r="K7134" s="439"/>
      <c r="L7134" s="439"/>
      <c r="M7134" s="682"/>
    </row>
    <row r="7135" spans="3:13" hidden="1" x14ac:dyDescent="0.2">
      <c r="C7135" s="224"/>
      <c r="D7135" s="224"/>
      <c r="E7135" s="224"/>
      <c r="F7135" s="224"/>
      <c r="G7135" s="224"/>
      <c r="H7135" s="439"/>
      <c r="I7135" s="439"/>
      <c r="J7135" s="750" t="e">
        <f t="shared" si="95"/>
        <v>#DIV/0!</v>
      </c>
      <c r="K7135" s="439"/>
      <c r="L7135" s="439"/>
      <c r="M7135" s="682"/>
    </row>
    <row r="7136" spans="3:13" hidden="1" x14ac:dyDescent="0.2">
      <c r="C7136" s="224"/>
      <c r="D7136" s="224"/>
      <c r="E7136" s="224"/>
      <c r="F7136" s="224"/>
      <c r="G7136" s="224"/>
      <c r="H7136" s="439"/>
      <c r="I7136" s="439"/>
      <c r="J7136" s="750" t="e">
        <f t="shared" si="95"/>
        <v>#DIV/0!</v>
      </c>
      <c r="K7136" s="439"/>
      <c r="L7136" s="439"/>
      <c r="M7136" s="682"/>
    </row>
    <row r="7137" spans="1:27" hidden="1" x14ac:dyDescent="0.2">
      <c r="C7137" s="224"/>
      <c r="D7137" s="224"/>
      <c r="E7137" s="224"/>
      <c r="F7137" s="224"/>
      <c r="G7137" s="224"/>
      <c r="H7137" s="439"/>
      <c r="I7137" s="439"/>
      <c r="J7137" s="750" t="e">
        <f t="shared" si="95"/>
        <v>#DIV/0!</v>
      </c>
      <c r="K7137" s="439"/>
      <c r="L7137" s="439"/>
      <c r="M7137" s="682"/>
    </row>
    <row r="7138" spans="1:27" hidden="1" x14ac:dyDescent="0.2">
      <c r="C7138" s="224"/>
      <c r="D7138" s="224"/>
      <c r="E7138" s="224"/>
      <c r="F7138" s="224"/>
      <c r="G7138" s="224"/>
      <c r="H7138" s="439"/>
      <c r="I7138" s="439"/>
      <c r="J7138" s="750" t="e">
        <f t="shared" si="95"/>
        <v>#DIV/0!</v>
      </c>
      <c r="K7138" s="439"/>
      <c r="L7138" s="439"/>
      <c r="M7138" s="682"/>
    </row>
    <row r="7139" spans="1:27" hidden="1" x14ac:dyDescent="0.2">
      <c r="C7139" s="224"/>
      <c r="D7139" s="224"/>
      <c r="E7139" s="224"/>
      <c r="F7139" s="224"/>
      <c r="G7139" s="224"/>
      <c r="H7139" s="439"/>
      <c r="I7139" s="439"/>
      <c r="J7139" s="750" t="e">
        <f t="shared" si="95"/>
        <v>#DIV/0!</v>
      </c>
      <c r="K7139" s="439"/>
      <c r="L7139" s="439"/>
      <c r="M7139" s="682"/>
    </row>
    <row r="7140" spans="1:27" hidden="1" x14ac:dyDescent="0.2">
      <c r="C7140" s="224"/>
      <c r="D7140" s="224"/>
      <c r="E7140" s="224"/>
      <c r="F7140" s="224"/>
      <c r="G7140" s="224"/>
      <c r="H7140" s="439"/>
      <c r="I7140" s="439"/>
      <c r="J7140" s="750" t="e">
        <f t="shared" si="95"/>
        <v>#DIV/0!</v>
      </c>
      <c r="K7140" s="439"/>
      <c r="L7140" s="439"/>
      <c r="M7140" s="682"/>
    </row>
    <row r="7141" spans="1:27" hidden="1" x14ac:dyDescent="0.2">
      <c r="C7141" s="224"/>
      <c r="D7141" s="224"/>
      <c r="E7141" s="224"/>
      <c r="F7141" s="224"/>
      <c r="G7141" s="224"/>
      <c r="H7141" s="439"/>
      <c r="I7141" s="439"/>
      <c r="J7141" s="750" t="e">
        <f t="shared" si="95"/>
        <v>#DIV/0!</v>
      </c>
      <c r="K7141" s="439"/>
      <c r="L7141" s="439"/>
      <c r="M7141" s="682"/>
    </row>
    <row r="7142" spans="1:27" hidden="1" x14ac:dyDescent="0.2">
      <c r="C7142" s="224"/>
      <c r="D7142" s="224"/>
      <c r="E7142" s="224"/>
      <c r="F7142" s="224"/>
      <c r="G7142" s="224"/>
      <c r="H7142" s="439"/>
      <c r="I7142" s="439"/>
      <c r="J7142" s="750" t="e">
        <f t="shared" si="95"/>
        <v>#DIV/0!</v>
      </c>
      <c r="K7142" s="439"/>
      <c r="L7142" s="439"/>
      <c r="M7142" s="682"/>
    </row>
    <row r="7143" spans="1:27" hidden="1" x14ac:dyDescent="0.2">
      <c r="C7143" s="224"/>
      <c r="D7143" s="224"/>
      <c r="E7143" s="224"/>
      <c r="F7143" s="224"/>
      <c r="G7143" s="224"/>
      <c r="H7143" s="439"/>
      <c r="I7143" s="439"/>
      <c r="J7143" s="750" t="e">
        <f t="shared" si="95"/>
        <v>#DIV/0!</v>
      </c>
      <c r="K7143" s="439"/>
      <c r="L7143" s="439"/>
      <c r="M7143" s="682"/>
    </row>
    <row r="7144" spans="1:27" hidden="1" x14ac:dyDescent="0.2">
      <c r="C7144" s="224"/>
      <c r="D7144" s="224"/>
      <c r="E7144" s="224"/>
      <c r="F7144" s="224"/>
      <c r="G7144" s="224"/>
      <c r="H7144" s="439"/>
      <c r="I7144" s="439"/>
      <c r="J7144" s="750" t="e">
        <f t="shared" si="95"/>
        <v>#DIV/0!</v>
      </c>
      <c r="K7144" s="439"/>
      <c r="L7144" s="439"/>
      <c r="M7144" s="682"/>
    </row>
    <row r="7145" spans="1:27" hidden="1" x14ac:dyDescent="0.2">
      <c r="C7145" s="224"/>
      <c r="D7145" s="224"/>
      <c r="E7145" s="224"/>
      <c r="F7145" s="224"/>
      <c r="G7145" s="224"/>
      <c r="H7145" s="439"/>
      <c r="I7145" s="439"/>
      <c r="J7145" s="750" t="e">
        <f t="shared" si="95"/>
        <v>#DIV/0!</v>
      </c>
      <c r="K7145" s="439"/>
      <c r="L7145" s="439"/>
      <c r="M7145" s="682"/>
    </row>
    <row r="7146" spans="1:27" hidden="1" x14ac:dyDescent="0.2">
      <c r="C7146" s="224"/>
      <c r="D7146" s="224"/>
      <c r="E7146" s="224"/>
      <c r="F7146" s="224"/>
      <c r="G7146" s="224"/>
      <c r="H7146" s="439"/>
      <c r="I7146" s="439"/>
      <c r="J7146" s="750" t="e">
        <f t="shared" si="95"/>
        <v>#DIV/0!</v>
      </c>
      <c r="K7146" s="439"/>
      <c r="L7146" s="439"/>
      <c r="M7146" s="682"/>
    </row>
    <row r="7147" spans="1:27" hidden="1" x14ac:dyDescent="0.2">
      <c r="C7147" s="224"/>
      <c r="D7147" s="224"/>
      <c r="E7147" s="224"/>
      <c r="F7147" s="224"/>
      <c r="G7147" s="224"/>
      <c r="H7147" s="439"/>
      <c r="I7147" s="439"/>
      <c r="J7147" s="750" t="e">
        <f t="shared" si="95"/>
        <v>#DIV/0!</v>
      </c>
      <c r="K7147" s="439"/>
      <c r="L7147" s="439"/>
      <c r="M7147" s="682"/>
    </row>
    <row r="7148" spans="1:27" hidden="1" x14ac:dyDescent="0.2">
      <c r="C7148" s="224"/>
      <c r="D7148" s="224"/>
      <c r="E7148" s="224"/>
      <c r="F7148" s="224"/>
      <c r="G7148" s="224"/>
      <c r="H7148" s="439"/>
      <c r="I7148" s="439"/>
      <c r="J7148" s="750" t="e">
        <f t="shared" si="95"/>
        <v>#DIV/0!</v>
      </c>
      <c r="K7148" s="439"/>
      <c r="L7148" s="439"/>
      <c r="M7148" s="682"/>
    </row>
    <row r="7149" spans="1:27" hidden="1" x14ac:dyDescent="0.2">
      <c r="C7149" s="224"/>
      <c r="D7149" s="224"/>
      <c r="E7149" s="224"/>
      <c r="F7149" s="224"/>
      <c r="G7149" s="224"/>
      <c r="H7149" s="439"/>
      <c r="I7149" s="439"/>
      <c r="J7149" s="750" t="e">
        <f t="shared" si="95"/>
        <v>#DIV/0!</v>
      </c>
      <c r="K7149" s="439"/>
      <c r="L7149" s="439"/>
      <c r="M7149" s="682"/>
    </row>
    <row r="7150" spans="1:27" s="618" customFormat="1" ht="13.5" hidden="1" x14ac:dyDescent="0.25">
      <c r="A7150" s="617"/>
      <c r="B7150" s="617"/>
      <c r="H7150" s="444"/>
      <c r="I7150" s="444"/>
      <c r="J7150" s="750" t="e">
        <f t="shared" si="95"/>
        <v>#DIV/0!</v>
      </c>
      <c r="K7150" s="444"/>
      <c r="L7150" s="444"/>
      <c r="M7150" s="682"/>
      <c r="N7150" s="619"/>
      <c r="O7150" s="619"/>
      <c r="P7150" s="619"/>
      <c r="Q7150" s="619"/>
      <c r="R7150" s="619"/>
      <c r="S7150" s="619"/>
      <c r="T7150" s="619"/>
      <c r="U7150" s="619"/>
      <c r="V7150" s="619"/>
      <c r="W7150" s="619"/>
      <c r="X7150" s="619"/>
      <c r="Y7150" s="619"/>
      <c r="Z7150" s="619"/>
      <c r="AA7150" s="619"/>
    </row>
    <row r="7151" spans="1:27" hidden="1" x14ac:dyDescent="0.2">
      <c r="C7151" s="224"/>
      <c r="D7151" s="224"/>
      <c r="E7151" s="224"/>
      <c r="F7151" s="224"/>
      <c r="G7151" s="224"/>
      <c r="H7151" s="439"/>
      <c r="I7151" s="439"/>
      <c r="J7151" s="750" t="e">
        <f t="shared" si="95"/>
        <v>#DIV/0!</v>
      </c>
      <c r="K7151" s="439"/>
      <c r="L7151" s="439"/>
      <c r="M7151" s="682"/>
    </row>
    <row r="7152" spans="1:27" hidden="1" x14ac:dyDescent="0.2">
      <c r="C7152" s="224"/>
      <c r="D7152" s="224"/>
      <c r="E7152" s="224"/>
      <c r="F7152" s="224"/>
      <c r="G7152" s="224"/>
      <c r="H7152" s="439"/>
      <c r="I7152" s="439"/>
      <c r="J7152" s="750" t="e">
        <f t="shared" si="95"/>
        <v>#DIV/0!</v>
      </c>
      <c r="K7152" s="439"/>
      <c r="L7152" s="439"/>
      <c r="M7152" s="682"/>
    </row>
    <row r="7153" spans="3:15" hidden="1" x14ac:dyDescent="0.2">
      <c r="C7153" s="224"/>
      <c r="D7153" s="224"/>
      <c r="E7153" s="224"/>
      <c r="F7153" s="224"/>
      <c r="G7153" s="224"/>
      <c r="H7153" s="439"/>
      <c r="I7153" s="439"/>
      <c r="J7153" s="750" t="e">
        <f t="shared" si="95"/>
        <v>#DIV/0!</v>
      </c>
      <c r="K7153" s="439"/>
      <c r="L7153" s="439"/>
      <c r="M7153" s="682"/>
    </row>
    <row r="7154" spans="3:15" hidden="1" x14ac:dyDescent="0.2">
      <c r="C7154" s="224"/>
      <c r="D7154" s="224"/>
      <c r="E7154" s="224"/>
      <c r="F7154" s="224"/>
      <c r="G7154" s="224"/>
      <c r="H7154" s="439"/>
      <c r="I7154" s="439"/>
      <c r="J7154" s="750" t="e">
        <f t="shared" si="95"/>
        <v>#DIV/0!</v>
      </c>
      <c r="K7154" s="439"/>
      <c r="L7154" s="439"/>
      <c r="M7154" s="682"/>
    </row>
    <row r="7155" spans="3:15" hidden="1" x14ac:dyDescent="0.2">
      <c r="C7155" s="224"/>
      <c r="D7155" s="224"/>
      <c r="E7155" s="224"/>
      <c r="F7155" s="224"/>
      <c r="G7155" s="224"/>
      <c r="H7155" s="439"/>
      <c r="I7155" s="439"/>
      <c r="J7155" s="750" t="e">
        <f t="shared" si="95"/>
        <v>#DIV/0!</v>
      </c>
      <c r="K7155" s="439"/>
      <c r="L7155" s="439"/>
      <c r="M7155" s="682"/>
    </row>
    <row r="7156" spans="3:15" hidden="1" x14ac:dyDescent="0.2">
      <c r="C7156" s="224"/>
      <c r="D7156" s="224"/>
      <c r="E7156" s="224"/>
      <c r="F7156" s="224"/>
      <c r="G7156" s="224"/>
      <c r="H7156" s="439"/>
      <c r="I7156" s="439"/>
      <c r="J7156" s="750" t="e">
        <f t="shared" si="95"/>
        <v>#DIV/0!</v>
      </c>
      <c r="K7156" s="439"/>
      <c r="L7156" s="439"/>
      <c r="M7156" s="682"/>
      <c r="N7156" s="502"/>
      <c r="O7156" s="502"/>
    </row>
    <row r="7157" spans="3:15" hidden="1" x14ac:dyDescent="0.2">
      <c r="C7157" s="224"/>
      <c r="D7157" s="224"/>
      <c r="E7157" s="224"/>
      <c r="F7157" s="224"/>
      <c r="G7157" s="224"/>
      <c r="H7157" s="439"/>
      <c r="I7157" s="439"/>
      <c r="J7157" s="750" t="e">
        <f t="shared" si="95"/>
        <v>#DIV/0!</v>
      </c>
      <c r="K7157" s="439"/>
      <c r="L7157" s="439"/>
      <c r="M7157" s="682"/>
    </row>
    <row r="7158" spans="3:15" hidden="1" x14ac:dyDescent="0.2">
      <c r="C7158" s="224"/>
      <c r="D7158" s="224"/>
      <c r="E7158" s="224"/>
      <c r="F7158" s="224"/>
      <c r="G7158" s="224"/>
      <c r="H7158" s="439"/>
      <c r="I7158" s="439"/>
      <c r="J7158" s="750" t="e">
        <f t="shared" si="95"/>
        <v>#DIV/0!</v>
      </c>
      <c r="K7158" s="439"/>
      <c r="L7158" s="439"/>
      <c r="M7158" s="682"/>
    </row>
    <row r="7159" spans="3:15" hidden="1" x14ac:dyDescent="0.2">
      <c r="C7159" s="224"/>
      <c r="D7159" s="224"/>
      <c r="E7159" s="224"/>
      <c r="F7159" s="224"/>
      <c r="G7159" s="224"/>
      <c r="H7159" s="439"/>
      <c r="I7159" s="439"/>
      <c r="J7159" s="750" t="e">
        <f t="shared" si="95"/>
        <v>#DIV/0!</v>
      </c>
      <c r="K7159" s="439"/>
      <c r="L7159" s="439"/>
      <c r="M7159" s="682"/>
    </row>
    <row r="7160" spans="3:15" hidden="1" x14ac:dyDescent="0.2">
      <c r="C7160" s="224"/>
      <c r="D7160" s="224"/>
      <c r="E7160" s="224"/>
      <c r="F7160" s="224"/>
      <c r="G7160" s="224"/>
      <c r="H7160" s="439"/>
      <c r="I7160" s="439"/>
      <c r="J7160" s="750" t="e">
        <f t="shared" si="95"/>
        <v>#DIV/0!</v>
      </c>
      <c r="K7160" s="439"/>
      <c r="L7160" s="439"/>
      <c r="M7160" s="682"/>
    </row>
    <row r="7161" spans="3:15" hidden="1" x14ac:dyDescent="0.2">
      <c r="C7161" s="224"/>
      <c r="D7161" s="224"/>
      <c r="E7161" s="224"/>
      <c r="F7161" s="224"/>
      <c r="G7161" s="224"/>
      <c r="H7161" s="439"/>
      <c r="I7161" s="439"/>
      <c r="J7161" s="750" t="e">
        <f t="shared" si="95"/>
        <v>#DIV/0!</v>
      </c>
      <c r="K7161" s="439"/>
      <c r="L7161" s="439"/>
      <c r="M7161" s="682"/>
    </row>
    <row r="7162" spans="3:15" hidden="1" x14ac:dyDescent="0.2">
      <c r="C7162" s="224"/>
      <c r="D7162" s="224"/>
      <c r="E7162" s="224"/>
      <c r="F7162" s="224"/>
      <c r="G7162" s="224"/>
      <c r="H7162" s="439"/>
      <c r="I7162" s="439"/>
      <c r="J7162" s="750" t="e">
        <f t="shared" si="95"/>
        <v>#DIV/0!</v>
      </c>
      <c r="K7162" s="439"/>
      <c r="L7162" s="439"/>
      <c r="M7162" s="682"/>
    </row>
    <row r="7163" spans="3:15" hidden="1" x14ac:dyDescent="0.2">
      <c r="C7163" s="224"/>
      <c r="D7163" s="224"/>
      <c r="E7163" s="224"/>
      <c r="F7163" s="224"/>
      <c r="G7163" s="224"/>
      <c r="H7163" s="439"/>
      <c r="I7163" s="439"/>
      <c r="J7163" s="750" t="e">
        <f t="shared" si="95"/>
        <v>#DIV/0!</v>
      </c>
      <c r="K7163" s="439"/>
      <c r="L7163" s="439"/>
      <c r="M7163" s="682"/>
    </row>
    <row r="7164" spans="3:15" hidden="1" x14ac:dyDescent="0.2">
      <c r="C7164" s="224"/>
      <c r="D7164" s="224"/>
      <c r="E7164" s="224"/>
      <c r="F7164" s="224"/>
      <c r="G7164" s="224"/>
      <c r="H7164" s="439"/>
      <c r="I7164" s="439"/>
      <c r="J7164" s="750" t="e">
        <f t="shared" si="95"/>
        <v>#DIV/0!</v>
      </c>
      <c r="K7164" s="439"/>
      <c r="L7164" s="439"/>
      <c r="M7164" s="682"/>
    </row>
    <row r="7165" spans="3:15" hidden="1" x14ac:dyDescent="0.2">
      <c r="C7165" s="224"/>
      <c r="D7165" s="224"/>
      <c r="E7165" s="224"/>
      <c r="F7165" s="224"/>
      <c r="G7165" s="224"/>
      <c r="H7165" s="439"/>
      <c r="I7165" s="439"/>
      <c r="J7165" s="750" t="e">
        <f t="shared" si="95"/>
        <v>#DIV/0!</v>
      </c>
      <c r="K7165" s="439"/>
      <c r="L7165" s="439"/>
      <c r="M7165" s="682"/>
    </row>
    <row r="7166" spans="3:15" hidden="1" x14ac:dyDescent="0.2">
      <c r="C7166" s="224"/>
      <c r="D7166" s="224"/>
      <c r="E7166" s="224"/>
      <c r="F7166" s="224"/>
      <c r="G7166" s="224"/>
      <c r="H7166" s="439"/>
      <c r="I7166" s="439"/>
      <c r="J7166" s="750" t="e">
        <f t="shared" si="95"/>
        <v>#DIV/0!</v>
      </c>
      <c r="K7166" s="439"/>
      <c r="L7166" s="439"/>
      <c r="M7166" s="682"/>
    </row>
    <row r="7167" spans="3:15" hidden="1" x14ac:dyDescent="0.2">
      <c r="C7167" s="224"/>
      <c r="D7167" s="224"/>
      <c r="E7167" s="224"/>
      <c r="F7167" s="224"/>
      <c r="G7167" s="224"/>
      <c r="H7167" s="439"/>
      <c r="I7167" s="439"/>
      <c r="J7167" s="750" t="e">
        <f t="shared" si="95"/>
        <v>#DIV/0!</v>
      </c>
      <c r="K7167" s="439"/>
      <c r="L7167" s="439"/>
      <c r="M7167" s="682"/>
    </row>
    <row r="7168" spans="3:15" hidden="1" x14ac:dyDescent="0.2">
      <c r="C7168" s="224"/>
      <c r="D7168" s="224"/>
      <c r="E7168" s="224"/>
      <c r="F7168" s="224"/>
      <c r="G7168" s="224"/>
      <c r="H7168" s="439"/>
      <c r="I7168" s="439"/>
      <c r="J7168" s="750" t="e">
        <f t="shared" si="95"/>
        <v>#DIV/0!</v>
      </c>
      <c r="K7168" s="439"/>
      <c r="L7168" s="439"/>
      <c r="M7168" s="682"/>
    </row>
    <row r="7169" spans="3:13" hidden="1" x14ac:dyDescent="0.2">
      <c r="C7169" s="224"/>
      <c r="D7169" s="224"/>
      <c r="E7169" s="224"/>
      <c r="F7169" s="224"/>
      <c r="G7169" s="224"/>
      <c r="H7169" s="439"/>
      <c r="I7169" s="439"/>
      <c r="J7169" s="750" t="e">
        <f t="shared" si="95"/>
        <v>#DIV/0!</v>
      </c>
      <c r="K7169" s="439"/>
      <c r="L7169" s="439"/>
      <c r="M7169" s="682"/>
    </row>
    <row r="7170" spans="3:13" hidden="1" x14ac:dyDescent="0.2">
      <c r="C7170" s="224"/>
      <c r="D7170" s="224"/>
      <c r="E7170" s="224"/>
      <c r="F7170" s="224"/>
      <c r="G7170" s="224"/>
      <c r="H7170" s="439"/>
      <c r="I7170" s="439"/>
      <c r="J7170" s="750" t="e">
        <f t="shared" si="95"/>
        <v>#DIV/0!</v>
      </c>
      <c r="K7170" s="439"/>
      <c r="L7170" s="439"/>
      <c r="M7170" s="682"/>
    </row>
    <row r="7171" spans="3:13" hidden="1" x14ac:dyDescent="0.2">
      <c r="C7171" s="224"/>
      <c r="D7171" s="224"/>
      <c r="E7171" s="224"/>
      <c r="F7171" s="224"/>
      <c r="G7171" s="224"/>
      <c r="H7171" s="439"/>
      <c r="I7171" s="439"/>
      <c r="J7171" s="750" t="e">
        <f t="shared" si="95"/>
        <v>#DIV/0!</v>
      </c>
      <c r="K7171" s="439"/>
      <c r="L7171" s="439"/>
      <c r="M7171" s="682"/>
    </row>
    <row r="7172" spans="3:13" hidden="1" x14ac:dyDescent="0.2">
      <c r="C7172" s="224"/>
      <c r="D7172" s="224"/>
      <c r="E7172" s="224"/>
      <c r="F7172" s="224"/>
      <c r="G7172" s="224"/>
      <c r="H7172" s="439"/>
      <c r="I7172" s="439"/>
      <c r="J7172" s="750" t="e">
        <f t="shared" si="95"/>
        <v>#DIV/0!</v>
      </c>
      <c r="K7172" s="439"/>
      <c r="L7172" s="439"/>
      <c r="M7172" s="682"/>
    </row>
    <row r="7173" spans="3:13" hidden="1" x14ac:dyDescent="0.2">
      <c r="C7173" s="224"/>
      <c r="D7173" s="224"/>
      <c r="E7173" s="224"/>
      <c r="F7173" s="224"/>
      <c r="G7173" s="224"/>
      <c r="H7173" s="439"/>
      <c r="I7173" s="439"/>
      <c r="J7173" s="750" t="e">
        <f t="shared" si="95"/>
        <v>#DIV/0!</v>
      </c>
      <c r="K7173" s="439"/>
      <c r="L7173" s="439"/>
      <c r="M7173" s="682"/>
    </row>
    <row r="7174" spans="3:13" hidden="1" x14ac:dyDescent="0.2">
      <c r="C7174" s="224"/>
      <c r="D7174" s="224"/>
      <c r="E7174" s="224"/>
      <c r="F7174" s="224"/>
      <c r="G7174" s="224"/>
      <c r="H7174" s="439"/>
      <c r="I7174" s="439"/>
      <c r="J7174" s="750" t="e">
        <f t="shared" si="95"/>
        <v>#DIV/0!</v>
      </c>
      <c r="K7174" s="439"/>
      <c r="L7174" s="439"/>
      <c r="M7174" s="682"/>
    </row>
    <row r="7175" spans="3:13" hidden="1" x14ac:dyDescent="0.2">
      <c r="C7175" s="224"/>
      <c r="D7175" s="224"/>
      <c r="E7175" s="224"/>
      <c r="F7175" s="224"/>
      <c r="G7175" s="224"/>
      <c r="H7175" s="439"/>
      <c r="I7175" s="439"/>
      <c r="J7175" s="750" t="e">
        <f t="shared" si="95"/>
        <v>#DIV/0!</v>
      </c>
      <c r="K7175" s="439"/>
      <c r="L7175" s="439"/>
      <c r="M7175" s="682"/>
    </row>
    <row r="7176" spans="3:13" hidden="1" x14ac:dyDescent="0.2">
      <c r="C7176" s="224"/>
      <c r="D7176" s="224"/>
      <c r="E7176" s="224"/>
      <c r="F7176" s="224"/>
      <c r="G7176" s="224"/>
      <c r="H7176" s="439"/>
      <c r="I7176" s="439"/>
      <c r="J7176" s="750" t="e">
        <f t="shared" si="95"/>
        <v>#DIV/0!</v>
      </c>
      <c r="K7176" s="439"/>
      <c r="L7176" s="439"/>
      <c r="M7176" s="682"/>
    </row>
    <row r="7177" spans="3:13" hidden="1" x14ac:dyDescent="0.2">
      <c r="C7177" s="224"/>
      <c r="D7177" s="224"/>
      <c r="E7177" s="224"/>
      <c r="F7177" s="224"/>
      <c r="G7177" s="224"/>
      <c r="H7177" s="439"/>
      <c r="I7177" s="439"/>
      <c r="J7177" s="750" t="e">
        <f t="shared" si="95"/>
        <v>#DIV/0!</v>
      </c>
      <c r="K7177" s="439"/>
      <c r="L7177" s="439"/>
      <c r="M7177" s="682"/>
    </row>
    <row r="7178" spans="3:13" hidden="1" x14ac:dyDescent="0.2">
      <c r="C7178" s="224"/>
      <c r="D7178" s="224"/>
      <c r="E7178" s="224"/>
      <c r="F7178" s="224"/>
      <c r="G7178" s="224"/>
      <c r="H7178" s="439"/>
      <c r="I7178" s="439"/>
      <c r="J7178" s="750" t="e">
        <f t="shared" si="95"/>
        <v>#DIV/0!</v>
      </c>
      <c r="K7178" s="439"/>
      <c r="L7178" s="439"/>
      <c r="M7178" s="682"/>
    </row>
    <row r="7179" spans="3:13" hidden="1" x14ac:dyDescent="0.2">
      <c r="C7179" s="224"/>
      <c r="D7179" s="224"/>
      <c r="E7179" s="224"/>
      <c r="F7179" s="224"/>
      <c r="G7179" s="224"/>
      <c r="H7179" s="439"/>
      <c r="I7179" s="439"/>
      <c r="J7179" s="750" t="e">
        <f t="shared" si="95"/>
        <v>#DIV/0!</v>
      </c>
      <c r="K7179" s="439"/>
      <c r="L7179" s="439"/>
      <c r="M7179" s="682"/>
    </row>
    <row r="7180" spans="3:13" hidden="1" x14ac:dyDescent="0.2">
      <c r="C7180" s="224"/>
      <c r="D7180" s="224"/>
      <c r="E7180" s="224"/>
      <c r="F7180" s="224"/>
      <c r="G7180" s="224"/>
      <c r="H7180" s="439"/>
      <c r="I7180" s="439"/>
      <c r="J7180" s="750" t="e">
        <f t="shared" si="95"/>
        <v>#DIV/0!</v>
      </c>
      <c r="K7180" s="439"/>
      <c r="L7180" s="439"/>
      <c r="M7180" s="682"/>
    </row>
    <row r="7181" spans="3:13" hidden="1" x14ac:dyDescent="0.2">
      <c r="C7181" s="224"/>
      <c r="D7181" s="224"/>
      <c r="E7181" s="224"/>
      <c r="F7181" s="224"/>
      <c r="G7181" s="224"/>
      <c r="H7181" s="439"/>
      <c r="I7181" s="439"/>
      <c r="J7181" s="750" t="e">
        <f t="shared" ref="J7181:J7244" si="96">SUM(I7181/H7181)*100</f>
        <v>#DIV/0!</v>
      </c>
      <c r="K7181" s="439"/>
      <c r="L7181" s="439"/>
      <c r="M7181" s="682"/>
    </row>
    <row r="7182" spans="3:13" hidden="1" x14ac:dyDescent="0.2">
      <c r="C7182" s="224"/>
      <c r="D7182" s="224"/>
      <c r="E7182" s="224"/>
      <c r="F7182" s="224"/>
      <c r="G7182" s="224"/>
      <c r="H7182" s="439"/>
      <c r="I7182" s="439"/>
      <c r="J7182" s="750" t="e">
        <f t="shared" si="96"/>
        <v>#DIV/0!</v>
      </c>
      <c r="K7182" s="439"/>
      <c r="L7182" s="439"/>
      <c r="M7182" s="682"/>
    </row>
    <row r="7183" spans="3:13" hidden="1" x14ac:dyDescent="0.2">
      <c r="C7183" s="224"/>
      <c r="D7183" s="224"/>
      <c r="E7183" s="224"/>
      <c r="F7183" s="224"/>
      <c r="G7183" s="224"/>
      <c r="H7183" s="439"/>
      <c r="I7183" s="439"/>
      <c r="J7183" s="750" t="e">
        <f t="shared" si="96"/>
        <v>#DIV/0!</v>
      </c>
      <c r="K7183" s="439"/>
      <c r="L7183" s="439"/>
      <c r="M7183" s="682"/>
    </row>
    <row r="7184" spans="3:13" hidden="1" x14ac:dyDescent="0.2">
      <c r="C7184" s="224"/>
      <c r="D7184" s="224"/>
      <c r="E7184" s="224"/>
      <c r="F7184" s="224"/>
      <c r="G7184" s="224"/>
      <c r="H7184" s="439"/>
      <c r="I7184" s="439"/>
      <c r="J7184" s="750" t="e">
        <f t="shared" si="96"/>
        <v>#DIV/0!</v>
      </c>
      <c r="K7184" s="439"/>
      <c r="L7184" s="439"/>
      <c r="M7184" s="682"/>
    </row>
    <row r="7185" spans="3:13" hidden="1" x14ac:dyDescent="0.2">
      <c r="C7185" s="224"/>
      <c r="D7185" s="224"/>
      <c r="E7185" s="224"/>
      <c r="F7185" s="224"/>
      <c r="G7185" s="224"/>
      <c r="H7185" s="439"/>
      <c r="I7185" s="439"/>
      <c r="J7185" s="750" t="e">
        <f t="shared" si="96"/>
        <v>#DIV/0!</v>
      </c>
      <c r="K7185" s="439"/>
      <c r="L7185" s="439"/>
      <c r="M7185" s="682"/>
    </row>
    <row r="7186" spans="3:13" hidden="1" x14ac:dyDescent="0.2">
      <c r="C7186" s="224"/>
      <c r="D7186" s="224"/>
      <c r="E7186" s="224"/>
      <c r="F7186" s="224"/>
      <c r="G7186" s="224"/>
      <c r="H7186" s="439"/>
      <c r="I7186" s="439"/>
      <c r="J7186" s="750" t="e">
        <f t="shared" si="96"/>
        <v>#DIV/0!</v>
      </c>
      <c r="K7186" s="439"/>
      <c r="L7186" s="439"/>
      <c r="M7186" s="682"/>
    </row>
    <row r="7187" spans="3:13" hidden="1" x14ac:dyDescent="0.2">
      <c r="C7187" s="224"/>
      <c r="D7187" s="224"/>
      <c r="E7187" s="224"/>
      <c r="F7187" s="224"/>
      <c r="G7187" s="224"/>
      <c r="H7187" s="439"/>
      <c r="I7187" s="439"/>
      <c r="J7187" s="750" t="e">
        <f t="shared" si="96"/>
        <v>#DIV/0!</v>
      </c>
      <c r="K7187" s="439"/>
      <c r="L7187" s="439"/>
      <c r="M7187" s="682"/>
    </row>
    <row r="7188" spans="3:13" hidden="1" x14ac:dyDescent="0.2">
      <c r="C7188" s="224"/>
      <c r="D7188" s="224"/>
      <c r="E7188" s="224"/>
      <c r="F7188" s="224"/>
      <c r="G7188" s="224"/>
      <c r="H7188" s="439"/>
      <c r="I7188" s="439"/>
      <c r="J7188" s="750" t="e">
        <f t="shared" si="96"/>
        <v>#DIV/0!</v>
      </c>
      <c r="K7188" s="439"/>
      <c r="L7188" s="439"/>
      <c r="M7188" s="682"/>
    </row>
    <row r="7189" spans="3:13" hidden="1" x14ac:dyDescent="0.2">
      <c r="C7189" s="224"/>
      <c r="D7189" s="224"/>
      <c r="E7189" s="224"/>
      <c r="F7189" s="224"/>
      <c r="G7189" s="224"/>
      <c r="H7189" s="439"/>
      <c r="I7189" s="439"/>
      <c r="J7189" s="750" t="e">
        <f t="shared" si="96"/>
        <v>#DIV/0!</v>
      </c>
      <c r="K7189" s="439"/>
      <c r="L7189" s="439"/>
      <c r="M7189" s="682"/>
    </row>
    <row r="7190" spans="3:13" hidden="1" x14ac:dyDescent="0.2">
      <c r="C7190" s="224"/>
      <c r="D7190" s="224"/>
      <c r="E7190" s="224"/>
      <c r="F7190" s="224"/>
      <c r="G7190" s="224"/>
      <c r="H7190" s="439"/>
      <c r="I7190" s="439"/>
      <c r="J7190" s="750" t="e">
        <f t="shared" si="96"/>
        <v>#DIV/0!</v>
      </c>
      <c r="K7190" s="439"/>
      <c r="L7190" s="439"/>
      <c r="M7190" s="682"/>
    </row>
    <row r="7191" spans="3:13" hidden="1" x14ac:dyDescent="0.2">
      <c r="C7191" s="224"/>
      <c r="D7191" s="224"/>
      <c r="E7191" s="224"/>
      <c r="F7191" s="224"/>
      <c r="G7191" s="224"/>
      <c r="H7191" s="439"/>
      <c r="I7191" s="439"/>
      <c r="J7191" s="750" t="e">
        <f t="shared" si="96"/>
        <v>#DIV/0!</v>
      </c>
      <c r="K7191" s="439"/>
      <c r="L7191" s="439"/>
      <c r="M7191" s="682"/>
    </row>
    <row r="7192" spans="3:13" hidden="1" x14ac:dyDescent="0.2">
      <c r="C7192" s="224"/>
      <c r="D7192" s="224"/>
      <c r="E7192" s="224"/>
      <c r="F7192" s="224"/>
      <c r="G7192" s="224"/>
      <c r="H7192" s="439"/>
      <c r="I7192" s="439"/>
      <c r="J7192" s="750" t="e">
        <f t="shared" si="96"/>
        <v>#DIV/0!</v>
      </c>
      <c r="K7192" s="439"/>
      <c r="L7192" s="439"/>
      <c r="M7192" s="682"/>
    </row>
    <row r="7193" spans="3:13" hidden="1" x14ac:dyDescent="0.2">
      <c r="C7193" s="224"/>
      <c r="D7193" s="224"/>
      <c r="E7193" s="224"/>
      <c r="F7193" s="224"/>
      <c r="G7193" s="224"/>
      <c r="H7193" s="439"/>
      <c r="I7193" s="439"/>
      <c r="J7193" s="750" t="e">
        <f t="shared" si="96"/>
        <v>#DIV/0!</v>
      </c>
      <c r="K7193" s="439"/>
      <c r="L7193" s="439"/>
      <c r="M7193" s="682"/>
    </row>
    <row r="7194" spans="3:13" hidden="1" x14ac:dyDescent="0.2">
      <c r="C7194" s="224"/>
      <c r="D7194" s="224"/>
      <c r="E7194" s="224"/>
      <c r="F7194" s="224"/>
      <c r="G7194" s="224"/>
      <c r="H7194" s="439"/>
      <c r="I7194" s="439"/>
      <c r="J7194" s="750" t="e">
        <f t="shared" si="96"/>
        <v>#DIV/0!</v>
      </c>
      <c r="K7194" s="439"/>
      <c r="L7194" s="439"/>
      <c r="M7194" s="682"/>
    </row>
    <row r="7195" spans="3:13" hidden="1" x14ac:dyDescent="0.2">
      <c r="C7195" s="224"/>
      <c r="D7195" s="224"/>
      <c r="E7195" s="224"/>
      <c r="F7195" s="224"/>
      <c r="G7195" s="224"/>
      <c r="H7195" s="439"/>
      <c r="I7195" s="439"/>
      <c r="J7195" s="750" t="e">
        <f t="shared" si="96"/>
        <v>#DIV/0!</v>
      </c>
      <c r="K7195" s="439"/>
      <c r="L7195" s="439"/>
      <c r="M7195" s="682"/>
    </row>
    <row r="7196" spans="3:13" hidden="1" x14ac:dyDescent="0.2">
      <c r="C7196" s="224"/>
      <c r="D7196" s="224"/>
      <c r="E7196" s="224"/>
      <c r="F7196" s="224"/>
      <c r="G7196" s="224"/>
      <c r="H7196" s="439"/>
      <c r="I7196" s="439"/>
      <c r="J7196" s="750" t="e">
        <f t="shared" si="96"/>
        <v>#DIV/0!</v>
      </c>
      <c r="K7196" s="439"/>
      <c r="L7196" s="439"/>
      <c r="M7196" s="682"/>
    </row>
    <row r="7197" spans="3:13" hidden="1" x14ac:dyDescent="0.2">
      <c r="C7197" s="224"/>
      <c r="D7197" s="224"/>
      <c r="E7197" s="224"/>
      <c r="F7197" s="224"/>
      <c r="G7197" s="224"/>
      <c r="H7197" s="439"/>
      <c r="I7197" s="439"/>
      <c r="J7197" s="750" t="e">
        <f t="shared" si="96"/>
        <v>#DIV/0!</v>
      </c>
      <c r="K7197" s="439"/>
      <c r="L7197" s="439"/>
      <c r="M7197" s="682"/>
    </row>
    <row r="7198" spans="3:13" hidden="1" x14ac:dyDescent="0.2">
      <c r="C7198" s="224"/>
      <c r="D7198" s="224"/>
      <c r="E7198" s="224"/>
      <c r="F7198" s="224"/>
      <c r="G7198" s="224"/>
      <c r="H7198" s="439"/>
      <c r="I7198" s="439"/>
      <c r="J7198" s="750" t="e">
        <f t="shared" si="96"/>
        <v>#DIV/0!</v>
      </c>
      <c r="K7198" s="439"/>
      <c r="L7198" s="439"/>
      <c r="M7198" s="682"/>
    </row>
    <row r="7199" spans="3:13" hidden="1" x14ac:dyDescent="0.2">
      <c r="C7199" s="224"/>
      <c r="D7199" s="224"/>
      <c r="E7199" s="224"/>
      <c r="F7199" s="224"/>
      <c r="G7199" s="224"/>
      <c r="H7199" s="439"/>
      <c r="I7199" s="439"/>
      <c r="J7199" s="750" t="e">
        <f t="shared" si="96"/>
        <v>#DIV/0!</v>
      </c>
      <c r="K7199" s="439"/>
      <c r="L7199" s="439"/>
      <c r="M7199" s="682"/>
    </row>
    <row r="7200" spans="3:13" hidden="1" x14ac:dyDescent="0.2">
      <c r="C7200" s="224"/>
      <c r="D7200" s="224"/>
      <c r="E7200" s="224"/>
      <c r="F7200" s="224"/>
      <c r="G7200" s="224"/>
      <c r="H7200" s="439"/>
      <c r="I7200" s="439"/>
      <c r="J7200" s="750" t="e">
        <f t="shared" si="96"/>
        <v>#DIV/0!</v>
      </c>
      <c r="K7200" s="439"/>
      <c r="L7200" s="439"/>
      <c r="M7200" s="682"/>
    </row>
    <row r="7201" spans="3:13" hidden="1" x14ac:dyDescent="0.2">
      <c r="C7201" s="224"/>
      <c r="D7201" s="224"/>
      <c r="E7201" s="224"/>
      <c r="F7201" s="224"/>
      <c r="G7201" s="224"/>
      <c r="H7201" s="439"/>
      <c r="I7201" s="439"/>
      <c r="J7201" s="750" t="e">
        <f t="shared" si="96"/>
        <v>#DIV/0!</v>
      </c>
      <c r="K7201" s="439"/>
      <c r="L7201" s="439"/>
      <c r="M7201" s="682"/>
    </row>
    <row r="7202" spans="3:13" hidden="1" x14ac:dyDescent="0.2">
      <c r="C7202" s="224"/>
      <c r="D7202" s="224"/>
      <c r="E7202" s="224"/>
      <c r="F7202" s="224"/>
      <c r="G7202" s="224"/>
      <c r="H7202" s="439"/>
      <c r="I7202" s="439"/>
      <c r="J7202" s="750" t="e">
        <f t="shared" si="96"/>
        <v>#DIV/0!</v>
      </c>
      <c r="K7202" s="439"/>
      <c r="L7202" s="439"/>
      <c r="M7202" s="682"/>
    </row>
    <row r="7203" spans="3:13" hidden="1" x14ac:dyDescent="0.2">
      <c r="C7203" s="224"/>
      <c r="D7203" s="224"/>
      <c r="E7203" s="224"/>
      <c r="F7203" s="224"/>
      <c r="G7203" s="224"/>
      <c r="H7203" s="439"/>
      <c r="I7203" s="439"/>
      <c r="J7203" s="750" t="e">
        <f t="shared" si="96"/>
        <v>#DIV/0!</v>
      </c>
      <c r="K7203" s="439"/>
      <c r="L7203" s="439"/>
      <c r="M7203" s="682"/>
    </row>
    <row r="7204" spans="3:13" hidden="1" x14ac:dyDescent="0.2">
      <c r="C7204" s="224"/>
      <c r="D7204" s="224"/>
      <c r="E7204" s="224"/>
      <c r="F7204" s="224"/>
      <c r="G7204" s="224"/>
      <c r="H7204" s="439"/>
      <c r="I7204" s="439"/>
      <c r="J7204" s="750" t="e">
        <f t="shared" si="96"/>
        <v>#DIV/0!</v>
      </c>
      <c r="K7204" s="439"/>
      <c r="L7204" s="439"/>
      <c r="M7204" s="682"/>
    </row>
    <row r="7205" spans="3:13" hidden="1" x14ac:dyDescent="0.2">
      <c r="C7205" s="224"/>
      <c r="D7205" s="224"/>
      <c r="E7205" s="224"/>
      <c r="F7205" s="224"/>
      <c r="G7205" s="224"/>
      <c r="H7205" s="439"/>
      <c r="I7205" s="439"/>
      <c r="J7205" s="750" t="e">
        <f t="shared" si="96"/>
        <v>#DIV/0!</v>
      </c>
      <c r="K7205" s="439"/>
      <c r="L7205" s="439"/>
      <c r="M7205" s="682"/>
    </row>
    <row r="7206" spans="3:13" hidden="1" x14ac:dyDescent="0.2">
      <c r="C7206" s="224"/>
      <c r="D7206" s="224"/>
      <c r="E7206" s="224"/>
      <c r="F7206" s="224"/>
      <c r="G7206" s="224"/>
      <c r="H7206" s="439"/>
      <c r="I7206" s="439"/>
      <c r="J7206" s="750" t="e">
        <f t="shared" si="96"/>
        <v>#DIV/0!</v>
      </c>
      <c r="K7206" s="439"/>
      <c r="L7206" s="439"/>
      <c r="M7206" s="682"/>
    </row>
    <row r="7207" spans="3:13" hidden="1" x14ac:dyDescent="0.2">
      <c r="C7207" s="224"/>
      <c r="D7207" s="224"/>
      <c r="E7207" s="224"/>
      <c r="F7207" s="224"/>
      <c r="G7207" s="224"/>
      <c r="H7207" s="439"/>
      <c r="I7207" s="439"/>
      <c r="J7207" s="750" t="e">
        <f t="shared" si="96"/>
        <v>#DIV/0!</v>
      </c>
      <c r="K7207" s="439"/>
      <c r="L7207" s="439"/>
      <c r="M7207" s="682"/>
    </row>
    <row r="7208" spans="3:13" hidden="1" x14ac:dyDescent="0.2">
      <c r="C7208" s="224"/>
      <c r="D7208" s="224"/>
      <c r="E7208" s="224"/>
      <c r="F7208" s="224"/>
      <c r="G7208" s="224"/>
      <c r="H7208" s="439"/>
      <c r="I7208" s="439"/>
      <c r="J7208" s="750" t="e">
        <f t="shared" si="96"/>
        <v>#DIV/0!</v>
      </c>
      <c r="K7208" s="439"/>
      <c r="L7208" s="439"/>
      <c r="M7208" s="682"/>
    </row>
    <row r="7209" spans="3:13" hidden="1" x14ac:dyDescent="0.2">
      <c r="C7209" s="224"/>
      <c r="D7209" s="224"/>
      <c r="E7209" s="224"/>
      <c r="F7209" s="224"/>
      <c r="G7209" s="224"/>
      <c r="H7209" s="439"/>
      <c r="I7209" s="439"/>
      <c r="J7209" s="750" t="e">
        <f t="shared" si="96"/>
        <v>#DIV/0!</v>
      </c>
      <c r="K7209" s="439"/>
      <c r="L7209" s="439"/>
      <c r="M7209" s="682"/>
    </row>
    <row r="7210" spans="3:13" hidden="1" x14ac:dyDescent="0.2">
      <c r="C7210" s="224"/>
      <c r="D7210" s="224"/>
      <c r="E7210" s="224"/>
      <c r="F7210" s="224"/>
      <c r="G7210" s="224"/>
      <c r="H7210" s="439"/>
      <c r="I7210" s="439"/>
      <c r="J7210" s="750" t="e">
        <f t="shared" si="96"/>
        <v>#DIV/0!</v>
      </c>
      <c r="K7210" s="439"/>
      <c r="L7210" s="439"/>
      <c r="M7210" s="682"/>
    </row>
    <row r="7211" spans="3:13" hidden="1" x14ac:dyDescent="0.2">
      <c r="C7211" s="224"/>
      <c r="D7211" s="224"/>
      <c r="E7211" s="224"/>
      <c r="F7211" s="224"/>
      <c r="G7211" s="224"/>
      <c r="H7211" s="439"/>
      <c r="I7211" s="439"/>
      <c r="J7211" s="750" t="e">
        <f t="shared" si="96"/>
        <v>#DIV/0!</v>
      </c>
      <c r="K7211" s="439"/>
      <c r="L7211" s="439"/>
      <c r="M7211" s="682"/>
    </row>
    <row r="7212" spans="3:13" hidden="1" x14ac:dyDescent="0.2">
      <c r="C7212" s="224"/>
      <c r="D7212" s="224"/>
      <c r="E7212" s="224"/>
      <c r="F7212" s="224"/>
      <c r="G7212" s="224"/>
      <c r="H7212" s="439"/>
      <c r="I7212" s="439"/>
      <c r="J7212" s="750" t="e">
        <f t="shared" si="96"/>
        <v>#DIV/0!</v>
      </c>
      <c r="K7212" s="439"/>
      <c r="L7212" s="439"/>
      <c r="M7212" s="682"/>
    </row>
    <row r="7213" spans="3:13" hidden="1" x14ac:dyDescent="0.2">
      <c r="C7213" s="224"/>
      <c r="D7213" s="224"/>
      <c r="E7213" s="224"/>
      <c r="F7213" s="224"/>
      <c r="G7213" s="224"/>
      <c r="H7213" s="439"/>
      <c r="I7213" s="439"/>
      <c r="J7213" s="750" t="e">
        <f t="shared" si="96"/>
        <v>#DIV/0!</v>
      </c>
      <c r="K7213" s="439"/>
      <c r="L7213" s="439"/>
      <c r="M7213" s="682"/>
    </row>
    <row r="7214" spans="3:13" hidden="1" x14ac:dyDescent="0.2">
      <c r="C7214" s="224"/>
      <c r="D7214" s="224"/>
      <c r="E7214" s="224"/>
      <c r="F7214" s="224"/>
      <c r="G7214" s="224"/>
      <c r="H7214" s="439"/>
      <c r="I7214" s="439"/>
      <c r="J7214" s="750" t="e">
        <f t="shared" si="96"/>
        <v>#DIV/0!</v>
      </c>
      <c r="K7214" s="439"/>
      <c r="L7214" s="439"/>
      <c r="M7214" s="682"/>
    </row>
    <row r="7215" spans="3:13" hidden="1" x14ac:dyDescent="0.2">
      <c r="C7215" s="224"/>
      <c r="D7215" s="224"/>
      <c r="E7215" s="224"/>
      <c r="F7215" s="224"/>
      <c r="G7215" s="224"/>
      <c r="H7215" s="439"/>
      <c r="I7215" s="439"/>
      <c r="J7215" s="750" t="e">
        <f t="shared" si="96"/>
        <v>#DIV/0!</v>
      </c>
      <c r="K7215" s="439"/>
      <c r="L7215" s="439"/>
      <c r="M7215" s="682"/>
    </row>
    <row r="7216" spans="3:13" hidden="1" x14ac:dyDescent="0.2">
      <c r="C7216" s="224"/>
      <c r="D7216" s="224"/>
      <c r="E7216" s="224"/>
      <c r="F7216" s="224"/>
      <c r="G7216" s="224"/>
      <c r="H7216" s="439"/>
      <c r="I7216" s="439"/>
      <c r="J7216" s="750" t="e">
        <f t="shared" si="96"/>
        <v>#DIV/0!</v>
      </c>
      <c r="K7216" s="439"/>
      <c r="L7216" s="439"/>
      <c r="M7216" s="682"/>
    </row>
    <row r="7217" spans="3:13" hidden="1" x14ac:dyDescent="0.2">
      <c r="C7217" s="224"/>
      <c r="D7217" s="224"/>
      <c r="E7217" s="224"/>
      <c r="F7217" s="224"/>
      <c r="G7217" s="224"/>
      <c r="H7217" s="439"/>
      <c r="I7217" s="439"/>
      <c r="J7217" s="750" t="e">
        <f t="shared" si="96"/>
        <v>#DIV/0!</v>
      </c>
      <c r="K7217" s="439"/>
      <c r="L7217" s="439"/>
      <c r="M7217" s="682"/>
    </row>
    <row r="7218" spans="3:13" hidden="1" x14ac:dyDescent="0.2">
      <c r="C7218" s="224"/>
      <c r="D7218" s="224"/>
      <c r="E7218" s="224"/>
      <c r="F7218" s="224"/>
      <c r="G7218" s="224"/>
      <c r="H7218" s="439"/>
      <c r="I7218" s="439"/>
      <c r="J7218" s="750" t="e">
        <f t="shared" si="96"/>
        <v>#DIV/0!</v>
      </c>
      <c r="K7218" s="439"/>
      <c r="L7218" s="439"/>
      <c r="M7218" s="682"/>
    </row>
    <row r="7219" spans="3:13" hidden="1" x14ac:dyDescent="0.2">
      <c r="C7219" s="224"/>
      <c r="D7219" s="224"/>
      <c r="E7219" s="224"/>
      <c r="F7219" s="224"/>
      <c r="G7219" s="224"/>
      <c r="H7219" s="439"/>
      <c r="I7219" s="439"/>
      <c r="J7219" s="750" t="e">
        <f t="shared" si="96"/>
        <v>#DIV/0!</v>
      </c>
      <c r="K7219" s="439"/>
      <c r="L7219" s="439"/>
      <c r="M7219" s="682"/>
    </row>
    <row r="7220" spans="3:13" hidden="1" x14ac:dyDescent="0.2">
      <c r="C7220" s="224"/>
      <c r="D7220" s="224"/>
      <c r="E7220" s="224"/>
      <c r="F7220" s="224"/>
      <c r="G7220" s="224"/>
      <c r="H7220" s="439"/>
      <c r="I7220" s="439"/>
      <c r="J7220" s="750" t="e">
        <f t="shared" si="96"/>
        <v>#DIV/0!</v>
      </c>
      <c r="K7220" s="439"/>
      <c r="L7220" s="439"/>
      <c r="M7220" s="682"/>
    </row>
    <row r="7221" spans="3:13" hidden="1" x14ac:dyDescent="0.2">
      <c r="C7221" s="224"/>
      <c r="D7221" s="224"/>
      <c r="E7221" s="224"/>
      <c r="F7221" s="224"/>
      <c r="G7221" s="224"/>
      <c r="H7221" s="439"/>
      <c r="I7221" s="439"/>
      <c r="J7221" s="750" t="e">
        <f t="shared" si="96"/>
        <v>#DIV/0!</v>
      </c>
      <c r="K7221" s="439"/>
      <c r="L7221" s="439"/>
      <c r="M7221" s="682"/>
    </row>
    <row r="7222" spans="3:13" hidden="1" x14ac:dyDescent="0.2">
      <c r="C7222" s="224"/>
      <c r="D7222" s="224"/>
      <c r="E7222" s="224"/>
      <c r="F7222" s="224"/>
      <c r="G7222" s="224"/>
      <c r="H7222" s="439"/>
      <c r="I7222" s="439"/>
      <c r="J7222" s="750" t="e">
        <f t="shared" si="96"/>
        <v>#DIV/0!</v>
      </c>
      <c r="K7222" s="439"/>
      <c r="L7222" s="439"/>
      <c r="M7222" s="682"/>
    </row>
    <row r="7223" spans="3:13" hidden="1" x14ac:dyDescent="0.2">
      <c r="C7223" s="224"/>
      <c r="D7223" s="224"/>
      <c r="E7223" s="224"/>
      <c r="F7223" s="224"/>
      <c r="G7223" s="224"/>
      <c r="H7223" s="439"/>
      <c r="I7223" s="439"/>
      <c r="J7223" s="750" t="e">
        <f t="shared" si="96"/>
        <v>#DIV/0!</v>
      </c>
      <c r="K7223" s="439"/>
      <c r="L7223" s="439"/>
      <c r="M7223" s="682"/>
    </row>
    <row r="7224" spans="3:13" hidden="1" x14ac:dyDescent="0.2">
      <c r="C7224" s="224"/>
      <c r="D7224" s="224"/>
      <c r="E7224" s="224"/>
      <c r="F7224" s="224"/>
      <c r="G7224" s="224"/>
      <c r="H7224" s="439"/>
      <c r="I7224" s="439"/>
      <c r="J7224" s="750" t="e">
        <f t="shared" si="96"/>
        <v>#DIV/0!</v>
      </c>
      <c r="K7224" s="439"/>
      <c r="L7224" s="439"/>
      <c r="M7224" s="682"/>
    </row>
    <row r="7225" spans="3:13" hidden="1" x14ac:dyDescent="0.2">
      <c r="C7225" s="224"/>
      <c r="D7225" s="224"/>
      <c r="E7225" s="224"/>
      <c r="F7225" s="224"/>
      <c r="G7225" s="224"/>
      <c r="H7225" s="439"/>
      <c r="I7225" s="439"/>
      <c r="J7225" s="750" t="e">
        <f t="shared" si="96"/>
        <v>#DIV/0!</v>
      </c>
      <c r="K7225" s="439"/>
      <c r="L7225" s="439"/>
      <c r="M7225" s="682"/>
    </row>
    <row r="7226" spans="3:13" hidden="1" x14ac:dyDescent="0.2">
      <c r="C7226" s="224"/>
      <c r="D7226" s="224"/>
      <c r="E7226" s="224"/>
      <c r="F7226" s="224"/>
      <c r="G7226" s="224"/>
      <c r="H7226" s="439"/>
      <c r="I7226" s="439"/>
      <c r="J7226" s="750" t="e">
        <f t="shared" si="96"/>
        <v>#DIV/0!</v>
      </c>
      <c r="K7226" s="439"/>
      <c r="L7226" s="439"/>
      <c r="M7226" s="682"/>
    </row>
    <row r="7227" spans="3:13" hidden="1" x14ac:dyDescent="0.2">
      <c r="C7227" s="224"/>
      <c r="D7227" s="224"/>
      <c r="E7227" s="224"/>
      <c r="F7227" s="224"/>
      <c r="G7227" s="224"/>
      <c r="H7227" s="439"/>
      <c r="I7227" s="439"/>
      <c r="J7227" s="750" t="e">
        <f t="shared" si="96"/>
        <v>#DIV/0!</v>
      </c>
      <c r="K7227" s="439"/>
      <c r="L7227" s="439"/>
      <c r="M7227" s="682"/>
    </row>
    <row r="7228" spans="3:13" hidden="1" x14ac:dyDescent="0.2">
      <c r="C7228" s="224"/>
      <c r="D7228" s="224"/>
      <c r="E7228" s="224"/>
      <c r="F7228" s="224"/>
      <c r="G7228" s="224"/>
      <c r="H7228" s="439"/>
      <c r="I7228" s="439"/>
      <c r="J7228" s="750" t="e">
        <f t="shared" si="96"/>
        <v>#DIV/0!</v>
      </c>
      <c r="K7228" s="439"/>
      <c r="L7228" s="439"/>
      <c r="M7228" s="682"/>
    </row>
    <row r="7229" spans="3:13" hidden="1" x14ac:dyDescent="0.2">
      <c r="C7229" s="224"/>
      <c r="D7229" s="224"/>
      <c r="E7229" s="224"/>
      <c r="F7229" s="224"/>
      <c r="G7229" s="224"/>
      <c r="H7229" s="439"/>
      <c r="I7229" s="439"/>
      <c r="J7229" s="750" t="e">
        <f t="shared" si="96"/>
        <v>#DIV/0!</v>
      </c>
      <c r="K7229" s="439"/>
      <c r="L7229" s="439"/>
      <c r="M7229" s="682"/>
    </row>
    <row r="7230" spans="3:13" hidden="1" x14ac:dyDescent="0.2">
      <c r="C7230" s="224"/>
      <c r="D7230" s="224"/>
      <c r="E7230" s="224"/>
      <c r="F7230" s="224"/>
      <c r="G7230" s="224"/>
      <c r="H7230" s="439"/>
      <c r="I7230" s="439"/>
      <c r="J7230" s="750" t="e">
        <f t="shared" si="96"/>
        <v>#DIV/0!</v>
      </c>
      <c r="K7230" s="439"/>
      <c r="L7230" s="439"/>
      <c r="M7230" s="682"/>
    </row>
    <row r="7231" spans="3:13" hidden="1" x14ac:dyDescent="0.2">
      <c r="C7231" s="224"/>
      <c r="D7231" s="224"/>
      <c r="E7231" s="224"/>
      <c r="F7231" s="224"/>
      <c r="G7231" s="224"/>
      <c r="H7231" s="439"/>
      <c r="I7231" s="439"/>
      <c r="J7231" s="750" t="e">
        <f t="shared" si="96"/>
        <v>#DIV/0!</v>
      </c>
      <c r="K7231" s="439"/>
      <c r="L7231" s="439"/>
      <c r="M7231" s="682"/>
    </row>
    <row r="7232" spans="3:13" hidden="1" x14ac:dyDescent="0.2">
      <c r="C7232" s="224"/>
      <c r="D7232" s="224"/>
      <c r="E7232" s="224"/>
      <c r="F7232" s="224"/>
      <c r="G7232" s="224"/>
      <c r="H7232" s="439"/>
      <c r="I7232" s="439"/>
      <c r="J7232" s="750" t="e">
        <f t="shared" si="96"/>
        <v>#DIV/0!</v>
      </c>
      <c r="K7232" s="439"/>
      <c r="L7232" s="439"/>
      <c r="M7232" s="682"/>
    </row>
    <row r="7233" spans="3:13" hidden="1" x14ac:dyDescent="0.2">
      <c r="C7233" s="224"/>
      <c r="D7233" s="224"/>
      <c r="E7233" s="224"/>
      <c r="F7233" s="224"/>
      <c r="G7233" s="224"/>
      <c r="H7233" s="439"/>
      <c r="I7233" s="439"/>
      <c r="J7233" s="750" t="e">
        <f t="shared" si="96"/>
        <v>#DIV/0!</v>
      </c>
      <c r="K7233" s="439"/>
      <c r="L7233" s="439"/>
      <c r="M7233" s="682"/>
    </row>
    <row r="7234" spans="3:13" hidden="1" x14ac:dyDescent="0.2">
      <c r="C7234" s="224"/>
      <c r="D7234" s="224"/>
      <c r="E7234" s="224"/>
      <c r="F7234" s="224"/>
      <c r="G7234" s="224"/>
      <c r="H7234" s="439"/>
      <c r="I7234" s="439"/>
      <c r="J7234" s="750" t="e">
        <f t="shared" si="96"/>
        <v>#DIV/0!</v>
      </c>
      <c r="K7234" s="439"/>
      <c r="L7234" s="439"/>
      <c r="M7234" s="682"/>
    </row>
    <row r="7235" spans="3:13" hidden="1" x14ac:dyDescent="0.2">
      <c r="C7235" s="224"/>
      <c r="D7235" s="224"/>
      <c r="E7235" s="224"/>
      <c r="F7235" s="224"/>
      <c r="G7235" s="224"/>
      <c r="H7235" s="439"/>
      <c r="I7235" s="439"/>
      <c r="J7235" s="750" t="e">
        <f t="shared" si="96"/>
        <v>#DIV/0!</v>
      </c>
      <c r="K7235" s="439"/>
      <c r="L7235" s="439"/>
      <c r="M7235" s="682"/>
    </row>
    <row r="7236" spans="3:13" hidden="1" x14ac:dyDescent="0.2">
      <c r="C7236" s="224"/>
      <c r="D7236" s="224"/>
      <c r="E7236" s="224"/>
      <c r="F7236" s="224"/>
      <c r="G7236" s="224"/>
      <c r="H7236" s="439"/>
      <c r="I7236" s="439"/>
      <c r="J7236" s="750" t="e">
        <f t="shared" si="96"/>
        <v>#DIV/0!</v>
      </c>
      <c r="K7236" s="439"/>
      <c r="L7236" s="439"/>
      <c r="M7236" s="682"/>
    </row>
    <row r="7237" spans="3:13" hidden="1" x14ac:dyDescent="0.2">
      <c r="C7237" s="224"/>
      <c r="D7237" s="224"/>
      <c r="E7237" s="224"/>
      <c r="F7237" s="224"/>
      <c r="G7237" s="224"/>
      <c r="H7237" s="439"/>
      <c r="I7237" s="439"/>
      <c r="J7237" s="750" t="e">
        <f t="shared" si="96"/>
        <v>#DIV/0!</v>
      </c>
      <c r="K7237" s="439"/>
      <c r="L7237" s="439"/>
      <c r="M7237" s="682"/>
    </row>
    <row r="7238" spans="3:13" hidden="1" x14ac:dyDescent="0.2">
      <c r="C7238" s="224"/>
      <c r="D7238" s="224"/>
      <c r="E7238" s="224"/>
      <c r="F7238" s="224"/>
      <c r="G7238" s="224"/>
      <c r="H7238" s="439"/>
      <c r="I7238" s="439"/>
      <c r="J7238" s="750" t="e">
        <f t="shared" si="96"/>
        <v>#DIV/0!</v>
      </c>
      <c r="K7238" s="439"/>
      <c r="L7238" s="439"/>
      <c r="M7238" s="682"/>
    </row>
    <row r="7239" spans="3:13" hidden="1" x14ac:dyDescent="0.2">
      <c r="C7239" s="224"/>
      <c r="D7239" s="224"/>
      <c r="E7239" s="224"/>
      <c r="F7239" s="224"/>
      <c r="G7239" s="224"/>
      <c r="H7239" s="439"/>
      <c r="I7239" s="439"/>
      <c r="J7239" s="750" t="e">
        <f t="shared" si="96"/>
        <v>#DIV/0!</v>
      </c>
      <c r="K7239" s="439"/>
      <c r="L7239" s="439"/>
      <c r="M7239" s="682"/>
    </row>
    <row r="7240" spans="3:13" hidden="1" x14ac:dyDescent="0.2">
      <c r="C7240" s="224"/>
      <c r="D7240" s="224"/>
      <c r="E7240" s="224"/>
      <c r="F7240" s="224"/>
      <c r="G7240" s="224"/>
      <c r="H7240" s="439"/>
      <c r="I7240" s="439"/>
      <c r="J7240" s="750" t="e">
        <f t="shared" si="96"/>
        <v>#DIV/0!</v>
      </c>
      <c r="K7240" s="439"/>
      <c r="L7240" s="439"/>
      <c r="M7240" s="682"/>
    </row>
    <row r="7241" spans="3:13" hidden="1" x14ac:dyDescent="0.2">
      <c r="C7241" s="224"/>
      <c r="D7241" s="224"/>
      <c r="E7241" s="224"/>
      <c r="F7241" s="224"/>
      <c r="G7241" s="224"/>
      <c r="H7241" s="439"/>
      <c r="I7241" s="439"/>
      <c r="J7241" s="750" t="e">
        <f t="shared" si="96"/>
        <v>#DIV/0!</v>
      </c>
      <c r="K7241" s="439"/>
      <c r="L7241" s="439"/>
      <c r="M7241" s="682"/>
    </row>
    <row r="7242" spans="3:13" hidden="1" x14ac:dyDescent="0.2">
      <c r="C7242" s="224"/>
      <c r="D7242" s="224"/>
      <c r="E7242" s="224"/>
      <c r="F7242" s="224"/>
      <c r="G7242" s="224"/>
      <c r="H7242" s="439"/>
      <c r="I7242" s="439"/>
      <c r="J7242" s="750" t="e">
        <f t="shared" si="96"/>
        <v>#DIV/0!</v>
      </c>
      <c r="K7242" s="439"/>
      <c r="L7242" s="439"/>
      <c r="M7242" s="682"/>
    </row>
    <row r="7243" spans="3:13" hidden="1" x14ac:dyDescent="0.2">
      <c r="C7243" s="224"/>
      <c r="D7243" s="224"/>
      <c r="E7243" s="224"/>
      <c r="F7243" s="224"/>
      <c r="G7243" s="224"/>
      <c r="H7243" s="439"/>
      <c r="I7243" s="439"/>
      <c r="J7243" s="750" t="e">
        <f t="shared" si="96"/>
        <v>#DIV/0!</v>
      </c>
      <c r="K7243" s="439"/>
      <c r="L7243" s="439"/>
      <c r="M7243" s="682"/>
    </row>
    <row r="7244" spans="3:13" hidden="1" x14ac:dyDescent="0.2">
      <c r="C7244" s="224"/>
      <c r="D7244" s="224"/>
      <c r="E7244" s="224"/>
      <c r="F7244" s="224"/>
      <c r="G7244" s="224"/>
      <c r="H7244" s="439"/>
      <c r="I7244" s="439"/>
      <c r="J7244" s="750" t="e">
        <f t="shared" si="96"/>
        <v>#DIV/0!</v>
      </c>
      <c r="K7244" s="439"/>
      <c r="L7244" s="439"/>
      <c r="M7244" s="682"/>
    </row>
    <row r="7245" spans="3:13" hidden="1" x14ac:dyDescent="0.2">
      <c r="C7245" s="224"/>
      <c r="D7245" s="224"/>
      <c r="E7245" s="224"/>
      <c r="F7245" s="224"/>
      <c r="G7245" s="224"/>
      <c r="H7245" s="439"/>
      <c r="I7245" s="439"/>
      <c r="J7245" s="750" t="e">
        <f t="shared" ref="J7245:J7308" si="97">SUM(I7245/H7245)*100</f>
        <v>#DIV/0!</v>
      </c>
      <c r="K7245" s="439"/>
      <c r="L7245" s="439"/>
      <c r="M7245" s="682"/>
    </row>
    <row r="7246" spans="3:13" hidden="1" x14ac:dyDescent="0.2">
      <c r="C7246" s="224"/>
      <c r="D7246" s="224"/>
      <c r="E7246" s="224"/>
      <c r="F7246" s="224"/>
      <c r="G7246" s="224"/>
      <c r="H7246" s="439"/>
      <c r="I7246" s="439"/>
      <c r="J7246" s="750" t="e">
        <f t="shared" si="97"/>
        <v>#DIV/0!</v>
      </c>
      <c r="K7246" s="439"/>
      <c r="L7246" s="439"/>
      <c r="M7246" s="682"/>
    </row>
    <row r="7247" spans="3:13" hidden="1" x14ac:dyDescent="0.2">
      <c r="C7247" s="224"/>
      <c r="D7247" s="224"/>
      <c r="E7247" s="224"/>
      <c r="F7247" s="224"/>
      <c r="G7247" s="224"/>
      <c r="H7247" s="439"/>
      <c r="I7247" s="439"/>
      <c r="J7247" s="750" t="e">
        <f t="shared" si="97"/>
        <v>#DIV/0!</v>
      </c>
      <c r="K7247" s="439"/>
      <c r="L7247" s="439"/>
      <c r="M7247" s="682"/>
    </row>
    <row r="7248" spans="3:13" hidden="1" x14ac:dyDescent="0.2">
      <c r="C7248" s="224"/>
      <c r="D7248" s="224"/>
      <c r="E7248" s="224"/>
      <c r="F7248" s="224"/>
      <c r="G7248" s="224"/>
      <c r="H7248" s="439"/>
      <c r="I7248" s="439"/>
      <c r="J7248" s="750" t="e">
        <f t="shared" si="97"/>
        <v>#DIV/0!</v>
      </c>
      <c r="K7248" s="439"/>
      <c r="L7248" s="439"/>
      <c r="M7248" s="682"/>
    </row>
    <row r="7249" spans="3:13" hidden="1" x14ac:dyDescent="0.2">
      <c r="C7249" s="224"/>
      <c r="D7249" s="224"/>
      <c r="E7249" s="224"/>
      <c r="F7249" s="224"/>
      <c r="G7249" s="224"/>
      <c r="H7249" s="439"/>
      <c r="I7249" s="439"/>
      <c r="J7249" s="750" t="e">
        <f t="shared" si="97"/>
        <v>#DIV/0!</v>
      </c>
      <c r="K7249" s="439"/>
      <c r="L7249" s="439"/>
      <c r="M7249" s="682"/>
    </row>
    <row r="7250" spans="3:13" hidden="1" x14ac:dyDescent="0.2">
      <c r="C7250" s="224"/>
      <c r="D7250" s="224"/>
      <c r="E7250" s="224"/>
      <c r="F7250" s="224"/>
      <c r="G7250" s="224"/>
      <c r="H7250" s="439"/>
      <c r="I7250" s="439"/>
      <c r="J7250" s="750" t="e">
        <f t="shared" si="97"/>
        <v>#DIV/0!</v>
      </c>
      <c r="K7250" s="439"/>
      <c r="L7250" s="439"/>
      <c r="M7250" s="682"/>
    </row>
    <row r="7251" spans="3:13" hidden="1" x14ac:dyDescent="0.2">
      <c r="C7251" s="224"/>
      <c r="D7251" s="224"/>
      <c r="E7251" s="224"/>
      <c r="F7251" s="224"/>
      <c r="G7251" s="224"/>
      <c r="H7251" s="439"/>
      <c r="I7251" s="439"/>
      <c r="J7251" s="750" t="e">
        <f t="shared" si="97"/>
        <v>#DIV/0!</v>
      </c>
      <c r="K7251" s="439"/>
      <c r="L7251" s="439"/>
      <c r="M7251" s="682"/>
    </row>
    <row r="7252" spans="3:13" hidden="1" x14ac:dyDescent="0.2">
      <c r="C7252" s="224"/>
      <c r="D7252" s="224"/>
      <c r="E7252" s="224"/>
      <c r="F7252" s="224"/>
      <c r="G7252" s="224"/>
      <c r="H7252" s="439"/>
      <c r="I7252" s="439"/>
      <c r="J7252" s="750" t="e">
        <f t="shared" si="97"/>
        <v>#DIV/0!</v>
      </c>
      <c r="K7252" s="439"/>
      <c r="L7252" s="439"/>
      <c r="M7252" s="682"/>
    </row>
    <row r="7253" spans="3:13" hidden="1" x14ac:dyDescent="0.2">
      <c r="C7253" s="224"/>
      <c r="D7253" s="224"/>
      <c r="E7253" s="224"/>
      <c r="F7253" s="224"/>
      <c r="G7253" s="224"/>
      <c r="H7253" s="439"/>
      <c r="I7253" s="439"/>
      <c r="J7253" s="750" t="e">
        <f t="shared" si="97"/>
        <v>#DIV/0!</v>
      </c>
      <c r="K7253" s="439"/>
      <c r="L7253" s="439"/>
      <c r="M7253" s="682"/>
    </row>
    <row r="7254" spans="3:13" hidden="1" x14ac:dyDescent="0.2">
      <c r="C7254" s="224"/>
      <c r="D7254" s="224"/>
      <c r="E7254" s="224"/>
      <c r="F7254" s="224"/>
      <c r="G7254" s="224"/>
      <c r="H7254" s="439"/>
      <c r="I7254" s="439"/>
      <c r="J7254" s="750" t="e">
        <f t="shared" si="97"/>
        <v>#DIV/0!</v>
      </c>
      <c r="K7254" s="439"/>
      <c r="L7254" s="439"/>
      <c r="M7254" s="682"/>
    </row>
    <row r="7255" spans="3:13" hidden="1" x14ac:dyDescent="0.2">
      <c r="C7255" s="224"/>
      <c r="D7255" s="224"/>
      <c r="E7255" s="224"/>
      <c r="F7255" s="224"/>
      <c r="G7255" s="224"/>
      <c r="H7255" s="439"/>
      <c r="I7255" s="439"/>
      <c r="J7255" s="750" t="e">
        <f t="shared" si="97"/>
        <v>#DIV/0!</v>
      </c>
      <c r="K7255" s="439"/>
      <c r="L7255" s="439"/>
      <c r="M7255" s="682"/>
    </row>
    <row r="7256" spans="3:13" hidden="1" x14ac:dyDescent="0.2">
      <c r="C7256" s="224"/>
      <c r="D7256" s="224"/>
      <c r="E7256" s="224"/>
      <c r="F7256" s="224"/>
      <c r="G7256" s="224"/>
      <c r="H7256" s="439"/>
      <c r="I7256" s="439"/>
      <c r="J7256" s="750" t="e">
        <f t="shared" si="97"/>
        <v>#DIV/0!</v>
      </c>
      <c r="K7256" s="439"/>
      <c r="L7256" s="439"/>
      <c r="M7256" s="682"/>
    </row>
    <row r="7257" spans="3:13" hidden="1" x14ac:dyDescent="0.2">
      <c r="C7257" s="224"/>
      <c r="D7257" s="224"/>
      <c r="E7257" s="224"/>
      <c r="F7257" s="224"/>
      <c r="G7257" s="224"/>
      <c r="H7257" s="439"/>
      <c r="I7257" s="439"/>
      <c r="J7257" s="750" t="e">
        <f t="shared" si="97"/>
        <v>#DIV/0!</v>
      </c>
      <c r="K7257" s="439"/>
      <c r="L7257" s="439"/>
      <c r="M7257" s="682"/>
    </row>
    <row r="7258" spans="3:13" hidden="1" x14ac:dyDescent="0.2">
      <c r="C7258" s="224"/>
      <c r="D7258" s="224"/>
      <c r="E7258" s="224"/>
      <c r="F7258" s="224"/>
      <c r="G7258" s="224"/>
      <c r="H7258" s="439"/>
      <c r="I7258" s="439"/>
      <c r="J7258" s="750" t="e">
        <f t="shared" si="97"/>
        <v>#DIV/0!</v>
      </c>
      <c r="K7258" s="439"/>
      <c r="L7258" s="439"/>
      <c r="M7258" s="682"/>
    </row>
    <row r="7259" spans="3:13" hidden="1" x14ac:dyDescent="0.2">
      <c r="C7259" s="224"/>
      <c r="D7259" s="224"/>
      <c r="E7259" s="224"/>
      <c r="F7259" s="224"/>
      <c r="G7259" s="224"/>
      <c r="H7259" s="439"/>
      <c r="I7259" s="439"/>
      <c r="J7259" s="750" t="e">
        <f t="shared" si="97"/>
        <v>#DIV/0!</v>
      </c>
      <c r="K7259" s="439"/>
      <c r="L7259" s="439"/>
      <c r="M7259" s="682"/>
    </row>
    <row r="7260" spans="3:13" hidden="1" x14ac:dyDescent="0.2">
      <c r="C7260" s="224"/>
      <c r="D7260" s="224"/>
      <c r="E7260" s="224"/>
      <c r="F7260" s="224"/>
      <c r="G7260" s="224"/>
      <c r="H7260" s="439"/>
      <c r="I7260" s="439"/>
      <c r="J7260" s="750" t="e">
        <f t="shared" si="97"/>
        <v>#DIV/0!</v>
      </c>
      <c r="K7260" s="439"/>
      <c r="L7260" s="439"/>
      <c r="M7260" s="682"/>
    </row>
    <row r="7261" spans="3:13" hidden="1" x14ac:dyDescent="0.2">
      <c r="C7261" s="224"/>
      <c r="D7261" s="224"/>
      <c r="E7261" s="224"/>
      <c r="F7261" s="224"/>
      <c r="G7261" s="224"/>
      <c r="H7261" s="439"/>
      <c r="I7261" s="439"/>
      <c r="J7261" s="750" t="e">
        <f t="shared" si="97"/>
        <v>#DIV/0!</v>
      </c>
      <c r="K7261" s="439"/>
      <c r="L7261" s="439"/>
      <c r="M7261" s="682"/>
    </row>
    <row r="7262" spans="3:13" hidden="1" x14ac:dyDescent="0.2">
      <c r="C7262" s="224"/>
      <c r="D7262" s="224"/>
      <c r="E7262" s="224"/>
      <c r="F7262" s="224"/>
      <c r="G7262" s="224"/>
      <c r="H7262" s="439"/>
      <c r="I7262" s="439"/>
      <c r="J7262" s="750" t="e">
        <f t="shared" si="97"/>
        <v>#DIV/0!</v>
      </c>
      <c r="K7262" s="439"/>
      <c r="L7262" s="439"/>
      <c r="M7262" s="682"/>
    </row>
    <row r="7263" spans="3:13" hidden="1" x14ac:dyDescent="0.2">
      <c r="C7263" s="224"/>
      <c r="D7263" s="224"/>
      <c r="E7263" s="224"/>
      <c r="F7263" s="224"/>
      <c r="G7263" s="224"/>
      <c r="H7263" s="439"/>
      <c r="I7263" s="439"/>
      <c r="J7263" s="750" t="e">
        <f t="shared" si="97"/>
        <v>#DIV/0!</v>
      </c>
      <c r="K7263" s="439"/>
      <c r="L7263" s="439"/>
      <c r="M7263" s="682"/>
    </row>
    <row r="7264" spans="3:13" hidden="1" x14ac:dyDescent="0.2">
      <c r="C7264" s="224"/>
      <c r="D7264" s="224"/>
      <c r="E7264" s="224"/>
      <c r="F7264" s="224"/>
      <c r="G7264" s="224"/>
      <c r="H7264" s="439"/>
      <c r="I7264" s="439"/>
      <c r="J7264" s="750" t="e">
        <f t="shared" si="97"/>
        <v>#DIV/0!</v>
      </c>
      <c r="K7264" s="439"/>
      <c r="L7264" s="439"/>
      <c r="M7264" s="682"/>
    </row>
    <row r="7265" spans="3:16" hidden="1" x14ac:dyDescent="0.2">
      <c r="C7265" s="224"/>
      <c r="D7265" s="224"/>
      <c r="E7265" s="224"/>
      <c r="F7265" s="224"/>
      <c r="G7265" s="224"/>
      <c r="H7265" s="439"/>
      <c r="I7265" s="439"/>
      <c r="J7265" s="750" t="e">
        <f t="shared" si="97"/>
        <v>#DIV/0!</v>
      </c>
      <c r="K7265" s="439"/>
      <c r="L7265" s="439"/>
      <c r="M7265" s="682"/>
    </row>
    <row r="7266" spans="3:16" hidden="1" x14ac:dyDescent="0.2">
      <c r="C7266" s="224"/>
      <c r="D7266" s="224"/>
      <c r="E7266" s="224"/>
      <c r="F7266" s="224"/>
      <c r="G7266" s="224"/>
      <c r="H7266" s="439"/>
      <c r="I7266" s="439"/>
      <c r="J7266" s="750" t="e">
        <f t="shared" si="97"/>
        <v>#DIV/0!</v>
      </c>
      <c r="K7266" s="439"/>
      <c r="L7266" s="439"/>
      <c r="M7266" s="682"/>
    </row>
    <row r="7267" spans="3:16" hidden="1" x14ac:dyDescent="0.2">
      <c r="C7267" s="224"/>
      <c r="D7267" s="224"/>
      <c r="E7267" s="224"/>
      <c r="F7267" s="224"/>
      <c r="G7267" s="224"/>
      <c r="H7267" s="439"/>
      <c r="I7267" s="439"/>
      <c r="J7267" s="750" t="e">
        <f t="shared" si="97"/>
        <v>#DIV/0!</v>
      </c>
      <c r="K7267" s="439"/>
      <c r="L7267" s="439"/>
      <c r="M7267" s="682"/>
    </row>
    <row r="7268" spans="3:16" hidden="1" x14ac:dyDescent="0.2">
      <c r="C7268" s="224"/>
      <c r="D7268" s="224"/>
      <c r="E7268" s="224"/>
      <c r="F7268" s="224"/>
      <c r="G7268" s="224"/>
      <c r="H7268" s="439"/>
      <c r="I7268" s="439"/>
      <c r="J7268" s="750" t="e">
        <f t="shared" si="97"/>
        <v>#DIV/0!</v>
      </c>
      <c r="K7268" s="439"/>
      <c r="L7268" s="439"/>
      <c r="M7268" s="682"/>
    </row>
    <row r="7269" spans="3:16" hidden="1" x14ac:dyDescent="0.2">
      <c r="C7269" s="224"/>
      <c r="D7269" s="224"/>
      <c r="E7269" s="224"/>
      <c r="F7269" s="224"/>
      <c r="G7269" s="224"/>
      <c r="H7269" s="439"/>
      <c r="I7269" s="439"/>
      <c r="J7269" s="750" t="e">
        <f t="shared" si="97"/>
        <v>#DIV/0!</v>
      </c>
      <c r="K7269" s="439"/>
      <c r="L7269" s="439"/>
      <c r="M7269" s="682"/>
    </row>
    <row r="7270" spans="3:16" hidden="1" x14ac:dyDescent="0.2">
      <c r="C7270" s="224"/>
      <c r="D7270" s="224"/>
      <c r="E7270" s="224"/>
      <c r="F7270" s="224"/>
      <c r="G7270" s="224"/>
      <c r="H7270" s="439"/>
      <c r="I7270" s="439"/>
      <c r="J7270" s="750" t="e">
        <f t="shared" si="97"/>
        <v>#DIV/0!</v>
      </c>
      <c r="K7270" s="439"/>
      <c r="L7270" s="439"/>
      <c r="M7270" s="682"/>
      <c r="N7270" s="502"/>
      <c r="O7270" s="502"/>
      <c r="P7270" s="620"/>
    </row>
    <row r="7271" spans="3:16" hidden="1" x14ac:dyDescent="0.2">
      <c r="C7271" s="224"/>
      <c r="D7271" s="224"/>
      <c r="E7271" s="224"/>
      <c r="F7271" s="224"/>
      <c r="G7271" s="224"/>
      <c r="H7271" s="439"/>
      <c r="I7271" s="439"/>
      <c r="J7271" s="750" t="e">
        <f t="shared" si="97"/>
        <v>#DIV/0!</v>
      </c>
      <c r="K7271" s="439"/>
      <c r="L7271" s="439"/>
      <c r="M7271" s="682"/>
      <c r="N7271" s="502"/>
      <c r="O7271" s="536"/>
      <c r="P7271" s="621"/>
    </row>
    <row r="7272" spans="3:16" hidden="1" x14ac:dyDescent="0.2">
      <c r="C7272" s="224"/>
      <c r="D7272" s="224"/>
      <c r="E7272" s="224"/>
      <c r="F7272" s="224"/>
      <c r="G7272" s="224"/>
      <c r="H7272" s="439"/>
      <c r="I7272" s="439"/>
      <c r="J7272" s="750" t="e">
        <f t="shared" si="97"/>
        <v>#DIV/0!</v>
      </c>
      <c r="K7272" s="439"/>
      <c r="L7272" s="439"/>
      <c r="M7272" s="682"/>
      <c r="N7272" s="502"/>
      <c r="O7272" s="536"/>
      <c r="P7272" s="621"/>
    </row>
    <row r="7273" spans="3:16" hidden="1" x14ac:dyDescent="0.2">
      <c r="C7273" s="224"/>
      <c r="D7273" s="224"/>
      <c r="E7273" s="224"/>
      <c r="F7273" s="224"/>
      <c r="G7273" s="224"/>
      <c r="H7273" s="439"/>
      <c r="I7273" s="439"/>
      <c r="J7273" s="750" t="e">
        <f t="shared" si="97"/>
        <v>#DIV/0!</v>
      </c>
      <c r="K7273" s="439"/>
      <c r="L7273" s="439"/>
      <c r="M7273" s="682"/>
      <c r="N7273" s="502"/>
      <c r="O7273" s="536"/>
      <c r="P7273" s="169"/>
    </row>
    <row r="7274" spans="3:16" hidden="1" x14ac:dyDescent="0.2">
      <c r="C7274" s="224"/>
      <c r="D7274" s="224"/>
      <c r="E7274" s="224"/>
      <c r="F7274" s="224"/>
      <c r="G7274" s="224"/>
      <c r="H7274" s="439"/>
      <c r="I7274" s="439"/>
      <c r="J7274" s="750" t="e">
        <f t="shared" si="97"/>
        <v>#DIV/0!</v>
      </c>
      <c r="K7274" s="439"/>
      <c r="L7274" s="439"/>
      <c r="M7274" s="682"/>
      <c r="N7274" s="502"/>
      <c r="O7274" s="536"/>
      <c r="P7274" s="170"/>
    </row>
    <row r="7275" spans="3:16" hidden="1" x14ac:dyDescent="0.2">
      <c r="C7275" s="224"/>
      <c r="D7275" s="224"/>
      <c r="E7275" s="224"/>
      <c r="F7275" s="224"/>
      <c r="G7275" s="224"/>
      <c r="H7275" s="439"/>
      <c r="I7275" s="439"/>
      <c r="J7275" s="750" t="e">
        <f t="shared" si="97"/>
        <v>#DIV/0!</v>
      </c>
      <c r="K7275" s="439"/>
      <c r="L7275" s="439"/>
      <c r="M7275" s="682"/>
      <c r="N7275" s="502"/>
      <c r="O7275" s="536"/>
      <c r="P7275" s="621"/>
    </row>
    <row r="7276" spans="3:16" hidden="1" x14ac:dyDescent="0.2">
      <c r="C7276" s="224"/>
      <c r="D7276" s="224"/>
      <c r="E7276" s="224"/>
      <c r="F7276" s="224"/>
      <c r="G7276" s="224"/>
      <c r="H7276" s="439"/>
      <c r="I7276" s="439"/>
      <c r="J7276" s="750" t="e">
        <f t="shared" si="97"/>
        <v>#DIV/0!</v>
      </c>
      <c r="K7276" s="439"/>
      <c r="L7276" s="439"/>
      <c r="M7276" s="682"/>
      <c r="N7276" s="502"/>
      <c r="O7276" s="502"/>
      <c r="P7276" s="620"/>
    </row>
    <row r="7277" spans="3:16" hidden="1" x14ac:dyDescent="0.2">
      <c r="C7277" s="224"/>
      <c r="D7277" s="224"/>
      <c r="E7277" s="224"/>
      <c r="F7277" s="224"/>
      <c r="G7277" s="224"/>
      <c r="H7277" s="439"/>
      <c r="I7277" s="439"/>
      <c r="J7277" s="750" t="e">
        <f t="shared" si="97"/>
        <v>#DIV/0!</v>
      </c>
      <c r="K7277" s="439"/>
      <c r="L7277" s="439"/>
      <c r="M7277" s="682"/>
      <c r="N7277" s="536"/>
      <c r="O7277" s="536"/>
      <c r="P7277" s="169"/>
    </row>
    <row r="7278" spans="3:16" hidden="1" x14ac:dyDescent="0.2">
      <c r="C7278" s="224"/>
      <c r="D7278" s="224"/>
      <c r="E7278" s="224"/>
      <c r="F7278" s="224"/>
      <c r="G7278" s="224"/>
      <c r="H7278" s="439"/>
      <c r="I7278" s="439"/>
      <c r="J7278" s="750" t="e">
        <f t="shared" si="97"/>
        <v>#DIV/0!</v>
      </c>
      <c r="K7278" s="439"/>
      <c r="L7278" s="439"/>
      <c r="M7278" s="682"/>
      <c r="N7278" s="536"/>
      <c r="O7278" s="536"/>
      <c r="P7278" s="171"/>
    </row>
    <row r="7279" spans="3:16" hidden="1" x14ac:dyDescent="0.2">
      <c r="C7279" s="224"/>
      <c r="D7279" s="224"/>
      <c r="E7279" s="224"/>
      <c r="F7279" s="224"/>
      <c r="G7279" s="224"/>
      <c r="H7279" s="439"/>
      <c r="I7279" s="439"/>
      <c r="J7279" s="750" t="e">
        <f t="shared" si="97"/>
        <v>#DIV/0!</v>
      </c>
      <c r="K7279" s="439"/>
      <c r="L7279" s="439"/>
      <c r="M7279" s="682"/>
      <c r="N7279" s="536"/>
      <c r="O7279" s="536"/>
      <c r="P7279" s="171"/>
    </row>
    <row r="7280" spans="3:16" hidden="1" x14ac:dyDescent="0.2">
      <c r="C7280" s="224"/>
      <c r="D7280" s="224"/>
      <c r="E7280" s="224"/>
      <c r="F7280" s="224"/>
      <c r="G7280" s="224"/>
      <c r="H7280" s="439"/>
      <c r="I7280" s="439"/>
      <c r="J7280" s="750" t="e">
        <f t="shared" si="97"/>
        <v>#DIV/0!</v>
      </c>
      <c r="K7280" s="439"/>
      <c r="L7280" s="439"/>
      <c r="M7280" s="682"/>
      <c r="N7280" s="536"/>
      <c r="O7280" s="536"/>
      <c r="P7280" s="171"/>
    </row>
    <row r="7281" spans="3:16" hidden="1" x14ac:dyDescent="0.2">
      <c r="C7281" s="224"/>
      <c r="D7281" s="224"/>
      <c r="E7281" s="224"/>
      <c r="F7281" s="224"/>
      <c r="G7281" s="224"/>
      <c r="H7281" s="439"/>
      <c r="I7281" s="439"/>
      <c r="J7281" s="750" t="e">
        <f t="shared" si="97"/>
        <v>#DIV/0!</v>
      </c>
      <c r="K7281" s="439"/>
      <c r="L7281" s="439"/>
      <c r="M7281" s="682"/>
      <c r="N7281" s="536"/>
      <c r="O7281" s="536"/>
      <c r="P7281" s="171"/>
    </row>
    <row r="7282" spans="3:16" hidden="1" x14ac:dyDescent="0.2">
      <c r="C7282" s="224"/>
      <c r="D7282" s="224"/>
      <c r="E7282" s="224"/>
      <c r="F7282" s="224"/>
      <c r="G7282" s="224"/>
      <c r="H7282" s="439"/>
      <c r="I7282" s="439"/>
      <c r="J7282" s="750" t="e">
        <f t="shared" si="97"/>
        <v>#DIV/0!</v>
      </c>
      <c r="K7282" s="439"/>
      <c r="L7282" s="439"/>
      <c r="M7282" s="682"/>
      <c r="N7282" s="536"/>
      <c r="O7282" s="536"/>
      <c r="P7282" s="171"/>
    </row>
    <row r="7283" spans="3:16" hidden="1" x14ac:dyDescent="0.2">
      <c r="C7283" s="224"/>
      <c r="D7283" s="224"/>
      <c r="E7283" s="224"/>
      <c r="F7283" s="224"/>
      <c r="G7283" s="224"/>
      <c r="H7283" s="439"/>
      <c r="I7283" s="439"/>
      <c r="J7283" s="750" t="e">
        <f t="shared" si="97"/>
        <v>#DIV/0!</v>
      </c>
      <c r="K7283" s="439"/>
      <c r="L7283" s="439"/>
      <c r="M7283" s="682"/>
      <c r="N7283" s="502"/>
      <c r="O7283" s="502"/>
      <c r="P7283" s="620"/>
    </row>
    <row r="7284" spans="3:16" hidden="1" x14ac:dyDescent="0.2">
      <c r="C7284" s="224"/>
      <c r="D7284" s="224"/>
      <c r="E7284" s="224"/>
      <c r="F7284" s="224"/>
      <c r="G7284" s="224"/>
      <c r="H7284" s="439"/>
      <c r="I7284" s="439"/>
      <c r="J7284" s="750" t="e">
        <f t="shared" si="97"/>
        <v>#DIV/0!</v>
      </c>
      <c r="K7284" s="439"/>
      <c r="L7284" s="439"/>
      <c r="M7284" s="682"/>
      <c r="N7284" s="502"/>
      <c r="O7284" s="502"/>
      <c r="P7284" s="620"/>
    </row>
    <row r="7285" spans="3:16" hidden="1" x14ac:dyDescent="0.2">
      <c r="C7285" s="224"/>
      <c r="D7285" s="224"/>
      <c r="E7285" s="224"/>
      <c r="F7285" s="224"/>
      <c r="G7285" s="224"/>
      <c r="H7285" s="439"/>
      <c r="I7285" s="439"/>
      <c r="J7285" s="750" t="e">
        <f t="shared" si="97"/>
        <v>#DIV/0!</v>
      </c>
      <c r="K7285" s="439"/>
      <c r="L7285" s="439"/>
      <c r="M7285" s="682"/>
    </row>
    <row r="7286" spans="3:16" hidden="1" x14ac:dyDescent="0.2">
      <c r="C7286" s="224"/>
      <c r="D7286" s="224"/>
      <c r="E7286" s="224"/>
      <c r="F7286" s="224"/>
      <c r="G7286" s="224"/>
      <c r="H7286" s="439"/>
      <c r="I7286" s="439"/>
      <c r="J7286" s="750" t="e">
        <f t="shared" si="97"/>
        <v>#DIV/0!</v>
      </c>
      <c r="K7286" s="439"/>
      <c r="L7286" s="439"/>
      <c r="M7286" s="682"/>
    </row>
    <row r="7287" spans="3:16" hidden="1" x14ac:dyDescent="0.2">
      <c r="C7287" s="224"/>
      <c r="D7287" s="224"/>
      <c r="E7287" s="224"/>
      <c r="F7287" s="224"/>
      <c r="G7287" s="224"/>
      <c r="H7287" s="439"/>
      <c r="I7287" s="439"/>
      <c r="J7287" s="750" t="e">
        <f t="shared" si="97"/>
        <v>#DIV/0!</v>
      </c>
      <c r="K7287" s="439"/>
      <c r="L7287" s="439"/>
      <c r="M7287" s="682"/>
    </row>
    <row r="7288" spans="3:16" hidden="1" x14ac:dyDescent="0.2">
      <c r="C7288" s="224"/>
      <c r="D7288" s="224"/>
      <c r="E7288" s="224"/>
      <c r="F7288" s="224"/>
      <c r="G7288" s="224"/>
      <c r="H7288" s="439"/>
      <c r="I7288" s="439"/>
      <c r="J7288" s="750" t="e">
        <f t="shared" si="97"/>
        <v>#DIV/0!</v>
      </c>
      <c r="K7288" s="439"/>
      <c r="L7288" s="439"/>
      <c r="M7288" s="682"/>
    </row>
    <row r="7289" spans="3:16" hidden="1" x14ac:dyDescent="0.2">
      <c r="C7289" s="224"/>
      <c r="D7289" s="224"/>
      <c r="E7289" s="224"/>
      <c r="F7289" s="224"/>
      <c r="G7289" s="224"/>
      <c r="H7289" s="439"/>
      <c r="I7289" s="439"/>
      <c r="J7289" s="750" t="e">
        <f t="shared" si="97"/>
        <v>#DIV/0!</v>
      </c>
      <c r="K7289" s="439"/>
      <c r="L7289" s="439"/>
      <c r="M7289" s="682"/>
    </row>
    <row r="7290" spans="3:16" hidden="1" x14ac:dyDescent="0.2">
      <c r="C7290" s="224"/>
      <c r="D7290" s="224"/>
      <c r="E7290" s="224"/>
      <c r="F7290" s="224"/>
      <c r="G7290" s="224"/>
      <c r="H7290" s="439"/>
      <c r="I7290" s="439"/>
      <c r="J7290" s="750" t="e">
        <f t="shared" si="97"/>
        <v>#DIV/0!</v>
      </c>
      <c r="K7290" s="439"/>
      <c r="L7290" s="439"/>
      <c r="M7290" s="682"/>
    </row>
    <row r="7291" spans="3:16" hidden="1" x14ac:dyDescent="0.2">
      <c r="C7291" s="224"/>
      <c r="D7291" s="224"/>
      <c r="E7291" s="224"/>
      <c r="F7291" s="224"/>
      <c r="G7291" s="224"/>
      <c r="H7291" s="439"/>
      <c r="I7291" s="439"/>
      <c r="J7291" s="750" t="e">
        <f t="shared" si="97"/>
        <v>#DIV/0!</v>
      </c>
      <c r="K7291" s="439"/>
      <c r="L7291" s="439"/>
      <c r="M7291" s="682"/>
    </row>
    <row r="7292" spans="3:16" hidden="1" x14ac:dyDescent="0.2">
      <c r="C7292" s="224"/>
      <c r="D7292" s="224"/>
      <c r="E7292" s="224"/>
      <c r="F7292" s="224"/>
      <c r="G7292" s="224"/>
      <c r="H7292" s="439"/>
      <c r="I7292" s="439"/>
      <c r="J7292" s="750" t="e">
        <f t="shared" si="97"/>
        <v>#DIV/0!</v>
      </c>
      <c r="K7292" s="439"/>
      <c r="L7292" s="439"/>
      <c r="M7292" s="682"/>
    </row>
    <row r="7293" spans="3:16" hidden="1" x14ac:dyDescent="0.2">
      <c r="C7293" s="224"/>
      <c r="D7293" s="224"/>
      <c r="E7293" s="224"/>
      <c r="F7293" s="224"/>
      <c r="G7293" s="224"/>
      <c r="H7293" s="439"/>
      <c r="I7293" s="439"/>
      <c r="J7293" s="750" t="e">
        <f t="shared" si="97"/>
        <v>#DIV/0!</v>
      </c>
      <c r="K7293" s="439"/>
      <c r="L7293" s="439"/>
      <c r="M7293" s="682"/>
    </row>
    <row r="7294" spans="3:16" hidden="1" x14ac:dyDescent="0.2">
      <c r="C7294" s="224"/>
      <c r="D7294" s="224"/>
      <c r="E7294" s="224"/>
      <c r="F7294" s="224"/>
      <c r="G7294" s="224"/>
      <c r="H7294" s="439"/>
      <c r="I7294" s="439"/>
      <c r="J7294" s="750" t="e">
        <f t="shared" si="97"/>
        <v>#DIV/0!</v>
      </c>
      <c r="K7294" s="439"/>
      <c r="L7294" s="439"/>
      <c r="M7294" s="682"/>
    </row>
    <row r="7295" spans="3:16" hidden="1" x14ac:dyDescent="0.2">
      <c r="C7295" s="224"/>
      <c r="D7295" s="224"/>
      <c r="E7295" s="224"/>
      <c r="F7295" s="224"/>
      <c r="G7295" s="224"/>
      <c r="H7295" s="439"/>
      <c r="I7295" s="439"/>
      <c r="J7295" s="750" t="e">
        <f t="shared" si="97"/>
        <v>#DIV/0!</v>
      </c>
      <c r="K7295" s="439"/>
      <c r="L7295" s="439"/>
      <c r="M7295" s="682"/>
    </row>
    <row r="7296" spans="3:16" hidden="1" x14ac:dyDescent="0.2">
      <c r="C7296" s="224"/>
      <c r="D7296" s="224"/>
      <c r="E7296" s="224"/>
      <c r="F7296" s="224"/>
      <c r="G7296" s="224"/>
      <c r="H7296" s="439"/>
      <c r="I7296" s="439"/>
      <c r="J7296" s="750" t="e">
        <f t="shared" si="97"/>
        <v>#DIV/0!</v>
      </c>
      <c r="K7296" s="439"/>
      <c r="L7296" s="439"/>
      <c r="M7296" s="682"/>
    </row>
    <row r="7297" spans="3:13" hidden="1" x14ac:dyDescent="0.2">
      <c r="C7297" s="224"/>
      <c r="D7297" s="224"/>
      <c r="E7297" s="224"/>
      <c r="F7297" s="224"/>
      <c r="G7297" s="224"/>
      <c r="H7297" s="439"/>
      <c r="I7297" s="439"/>
      <c r="J7297" s="750" t="e">
        <f t="shared" si="97"/>
        <v>#DIV/0!</v>
      </c>
      <c r="K7297" s="439"/>
      <c r="L7297" s="439"/>
      <c r="M7297" s="682"/>
    </row>
    <row r="7298" spans="3:13" hidden="1" x14ac:dyDescent="0.2">
      <c r="C7298" s="224"/>
      <c r="D7298" s="224"/>
      <c r="E7298" s="224"/>
      <c r="F7298" s="224"/>
      <c r="G7298" s="224"/>
      <c r="H7298" s="439"/>
      <c r="I7298" s="439"/>
      <c r="J7298" s="750" t="e">
        <f t="shared" si="97"/>
        <v>#DIV/0!</v>
      </c>
      <c r="K7298" s="439"/>
      <c r="L7298" s="439"/>
      <c r="M7298" s="682"/>
    </row>
    <row r="7299" spans="3:13" hidden="1" x14ac:dyDescent="0.2">
      <c r="C7299" s="224"/>
      <c r="D7299" s="224"/>
      <c r="E7299" s="224"/>
      <c r="F7299" s="224"/>
      <c r="G7299" s="224"/>
      <c r="H7299" s="439"/>
      <c r="I7299" s="439"/>
      <c r="J7299" s="750" t="e">
        <f t="shared" si="97"/>
        <v>#DIV/0!</v>
      </c>
      <c r="K7299" s="439"/>
      <c r="L7299" s="439"/>
      <c r="M7299" s="682"/>
    </row>
    <row r="7300" spans="3:13" hidden="1" x14ac:dyDescent="0.2">
      <c r="C7300" s="224"/>
      <c r="D7300" s="224"/>
      <c r="E7300" s="224"/>
      <c r="F7300" s="224"/>
      <c r="G7300" s="224"/>
      <c r="H7300" s="439"/>
      <c r="I7300" s="439"/>
      <c r="J7300" s="750" t="e">
        <f t="shared" si="97"/>
        <v>#DIV/0!</v>
      </c>
      <c r="K7300" s="439"/>
      <c r="L7300" s="439"/>
      <c r="M7300" s="682"/>
    </row>
    <row r="7301" spans="3:13" hidden="1" x14ac:dyDescent="0.2">
      <c r="C7301" s="224"/>
      <c r="D7301" s="224"/>
      <c r="E7301" s="224"/>
      <c r="F7301" s="224"/>
      <c r="G7301" s="224"/>
      <c r="H7301" s="439"/>
      <c r="I7301" s="439"/>
      <c r="J7301" s="750" t="e">
        <f t="shared" si="97"/>
        <v>#DIV/0!</v>
      </c>
      <c r="K7301" s="439"/>
      <c r="L7301" s="439"/>
      <c r="M7301" s="682"/>
    </row>
    <row r="7302" spans="3:13" hidden="1" x14ac:dyDescent="0.2">
      <c r="C7302" s="224"/>
      <c r="D7302" s="224"/>
      <c r="E7302" s="224"/>
      <c r="F7302" s="224"/>
      <c r="G7302" s="224"/>
      <c r="H7302" s="439"/>
      <c r="I7302" s="439"/>
      <c r="J7302" s="750" t="e">
        <f t="shared" si="97"/>
        <v>#DIV/0!</v>
      </c>
      <c r="K7302" s="439"/>
      <c r="L7302" s="439"/>
      <c r="M7302" s="682"/>
    </row>
    <row r="7303" spans="3:13" hidden="1" x14ac:dyDescent="0.2">
      <c r="C7303" s="224"/>
      <c r="D7303" s="224"/>
      <c r="E7303" s="224"/>
      <c r="F7303" s="224"/>
      <c r="G7303" s="224"/>
      <c r="H7303" s="439"/>
      <c r="I7303" s="439"/>
      <c r="J7303" s="750" t="e">
        <f t="shared" si="97"/>
        <v>#DIV/0!</v>
      </c>
      <c r="K7303" s="439"/>
      <c r="L7303" s="439"/>
      <c r="M7303" s="682"/>
    </row>
    <row r="7304" spans="3:13" hidden="1" x14ac:dyDescent="0.2">
      <c r="C7304" s="224"/>
      <c r="D7304" s="224"/>
      <c r="E7304" s="224"/>
      <c r="F7304" s="224"/>
      <c r="G7304" s="224"/>
      <c r="H7304" s="439"/>
      <c r="I7304" s="439"/>
      <c r="J7304" s="750" t="e">
        <f t="shared" si="97"/>
        <v>#DIV/0!</v>
      </c>
      <c r="K7304" s="439"/>
      <c r="L7304" s="439"/>
      <c r="M7304" s="682"/>
    </row>
    <row r="7305" spans="3:13" hidden="1" x14ac:dyDescent="0.2">
      <c r="C7305" s="224"/>
      <c r="D7305" s="224"/>
      <c r="E7305" s="224"/>
      <c r="F7305" s="224"/>
      <c r="G7305" s="224"/>
      <c r="H7305" s="439"/>
      <c r="I7305" s="439"/>
      <c r="J7305" s="750" t="e">
        <f t="shared" si="97"/>
        <v>#DIV/0!</v>
      </c>
      <c r="K7305" s="439"/>
      <c r="L7305" s="439"/>
      <c r="M7305" s="682"/>
    </row>
    <row r="7306" spans="3:13" hidden="1" x14ac:dyDescent="0.2">
      <c r="C7306" s="224"/>
      <c r="D7306" s="224"/>
      <c r="E7306" s="224"/>
      <c r="F7306" s="224"/>
      <c r="G7306" s="224"/>
      <c r="H7306" s="439"/>
      <c r="I7306" s="439"/>
      <c r="J7306" s="750" t="e">
        <f t="shared" si="97"/>
        <v>#DIV/0!</v>
      </c>
      <c r="K7306" s="439"/>
      <c r="L7306" s="439"/>
      <c r="M7306" s="682"/>
    </row>
    <row r="7307" spans="3:13" hidden="1" x14ac:dyDescent="0.2">
      <c r="C7307" s="224"/>
      <c r="D7307" s="224"/>
      <c r="E7307" s="224"/>
      <c r="F7307" s="224"/>
      <c r="G7307" s="224"/>
      <c r="H7307" s="439"/>
      <c r="I7307" s="439"/>
      <c r="J7307" s="750" t="e">
        <f t="shared" si="97"/>
        <v>#DIV/0!</v>
      </c>
      <c r="K7307" s="439"/>
      <c r="L7307" s="439"/>
      <c r="M7307" s="682"/>
    </row>
    <row r="7308" spans="3:13" hidden="1" x14ac:dyDescent="0.2">
      <c r="C7308" s="224"/>
      <c r="D7308" s="224"/>
      <c r="E7308" s="224"/>
      <c r="F7308" s="224"/>
      <c r="G7308" s="224"/>
      <c r="H7308" s="439"/>
      <c r="I7308" s="439"/>
      <c r="J7308" s="750" t="e">
        <f t="shared" si="97"/>
        <v>#DIV/0!</v>
      </c>
      <c r="K7308" s="439"/>
      <c r="L7308" s="439"/>
      <c r="M7308" s="682"/>
    </row>
    <row r="7309" spans="3:13" hidden="1" x14ac:dyDescent="0.2">
      <c r="C7309" s="224"/>
      <c r="D7309" s="224"/>
      <c r="E7309" s="224"/>
      <c r="F7309" s="224"/>
      <c r="G7309" s="224"/>
      <c r="H7309" s="439"/>
      <c r="I7309" s="439"/>
      <c r="J7309" s="750" t="e">
        <f t="shared" ref="J7309:J7372" si="98">SUM(I7309/H7309)*100</f>
        <v>#DIV/0!</v>
      </c>
      <c r="K7309" s="439"/>
      <c r="L7309" s="439"/>
      <c r="M7309" s="682"/>
    </row>
    <row r="7310" spans="3:13" hidden="1" x14ac:dyDescent="0.2">
      <c r="C7310" s="224"/>
      <c r="D7310" s="224"/>
      <c r="E7310" s="224"/>
      <c r="F7310" s="224"/>
      <c r="G7310" s="224"/>
      <c r="H7310" s="439"/>
      <c r="I7310" s="439"/>
      <c r="J7310" s="750" t="e">
        <f t="shared" si="98"/>
        <v>#DIV/0!</v>
      </c>
      <c r="K7310" s="439"/>
      <c r="L7310" s="439"/>
      <c r="M7310" s="682"/>
    </row>
    <row r="7311" spans="3:13" hidden="1" x14ac:dyDescent="0.2">
      <c r="C7311" s="224"/>
      <c r="D7311" s="224"/>
      <c r="E7311" s="224"/>
      <c r="F7311" s="224"/>
      <c r="G7311" s="224"/>
      <c r="H7311" s="439"/>
      <c r="I7311" s="439"/>
      <c r="J7311" s="750" t="e">
        <f t="shared" si="98"/>
        <v>#DIV/0!</v>
      </c>
      <c r="K7311" s="439"/>
      <c r="L7311" s="439"/>
      <c r="M7311" s="682"/>
    </row>
    <row r="7312" spans="3:13" hidden="1" x14ac:dyDescent="0.2">
      <c r="C7312" s="224"/>
      <c r="D7312" s="224"/>
      <c r="E7312" s="224"/>
      <c r="F7312" s="224"/>
      <c r="G7312" s="224"/>
      <c r="H7312" s="439"/>
      <c r="I7312" s="439"/>
      <c r="J7312" s="750" t="e">
        <f t="shared" si="98"/>
        <v>#DIV/0!</v>
      </c>
      <c r="K7312" s="439"/>
      <c r="L7312" s="439"/>
      <c r="M7312" s="682"/>
    </row>
    <row r="7313" spans="2:13" hidden="1" x14ac:dyDescent="0.2">
      <c r="C7313" s="224"/>
      <c r="D7313" s="224"/>
      <c r="E7313" s="224"/>
      <c r="F7313" s="224"/>
      <c r="G7313" s="224"/>
      <c r="H7313" s="439"/>
      <c r="I7313" s="439"/>
      <c r="J7313" s="750" t="e">
        <f t="shared" si="98"/>
        <v>#DIV/0!</v>
      </c>
      <c r="K7313" s="439"/>
      <c r="L7313" s="439"/>
      <c r="M7313" s="682"/>
    </row>
    <row r="7314" spans="2:13" hidden="1" x14ac:dyDescent="0.2">
      <c r="C7314" s="224"/>
      <c r="D7314" s="224"/>
      <c r="E7314" s="224"/>
      <c r="F7314" s="224"/>
      <c r="G7314" s="224"/>
      <c r="H7314" s="439"/>
      <c r="I7314" s="439"/>
      <c r="J7314" s="750" t="e">
        <f t="shared" si="98"/>
        <v>#DIV/0!</v>
      </c>
      <c r="K7314" s="439"/>
      <c r="L7314" s="439"/>
      <c r="M7314" s="682"/>
    </row>
    <row r="7315" spans="2:13" hidden="1" x14ac:dyDescent="0.2">
      <c r="C7315" s="224"/>
      <c r="D7315" s="224"/>
      <c r="E7315" s="224"/>
      <c r="F7315" s="224"/>
      <c r="G7315" s="224"/>
      <c r="H7315" s="439"/>
      <c r="I7315" s="439"/>
      <c r="J7315" s="750" t="e">
        <f t="shared" si="98"/>
        <v>#DIV/0!</v>
      </c>
      <c r="K7315" s="439"/>
      <c r="L7315" s="439"/>
      <c r="M7315" s="682"/>
    </row>
    <row r="7316" spans="2:13" hidden="1" x14ac:dyDescent="0.2">
      <c r="C7316" s="224"/>
      <c r="D7316" s="224"/>
      <c r="E7316" s="224"/>
      <c r="F7316" s="224"/>
      <c r="G7316" s="224"/>
      <c r="H7316" s="439"/>
      <c r="I7316" s="439"/>
      <c r="J7316" s="750" t="e">
        <f t="shared" si="98"/>
        <v>#DIV/0!</v>
      </c>
      <c r="K7316" s="439"/>
      <c r="L7316" s="439"/>
      <c r="M7316" s="682"/>
    </row>
    <row r="7317" spans="2:13" hidden="1" x14ac:dyDescent="0.2">
      <c r="C7317" s="224"/>
      <c r="D7317" s="224"/>
      <c r="E7317" s="224"/>
      <c r="F7317" s="224"/>
      <c r="G7317" s="224"/>
      <c r="H7317" s="439"/>
      <c r="I7317" s="439"/>
      <c r="J7317" s="750" t="e">
        <f t="shared" si="98"/>
        <v>#DIV/0!</v>
      </c>
      <c r="K7317" s="439"/>
      <c r="L7317" s="439"/>
      <c r="M7317" s="682"/>
    </row>
    <row r="7318" spans="2:13" hidden="1" x14ac:dyDescent="0.2">
      <c r="C7318" s="224"/>
      <c r="D7318" s="224"/>
      <c r="E7318" s="224"/>
      <c r="F7318" s="224"/>
      <c r="G7318" s="224"/>
      <c r="H7318" s="439"/>
      <c r="I7318" s="439"/>
      <c r="J7318" s="750" t="e">
        <f t="shared" si="98"/>
        <v>#DIV/0!</v>
      </c>
      <c r="K7318" s="439"/>
      <c r="L7318" s="439"/>
      <c r="M7318" s="682"/>
    </row>
    <row r="7319" spans="2:13" hidden="1" x14ac:dyDescent="0.2">
      <c r="C7319" s="224"/>
      <c r="D7319" s="224"/>
      <c r="E7319" s="224"/>
      <c r="F7319" s="224"/>
      <c r="G7319" s="224"/>
      <c r="H7319" s="439"/>
      <c r="I7319" s="439"/>
      <c r="J7319" s="750" t="e">
        <f t="shared" si="98"/>
        <v>#DIV/0!</v>
      </c>
      <c r="K7319" s="439"/>
      <c r="L7319" s="439"/>
      <c r="M7319" s="682"/>
    </row>
    <row r="7320" spans="2:13" hidden="1" x14ac:dyDescent="0.2">
      <c r="C7320" s="224"/>
      <c r="D7320" s="224"/>
      <c r="E7320" s="224"/>
      <c r="F7320" s="224"/>
      <c r="G7320" s="224"/>
      <c r="H7320" s="439"/>
      <c r="I7320" s="439"/>
      <c r="J7320" s="750" t="e">
        <f t="shared" si="98"/>
        <v>#DIV/0!</v>
      </c>
      <c r="K7320" s="439"/>
      <c r="L7320" s="439"/>
      <c r="M7320" s="682"/>
    </row>
    <row r="7321" spans="2:13" hidden="1" x14ac:dyDescent="0.2">
      <c r="C7321" s="224"/>
      <c r="D7321" s="224"/>
      <c r="E7321" s="224"/>
      <c r="F7321" s="224"/>
      <c r="G7321" s="224"/>
      <c r="H7321" s="439"/>
      <c r="I7321" s="439"/>
      <c r="J7321" s="750" t="e">
        <f t="shared" si="98"/>
        <v>#DIV/0!</v>
      </c>
      <c r="K7321" s="439"/>
      <c r="L7321" s="439"/>
      <c r="M7321" s="682"/>
    </row>
    <row r="7322" spans="2:13" hidden="1" x14ac:dyDescent="0.2">
      <c r="C7322" s="224"/>
      <c r="D7322" s="224"/>
      <c r="E7322" s="224"/>
      <c r="F7322" s="224"/>
      <c r="G7322" s="224"/>
      <c r="H7322" s="439"/>
      <c r="I7322" s="439"/>
      <c r="J7322" s="750" t="e">
        <f t="shared" si="98"/>
        <v>#DIV/0!</v>
      </c>
      <c r="K7322" s="439"/>
      <c r="L7322" s="439"/>
      <c r="M7322" s="682"/>
    </row>
    <row r="7323" spans="2:13" hidden="1" x14ac:dyDescent="0.2">
      <c r="C7323" s="224"/>
      <c r="D7323" s="224"/>
      <c r="E7323" s="224"/>
      <c r="F7323" s="224"/>
      <c r="G7323" s="224"/>
      <c r="H7323" s="439"/>
      <c r="I7323" s="439"/>
      <c r="J7323" s="750" t="e">
        <f t="shared" si="98"/>
        <v>#DIV/0!</v>
      </c>
      <c r="K7323" s="439"/>
      <c r="L7323" s="439"/>
      <c r="M7323" s="682"/>
    </row>
    <row r="7324" spans="2:13" hidden="1" x14ac:dyDescent="0.2">
      <c r="C7324" s="224"/>
      <c r="D7324" s="224"/>
      <c r="E7324" s="224"/>
      <c r="F7324" s="224"/>
      <c r="G7324" s="224"/>
      <c r="H7324" s="439"/>
      <c r="I7324" s="439"/>
      <c r="J7324" s="750" t="e">
        <f t="shared" si="98"/>
        <v>#DIV/0!</v>
      </c>
      <c r="K7324" s="439"/>
      <c r="L7324" s="439"/>
      <c r="M7324" s="682"/>
    </row>
    <row r="7325" spans="2:13" hidden="1" x14ac:dyDescent="0.2">
      <c r="C7325" s="224"/>
      <c r="D7325" s="224"/>
      <c r="E7325" s="224"/>
      <c r="F7325" s="224"/>
      <c r="G7325" s="224"/>
      <c r="H7325" s="439"/>
      <c r="I7325" s="439"/>
      <c r="J7325" s="750" t="e">
        <f t="shared" si="98"/>
        <v>#DIV/0!</v>
      </c>
      <c r="K7325" s="439"/>
      <c r="L7325" s="439"/>
      <c r="M7325" s="682"/>
    </row>
    <row r="7326" spans="2:13" hidden="1" x14ac:dyDescent="0.2">
      <c r="C7326" s="224"/>
      <c r="D7326" s="224"/>
      <c r="E7326" s="224"/>
      <c r="F7326" s="224"/>
      <c r="G7326" s="224"/>
      <c r="H7326" s="439"/>
      <c r="I7326" s="439"/>
      <c r="J7326" s="750" t="e">
        <f t="shared" si="98"/>
        <v>#DIV/0!</v>
      </c>
      <c r="K7326" s="439"/>
      <c r="L7326" s="439"/>
      <c r="M7326" s="682"/>
    </row>
    <row r="7327" spans="2:13" hidden="1" x14ac:dyDescent="0.2">
      <c r="B7327" s="528"/>
      <c r="C7327" s="224"/>
      <c r="D7327" s="224"/>
      <c r="E7327" s="224"/>
      <c r="F7327" s="224"/>
      <c r="G7327" s="224"/>
      <c r="H7327" s="439"/>
      <c r="I7327" s="439"/>
      <c r="J7327" s="750" t="e">
        <f t="shared" si="98"/>
        <v>#DIV/0!</v>
      </c>
      <c r="K7327" s="439"/>
      <c r="L7327" s="439"/>
      <c r="M7327" s="682"/>
    </row>
    <row r="7328" spans="2:13" hidden="1" x14ac:dyDescent="0.2">
      <c r="B7328" s="536"/>
      <c r="C7328" s="224"/>
      <c r="D7328" s="224"/>
      <c r="E7328" s="224"/>
      <c r="F7328" s="224"/>
      <c r="G7328" s="224"/>
      <c r="H7328" s="439"/>
      <c r="I7328" s="439"/>
      <c r="J7328" s="750" t="e">
        <f t="shared" si="98"/>
        <v>#DIV/0!</v>
      </c>
      <c r="K7328" s="439"/>
      <c r="L7328" s="439"/>
      <c r="M7328" s="682"/>
    </row>
    <row r="7329" spans="3:13" hidden="1" x14ac:dyDescent="0.2">
      <c r="C7329" s="224"/>
      <c r="D7329" s="224"/>
      <c r="E7329" s="224"/>
      <c r="F7329" s="224"/>
      <c r="G7329" s="224"/>
      <c r="H7329" s="439"/>
      <c r="I7329" s="439"/>
      <c r="J7329" s="750" t="e">
        <f t="shared" si="98"/>
        <v>#DIV/0!</v>
      </c>
      <c r="K7329" s="439"/>
      <c r="L7329" s="439"/>
      <c r="M7329" s="682"/>
    </row>
    <row r="7330" spans="3:13" hidden="1" x14ac:dyDescent="0.2">
      <c r="C7330" s="224"/>
      <c r="D7330" s="224"/>
      <c r="E7330" s="224"/>
      <c r="F7330" s="224"/>
      <c r="G7330" s="224"/>
      <c r="H7330" s="439"/>
      <c r="I7330" s="439"/>
      <c r="J7330" s="750" t="e">
        <f t="shared" si="98"/>
        <v>#DIV/0!</v>
      </c>
      <c r="K7330" s="439"/>
      <c r="L7330" s="439"/>
      <c r="M7330" s="682"/>
    </row>
    <row r="7331" spans="3:13" hidden="1" x14ac:dyDescent="0.2">
      <c r="C7331" s="224"/>
      <c r="D7331" s="224"/>
      <c r="E7331" s="224"/>
      <c r="F7331" s="224"/>
      <c r="G7331" s="224"/>
      <c r="H7331" s="439"/>
      <c r="I7331" s="439"/>
      <c r="J7331" s="750" t="e">
        <f t="shared" si="98"/>
        <v>#DIV/0!</v>
      </c>
      <c r="K7331" s="439"/>
      <c r="L7331" s="439"/>
      <c r="M7331" s="682"/>
    </row>
    <row r="7332" spans="3:13" hidden="1" x14ac:dyDescent="0.2">
      <c r="C7332" s="224"/>
      <c r="D7332" s="224"/>
      <c r="E7332" s="224"/>
      <c r="F7332" s="224"/>
      <c r="G7332" s="224"/>
      <c r="H7332" s="439"/>
      <c r="I7332" s="439"/>
      <c r="J7332" s="750" t="e">
        <f t="shared" si="98"/>
        <v>#DIV/0!</v>
      </c>
      <c r="K7332" s="439"/>
      <c r="L7332" s="439"/>
      <c r="M7332" s="682"/>
    </row>
    <row r="7333" spans="3:13" hidden="1" x14ac:dyDescent="0.2">
      <c r="C7333" s="224"/>
      <c r="D7333" s="224"/>
      <c r="E7333" s="224"/>
      <c r="F7333" s="224"/>
      <c r="G7333" s="224"/>
      <c r="H7333" s="439"/>
      <c r="I7333" s="439"/>
      <c r="J7333" s="750" t="e">
        <f t="shared" si="98"/>
        <v>#DIV/0!</v>
      </c>
      <c r="K7333" s="439"/>
      <c r="L7333" s="439"/>
      <c r="M7333" s="682"/>
    </row>
    <row r="7334" spans="3:13" hidden="1" x14ac:dyDescent="0.2">
      <c r="C7334" s="224"/>
      <c r="D7334" s="224"/>
      <c r="E7334" s="224"/>
      <c r="F7334" s="224"/>
      <c r="G7334" s="224"/>
      <c r="H7334" s="439"/>
      <c r="I7334" s="439"/>
      <c r="J7334" s="750" t="e">
        <f t="shared" si="98"/>
        <v>#DIV/0!</v>
      </c>
      <c r="K7334" s="439"/>
      <c r="L7334" s="439"/>
      <c r="M7334" s="682"/>
    </row>
    <row r="7335" spans="3:13" hidden="1" x14ac:dyDescent="0.2">
      <c r="C7335" s="224"/>
      <c r="D7335" s="224"/>
      <c r="E7335" s="224"/>
      <c r="F7335" s="224"/>
      <c r="G7335" s="224"/>
      <c r="H7335" s="439"/>
      <c r="I7335" s="439"/>
      <c r="J7335" s="750" t="e">
        <f t="shared" si="98"/>
        <v>#DIV/0!</v>
      </c>
      <c r="K7335" s="439"/>
      <c r="L7335" s="439"/>
      <c r="M7335" s="682"/>
    </row>
    <row r="7336" spans="3:13" hidden="1" x14ac:dyDescent="0.2">
      <c r="C7336" s="224"/>
      <c r="D7336" s="224"/>
      <c r="E7336" s="224"/>
      <c r="F7336" s="224"/>
      <c r="G7336" s="224"/>
      <c r="H7336" s="439"/>
      <c r="I7336" s="439"/>
      <c r="J7336" s="750" t="e">
        <f t="shared" si="98"/>
        <v>#DIV/0!</v>
      </c>
      <c r="K7336" s="439"/>
      <c r="L7336" s="439"/>
      <c r="M7336" s="682"/>
    </row>
    <row r="7337" spans="3:13" hidden="1" x14ac:dyDescent="0.2">
      <c r="C7337" s="224"/>
      <c r="D7337" s="224"/>
      <c r="E7337" s="224"/>
      <c r="F7337" s="224"/>
      <c r="G7337" s="224"/>
      <c r="H7337" s="439"/>
      <c r="I7337" s="439"/>
      <c r="J7337" s="750" t="e">
        <f t="shared" si="98"/>
        <v>#DIV/0!</v>
      </c>
      <c r="K7337" s="439"/>
      <c r="L7337" s="439"/>
      <c r="M7337" s="682"/>
    </row>
    <row r="7338" spans="3:13" hidden="1" x14ac:dyDescent="0.2">
      <c r="C7338" s="224"/>
      <c r="D7338" s="224"/>
      <c r="E7338" s="224"/>
      <c r="F7338" s="224"/>
      <c r="G7338" s="224"/>
      <c r="H7338" s="439"/>
      <c r="I7338" s="439"/>
      <c r="J7338" s="750" t="e">
        <f t="shared" si="98"/>
        <v>#DIV/0!</v>
      </c>
      <c r="K7338" s="439"/>
      <c r="L7338" s="439"/>
      <c r="M7338" s="682"/>
    </row>
    <row r="7339" spans="3:13" hidden="1" x14ac:dyDescent="0.2">
      <c r="C7339" s="224"/>
      <c r="D7339" s="224"/>
      <c r="E7339" s="224"/>
      <c r="F7339" s="224"/>
      <c r="G7339" s="224"/>
      <c r="H7339" s="439"/>
      <c r="I7339" s="439"/>
      <c r="J7339" s="750" t="e">
        <f t="shared" si="98"/>
        <v>#DIV/0!</v>
      </c>
      <c r="K7339" s="439"/>
      <c r="L7339" s="439"/>
      <c r="M7339" s="682"/>
    </row>
    <row r="7340" spans="3:13" hidden="1" x14ac:dyDescent="0.2">
      <c r="C7340" s="224"/>
      <c r="D7340" s="224"/>
      <c r="E7340" s="224"/>
      <c r="F7340" s="224"/>
      <c r="G7340" s="224"/>
      <c r="H7340" s="439"/>
      <c r="I7340" s="439"/>
      <c r="J7340" s="750" t="e">
        <f t="shared" si="98"/>
        <v>#DIV/0!</v>
      </c>
      <c r="K7340" s="439"/>
      <c r="L7340" s="439"/>
      <c r="M7340" s="682"/>
    </row>
    <row r="7341" spans="3:13" hidden="1" x14ac:dyDescent="0.2">
      <c r="C7341" s="224"/>
      <c r="D7341" s="224"/>
      <c r="E7341" s="224"/>
      <c r="F7341" s="224"/>
      <c r="G7341" s="224"/>
      <c r="H7341" s="439"/>
      <c r="I7341" s="439"/>
      <c r="J7341" s="750" t="e">
        <f t="shared" si="98"/>
        <v>#DIV/0!</v>
      </c>
      <c r="K7341" s="439"/>
      <c r="L7341" s="439"/>
      <c r="M7341" s="682"/>
    </row>
    <row r="7342" spans="3:13" hidden="1" x14ac:dyDescent="0.2">
      <c r="C7342" s="224"/>
      <c r="D7342" s="224"/>
      <c r="E7342" s="224"/>
      <c r="F7342" s="224"/>
      <c r="G7342" s="224"/>
      <c r="H7342" s="439"/>
      <c r="I7342" s="439"/>
      <c r="J7342" s="750" t="e">
        <f t="shared" si="98"/>
        <v>#DIV/0!</v>
      </c>
      <c r="K7342" s="439"/>
      <c r="L7342" s="439"/>
      <c r="M7342" s="682"/>
    </row>
    <row r="7343" spans="3:13" hidden="1" x14ac:dyDescent="0.2">
      <c r="C7343" s="224"/>
      <c r="D7343" s="224"/>
      <c r="E7343" s="224"/>
      <c r="F7343" s="224"/>
      <c r="G7343" s="224"/>
      <c r="H7343" s="439"/>
      <c r="I7343" s="439"/>
      <c r="J7343" s="750" t="e">
        <f t="shared" si="98"/>
        <v>#DIV/0!</v>
      </c>
      <c r="K7343" s="439"/>
      <c r="L7343" s="439"/>
      <c r="M7343" s="682"/>
    </row>
    <row r="7344" spans="3:13" hidden="1" x14ac:dyDescent="0.2">
      <c r="C7344" s="224"/>
      <c r="D7344" s="224"/>
      <c r="E7344" s="224"/>
      <c r="F7344" s="224"/>
      <c r="G7344" s="224"/>
      <c r="H7344" s="439"/>
      <c r="I7344" s="439"/>
      <c r="J7344" s="750" t="e">
        <f t="shared" si="98"/>
        <v>#DIV/0!</v>
      </c>
      <c r="K7344" s="439"/>
      <c r="L7344" s="439"/>
      <c r="M7344" s="682"/>
    </row>
    <row r="7345" spans="1:27" hidden="1" x14ac:dyDescent="0.2">
      <c r="H7345" s="397"/>
      <c r="I7345" s="397"/>
      <c r="J7345" s="750" t="e">
        <f t="shared" si="98"/>
        <v>#DIV/0!</v>
      </c>
      <c r="K7345" s="398"/>
      <c r="L7345" s="398"/>
      <c r="M7345" s="682"/>
    </row>
    <row r="7346" spans="1:27" s="530" customFormat="1" hidden="1" x14ac:dyDescent="0.2">
      <c r="A7346" s="526"/>
      <c r="B7346" s="527"/>
      <c r="C7346" s="534"/>
      <c r="D7346" s="535"/>
      <c r="E7346" s="535"/>
      <c r="F7346" s="498"/>
      <c r="G7346" s="511" t="s">
        <v>4206</v>
      </c>
      <c r="H7346" s="413"/>
      <c r="I7346" s="413"/>
      <c r="J7346" s="750" t="e">
        <f t="shared" si="98"/>
        <v>#DIV/0!</v>
      </c>
      <c r="K7346" s="414"/>
      <c r="L7346" s="415"/>
      <c r="M7346" s="682"/>
      <c r="N7346" s="171"/>
      <c r="O7346" s="171"/>
      <c r="P7346" s="171"/>
      <c r="Q7346" s="171"/>
      <c r="R7346" s="171"/>
      <c r="S7346" s="171"/>
      <c r="T7346" s="171"/>
      <c r="U7346" s="171"/>
      <c r="V7346" s="171"/>
      <c r="W7346" s="171"/>
      <c r="X7346" s="171"/>
      <c r="Y7346" s="171"/>
      <c r="Z7346" s="171"/>
      <c r="AA7346" s="171"/>
    </row>
    <row r="7347" spans="1:27" s="530" customFormat="1" hidden="1" x14ac:dyDescent="0.2">
      <c r="A7347" s="526"/>
      <c r="B7347" s="527"/>
      <c r="C7347" s="534"/>
      <c r="D7347" s="535"/>
      <c r="E7347" s="535"/>
      <c r="F7347" s="503" t="s">
        <v>234</v>
      </c>
      <c r="G7347" s="504" t="s">
        <v>235</v>
      </c>
      <c r="H7347" s="403">
        <f>SUM(H2998,H5518,H5200,H4981,H1754,H1041)</f>
        <v>105662350</v>
      </c>
      <c r="I7347" s="403"/>
      <c r="J7347" s="750">
        <f t="shared" si="98"/>
        <v>0</v>
      </c>
      <c r="K7347" s="404"/>
      <c r="L7347" s="404"/>
      <c r="M7347" s="682"/>
      <c r="N7347" s="171"/>
      <c r="O7347" s="171"/>
      <c r="P7347" s="171"/>
      <c r="Q7347" s="171"/>
      <c r="R7347" s="171"/>
      <c r="S7347" s="171"/>
      <c r="T7347" s="171"/>
      <c r="U7347" s="171"/>
      <c r="V7347" s="171"/>
      <c r="W7347" s="171"/>
      <c r="X7347" s="171"/>
      <c r="Y7347" s="171"/>
      <c r="Z7347" s="171"/>
      <c r="AA7347" s="171"/>
    </row>
    <row r="7348" spans="1:27" s="530" customFormat="1" hidden="1" x14ac:dyDescent="0.2">
      <c r="A7348" s="526"/>
      <c r="B7348" s="527"/>
      <c r="C7348" s="534"/>
      <c r="D7348" s="535"/>
      <c r="E7348" s="535"/>
      <c r="F7348" s="503" t="s">
        <v>236</v>
      </c>
      <c r="G7348" s="504" t="s">
        <v>237</v>
      </c>
      <c r="H7348" s="397"/>
      <c r="I7348" s="397"/>
      <c r="J7348" s="750" t="e">
        <f t="shared" si="98"/>
        <v>#DIV/0!</v>
      </c>
      <c r="K7348" s="398"/>
      <c r="L7348" s="404"/>
      <c r="M7348" s="682"/>
      <c r="N7348" s="171"/>
      <c r="O7348" s="171"/>
      <c r="P7348" s="171"/>
      <c r="Q7348" s="171"/>
      <c r="R7348" s="171"/>
      <c r="S7348" s="171"/>
      <c r="T7348" s="171"/>
      <c r="U7348" s="171"/>
      <c r="V7348" s="171"/>
      <c r="W7348" s="171"/>
      <c r="X7348" s="171"/>
      <c r="Y7348" s="171"/>
      <c r="Z7348" s="171"/>
      <c r="AA7348" s="171"/>
    </row>
    <row r="7349" spans="1:27" s="530" customFormat="1" hidden="1" x14ac:dyDescent="0.2">
      <c r="A7349" s="526"/>
      <c r="B7349" s="527"/>
      <c r="C7349" s="534"/>
      <c r="D7349" s="535"/>
      <c r="E7349" s="535"/>
      <c r="F7349" s="503" t="s">
        <v>238</v>
      </c>
      <c r="G7349" s="504" t="s">
        <v>239</v>
      </c>
      <c r="H7349" s="397"/>
      <c r="I7349" s="397"/>
      <c r="J7349" s="750" t="e">
        <f t="shared" si="98"/>
        <v>#DIV/0!</v>
      </c>
      <c r="K7349" s="398"/>
      <c r="L7349" s="404"/>
      <c r="M7349" s="682"/>
      <c r="N7349" s="171"/>
      <c r="O7349" s="171"/>
      <c r="P7349" s="171"/>
      <c r="Q7349" s="171"/>
      <c r="R7349" s="171"/>
      <c r="S7349" s="171"/>
      <c r="T7349" s="171"/>
      <c r="U7349" s="171"/>
      <c r="V7349" s="171"/>
      <c r="W7349" s="171"/>
      <c r="X7349" s="171"/>
      <c r="Y7349" s="171"/>
      <c r="Z7349" s="171"/>
      <c r="AA7349" s="171"/>
    </row>
    <row r="7350" spans="1:27" s="530" customFormat="1" hidden="1" x14ac:dyDescent="0.2">
      <c r="A7350" s="526"/>
      <c r="B7350" s="527"/>
      <c r="C7350" s="534"/>
      <c r="D7350" s="535"/>
      <c r="E7350" s="535"/>
      <c r="F7350" s="503" t="s">
        <v>240</v>
      </c>
      <c r="G7350" s="504" t="s">
        <v>241</v>
      </c>
      <c r="H7350" s="397"/>
      <c r="I7350" s="397"/>
      <c r="J7350" s="750" t="e">
        <f t="shared" si="98"/>
        <v>#DIV/0!</v>
      </c>
      <c r="K7350" s="398"/>
      <c r="L7350" s="404"/>
      <c r="M7350" s="682"/>
      <c r="N7350" s="171"/>
      <c r="O7350" s="171"/>
      <c r="P7350" s="171"/>
      <c r="Q7350" s="171"/>
      <c r="R7350" s="171"/>
      <c r="S7350" s="171"/>
      <c r="T7350" s="171"/>
      <c r="U7350" s="171"/>
      <c r="V7350" s="171"/>
      <c r="W7350" s="171"/>
      <c r="X7350" s="171"/>
      <c r="Y7350" s="171"/>
      <c r="Z7350" s="171"/>
      <c r="AA7350" s="171"/>
    </row>
    <row r="7351" spans="1:27" s="530" customFormat="1" hidden="1" x14ac:dyDescent="0.2">
      <c r="A7351" s="526"/>
      <c r="B7351" s="527"/>
      <c r="C7351" s="534"/>
      <c r="D7351" s="535"/>
      <c r="E7351" s="535"/>
      <c r="F7351" s="503" t="s">
        <v>242</v>
      </c>
      <c r="G7351" s="504" t="s">
        <v>243</v>
      </c>
      <c r="H7351" s="397"/>
      <c r="I7351" s="397"/>
      <c r="J7351" s="750" t="e">
        <f t="shared" si="98"/>
        <v>#DIV/0!</v>
      </c>
      <c r="K7351" s="398"/>
      <c r="L7351" s="404"/>
      <c r="M7351" s="682"/>
      <c r="N7351" s="171"/>
      <c r="O7351" s="171"/>
      <c r="P7351" s="171"/>
      <c r="Q7351" s="171"/>
      <c r="R7351" s="171"/>
      <c r="S7351" s="171"/>
      <c r="T7351" s="171"/>
      <c r="U7351" s="171"/>
      <c r="V7351" s="171"/>
      <c r="W7351" s="171"/>
      <c r="X7351" s="171"/>
      <c r="Y7351" s="171"/>
      <c r="Z7351" s="171"/>
      <c r="AA7351" s="171"/>
    </row>
    <row r="7352" spans="1:27" s="530" customFormat="1" hidden="1" x14ac:dyDescent="0.2">
      <c r="A7352" s="526"/>
      <c r="B7352" s="527"/>
      <c r="C7352" s="534"/>
      <c r="D7352" s="535"/>
      <c r="E7352" s="535"/>
      <c r="F7352" s="503" t="s">
        <v>244</v>
      </c>
      <c r="G7352" s="504" t="s">
        <v>245</v>
      </c>
      <c r="H7352" s="397"/>
      <c r="I7352" s="397"/>
      <c r="J7352" s="750" t="e">
        <f t="shared" si="98"/>
        <v>#DIV/0!</v>
      </c>
      <c r="K7352" s="398"/>
      <c r="L7352" s="404"/>
      <c r="M7352" s="682"/>
      <c r="N7352" s="171"/>
      <c r="O7352" s="171"/>
      <c r="P7352" s="171"/>
      <c r="Q7352" s="171"/>
      <c r="R7352" s="171"/>
      <c r="S7352" s="171"/>
      <c r="T7352" s="171"/>
      <c r="U7352" s="171"/>
      <c r="V7352" s="171"/>
      <c r="W7352" s="171"/>
      <c r="X7352" s="171"/>
      <c r="Y7352" s="171"/>
      <c r="Z7352" s="171"/>
      <c r="AA7352" s="171"/>
    </row>
    <row r="7353" spans="1:27" s="530" customFormat="1" hidden="1" x14ac:dyDescent="0.2">
      <c r="A7353" s="526"/>
      <c r="B7353" s="527"/>
      <c r="C7353" s="534"/>
      <c r="D7353" s="535"/>
      <c r="E7353" s="535"/>
      <c r="F7353" s="503" t="s">
        <v>246</v>
      </c>
      <c r="G7353" s="504" t="s">
        <v>247</v>
      </c>
      <c r="H7353" s="397"/>
      <c r="I7353" s="397"/>
      <c r="J7353" s="750" t="e">
        <f t="shared" si="98"/>
        <v>#DIV/0!</v>
      </c>
      <c r="K7353" s="398"/>
      <c r="L7353" s="404"/>
      <c r="M7353" s="682"/>
      <c r="N7353" s="171"/>
      <c r="O7353" s="171"/>
      <c r="P7353" s="171"/>
      <c r="Q7353" s="171"/>
      <c r="R7353" s="171"/>
      <c r="S7353" s="171"/>
      <c r="T7353" s="171"/>
      <c r="U7353" s="171"/>
      <c r="V7353" s="171"/>
      <c r="W7353" s="171"/>
      <c r="X7353" s="171"/>
      <c r="Y7353" s="171"/>
      <c r="Z7353" s="171"/>
      <c r="AA7353" s="171"/>
    </row>
    <row r="7354" spans="1:27" s="530" customFormat="1" ht="25.5" hidden="1" x14ac:dyDescent="0.2">
      <c r="A7354" s="526"/>
      <c r="B7354" s="527"/>
      <c r="C7354" s="534"/>
      <c r="D7354" s="535"/>
      <c r="E7354" s="535"/>
      <c r="F7354" s="503" t="s">
        <v>248</v>
      </c>
      <c r="G7354" s="504" t="s">
        <v>249</v>
      </c>
      <c r="H7354" s="397"/>
      <c r="I7354" s="397"/>
      <c r="J7354" s="750" t="e">
        <f t="shared" si="98"/>
        <v>#DIV/0!</v>
      </c>
      <c r="K7354" s="398"/>
      <c r="L7354" s="404"/>
      <c r="M7354" s="682"/>
      <c r="N7354" s="171"/>
      <c r="O7354" s="171"/>
      <c r="P7354" s="171"/>
      <c r="Q7354" s="171"/>
      <c r="R7354" s="171"/>
      <c r="S7354" s="171"/>
      <c r="T7354" s="171"/>
      <c r="U7354" s="171"/>
      <c r="V7354" s="171"/>
      <c r="W7354" s="171"/>
      <c r="X7354" s="171"/>
      <c r="Y7354" s="171"/>
      <c r="Z7354" s="171"/>
      <c r="AA7354" s="171"/>
    </row>
    <row r="7355" spans="1:27" s="530" customFormat="1" hidden="1" x14ac:dyDescent="0.2">
      <c r="A7355" s="526"/>
      <c r="B7355" s="527"/>
      <c r="C7355" s="534"/>
      <c r="D7355" s="535"/>
      <c r="E7355" s="535"/>
      <c r="F7355" s="503" t="s">
        <v>250</v>
      </c>
      <c r="G7355" s="504" t="s">
        <v>57</v>
      </c>
      <c r="H7355" s="397"/>
      <c r="I7355" s="397"/>
      <c r="J7355" s="750" t="e">
        <f t="shared" si="98"/>
        <v>#DIV/0!</v>
      </c>
      <c r="K7355" s="398"/>
      <c r="L7355" s="404"/>
      <c r="M7355" s="682"/>
      <c r="N7355" s="171"/>
      <c r="O7355" s="171"/>
      <c r="P7355" s="171"/>
      <c r="Q7355" s="171"/>
      <c r="R7355" s="171"/>
      <c r="S7355" s="171"/>
      <c r="T7355" s="171"/>
      <c r="U7355" s="171"/>
      <c r="V7355" s="171"/>
      <c r="W7355" s="171"/>
      <c r="X7355" s="171"/>
      <c r="Y7355" s="171"/>
      <c r="Z7355" s="171"/>
      <c r="AA7355" s="171"/>
    </row>
    <row r="7356" spans="1:27" s="530" customFormat="1" hidden="1" x14ac:dyDescent="0.2">
      <c r="A7356" s="526"/>
      <c r="B7356" s="527"/>
      <c r="C7356" s="534"/>
      <c r="D7356" s="535"/>
      <c r="E7356" s="535"/>
      <c r="F7356" s="503" t="s">
        <v>251</v>
      </c>
      <c r="G7356" s="504" t="s">
        <v>252</v>
      </c>
      <c r="H7356" s="397"/>
      <c r="I7356" s="397"/>
      <c r="J7356" s="750" t="e">
        <f t="shared" si="98"/>
        <v>#DIV/0!</v>
      </c>
      <c r="K7356" s="398"/>
      <c r="L7356" s="404"/>
      <c r="M7356" s="682"/>
      <c r="N7356" s="171"/>
      <c r="O7356" s="171"/>
      <c r="P7356" s="171"/>
      <c r="Q7356" s="171"/>
      <c r="R7356" s="171"/>
      <c r="S7356" s="171"/>
      <c r="T7356" s="171"/>
      <c r="U7356" s="171"/>
      <c r="V7356" s="171"/>
      <c r="W7356" s="171"/>
      <c r="X7356" s="171"/>
      <c r="Y7356" s="171"/>
      <c r="Z7356" s="171"/>
      <c r="AA7356" s="171"/>
    </row>
    <row r="7357" spans="1:27" s="530" customFormat="1" hidden="1" x14ac:dyDescent="0.2">
      <c r="A7357" s="526"/>
      <c r="B7357" s="527"/>
      <c r="C7357" s="534"/>
      <c r="D7357" s="535"/>
      <c r="E7357" s="535"/>
      <c r="F7357" s="503" t="s">
        <v>253</v>
      </c>
      <c r="G7357" s="504" t="s">
        <v>254</v>
      </c>
      <c r="H7357" s="397"/>
      <c r="I7357" s="397"/>
      <c r="J7357" s="750" t="e">
        <f t="shared" si="98"/>
        <v>#DIV/0!</v>
      </c>
      <c r="K7357" s="398"/>
      <c r="L7357" s="404"/>
      <c r="M7357" s="682"/>
      <c r="N7357" s="171"/>
      <c r="O7357" s="171"/>
      <c r="P7357" s="171"/>
      <c r="Q7357" s="171"/>
      <c r="R7357" s="171"/>
      <c r="S7357" s="171"/>
      <c r="T7357" s="171"/>
      <c r="U7357" s="171"/>
      <c r="V7357" s="171"/>
      <c r="W7357" s="171"/>
      <c r="X7357" s="171"/>
      <c r="Y7357" s="171"/>
      <c r="Z7357" s="171"/>
      <c r="AA7357" s="171"/>
    </row>
    <row r="7358" spans="1:27" s="530" customFormat="1" ht="25.5" hidden="1" x14ac:dyDescent="0.2">
      <c r="A7358" s="526"/>
      <c r="B7358" s="527"/>
      <c r="C7358" s="534"/>
      <c r="D7358" s="535"/>
      <c r="E7358" s="535"/>
      <c r="F7358" s="503" t="s">
        <v>255</v>
      </c>
      <c r="G7358" s="504" t="s">
        <v>256</v>
      </c>
      <c r="H7358" s="397"/>
      <c r="I7358" s="397"/>
      <c r="J7358" s="750" t="e">
        <f t="shared" si="98"/>
        <v>#DIV/0!</v>
      </c>
      <c r="K7358" s="398"/>
      <c r="L7358" s="404"/>
      <c r="M7358" s="682"/>
      <c r="N7358" s="171"/>
      <c r="O7358" s="171"/>
      <c r="P7358" s="171"/>
      <c r="Q7358" s="171"/>
      <c r="R7358" s="171"/>
      <c r="S7358" s="171"/>
      <c r="T7358" s="171"/>
      <c r="U7358" s="171"/>
      <c r="V7358" s="171"/>
      <c r="W7358" s="171"/>
      <c r="X7358" s="171"/>
      <c r="Y7358" s="171"/>
      <c r="Z7358" s="171"/>
      <c r="AA7358" s="171"/>
    </row>
    <row r="7359" spans="1:27" s="530" customFormat="1" ht="25.5" hidden="1" x14ac:dyDescent="0.2">
      <c r="A7359" s="526"/>
      <c r="B7359" s="527"/>
      <c r="C7359" s="534"/>
      <c r="D7359" s="535"/>
      <c r="E7359" s="535"/>
      <c r="F7359" s="503" t="s">
        <v>257</v>
      </c>
      <c r="G7359" s="504" t="s">
        <v>258</v>
      </c>
      <c r="H7359" s="397"/>
      <c r="I7359" s="397"/>
      <c r="J7359" s="750" t="e">
        <f t="shared" si="98"/>
        <v>#DIV/0!</v>
      </c>
      <c r="K7359" s="398"/>
      <c r="L7359" s="404"/>
      <c r="M7359" s="682"/>
      <c r="N7359" s="171"/>
      <c r="O7359" s="171"/>
      <c r="P7359" s="171"/>
      <c r="Q7359" s="171"/>
      <c r="R7359" s="171"/>
      <c r="S7359" s="171"/>
      <c r="T7359" s="171"/>
      <c r="U7359" s="171"/>
      <c r="V7359" s="171"/>
      <c r="W7359" s="171"/>
      <c r="X7359" s="171"/>
      <c r="Y7359" s="171"/>
      <c r="Z7359" s="171"/>
      <c r="AA7359" s="171"/>
    </row>
    <row r="7360" spans="1:27" s="530" customFormat="1" ht="25.5" hidden="1" x14ac:dyDescent="0.2">
      <c r="A7360" s="526"/>
      <c r="B7360" s="527"/>
      <c r="C7360" s="534"/>
      <c r="D7360" s="535"/>
      <c r="E7360" s="535"/>
      <c r="F7360" s="503" t="s">
        <v>259</v>
      </c>
      <c r="G7360" s="504" t="s">
        <v>260</v>
      </c>
      <c r="H7360" s="397"/>
      <c r="I7360" s="397"/>
      <c r="J7360" s="750" t="e">
        <f t="shared" si="98"/>
        <v>#DIV/0!</v>
      </c>
      <c r="K7360" s="398"/>
      <c r="L7360" s="404"/>
      <c r="M7360" s="682"/>
      <c r="N7360" s="171"/>
      <c r="O7360" s="171"/>
      <c r="P7360" s="171"/>
      <c r="Q7360" s="171"/>
      <c r="R7360" s="171"/>
      <c r="S7360" s="171"/>
      <c r="T7360" s="171"/>
      <c r="U7360" s="171"/>
      <c r="V7360" s="171"/>
      <c r="W7360" s="171"/>
      <c r="X7360" s="171"/>
      <c r="Y7360" s="171"/>
      <c r="Z7360" s="171"/>
      <c r="AA7360" s="171"/>
    </row>
    <row r="7361" spans="1:27" s="530" customFormat="1" ht="25.5" hidden="1" x14ac:dyDescent="0.2">
      <c r="A7361" s="526"/>
      <c r="B7361" s="527"/>
      <c r="C7361" s="534"/>
      <c r="D7361" s="535"/>
      <c r="E7361" s="535"/>
      <c r="F7361" s="503" t="s">
        <v>261</v>
      </c>
      <c r="G7361" s="504" t="s">
        <v>262</v>
      </c>
      <c r="H7361" s="397"/>
      <c r="I7361" s="397"/>
      <c r="J7361" s="750" t="e">
        <f t="shared" si="98"/>
        <v>#DIV/0!</v>
      </c>
      <c r="K7361" s="398"/>
      <c r="L7361" s="404"/>
      <c r="M7361" s="682"/>
      <c r="N7361" s="171"/>
      <c r="O7361" s="171"/>
      <c r="P7361" s="171"/>
      <c r="Q7361" s="171"/>
      <c r="R7361" s="171"/>
      <c r="S7361" s="171"/>
      <c r="T7361" s="171"/>
      <c r="U7361" s="171"/>
      <c r="V7361" s="171"/>
      <c r="W7361" s="171"/>
      <c r="X7361" s="171"/>
      <c r="Y7361" s="171"/>
      <c r="Z7361" s="171"/>
      <c r="AA7361" s="171"/>
    </row>
    <row r="7362" spans="1:27" s="530" customFormat="1" hidden="1" x14ac:dyDescent="0.2">
      <c r="A7362" s="526"/>
      <c r="B7362" s="527"/>
      <c r="C7362" s="534"/>
      <c r="D7362" s="535"/>
      <c r="E7362" s="535"/>
      <c r="F7362" s="503" t="s">
        <v>263</v>
      </c>
      <c r="G7362" s="504" t="s">
        <v>264</v>
      </c>
      <c r="H7362" s="403"/>
      <c r="I7362" s="403"/>
      <c r="J7362" s="750" t="e">
        <f t="shared" si="98"/>
        <v>#DIV/0!</v>
      </c>
      <c r="K7362" s="404"/>
      <c r="L7362" s="404"/>
      <c r="M7362" s="682"/>
      <c r="N7362" s="171"/>
      <c r="O7362" s="171"/>
      <c r="P7362" s="171"/>
      <c r="Q7362" s="171"/>
      <c r="R7362" s="171"/>
      <c r="S7362" s="171"/>
      <c r="T7362" s="171"/>
      <c r="U7362" s="171"/>
      <c r="V7362" s="171"/>
      <c r="W7362" s="171"/>
      <c r="X7362" s="171"/>
      <c r="Y7362" s="171"/>
      <c r="Z7362" s="171"/>
      <c r="AA7362" s="171"/>
    </row>
    <row r="7363" spans="1:27" s="530" customFormat="1" ht="13.5" hidden="1" thickBot="1" x14ac:dyDescent="0.25">
      <c r="A7363" s="526"/>
      <c r="B7363" s="527"/>
      <c r="C7363" s="534"/>
      <c r="D7363" s="535"/>
      <c r="E7363" s="535"/>
      <c r="F7363" s="464"/>
      <c r="G7363" s="505" t="s">
        <v>4207</v>
      </c>
      <c r="H7363" s="405">
        <f>SUM(H7347:H7362)</f>
        <v>105662350</v>
      </c>
      <c r="I7363" s="405"/>
      <c r="J7363" s="750">
        <f t="shared" si="98"/>
        <v>0</v>
      </c>
      <c r="K7363" s="406">
        <f>SUM(K7348:K7362)</f>
        <v>0</v>
      </c>
      <c r="L7363" s="406"/>
      <c r="M7363" s="682"/>
      <c r="N7363" s="171"/>
      <c r="O7363" s="171"/>
      <c r="P7363" s="171"/>
      <c r="Q7363" s="171"/>
      <c r="R7363" s="171"/>
      <c r="S7363" s="171"/>
      <c r="T7363" s="171"/>
      <c r="U7363" s="171"/>
      <c r="V7363" s="171"/>
      <c r="W7363" s="171"/>
      <c r="X7363" s="171"/>
      <c r="Y7363" s="171"/>
      <c r="Z7363" s="171"/>
      <c r="AA7363" s="171"/>
    </row>
    <row r="7364" spans="1:27" hidden="1" x14ac:dyDescent="0.2">
      <c r="H7364" s="397"/>
      <c r="I7364" s="397"/>
      <c r="J7364" s="750" t="e">
        <f t="shared" si="98"/>
        <v>#DIV/0!</v>
      </c>
      <c r="K7364" s="398"/>
      <c r="L7364" s="398"/>
      <c r="M7364" s="682"/>
    </row>
    <row r="7365" spans="1:27" s="530" customFormat="1" ht="2.25" customHeight="1" x14ac:dyDescent="0.2">
      <c r="C7365" s="622"/>
      <c r="G7365" s="570"/>
      <c r="H7365" s="445"/>
      <c r="I7365" s="445"/>
      <c r="J7365" s="750" t="e">
        <f t="shared" si="98"/>
        <v>#DIV/0!</v>
      </c>
      <c r="K7365" s="446"/>
      <c r="L7365" s="446"/>
      <c r="M7365" s="682"/>
      <c r="N7365" s="171"/>
      <c r="O7365" s="171"/>
      <c r="P7365" s="171"/>
      <c r="Q7365" s="171"/>
      <c r="R7365" s="171"/>
      <c r="S7365" s="171"/>
      <c r="T7365" s="171"/>
      <c r="U7365" s="171"/>
      <c r="V7365" s="171"/>
      <c r="W7365" s="171"/>
      <c r="X7365" s="171"/>
      <c r="Y7365" s="171"/>
      <c r="Z7365" s="171"/>
      <c r="AA7365" s="171"/>
    </row>
    <row r="7366" spans="1:27" s="530" customFormat="1" hidden="1" x14ac:dyDescent="0.2">
      <c r="A7366" s="613"/>
      <c r="B7366" s="623"/>
      <c r="C7366" s="624"/>
      <c r="D7366" s="174"/>
      <c r="E7366" s="174"/>
      <c r="F7366" s="174"/>
      <c r="G7366" s="614" t="s">
        <v>4268</v>
      </c>
      <c r="H7366" s="442"/>
      <c r="I7366" s="442"/>
      <c r="J7366" s="750" t="e">
        <f t="shared" si="98"/>
        <v>#DIV/0!</v>
      </c>
      <c r="K7366" s="443"/>
      <c r="L7366" s="447"/>
      <c r="M7366" s="682"/>
      <c r="N7366" s="171"/>
      <c r="O7366" s="171"/>
      <c r="P7366" s="171"/>
      <c r="Q7366" s="171"/>
      <c r="R7366" s="171"/>
      <c r="S7366" s="171"/>
      <c r="T7366" s="171"/>
      <c r="U7366" s="171"/>
      <c r="V7366" s="171"/>
      <c r="W7366" s="171"/>
      <c r="X7366" s="171"/>
      <c r="Y7366" s="171"/>
      <c r="Z7366" s="171"/>
      <c r="AA7366" s="171"/>
    </row>
    <row r="7367" spans="1:27" hidden="1" x14ac:dyDescent="0.2">
      <c r="C7367" s="489" t="s">
        <v>3600</v>
      </c>
      <c r="G7367" s="513" t="s">
        <v>4166</v>
      </c>
      <c r="H7367" s="397"/>
      <c r="I7367" s="397"/>
      <c r="J7367" s="750" t="e">
        <f t="shared" si="98"/>
        <v>#DIV/0!</v>
      </c>
      <c r="K7367" s="398"/>
      <c r="L7367" s="398"/>
      <c r="M7367" s="682"/>
    </row>
    <row r="7368" spans="1:27" ht="25.5" hidden="1" x14ac:dyDescent="0.2">
      <c r="C7368" s="542" t="s">
        <v>4134</v>
      </c>
      <c r="G7368" s="513" t="s">
        <v>4135</v>
      </c>
      <c r="H7368" s="397"/>
      <c r="I7368" s="397"/>
      <c r="J7368" s="750" t="e">
        <f t="shared" si="98"/>
        <v>#DIV/0!</v>
      </c>
      <c r="K7368" s="398"/>
      <c r="L7368" s="398"/>
      <c r="M7368" s="682"/>
    </row>
    <row r="7369" spans="1:27" ht="25.5" hidden="1" x14ac:dyDescent="0.2">
      <c r="C7369" s="489"/>
      <c r="D7369" s="492">
        <v>160</v>
      </c>
      <c r="E7369" s="492"/>
      <c r="F7369" s="492"/>
      <c r="G7369" s="514" t="s">
        <v>3909</v>
      </c>
      <c r="H7369" s="397"/>
      <c r="I7369" s="397"/>
      <c r="J7369" s="750" t="e">
        <f t="shared" si="98"/>
        <v>#DIV/0!</v>
      </c>
      <c r="K7369" s="398"/>
      <c r="L7369" s="398"/>
      <c r="M7369" s="682"/>
    </row>
    <row r="7370" spans="1:27" hidden="1" x14ac:dyDescent="0.2">
      <c r="F7370" s="464">
        <v>4631</v>
      </c>
      <c r="G7370" s="507" t="s">
        <v>3807</v>
      </c>
      <c r="H7370" s="397"/>
      <c r="I7370" s="397"/>
      <c r="J7370" s="750" t="e">
        <f t="shared" si="98"/>
        <v>#DIV/0!</v>
      </c>
      <c r="K7370" s="398"/>
      <c r="L7370" s="398"/>
      <c r="M7370" s="682"/>
    </row>
    <row r="7371" spans="1:27" hidden="1" x14ac:dyDescent="0.2">
      <c r="F7371" s="464">
        <v>4632</v>
      </c>
      <c r="G7371" s="507" t="s">
        <v>3808</v>
      </c>
      <c r="H7371" s="397"/>
      <c r="I7371" s="397"/>
      <c r="J7371" s="750" t="e">
        <f t="shared" si="98"/>
        <v>#DIV/0!</v>
      </c>
      <c r="K7371" s="398"/>
      <c r="L7371" s="398"/>
      <c r="M7371" s="682"/>
    </row>
    <row r="7372" spans="1:27" hidden="1" x14ac:dyDescent="0.2">
      <c r="E7372" s="500"/>
      <c r="F7372" s="498"/>
      <c r="G7372" s="501" t="s">
        <v>4387</v>
      </c>
      <c r="H7372" s="400"/>
      <c r="I7372" s="400"/>
      <c r="J7372" s="750" t="e">
        <f t="shared" si="98"/>
        <v>#DIV/0!</v>
      </c>
      <c r="K7372" s="401"/>
      <c r="L7372" s="402"/>
      <c r="M7372" s="682"/>
    </row>
    <row r="7373" spans="1:27" hidden="1" x14ac:dyDescent="0.2">
      <c r="E7373" s="502"/>
      <c r="F7373" s="503" t="s">
        <v>234</v>
      </c>
      <c r="G7373" s="504" t="s">
        <v>235</v>
      </c>
      <c r="H7373" s="403">
        <f>SUM(H7370:H7371)</f>
        <v>0</v>
      </c>
      <c r="I7373" s="403"/>
      <c r="J7373" s="750" t="e">
        <f t="shared" ref="J7373:J7436" si="99">SUM(I7373/H7373)*100</f>
        <v>#DIV/0!</v>
      </c>
      <c r="K7373" s="404"/>
      <c r="L7373" s="404"/>
      <c r="M7373" s="682"/>
    </row>
    <row r="7374" spans="1:27" hidden="1" x14ac:dyDescent="0.2">
      <c r="F7374" s="503" t="s">
        <v>236</v>
      </c>
      <c r="G7374" s="504" t="s">
        <v>237</v>
      </c>
      <c r="H7374" s="397"/>
      <c r="I7374" s="397"/>
      <c r="J7374" s="750" t="e">
        <f t="shared" si="99"/>
        <v>#DIV/0!</v>
      </c>
      <c r="K7374" s="398"/>
      <c r="L7374" s="404"/>
      <c r="M7374" s="682"/>
    </row>
    <row r="7375" spans="1:27" hidden="1" x14ac:dyDescent="0.2">
      <c r="F7375" s="503" t="s">
        <v>238</v>
      </c>
      <c r="G7375" s="504" t="s">
        <v>239</v>
      </c>
      <c r="H7375" s="397"/>
      <c r="I7375" s="397"/>
      <c r="J7375" s="750" t="e">
        <f t="shared" si="99"/>
        <v>#DIV/0!</v>
      </c>
      <c r="K7375" s="398"/>
      <c r="L7375" s="404"/>
      <c r="M7375" s="682"/>
    </row>
    <row r="7376" spans="1:27" hidden="1" x14ac:dyDescent="0.2">
      <c r="F7376" s="503" t="s">
        <v>240</v>
      </c>
      <c r="G7376" s="504" t="s">
        <v>241</v>
      </c>
      <c r="H7376" s="397"/>
      <c r="I7376" s="397"/>
      <c r="J7376" s="750" t="e">
        <f t="shared" si="99"/>
        <v>#DIV/0!</v>
      </c>
      <c r="K7376" s="398"/>
      <c r="L7376" s="404"/>
      <c r="M7376" s="682"/>
    </row>
    <row r="7377" spans="6:13" hidden="1" x14ac:dyDescent="0.2">
      <c r="F7377" s="503" t="s">
        <v>242</v>
      </c>
      <c r="G7377" s="504" t="s">
        <v>243</v>
      </c>
      <c r="H7377" s="397"/>
      <c r="I7377" s="397"/>
      <c r="J7377" s="750" t="e">
        <f t="shared" si="99"/>
        <v>#DIV/0!</v>
      </c>
      <c r="K7377" s="398"/>
      <c r="L7377" s="404"/>
      <c r="M7377" s="682"/>
    </row>
    <row r="7378" spans="6:13" hidden="1" x14ac:dyDescent="0.2">
      <c r="F7378" s="503" t="s">
        <v>244</v>
      </c>
      <c r="G7378" s="504" t="s">
        <v>245</v>
      </c>
      <c r="H7378" s="397"/>
      <c r="I7378" s="397"/>
      <c r="J7378" s="750" t="e">
        <f t="shared" si="99"/>
        <v>#DIV/0!</v>
      </c>
      <c r="K7378" s="398"/>
      <c r="L7378" s="404"/>
      <c r="M7378" s="682"/>
    </row>
    <row r="7379" spans="6:13" hidden="1" x14ac:dyDescent="0.2">
      <c r="F7379" s="503" t="s">
        <v>246</v>
      </c>
      <c r="G7379" s="504" t="s">
        <v>247</v>
      </c>
      <c r="H7379" s="397"/>
      <c r="I7379" s="397"/>
      <c r="J7379" s="750" t="e">
        <f t="shared" si="99"/>
        <v>#DIV/0!</v>
      </c>
      <c r="K7379" s="398"/>
      <c r="L7379" s="404"/>
      <c r="M7379" s="682"/>
    </row>
    <row r="7380" spans="6:13" ht="25.5" hidden="1" x14ac:dyDescent="0.2">
      <c r="F7380" s="503" t="s">
        <v>248</v>
      </c>
      <c r="G7380" s="504" t="s">
        <v>249</v>
      </c>
      <c r="H7380" s="397"/>
      <c r="I7380" s="397"/>
      <c r="J7380" s="750" t="e">
        <f t="shared" si="99"/>
        <v>#DIV/0!</v>
      </c>
      <c r="K7380" s="398"/>
      <c r="L7380" s="404"/>
      <c r="M7380" s="682"/>
    </row>
    <row r="7381" spans="6:13" hidden="1" x14ac:dyDescent="0.2">
      <c r="F7381" s="503" t="s">
        <v>250</v>
      </c>
      <c r="G7381" s="504" t="s">
        <v>57</v>
      </c>
      <c r="H7381" s="397"/>
      <c r="I7381" s="397"/>
      <c r="J7381" s="750" t="e">
        <f t="shared" si="99"/>
        <v>#DIV/0!</v>
      </c>
      <c r="K7381" s="398"/>
      <c r="L7381" s="404"/>
      <c r="M7381" s="682"/>
    </row>
    <row r="7382" spans="6:13" hidden="1" x14ac:dyDescent="0.2">
      <c r="F7382" s="503" t="s">
        <v>251</v>
      </c>
      <c r="G7382" s="504" t="s">
        <v>252</v>
      </c>
      <c r="H7382" s="397"/>
      <c r="I7382" s="397"/>
      <c r="J7382" s="750" t="e">
        <f t="shared" si="99"/>
        <v>#DIV/0!</v>
      </c>
      <c r="K7382" s="398"/>
      <c r="L7382" s="404"/>
      <c r="M7382" s="682"/>
    </row>
    <row r="7383" spans="6:13" hidden="1" x14ac:dyDescent="0.2">
      <c r="F7383" s="503" t="s">
        <v>253</v>
      </c>
      <c r="G7383" s="504" t="s">
        <v>254</v>
      </c>
      <c r="H7383" s="397"/>
      <c r="I7383" s="397"/>
      <c r="J7383" s="750" t="e">
        <f t="shared" si="99"/>
        <v>#DIV/0!</v>
      </c>
      <c r="K7383" s="398"/>
      <c r="L7383" s="404"/>
      <c r="M7383" s="682"/>
    </row>
    <row r="7384" spans="6:13" ht="25.5" hidden="1" x14ac:dyDescent="0.2">
      <c r="F7384" s="503" t="s">
        <v>255</v>
      </c>
      <c r="G7384" s="504" t="s">
        <v>256</v>
      </c>
      <c r="H7384" s="397"/>
      <c r="I7384" s="397"/>
      <c r="J7384" s="750" t="e">
        <f t="shared" si="99"/>
        <v>#DIV/0!</v>
      </c>
      <c r="K7384" s="398"/>
      <c r="L7384" s="404"/>
      <c r="M7384" s="682"/>
    </row>
    <row r="7385" spans="6:13" ht="25.5" hidden="1" x14ac:dyDescent="0.2">
      <c r="F7385" s="503" t="s">
        <v>257</v>
      </c>
      <c r="G7385" s="504" t="s">
        <v>258</v>
      </c>
      <c r="H7385" s="397"/>
      <c r="I7385" s="397"/>
      <c r="J7385" s="750" t="e">
        <f t="shared" si="99"/>
        <v>#DIV/0!</v>
      </c>
      <c r="K7385" s="398"/>
      <c r="L7385" s="404"/>
      <c r="M7385" s="682"/>
    </row>
    <row r="7386" spans="6:13" ht="25.5" hidden="1" x14ac:dyDescent="0.2">
      <c r="F7386" s="503" t="s">
        <v>259</v>
      </c>
      <c r="G7386" s="504" t="s">
        <v>260</v>
      </c>
      <c r="H7386" s="397"/>
      <c r="I7386" s="397"/>
      <c r="J7386" s="750" t="e">
        <f t="shared" si="99"/>
        <v>#DIV/0!</v>
      </c>
      <c r="K7386" s="398"/>
      <c r="L7386" s="404"/>
      <c r="M7386" s="682"/>
    </row>
    <row r="7387" spans="6:13" ht="25.5" hidden="1" x14ac:dyDescent="0.2">
      <c r="F7387" s="503" t="s">
        <v>261</v>
      </c>
      <c r="G7387" s="504" t="s">
        <v>262</v>
      </c>
      <c r="H7387" s="397"/>
      <c r="I7387" s="397"/>
      <c r="J7387" s="750" t="e">
        <f t="shared" si="99"/>
        <v>#DIV/0!</v>
      </c>
      <c r="K7387" s="398"/>
      <c r="L7387" s="404"/>
      <c r="M7387" s="682"/>
    </row>
    <row r="7388" spans="6:13" hidden="1" x14ac:dyDescent="0.2">
      <c r="F7388" s="503" t="s">
        <v>263</v>
      </c>
      <c r="G7388" s="504" t="s">
        <v>264</v>
      </c>
      <c r="H7388" s="403"/>
      <c r="I7388" s="403"/>
      <c r="J7388" s="750" t="e">
        <f t="shared" si="99"/>
        <v>#DIV/0!</v>
      </c>
      <c r="K7388" s="404"/>
      <c r="L7388" s="404"/>
      <c r="M7388" s="682"/>
    </row>
    <row r="7389" spans="6:13" ht="13.5" hidden="1" thickBot="1" x14ac:dyDescent="0.25">
      <c r="G7389" s="505" t="s">
        <v>4388</v>
      </c>
      <c r="H7389" s="405">
        <f>SUM(H7373:H7388)</f>
        <v>0</v>
      </c>
      <c r="I7389" s="405"/>
      <c r="J7389" s="750" t="e">
        <f t="shared" si="99"/>
        <v>#DIV/0!</v>
      </c>
      <c r="K7389" s="406">
        <f>SUM(K7374:K7388)</f>
        <v>0</v>
      </c>
      <c r="L7389" s="406"/>
      <c r="M7389" s="682"/>
    </row>
    <row r="7390" spans="6:13" ht="25.5" hidden="1" x14ac:dyDescent="0.2">
      <c r="F7390" s="498"/>
      <c r="G7390" s="506" t="s">
        <v>4209</v>
      </c>
      <c r="H7390" s="407"/>
      <c r="I7390" s="408"/>
      <c r="J7390" s="750" t="e">
        <f t="shared" si="99"/>
        <v>#DIV/0!</v>
      </c>
      <c r="K7390" s="409"/>
      <c r="L7390" s="410"/>
      <c r="M7390" s="682"/>
    </row>
    <row r="7391" spans="6:13" hidden="1" x14ac:dyDescent="0.2">
      <c r="F7391" s="503" t="s">
        <v>234</v>
      </c>
      <c r="G7391" s="504" t="s">
        <v>235</v>
      </c>
      <c r="H7391" s="403">
        <f>SUM(H7370:H7371)</f>
        <v>0</v>
      </c>
      <c r="I7391" s="403"/>
      <c r="J7391" s="750" t="e">
        <f t="shared" si="99"/>
        <v>#DIV/0!</v>
      </c>
      <c r="K7391" s="404"/>
      <c r="L7391" s="404"/>
      <c r="M7391" s="682"/>
    </row>
    <row r="7392" spans="6:13" hidden="1" x14ac:dyDescent="0.2">
      <c r="F7392" s="503" t="s">
        <v>236</v>
      </c>
      <c r="G7392" s="504" t="s">
        <v>237</v>
      </c>
      <c r="H7392" s="397"/>
      <c r="I7392" s="397"/>
      <c r="J7392" s="750" t="e">
        <f t="shared" si="99"/>
        <v>#DIV/0!</v>
      </c>
      <c r="K7392" s="398"/>
      <c r="L7392" s="404"/>
      <c r="M7392" s="682"/>
    </row>
    <row r="7393" spans="6:13" hidden="1" x14ac:dyDescent="0.2">
      <c r="F7393" s="503" t="s">
        <v>238</v>
      </c>
      <c r="G7393" s="504" t="s">
        <v>239</v>
      </c>
      <c r="H7393" s="397"/>
      <c r="I7393" s="397"/>
      <c r="J7393" s="750" t="e">
        <f t="shared" si="99"/>
        <v>#DIV/0!</v>
      </c>
      <c r="K7393" s="398"/>
      <c r="L7393" s="404"/>
      <c r="M7393" s="682"/>
    </row>
    <row r="7394" spans="6:13" hidden="1" x14ac:dyDescent="0.2">
      <c r="F7394" s="503" t="s">
        <v>240</v>
      </c>
      <c r="G7394" s="504" t="s">
        <v>241</v>
      </c>
      <c r="H7394" s="397"/>
      <c r="I7394" s="397"/>
      <c r="J7394" s="750" t="e">
        <f t="shared" si="99"/>
        <v>#DIV/0!</v>
      </c>
      <c r="K7394" s="398"/>
      <c r="L7394" s="404"/>
      <c r="M7394" s="682"/>
    </row>
    <row r="7395" spans="6:13" hidden="1" x14ac:dyDescent="0.2">
      <c r="F7395" s="503" t="s">
        <v>242</v>
      </c>
      <c r="G7395" s="504" t="s">
        <v>243</v>
      </c>
      <c r="H7395" s="397"/>
      <c r="I7395" s="397"/>
      <c r="J7395" s="750" t="e">
        <f t="shared" si="99"/>
        <v>#DIV/0!</v>
      </c>
      <c r="K7395" s="398"/>
      <c r="L7395" s="404"/>
      <c r="M7395" s="682"/>
    </row>
    <row r="7396" spans="6:13" hidden="1" x14ac:dyDescent="0.2">
      <c r="F7396" s="503" t="s">
        <v>244</v>
      </c>
      <c r="G7396" s="504" t="s">
        <v>245</v>
      </c>
      <c r="H7396" s="397"/>
      <c r="I7396" s="397"/>
      <c r="J7396" s="750" t="e">
        <f t="shared" si="99"/>
        <v>#DIV/0!</v>
      </c>
      <c r="K7396" s="398"/>
      <c r="L7396" s="404"/>
      <c r="M7396" s="682"/>
    </row>
    <row r="7397" spans="6:13" hidden="1" x14ac:dyDescent="0.2">
      <c r="F7397" s="503" t="s">
        <v>246</v>
      </c>
      <c r="G7397" s="504" t="s">
        <v>247</v>
      </c>
      <c r="H7397" s="397"/>
      <c r="I7397" s="397"/>
      <c r="J7397" s="750" t="e">
        <f t="shared" si="99"/>
        <v>#DIV/0!</v>
      </c>
      <c r="K7397" s="398"/>
      <c r="L7397" s="404"/>
      <c r="M7397" s="682"/>
    </row>
    <row r="7398" spans="6:13" ht="25.5" hidden="1" x14ac:dyDescent="0.2">
      <c r="F7398" s="503" t="s">
        <v>248</v>
      </c>
      <c r="G7398" s="504" t="s">
        <v>249</v>
      </c>
      <c r="H7398" s="397"/>
      <c r="I7398" s="397"/>
      <c r="J7398" s="750" t="e">
        <f t="shared" si="99"/>
        <v>#DIV/0!</v>
      </c>
      <c r="K7398" s="398"/>
      <c r="L7398" s="404"/>
      <c r="M7398" s="682"/>
    </row>
    <row r="7399" spans="6:13" hidden="1" x14ac:dyDescent="0.2">
      <c r="F7399" s="503" t="s">
        <v>250</v>
      </c>
      <c r="G7399" s="504" t="s">
        <v>57</v>
      </c>
      <c r="H7399" s="397"/>
      <c r="I7399" s="397"/>
      <c r="J7399" s="750" t="e">
        <f t="shared" si="99"/>
        <v>#DIV/0!</v>
      </c>
      <c r="K7399" s="398"/>
      <c r="L7399" s="404"/>
      <c r="M7399" s="682"/>
    </row>
    <row r="7400" spans="6:13" hidden="1" x14ac:dyDescent="0.2">
      <c r="F7400" s="503" t="s">
        <v>251</v>
      </c>
      <c r="G7400" s="504" t="s">
        <v>252</v>
      </c>
      <c r="H7400" s="397"/>
      <c r="I7400" s="397"/>
      <c r="J7400" s="750" t="e">
        <f t="shared" si="99"/>
        <v>#DIV/0!</v>
      </c>
      <c r="K7400" s="398"/>
      <c r="L7400" s="404"/>
      <c r="M7400" s="682"/>
    </row>
    <row r="7401" spans="6:13" hidden="1" x14ac:dyDescent="0.2">
      <c r="F7401" s="503" t="s">
        <v>253</v>
      </c>
      <c r="G7401" s="504" t="s">
        <v>254</v>
      </c>
      <c r="H7401" s="397"/>
      <c r="I7401" s="397"/>
      <c r="J7401" s="750" t="e">
        <f t="shared" si="99"/>
        <v>#DIV/0!</v>
      </c>
      <c r="K7401" s="398"/>
      <c r="L7401" s="404"/>
      <c r="M7401" s="682"/>
    </row>
    <row r="7402" spans="6:13" ht="25.5" hidden="1" x14ac:dyDescent="0.2">
      <c r="F7402" s="503" t="s">
        <v>255</v>
      </c>
      <c r="G7402" s="504" t="s">
        <v>256</v>
      </c>
      <c r="H7402" s="397"/>
      <c r="I7402" s="397"/>
      <c r="J7402" s="750" t="e">
        <f t="shared" si="99"/>
        <v>#DIV/0!</v>
      </c>
      <c r="K7402" s="398"/>
      <c r="L7402" s="404"/>
      <c r="M7402" s="682"/>
    </row>
    <row r="7403" spans="6:13" ht="25.5" hidden="1" x14ac:dyDescent="0.2">
      <c r="F7403" s="503" t="s">
        <v>257</v>
      </c>
      <c r="G7403" s="504" t="s">
        <v>258</v>
      </c>
      <c r="H7403" s="397"/>
      <c r="I7403" s="397"/>
      <c r="J7403" s="750" t="e">
        <f t="shared" si="99"/>
        <v>#DIV/0!</v>
      </c>
      <c r="K7403" s="398"/>
      <c r="L7403" s="404"/>
      <c r="M7403" s="682"/>
    </row>
    <row r="7404" spans="6:13" ht="25.5" hidden="1" x14ac:dyDescent="0.2">
      <c r="F7404" s="503" t="s">
        <v>259</v>
      </c>
      <c r="G7404" s="504" t="s">
        <v>260</v>
      </c>
      <c r="H7404" s="397"/>
      <c r="I7404" s="397"/>
      <c r="J7404" s="750" t="e">
        <f t="shared" si="99"/>
        <v>#DIV/0!</v>
      </c>
      <c r="K7404" s="398"/>
      <c r="L7404" s="404"/>
      <c r="M7404" s="682"/>
    </row>
    <row r="7405" spans="6:13" ht="25.5" hidden="1" x14ac:dyDescent="0.2">
      <c r="F7405" s="503" t="s">
        <v>261</v>
      </c>
      <c r="G7405" s="504" t="s">
        <v>262</v>
      </c>
      <c r="H7405" s="397"/>
      <c r="I7405" s="397"/>
      <c r="J7405" s="750" t="e">
        <f t="shared" si="99"/>
        <v>#DIV/0!</v>
      </c>
      <c r="K7405" s="398"/>
      <c r="L7405" s="404"/>
      <c r="M7405" s="682"/>
    </row>
    <row r="7406" spans="6:13" hidden="1" x14ac:dyDescent="0.2">
      <c r="F7406" s="503" t="s">
        <v>263</v>
      </c>
      <c r="G7406" s="504" t="s">
        <v>264</v>
      </c>
      <c r="H7406" s="403"/>
      <c r="I7406" s="403"/>
      <c r="J7406" s="750" t="e">
        <f t="shared" si="99"/>
        <v>#DIV/0!</v>
      </c>
      <c r="K7406" s="404"/>
      <c r="L7406" s="404"/>
      <c r="M7406" s="682"/>
    </row>
    <row r="7407" spans="6:13" ht="13.5" hidden="1" thickBot="1" x14ac:dyDescent="0.25">
      <c r="G7407" s="505" t="s">
        <v>4208</v>
      </c>
      <c r="H7407" s="405">
        <f>SUM(H7391:H7406)</f>
        <v>0</v>
      </c>
      <c r="I7407" s="405"/>
      <c r="J7407" s="750" t="e">
        <f t="shared" si="99"/>
        <v>#DIV/0!</v>
      </c>
      <c r="K7407" s="406">
        <f>SUM(K7392:K7406)</f>
        <v>0</v>
      </c>
      <c r="L7407" s="406"/>
      <c r="M7407" s="682"/>
    </row>
    <row r="7408" spans="6:13" hidden="1" x14ac:dyDescent="0.2">
      <c r="H7408" s="397"/>
      <c r="I7408" s="397"/>
      <c r="J7408" s="750" t="e">
        <f t="shared" si="99"/>
        <v>#DIV/0!</v>
      </c>
      <c r="K7408" s="398"/>
      <c r="L7408" s="398"/>
      <c r="M7408" s="682"/>
    </row>
    <row r="7409" spans="5:13" hidden="1" x14ac:dyDescent="0.2">
      <c r="E7409" s="500"/>
      <c r="F7409" s="498"/>
      <c r="G7409" s="511" t="s">
        <v>4203</v>
      </c>
      <c r="H7409" s="413"/>
      <c r="I7409" s="413"/>
      <c r="J7409" s="750" t="e">
        <f t="shared" si="99"/>
        <v>#DIV/0!</v>
      </c>
      <c r="K7409" s="414"/>
      <c r="L7409" s="415"/>
      <c r="M7409" s="682"/>
    </row>
    <row r="7410" spans="5:13" hidden="1" x14ac:dyDescent="0.2">
      <c r="E7410" s="502"/>
      <c r="F7410" s="503" t="s">
        <v>234</v>
      </c>
      <c r="G7410" s="504" t="s">
        <v>235</v>
      </c>
      <c r="H7410" s="403">
        <f>SUM(H7391)</f>
        <v>0</v>
      </c>
      <c r="I7410" s="403"/>
      <c r="J7410" s="750" t="e">
        <f t="shared" si="99"/>
        <v>#DIV/0!</v>
      </c>
      <c r="K7410" s="404"/>
      <c r="L7410" s="404"/>
      <c r="M7410" s="682"/>
    </row>
    <row r="7411" spans="5:13" hidden="1" x14ac:dyDescent="0.2">
      <c r="F7411" s="503" t="s">
        <v>236</v>
      </c>
      <c r="G7411" s="504" t="s">
        <v>237</v>
      </c>
      <c r="H7411" s="397"/>
      <c r="I7411" s="397"/>
      <c r="J7411" s="750" t="e">
        <f t="shared" si="99"/>
        <v>#DIV/0!</v>
      </c>
      <c r="K7411" s="398"/>
      <c r="L7411" s="404"/>
      <c r="M7411" s="682"/>
    </row>
    <row r="7412" spans="5:13" hidden="1" x14ac:dyDescent="0.2">
      <c r="F7412" s="503" t="s">
        <v>238</v>
      </c>
      <c r="G7412" s="504" t="s">
        <v>239</v>
      </c>
      <c r="H7412" s="397"/>
      <c r="I7412" s="397"/>
      <c r="J7412" s="750" t="e">
        <f t="shared" si="99"/>
        <v>#DIV/0!</v>
      </c>
      <c r="K7412" s="398"/>
      <c r="L7412" s="404"/>
      <c r="M7412" s="682"/>
    </row>
    <row r="7413" spans="5:13" hidden="1" x14ac:dyDescent="0.2">
      <c r="F7413" s="503" t="s">
        <v>240</v>
      </c>
      <c r="G7413" s="504" t="s">
        <v>241</v>
      </c>
      <c r="H7413" s="397"/>
      <c r="I7413" s="397"/>
      <c r="J7413" s="750" t="e">
        <f t="shared" si="99"/>
        <v>#DIV/0!</v>
      </c>
      <c r="K7413" s="398"/>
      <c r="L7413" s="404"/>
      <c r="M7413" s="682"/>
    </row>
    <row r="7414" spans="5:13" hidden="1" x14ac:dyDescent="0.2">
      <c r="F7414" s="503" t="s">
        <v>242</v>
      </c>
      <c r="G7414" s="504" t="s">
        <v>243</v>
      </c>
      <c r="H7414" s="397"/>
      <c r="I7414" s="397"/>
      <c r="J7414" s="750" t="e">
        <f t="shared" si="99"/>
        <v>#DIV/0!</v>
      </c>
      <c r="K7414" s="398"/>
      <c r="L7414" s="404"/>
      <c r="M7414" s="682"/>
    </row>
    <row r="7415" spans="5:13" hidden="1" x14ac:dyDescent="0.2">
      <c r="F7415" s="503" t="s">
        <v>244</v>
      </c>
      <c r="G7415" s="504" t="s">
        <v>245</v>
      </c>
      <c r="H7415" s="397"/>
      <c r="I7415" s="397"/>
      <c r="J7415" s="750" t="e">
        <f t="shared" si="99"/>
        <v>#DIV/0!</v>
      </c>
      <c r="K7415" s="398"/>
      <c r="L7415" s="404"/>
      <c r="M7415" s="682"/>
    </row>
    <row r="7416" spans="5:13" hidden="1" x14ac:dyDescent="0.2">
      <c r="F7416" s="503" t="s">
        <v>246</v>
      </c>
      <c r="G7416" s="504" t="s">
        <v>247</v>
      </c>
      <c r="H7416" s="397"/>
      <c r="I7416" s="397"/>
      <c r="J7416" s="750" t="e">
        <f t="shared" si="99"/>
        <v>#DIV/0!</v>
      </c>
      <c r="K7416" s="398"/>
      <c r="L7416" s="404"/>
      <c r="M7416" s="682"/>
    </row>
    <row r="7417" spans="5:13" ht="25.5" hidden="1" x14ac:dyDescent="0.2">
      <c r="F7417" s="503" t="s">
        <v>248</v>
      </c>
      <c r="G7417" s="504" t="s">
        <v>249</v>
      </c>
      <c r="H7417" s="397"/>
      <c r="I7417" s="397"/>
      <c r="J7417" s="750" t="e">
        <f t="shared" si="99"/>
        <v>#DIV/0!</v>
      </c>
      <c r="K7417" s="398"/>
      <c r="L7417" s="404"/>
      <c r="M7417" s="682"/>
    </row>
    <row r="7418" spans="5:13" hidden="1" x14ac:dyDescent="0.2">
      <c r="F7418" s="503" t="s">
        <v>250</v>
      </c>
      <c r="G7418" s="504" t="s">
        <v>57</v>
      </c>
      <c r="H7418" s="397"/>
      <c r="I7418" s="397"/>
      <c r="J7418" s="750" t="e">
        <f t="shared" si="99"/>
        <v>#DIV/0!</v>
      </c>
      <c r="K7418" s="398"/>
      <c r="L7418" s="404"/>
      <c r="M7418" s="682"/>
    </row>
    <row r="7419" spans="5:13" hidden="1" x14ac:dyDescent="0.2">
      <c r="F7419" s="503" t="s">
        <v>251</v>
      </c>
      <c r="G7419" s="504" t="s">
        <v>252</v>
      </c>
      <c r="H7419" s="397"/>
      <c r="I7419" s="397"/>
      <c r="J7419" s="750" t="e">
        <f t="shared" si="99"/>
        <v>#DIV/0!</v>
      </c>
      <c r="K7419" s="398"/>
      <c r="L7419" s="404"/>
      <c r="M7419" s="682"/>
    </row>
    <row r="7420" spans="5:13" hidden="1" x14ac:dyDescent="0.2">
      <c r="F7420" s="503" t="s">
        <v>253</v>
      </c>
      <c r="G7420" s="504" t="s">
        <v>254</v>
      </c>
      <c r="H7420" s="397"/>
      <c r="I7420" s="397"/>
      <c r="J7420" s="750" t="e">
        <f t="shared" si="99"/>
        <v>#DIV/0!</v>
      </c>
      <c r="K7420" s="398"/>
      <c r="L7420" s="404"/>
      <c r="M7420" s="682"/>
    </row>
    <row r="7421" spans="5:13" ht="25.5" hidden="1" x14ac:dyDescent="0.2">
      <c r="F7421" s="503" t="s">
        <v>255</v>
      </c>
      <c r="G7421" s="504" t="s">
        <v>256</v>
      </c>
      <c r="H7421" s="397"/>
      <c r="I7421" s="397"/>
      <c r="J7421" s="750" t="e">
        <f t="shared" si="99"/>
        <v>#DIV/0!</v>
      </c>
      <c r="K7421" s="398"/>
      <c r="L7421" s="404"/>
      <c r="M7421" s="682"/>
    </row>
    <row r="7422" spans="5:13" ht="25.5" hidden="1" x14ac:dyDescent="0.2">
      <c r="F7422" s="503" t="s">
        <v>257</v>
      </c>
      <c r="G7422" s="504" t="s">
        <v>258</v>
      </c>
      <c r="H7422" s="397"/>
      <c r="I7422" s="397"/>
      <c r="J7422" s="750" t="e">
        <f t="shared" si="99"/>
        <v>#DIV/0!</v>
      </c>
      <c r="K7422" s="398"/>
      <c r="L7422" s="404"/>
      <c r="M7422" s="682"/>
    </row>
    <row r="7423" spans="5:13" ht="25.5" hidden="1" x14ac:dyDescent="0.2">
      <c r="F7423" s="503" t="s">
        <v>259</v>
      </c>
      <c r="G7423" s="504" t="s">
        <v>260</v>
      </c>
      <c r="H7423" s="397"/>
      <c r="I7423" s="397"/>
      <c r="J7423" s="750" t="e">
        <f t="shared" si="99"/>
        <v>#DIV/0!</v>
      </c>
      <c r="K7423" s="398"/>
      <c r="L7423" s="404"/>
      <c r="M7423" s="682"/>
    </row>
    <row r="7424" spans="5:13" ht="25.5" hidden="1" x14ac:dyDescent="0.2">
      <c r="F7424" s="503" t="s">
        <v>261</v>
      </c>
      <c r="G7424" s="504" t="s">
        <v>262</v>
      </c>
      <c r="H7424" s="397"/>
      <c r="I7424" s="397"/>
      <c r="J7424" s="750" t="e">
        <f t="shared" si="99"/>
        <v>#DIV/0!</v>
      </c>
      <c r="K7424" s="398"/>
      <c r="L7424" s="404"/>
      <c r="M7424" s="682"/>
    </row>
    <row r="7425" spans="1:27" hidden="1" x14ac:dyDescent="0.2">
      <c r="F7425" s="503" t="s">
        <v>263</v>
      </c>
      <c r="G7425" s="504" t="s">
        <v>264</v>
      </c>
      <c r="H7425" s="403"/>
      <c r="I7425" s="403"/>
      <c r="J7425" s="750" t="e">
        <f t="shared" si="99"/>
        <v>#DIV/0!</v>
      </c>
      <c r="K7425" s="404"/>
      <c r="L7425" s="404"/>
      <c r="M7425" s="682"/>
    </row>
    <row r="7426" spans="1:27" ht="13.5" hidden="1" thickBot="1" x14ac:dyDescent="0.25">
      <c r="G7426" s="505" t="s">
        <v>4204</v>
      </c>
      <c r="H7426" s="405">
        <f>SUM(H7410:H7425)</f>
        <v>0</v>
      </c>
      <c r="I7426" s="405"/>
      <c r="J7426" s="750" t="e">
        <f t="shared" si="99"/>
        <v>#DIV/0!</v>
      </c>
      <c r="K7426" s="406">
        <f>SUM(K7411:K7425)</f>
        <v>0</v>
      </c>
      <c r="L7426" s="406"/>
      <c r="M7426" s="682"/>
    </row>
    <row r="7427" spans="1:27" hidden="1" x14ac:dyDescent="0.2">
      <c r="H7427" s="397"/>
      <c r="I7427" s="397"/>
      <c r="J7427" s="750" t="e">
        <f t="shared" si="99"/>
        <v>#DIV/0!</v>
      </c>
      <c r="K7427" s="398"/>
      <c r="L7427" s="398"/>
      <c r="M7427" s="682"/>
    </row>
    <row r="7428" spans="1:27" s="530" customFormat="1" hidden="1" x14ac:dyDescent="0.2">
      <c r="A7428" s="526"/>
      <c r="B7428" s="527"/>
      <c r="C7428" s="534"/>
      <c r="D7428" s="535"/>
      <c r="E7428" s="535"/>
      <c r="F7428" s="498"/>
      <c r="G7428" s="511" t="s">
        <v>4271</v>
      </c>
      <c r="H7428" s="413"/>
      <c r="I7428" s="413"/>
      <c r="J7428" s="750" t="e">
        <f t="shared" si="99"/>
        <v>#DIV/0!</v>
      </c>
      <c r="K7428" s="414"/>
      <c r="L7428" s="415"/>
      <c r="M7428" s="682"/>
      <c r="N7428" s="171"/>
      <c r="O7428" s="171"/>
      <c r="P7428" s="171"/>
      <c r="Q7428" s="171"/>
      <c r="R7428" s="171"/>
      <c r="S7428" s="171"/>
      <c r="T7428" s="171"/>
      <c r="U7428" s="171"/>
      <c r="V7428" s="171"/>
      <c r="W7428" s="171"/>
      <c r="X7428" s="171"/>
      <c r="Y7428" s="171"/>
      <c r="Z7428" s="171"/>
      <c r="AA7428" s="171"/>
    </row>
    <row r="7429" spans="1:27" s="530" customFormat="1" hidden="1" x14ac:dyDescent="0.2">
      <c r="A7429" s="526"/>
      <c r="B7429" s="527"/>
      <c r="C7429" s="534"/>
      <c r="D7429" s="535"/>
      <c r="E7429" s="535"/>
      <c r="F7429" s="503" t="s">
        <v>234</v>
      </c>
      <c r="G7429" s="504" t="s">
        <v>235</v>
      </c>
      <c r="H7429" s="403">
        <f>SUM(H7410)</f>
        <v>0</v>
      </c>
      <c r="I7429" s="403"/>
      <c r="J7429" s="750" t="e">
        <f t="shared" si="99"/>
        <v>#DIV/0!</v>
      </c>
      <c r="K7429" s="404"/>
      <c r="L7429" s="404"/>
      <c r="M7429" s="682"/>
      <c r="N7429" s="171"/>
      <c r="O7429" s="171"/>
      <c r="P7429" s="171"/>
      <c r="Q7429" s="171"/>
      <c r="R7429" s="171"/>
      <c r="S7429" s="171"/>
      <c r="T7429" s="171"/>
      <c r="U7429" s="171"/>
      <c r="V7429" s="171"/>
      <c r="W7429" s="171"/>
      <c r="X7429" s="171"/>
      <c r="Y7429" s="171"/>
      <c r="Z7429" s="171"/>
      <c r="AA7429" s="171"/>
    </row>
    <row r="7430" spans="1:27" s="530" customFormat="1" hidden="1" x14ac:dyDescent="0.2">
      <c r="A7430" s="526"/>
      <c r="B7430" s="527"/>
      <c r="C7430" s="534"/>
      <c r="D7430" s="535"/>
      <c r="E7430" s="535"/>
      <c r="F7430" s="503" t="s">
        <v>236</v>
      </c>
      <c r="G7430" s="504" t="s">
        <v>237</v>
      </c>
      <c r="H7430" s="397"/>
      <c r="I7430" s="397"/>
      <c r="J7430" s="750" t="e">
        <f t="shared" si="99"/>
        <v>#DIV/0!</v>
      </c>
      <c r="K7430" s="398"/>
      <c r="L7430" s="404"/>
      <c r="M7430" s="682"/>
      <c r="N7430" s="171"/>
      <c r="O7430" s="171"/>
      <c r="P7430" s="171"/>
      <c r="Q7430" s="171"/>
      <c r="R7430" s="171"/>
      <c r="S7430" s="171"/>
      <c r="T7430" s="171"/>
      <c r="U7430" s="171"/>
      <c r="V7430" s="171"/>
      <c r="W7430" s="171"/>
      <c r="X7430" s="171"/>
      <c r="Y7430" s="171"/>
      <c r="Z7430" s="171"/>
      <c r="AA7430" s="171"/>
    </row>
    <row r="7431" spans="1:27" s="530" customFormat="1" hidden="1" x14ac:dyDescent="0.2">
      <c r="A7431" s="526"/>
      <c r="B7431" s="527"/>
      <c r="C7431" s="534"/>
      <c r="D7431" s="535"/>
      <c r="E7431" s="535"/>
      <c r="F7431" s="503" t="s">
        <v>238</v>
      </c>
      <c r="G7431" s="504" t="s">
        <v>239</v>
      </c>
      <c r="H7431" s="397"/>
      <c r="I7431" s="397"/>
      <c r="J7431" s="750" t="e">
        <f t="shared" si="99"/>
        <v>#DIV/0!</v>
      </c>
      <c r="K7431" s="398"/>
      <c r="L7431" s="404"/>
      <c r="M7431" s="682"/>
      <c r="N7431" s="171"/>
      <c r="O7431" s="171"/>
      <c r="P7431" s="171"/>
      <c r="Q7431" s="171"/>
      <c r="R7431" s="171"/>
      <c r="S7431" s="171"/>
      <c r="T7431" s="171"/>
      <c r="U7431" s="171"/>
      <c r="V7431" s="171"/>
      <c r="W7431" s="171"/>
      <c r="X7431" s="171"/>
      <c r="Y7431" s="171"/>
      <c r="Z7431" s="171"/>
      <c r="AA7431" s="171"/>
    </row>
    <row r="7432" spans="1:27" s="530" customFormat="1" hidden="1" x14ac:dyDescent="0.2">
      <c r="A7432" s="526"/>
      <c r="B7432" s="527"/>
      <c r="C7432" s="534"/>
      <c r="D7432" s="535"/>
      <c r="E7432" s="535"/>
      <c r="F7432" s="503" t="s">
        <v>240</v>
      </c>
      <c r="G7432" s="504" t="s">
        <v>241</v>
      </c>
      <c r="H7432" s="397"/>
      <c r="I7432" s="397"/>
      <c r="J7432" s="750" t="e">
        <f t="shared" si="99"/>
        <v>#DIV/0!</v>
      </c>
      <c r="K7432" s="398"/>
      <c r="L7432" s="404"/>
      <c r="M7432" s="682"/>
      <c r="N7432" s="171"/>
      <c r="O7432" s="171"/>
      <c r="P7432" s="171"/>
      <c r="Q7432" s="171"/>
      <c r="R7432" s="171"/>
      <c r="S7432" s="171"/>
      <c r="T7432" s="171"/>
      <c r="U7432" s="171"/>
      <c r="V7432" s="171"/>
      <c r="W7432" s="171"/>
      <c r="X7432" s="171"/>
      <c r="Y7432" s="171"/>
      <c r="Z7432" s="171"/>
      <c r="AA7432" s="171"/>
    </row>
    <row r="7433" spans="1:27" s="530" customFormat="1" hidden="1" x14ac:dyDescent="0.2">
      <c r="A7433" s="526"/>
      <c r="B7433" s="527"/>
      <c r="C7433" s="534"/>
      <c r="D7433" s="535"/>
      <c r="E7433" s="535"/>
      <c r="F7433" s="503" t="s">
        <v>242</v>
      </c>
      <c r="G7433" s="504" t="s">
        <v>243</v>
      </c>
      <c r="H7433" s="397"/>
      <c r="I7433" s="397"/>
      <c r="J7433" s="750" t="e">
        <f t="shared" si="99"/>
        <v>#DIV/0!</v>
      </c>
      <c r="K7433" s="398"/>
      <c r="L7433" s="404"/>
      <c r="M7433" s="682"/>
      <c r="N7433" s="171"/>
      <c r="O7433" s="171"/>
      <c r="P7433" s="171"/>
      <c r="Q7433" s="171"/>
      <c r="R7433" s="171"/>
      <c r="S7433" s="171"/>
      <c r="T7433" s="171"/>
      <c r="U7433" s="171"/>
      <c r="V7433" s="171"/>
      <c r="W7433" s="171"/>
      <c r="X7433" s="171"/>
      <c r="Y7433" s="171"/>
      <c r="Z7433" s="171"/>
      <c r="AA7433" s="171"/>
    </row>
    <row r="7434" spans="1:27" s="530" customFormat="1" hidden="1" x14ac:dyDescent="0.2">
      <c r="A7434" s="526"/>
      <c r="B7434" s="527"/>
      <c r="C7434" s="534"/>
      <c r="D7434" s="535"/>
      <c r="E7434" s="535"/>
      <c r="F7434" s="503" t="s">
        <v>244</v>
      </c>
      <c r="G7434" s="504" t="s">
        <v>245</v>
      </c>
      <c r="H7434" s="397"/>
      <c r="I7434" s="397"/>
      <c r="J7434" s="750" t="e">
        <f t="shared" si="99"/>
        <v>#DIV/0!</v>
      </c>
      <c r="K7434" s="398"/>
      <c r="L7434" s="404"/>
      <c r="M7434" s="682"/>
      <c r="N7434" s="171"/>
      <c r="O7434" s="171"/>
      <c r="P7434" s="171"/>
      <c r="Q7434" s="171"/>
      <c r="R7434" s="171"/>
      <c r="S7434" s="171"/>
      <c r="T7434" s="171"/>
      <c r="U7434" s="171"/>
      <c r="V7434" s="171"/>
      <c r="W7434" s="171"/>
      <c r="X7434" s="171"/>
      <c r="Y7434" s="171"/>
      <c r="Z7434" s="171"/>
      <c r="AA7434" s="171"/>
    </row>
    <row r="7435" spans="1:27" s="530" customFormat="1" hidden="1" x14ac:dyDescent="0.2">
      <c r="A7435" s="526"/>
      <c r="B7435" s="527"/>
      <c r="C7435" s="534"/>
      <c r="D7435" s="535"/>
      <c r="E7435" s="535"/>
      <c r="F7435" s="503" t="s">
        <v>246</v>
      </c>
      <c r="G7435" s="504" t="s">
        <v>247</v>
      </c>
      <c r="H7435" s="397"/>
      <c r="I7435" s="397"/>
      <c r="J7435" s="750" t="e">
        <f t="shared" si="99"/>
        <v>#DIV/0!</v>
      </c>
      <c r="K7435" s="398"/>
      <c r="L7435" s="404"/>
      <c r="M7435" s="682"/>
      <c r="N7435" s="171"/>
      <c r="O7435" s="171"/>
      <c r="P7435" s="171"/>
      <c r="Q7435" s="171"/>
      <c r="R7435" s="171"/>
      <c r="S7435" s="171"/>
      <c r="T7435" s="171"/>
      <c r="U7435" s="171"/>
      <c r="V7435" s="171"/>
      <c r="W7435" s="171"/>
      <c r="X7435" s="171"/>
      <c r="Y7435" s="171"/>
      <c r="Z7435" s="171"/>
      <c r="AA7435" s="171"/>
    </row>
    <row r="7436" spans="1:27" s="530" customFormat="1" ht="25.5" hidden="1" x14ac:dyDescent="0.2">
      <c r="A7436" s="526"/>
      <c r="B7436" s="527"/>
      <c r="C7436" s="534"/>
      <c r="D7436" s="535"/>
      <c r="E7436" s="535"/>
      <c r="F7436" s="503" t="s">
        <v>248</v>
      </c>
      <c r="G7436" s="504" t="s">
        <v>249</v>
      </c>
      <c r="H7436" s="397"/>
      <c r="I7436" s="397"/>
      <c r="J7436" s="750" t="e">
        <f t="shared" si="99"/>
        <v>#DIV/0!</v>
      </c>
      <c r="K7436" s="398"/>
      <c r="L7436" s="404"/>
      <c r="M7436" s="682"/>
      <c r="N7436" s="171"/>
      <c r="O7436" s="171"/>
      <c r="P7436" s="171"/>
      <c r="Q7436" s="171"/>
      <c r="R7436" s="171"/>
      <c r="S7436" s="171"/>
      <c r="T7436" s="171"/>
      <c r="U7436" s="171"/>
      <c r="V7436" s="171"/>
      <c r="W7436" s="171"/>
      <c r="X7436" s="171"/>
      <c r="Y7436" s="171"/>
      <c r="Z7436" s="171"/>
      <c r="AA7436" s="171"/>
    </row>
    <row r="7437" spans="1:27" s="530" customFormat="1" hidden="1" x14ac:dyDescent="0.2">
      <c r="A7437" s="526"/>
      <c r="B7437" s="527"/>
      <c r="C7437" s="534"/>
      <c r="D7437" s="535"/>
      <c r="E7437" s="535"/>
      <c r="F7437" s="503" t="s">
        <v>250</v>
      </c>
      <c r="G7437" s="504" t="s">
        <v>57</v>
      </c>
      <c r="H7437" s="397"/>
      <c r="I7437" s="397"/>
      <c r="J7437" s="750" t="e">
        <f t="shared" ref="J7437:J7500" si="100">SUM(I7437/H7437)*100</f>
        <v>#DIV/0!</v>
      </c>
      <c r="K7437" s="398"/>
      <c r="L7437" s="404"/>
      <c r="M7437" s="682"/>
      <c r="N7437" s="171"/>
      <c r="O7437" s="171"/>
      <c r="P7437" s="171"/>
      <c r="Q7437" s="171"/>
      <c r="R7437" s="171"/>
      <c r="S7437" s="171"/>
      <c r="T7437" s="171"/>
      <c r="U7437" s="171"/>
      <c r="V7437" s="171"/>
      <c r="W7437" s="171"/>
      <c r="X7437" s="171"/>
      <c r="Y7437" s="171"/>
      <c r="Z7437" s="171"/>
      <c r="AA7437" s="171"/>
    </row>
    <row r="7438" spans="1:27" s="530" customFormat="1" hidden="1" x14ac:dyDescent="0.2">
      <c r="A7438" s="526"/>
      <c r="B7438" s="527"/>
      <c r="C7438" s="534"/>
      <c r="D7438" s="535"/>
      <c r="E7438" s="535"/>
      <c r="F7438" s="503" t="s">
        <v>251</v>
      </c>
      <c r="G7438" s="504" t="s">
        <v>252</v>
      </c>
      <c r="H7438" s="397"/>
      <c r="I7438" s="397"/>
      <c r="J7438" s="750" t="e">
        <f t="shared" si="100"/>
        <v>#DIV/0!</v>
      </c>
      <c r="K7438" s="398"/>
      <c r="L7438" s="404"/>
      <c r="M7438" s="682"/>
      <c r="N7438" s="171"/>
      <c r="O7438" s="171"/>
      <c r="P7438" s="171"/>
      <c r="Q7438" s="171"/>
      <c r="R7438" s="171"/>
      <c r="S7438" s="171"/>
      <c r="T7438" s="171"/>
      <c r="U7438" s="171"/>
      <c r="V7438" s="171"/>
      <c r="W7438" s="171"/>
      <c r="X7438" s="171"/>
      <c r="Y7438" s="171"/>
      <c r="Z7438" s="171"/>
      <c r="AA7438" s="171"/>
    </row>
    <row r="7439" spans="1:27" s="530" customFormat="1" hidden="1" x14ac:dyDescent="0.2">
      <c r="A7439" s="526"/>
      <c r="B7439" s="527"/>
      <c r="C7439" s="534"/>
      <c r="D7439" s="535"/>
      <c r="E7439" s="535"/>
      <c r="F7439" s="503" t="s">
        <v>253</v>
      </c>
      <c r="G7439" s="504" t="s">
        <v>254</v>
      </c>
      <c r="H7439" s="397"/>
      <c r="I7439" s="397"/>
      <c r="J7439" s="750" t="e">
        <f t="shared" si="100"/>
        <v>#DIV/0!</v>
      </c>
      <c r="K7439" s="398"/>
      <c r="L7439" s="404"/>
      <c r="M7439" s="682"/>
      <c r="N7439" s="171"/>
      <c r="O7439" s="171"/>
      <c r="P7439" s="171"/>
      <c r="Q7439" s="171"/>
      <c r="R7439" s="171"/>
      <c r="S7439" s="171"/>
      <c r="T7439" s="171"/>
      <c r="U7439" s="171"/>
      <c r="V7439" s="171"/>
      <c r="W7439" s="171"/>
      <c r="X7439" s="171"/>
      <c r="Y7439" s="171"/>
      <c r="Z7439" s="171"/>
      <c r="AA7439" s="171"/>
    </row>
    <row r="7440" spans="1:27" s="530" customFormat="1" ht="25.5" hidden="1" x14ac:dyDescent="0.2">
      <c r="A7440" s="526"/>
      <c r="B7440" s="527"/>
      <c r="C7440" s="534"/>
      <c r="D7440" s="535"/>
      <c r="E7440" s="535"/>
      <c r="F7440" s="503" t="s">
        <v>255</v>
      </c>
      <c r="G7440" s="504" t="s">
        <v>256</v>
      </c>
      <c r="H7440" s="397"/>
      <c r="I7440" s="397"/>
      <c r="J7440" s="750" t="e">
        <f t="shared" si="100"/>
        <v>#DIV/0!</v>
      </c>
      <c r="K7440" s="398"/>
      <c r="L7440" s="404"/>
      <c r="M7440" s="682"/>
      <c r="N7440" s="171"/>
      <c r="O7440" s="171"/>
      <c r="P7440" s="171"/>
      <c r="Q7440" s="171"/>
      <c r="R7440" s="171"/>
      <c r="S7440" s="171"/>
      <c r="T7440" s="171"/>
      <c r="U7440" s="171"/>
      <c r="V7440" s="171"/>
      <c r="W7440" s="171"/>
      <c r="X7440" s="171"/>
      <c r="Y7440" s="171"/>
      <c r="Z7440" s="171"/>
      <c r="AA7440" s="171"/>
    </row>
    <row r="7441" spans="1:27" s="530" customFormat="1" ht="25.5" hidden="1" x14ac:dyDescent="0.2">
      <c r="A7441" s="526"/>
      <c r="B7441" s="527"/>
      <c r="C7441" s="534"/>
      <c r="D7441" s="535"/>
      <c r="E7441" s="535"/>
      <c r="F7441" s="503" t="s">
        <v>257</v>
      </c>
      <c r="G7441" s="504" t="s">
        <v>258</v>
      </c>
      <c r="H7441" s="397"/>
      <c r="I7441" s="397"/>
      <c r="J7441" s="750" t="e">
        <f t="shared" si="100"/>
        <v>#DIV/0!</v>
      </c>
      <c r="K7441" s="398"/>
      <c r="L7441" s="404"/>
      <c r="M7441" s="682"/>
      <c r="N7441" s="171"/>
      <c r="O7441" s="171"/>
      <c r="P7441" s="171"/>
      <c r="Q7441" s="171"/>
      <c r="R7441" s="171"/>
      <c r="S7441" s="171"/>
      <c r="T7441" s="171"/>
      <c r="U7441" s="171"/>
      <c r="V7441" s="171"/>
      <c r="W7441" s="171"/>
      <c r="X7441" s="171"/>
      <c r="Y7441" s="171"/>
      <c r="Z7441" s="171"/>
      <c r="AA7441" s="171"/>
    </row>
    <row r="7442" spans="1:27" s="530" customFormat="1" ht="25.5" hidden="1" x14ac:dyDescent="0.2">
      <c r="A7442" s="526"/>
      <c r="B7442" s="527"/>
      <c r="C7442" s="534"/>
      <c r="D7442" s="535"/>
      <c r="E7442" s="535"/>
      <c r="F7442" s="503" t="s">
        <v>259</v>
      </c>
      <c r="G7442" s="504" t="s">
        <v>260</v>
      </c>
      <c r="H7442" s="397"/>
      <c r="I7442" s="397"/>
      <c r="J7442" s="750" t="e">
        <f t="shared" si="100"/>
        <v>#DIV/0!</v>
      </c>
      <c r="K7442" s="398"/>
      <c r="L7442" s="404"/>
      <c r="M7442" s="682"/>
      <c r="N7442" s="171"/>
      <c r="O7442" s="171"/>
      <c r="P7442" s="171"/>
      <c r="Q7442" s="171"/>
      <c r="R7442" s="171"/>
      <c r="S7442" s="171"/>
      <c r="T7442" s="171"/>
      <c r="U7442" s="171"/>
      <c r="V7442" s="171"/>
      <c r="W7442" s="171"/>
      <c r="X7442" s="171"/>
      <c r="Y7442" s="171"/>
      <c r="Z7442" s="171"/>
      <c r="AA7442" s="171"/>
    </row>
    <row r="7443" spans="1:27" s="530" customFormat="1" ht="25.5" hidden="1" x14ac:dyDescent="0.2">
      <c r="A7443" s="526"/>
      <c r="B7443" s="527"/>
      <c r="C7443" s="534"/>
      <c r="D7443" s="535"/>
      <c r="E7443" s="535"/>
      <c r="F7443" s="503" t="s">
        <v>261</v>
      </c>
      <c r="G7443" s="504" t="s">
        <v>262</v>
      </c>
      <c r="H7443" s="397"/>
      <c r="I7443" s="397"/>
      <c r="J7443" s="750" t="e">
        <f t="shared" si="100"/>
        <v>#DIV/0!</v>
      </c>
      <c r="K7443" s="398"/>
      <c r="L7443" s="404"/>
      <c r="M7443" s="682"/>
      <c r="N7443" s="171"/>
      <c r="O7443" s="171"/>
      <c r="P7443" s="171"/>
      <c r="Q7443" s="171"/>
      <c r="R7443" s="171"/>
      <c r="S7443" s="171"/>
      <c r="T7443" s="171"/>
      <c r="U7443" s="171"/>
      <c r="V7443" s="171"/>
      <c r="W7443" s="171"/>
      <c r="X7443" s="171"/>
      <c r="Y7443" s="171"/>
      <c r="Z7443" s="171"/>
      <c r="AA7443" s="171"/>
    </row>
    <row r="7444" spans="1:27" s="530" customFormat="1" hidden="1" x14ac:dyDescent="0.2">
      <c r="A7444" s="526"/>
      <c r="B7444" s="527"/>
      <c r="C7444" s="534"/>
      <c r="D7444" s="535"/>
      <c r="E7444" s="535"/>
      <c r="F7444" s="503" t="s">
        <v>263</v>
      </c>
      <c r="G7444" s="504" t="s">
        <v>264</v>
      </c>
      <c r="H7444" s="403"/>
      <c r="I7444" s="403"/>
      <c r="J7444" s="750" t="e">
        <f t="shared" si="100"/>
        <v>#DIV/0!</v>
      </c>
      <c r="K7444" s="404"/>
      <c r="L7444" s="404"/>
      <c r="M7444" s="682"/>
      <c r="N7444" s="171"/>
      <c r="O7444" s="171"/>
      <c r="P7444" s="171"/>
      <c r="Q7444" s="171"/>
      <c r="R7444" s="171"/>
      <c r="S7444" s="171"/>
      <c r="T7444" s="171"/>
      <c r="U7444" s="171"/>
      <c r="V7444" s="171"/>
      <c r="W7444" s="171"/>
      <c r="X7444" s="171"/>
      <c r="Y7444" s="171"/>
      <c r="Z7444" s="171"/>
      <c r="AA7444" s="171"/>
    </row>
    <row r="7445" spans="1:27" s="530" customFormat="1" ht="13.5" hidden="1" thickBot="1" x14ac:dyDescent="0.25">
      <c r="A7445" s="526"/>
      <c r="B7445" s="527"/>
      <c r="C7445" s="534"/>
      <c r="D7445" s="535"/>
      <c r="E7445" s="535"/>
      <c r="F7445" s="464"/>
      <c r="G7445" s="505" t="s">
        <v>4273</v>
      </c>
      <c r="H7445" s="405">
        <f>SUM(H7429:H7444)</f>
        <v>0</v>
      </c>
      <c r="I7445" s="405"/>
      <c r="J7445" s="750" t="e">
        <f t="shared" si="100"/>
        <v>#DIV/0!</v>
      </c>
      <c r="K7445" s="406">
        <f>SUM(K7430:K7444)</f>
        <v>0</v>
      </c>
      <c r="L7445" s="406"/>
      <c r="M7445" s="682"/>
      <c r="N7445" s="171"/>
      <c r="O7445" s="171"/>
      <c r="P7445" s="171"/>
      <c r="Q7445" s="171"/>
      <c r="R7445" s="171"/>
      <c r="S7445" s="171"/>
      <c r="T7445" s="171"/>
      <c r="U7445" s="171"/>
      <c r="V7445" s="171"/>
      <c r="W7445" s="171"/>
      <c r="X7445" s="171"/>
      <c r="Y7445" s="171"/>
      <c r="Z7445" s="171"/>
      <c r="AA7445" s="171"/>
    </row>
    <row r="7446" spans="1:27" hidden="1" x14ac:dyDescent="0.2">
      <c r="H7446" s="397"/>
      <c r="I7446" s="397"/>
      <c r="J7446" s="750" t="e">
        <f t="shared" si="100"/>
        <v>#DIV/0!</v>
      </c>
      <c r="K7446" s="398"/>
      <c r="L7446" s="398"/>
      <c r="M7446" s="682"/>
    </row>
    <row r="7447" spans="1:27" hidden="1" x14ac:dyDescent="0.2">
      <c r="H7447" s="397"/>
      <c r="I7447" s="397"/>
      <c r="J7447" s="750" t="e">
        <f t="shared" si="100"/>
        <v>#DIV/0!</v>
      </c>
      <c r="K7447" s="398"/>
      <c r="L7447" s="398"/>
      <c r="M7447" s="682"/>
    </row>
    <row r="7448" spans="1:27" ht="12" customHeight="1" x14ac:dyDescent="0.2">
      <c r="A7448" s="483"/>
      <c r="B7448" s="483">
        <v>5</v>
      </c>
      <c r="C7448" s="484"/>
      <c r="D7448" s="485"/>
      <c r="E7448" s="485"/>
      <c r="F7448" s="485"/>
      <c r="G7448" s="615" t="s">
        <v>5319</v>
      </c>
      <c r="H7448" s="416"/>
      <c r="I7448" s="416"/>
      <c r="J7448" s="751"/>
      <c r="K7448" s="417"/>
      <c r="L7448" s="417"/>
      <c r="M7448" s="682"/>
    </row>
    <row r="7449" spans="1:27" x14ac:dyDescent="0.2">
      <c r="C7449" s="489" t="s">
        <v>3600</v>
      </c>
      <c r="G7449" s="513" t="s">
        <v>4166</v>
      </c>
      <c r="H7449" s="397"/>
      <c r="I7449" s="397"/>
      <c r="J7449" s="750"/>
      <c r="K7449" s="398"/>
      <c r="L7449" s="398"/>
      <c r="M7449" s="682"/>
    </row>
    <row r="7450" spans="1:27" x14ac:dyDescent="0.2">
      <c r="C7450" s="542" t="s">
        <v>4136</v>
      </c>
      <c r="D7450" s="173"/>
      <c r="E7450" s="173"/>
      <c r="F7450" s="502"/>
      <c r="G7450" s="550" t="s">
        <v>3662</v>
      </c>
      <c r="H7450" s="397"/>
      <c r="I7450" s="397"/>
      <c r="J7450" s="750"/>
      <c r="K7450" s="398"/>
      <c r="L7450" s="398"/>
      <c r="M7450" s="682"/>
    </row>
    <row r="7451" spans="1:27" ht="12.75" customHeight="1" x14ac:dyDescent="0.2">
      <c r="C7451" s="489"/>
      <c r="D7451" s="492">
        <v>160</v>
      </c>
      <c r="E7451" s="492"/>
      <c r="F7451" s="492"/>
      <c r="G7451" s="514" t="s">
        <v>3909</v>
      </c>
      <c r="H7451" s="397"/>
      <c r="I7451" s="397"/>
      <c r="J7451" s="750"/>
      <c r="K7451" s="398"/>
      <c r="L7451" s="398"/>
      <c r="M7451" s="682"/>
    </row>
    <row r="7452" spans="1:27" hidden="1" x14ac:dyDescent="0.2">
      <c r="F7452" s="494">
        <v>411</v>
      </c>
      <c r="G7452" s="495" t="s">
        <v>4167</v>
      </c>
      <c r="H7452" s="397"/>
      <c r="I7452" s="397"/>
      <c r="J7452" s="750" t="e">
        <f t="shared" si="100"/>
        <v>#DIV/0!</v>
      </c>
      <c r="K7452" s="398"/>
      <c r="L7452" s="398"/>
      <c r="M7452" s="682"/>
    </row>
    <row r="7453" spans="1:27" hidden="1" x14ac:dyDescent="0.2">
      <c r="F7453" s="494">
        <v>412</v>
      </c>
      <c r="G7453" s="496" t="s">
        <v>3764</v>
      </c>
      <c r="H7453" s="397"/>
      <c r="I7453" s="397"/>
      <c r="J7453" s="750" t="e">
        <f t="shared" si="100"/>
        <v>#DIV/0!</v>
      </c>
      <c r="K7453" s="398"/>
      <c r="L7453" s="398"/>
      <c r="M7453" s="682"/>
    </row>
    <row r="7454" spans="1:27" hidden="1" x14ac:dyDescent="0.2">
      <c r="F7454" s="494">
        <v>413</v>
      </c>
      <c r="G7454" s="495" t="s">
        <v>4168</v>
      </c>
      <c r="H7454" s="397"/>
      <c r="I7454" s="397"/>
      <c r="J7454" s="750" t="e">
        <f t="shared" si="100"/>
        <v>#DIV/0!</v>
      </c>
      <c r="K7454" s="398"/>
      <c r="L7454" s="398"/>
      <c r="M7454" s="682"/>
    </row>
    <row r="7455" spans="1:27" hidden="1" x14ac:dyDescent="0.2">
      <c r="F7455" s="494">
        <v>414</v>
      </c>
      <c r="G7455" s="495" t="s">
        <v>3767</v>
      </c>
      <c r="H7455" s="397"/>
      <c r="I7455" s="397"/>
      <c r="J7455" s="750" t="e">
        <f t="shared" si="100"/>
        <v>#DIV/0!</v>
      </c>
      <c r="K7455" s="398"/>
      <c r="L7455" s="398"/>
      <c r="M7455" s="682"/>
    </row>
    <row r="7456" spans="1:27" hidden="1" x14ac:dyDescent="0.2">
      <c r="F7456" s="494">
        <v>415</v>
      </c>
      <c r="G7456" s="495" t="s">
        <v>4177</v>
      </c>
      <c r="H7456" s="397"/>
      <c r="I7456" s="397"/>
      <c r="J7456" s="750" t="e">
        <f t="shared" si="100"/>
        <v>#DIV/0!</v>
      </c>
      <c r="K7456" s="398"/>
      <c r="L7456" s="398"/>
      <c r="M7456" s="682"/>
    </row>
    <row r="7457" spans="5:13" ht="25.5" hidden="1" x14ac:dyDescent="0.2">
      <c r="F7457" s="494">
        <v>416</v>
      </c>
      <c r="G7457" s="495" t="s">
        <v>4178</v>
      </c>
      <c r="H7457" s="397"/>
      <c r="I7457" s="397"/>
      <c r="J7457" s="750" t="e">
        <f t="shared" si="100"/>
        <v>#DIV/0!</v>
      </c>
      <c r="K7457" s="398"/>
      <c r="L7457" s="398"/>
      <c r="M7457" s="682"/>
    </row>
    <row r="7458" spans="5:13" hidden="1" x14ac:dyDescent="0.2">
      <c r="F7458" s="494">
        <v>417</v>
      </c>
      <c r="G7458" s="495" t="s">
        <v>4179</v>
      </c>
      <c r="H7458" s="397"/>
      <c r="I7458" s="397"/>
      <c r="J7458" s="750" t="e">
        <f t="shared" si="100"/>
        <v>#DIV/0!</v>
      </c>
      <c r="K7458" s="398"/>
      <c r="L7458" s="398"/>
      <c r="M7458" s="682"/>
    </row>
    <row r="7459" spans="5:13" hidden="1" x14ac:dyDescent="0.2">
      <c r="F7459" s="494">
        <v>418</v>
      </c>
      <c r="G7459" s="495" t="s">
        <v>3773</v>
      </c>
      <c r="H7459" s="397"/>
      <c r="I7459" s="397"/>
      <c r="J7459" s="750" t="e">
        <f t="shared" si="100"/>
        <v>#DIV/0!</v>
      </c>
      <c r="K7459" s="398"/>
      <c r="L7459" s="398"/>
      <c r="M7459" s="682"/>
    </row>
    <row r="7460" spans="5:13" x14ac:dyDescent="0.2">
      <c r="E7460" s="464">
        <v>68</v>
      </c>
      <c r="F7460" s="494">
        <v>421</v>
      </c>
      <c r="G7460" s="495" t="s">
        <v>3777</v>
      </c>
      <c r="H7460" s="397">
        <v>100000</v>
      </c>
      <c r="I7460" s="397">
        <v>46769.02</v>
      </c>
      <c r="J7460" s="750">
        <f t="shared" si="100"/>
        <v>46.769019999999998</v>
      </c>
      <c r="K7460" s="398"/>
      <c r="L7460" s="398">
        <v>8010</v>
      </c>
      <c r="M7460" s="682"/>
    </row>
    <row r="7461" spans="5:13" hidden="1" x14ac:dyDescent="0.2">
      <c r="F7461" s="494">
        <v>422</v>
      </c>
      <c r="G7461" s="495" t="s">
        <v>3778</v>
      </c>
      <c r="H7461" s="397"/>
      <c r="I7461" s="397"/>
      <c r="J7461" s="750" t="e">
        <f t="shared" si="100"/>
        <v>#DIV/0!</v>
      </c>
      <c r="K7461" s="398"/>
      <c r="L7461" s="398"/>
      <c r="M7461" s="682"/>
    </row>
    <row r="7462" spans="5:13" hidden="1" x14ac:dyDescent="0.2">
      <c r="F7462" s="494">
        <v>423</v>
      </c>
      <c r="G7462" s="495" t="s">
        <v>3779</v>
      </c>
      <c r="H7462" s="397"/>
      <c r="I7462" s="397"/>
      <c r="J7462" s="750" t="e">
        <f t="shared" si="100"/>
        <v>#DIV/0!</v>
      </c>
      <c r="K7462" s="398"/>
      <c r="L7462" s="398"/>
      <c r="M7462" s="682"/>
    </row>
    <row r="7463" spans="5:13" hidden="1" x14ac:dyDescent="0.2">
      <c r="F7463" s="494">
        <v>424</v>
      </c>
      <c r="G7463" s="495" t="s">
        <v>3781</v>
      </c>
      <c r="H7463" s="397"/>
      <c r="I7463" s="397"/>
      <c r="J7463" s="750" t="e">
        <f t="shared" si="100"/>
        <v>#DIV/0!</v>
      </c>
      <c r="K7463" s="398"/>
      <c r="L7463" s="398"/>
      <c r="M7463" s="682"/>
    </row>
    <row r="7464" spans="5:13" hidden="1" x14ac:dyDescent="0.2">
      <c r="F7464" s="494">
        <v>425</v>
      </c>
      <c r="G7464" s="495" t="s">
        <v>4180</v>
      </c>
      <c r="H7464" s="397"/>
      <c r="I7464" s="397"/>
      <c r="J7464" s="750" t="e">
        <f t="shared" si="100"/>
        <v>#DIV/0!</v>
      </c>
      <c r="K7464" s="398"/>
      <c r="L7464" s="398"/>
      <c r="M7464" s="682"/>
    </row>
    <row r="7465" spans="5:13" hidden="1" x14ac:dyDescent="0.2">
      <c r="F7465" s="494">
        <v>426</v>
      </c>
      <c r="G7465" s="495" t="s">
        <v>3785</v>
      </c>
      <c r="H7465" s="397"/>
      <c r="I7465" s="397"/>
      <c r="J7465" s="750" t="e">
        <f t="shared" si="100"/>
        <v>#DIV/0!</v>
      </c>
      <c r="K7465" s="398"/>
      <c r="L7465" s="398"/>
      <c r="M7465" s="682"/>
    </row>
    <row r="7466" spans="5:13" hidden="1" x14ac:dyDescent="0.2">
      <c r="F7466" s="494">
        <v>431</v>
      </c>
      <c r="G7466" s="495" t="s">
        <v>4181</v>
      </c>
      <c r="H7466" s="397"/>
      <c r="I7466" s="397"/>
      <c r="J7466" s="750" t="e">
        <f t="shared" si="100"/>
        <v>#DIV/0!</v>
      </c>
      <c r="K7466" s="398"/>
      <c r="L7466" s="398"/>
      <c r="M7466" s="682"/>
    </row>
    <row r="7467" spans="5:13" hidden="1" x14ac:dyDescent="0.2">
      <c r="F7467" s="494">
        <v>432</v>
      </c>
      <c r="G7467" s="495" t="s">
        <v>4182</v>
      </c>
      <c r="H7467" s="397"/>
      <c r="I7467" s="397"/>
      <c r="J7467" s="750" t="e">
        <f t="shared" si="100"/>
        <v>#DIV/0!</v>
      </c>
      <c r="K7467" s="398"/>
      <c r="L7467" s="398"/>
      <c r="M7467" s="682"/>
    </row>
    <row r="7468" spans="5:13" hidden="1" x14ac:dyDescent="0.2">
      <c r="F7468" s="494">
        <v>433</v>
      </c>
      <c r="G7468" s="495" t="s">
        <v>4183</v>
      </c>
      <c r="H7468" s="397"/>
      <c r="I7468" s="397"/>
      <c r="J7468" s="750" t="e">
        <f t="shared" si="100"/>
        <v>#DIV/0!</v>
      </c>
      <c r="K7468" s="398"/>
      <c r="L7468" s="398"/>
      <c r="M7468" s="682"/>
    </row>
    <row r="7469" spans="5:13" hidden="1" x14ac:dyDescent="0.2">
      <c r="F7469" s="494">
        <v>434</v>
      </c>
      <c r="G7469" s="495" t="s">
        <v>4184</v>
      </c>
      <c r="H7469" s="397"/>
      <c r="I7469" s="397"/>
      <c r="J7469" s="750" t="e">
        <f t="shared" si="100"/>
        <v>#DIV/0!</v>
      </c>
      <c r="K7469" s="398"/>
      <c r="L7469" s="398"/>
      <c r="M7469" s="682"/>
    </row>
    <row r="7470" spans="5:13" hidden="1" x14ac:dyDescent="0.2">
      <c r="F7470" s="494">
        <v>435</v>
      </c>
      <c r="G7470" s="495" t="s">
        <v>3792</v>
      </c>
      <c r="H7470" s="397"/>
      <c r="I7470" s="397"/>
      <c r="J7470" s="750" t="e">
        <f t="shared" si="100"/>
        <v>#DIV/0!</v>
      </c>
      <c r="K7470" s="398"/>
      <c r="L7470" s="398"/>
      <c r="M7470" s="682"/>
    </row>
    <row r="7471" spans="5:13" hidden="1" x14ac:dyDescent="0.2">
      <c r="F7471" s="494">
        <v>441</v>
      </c>
      <c r="G7471" s="495" t="s">
        <v>4185</v>
      </c>
      <c r="H7471" s="397"/>
      <c r="I7471" s="397"/>
      <c r="J7471" s="750" t="e">
        <f t="shared" si="100"/>
        <v>#DIV/0!</v>
      </c>
      <c r="K7471" s="398"/>
      <c r="L7471" s="398"/>
      <c r="M7471" s="682"/>
    </row>
    <row r="7472" spans="5:13" hidden="1" x14ac:dyDescent="0.2">
      <c r="F7472" s="494">
        <v>442</v>
      </c>
      <c r="G7472" s="495" t="s">
        <v>4186</v>
      </c>
      <c r="H7472" s="397"/>
      <c r="I7472" s="397"/>
      <c r="J7472" s="750" t="e">
        <f t="shared" si="100"/>
        <v>#DIV/0!</v>
      </c>
      <c r="K7472" s="398"/>
      <c r="L7472" s="398"/>
      <c r="M7472" s="682"/>
    </row>
    <row r="7473" spans="6:13" hidden="1" x14ac:dyDescent="0.2">
      <c r="F7473" s="494">
        <v>443</v>
      </c>
      <c r="G7473" s="495" t="s">
        <v>3797</v>
      </c>
      <c r="H7473" s="397"/>
      <c r="I7473" s="397"/>
      <c r="J7473" s="750" t="e">
        <f t="shared" si="100"/>
        <v>#DIV/0!</v>
      </c>
      <c r="K7473" s="398"/>
      <c r="L7473" s="398"/>
      <c r="M7473" s="682"/>
    </row>
    <row r="7474" spans="6:13" hidden="1" x14ac:dyDescent="0.2">
      <c r="F7474" s="494">
        <v>444</v>
      </c>
      <c r="G7474" s="495" t="s">
        <v>3798</v>
      </c>
      <c r="H7474" s="397"/>
      <c r="I7474" s="397"/>
      <c r="J7474" s="750" t="e">
        <f t="shared" si="100"/>
        <v>#DIV/0!</v>
      </c>
      <c r="K7474" s="398"/>
      <c r="L7474" s="398"/>
      <c r="M7474" s="682"/>
    </row>
    <row r="7475" spans="6:13" ht="25.5" hidden="1" x14ac:dyDescent="0.2">
      <c r="F7475" s="494">
        <v>4511</v>
      </c>
      <c r="G7475" s="466" t="s">
        <v>1692</v>
      </c>
      <c r="H7475" s="397"/>
      <c r="I7475" s="397"/>
      <c r="J7475" s="750" t="e">
        <f t="shared" si="100"/>
        <v>#DIV/0!</v>
      </c>
      <c r="K7475" s="398"/>
      <c r="L7475" s="398"/>
      <c r="M7475" s="682"/>
    </row>
    <row r="7476" spans="6:13" ht="25.5" hidden="1" x14ac:dyDescent="0.2">
      <c r="F7476" s="494">
        <v>4512</v>
      </c>
      <c r="G7476" s="466" t="s">
        <v>1701</v>
      </c>
      <c r="H7476" s="397"/>
      <c r="I7476" s="397"/>
      <c r="J7476" s="750" t="e">
        <f t="shared" si="100"/>
        <v>#DIV/0!</v>
      </c>
      <c r="K7476" s="398"/>
      <c r="L7476" s="398"/>
      <c r="M7476" s="682"/>
    </row>
    <row r="7477" spans="6:13" ht="25.5" hidden="1" x14ac:dyDescent="0.2">
      <c r="F7477" s="494">
        <v>452</v>
      </c>
      <c r="G7477" s="495" t="s">
        <v>4187</v>
      </c>
      <c r="H7477" s="397"/>
      <c r="I7477" s="397"/>
      <c r="J7477" s="750" t="e">
        <f t="shared" si="100"/>
        <v>#DIV/0!</v>
      </c>
      <c r="K7477" s="398"/>
      <c r="L7477" s="398"/>
      <c r="M7477" s="682"/>
    </row>
    <row r="7478" spans="6:13" ht="25.5" hidden="1" x14ac:dyDescent="0.2">
      <c r="F7478" s="494">
        <v>453</v>
      </c>
      <c r="G7478" s="495" t="s">
        <v>4188</v>
      </c>
      <c r="H7478" s="397"/>
      <c r="I7478" s="397"/>
      <c r="J7478" s="750" t="e">
        <f t="shared" si="100"/>
        <v>#DIV/0!</v>
      </c>
      <c r="K7478" s="398"/>
      <c r="L7478" s="398"/>
      <c r="M7478" s="682"/>
    </row>
    <row r="7479" spans="6:13" hidden="1" x14ac:dyDescent="0.2">
      <c r="F7479" s="494">
        <v>454</v>
      </c>
      <c r="G7479" s="495" t="s">
        <v>3803</v>
      </c>
      <c r="H7479" s="397"/>
      <c r="I7479" s="397"/>
      <c r="J7479" s="750" t="e">
        <f t="shared" si="100"/>
        <v>#DIV/0!</v>
      </c>
      <c r="K7479" s="398"/>
      <c r="L7479" s="398"/>
      <c r="M7479" s="682"/>
    </row>
    <row r="7480" spans="6:13" hidden="1" x14ac:dyDescent="0.2">
      <c r="F7480" s="494">
        <v>461</v>
      </c>
      <c r="G7480" s="495" t="s">
        <v>4169</v>
      </c>
      <c r="H7480" s="397"/>
      <c r="I7480" s="397"/>
      <c r="J7480" s="750" t="e">
        <f t="shared" si="100"/>
        <v>#DIV/0!</v>
      </c>
      <c r="K7480" s="398"/>
      <c r="L7480" s="398"/>
      <c r="M7480" s="682"/>
    </row>
    <row r="7481" spans="6:13" ht="25.5" hidden="1" x14ac:dyDescent="0.2">
      <c r="F7481" s="494">
        <v>462</v>
      </c>
      <c r="G7481" s="495" t="s">
        <v>3806</v>
      </c>
      <c r="H7481" s="397"/>
      <c r="I7481" s="397"/>
      <c r="J7481" s="750" t="e">
        <f t="shared" si="100"/>
        <v>#DIV/0!</v>
      </c>
      <c r="K7481" s="398"/>
      <c r="L7481" s="398"/>
      <c r="M7481" s="682"/>
    </row>
    <row r="7482" spans="6:13" hidden="1" x14ac:dyDescent="0.2">
      <c r="F7482" s="494">
        <v>4631</v>
      </c>
      <c r="G7482" s="495" t="s">
        <v>3807</v>
      </c>
      <c r="H7482" s="397"/>
      <c r="I7482" s="397"/>
      <c r="J7482" s="750" t="e">
        <f t="shared" si="100"/>
        <v>#DIV/0!</v>
      </c>
      <c r="K7482" s="398"/>
      <c r="L7482" s="398"/>
      <c r="M7482" s="682"/>
    </row>
    <row r="7483" spans="6:13" hidden="1" x14ac:dyDescent="0.2">
      <c r="F7483" s="494">
        <v>4632</v>
      </c>
      <c r="G7483" s="495" t="s">
        <v>3808</v>
      </c>
      <c r="H7483" s="397"/>
      <c r="I7483" s="397"/>
      <c r="J7483" s="750" t="e">
        <f t="shared" si="100"/>
        <v>#DIV/0!</v>
      </c>
      <c r="K7483" s="398"/>
      <c r="L7483" s="398"/>
      <c r="M7483" s="682"/>
    </row>
    <row r="7484" spans="6:13" ht="25.5" hidden="1" x14ac:dyDescent="0.2">
      <c r="F7484" s="494">
        <v>464</v>
      </c>
      <c r="G7484" s="495" t="s">
        <v>3809</v>
      </c>
      <c r="H7484" s="397"/>
      <c r="I7484" s="397"/>
      <c r="J7484" s="750" t="e">
        <f t="shared" si="100"/>
        <v>#DIV/0!</v>
      </c>
      <c r="K7484" s="398"/>
      <c r="L7484" s="398"/>
      <c r="M7484" s="682"/>
    </row>
    <row r="7485" spans="6:13" hidden="1" x14ac:dyDescent="0.2">
      <c r="F7485" s="494">
        <v>465</v>
      </c>
      <c r="G7485" s="495" t="s">
        <v>4170</v>
      </c>
      <c r="H7485" s="397"/>
      <c r="I7485" s="397"/>
      <c r="J7485" s="750" t="e">
        <f t="shared" si="100"/>
        <v>#DIV/0!</v>
      </c>
      <c r="K7485" s="398"/>
      <c r="L7485" s="398"/>
      <c r="M7485" s="682"/>
    </row>
    <row r="7486" spans="6:13" hidden="1" x14ac:dyDescent="0.2">
      <c r="F7486" s="494">
        <v>472</v>
      </c>
      <c r="G7486" s="495" t="s">
        <v>3813</v>
      </c>
      <c r="H7486" s="397"/>
      <c r="I7486" s="397"/>
      <c r="J7486" s="750" t="e">
        <f t="shared" si="100"/>
        <v>#DIV/0!</v>
      </c>
      <c r="K7486" s="398"/>
      <c r="L7486" s="398"/>
      <c r="M7486" s="682"/>
    </row>
    <row r="7487" spans="6:13" hidden="1" x14ac:dyDescent="0.2">
      <c r="F7487" s="494">
        <v>481</v>
      </c>
      <c r="G7487" s="495" t="s">
        <v>4189</v>
      </c>
      <c r="H7487" s="397"/>
      <c r="I7487" s="397"/>
      <c r="J7487" s="750" t="e">
        <f t="shared" si="100"/>
        <v>#DIV/0!</v>
      </c>
      <c r="K7487" s="398"/>
      <c r="L7487" s="398"/>
      <c r="M7487" s="682"/>
    </row>
    <row r="7488" spans="6:13" hidden="1" x14ac:dyDescent="0.2">
      <c r="F7488" s="494">
        <v>482</v>
      </c>
      <c r="G7488" s="495" t="s">
        <v>4190</v>
      </c>
      <c r="H7488" s="397"/>
      <c r="I7488" s="397"/>
      <c r="J7488" s="750" t="e">
        <f t="shared" si="100"/>
        <v>#DIV/0!</v>
      </c>
      <c r="K7488" s="398"/>
      <c r="L7488" s="398"/>
      <c r="M7488" s="682"/>
    </row>
    <row r="7489" spans="6:13" hidden="1" x14ac:dyDescent="0.2">
      <c r="F7489" s="494">
        <v>483</v>
      </c>
      <c r="G7489" s="497" t="s">
        <v>4191</v>
      </c>
      <c r="H7489" s="397"/>
      <c r="I7489" s="397"/>
      <c r="J7489" s="750" t="e">
        <f t="shared" si="100"/>
        <v>#DIV/0!</v>
      </c>
      <c r="K7489" s="398"/>
      <c r="L7489" s="398"/>
      <c r="M7489" s="682"/>
    </row>
    <row r="7490" spans="6:13" ht="38.25" hidden="1" x14ac:dyDescent="0.2">
      <c r="F7490" s="494">
        <v>484</v>
      </c>
      <c r="G7490" s="495" t="s">
        <v>4192</v>
      </c>
      <c r="H7490" s="397"/>
      <c r="I7490" s="397"/>
      <c r="J7490" s="750" t="e">
        <f t="shared" si="100"/>
        <v>#DIV/0!</v>
      </c>
      <c r="K7490" s="398"/>
      <c r="L7490" s="398"/>
      <c r="M7490" s="682"/>
    </row>
    <row r="7491" spans="6:13" ht="25.5" hidden="1" x14ac:dyDescent="0.2">
      <c r="F7491" s="494">
        <v>485</v>
      </c>
      <c r="G7491" s="495" t="s">
        <v>4193</v>
      </c>
      <c r="H7491" s="397"/>
      <c r="I7491" s="397"/>
      <c r="J7491" s="750" t="e">
        <f t="shared" si="100"/>
        <v>#DIV/0!</v>
      </c>
      <c r="K7491" s="398"/>
      <c r="L7491" s="398"/>
      <c r="M7491" s="682"/>
    </row>
    <row r="7492" spans="6:13" ht="25.5" hidden="1" x14ac:dyDescent="0.2">
      <c r="F7492" s="494">
        <v>489</v>
      </c>
      <c r="G7492" s="495" t="s">
        <v>3821</v>
      </c>
      <c r="H7492" s="397"/>
      <c r="I7492" s="397"/>
      <c r="J7492" s="750" t="e">
        <f t="shared" si="100"/>
        <v>#DIV/0!</v>
      </c>
      <c r="K7492" s="398"/>
      <c r="L7492" s="398"/>
      <c r="M7492" s="682"/>
    </row>
    <row r="7493" spans="6:13" ht="25.5" hidden="1" x14ac:dyDescent="0.2">
      <c r="F7493" s="494">
        <v>494</v>
      </c>
      <c r="G7493" s="495" t="s">
        <v>4171</v>
      </c>
      <c r="H7493" s="397"/>
      <c r="I7493" s="397"/>
      <c r="J7493" s="750" t="e">
        <f t="shared" si="100"/>
        <v>#DIV/0!</v>
      </c>
      <c r="K7493" s="398"/>
      <c r="L7493" s="398"/>
      <c r="M7493" s="682"/>
    </row>
    <row r="7494" spans="6:13" ht="25.5" hidden="1" x14ac:dyDescent="0.2">
      <c r="F7494" s="494">
        <v>495</v>
      </c>
      <c r="G7494" s="495" t="s">
        <v>4172</v>
      </c>
      <c r="H7494" s="397"/>
      <c r="I7494" s="397"/>
      <c r="J7494" s="750" t="e">
        <f t="shared" si="100"/>
        <v>#DIV/0!</v>
      </c>
      <c r="K7494" s="398"/>
      <c r="L7494" s="398"/>
      <c r="M7494" s="682"/>
    </row>
    <row r="7495" spans="6:13" ht="38.25" hidden="1" x14ac:dyDescent="0.2">
      <c r="F7495" s="494">
        <v>496</v>
      </c>
      <c r="G7495" s="495" t="s">
        <v>4173</v>
      </c>
      <c r="H7495" s="397"/>
      <c r="I7495" s="397"/>
      <c r="J7495" s="750" t="e">
        <f t="shared" si="100"/>
        <v>#DIV/0!</v>
      </c>
      <c r="K7495" s="398"/>
      <c r="L7495" s="398"/>
      <c r="M7495" s="682"/>
    </row>
    <row r="7496" spans="6:13" ht="25.5" hidden="1" x14ac:dyDescent="0.2">
      <c r="F7496" s="494">
        <v>499</v>
      </c>
      <c r="G7496" s="495" t="s">
        <v>4174</v>
      </c>
      <c r="H7496" s="397"/>
      <c r="I7496" s="397"/>
      <c r="J7496" s="750" t="e">
        <f t="shared" si="100"/>
        <v>#DIV/0!</v>
      </c>
      <c r="K7496" s="398"/>
      <c r="L7496" s="398"/>
      <c r="M7496" s="682"/>
    </row>
    <row r="7497" spans="6:13" hidden="1" x14ac:dyDescent="0.2">
      <c r="F7497" s="494">
        <v>511</v>
      </c>
      <c r="G7497" s="497" t="s">
        <v>4194</v>
      </c>
      <c r="H7497" s="397"/>
      <c r="I7497" s="397"/>
      <c r="J7497" s="750" t="e">
        <f t="shared" si="100"/>
        <v>#DIV/0!</v>
      </c>
      <c r="K7497" s="398"/>
      <c r="L7497" s="398"/>
      <c r="M7497" s="682"/>
    </row>
    <row r="7498" spans="6:13" hidden="1" x14ac:dyDescent="0.2">
      <c r="F7498" s="494">
        <v>512</v>
      </c>
      <c r="G7498" s="497" t="s">
        <v>4195</v>
      </c>
      <c r="H7498" s="397"/>
      <c r="I7498" s="397"/>
      <c r="J7498" s="750" t="e">
        <f t="shared" si="100"/>
        <v>#DIV/0!</v>
      </c>
      <c r="K7498" s="398"/>
      <c r="L7498" s="398"/>
      <c r="M7498" s="682"/>
    </row>
    <row r="7499" spans="6:13" hidden="1" x14ac:dyDescent="0.2">
      <c r="F7499" s="494">
        <v>513</v>
      </c>
      <c r="G7499" s="497" t="s">
        <v>4196</v>
      </c>
      <c r="H7499" s="397"/>
      <c r="I7499" s="397"/>
      <c r="J7499" s="750" t="e">
        <f t="shared" si="100"/>
        <v>#DIV/0!</v>
      </c>
      <c r="K7499" s="398"/>
      <c r="L7499" s="398"/>
      <c r="M7499" s="682"/>
    </row>
    <row r="7500" spans="6:13" hidden="1" x14ac:dyDescent="0.2">
      <c r="F7500" s="494">
        <v>514</v>
      </c>
      <c r="G7500" s="495" t="s">
        <v>4197</v>
      </c>
      <c r="H7500" s="397"/>
      <c r="I7500" s="397"/>
      <c r="J7500" s="750" t="e">
        <f t="shared" si="100"/>
        <v>#DIV/0!</v>
      </c>
      <c r="K7500" s="398"/>
      <c r="L7500" s="398"/>
      <c r="M7500" s="682"/>
    </row>
    <row r="7501" spans="6:13" hidden="1" x14ac:dyDescent="0.2">
      <c r="F7501" s="494">
        <v>515</v>
      </c>
      <c r="G7501" s="495" t="s">
        <v>3832</v>
      </c>
      <c r="H7501" s="397"/>
      <c r="I7501" s="397"/>
      <c r="J7501" s="750" t="e">
        <f t="shared" ref="J7501:J7565" si="101">SUM(I7501/H7501)*100</f>
        <v>#DIV/0!</v>
      </c>
      <c r="K7501" s="398"/>
      <c r="L7501" s="398"/>
      <c r="M7501" s="682"/>
    </row>
    <row r="7502" spans="6:13" hidden="1" x14ac:dyDescent="0.2">
      <c r="F7502" s="494">
        <v>521</v>
      </c>
      <c r="G7502" s="495" t="s">
        <v>4198</v>
      </c>
      <c r="H7502" s="397"/>
      <c r="I7502" s="397"/>
      <c r="J7502" s="750" t="e">
        <f t="shared" si="101"/>
        <v>#DIV/0!</v>
      </c>
      <c r="K7502" s="398"/>
      <c r="L7502" s="398"/>
      <c r="M7502" s="682"/>
    </row>
    <row r="7503" spans="6:13" hidden="1" x14ac:dyDescent="0.2">
      <c r="F7503" s="494">
        <v>522</v>
      </c>
      <c r="G7503" s="495" t="s">
        <v>4199</v>
      </c>
      <c r="H7503" s="397"/>
      <c r="I7503" s="397"/>
      <c r="J7503" s="750" t="e">
        <f t="shared" si="101"/>
        <v>#DIV/0!</v>
      </c>
      <c r="K7503" s="398"/>
      <c r="L7503" s="398"/>
      <c r="M7503" s="682"/>
    </row>
    <row r="7504" spans="6:13" hidden="1" x14ac:dyDescent="0.2">
      <c r="F7504" s="494">
        <v>523</v>
      </c>
      <c r="G7504" s="495" t="s">
        <v>3837</v>
      </c>
      <c r="H7504" s="397"/>
      <c r="I7504" s="397"/>
      <c r="J7504" s="750" t="e">
        <f t="shared" si="101"/>
        <v>#DIV/0!</v>
      </c>
      <c r="K7504" s="398"/>
      <c r="L7504" s="398"/>
      <c r="M7504" s="682"/>
    </row>
    <row r="7505" spans="5:13" hidden="1" x14ac:dyDescent="0.2">
      <c r="F7505" s="494">
        <v>531</v>
      </c>
      <c r="G7505" s="496" t="s">
        <v>4175</v>
      </c>
      <c r="H7505" s="397"/>
      <c r="I7505" s="397"/>
      <c r="J7505" s="750" t="e">
        <f t="shared" si="101"/>
        <v>#DIV/0!</v>
      </c>
      <c r="K7505" s="398"/>
      <c r="L7505" s="398"/>
      <c r="M7505" s="682"/>
    </row>
    <row r="7506" spans="5:13" hidden="1" x14ac:dyDescent="0.2">
      <c r="F7506" s="494">
        <v>541</v>
      </c>
      <c r="G7506" s="495" t="s">
        <v>4200</v>
      </c>
      <c r="H7506" s="397"/>
      <c r="I7506" s="397"/>
      <c r="J7506" s="750" t="e">
        <f t="shared" si="101"/>
        <v>#DIV/0!</v>
      </c>
      <c r="K7506" s="398"/>
      <c r="L7506" s="398"/>
      <c r="M7506" s="682"/>
    </row>
    <row r="7507" spans="5:13" hidden="1" x14ac:dyDescent="0.2">
      <c r="F7507" s="494">
        <v>542</v>
      </c>
      <c r="G7507" s="495" t="s">
        <v>4201</v>
      </c>
      <c r="H7507" s="397"/>
      <c r="I7507" s="397"/>
      <c r="J7507" s="750" t="e">
        <f t="shared" si="101"/>
        <v>#DIV/0!</v>
      </c>
      <c r="K7507" s="398"/>
      <c r="L7507" s="398"/>
      <c r="M7507" s="682"/>
    </row>
    <row r="7508" spans="5:13" hidden="1" x14ac:dyDescent="0.2">
      <c r="F7508" s="494">
        <v>543</v>
      </c>
      <c r="G7508" s="495" t="s">
        <v>3842</v>
      </c>
      <c r="H7508" s="397"/>
      <c r="I7508" s="397"/>
      <c r="J7508" s="750" t="e">
        <f t="shared" si="101"/>
        <v>#DIV/0!</v>
      </c>
      <c r="K7508" s="398"/>
      <c r="L7508" s="398"/>
      <c r="M7508" s="682"/>
    </row>
    <row r="7509" spans="5:13" ht="38.25" hidden="1" x14ac:dyDescent="0.2">
      <c r="F7509" s="494">
        <v>551</v>
      </c>
      <c r="G7509" s="495" t="s">
        <v>4176</v>
      </c>
      <c r="H7509" s="397"/>
      <c r="I7509" s="397"/>
      <c r="J7509" s="750" t="e">
        <f t="shared" si="101"/>
        <v>#DIV/0!</v>
      </c>
      <c r="K7509" s="398"/>
      <c r="L7509" s="398"/>
      <c r="M7509" s="682"/>
    </row>
    <row r="7510" spans="5:13" hidden="1" x14ac:dyDescent="0.2">
      <c r="F7510" s="498">
        <v>611</v>
      </c>
      <c r="G7510" s="499" t="s">
        <v>3848</v>
      </c>
      <c r="H7510" s="397"/>
      <c r="I7510" s="397"/>
      <c r="J7510" s="750" t="e">
        <f t="shared" si="101"/>
        <v>#DIV/0!</v>
      </c>
      <c r="K7510" s="398"/>
      <c r="L7510" s="398"/>
      <c r="M7510" s="682"/>
    </row>
    <row r="7511" spans="5:13" ht="16.5" customHeight="1" x14ac:dyDescent="0.2">
      <c r="F7511" s="498">
        <v>425</v>
      </c>
      <c r="G7511" s="499" t="s">
        <v>4180</v>
      </c>
      <c r="H7511" s="397">
        <v>251000</v>
      </c>
      <c r="I7511" s="397">
        <v>250000</v>
      </c>
      <c r="J7511" s="750">
        <f t="shared" si="101"/>
        <v>99.601593625498012</v>
      </c>
      <c r="K7511" s="398"/>
      <c r="L7511" s="398"/>
      <c r="M7511" s="682"/>
    </row>
    <row r="7512" spans="5:13" ht="16.5" customHeight="1" thickBot="1" x14ac:dyDescent="0.25">
      <c r="F7512" s="498">
        <v>426</v>
      </c>
      <c r="G7512" s="499" t="s">
        <v>3785</v>
      </c>
      <c r="H7512" s="397"/>
      <c r="I7512" s="397"/>
      <c r="J7512" s="750"/>
      <c r="K7512" s="398"/>
      <c r="L7512" s="398">
        <v>41990</v>
      </c>
      <c r="M7512" s="682"/>
    </row>
    <row r="7513" spans="5:13" x14ac:dyDescent="0.2">
      <c r="E7513" s="500"/>
      <c r="F7513" s="498"/>
      <c r="G7513" s="501" t="s">
        <v>4387</v>
      </c>
      <c r="H7513" s="400"/>
      <c r="I7513" s="400"/>
      <c r="J7513" s="750"/>
      <c r="K7513" s="401"/>
      <c r="L7513" s="402"/>
      <c r="M7513" s="682"/>
    </row>
    <row r="7514" spans="5:13" x14ac:dyDescent="0.2">
      <c r="E7514" s="502"/>
      <c r="F7514" s="503" t="s">
        <v>234</v>
      </c>
      <c r="G7514" s="504" t="s">
        <v>235</v>
      </c>
      <c r="H7514" s="403">
        <f>SUM(H7452:H7511)</f>
        <v>351000</v>
      </c>
      <c r="I7514" s="403">
        <f>SUM(I7460:I7511)</f>
        <v>296769.02</v>
      </c>
      <c r="J7514" s="750">
        <f t="shared" si="101"/>
        <v>84.549578347578361</v>
      </c>
      <c r="K7514" s="404"/>
      <c r="L7514" s="404"/>
      <c r="M7514" s="682"/>
    </row>
    <row r="7515" spans="5:13" hidden="1" x14ac:dyDescent="0.2">
      <c r="F7515" s="503" t="s">
        <v>236</v>
      </c>
      <c r="G7515" s="504" t="s">
        <v>237</v>
      </c>
      <c r="H7515" s="397"/>
      <c r="I7515" s="397"/>
      <c r="J7515" s="750" t="e">
        <f t="shared" si="101"/>
        <v>#DIV/0!</v>
      </c>
      <c r="K7515" s="398"/>
      <c r="L7515" s="404"/>
      <c r="M7515" s="682"/>
    </row>
    <row r="7516" spans="5:13" hidden="1" x14ac:dyDescent="0.2">
      <c r="F7516" s="503" t="s">
        <v>238</v>
      </c>
      <c r="G7516" s="504" t="s">
        <v>239</v>
      </c>
      <c r="H7516" s="397"/>
      <c r="I7516" s="397"/>
      <c r="J7516" s="750" t="e">
        <f t="shared" si="101"/>
        <v>#DIV/0!</v>
      </c>
      <c r="K7516" s="398"/>
      <c r="L7516" s="404"/>
      <c r="M7516" s="682"/>
    </row>
    <row r="7517" spans="5:13" hidden="1" x14ac:dyDescent="0.2">
      <c r="F7517" s="503" t="s">
        <v>240</v>
      </c>
      <c r="G7517" s="504" t="s">
        <v>241</v>
      </c>
      <c r="H7517" s="397"/>
      <c r="I7517" s="397"/>
      <c r="J7517" s="750" t="e">
        <f t="shared" si="101"/>
        <v>#DIV/0!</v>
      </c>
      <c r="K7517" s="398"/>
      <c r="L7517" s="404"/>
      <c r="M7517" s="682"/>
    </row>
    <row r="7518" spans="5:13" hidden="1" x14ac:dyDescent="0.2">
      <c r="F7518" s="503" t="s">
        <v>242</v>
      </c>
      <c r="G7518" s="504" t="s">
        <v>243</v>
      </c>
      <c r="H7518" s="397"/>
      <c r="I7518" s="397"/>
      <c r="J7518" s="750" t="e">
        <f t="shared" si="101"/>
        <v>#DIV/0!</v>
      </c>
      <c r="K7518" s="398"/>
      <c r="L7518" s="404"/>
      <c r="M7518" s="682"/>
    </row>
    <row r="7519" spans="5:13" hidden="1" x14ac:dyDescent="0.2">
      <c r="F7519" s="503" t="s">
        <v>244</v>
      </c>
      <c r="G7519" s="504" t="s">
        <v>245</v>
      </c>
      <c r="H7519" s="397"/>
      <c r="I7519" s="397"/>
      <c r="J7519" s="750" t="e">
        <f t="shared" si="101"/>
        <v>#DIV/0!</v>
      </c>
      <c r="K7519" s="398"/>
      <c r="L7519" s="404"/>
      <c r="M7519" s="682"/>
    </row>
    <row r="7520" spans="5:13" hidden="1" x14ac:dyDescent="0.2">
      <c r="F7520" s="503" t="s">
        <v>246</v>
      </c>
      <c r="G7520" s="504" t="s">
        <v>247</v>
      </c>
      <c r="H7520" s="397"/>
      <c r="I7520" s="397"/>
      <c r="J7520" s="750" t="e">
        <f t="shared" si="101"/>
        <v>#DIV/0!</v>
      </c>
      <c r="K7520" s="398"/>
      <c r="L7520" s="404"/>
      <c r="M7520" s="682"/>
    </row>
    <row r="7521" spans="5:13" ht="25.5" hidden="1" x14ac:dyDescent="0.2">
      <c r="F7521" s="503" t="s">
        <v>248</v>
      </c>
      <c r="G7521" s="504" t="s">
        <v>249</v>
      </c>
      <c r="H7521" s="397"/>
      <c r="I7521" s="397"/>
      <c r="J7521" s="750" t="e">
        <f t="shared" si="101"/>
        <v>#DIV/0!</v>
      </c>
      <c r="K7521" s="398"/>
      <c r="L7521" s="404"/>
      <c r="M7521" s="682"/>
    </row>
    <row r="7522" spans="5:13" hidden="1" x14ac:dyDescent="0.2">
      <c r="F7522" s="503" t="s">
        <v>250</v>
      </c>
      <c r="G7522" s="504" t="s">
        <v>57</v>
      </c>
      <c r="H7522" s="397"/>
      <c r="I7522" s="397"/>
      <c r="J7522" s="750" t="e">
        <f t="shared" si="101"/>
        <v>#DIV/0!</v>
      </c>
      <c r="K7522" s="398"/>
      <c r="L7522" s="404"/>
      <c r="M7522" s="682"/>
    </row>
    <row r="7523" spans="5:13" hidden="1" x14ac:dyDescent="0.2">
      <c r="F7523" s="503" t="s">
        <v>251</v>
      </c>
      <c r="G7523" s="504" t="s">
        <v>252</v>
      </c>
      <c r="H7523" s="397"/>
      <c r="I7523" s="397"/>
      <c r="J7523" s="750" t="e">
        <f t="shared" si="101"/>
        <v>#DIV/0!</v>
      </c>
      <c r="K7523" s="398"/>
      <c r="L7523" s="404"/>
      <c r="M7523" s="682"/>
    </row>
    <row r="7524" spans="5:13" hidden="1" x14ac:dyDescent="0.2">
      <c r="F7524" s="503" t="s">
        <v>253</v>
      </c>
      <c r="G7524" s="504" t="s">
        <v>254</v>
      </c>
      <c r="H7524" s="397"/>
      <c r="I7524" s="397"/>
      <c r="J7524" s="750" t="e">
        <f t="shared" si="101"/>
        <v>#DIV/0!</v>
      </c>
      <c r="K7524" s="398"/>
      <c r="L7524" s="404"/>
      <c r="M7524" s="682"/>
    </row>
    <row r="7525" spans="5:13" ht="25.5" hidden="1" x14ac:dyDescent="0.2">
      <c r="F7525" s="503" t="s">
        <v>255</v>
      </c>
      <c r="G7525" s="504" t="s">
        <v>256</v>
      </c>
      <c r="H7525" s="397"/>
      <c r="I7525" s="397"/>
      <c r="J7525" s="750" t="e">
        <f t="shared" si="101"/>
        <v>#DIV/0!</v>
      </c>
      <c r="K7525" s="398"/>
      <c r="L7525" s="404"/>
      <c r="M7525" s="682"/>
    </row>
    <row r="7526" spans="5:13" ht="25.5" hidden="1" x14ac:dyDescent="0.2">
      <c r="F7526" s="503" t="s">
        <v>257</v>
      </c>
      <c r="G7526" s="504" t="s">
        <v>258</v>
      </c>
      <c r="H7526" s="397"/>
      <c r="I7526" s="397"/>
      <c r="J7526" s="750" t="e">
        <f t="shared" si="101"/>
        <v>#DIV/0!</v>
      </c>
      <c r="K7526" s="398"/>
      <c r="L7526" s="404"/>
      <c r="M7526" s="682"/>
    </row>
    <row r="7527" spans="5:13" ht="25.5" hidden="1" x14ac:dyDescent="0.2">
      <c r="F7527" s="503" t="s">
        <v>259</v>
      </c>
      <c r="G7527" s="504" t="s">
        <v>260</v>
      </c>
      <c r="H7527" s="397"/>
      <c r="I7527" s="397"/>
      <c r="J7527" s="750" t="e">
        <f t="shared" si="101"/>
        <v>#DIV/0!</v>
      </c>
      <c r="K7527" s="398"/>
      <c r="L7527" s="404"/>
      <c r="M7527" s="682"/>
    </row>
    <row r="7528" spans="5:13" ht="25.5" hidden="1" x14ac:dyDescent="0.2">
      <c r="F7528" s="503" t="s">
        <v>261</v>
      </c>
      <c r="G7528" s="504" t="s">
        <v>262</v>
      </c>
      <c r="H7528" s="397"/>
      <c r="I7528" s="397"/>
      <c r="J7528" s="750" t="e">
        <f t="shared" si="101"/>
        <v>#DIV/0!</v>
      </c>
      <c r="K7528" s="398"/>
      <c r="L7528" s="404"/>
      <c r="M7528" s="682"/>
    </row>
    <row r="7529" spans="5:13" ht="14.25" customHeight="1" thickBot="1" x14ac:dyDescent="0.25">
      <c r="F7529" s="549" t="s">
        <v>240</v>
      </c>
      <c r="G7529" s="504" t="s">
        <v>5396</v>
      </c>
      <c r="H7529" s="403"/>
      <c r="I7529" s="403"/>
      <c r="J7529" s="750"/>
      <c r="K7529" s="404"/>
      <c r="L7529" s="404">
        <f>SUM(L7460:L7512)</f>
        <v>50000</v>
      </c>
      <c r="M7529" s="682"/>
    </row>
    <row r="7530" spans="5:13" ht="13.5" thickBot="1" x14ac:dyDescent="0.25">
      <c r="G7530" s="505" t="s">
        <v>4388</v>
      </c>
      <c r="H7530" s="405">
        <f>SUM(H7514:H7529)</f>
        <v>351000</v>
      </c>
      <c r="I7530" s="405">
        <f>SUM(I7514)</f>
        <v>296769.02</v>
      </c>
      <c r="J7530" s="750">
        <f t="shared" si="101"/>
        <v>84.549578347578361</v>
      </c>
      <c r="K7530" s="406">
        <f>SUM(K7515:K7529)</f>
        <v>0</v>
      </c>
      <c r="L7530" s="406">
        <f>SUM(L7529)</f>
        <v>50000</v>
      </c>
      <c r="M7530" s="682"/>
    </row>
    <row r="7531" spans="5:13" ht="14.25" customHeight="1" collapsed="1" x14ac:dyDescent="0.2">
      <c r="E7531" s="500"/>
      <c r="F7531" s="498"/>
      <c r="G7531" s="506" t="s">
        <v>4276</v>
      </c>
      <c r="H7531" s="407"/>
      <c r="I7531" s="408"/>
      <c r="J7531" s="750"/>
      <c r="K7531" s="409"/>
      <c r="L7531" s="410"/>
      <c r="M7531" s="682"/>
    </row>
    <row r="7532" spans="5:13" ht="18" customHeight="1" x14ac:dyDescent="0.2">
      <c r="E7532" s="502"/>
      <c r="F7532" s="503" t="s">
        <v>234</v>
      </c>
      <c r="G7532" s="504" t="s">
        <v>235</v>
      </c>
      <c r="H7532" s="403">
        <f>SUM(H7452:H7511)</f>
        <v>351000</v>
      </c>
      <c r="I7532" s="403">
        <f>SUM(I7530)</f>
        <v>296769.02</v>
      </c>
      <c r="J7532" s="750">
        <f t="shared" si="101"/>
        <v>84.549578347578361</v>
      </c>
      <c r="K7532" s="404"/>
      <c r="L7532" s="404"/>
      <c r="M7532" s="682"/>
    </row>
    <row r="7533" spans="5:13" hidden="1" x14ac:dyDescent="0.2">
      <c r="F7533" s="503" t="s">
        <v>236</v>
      </c>
      <c r="G7533" s="504" t="s">
        <v>237</v>
      </c>
      <c r="H7533" s="397"/>
      <c r="I7533" s="397"/>
      <c r="J7533" s="750" t="e">
        <f t="shared" si="101"/>
        <v>#DIV/0!</v>
      </c>
      <c r="K7533" s="398"/>
      <c r="L7533" s="404"/>
      <c r="M7533" s="682"/>
    </row>
    <row r="7534" spans="5:13" hidden="1" x14ac:dyDescent="0.2">
      <c r="F7534" s="503" t="s">
        <v>238</v>
      </c>
      <c r="G7534" s="504" t="s">
        <v>239</v>
      </c>
      <c r="H7534" s="397"/>
      <c r="I7534" s="397"/>
      <c r="J7534" s="750" t="e">
        <f t="shared" si="101"/>
        <v>#DIV/0!</v>
      </c>
      <c r="K7534" s="398"/>
      <c r="L7534" s="404"/>
      <c r="M7534" s="682"/>
    </row>
    <row r="7535" spans="5:13" hidden="1" x14ac:dyDescent="0.2">
      <c r="F7535" s="503" t="s">
        <v>240</v>
      </c>
      <c r="G7535" s="504" t="s">
        <v>241</v>
      </c>
      <c r="H7535" s="397"/>
      <c r="I7535" s="397"/>
      <c r="J7535" s="750" t="e">
        <f t="shared" si="101"/>
        <v>#DIV/0!</v>
      </c>
      <c r="K7535" s="398"/>
      <c r="L7535" s="404"/>
      <c r="M7535" s="682"/>
    </row>
    <row r="7536" spans="5:13" hidden="1" x14ac:dyDescent="0.2">
      <c r="F7536" s="503" t="s">
        <v>242</v>
      </c>
      <c r="G7536" s="504" t="s">
        <v>243</v>
      </c>
      <c r="H7536" s="397"/>
      <c r="I7536" s="397"/>
      <c r="J7536" s="750" t="e">
        <f t="shared" si="101"/>
        <v>#DIV/0!</v>
      </c>
      <c r="K7536" s="398"/>
      <c r="L7536" s="404"/>
      <c r="M7536" s="682"/>
    </row>
    <row r="7537" spans="5:13" hidden="1" x14ac:dyDescent="0.2">
      <c r="F7537" s="503" t="s">
        <v>244</v>
      </c>
      <c r="G7537" s="504" t="s">
        <v>245</v>
      </c>
      <c r="H7537" s="397"/>
      <c r="I7537" s="397"/>
      <c r="J7537" s="750" t="e">
        <f t="shared" si="101"/>
        <v>#DIV/0!</v>
      </c>
      <c r="K7537" s="398"/>
      <c r="L7537" s="404"/>
      <c r="M7537" s="682"/>
    </row>
    <row r="7538" spans="5:13" hidden="1" x14ac:dyDescent="0.2">
      <c r="F7538" s="503" t="s">
        <v>246</v>
      </c>
      <c r="G7538" s="504" t="s">
        <v>247</v>
      </c>
      <c r="H7538" s="397"/>
      <c r="I7538" s="397"/>
      <c r="J7538" s="750" t="e">
        <f t="shared" si="101"/>
        <v>#DIV/0!</v>
      </c>
      <c r="K7538" s="398"/>
      <c r="L7538" s="404"/>
      <c r="M7538" s="682"/>
    </row>
    <row r="7539" spans="5:13" ht="25.5" hidden="1" x14ac:dyDescent="0.2">
      <c r="F7539" s="503" t="s">
        <v>248</v>
      </c>
      <c r="G7539" s="504" t="s">
        <v>249</v>
      </c>
      <c r="H7539" s="397"/>
      <c r="I7539" s="397"/>
      <c r="J7539" s="750" t="e">
        <f t="shared" si="101"/>
        <v>#DIV/0!</v>
      </c>
      <c r="K7539" s="398"/>
      <c r="L7539" s="404"/>
      <c r="M7539" s="682"/>
    </row>
    <row r="7540" spans="5:13" hidden="1" x14ac:dyDescent="0.2">
      <c r="F7540" s="503" t="s">
        <v>250</v>
      </c>
      <c r="G7540" s="504" t="s">
        <v>57</v>
      </c>
      <c r="H7540" s="397"/>
      <c r="I7540" s="397"/>
      <c r="J7540" s="750" t="e">
        <f t="shared" si="101"/>
        <v>#DIV/0!</v>
      </c>
      <c r="K7540" s="398"/>
      <c r="L7540" s="404"/>
      <c r="M7540" s="682"/>
    </row>
    <row r="7541" spans="5:13" hidden="1" x14ac:dyDescent="0.2">
      <c r="F7541" s="503" t="s">
        <v>251</v>
      </c>
      <c r="G7541" s="504" t="s">
        <v>252</v>
      </c>
      <c r="H7541" s="397"/>
      <c r="I7541" s="397"/>
      <c r="J7541" s="750" t="e">
        <f t="shared" si="101"/>
        <v>#DIV/0!</v>
      </c>
      <c r="K7541" s="398"/>
      <c r="L7541" s="404"/>
      <c r="M7541" s="682"/>
    </row>
    <row r="7542" spans="5:13" hidden="1" x14ac:dyDescent="0.2">
      <c r="F7542" s="503" t="s">
        <v>253</v>
      </c>
      <c r="G7542" s="504" t="s">
        <v>254</v>
      </c>
      <c r="H7542" s="397"/>
      <c r="I7542" s="397"/>
      <c r="J7542" s="750" t="e">
        <f t="shared" si="101"/>
        <v>#DIV/0!</v>
      </c>
      <c r="K7542" s="398"/>
      <c r="L7542" s="404"/>
      <c r="M7542" s="682"/>
    </row>
    <row r="7543" spans="5:13" ht="25.5" hidden="1" x14ac:dyDescent="0.2">
      <c r="F7543" s="503" t="s">
        <v>255</v>
      </c>
      <c r="G7543" s="504" t="s">
        <v>256</v>
      </c>
      <c r="H7543" s="397"/>
      <c r="I7543" s="397"/>
      <c r="J7543" s="750" t="e">
        <f t="shared" si="101"/>
        <v>#DIV/0!</v>
      </c>
      <c r="K7543" s="398"/>
      <c r="L7543" s="404"/>
      <c r="M7543" s="682"/>
    </row>
    <row r="7544" spans="5:13" ht="25.5" hidden="1" x14ac:dyDescent="0.2">
      <c r="F7544" s="503" t="s">
        <v>257</v>
      </c>
      <c r="G7544" s="504" t="s">
        <v>258</v>
      </c>
      <c r="H7544" s="397"/>
      <c r="I7544" s="397"/>
      <c r="J7544" s="750" t="e">
        <f t="shared" si="101"/>
        <v>#DIV/0!</v>
      </c>
      <c r="K7544" s="398"/>
      <c r="L7544" s="404"/>
      <c r="M7544" s="682"/>
    </row>
    <row r="7545" spans="5:13" ht="25.5" hidden="1" x14ac:dyDescent="0.2">
      <c r="F7545" s="503" t="s">
        <v>259</v>
      </c>
      <c r="G7545" s="504" t="s">
        <v>260</v>
      </c>
      <c r="H7545" s="397"/>
      <c r="I7545" s="397"/>
      <c r="J7545" s="750" t="e">
        <f t="shared" si="101"/>
        <v>#DIV/0!</v>
      </c>
      <c r="K7545" s="398"/>
      <c r="L7545" s="404"/>
      <c r="M7545" s="682"/>
    </row>
    <row r="7546" spans="5:13" ht="25.5" hidden="1" x14ac:dyDescent="0.2">
      <c r="F7546" s="503" t="s">
        <v>261</v>
      </c>
      <c r="G7546" s="504" t="s">
        <v>262</v>
      </c>
      <c r="H7546" s="397"/>
      <c r="I7546" s="397"/>
      <c r="J7546" s="750" t="e">
        <f t="shared" si="101"/>
        <v>#DIV/0!</v>
      </c>
      <c r="K7546" s="398"/>
      <c r="L7546" s="404"/>
      <c r="M7546" s="682"/>
    </row>
    <row r="7547" spans="5:13" ht="15.75" customHeight="1" thickBot="1" x14ac:dyDescent="0.25">
      <c r="F7547" s="549" t="s">
        <v>240</v>
      </c>
      <c r="G7547" s="504" t="s">
        <v>5396</v>
      </c>
      <c r="H7547" s="403"/>
      <c r="I7547" s="403"/>
      <c r="J7547" s="750"/>
      <c r="K7547" s="404"/>
      <c r="L7547" s="404">
        <f>SUM(L7530)</f>
        <v>50000</v>
      </c>
      <c r="M7547" s="682"/>
    </row>
    <row r="7548" spans="5:13" ht="13.5" collapsed="1" thickBot="1" x14ac:dyDescent="0.25">
      <c r="G7548" s="505" t="s">
        <v>4389</v>
      </c>
      <c r="H7548" s="405">
        <f>SUM(H7532:H7547)</f>
        <v>351000</v>
      </c>
      <c r="I7548" s="405">
        <f>SUM(I7530)</f>
        <v>296769.02</v>
      </c>
      <c r="J7548" s="750">
        <f t="shared" si="101"/>
        <v>84.549578347578361</v>
      </c>
      <c r="K7548" s="406">
        <f>SUM(K7533:K7547)</f>
        <v>0</v>
      </c>
      <c r="L7548" s="406">
        <f>SUM(L7547)</f>
        <v>50000</v>
      </c>
      <c r="M7548" s="682"/>
    </row>
    <row r="7549" spans="5:13" hidden="1" x14ac:dyDescent="0.2">
      <c r="H7549" s="397"/>
      <c r="I7549" s="397"/>
      <c r="J7549" s="750" t="e">
        <f t="shared" si="101"/>
        <v>#DIV/0!</v>
      </c>
      <c r="K7549" s="398"/>
      <c r="L7549" s="398"/>
      <c r="M7549" s="682"/>
    </row>
    <row r="7550" spans="5:13" x14ac:dyDescent="0.2">
      <c r="E7550" s="500"/>
      <c r="F7550" s="498"/>
      <c r="G7550" s="511" t="s">
        <v>4203</v>
      </c>
      <c r="H7550" s="413"/>
      <c r="I7550" s="413"/>
      <c r="J7550" s="750"/>
      <c r="K7550" s="414"/>
      <c r="L7550" s="415"/>
      <c r="M7550" s="682"/>
    </row>
    <row r="7551" spans="5:13" ht="13.5" customHeight="1" x14ac:dyDescent="0.2">
      <c r="E7551" s="502"/>
      <c r="F7551" s="503" t="s">
        <v>234</v>
      </c>
      <c r="G7551" s="504" t="s">
        <v>235</v>
      </c>
      <c r="H7551" s="403">
        <f>SUM(H7532)</f>
        <v>351000</v>
      </c>
      <c r="I7551" s="403">
        <f>SUM(I7548)</f>
        <v>296769.02</v>
      </c>
      <c r="J7551" s="750">
        <f t="shared" si="101"/>
        <v>84.549578347578361</v>
      </c>
      <c r="K7551" s="404"/>
      <c r="L7551" s="404"/>
      <c r="M7551" s="682"/>
    </row>
    <row r="7552" spans="5:13" hidden="1" x14ac:dyDescent="0.2">
      <c r="F7552" s="503" t="s">
        <v>236</v>
      </c>
      <c r="G7552" s="504" t="s">
        <v>237</v>
      </c>
      <c r="H7552" s="397"/>
      <c r="I7552" s="397"/>
      <c r="J7552" s="750" t="e">
        <f t="shared" si="101"/>
        <v>#DIV/0!</v>
      </c>
      <c r="K7552" s="398"/>
      <c r="L7552" s="404"/>
      <c r="M7552" s="682"/>
    </row>
    <row r="7553" spans="6:13" hidden="1" x14ac:dyDescent="0.2">
      <c r="F7553" s="503" t="s">
        <v>238</v>
      </c>
      <c r="G7553" s="504" t="s">
        <v>239</v>
      </c>
      <c r="H7553" s="397"/>
      <c r="I7553" s="397"/>
      <c r="J7553" s="750" t="e">
        <f t="shared" si="101"/>
        <v>#DIV/0!</v>
      </c>
      <c r="K7553" s="398"/>
      <c r="L7553" s="404"/>
      <c r="M7553" s="682"/>
    </row>
    <row r="7554" spans="6:13" hidden="1" x14ac:dyDescent="0.2">
      <c r="F7554" s="503" t="s">
        <v>240</v>
      </c>
      <c r="G7554" s="504" t="s">
        <v>241</v>
      </c>
      <c r="H7554" s="397"/>
      <c r="I7554" s="397"/>
      <c r="J7554" s="750" t="e">
        <f t="shared" si="101"/>
        <v>#DIV/0!</v>
      </c>
      <c r="K7554" s="398"/>
      <c r="L7554" s="404"/>
      <c r="M7554" s="682"/>
    </row>
    <row r="7555" spans="6:13" hidden="1" x14ac:dyDescent="0.2">
      <c r="F7555" s="503" t="s">
        <v>242</v>
      </c>
      <c r="G7555" s="504" t="s">
        <v>243</v>
      </c>
      <c r="H7555" s="397"/>
      <c r="I7555" s="397"/>
      <c r="J7555" s="750" t="e">
        <f t="shared" si="101"/>
        <v>#DIV/0!</v>
      </c>
      <c r="K7555" s="398"/>
      <c r="L7555" s="404"/>
      <c r="M7555" s="682"/>
    </row>
    <row r="7556" spans="6:13" hidden="1" x14ac:dyDescent="0.2">
      <c r="F7556" s="503" t="s">
        <v>244</v>
      </c>
      <c r="G7556" s="504" t="s">
        <v>245</v>
      </c>
      <c r="H7556" s="397"/>
      <c r="I7556" s="397"/>
      <c r="J7556" s="750" t="e">
        <f t="shared" si="101"/>
        <v>#DIV/0!</v>
      </c>
      <c r="K7556" s="398"/>
      <c r="L7556" s="404"/>
      <c r="M7556" s="682"/>
    </row>
    <row r="7557" spans="6:13" hidden="1" x14ac:dyDescent="0.2">
      <c r="F7557" s="503" t="s">
        <v>246</v>
      </c>
      <c r="G7557" s="504" t="s">
        <v>247</v>
      </c>
      <c r="H7557" s="397"/>
      <c r="I7557" s="397"/>
      <c r="J7557" s="750" t="e">
        <f t="shared" si="101"/>
        <v>#DIV/0!</v>
      </c>
      <c r="K7557" s="398"/>
      <c r="L7557" s="404"/>
      <c r="M7557" s="682"/>
    </row>
    <row r="7558" spans="6:13" ht="25.5" hidden="1" x14ac:dyDescent="0.2">
      <c r="F7558" s="503" t="s">
        <v>248</v>
      </c>
      <c r="G7558" s="504" t="s">
        <v>249</v>
      </c>
      <c r="H7558" s="397"/>
      <c r="I7558" s="397"/>
      <c r="J7558" s="750" t="e">
        <f t="shared" si="101"/>
        <v>#DIV/0!</v>
      </c>
      <c r="K7558" s="398"/>
      <c r="L7558" s="404"/>
      <c r="M7558" s="682"/>
    </row>
    <row r="7559" spans="6:13" hidden="1" x14ac:dyDescent="0.2">
      <c r="F7559" s="503" t="s">
        <v>250</v>
      </c>
      <c r="G7559" s="504" t="s">
        <v>57</v>
      </c>
      <c r="H7559" s="397"/>
      <c r="I7559" s="397"/>
      <c r="J7559" s="750" t="e">
        <f t="shared" si="101"/>
        <v>#DIV/0!</v>
      </c>
      <c r="K7559" s="398"/>
      <c r="L7559" s="404"/>
      <c r="M7559" s="682"/>
    </row>
    <row r="7560" spans="6:13" hidden="1" x14ac:dyDescent="0.2">
      <c r="F7560" s="503" t="s">
        <v>251</v>
      </c>
      <c r="G7560" s="504" t="s">
        <v>252</v>
      </c>
      <c r="H7560" s="397"/>
      <c r="I7560" s="397"/>
      <c r="J7560" s="750" t="e">
        <f t="shared" si="101"/>
        <v>#DIV/0!</v>
      </c>
      <c r="K7560" s="398"/>
      <c r="L7560" s="404"/>
      <c r="M7560" s="682"/>
    </row>
    <row r="7561" spans="6:13" hidden="1" x14ac:dyDescent="0.2">
      <c r="F7561" s="503" t="s">
        <v>253</v>
      </c>
      <c r="G7561" s="504" t="s">
        <v>254</v>
      </c>
      <c r="H7561" s="397"/>
      <c r="I7561" s="397"/>
      <c r="J7561" s="750" t="e">
        <f t="shared" si="101"/>
        <v>#DIV/0!</v>
      </c>
      <c r="K7561" s="398"/>
      <c r="L7561" s="404"/>
      <c r="M7561" s="682"/>
    </row>
    <row r="7562" spans="6:13" ht="25.5" hidden="1" x14ac:dyDescent="0.2">
      <c r="F7562" s="503" t="s">
        <v>255</v>
      </c>
      <c r="G7562" s="504" t="s">
        <v>256</v>
      </c>
      <c r="H7562" s="397"/>
      <c r="I7562" s="397"/>
      <c r="J7562" s="750" t="e">
        <f t="shared" si="101"/>
        <v>#DIV/0!</v>
      </c>
      <c r="K7562" s="398"/>
      <c r="L7562" s="404"/>
      <c r="M7562" s="682"/>
    </row>
    <row r="7563" spans="6:13" ht="25.5" hidden="1" x14ac:dyDescent="0.2">
      <c r="F7563" s="503" t="s">
        <v>257</v>
      </c>
      <c r="G7563" s="504" t="s">
        <v>258</v>
      </c>
      <c r="H7563" s="397"/>
      <c r="I7563" s="397"/>
      <c r="J7563" s="750" t="e">
        <f t="shared" si="101"/>
        <v>#DIV/0!</v>
      </c>
      <c r="K7563" s="398"/>
      <c r="L7563" s="404"/>
      <c r="M7563" s="682"/>
    </row>
    <row r="7564" spans="6:13" ht="25.5" hidden="1" x14ac:dyDescent="0.2">
      <c r="F7564" s="503" t="s">
        <v>259</v>
      </c>
      <c r="G7564" s="504" t="s">
        <v>260</v>
      </c>
      <c r="H7564" s="397"/>
      <c r="I7564" s="397"/>
      <c r="J7564" s="750" t="e">
        <f t="shared" si="101"/>
        <v>#DIV/0!</v>
      </c>
      <c r="K7564" s="398"/>
      <c r="L7564" s="404"/>
      <c r="M7564" s="682"/>
    </row>
    <row r="7565" spans="6:13" ht="25.5" hidden="1" x14ac:dyDescent="0.2">
      <c r="F7565" s="503" t="s">
        <v>261</v>
      </c>
      <c r="G7565" s="504" t="s">
        <v>262</v>
      </c>
      <c r="H7565" s="397"/>
      <c r="I7565" s="397"/>
      <c r="J7565" s="750" t="e">
        <f t="shared" si="101"/>
        <v>#DIV/0!</v>
      </c>
      <c r="K7565" s="398"/>
      <c r="L7565" s="404"/>
      <c r="M7565" s="682"/>
    </row>
    <row r="7566" spans="6:13" ht="13.5" customHeight="1" thickBot="1" x14ac:dyDescent="0.25">
      <c r="F7566" s="549" t="s">
        <v>240</v>
      </c>
      <c r="G7566" s="504" t="s">
        <v>5396</v>
      </c>
      <c r="H7566" s="403"/>
      <c r="I7566" s="403"/>
      <c r="J7566" s="750"/>
      <c r="K7566" s="404"/>
      <c r="L7566" s="404">
        <f>SUM(L7548)</f>
        <v>50000</v>
      </c>
      <c r="M7566" s="682"/>
    </row>
    <row r="7567" spans="6:13" ht="13.5" thickBot="1" x14ac:dyDescent="0.25">
      <c r="G7567" s="505" t="s">
        <v>4204</v>
      </c>
      <c r="H7567" s="405">
        <f>SUM(H7551:H7566)</f>
        <v>351000</v>
      </c>
      <c r="I7567" s="405">
        <f>SUM(I7551)</f>
        <v>296769.02</v>
      </c>
      <c r="J7567" s="750">
        <f t="shared" ref="J7567:J7629" si="102">SUM(I7567/H7567)*100</f>
        <v>84.549578347578361</v>
      </c>
      <c r="K7567" s="406">
        <f>SUM(K7552:K7566)</f>
        <v>0</v>
      </c>
      <c r="L7567" s="406">
        <f>SUM(L7566)</f>
        <v>50000</v>
      </c>
      <c r="M7567" s="682"/>
    </row>
    <row r="7568" spans="6:13" hidden="1" x14ac:dyDescent="0.2">
      <c r="H7568" s="397"/>
      <c r="I7568" s="397"/>
      <c r="J7568" s="750" t="e">
        <f t="shared" si="102"/>
        <v>#DIV/0!</v>
      </c>
      <c r="K7568" s="398"/>
      <c r="L7568" s="398"/>
      <c r="M7568" s="682"/>
    </row>
    <row r="7569" spans="1:27" s="530" customFormat="1" x14ac:dyDescent="0.2">
      <c r="A7569" s="526"/>
      <c r="B7569" s="527"/>
      <c r="C7569" s="534"/>
      <c r="D7569" s="535"/>
      <c r="E7569" s="535"/>
      <c r="F7569" s="498"/>
      <c r="G7569" s="511" t="s">
        <v>4299</v>
      </c>
      <c r="H7569" s="413"/>
      <c r="I7569" s="413"/>
      <c r="J7569" s="750"/>
      <c r="K7569" s="414"/>
      <c r="L7569" s="415"/>
      <c r="M7569" s="682"/>
      <c r="N7569" s="171"/>
      <c r="O7569" s="171"/>
      <c r="P7569" s="171"/>
      <c r="Q7569" s="171"/>
      <c r="R7569" s="171"/>
      <c r="S7569" s="171"/>
      <c r="T7569" s="171"/>
      <c r="U7569" s="171"/>
      <c r="V7569" s="171"/>
      <c r="W7569" s="171"/>
      <c r="X7569" s="171"/>
      <c r="Y7569" s="171"/>
      <c r="Z7569" s="171"/>
      <c r="AA7569" s="171"/>
    </row>
    <row r="7570" spans="1:27" s="530" customFormat="1" ht="13.5" customHeight="1" x14ac:dyDescent="0.2">
      <c r="A7570" s="526"/>
      <c r="B7570" s="527"/>
      <c r="C7570" s="534"/>
      <c r="D7570" s="535"/>
      <c r="E7570" s="535"/>
      <c r="F7570" s="503" t="s">
        <v>234</v>
      </c>
      <c r="G7570" s="504" t="s">
        <v>235</v>
      </c>
      <c r="H7570" s="403">
        <f>SUM(H7532)</f>
        <v>351000</v>
      </c>
      <c r="I7570" s="403">
        <f>SUM(I7567)</f>
        <v>296769.02</v>
      </c>
      <c r="J7570" s="750">
        <f t="shared" si="102"/>
        <v>84.549578347578361</v>
      </c>
      <c r="K7570" s="404"/>
      <c r="L7570" s="404"/>
      <c r="M7570" s="682"/>
      <c r="N7570" s="171"/>
      <c r="O7570" s="171"/>
      <c r="P7570" s="171"/>
      <c r="Q7570" s="171"/>
      <c r="R7570" s="171"/>
      <c r="S7570" s="171"/>
      <c r="T7570" s="171"/>
      <c r="U7570" s="171"/>
      <c r="V7570" s="171"/>
      <c r="W7570" s="171"/>
      <c r="X7570" s="171"/>
      <c r="Y7570" s="171"/>
      <c r="Z7570" s="171"/>
      <c r="AA7570" s="171"/>
    </row>
    <row r="7571" spans="1:27" s="530" customFormat="1" hidden="1" x14ac:dyDescent="0.2">
      <c r="A7571" s="526"/>
      <c r="B7571" s="527"/>
      <c r="C7571" s="534"/>
      <c r="D7571" s="535"/>
      <c r="E7571" s="535"/>
      <c r="F7571" s="503" t="s">
        <v>236</v>
      </c>
      <c r="G7571" s="504" t="s">
        <v>237</v>
      </c>
      <c r="H7571" s="397"/>
      <c r="I7571" s="397"/>
      <c r="J7571" s="750" t="e">
        <f t="shared" si="102"/>
        <v>#DIV/0!</v>
      </c>
      <c r="K7571" s="398"/>
      <c r="L7571" s="404"/>
      <c r="M7571" s="682"/>
      <c r="N7571" s="171"/>
      <c r="O7571" s="171"/>
      <c r="P7571" s="171"/>
      <c r="Q7571" s="171"/>
      <c r="R7571" s="171"/>
      <c r="S7571" s="171"/>
      <c r="T7571" s="171"/>
      <c r="U7571" s="171"/>
      <c r="V7571" s="171"/>
      <c r="W7571" s="171"/>
      <c r="X7571" s="171"/>
      <c r="Y7571" s="171"/>
      <c r="Z7571" s="171"/>
      <c r="AA7571" s="171"/>
    </row>
    <row r="7572" spans="1:27" s="530" customFormat="1" hidden="1" x14ac:dyDescent="0.2">
      <c r="A7572" s="526"/>
      <c r="B7572" s="527"/>
      <c r="C7572" s="534"/>
      <c r="D7572" s="535"/>
      <c r="E7572" s="535"/>
      <c r="F7572" s="503" t="s">
        <v>238</v>
      </c>
      <c r="G7572" s="504" t="s">
        <v>239</v>
      </c>
      <c r="H7572" s="397"/>
      <c r="I7572" s="397"/>
      <c r="J7572" s="750" t="e">
        <f t="shared" si="102"/>
        <v>#DIV/0!</v>
      </c>
      <c r="K7572" s="398"/>
      <c r="L7572" s="404"/>
      <c r="M7572" s="682"/>
      <c r="N7572" s="171"/>
      <c r="O7572" s="171"/>
      <c r="P7572" s="171"/>
      <c r="Q7572" s="171"/>
      <c r="R7572" s="171"/>
      <c r="S7572" s="171"/>
      <c r="T7572" s="171"/>
      <c r="U7572" s="171"/>
      <c r="V7572" s="171"/>
      <c r="W7572" s="171"/>
      <c r="X7572" s="171"/>
      <c r="Y7572" s="171"/>
      <c r="Z7572" s="171"/>
      <c r="AA7572" s="171"/>
    </row>
    <row r="7573" spans="1:27" s="530" customFormat="1" hidden="1" x14ac:dyDescent="0.2">
      <c r="A7573" s="526"/>
      <c r="B7573" s="527"/>
      <c r="C7573" s="534"/>
      <c r="D7573" s="535"/>
      <c r="E7573" s="535"/>
      <c r="F7573" s="503" t="s">
        <v>240</v>
      </c>
      <c r="G7573" s="504" t="s">
        <v>241</v>
      </c>
      <c r="H7573" s="397"/>
      <c r="I7573" s="397"/>
      <c r="J7573" s="750" t="e">
        <f t="shared" si="102"/>
        <v>#DIV/0!</v>
      </c>
      <c r="K7573" s="398"/>
      <c r="L7573" s="404"/>
      <c r="M7573" s="682"/>
      <c r="N7573" s="171"/>
      <c r="O7573" s="171"/>
      <c r="P7573" s="171"/>
      <c r="Q7573" s="171"/>
      <c r="R7573" s="171"/>
      <c r="S7573" s="171"/>
      <c r="T7573" s="171"/>
      <c r="U7573" s="171"/>
      <c r="V7573" s="171"/>
      <c r="W7573" s="171"/>
      <c r="X7573" s="171"/>
      <c r="Y7573" s="171"/>
      <c r="Z7573" s="171"/>
      <c r="AA7573" s="171"/>
    </row>
    <row r="7574" spans="1:27" s="530" customFormat="1" hidden="1" x14ac:dyDescent="0.2">
      <c r="A7574" s="526"/>
      <c r="B7574" s="527"/>
      <c r="C7574" s="534"/>
      <c r="D7574" s="535"/>
      <c r="E7574" s="535"/>
      <c r="F7574" s="503" t="s">
        <v>242</v>
      </c>
      <c r="G7574" s="504" t="s">
        <v>243</v>
      </c>
      <c r="H7574" s="397"/>
      <c r="I7574" s="397"/>
      <c r="J7574" s="750" t="e">
        <f t="shared" si="102"/>
        <v>#DIV/0!</v>
      </c>
      <c r="K7574" s="398"/>
      <c r="L7574" s="404"/>
      <c r="M7574" s="682"/>
      <c r="N7574" s="171"/>
      <c r="O7574" s="171"/>
      <c r="P7574" s="171"/>
      <c r="Q7574" s="171"/>
      <c r="R7574" s="171"/>
      <c r="S7574" s="171"/>
      <c r="T7574" s="171"/>
      <c r="U7574" s="171"/>
      <c r="V7574" s="171"/>
      <c r="W7574" s="171"/>
      <c r="X7574" s="171"/>
      <c r="Y7574" s="171"/>
      <c r="Z7574" s="171"/>
      <c r="AA7574" s="171"/>
    </row>
    <row r="7575" spans="1:27" s="530" customFormat="1" hidden="1" x14ac:dyDescent="0.2">
      <c r="A7575" s="526"/>
      <c r="B7575" s="527"/>
      <c r="C7575" s="534"/>
      <c r="D7575" s="535"/>
      <c r="E7575" s="535"/>
      <c r="F7575" s="503" t="s">
        <v>244</v>
      </c>
      <c r="G7575" s="504" t="s">
        <v>245</v>
      </c>
      <c r="H7575" s="397"/>
      <c r="I7575" s="397"/>
      <c r="J7575" s="750" t="e">
        <f t="shared" si="102"/>
        <v>#DIV/0!</v>
      </c>
      <c r="K7575" s="398"/>
      <c r="L7575" s="404"/>
      <c r="M7575" s="682"/>
      <c r="N7575" s="171"/>
      <c r="O7575" s="171"/>
      <c r="P7575" s="171"/>
      <c r="Q7575" s="171"/>
      <c r="R7575" s="171"/>
      <c r="S7575" s="171"/>
      <c r="T7575" s="171"/>
      <c r="U7575" s="171"/>
      <c r="V7575" s="171"/>
      <c r="W7575" s="171"/>
      <c r="X7575" s="171"/>
      <c r="Y7575" s="171"/>
      <c r="Z7575" s="171"/>
      <c r="AA7575" s="171"/>
    </row>
    <row r="7576" spans="1:27" s="530" customFormat="1" hidden="1" x14ac:dyDescent="0.2">
      <c r="A7576" s="526"/>
      <c r="B7576" s="527"/>
      <c r="C7576" s="534"/>
      <c r="D7576" s="535"/>
      <c r="E7576" s="535"/>
      <c r="F7576" s="503" t="s">
        <v>246</v>
      </c>
      <c r="G7576" s="504" t="s">
        <v>247</v>
      </c>
      <c r="H7576" s="397"/>
      <c r="I7576" s="397"/>
      <c r="J7576" s="750" t="e">
        <f t="shared" si="102"/>
        <v>#DIV/0!</v>
      </c>
      <c r="K7576" s="398"/>
      <c r="L7576" s="404"/>
      <c r="M7576" s="682"/>
      <c r="N7576" s="171"/>
      <c r="O7576" s="171"/>
      <c r="P7576" s="171"/>
      <c r="Q7576" s="171"/>
      <c r="R7576" s="171"/>
      <c r="S7576" s="171"/>
      <c r="T7576" s="171"/>
      <c r="U7576" s="171"/>
      <c r="V7576" s="171"/>
      <c r="W7576" s="171"/>
      <c r="X7576" s="171"/>
      <c r="Y7576" s="171"/>
      <c r="Z7576" s="171"/>
      <c r="AA7576" s="171"/>
    </row>
    <row r="7577" spans="1:27" s="530" customFormat="1" ht="25.5" hidden="1" x14ac:dyDescent="0.2">
      <c r="A7577" s="526"/>
      <c r="B7577" s="527"/>
      <c r="C7577" s="534"/>
      <c r="D7577" s="535"/>
      <c r="E7577" s="535"/>
      <c r="F7577" s="503" t="s">
        <v>248</v>
      </c>
      <c r="G7577" s="504" t="s">
        <v>249</v>
      </c>
      <c r="H7577" s="397"/>
      <c r="I7577" s="397"/>
      <c r="J7577" s="750" t="e">
        <f t="shared" si="102"/>
        <v>#DIV/0!</v>
      </c>
      <c r="K7577" s="398"/>
      <c r="L7577" s="404"/>
      <c r="M7577" s="682"/>
      <c r="N7577" s="171"/>
      <c r="O7577" s="171"/>
      <c r="P7577" s="171"/>
      <c r="Q7577" s="171"/>
      <c r="R7577" s="171"/>
      <c r="S7577" s="171"/>
      <c r="T7577" s="171"/>
      <c r="U7577" s="171"/>
      <c r="V7577" s="171"/>
      <c r="W7577" s="171"/>
      <c r="X7577" s="171"/>
      <c r="Y7577" s="171"/>
      <c r="Z7577" s="171"/>
      <c r="AA7577" s="171"/>
    </row>
    <row r="7578" spans="1:27" s="530" customFormat="1" hidden="1" x14ac:dyDescent="0.2">
      <c r="A7578" s="526"/>
      <c r="B7578" s="527"/>
      <c r="C7578" s="534"/>
      <c r="D7578" s="535"/>
      <c r="E7578" s="535"/>
      <c r="F7578" s="503" t="s">
        <v>250</v>
      </c>
      <c r="G7578" s="504" t="s">
        <v>57</v>
      </c>
      <c r="H7578" s="397"/>
      <c r="I7578" s="397"/>
      <c r="J7578" s="750" t="e">
        <f t="shared" si="102"/>
        <v>#DIV/0!</v>
      </c>
      <c r="K7578" s="398"/>
      <c r="L7578" s="404"/>
      <c r="M7578" s="682"/>
      <c r="N7578" s="171"/>
      <c r="O7578" s="171"/>
      <c r="P7578" s="171"/>
      <c r="Q7578" s="171"/>
      <c r="R7578" s="171"/>
      <c r="S7578" s="171"/>
      <c r="T7578" s="171"/>
      <c r="U7578" s="171"/>
      <c r="V7578" s="171"/>
      <c r="W7578" s="171"/>
      <c r="X7578" s="171"/>
      <c r="Y7578" s="171"/>
      <c r="Z7578" s="171"/>
      <c r="AA7578" s="171"/>
    </row>
    <row r="7579" spans="1:27" s="530" customFormat="1" hidden="1" x14ac:dyDescent="0.2">
      <c r="A7579" s="526"/>
      <c r="B7579" s="527"/>
      <c r="C7579" s="534"/>
      <c r="D7579" s="535"/>
      <c r="E7579" s="535"/>
      <c r="F7579" s="503" t="s">
        <v>251</v>
      </c>
      <c r="G7579" s="504" t="s">
        <v>252</v>
      </c>
      <c r="H7579" s="397"/>
      <c r="I7579" s="397"/>
      <c r="J7579" s="750" t="e">
        <f t="shared" si="102"/>
        <v>#DIV/0!</v>
      </c>
      <c r="K7579" s="398"/>
      <c r="L7579" s="404"/>
      <c r="M7579" s="682"/>
      <c r="N7579" s="171"/>
      <c r="O7579" s="171"/>
      <c r="P7579" s="171"/>
      <c r="Q7579" s="171"/>
      <c r="R7579" s="171"/>
      <c r="S7579" s="171"/>
      <c r="T7579" s="171"/>
      <c r="U7579" s="171"/>
      <c r="V7579" s="171"/>
      <c r="W7579" s="171"/>
      <c r="X7579" s="171"/>
      <c r="Y7579" s="171"/>
      <c r="Z7579" s="171"/>
      <c r="AA7579" s="171"/>
    </row>
    <row r="7580" spans="1:27" s="530" customFormat="1" hidden="1" x14ac:dyDescent="0.2">
      <c r="A7580" s="526"/>
      <c r="B7580" s="527"/>
      <c r="C7580" s="534"/>
      <c r="D7580" s="535"/>
      <c r="E7580" s="535"/>
      <c r="F7580" s="503" t="s">
        <v>253</v>
      </c>
      <c r="G7580" s="504" t="s">
        <v>254</v>
      </c>
      <c r="H7580" s="397"/>
      <c r="I7580" s="397"/>
      <c r="J7580" s="750" t="e">
        <f t="shared" si="102"/>
        <v>#DIV/0!</v>
      </c>
      <c r="K7580" s="398"/>
      <c r="L7580" s="404"/>
      <c r="M7580" s="682"/>
      <c r="N7580" s="171"/>
      <c r="O7580" s="171"/>
      <c r="P7580" s="171"/>
      <c r="Q7580" s="171"/>
      <c r="R7580" s="171"/>
      <c r="S7580" s="171"/>
      <c r="T7580" s="171"/>
      <c r="U7580" s="171"/>
      <c r="V7580" s="171"/>
      <c r="W7580" s="171"/>
      <c r="X7580" s="171"/>
      <c r="Y7580" s="171"/>
      <c r="Z7580" s="171"/>
      <c r="AA7580" s="171"/>
    </row>
    <row r="7581" spans="1:27" s="530" customFormat="1" ht="25.5" hidden="1" x14ac:dyDescent="0.2">
      <c r="A7581" s="526"/>
      <c r="B7581" s="527"/>
      <c r="C7581" s="534"/>
      <c r="D7581" s="535"/>
      <c r="E7581" s="535"/>
      <c r="F7581" s="503" t="s">
        <v>255</v>
      </c>
      <c r="G7581" s="504" t="s">
        <v>256</v>
      </c>
      <c r="H7581" s="397"/>
      <c r="I7581" s="397"/>
      <c r="J7581" s="750" t="e">
        <f t="shared" si="102"/>
        <v>#DIV/0!</v>
      </c>
      <c r="K7581" s="398"/>
      <c r="L7581" s="404"/>
      <c r="M7581" s="682"/>
      <c r="N7581" s="171"/>
      <c r="O7581" s="171"/>
      <c r="P7581" s="171"/>
      <c r="Q7581" s="171"/>
      <c r="R7581" s="171"/>
      <c r="S7581" s="171"/>
      <c r="T7581" s="171"/>
      <c r="U7581" s="171"/>
      <c r="V7581" s="171"/>
      <c r="W7581" s="171"/>
      <c r="X7581" s="171"/>
      <c r="Y7581" s="171"/>
      <c r="Z7581" s="171"/>
      <c r="AA7581" s="171"/>
    </row>
    <row r="7582" spans="1:27" s="530" customFormat="1" ht="25.5" hidden="1" x14ac:dyDescent="0.2">
      <c r="A7582" s="526"/>
      <c r="B7582" s="527"/>
      <c r="C7582" s="534"/>
      <c r="D7582" s="535"/>
      <c r="E7582" s="535"/>
      <c r="F7582" s="503" t="s">
        <v>257</v>
      </c>
      <c r="G7582" s="504" t="s">
        <v>258</v>
      </c>
      <c r="H7582" s="397"/>
      <c r="I7582" s="397"/>
      <c r="J7582" s="750" t="e">
        <f t="shared" si="102"/>
        <v>#DIV/0!</v>
      </c>
      <c r="K7582" s="398"/>
      <c r="L7582" s="404"/>
      <c r="M7582" s="682"/>
      <c r="N7582" s="171"/>
      <c r="O7582" s="171"/>
      <c r="P7582" s="171"/>
      <c r="Q7582" s="171"/>
      <c r="R7582" s="171"/>
      <c r="S7582" s="171"/>
      <c r="T7582" s="171"/>
      <c r="U7582" s="171"/>
      <c r="V7582" s="171"/>
      <c r="W7582" s="171"/>
      <c r="X7582" s="171"/>
      <c r="Y7582" s="171"/>
      <c r="Z7582" s="171"/>
      <c r="AA7582" s="171"/>
    </row>
    <row r="7583" spans="1:27" s="530" customFormat="1" ht="25.5" hidden="1" x14ac:dyDescent="0.2">
      <c r="A7583" s="526"/>
      <c r="B7583" s="527"/>
      <c r="C7583" s="534"/>
      <c r="D7583" s="535"/>
      <c r="E7583" s="535"/>
      <c r="F7583" s="503" t="s">
        <v>259</v>
      </c>
      <c r="G7583" s="504" t="s">
        <v>260</v>
      </c>
      <c r="H7583" s="397"/>
      <c r="I7583" s="397"/>
      <c r="J7583" s="750" t="e">
        <f t="shared" si="102"/>
        <v>#DIV/0!</v>
      </c>
      <c r="K7583" s="398"/>
      <c r="L7583" s="404"/>
      <c r="M7583" s="682"/>
      <c r="N7583" s="171"/>
      <c r="O7583" s="171"/>
      <c r="P7583" s="171"/>
      <c r="Q7583" s="171"/>
      <c r="R7583" s="171"/>
      <c r="S7583" s="171"/>
      <c r="T7583" s="171"/>
      <c r="U7583" s="171"/>
      <c r="V7583" s="171"/>
      <c r="W7583" s="171"/>
      <c r="X7583" s="171"/>
      <c r="Y7583" s="171"/>
      <c r="Z7583" s="171"/>
      <c r="AA7583" s="171"/>
    </row>
    <row r="7584" spans="1:27" s="530" customFormat="1" ht="25.5" hidden="1" x14ac:dyDescent="0.2">
      <c r="A7584" s="526"/>
      <c r="B7584" s="527"/>
      <c r="C7584" s="534"/>
      <c r="D7584" s="535"/>
      <c r="E7584" s="535"/>
      <c r="F7584" s="503" t="s">
        <v>261</v>
      </c>
      <c r="G7584" s="504" t="s">
        <v>262</v>
      </c>
      <c r="H7584" s="397"/>
      <c r="I7584" s="397"/>
      <c r="J7584" s="750" t="e">
        <f t="shared" si="102"/>
        <v>#DIV/0!</v>
      </c>
      <c r="K7584" s="398"/>
      <c r="L7584" s="404"/>
      <c r="M7584" s="682"/>
      <c r="N7584" s="171"/>
      <c r="O7584" s="171"/>
      <c r="P7584" s="171"/>
      <c r="Q7584" s="171"/>
      <c r="R7584" s="171"/>
      <c r="S7584" s="171"/>
      <c r="T7584" s="171"/>
      <c r="U7584" s="171"/>
      <c r="V7584" s="171"/>
      <c r="W7584" s="171"/>
      <c r="X7584" s="171"/>
      <c r="Y7584" s="171"/>
      <c r="Z7584" s="171"/>
      <c r="AA7584" s="171"/>
    </row>
    <row r="7585" spans="1:27" s="530" customFormat="1" ht="16.5" customHeight="1" thickBot="1" x14ac:dyDescent="0.25">
      <c r="A7585" s="526"/>
      <c r="B7585" s="527"/>
      <c r="C7585" s="534"/>
      <c r="D7585" s="535"/>
      <c r="E7585" s="535"/>
      <c r="F7585" s="549" t="s">
        <v>240</v>
      </c>
      <c r="G7585" s="504" t="s">
        <v>5396</v>
      </c>
      <c r="H7585" s="403"/>
      <c r="I7585" s="403"/>
      <c r="J7585" s="750"/>
      <c r="K7585" s="404"/>
      <c r="L7585" s="404">
        <f>SUM(L7567)</f>
        <v>50000</v>
      </c>
      <c r="M7585" s="682"/>
      <c r="N7585" s="171"/>
      <c r="O7585" s="171"/>
      <c r="P7585" s="171"/>
      <c r="Q7585" s="171"/>
      <c r="R7585" s="171"/>
      <c r="S7585" s="171"/>
      <c r="T7585" s="171"/>
      <c r="U7585" s="171"/>
      <c r="V7585" s="171"/>
      <c r="W7585" s="171"/>
      <c r="X7585" s="171"/>
      <c r="Y7585" s="171"/>
      <c r="Z7585" s="171"/>
      <c r="AA7585" s="171"/>
    </row>
    <row r="7586" spans="1:27" s="530" customFormat="1" ht="13.5" thickBot="1" x14ac:dyDescent="0.25">
      <c r="A7586" s="526"/>
      <c r="B7586" s="527"/>
      <c r="C7586" s="534"/>
      <c r="D7586" s="535"/>
      <c r="E7586" s="535"/>
      <c r="F7586" s="464"/>
      <c r="G7586" s="505" t="s">
        <v>4300</v>
      </c>
      <c r="H7586" s="405">
        <f>SUM(H7570:H7585)</f>
        <v>351000</v>
      </c>
      <c r="I7586" s="405">
        <f>SUM(I7570)</f>
        <v>296769.02</v>
      </c>
      <c r="J7586" s="750">
        <f t="shared" si="102"/>
        <v>84.549578347578361</v>
      </c>
      <c r="K7586" s="406">
        <f>SUM(K7571:K7585)</f>
        <v>0</v>
      </c>
      <c r="L7586" s="406">
        <f>SUM(L7585)</f>
        <v>50000</v>
      </c>
      <c r="M7586" s="682"/>
      <c r="N7586" s="171"/>
      <c r="O7586" s="171"/>
      <c r="P7586" s="171"/>
      <c r="Q7586" s="171"/>
      <c r="R7586" s="171"/>
      <c r="S7586" s="171"/>
      <c r="T7586" s="171"/>
      <c r="U7586" s="171"/>
      <c r="V7586" s="171"/>
      <c r="W7586" s="171"/>
      <c r="X7586" s="171"/>
      <c r="Y7586" s="171"/>
      <c r="Z7586" s="171"/>
      <c r="AA7586" s="171"/>
    </row>
    <row r="7587" spans="1:27" hidden="1" x14ac:dyDescent="0.2">
      <c r="H7587" s="397"/>
      <c r="I7587" s="397"/>
      <c r="J7587" s="750" t="e">
        <f t="shared" si="102"/>
        <v>#DIV/0!</v>
      </c>
      <c r="K7587" s="398"/>
      <c r="L7587" s="398"/>
      <c r="M7587" s="682"/>
    </row>
    <row r="7588" spans="1:27" hidden="1" x14ac:dyDescent="0.2">
      <c r="H7588" s="397"/>
      <c r="I7588" s="397"/>
      <c r="J7588" s="750" t="e">
        <f t="shared" si="102"/>
        <v>#DIV/0!</v>
      </c>
      <c r="K7588" s="398"/>
      <c r="L7588" s="398"/>
      <c r="M7588" s="682"/>
    </row>
    <row r="7589" spans="1:27" hidden="1" x14ac:dyDescent="0.2">
      <c r="A7589" s="483"/>
      <c r="B7589" s="483"/>
      <c r="H7589" s="397"/>
      <c r="I7589" s="397"/>
      <c r="J7589" s="750" t="e">
        <f t="shared" si="102"/>
        <v>#DIV/0!</v>
      </c>
      <c r="K7589" s="398"/>
      <c r="L7589" s="398"/>
      <c r="M7589" s="682"/>
    </row>
    <row r="7590" spans="1:27" hidden="1" x14ac:dyDescent="0.2">
      <c r="H7590" s="397"/>
      <c r="I7590" s="397"/>
      <c r="J7590" s="750" t="e">
        <f t="shared" si="102"/>
        <v>#DIV/0!</v>
      </c>
      <c r="K7590" s="398"/>
      <c r="L7590" s="398"/>
      <c r="M7590" s="682"/>
    </row>
    <row r="7591" spans="1:27" hidden="1" x14ac:dyDescent="0.2">
      <c r="H7591" s="397"/>
      <c r="I7591" s="397"/>
      <c r="J7591" s="750" t="e">
        <f t="shared" si="102"/>
        <v>#DIV/0!</v>
      </c>
      <c r="K7591" s="398"/>
      <c r="L7591" s="398"/>
      <c r="M7591" s="682"/>
    </row>
    <row r="7592" spans="1:27" hidden="1" x14ac:dyDescent="0.2">
      <c r="H7592" s="397"/>
      <c r="I7592" s="397"/>
      <c r="J7592" s="750" t="e">
        <f t="shared" si="102"/>
        <v>#DIV/0!</v>
      </c>
      <c r="K7592" s="398"/>
      <c r="L7592" s="398"/>
      <c r="M7592" s="682"/>
    </row>
    <row r="7593" spans="1:27" hidden="1" x14ac:dyDescent="0.2">
      <c r="H7593" s="397"/>
      <c r="I7593" s="397"/>
      <c r="J7593" s="750" t="e">
        <f t="shared" si="102"/>
        <v>#DIV/0!</v>
      </c>
      <c r="K7593" s="398"/>
      <c r="L7593" s="398"/>
      <c r="M7593" s="682"/>
    </row>
    <row r="7594" spans="1:27" hidden="1" x14ac:dyDescent="0.2">
      <c r="H7594" s="397"/>
      <c r="I7594" s="397"/>
      <c r="J7594" s="750" t="e">
        <f t="shared" si="102"/>
        <v>#DIV/0!</v>
      </c>
      <c r="K7594" s="398"/>
      <c r="L7594" s="398"/>
      <c r="M7594" s="682"/>
    </row>
    <row r="7595" spans="1:27" hidden="1" x14ac:dyDescent="0.2">
      <c r="H7595" s="397"/>
      <c r="I7595" s="397"/>
      <c r="J7595" s="750" t="e">
        <f t="shared" si="102"/>
        <v>#DIV/0!</v>
      </c>
      <c r="K7595" s="398"/>
      <c r="L7595" s="398"/>
      <c r="M7595" s="682"/>
    </row>
    <row r="7596" spans="1:27" hidden="1" x14ac:dyDescent="0.2">
      <c r="H7596" s="397"/>
      <c r="I7596" s="397"/>
      <c r="J7596" s="750" t="e">
        <f t="shared" si="102"/>
        <v>#DIV/0!</v>
      </c>
      <c r="K7596" s="398"/>
      <c r="L7596" s="398"/>
      <c r="M7596" s="682"/>
    </row>
    <row r="7597" spans="1:27" hidden="1" x14ac:dyDescent="0.2">
      <c r="H7597" s="397"/>
      <c r="I7597" s="397"/>
      <c r="J7597" s="750" t="e">
        <f t="shared" si="102"/>
        <v>#DIV/0!</v>
      </c>
      <c r="K7597" s="398"/>
      <c r="L7597" s="398"/>
      <c r="M7597" s="682"/>
    </row>
    <row r="7598" spans="1:27" hidden="1" x14ac:dyDescent="0.2">
      <c r="H7598" s="397"/>
      <c r="I7598" s="397"/>
      <c r="J7598" s="750" t="e">
        <f t="shared" si="102"/>
        <v>#DIV/0!</v>
      </c>
      <c r="K7598" s="398"/>
      <c r="L7598" s="398"/>
      <c r="M7598" s="682"/>
    </row>
    <row r="7599" spans="1:27" hidden="1" x14ac:dyDescent="0.2">
      <c r="H7599" s="397"/>
      <c r="I7599" s="397"/>
      <c r="J7599" s="750" t="e">
        <f t="shared" si="102"/>
        <v>#DIV/0!</v>
      </c>
      <c r="K7599" s="398"/>
      <c r="L7599" s="398"/>
      <c r="M7599" s="682"/>
    </row>
    <row r="7600" spans="1:27" hidden="1" x14ac:dyDescent="0.2">
      <c r="H7600" s="397"/>
      <c r="I7600" s="397"/>
      <c r="J7600" s="750" t="e">
        <f t="shared" si="102"/>
        <v>#DIV/0!</v>
      </c>
      <c r="K7600" s="398"/>
      <c r="L7600" s="398"/>
      <c r="M7600" s="682"/>
    </row>
    <row r="7601" spans="8:13" hidden="1" x14ac:dyDescent="0.2">
      <c r="H7601" s="397"/>
      <c r="I7601" s="397"/>
      <c r="J7601" s="750" t="e">
        <f t="shared" si="102"/>
        <v>#DIV/0!</v>
      </c>
      <c r="K7601" s="398"/>
      <c r="L7601" s="398"/>
      <c r="M7601" s="682"/>
    </row>
    <row r="7602" spans="8:13" hidden="1" x14ac:dyDescent="0.2">
      <c r="H7602" s="397"/>
      <c r="I7602" s="397"/>
      <c r="J7602" s="750" t="e">
        <f t="shared" si="102"/>
        <v>#DIV/0!</v>
      </c>
      <c r="K7602" s="398"/>
      <c r="L7602" s="398"/>
      <c r="M7602" s="682"/>
    </row>
    <row r="7603" spans="8:13" hidden="1" x14ac:dyDescent="0.2">
      <c r="H7603" s="397"/>
      <c r="I7603" s="397"/>
      <c r="J7603" s="750" t="e">
        <f t="shared" si="102"/>
        <v>#DIV/0!</v>
      </c>
      <c r="K7603" s="398"/>
      <c r="L7603" s="398"/>
      <c r="M7603" s="682"/>
    </row>
    <row r="7604" spans="8:13" hidden="1" x14ac:dyDescent="0.2">
      <c r="H7604" s="397"/>
      <c r="I7604" s="397"/>
      <c r="J7604" s="750" t="e">
        <f t="shared" si="102"/>
        <v>#DIV/0!</v>
      </c>
      <c r="K7604" s="398"/>
      <c r="L7604" s="398"/>
      <c r="M7604" s="682"/>
    </row>
    <row r="7605" spans="8:13" hidden="1" x14ac:dyDescent="0.2">
      <c r="H7605" s="397"/>
      <c r="I7605" s="397"/>
      <c r="J7605" s="750" t="e">
        <f t="shared" si="102"/>
        <v>#DIV/0!</v>
      </c>
      <c r="K7605" s="398"/>
      <c r="L7605" s="398"/>
      <c r="M7605" s="682"/>
    </row>
    <row r="7606" spans="8:13" hidden="1" x14ac:dyDescent="0.2">
      <c r="H7606" s="397"/>
      <c r="I7606" s="397"/>
      <c r="J7606" s="750" t="e">
        <f t="shared" si="102"/>
        <v>#DIV/0!</v>
      </c>
      <c r="K7606" s="398"/>
      <c r="L7606" s="398"/>
      <c r="M7606" s="682"/>
    </row>
    <row r="7607" spans="8:13" hidden="1" x14ac:dyDescent="0.2">
      <c r="H7607" s="397"/>
      <c r="I7607" s="397"/>
      <c r="J7607" s="750" t="e">
        <f t="shared" si="102"/>
        <v>#DIV/0!</v>
      </c>
      <c r="K7607" s="398"/>
      <c r="L7607" s="398"/>
      <c r="M7607" s="682"/>
    </row>
    <row r="7608" spans="8:13" hidden="1" x14ac:dyDescent="0.2">
      <c r="H7608" s="397"/>
      <c r="I7608" s="397"/>
      <c r="J7608" s="750" t="e">
        <f t="shared" si="102"/>
        <v>#DIV/0!</v>
      </c>
      <c r="K7608" s="398"/>
      <c r="L7608" s="398"/>
      <c r="M7608" s="682"/>
    </row>
    <row r="7609" spans="8:13" hidden="1" x14ac:dyDescent="0.2">
      <c r="H7609" s="397"/>
      <c r="I7609" s="397"/>
      <c r="J7609" s="750" t="e">
        <f t="shared" si="102"/>
        <v>#DIV/0!</v>
      </c>
      <c r="K7609" s="398"/>
      <c r="L7609" s="398"/>
      <c r="M7609" s="682"/>
    </row>
    <row r="7610" spans="8:13" hidden="1" x14ac:dyDescent="0.2">
      <c r="H7610" s="397"/>
      <c r="I7610" s="397"/>
      <c r="J7610" s="750" t="e">
        <f t="shared" si="102"/>
        <v>#DIV/0!</v>
      </c>
      <c r="K7610" s="398"/>
      <c r="L7610" s="398"/>
      <c r="M7610" s="682"/>
    </row>
    <row r="7611" spans="8:13" hidden="1" x14ac:dyDescent="0.2">
      <c r="H7611" s="397"/>
      <c r="I7611" s="397"/>
      <c r="J7611" s="750" t="e">
        <f t="shared" si="102"/>
        <v>#DIV/0!</v>
      </c>
      <c r="K7611" s="398"/>
      <c r="L7611" s="398"/>
      <c r="M7611" s="682"/>
    </row>
    <row r="7612" spans="8:13" hidden="1" x14ac:dyDescent="0.2">
      <c r="H7612" s="397"/>
      <c r="I7612" s="397"/>
      <c r="J7612" s="750" t="e">
        <f t="shared" si="102"/>
        <v>#DIV/0!</v>
      </c>
      <c r="K7612" s="398"/>
      <c r="L7612" s="398"/>
      <c r="M7612" s="682"/>
    </row>
    <row r="7613" spans="8:13" hidden="1" x14ac:dyDescent="0.2">
      <c r="H7613" s="397"/>
      <c r="I7613" s="397"/>
      <c r="J7613" s="750" t="e">
        <f t="shared" si="102"/>
        <v>#DIV/0!</v>
      </c>
      <c r="K7613" s="398"/>
      <c r="L7613" s="398"/>
      <c r="M7613" s="682"/>
    </row>
    <row r="7614" spans="8:13" hidden="1" x14ac:dyDescent="0.2">
      <c r="H7614" s="397"/>
      <c r="I7614" s="397"/>
      <c r="J7614" s="750" t="e">
        <f t="shared" si="102"/>
        <v>#DIV/0!</v>
      </c>
      <c r="K7614" s="398"/>
      <c r="L7614" s="398"/>
      <c r="M7614" s="682"/>
    </row>
    <row r="7615" spans="8:13" hidden="1" x14ac:dyDescent="0.2">
      <c r="H7615" s="397"/>
      <c r="I7615" s="397"/>
      <c r="J7615" s="750" t="e">
        <f t="shared" si="102"/>
        <v>#DIV/0!</v>
      </c>
      <c r="K7615" s="398"/>
      <c r="L7615" s="398"/>
      <c r="M7615" s="682"/>
    </row>
    <row r="7616" spans="8:13" hidden="1" x14ac:dyDescent="0.2">
      <c r="H7616" s="397"/>
      <c r="I7616" s="397"/>
      <c r="J7616" s="750" t="e">
        <f t="shared" si="102"/>
        <v>#DIV/0!</v>
      </c>
      <c r="K7616" s="398"/>
      <c r="L7616" s="398"/>
      <c r="M7616" s="682"/>
    </row>
    <row r="7617" spans="8:13" hidden="1" x14ac:dyDescent="0.2">
      <c r="H7617" s="397"/>
      <c r="I7617" s="397"/>
      <c r="J7617" s="750" t="e">
        <f t="shared" si="102"/>
        <v>#DIV/0!</v>
      </c>
      <c r="K7617" s="398"/>
      <c r="L7617" s="398"/>
      <c r="M7617" s="682"/>
    </row>
    <row r="7618" spans="8:13" hidden="1" x14ac:dyDescent="0.2">
      <c r="H7618" s="397"/>
      <c r="I7618" s="397"/>
      <c r="J7618" s="750" t="e">
        <f t="shared" si="102"/>
        <v>#DIV/0!</v>
      </c>
      <c r="K7618" s="398"/>
      <c r="L7618" s="398"/>
      <c r="M7618" s="682"/>
    </row>
    <row r="7619" spans="8:13" hidden="1" x14ac:dyDescent="0.2">
      <c r="H7619" s="397"/>
      <c r="I7619" s="397"/>
      <c r="J7619" s="750" t="e">
        <f t="shared" si="102"/>
        <v>#DIV/0!</v>
      </c>
      <c r="K7619" s="398"/>
      <c r="L7619" s="398"/>
      <c r="M7619" s="682"/>
    </row>
    <row r="7620" spans="8:13" hidden="1" x14ac:dyDescent="0.2">
      <c r="H7620" s="397"/>
      <c r="I7620" s="397"/>
      <c r="J7620" s="750" t="e">
        <f t="shared" si="102"/>
        <v>#DIV/0!</v>
      </c>
      <c r="K7620" s="398"/>
      <c r="L7620" s="398"/>
      <c r="M7620" s="682"/>
    </row>
    <row r="7621" spans="8:13" hidden="1" x14ac:dyDescent="0.2">
      <c r="H7621" s="397"/>
      <c r="I7621" s="397"/>
      <c r="J7621" s="750" t="e">
        <f t="shared" si="102"/>
        <v>#DIV/0!</v>
      </c>
      <c r="K7621" s="398"/>
      <c r="L7621" s="398"/>
      <c r="M7621" s="682"/>
    </row>
    <row r="7622" spans="8:13" hidden="1" x14ac:dyDescent="0.2">
      <c r="H7622" s="397"/>
      <c r="I7622" s="397"/>
      <c r="J7622" s="750" t="e">
        <f t="shared" si="102"/>
        <v>#DIV/0!</v>
      </c>
      <c r="K7622" s="398"/>
      <c r="L7622" s="398"/>
      <c r="M7622" s="682"/>
    </row>
    <row r="7623" spans="8:13" hidden="1" x14ac:dyDescent="0.2">
      <c r="H7623" s="397"/>
      <c r="I7623" s="397"/>
      <c r="J7623" s="750" t="e">
        <f t="shared" si="102"/>
        <v>#DIV/0!</v>
      </c>
      <c r="K7623" s="398"/>
      <c r="L7623" s="398"/>
      <c r="M7623" s="682"/>
    </row>
    <row r="7624" spans="8:13" hidden="1" x14ac:dyDescent="0.2">
      <c r="H7624" s="397"/>
      <c r="I7624" s="397"/>
      <c r="J7624" s="750" t="e">
        <f t="shared" si="102"/>
        <v>#DIV/0!</v>
      </c>
      <c r="K7624" s="398"/>
      <c r="L7624" s="398"/>
      <c r="M7624" s="682"/>
    </row>
    <row r="7625" spans="8:13" hidden="1" x14ac:dyDescent="0.2">
      <c r="H7625" s="397"/>
      <c r="I7625" s="397"/>
      <c r="J7625" s="750" t="e">
        <f t="shared" si="102"/>
        <v>#DIV/0!</v>
      </c>
      <c r="K7625" s="398"/>
      <c r="L7625" s="398"/>
      <c r="M7625" s="682"/>
    </row>
    <row r="7626" spans="8:13" hidden="1" x14ac:dyDescent="0.2">
      <c r="H7626" s="397"/>
      <c r="I7626" s="397"/>
      <c r="J7626" s="750" t="e">
        <f t="shared" si="102"/>
        <v>#DIV/0!</v>
      </c>
      <c r="K7626" s="398"/>
      <c r="L7626" s="398"/>
      <c r="M7626" s="682"/>
    </row>
    <row r="7627" spans="8:13" hidden="1" x14ac:dyDescent="0.2">
      <c r="H7627" s="397"/>
      <c r="I7627" s="397"/>
      <c r="J7627" s="750" t="e">
        <f t="shared" si="102"/>
        <v>#DIV/0!</v>
      </c>
      <c r="K7627" s="398"/>
      <c r="L7627" s="398"/>
      <c r="M7627" s="682"/>
    </row>
    <row r="7628" spans="8:13" hidden="1" x14ac:dyDescent="0.2">
      <c r="H7628" s="397"/>
      <c r="I7628" s="397"/>
      <c r="J7628" s="750" t="e">
        <f t="shared" si="102"/>
        <v>#DIV/0!</v>
      </c>
      <c r="K7628" s="398"/>
      <c r="L7628" s="398"/>
      <c r="M7628" s="682"/>
    </row>
    <row r="7629" spans="8:13" hidden="1" x14ac:dyDescent="0.2">
      <c r="H7629" s="397"/>
      <c r="I7629" s="397"/>
      <c r="J7629" s="750" t="e">
        <f t="shared" si="102"/>
        <v>#DIV/0!</v>
      </c>
      <c r="K7629" s="398"/>
      <c r="L7629" s="398"/>
      <c r="M7629" s="682"/>
    </row>
    <row r="7630" spans="8:13" hidden="1" x14ac:dyDescent="0.2">
      <c r="H7630" s="397"/>
      <c r="I7630" s="397"/>
      <c r="J7630" s="750" t="e">
        <f t="shared" ref="J7630:J7693" si="103">SUM(I7630/H7630)*100</f>
        <v>#DIV/0!</v>
      </c>
      <c r="K7630" s="398"/>
      <c r="L7630" s="398"/>
      <c r="M7630" s="682"/>
    </row>
    <row r="7631" spans="8:13" hidden="1" x14ac:dyDescent="0.2">
      <c r="H7631" s="397"/>
      <c r="I7631" s="397"/>
      <c r="J7631" s="750" t="e">
        <f t="shared" si="103"/>
        <v>#DIV/0!</v>
      </c>
      <c r="K7631" s="398"/>
      <c r="L7631" s="398"/>
      <c r="M7631" s="682"/>
    </row>
    <row r="7632" spans="8:13" hidden="1" x14ac:dyDescent="0.2">
      <c r="H7632" s="397"/>
      <c r="I7632" s="397"/>
      <c r="J7632" s="750" t="e">
        <f t="shared" si="103"/>
        <v>#DIV/0!</v>
      </c>
      <c r="K7632" s="398"/>
      <c r="L7632" s="398"/>
      <c r="M7632" s="682"/>
    </row>
    <row r="7633" spans="8:13" hidden="1" x14ac:dyDescent="0.2">
      <c r="H7633" s="397"/>
      <c r="I7633" s="397"/>
      <c r="J7633" s="750" t="e">
        <f t="shared" si="103"/>
        <v>#DIV/0!</v>
      </c>
      <c r="K7633" s="398"/>
      <c r="L7633" s="398"/>
      <c r="M7633" s="682"/>
    </row>
    <row r="7634" spans="8:13" hidden="1" x14ac:dyDescent="0.2">
      <c r="H7634" s="397"/>
      <c r="I7634" s="397"/>
      <c r="J7634" s="750" t="e">
        <f t="shared" si="103"/>
        <v>#DIV/0!</v>
      </c>
      <c r="K7634" s="398"/>
      <c r="L7634" s="398"/>
      <c r="M7634" s="682"/>
    </row>
    <row r="7635" spans="8:13" hidden="1" x14ac:dyDescent="0.2">
      <c r="H7635" s="397"/>
      <c r="I7635" s="397"/>
      <c r="J7635" s="750" t="e">
        <f t="shared" si="103"/>
        <v>#DIV/0!</v>
      </c>
      <c r="K7635" s="398"/>
      <c r="L7635" s="398"/>
      <c r="M7635" s="682"/>
    </row>
    <row r="7636" spans="8:13" hidden="1" x14ac:dyDescent="0.2">
      <c r="H7636" s="397"/>
      <c r="I7636" s="397"/>
      <c r="J7636" s="750" t="e">
        <f t="shared" si="103"/>
        <v>#DIV/0!</v>
      </c>
      <c r="K7636" s="398"/>
      <c r="L7636" s="398"/>
      <c r="M7636" s="682"/>
    </row>
    <row r="7637" spans="8:13" hidden="1" x14ac:dyDescent="0.2">
      <c r="H7637" s="397"/>
      <c r="I7637" s="397"/>
      <c r="J7637" s="750" t="e">
        <f t="shared" si="103"/>
        <v>#DIV/0!</v>
      </c>
      <c r="K7637" s="398"/>
      <c r="L7637" s="398"/>
      <c r="M7637" s="682"/>
    </row>
    <row r="7638" spans="8:13" hidden="1" x14ac:dyDescent="0.2">
      <c r="H7638" s="397"/>
      <c r="I7638" s="397"/>
      <c r="J7638" s="750" t="e">
        <f t="shared" si="103"/>
        <v>#DIV/0!</v>
      </c>
      <c r="K7638" s="398"/>
      <c r="L7638" s="398"/>
      <c r="M7638" s="682"/>
    </row>
    <row r="7639" spans="8:13" hidden="1" x14ac:dyDescent="0.2">
      <c r="H7639" s="397"/>
      <c r="I7639" s="397"/>
      <c r="J7639" s="750" t="e">
        <f t="shared" si="103"/>
        <v>#DIV/0!</v>
      </c>
      <c r="K7639" s="398"/>
      <c r="L7639" s="398"/>
      <c r="M7639" s="682"/>
    </row>
    <row r="7640" spans="8:13" hidden="1" x14ac:dyDescent="0.2">
      <c r="H7640" s="397"/>
      <c r="I7640" s="397"/>
      <c r="J7640" s="750" t="e">
        <f t="shared" si="103"/>
        <v>#DIV/0!</v>
      </c>
      <c r="K7640" s="398"/>
      <c r="L7640" s="398"/>
      <c r="M7640" s="682"/>
    </row>
    <row r="7641" spans="8:13" hidden="1" x14ac:dyDescent="0.2">
      <c r="H7641" s="397"/>
      <c r="I7641" s="397"/>
      <c r="J7641" s="750" t="e">
        <f t="shared" si="103"/>
        <v>#DIV/0!</v>
      </c>
      <c r="K7641" s="398"/>
      <c r="L7641" s="398"/>
      <c r="M7641" s="682"/>
    </row>
    <row r="7642" spans="8:13" hidden="1" x14ac:dyDescent="0.2">
      <c r="H7642" s="397"/>
      <c r="I7642" s="397"/>
      <c r="J7642" s="750" t="e">
        <f t="shared" si="103"/>
        <v>#DIV/0!</v>
      </c>
      <c r="K7642" s="398"/>
      <c r="L7642" s="398"/>
      <c r="M7642" s="682"/>
    </row>
    <row r="7643" spans="8:13" hidden="1" x14ac:dyDescent="0.2">
      <c r="H7643" s="397"/>
      <c r="I7643" s="397"/>
      <c r="J7643" s="750" t="e">
        <f t="shared" si="103"/>
        <v>#DIV/0!</v>
      </c>
      <c r="K7643" s="398"/>
      <c r="L7643" s="398"/>
      <c r="M7643" s="682"/>
    </row>
    <row r="7644" spans="8:13" hidden="1" x14ac:dyDescent="0.2">
      <c r="H7644" s="397"/>
      <c r="I7644" s="397"/>
      <c r="J7644" s="750" t="e">
        <f t="shared" si="103"/>
        <v>#DIV/0!</v>
      </c>
      <c r="K7644" s="398"/>
      <c r="L7644" s="398"/>
      <c r="M7644" s="682"/>
    </row>
    <row r="7645" spans="8:13" hidden="1" x14ac:dyDescent="0.2">
      <c r="H7645" s="397"/>
      <c r="I7645" s="397"/>
      <c r="J7645" s="750" t="e">
        <f t="shared" si="103"/>
        <v>#DIV/0!</v>
      </c>
      <c r="K7645" s="398"/>
      <c r="L7645" s="398"/>
      <c r="M7645" s="682"/>
    </row>
    <row r="7646" spans="8:13" hidden="1" x14ac:dyDescent="0.2">
      <c r="H7646" s="397"/>
      <c r="I7646" s="397"/>
      <c r="J7646" s="750" t="e">
        <f t="shared" si="103"/>
        <v>#DIV/0!</v>
      </c>
      <c r="K7646" s="398"/>
      <c r="L7646" s="398"/>
      <c r="M7646" s="682"/>
    </row>
    <row r="7647" spans="8:13" hidden="1" x14ac:dyDescent="0.2">
      <c r="H7647" s="397"/>
      <c r="I7647" s="397"/>
      <c r="J7647" s="750" t="e">
        <f t="shared" si="103"/>
        <v>#DIV/0!</v>
      </c>
      <c r="K7647" s="398"/>
      <c r="L7647" s="398"/>
      <c r="M7647" s="682"/>
    </row>
    <row r="7648" spans="8:13" hidden="1" x14ac:dyDescent="0.2">
      <c r="H7648" s="397"/>
      <c r="I7648" s="397"/>
      <c r="J7648" s="750" t="e">
        <f t="shared" si="103"/>
        <v>#DIV/0!</v>
      </c>
      <c r="K7648" s="398"/>
      <c r="L7648" s="398"/>
      <c r="M7648" s="682"/>
    </row>
    <row r="7649" spans="8:13" hidden="1" x14ac:dyDescent="0.2">
      <c r="H7649" s="397"/>
      <c r="I7649" s="397"/>
      <c r="J7649" s="750" t="e">
        <f t="shared" si="103"/>
        <v>#DIV/0!</v>
      </c>
      <c r="K7649" s="398"/>
      <c r="L7649" s="398"/>
      <c r="M7649" s="682"/>
    </row>
    <row r="7650" spans="8:13" hidden="1" x14ac:dyDescent="0.2">
      <c r="H7650" s="397"/>
      <c r="I7650" s="397"/>
      <c r="J7650" s="750" t="e">
        <f t="shared" si="103"/>
        <v>#DIV/0!</v>
      </c>
      <c r="K7650" s="398"/>
      <c r="L7650" s="398"/>
      <c r="M7650" s="682"/>
    </row>
    <row r="7651" spans="8:13" hidden="1" x14ac:dyDescent="0.2">
      <c r="H7651" s="397"/>
      <c r="I7651" s="397"/>
      <c r="J7651" s="750" t="e">
        <f t="shared" si="103"/>
        <v>#DIV/0!</v>
      </c>
      <c r="K7651" s="398"/>
      <c r="L7651" s="398"/>
      <c r="M7651" s="682"/>
    </row>
    <row r="7652" spans="8:13" hidden="1" x14ac:dyDescent="0.2">
      <c r="H7652" s="397"/>
      <c r="I7652" s="397"/>
      <c r="J7652" s="750" t="e">
        <f t="shared" si="103"/>
        <v>#DIV/0!</v>
      </c>
      <c r="K7652" s="398"/>
      <c r="L7652" s="398"/>
      <c r="M7652" s="682"/>
    </row>
    <row r="7653" spans="8:13" hidden="1" x14ac:dyDescent="0.2">
      <c r="H7653" s="397"/>
      <c r="I7653" s="397"/>
      <c r="J7653" s="750" t="e">
        <f t="shared" si="103"/>
        <v>#DIV/0!</v>
      </c>
      <c r="K7653" s="398"/>
      <c r="L7653" s="398"/>
      <c r="M7653" s="682"/>
    </row>
    <row r="7654" spans="8:13" hidden="1" x14ac:dyDescent="0.2">
      <c r="H7654" s="397"/>
      <c r="I7654" s="397"/>
      <c r="J7654" s="750" t="e">
        <f t="shared" si="103"/>
        <v>#DIV/0!</v>
      </c>
      <c r="K7654" s="398"/>
      <c r="L7654" s="398"/>
      <c r="M7654" s="682"/>
    </row>
    <row r="7655" spans="8:13" hidden="1" x14ac:dyDescent="0.2">
      <c r="H7655" s="397"/>
      <c r="I7655" s="397"/>
      <c r="J7655" s="750" t="e">
        <f t="shared" si="103"/>
        <v>#DIV/0!</v>
      </c>
      <c r="K7655" s="398"/>
      <c r="L7655" s="398"/>
      <c r="M7655" s="682"/>
    </row>
    <row r="7656" spans="8:13" hidden="1" x14ac:dyDescent="0.2">
      <c r="H7656" s="397"/>
      <c r="I7656" s="397"/>
      <c r="J7656" s="750" t="e">
        <f t="shared" si="103"/>
        <v>#DIV/0!</v>
      </c>
      <c r="K7656" s="398"/>
      <c r="L7656" s="398"/>
      <c r="M7656" s="682"/>
    </row>
    <row r="7657" spans="8:13" hidden="1" x14ac:dyDescent="0.2">
      <c r="H7657" s="397"/>
      <c r="I7657" s="397"/>
      <c r="J7657" s="750" t="e">
        <f t="shared" si="103"/>
        <v>#DIV/0!</v>
      </c>
      <c r="K7657" s="398"/>
      <c r="L7657" s="398"/>
      <c r="M7657" s="682"/>
    </row>
    <row r="7658" spans="8:13" hidden="1" x14ac:dyDescent="0.2">
      <c r="H7658" s="397"/>
      <c r="I7658" s="397"/>
      <c r="J7658" s="750" t="e">
        <f t="shared" si="103"/>
        <v>#DIV/0!</v>
      </c>
      <c r="K7658" s="398"/>
      <c r="L7658" s="398"/>
      <c r="M7658" s="682"/>
    </row>
    <row r="7659" spans="8:13" hidden="1" x14ac:dyDescent="0.2">
      <c r="H7659" s="397"/>
      <c r="I7659" s="397"/>
      <c r="J7659" s="750" t="e">
        <f t="shared" si="103"/>
        <v>#DIV/0!</v>
      </c>
      <c r="K7659" s="398"/>
      <c r="L7659" s="398"/>
      <c r="M7659" s="682"/>
    </row>
    <row r="7660" spans="8:13" hidden="1" x14ac:dyDescent="0.2">
      <c r="H7660" s="397"/>
      <c r="I7660" s="397"/>
      <c r="J7660" s="750" t="e">
        <f t="shared" si="103"/>
        <v>#DIV/0!</v>
      </c>
      <c r="K7660" s="398"/>
      <c r="L7660" s="398"/>
      <c r="M7660" s="682"/>
    </row>
    <row r="7661" spans="8:13" hidden="1" x14ac:dyDescent="0.2">
      <c r="H7661" s="397"/>
      <c r="I7661" s="397"/>
      <c r="J7661" s="750" t="e">
        <f t="shared" si="103"/>
        <v>#DIV/0!</v>
      </c>
      <c r="K7661" s="398"/>
      <c r="L7661" s="398"/>
      <c r="M7661" s="682"/>
    </row>
    <row r="7662" spans="8:13" hidden="1" x14ac:dyDescent="0.2">
      <c r="H7662" s="397"/>
      <c r="I7662" s="397"/>
      <c r="J7662" s="750" t="e">
        <f t="shared" si="103"/>
        <v>#DIV/0!</v>
      </c>
      <c r="K7662" s="398"/>
      <c r="L7662" s="398"/>
      <c r="M7662" s="682"/>
    </row>
    <row r="7663" spans="8:13" hidden="1" x14ac:dyDescent="0.2">
      <c r="H7663" s="397"/>
      <c r="I7663" s="397"/>
      <c r="J7663" s="750" t="e">
        <f t="shared" si="103"/>
        <v>#DIV/0!</v>
      </c>
      <c r="K7663" s="398"/>
      <c r="L7663" s="398"/>
      <c r="M7663" s="682"/>
    </row>
    <row r="7664" spans="8:13" hidden="1" x14ac:dyDescent="0.2">
      <c r="H7664" s="397"/>
      <c r="I7664" s="397"/>
      <c r="J7664" s="750" t="e">
        <f t="shared" si="103"/>
        <v>#DIV/0!</v>
      </c>
      <c r="K7664" s="398"/>
      <c r="L7664" s="398"/>
      <c r="M7664" s="682"/>
    </row>
    <row r="7665" spans="8:13" hidden="1" x14ac:dyDescent="0.2">
      <c r="H7665" s="397"/>
      <c r="I7665" s="397"/>
      <c r="J7665" s="750" t="e">
        <f t="shared" si="103"/>
        <v>#DIV/0!</v>
      </c>
      <c r="K7665" s="398"/>
      <c r="L7665" s="398"/>
      <c r="M7665" s="682"/>
    </row>
    <row r="7666" spans="8:13" hidden="1" x14ac:dyDescent="0.2">
      <c r="H7666" s="397"/>
      <c r="I7666" s="397"/>
      <c r="J7666" s="750" t="e">
        <f t="shared" si="103"/>
        <v>#DIV/0!</v>
      </c>
      <c r="K7666" s="398"/>
      <c r="L7666" s="398"/>
      <c r="M7666" s="682"/>
    </row>
    <row r="7667" spans="8:13" hidden="1" x14ac:dyDescent="0.2">
      <c r="H7667" s="397"/>
      <c r="I7667" s="397"/>
      <c r="J7667" s="750" t="e">
        <f t="shared" si="103"/>
        <v>#DIV/0!</v>
      </c>
      <c r="K7667" s="398"/>
      <c r="L7667" s="398"/>
      <c r="M7667" s="682"/>
    </row>
    <row r="7668" spans="8:13" hidden="1" x14ac:dyDescent="0.2">
      <c r="H7668" s="397"/>
      <c r="I7668" s="397"/>
      <c r="J7668" s="750" t="e">
        <f t="shared" si="103"/>
        <v>#DIV/0!</v>
      </c>
      <c r="K7668" s="398"/>
      <c r="L7668" s="398"/>
      <c r="M7668" s="682"/>
    </row>
    <row r="7669" spans="8:13" hidden="1" x14ac:dyDescent="0.2">
      <c r="H7669" s="397"/>
      <c r="I7669" s="397"/>
      <c r="J7669" s="750" t="e">
        <f t="shared" si="103"/>
        <v>#DIV/0!</v>
      </c>
      <c r="K7669" s="398"/>
      <c r="L7669" s="398"/>
      <c r="M7669" s="682"/>
    </row>
    <row r="7670" spans="8:13" hidden="1" x14ac:dyDescent="0.2">
      <c r="H7670" s="397"/>
      <c r="I7670" s="397"/>
      <c r="J7670" s="750" t="e">
        <f t="shared" si="103"/>
        <v>#DIV/0!</v>
      </c>
      <c r="K7670" s="398"/>
      <c r="L7670" s="398"/>
      <c r="M7670" s="682"/>
    </row>
    <row r="7671" spans="8:13" hidden="1" collapsed="1" x14ac:dyDescent="0.2">
      <c r="H7671" s="397"/>
      <c r="I7671" s="397"/>
      <c r="J7671" s="750" t="e">
        <f t="shared" si="103"/>
        <v>#DIV/0!</v>
      </c>
      <c r="K7671" s="398"/>
      <c r="L7671" s="398"/>
      <c r="M7671" s="682"/>
    </row>
    <row r="7672" spans="8:13" hidden="1" x14ac:dyDescent="0.2">
      <c r="H7672" s="397"/>
      <c r="I7672" s="397"/>
      <c r="J7672" s="750" t="e">
        <f t="shared" si="103"/>
        <v>#DIV/0!</v>
      </c>
      <c r="K7672" s="398"/>
      <c r="L7672" s="398"/>
      <c r="M7672" s="682"/>
    </row>
    <row r="7673" spans="8:13" hidden="1" x14ac:dyDescent="0.2">
      <c r="H7673" s="397"/>
      <c r="I7673" s="397"/>
      <c r="J7673" s="750" t="e">
        <f t="shared" si="103"/>
        <v>#DIV/0!</v>
      </c>
      <c r="K7673" s="398"/>
      <c r="L7673" s="398"/>
      <c r="M7673" s="682"/>
    </row>
    <row r="7674" spans="8:13" hidden="1" x14ac:dyDescent="0.2">
      <c r="H7674" s="397"/>
      <c r="I7674" s="397"/>
      <c r="J7674" s="750" t="e">
        <f t="shared" si="103"/>
        <v>#DIV/0!</v>
      </c>
      <c r="K7674" s="398"/>
      <c r="L7674" s="398"/>
      <c r="M7674" s="682"/>
    </row>
    <row r="7675" spans="8:13" hidden="1" x14ac:dyDescent="0.2">
      <c r="H7675" s="397"/>
      <c r="I7675" s="397"/>
      <c r="J7675" s="750" t="e">
        <f t="shared" si="103"/>
        <v>#DIV/0!</v>
      </c>
      <c r="K7675" s="398"/>
      <c r="L7675" s="398"/>
      <c r="M7675" s="682"/>
    </row>
    <row r="7676" spans="8:13" hidden="1" x14ac:dyDescent="0.2">
      <c r="H7676" s="397"/>
      <c r="I7676" s="397"/>
      <c r="J7676" s="750" t="e">
        <f t="shared" si="103"/>
        <v>#DIV/0!</v>
      </c>
      <c r="K7676" s="398"/>
      <c r="L7676" s="398"/>
      <c r="M7676" s="682"/>
    </row>
    <row r="7677" spans="8:13" hidden="1" x14ac:dyDescent="0.2">
      <c r="H7677" s="397"/>
      <c r="I7677" s="397"/>
      <c r="J7677" s="750" t="e">
        <f t="shared" si="103"/>
        <v>#DIV/0!</v>
      </c>
      <c r="K7677" s="398"/>
      <c r="L7677" s="398"/>
      <c r="M7677" s="682"/>
    </row>
    <row r="7678" spans="8:13" hidden="1" x14ac:dyDescent="0.2">
      <c r="H7678" s="397"/>
      <c r="I7678" s="397"/>
      <c r="J7678" s="750" t="e">
        <f t="shared" si="103"/>
        <v>#DIV/0!</v>
      </c>
      <c r="K7678" s="398"/>
      <c r="L7678" s="398"/>
      <c r="M7678" s="682"/>
    </row>
    <row r="7679" spans="8:13" hidden="1" x14ac:dyDescent="0.2">
      <c r="H7679" s="397"/>
      <c r="I7679" s="397"/>
      <c r="J7679" s="750" t="e">
        <f t="shared" si="103"/>
        <v>#DIV/0!</v>
      </c>
      <c r="K7679" s="398"/>
      <c r="L7679" s="398"/>
      <c r="M7679" s="682"/>
    </row>
    <row r="7680" spans="8:13" hidden="1" x14ac:dyDescent="0.2">
      <c r="H7680" s="397"/>
      <c r="I7680" s="397"/>
      <c r="J7680" s="750" t="e">
        <f t="shared" si="103"/>
        <v>#DIV/0!</v>
      </c>
      <c r="K7680" s="398"/>
      <c r="L7680" s="398"/>
      <c r="M7680" s="682"/>
    </row>
    <row r="7681" spans="8:13" hidden="1" x14ac:dyDescent="0.2">
      <c r="H7681" s="397"/>
      <c r="I7681" s="397"/>
      <c r="J7681" s="750" t="e">
        <f t="shared" si="103"/>
        <v>#DIV/0!</v>
      </c>
      <c r="K7681" s="398"/>
      <c r="L7681" s="398"/>
      <c r="M7681" s="682"/>
    </row>
    <row r="7682" spans="8:13" hidden="1" x14ac:dyDescent="0.2">
      <c r="H7682" s="397"/>
      <c r="I7682" s="397"/>
      <c r="J7682" s="750" t="e">
        <f t="shared" si="103"/>
        <v>#DIV/0!</v>
      </c>
      <c r="K7682" s="398"/>
      <c r="L7682" s="398"/>
      <c r="M7682" s="682"/>
    </row>
    <row r="7683" spans="8:13" hidden="1" x14ac:dyDescent="0.2">
      <c r="H7683" s="397"/>
      <c r="I7683" s="397"/>
      <c r="J7683" s="750" t="e">
        <f t="shared" si="103"/>
        <v>#DIV/0!</v>
      </c>
      <c r="K7683" s="398"/>
      <c r="L7683" s="398"/>
      <c r="M7683" s="682"/>
    </row>
    <row r="7684" spans="8:13" hidden="1" x14ac:dyDescent="0.2">
      <c r="H7684" s="397"/>
      <c r="I7684" s="397"/>
      <c r="J7684" s="750" t="e">
        <f t="shared" si="103"/>
        <v>#DIV/0!</v>
      </c>
      <c r="K7684" s="398"/>
      <c r="L7684" s="398"/>
      <c r="M7684" s="682"/>
    </row>
    <row r="7685" spans="8:13" hidden="1" x14ac:dyDescent="0.2">
      <c r="H7685" s="397"/>
      <c r="I7685" s="397"/>
      <c r="J7685" s="750" t="e">
        <f t="shared" si="103"/>
        <v>#DIV/0!</v>
      </c>
      <c r="K7685" s="398"/>
      <c r="L7685" s="398"/>
      <c r="M7685" s="682"/>
    </row>
    <row r="7686" spans="8:13" hidden="1" x14ac:dyDescent="0.2">
      <c r="H7686" s="397"/>
      <c r="I7686" s="397"/>
      <c r="J7686" s="750" t="e">
        <f t="shared" si="103"/>
        <v>#DIV/0!</v>
      </c>
      <c r="K7686" s="398"/>
      <c r="L7686" s="398"/>
      <c r="M7686" s="682"/>
    </row>
    <row r="7687" spans="8:13" hidden="1" x14ac:dyDescent="0.2">
      <c r="H7687" s="397"/>
      <c r="I7687" s="397"/>
      <c r="J7687" s="750" t="e">
        <f t="shared" si="103"/>
        <v>#DIV/0!</v>
      </c>
      <c r="K7687" s="398"/>
      <c r="L7687" s="398"/>
      <c r="M7687" s="682"/>
    </row>
    <row r="7688" spans="8:13" hidden="1" collapsed="1" x14ac:dyDescent="0.2">
      <c r="H7688" s="397"/>
      <c r="I7688" s="397"/>
      <c r="J7688" s="750" t="e">
        <f t="shared" si="103"/>
        <v>#DIV/0!</v>
      </c>
      <c r="K7688" s="398"/>
      <c r="L7688" s="398"/>
      <c r="M7688" s="682"/>
    </row>
    <row r="7689" spans="8:13" hidden="1" x14ac:dyDescent="0.2">
      <c r="H7689" s="397"/>
      <c r="I7689" s="397"/>
      <c r="J7689" s="750" t="e">
        <f t="shared" si="103"/>
        <v>#DIV/0!</v>
      </c>
      <c r="K7689" s="398"/>
      <c r="L7689" s="398"/>
      <c r="M7689" s="682"/>
    </row>
    <row r="7690" spans="8:13" hidden="1" x14ac:dyDescent="0.2">
      <c r="H7690" s="397"/>
      <c r="I7690" s="397"/>
      <c r="J7690" s="750" t="e">
        <f t="shared" si="103"/>
        <v>#DIV/0!</v>
      </c>
      <c r="K7690" s="398"/>
      <c r="L7690" s="398"/>
      <c r="M7690" s="682"/>
    </row>
    <row r="7691" spans="8:13" hidden="1" x14ac:dyDescent="0.2">
      <c r="H7691" s="397"/>
      <c r="I7691" s="397"/>
      <c r="J7691" s="750" t="e">
        <f t="shared" si="103"/>
        <v>#DIV/0!</v>
      </c>
      <c r="K7691" s="398"/>
      <c r="L7691" s="398"/>
      <c r="M7691" s="682"/>
    </row>
    <row r="7692" spans="8:13" hidden="1" x14ac:dyDescent="0.2">
      <c r="H7692" s="397"/>
      <c r="I7692" s="397"/>
      <c r="J7692" s="750" t="e">
        <f t="shared" si="103"/>
        <v>#DIV/0!</v>
      </c>
      <c r="K7692" s="398"/>
      <c r="L7692" s="398"/>
      <c r="M7692" s="682"/>
    </row>
    <row r="7693" spans="8:13" hidden="1" x14ac:dyDescent="0.2">
      <c r="H7693" s="397"/>
      <c r="I7693" s="397"/>
      <c r="J7693" s="750" t="e">
        <f t="shared" si="103"/>
        <v>#DIV/0!</v>
      </c>
      <c r="K7693" s="398"/>
      <c r="L7693" s="398"/>
      <c r="M7693" s="682"/>
    </row>
    <row r="7694" spans="8:13" hidden="1" x14ac:dyDescent="0.2">
      <c r="H7694" s="397"/>
      <c r="I7694" s="397"/>
      <c r="J7694" s="750" t="e">
        <f t="shared" ref="J7694:J7757" si="104">SUM(I7694/H7694)*100</f>
        <v>#DIV/0!</v>
      </c>
      <c r="K7694" s="398"/>
      <c r="L7694" s="398"/>
      <c r="M7694" s="682"/>
    </row>
    <row r="7695" spans="8:13" hidden="1" x14ac:dyDescent="0.2">
      <c r="H7695" s="397"/>
      <c r="I7695" s="397"/>
      <c r="J7695" s="750" t="e">
        <f t="shared" si="104"/>
        <v>#DIV/0!</v>
      </c>
      <c r="K7695" s="398"/>
      <c r="L7695" s="398"/>
      <c r="M7695" s="682"/>
    </row>
    <row r="7696" spans="8:13" hidden="1" x14ac:dyDescent="0.2">
      <c r="H7696" s="397"/>
      <c r="I7696" s="397"/>
      <c r="J7696" s="750" t="e">
        <f t="shared" si="104"/>
        <v>#DIV/0!</v>
      </c>
      <c r="K7696" s="398"/>
      <c r="L7696" s="398"/>
      <c r="M7696" s="682"/>
    </row>
    <row r="7697" spans="8:13" hidden="1" x14ac:dyDescent="0.2">
      <c r="H7697" s="397"/>
      <c r="I7697" s="397"/>
      <c r="J7697" s="750" t="e">
        <f t="shared" si="104"/>
        <v>#DIV/0!</v>
      </c>
      <c r="K7697" s="398"/>
      <c r="L7697" s="398"/>
      <c r="M7697" s="682"/>
    </row>
    <row r="7698" spans="8:13" hidden="1" x14ac:dyDescent="0.2">
      <c r="H7698" s="397"/>
      <c r="I7698" s="397"/>
      <c r="J7698" s="750" t="e">
        <f t="shared" si="104"/>
        <v>#DIV/0!</v>
      </c>
      <c r="K7698" s="398"/>
      <c r="L7698" s="398"/>
      <c r="M7698" s="682"/>
    </row>
    <row r="7699" spans="8:13" hidden="1" x14ac:dyDescent="0.2">
      <c r="H7699" s="397"/>
      <c r="I7699" s="397"/>
      <c r="J7699" s="750" t="e">
        <f t="shared" si="104"/>
        <v>#DIV/0!</v>
      </c>
      <c r="K7699" s="398"/>
      <c r="L7699" s="398"/>
      <c r="M7699" s="682"/>
    </row>
    <row r="7700" spans="8:13" hidden="1" x14ac:dyDescent="0.2">
      <c r="H7700" s="397"/>
      <c r="I7700" s="397"/>
      <c r="J7700" s="750" t="e">
        <f t="shared" si="104"/>
        <v>#DIV/0!</v>
      </c>
      <c r="K7700" s="398"/>
      <c r="L7700" s="398"/>
      <c r="M7700" s="682"/>
    </row>
    <row r="7701" spans="8:13" hidden="1" x14ac:dyDescent="0.2">
      <c r="H7701" s="397"/>
      <c r="I7701" s="397"/>
      <c r="J7701" s="750" t="e">
        <f t="shared" si="104"/>
        <v>#DIV/0!</v>
      </c>
      <c r="K7701" s="398"/>
      <c r="L7701" s="398"/>
      <c r="M7701" s="682"/>
    </row>
    <row r="7702" spans="8:13" hidden="1" x14ac:dyDescent="0.2">
      <c r="H7702" s="397"/>
      <c r="I7702" s="397"/>
      <c r="J7702" s="750" t="e">
        <f t="shared" si="104"/>
        <v>#DIV/0!</v>
      </c>
      <c r="K7702" s="398"/>
      <c r="L7702" s="398"/>
      <c r="M7702" s="682"/>
    </row>
    <row r="7703" spans="8:13" hidden="1" x14ac:dyDescent="0.2">
      <c r="H7703" s="397"/>
      <c r="I7703" s="397"/>
      <c r="J7703" s="750" t="e">
        <f t="shared" si="104"/>
        <v>#DIV/0!</v>
      </c>
      <c r="K7703" s="398"/>
      <c r="L7703" s="398"/>
      <c r="M7703" s="682"/>
    </row>
    <row r="7704" spans="8:13" hidden="1" x14ac:dyDescent="0.2">
      <c r="H7704" s="397"/>
      <c r="I7704" s="397"/>
      <c r="J7704" s="750" t="e">
        <f t="shared" si="104"/>
        <v>#DIV/0!</v>
      </c>
      <c r="K7704" s="398"/>
      <c r="L7704" s="398"/>
      <c r="M7704" s="682"/>
    </row>
    <row r="7705" spans="8:13" hidden="1" x14ac:dyDescent="0.2">
      <c r="H7705" s="397"/>
      <c r="I7705" s="397"/>
      <c r="J7705" s="750" t="e">
        <f t="shared" si="104"/>
        <v>#DIV/0!</v>
      </c>
      <c r="K7705" s="398"/>
      <c r="L7705" s="398"/>
      <c r="M7705" s="682"/>
    </row>
    <row r="7706" spans="8:13" hidden="1" x14ac:dyDescent="0.2">
      <c r="H7706" s="397"/>
      <c r="I7706" s="397"/>
      <c r="J7706" s="750" t="e">
        <f t="shared" si="104"/>
        <v>#DIV/0!</v>
      </c>
      <c r="K7706" s="398"/>
      <c r="L7706" s="398"/>
      <c r="M7706" s="682"/>
    </row>
    <row r="7707" spans="8:13" hidden="1" x14ac:dyDescent="0.2">
      <c r="H7707" s="397"/>
      <c r="I7707" s="397"/>
      <c r="J7707" s="750" t="e">
        <f t="shared" si="104"/>
        <v>#DIV/0!</v>
      </c>
      <c r="K7707" s="398"/>
      <c r="L7707" s="398"/>
      <c r="M7707" s="682"/>
    </row>
    <row r="7708" spans="8:13" hidden="1" x14ac:dyDescent="0.2">
      <c r="H7708" s="397"/>
      <c r="I7708" s="397"/>
      <c r="J7708" s="750" t="e">
        <f t="shared" si="104"/>
        <v>#DIV/0!</v>
      </c>
      <c r="K7708" s="398"/>
      <c r="L7708" s="398"/>
      <c r="M7708" s="682"/>
    </row>
    <row r="7709" spans="8:13" hidden="1" x14ac:dyDescent="0.2">
      <c r="H7709" s="397"/>
      <c r="I7709" s="397"/>
      <c r="J7709" s="750" t="e">
        <f t="shared" si="104"/>
        <v>#DIV/0!</v>
      </c>
      <c r="K7709" s="398"/>
      <c r="L7709" s="398"/>
      <c r="M7709" s="682"/>
    </row>
    <row r="7710" spans="8:13" hidden="1" x14ac:dyDescent="0.2">
      <c r="H7710" s="397"/>
      <c r="I7710" s="397"/>
      <c r="J7710" s="750" t="e">
        <f t="shared" si="104"/>
        <v>#DIV/0!</v>
      </c>
      <c r="K7710" s="398"/>
      <c r="L7710" s="398"/>
      <c r="M7710" s="682"/>
    </row>
    <row r="7711" spans="8:13" hidden="1" x14ac:dyDescent="0.2">
      <c r="H7711" s="397"/>
      <c r="I7711" s="397"/>
      <c r="J7711" s="750" t="e">
        <f t="shared" si="104"/>
        <v>#DIV/0!</v>
      </c>
      <c r="K7711" s="398"/>
      <c r="L7711" s="398"/>
      <c r="M7711" s="682"/>
    </row>
    <row r="7712" spans="8:13" hidden="1" x14ac:dyDescent="0.2">
      <c r="H7712" s="397"/>
      <c r="I7712" s="397"/>
      <c r="J7712" s="750" t="e">
        <f t="shared" si="104"/>
        <v>#DIV/0!</v>
      </c>
      <c r="K7712" s="398"/>
      <c r="L7712" s="398"/>
      <c r="M7712" s="682"/>
    </row>
    <row r="7713" spans="8:13" hidden="1" x14ac:dyDescent="0.2">
      <c r="H7713" s="397"/>
      <c r="I7713" s="397"/>
      <c r="J7713" s="750" t="e">
        <f t="shared" si="104"/>
        <v>#DIV/0!</v>
      </c>
      <c r="K7713" s="398"/>
      <c r="L7713" s="398"/>
      <c r="M7713" s="682"/>
    </row>
    <row r="7714" spans="8:13" hidden="1" x14ac:dyDescent="0.2">
      <c r="H7714" s="397"/>
      <c r="I7714" s="397"/>
      <c r="J7714" s="750" t="e">
        <f t="shared" si="104"/>
        <v>#DIV/0!</v>
      </c>
      <c r="K7714" s="398"/>
      <c r="L7714" s="398"/>
      <c r="M7714" s="682"/>
    </row>
    <row r="7715" spans="8:13" hidden="1" x14ac:dyDescent="0.2">
      <c r="H7715" s="397"/>
      <c r="I7715" s="397"/>
      <c r="J7715" s="750" t="e">
        <f t="shared" si="104"/>
        <v>#DIV/0!</v>
      </c>
      <c r="K7715" s="398"/>
      <c r="L7715" s="398"/>
      <c r="M7715" s="682"/>
    </row>
    <row r="7716" spans="8:13" hidden="1" x14ac:dyDescent="0.2">
      <c r="H7716" s="397"/>
      <c r="I7716" s="397"/>
      <c r="J7716" s="750" t="e">
        <f t="shared" si="104"/>
        <v>#DIV/0!</v>
      </c>
      <c r="K7716" s="398"/>
      <c r="L7716" s="398"/>
      <c r="M7716" s="682"/>
    </row>
    <row r="7717" spans="8:13" hidden="1" x14ac:dyDescent="0.2">
      <c r="H7717" s="397"/>
      <c r="I7717" s="397"/>
      <c r="J7717" s="750" t="e">
        <f t="shared" si="104"/>
        <v>#DIV/0!</v>
      </c>
      <c r="K7717" s="398"/>
      <c r="L7717" s="398"/>
      <c r="M7717" s="682"/>
    </row>
    <row r="7718" spans="8:13" hidden="1" x14ac:dyDescent="0.2">
      <c r="H7718" s="397"/>
      <c r="I7718" s="397"/>
      <c r="J7718" s="750" t="e">
        <f t="shared" si="104"/>
        <v>#DIV/0!</v>
      </c>
      <c r="K7718" s="398"/>
      <c r="L7718" s="398"/>
      <c r="M7718" s="682"/>
    </row>
    <row r="7719" spans="8:13" hidden="1" x14ac:dyDescent="0.2">
      <c r="H7719" s="397"/>
      <c r="I7719" s="397"/>
      <c r="J7719" s="750" t="e">
        <f t="shared" si="104"/>
        <v>#DIV/0!</v>
      </c>
      <c r="K7719" s="398"/>
      <c r="L7719" s="398"/>
      <c r="M7719" s="682"/>
    </row>
    <row r="7720" spans="8:13" hidden="1" x14ac:dyDescent="0.2">
      <c r="H7720" s="397"/>
      <c r="I7720" s="397"/>
      <c r="J7720" s="750" t="e">
        <f t="shared" si="104"/>
        <v>#DIV/0!</v>
      </c>
      <c r="K7720" s="398"/>
      <c r="L7720" s="398"/>
      <c r="M7720" s="682"/>
    </row>
    <row r="7721" spans="8:13" hidden="1" x14ac:dyDescent="0.2">
      <c r="H7721" s="397"/>
      <c r="I7721" s="397"/>
      <c r="J7721" s="750" t="e">
        <f t="shared" si="104"/>
        <v>#DIV/0!</v>
      </c>
      <c r="K7721" s="398"/>
      <c r="L7721" s="398"/>
      <c r="M7721" s="682"/>
    </row>
    <row r="7722" spans="8:13" hidden="1" x14ac:dyDescent="0.2">
      <c r="H7722" s="397"/>
      <c r="I7722" s="397"/>
      <c r="J7722" s="750" t="e">
        <f t="shared" si="104"/>
        <v>#DIV/0!</v>
      </c>
      <c r="K7722" s="398"/>
      <c r="L7722" s="398"/>
      <c r="M7722" s="682"/>
    </row>
    <row r="7723" spans="8:13" hidden="1" x14ac:dyDescent="0.2">
      <c r="H7723" s="397"/>
      <c r="I7723" s="397"/>
      <c r="J7723" s="750" t="e">
        <f t="shared" si="104"/>
        <v>#DIV/0!</v>
      </c>
      <c r="K7723" s="398"/>
      <c r="L7723" s="398"/>
      <c r="M7723" s="682"/>
    </row>
    <row r="7724" spans="8:13" hidden="1" x14ac:dyDescent="0.2">
      <c r="H7724" s="397"/>
      <c r="I7724" s="397"/>
      <c r="J7724" s="750" t="e">
        <f t="shared" si="104"/>
        <v>#DIV/0!</v>
      </c>
      <c r="K7724" s="398"/>
      <c r="L7724" s="398"/>
      <c r="M7724" s="682"/>
    </row>
    <row r="7725" spans="8:13" hidden="1" x14ac:dyDescent="0.2">
      <c r="H7725" s="397"/>
      <c r="I7725" s="397"/>
      <c r="J7725" s="750" t="e">
        <f t="shared" si="104"/>
        <v>#DIV/0!</v>
      </c>
      <c r="K7725" s="398"/>
      <c r="L7725" s="398"/>
      <c r="M7725" s="682"/>
    </row>
    <row r="7726" spans="8:13" hidden="1" x14ac:dyDescent="0.2">
      <c r="H7726" s="397"/>
      <c r="I7726" s="397"/>
      <c r="J7726" s="750" t="e">
        <f t="shared" si="104"/>
        <v>#DIV/0!</v>
      </c>
      <c r="K7726" s="398"/>
      <c r="L7726" s="398"/>
      <c r="M7726" s="682"/>
    </row>
    <row r="7727" spans="8:13" hidden="1" x14ac:dyDescent="0.2">
      <c r="H7727" s="397"/>
      <c r="I7727" s="397"/>
      <c r="J7727" s="750" t="e">
        <f t="shared" si="104"/>
        <v>#DIV/0!</v>
      </c>
      <c r="K7727" s="398"/>
      <c r="L7727" s="398"/>
      <c r="M7727" s="682"/>
    </row>
    <row r="7728" spans="8:13" hidden="1" x14ac:dyDescent="0.2">
      <c r="H7728" s="397"/>
      <c r="I7728" s="397"/>
      <c r="J7728" s="750" t="e">
        <f t="shared" si="104"/>
        <v>#DIV/0!</v>
      </c>
      <c r="K7728" s="398"/>
      <c r="L7728" s="398"/>
      <c r="M7728" s="682"/>
    </row>
    <row r="7729" spans="8:13" hidden="1" x14ac:dyDescent="0.2">
      <c r="H7729" s="397"/>
      <c r="I7729" s="397"/>
      <c r="J7729" s="750" t="e">
        <f t="shared" si="104"/>
        <v>#DIV/0!</v>
      </c>
      <c r="K7729" s="398"/>
      <c r="L7729" s="398"/>
      <c r="M7729" s="682"/>
    </row>
    <row r="7730" spans="8:13" hidden="1" x14ac:dyDescent="0.2">
      <c r="H7730" s="397"/>
      <c r="I7730" s="397"/>
      <c r="J7730" s="750" t="e">
        <f t="shared" si="104"/>
        <v>#DIV/0!</v>
      </c>
      <c r="K7730" s="398"/>
      <c r="L7730" s="398"/>
      <c r="M7730" s="682"/>
    </row>
    <row r="7731" spans="8:13" hidden="1" x14ac:dyDescent="0.2">
      <c r="H7731" s="397"/>
      <c r="I7731" s="397"/>
      <c r="J7731" s="750" t="e">
        <f t="shared" si="104"/>
        <v>#DIV/0!</v>
      </c>
      <c r="K7731" s="398"/>
      <c r="L7731" s="398"/>
      <c r="M7731" s="682"/>
    </row>
    <row r="7732" spans="8:13" hidden="1" x14ac:dyDescent="0.2">
      <c r="H7732" s="397"/>
      <c r="I7732" s="397"/>
      <c r="J7732" s="750" t="e">
        <f t="shared" si="104"/>
        <v>#DIV/0!</v>
      </c>
      <c r="K7732" s="398"/>
      <c r="L7732" s="398"/>
      <c r="M7732" s="682"/>
    </row>
    <row r="7733" spans="8:13" hidden="1" x14ac:dyDescent="0.2">
      <c r="H7733" s="397"/>
      <c r="I7733" s="397"/>
      <c r="J7733" s="750" t="e">
        <f t="shared" si="104"/>
        <v>#DIV/0!</v>
      </c>
      <c r="K7733" s="398"/>
      <c r="L7733" s="398"/>
      <c r="M7733" s="682"/>
    </row>
    <row r="7734" spans="8:13" hidden="1" x14ac:dyDescent="0.2">
      <c r="H7734" s="397"/>
      <c r="I7734" s="397"/>
      <c r="J7734" s="750" t="e">
        <f t="shared" si="104"/>
        <v>#DIV/0!</v>
      </c>
      <c r="K7734" s="398"/>
      <c r="L7734" s="398"/>
      <c r="M7734" s="682"/>
    </row>
    <row r="7735" spans="8:13" hidden="1" x14ac:dyDescent="0.2">
      <c r="H7735" s="397"/>
      <c r="I7735" s="397"/>
      <c r="J7735" s="750" t="e">
        <f t="shared" si="104"/>
        <v>#DIV/0!</v>
      </c>
      <c r="K7735" s="398"/>
      <c r="L7735" s="398"/>
      <c r="M7735" s="682"/>
    </row>
    <row r="7736" spans="8:13" hidden="1" x14ac:dyDescent="0.2">
      <c r="H7736" s="397"/>
      <c r="I7736" s="397"/>
      <c r="J7736" s="750" t="e">
        <f t="shared" si="104"/>
        <v>#DIV/0!</v>
      </c>
      <c r="K7736" s="398"/>
      <c r="L7736" s="398"/>
      <c r="M7736" s="682"/>
    </row>
    <row r="7737" spans="8:13" hidden="1" x14ac:dyDescent="0.2">
      <c r="H7737" s="397"/>
      <c r="I7737" s="397"/>
      <c r="J7737" s="750" t="e">
        <f t="shared" si="104"/>
        <v>#DIV/0!</v>
      </c>
      <c r="K7737" s="398"/>
      <c r="L7737" s="398"/>
      <c r="M7737" s="682"/>
    </row>
    <row r="7738" spans="8:13" hidden="1" x14ac:dyDescent="0.2">
      <c r="H7738" s="397"/>
      <c r="I7738" s="397"/>
      <c r="J7738" s="750" t="e">
        <f t="shared" si="104"/>
        <v>#DIV/0!</v>
      </c>
      <c r="K7738" s="398"/>
      <c r="L7738" s="398"/>
      <c r="M7738" s="682"/>
    </row>
    <row r="7739" spans="8:13" hidden="1" x14ac:dyDescent="0.2">
      <c r="H7739" s="397"/>
      <c r="I7739" s="397"/>
      <c r="J7739" s="750" t="e">
        <f t="shared" si="104"/>
        <v>#DIV/0!</v>
      </c>
      <c r="K7739" s="398"/>
      <c r="L7739" s="398"/>
      <c r="M7739" s="682"/>
    </row>
    <row r="7740" spans="8:13" hidden="1" x14ac:dyDescent="0.2">
      <c r="H7740" s="397"/>
      <c r="I7740" s="397"/>
      <c r="J7740" s="750" t="e">
        <f t="shared" si="104"/>
        <v>#DIV/0!</v>
      </c>
      <c r="K7740" s="398"/>
      <c r="L7740" s="398"/>
      <c r="M7740" s="682"/>
    </row>
    <row r="7741" spans="8:13" hidden="1" x14ac:dyDescent="0.2">
      <c r="H7741" s="397"/>
      <c r="I7741" s="397"/>
      <c r="J7741" s="750" t="e">
        <f t="shared" si="104"/>
        <v>#DIV/0!</v>
      </c>
      <c r="K7741" s="398"/>
      <c r="L7741" s="398"/>
      <c r="M7741" s="682"/>
    </row>
    <row r="7742" spans="8:13" hidden="1" x14ac:dyDescent="0.2">
      <c r="H7742" s="397"/>
      <c r="I7742" s="397"/>
      <c r="J7742" s="750" t="e">
        <f t="shared" si="104"/>
        <v>#DIV/0!</v>
      </c>
      <c r="K7742" s="398"/>
      <c r="L7742" s="398"/>
      <c r="M7742" s="682"/>
    </row>
    <row r="7743" spans="8:13" hidden="1" x14ac:dyDescent="0.2">
      <c r="H7743" s="397"/>
      <c r="I7743" s="397"/>
      <c r="J7743" s="750" t="e">
        <f t="shared" si="104"/>
        <v>#DIV/0!</v>
      </c>
      <c r="K7743" s="398"/>
      <c r="L7743" s="398"/>
      <c r="M7743" s="682"/>
    </row>
    <row r="7744" spans="8:13" hidden="1" x14ac:dyDescent="0.2">
      <c r="H7744" s="397"/>
      <c r="I7744" s="397"/>
      <c r="J7744" s="750" t="e">
        <f t="shared" si="104"/>
        <v>#DIV/0!</v>
      </c>
      <c r="K7744" s="398"/>
      <c r="L7744" s="398"/>
      <c r="M7744" s="682"/>
    </row>
    <row r="7745" spans="8:13" hidden="1" x14ac:dyDescent="0.2">
      <c r="H7745" s="397"/>
      <c r="I7745" s="397"/>
      <c r="J7745" s="750" t="e">
        <f t="shared" si="104"/>
        <v>#DIV/0!</v>
      </c>
      <c r="K7745" s="398"/>
      <c r="L7745" s="398"/>
      <c r="M7745" s="682"/>
    </row>
    <row r="7746" spans="8:13" hidden="1" x14ac:dyDescent="0.2">
      <c r="H7746" s="397"/>
      <c r="I7746" s="397"/>
      <c r="J7746" s="750" t="e">
        <f t="shared" si="104"/>
        <v>#DIV/0!</v>
      </c>
      <c r="K7746" s="398"/>
      <c r="L7746" s="398"/>
      <c r="M7746" s="682"/>
    </row>
    <row r="7747" spans="8:13" hidden="1" x14ac:dyDescent="0.2">
      <c r="H7747" s="397"/>
      <c r="I7747" s="397"/>
      <c r="J7747" s="750" t="e">
        <f t="shared" si="104"/>
        <v>#DIV/0!</v>
      </c>
      <c r="K7747" s="398"/>
      <c r="L7747" s="398"/>
      <c r="M7747" s="682"/>
    </row>
    <row r="7748" spans="8:13" hidden="1" x14ac:dyDescent="0.2">
      <c r="H7748" s="397"/>
      <c r="I7748" s="397"/>
      <c r="J7748" s="750" t="e">
        <f t="shared" si="104"/>
        <v>#DIV/0!</v>
      </c>
      <c r="K7748" s="398"/>
      <c r="L7748" s="398"/>
      <c r="M7748" s="682"/>
    </row>
    <row r="7749" spans="8:13" hidden="1" x14ac:dyDescent="0.2">
      <c r="H7749" s="397"/>
      <c r="I7749" s="397"/>
      <c r="J7749" s="750" t="e">
        <f t="shared" si="104"/>
        <v>#DIV/0!</v>
      </c>
      <c r="K7749" s="398"/>
      <c r="L7749" s="398"/>
      <c r="M7749" s="682"/>
    </row>
    <row r="7750" spans="8:13" hidden="1" x14ac:dyDescent="0.2">
      <c r="H7750" s="397"/>
      <c r="I7750" s="397"/>
      <c r="J7750" s="750" t="e">
        <f t="shared" si="104"/>
        <v>#DIV/0!</v>
      </c>
      <c r="K7750" s="398"/>
      <c r="L7750" s="398"/>
      <c r="M7750" s="682"/>
    </row>
    <row r="7751" spans="8:13" hidden="1" x14ac:dyDescent="0.2">
      <c r="H7751" s="397"/>
      <c r="I7751" s="397"/>
      <c r="J7751" s="750" t="e">
        <f t="shared" si="104"/>
        <v>#DIV/0!</v>
      </c>
      <c r="K7751" s="398"/>
      <c r="L7751" s="398"/>
      <c r="M7751" s="682"/>
    </row>
    <row r="7752" spans="8:13" hidden="1" x14ac:dyDescent="0.2">
      <c r="H7752" s="397"/>
      <c r="I7752" s="397"/>
      <c r="J7752" s="750" t="e">
        <f t="shared" si="104"/>
        <v>#DIV/0!</v>
      </c>
      <c r="K7752" s="398"/>
      <c r="L7752" s="398"/>
      <c r="M7752" s="682"/>
    </row>
    <row r="7753" spans="8:13" hidden="1" x14ac:dyDescent="0.2">
      <c r="H7753" s="397"/>
      <c r="I7753" s="397"/>
      <c r="J7753" s="750" t="e">
        <f t="shared" si="104"/>
        <v>#DIV/0!</v>
      </c>
      <c r="K7753" s="398"/>
      <c r="L7753" s="398"/>
      <c r="M7753" s="682"/>
    </row>
    <row r="7754" spans="8:13" hidden="1" x14ac:dyDescent="0.2">
      <c r="H7754" s="397"/>
      <c r="I7754" s="397"/>
      <c r="J7754" s="750" t="e">
        <f t="shared" si="104"/>
        <v>#DIV/0!</v>
      </c>
      <c r="K7754" s="398"/>
      <c r="L7754" s="398"/>
      <c r="M7754" s="682"/>
    </row>
    <row r="7755" spans="8:13" hidden="1" x14ac:dyDescent="0.2">
      <c r="H7755" s="397"/>
      <c r="I7755" s="397"/>
      <c r="J7755" s="750" t="e">
        <f t="shared" si="104"/>
        <v>#DIV/0!</v>
      </c>
      <c r="K7755" s="398"/>
      <c r="L7755" s="398"/>
      <c r="M7755" s="682"/>
    </row>
    <row r="7756" spans="8:13" hidden="1" x14ac:dyDescent="0.2">
      <c r="H7756" s="397"/>
      <c r="I7756" s="397"/>
      <c r="J7756" s="750" t="e">
        <f t="shared" si="104"/>
        <v>#DIV/0!</v>
      </c>
      <c r="K7756" s="398"/>
      <c r="L7756" s="398"/>
      <c r="M7756" s="682"/>
    </row>
    <row r="7757" spans="8:13" hidden="1" x14ac:dyDescent="0.2">
      <c r="H7757" s="397"/>
      <c r="I7757" s="397"/>
      <c r="J7757" s="750" t="e">
        <f t="shared" si="104"/>
        <v>#DIV/0!</v>
      </c>
      <c r="K7757" s="398"/>
      <c r="L7757" s="398"/>
      <c r="M7757" s="682"/>
    </row>
    <row r="7758" spans="8:13" hidden="1" x14ac:dyDescent="0.2">
      <c r="H7758" s="397"/>
      <c r="I7758" s="397"/>
      <c r="J7758" s="750" t="e">
        <f t="shared" ref="J7758:J7821" si="105">SUM(I7758/H7758)*100</f>
        <v>#DIV/0!</v>
      </c>
      <c r="K7758" s="398"/>
      <c r="L7758" s="398"/>
      <c r="M7758" s="682"/>
    </row>
    <row r="7759" spans="8:13" hidden="1" x14ac:dyDescent="0.2">
      <c r="H7759" s="397"/>
      <c r="I7759" s="397"/>
      <c r="J7759" s="750" t="e">
        <f t="shared" si="105"/>
        <v>#DIV/0!</v>
      </c>
      <c r="K7759" s="398"/>
      <c r="L7759" s="398"/>
      <c r="M7759" s="682"/>
    </row>
    <row r="7760" spans="8:13" hidden="1" x14ac:dyDescent="0.2">
      <c r="H7760" s="397"/>
      <c r="I7760" s="397"/>
      <c r="J7760" s="750" t="e">
        <f t="shared" si="105"/>
        <v>#DIV/0!</v>
      </c>
      <c r="K7760" s="398"/>
      <c r="L7760" s="398"/>
      <c r="M7760" s="682"/>
    </row>
    <row r="7761" spans="8:13" hidden="1" x14ac:dyDescent="0.2">
      <c r="H7761" s="397"/>
      <c r="I7761" s="397"/>
      <c r="J7761" s="750" t="e">
        <f t="shared" si="105"/>
        <v>#DIV/0!</v>
      </c>
      <c r="K7761" s="398"/>
      <c r="L7761" s="398"/>
      <c r="M7761" s="682"/>
    </row>
    <row r="7762" spans="8:13" hidden="1" x14ac:dyDescent="0.2">
      <c r="H7762" s="397"/>
      <c r="I7762" s="397"/>
      <c r="J7762" s="750" t="e">
        <f t="shared" si="105"/>
        <v>#DIV/0!</v>
      </c>
      <c r="K7762" s="398"/>
      <c r="L7762" s="398"/>
      <c r="M7762" s="682"/>
    </row>
    <row r="7763" spans="8:13" hidden="1" x14ac:dyDescent="0.2">
      <c r="H7763" s="397"/>
      <c r="I7763" s="397"/>
      <c r="J7763" s="750" t="e">
        <f t="shared" si="105"/>
        <v>#DIV/0!</v>
      </c>
      <c r="K7763" s="398"/>
      <c r="L7763" s="398"/>
      <c r="M7763" s="682"/>
    </row>
    <row r="7764" spans="8:13" hidden="1" x14ac:dyDescent="0.2">
      <c r="H7764" s="397"/>
      <c r="I7764" s="397"/>
      <c r="J7764" s="750" t="e">
        <f t="shared" si="105"/>
        <v>#DIV/0!</v>
      </c>
      <c r="K7764" s="398"/>
      <c r="L7764" s="398"/>
      <c r="M7764" s="682"/>
    </row>
    <row r="7765" spans="8:13" hidden="1" x14ac:dyDescent="0.2">
      <c r="H7765" s="397"/>
      <c r="I7765" s="397"/>
      <c r="J7765" s="750" t="e">
        <f t="shared" si="105"/>
        <v>#DIV/0!</v>
      </c>
      <c r="K7765" s="398"/>
      <c r="L7765" s="398"/>
      <c r="M7765" s="682"/>
    </row>
    <row r="7766" spans="8:13" hidden="1" x14ac:dyDescent="0.2">
      <c r="H7766" s="397"/>
      <c r="I7766" s="397"/>
      <c r="J7766" s="750" t="e">
        <f t="shared" si="105"/>
        <v>#DIV/0!</v>
      </c>
      <c r="K7766" s="398"/>
      <c r="L7766" s="398"/>
      <c r="M7766" s="682"/>
    </row>
    <row r="7767" spans="8:13" hidden="1" x14ac:dyDescent="0.2">
      <c r="H7767" s="397"/>
      <c r="I7767" s="397"/>
      <c r="J7767" s="750" t="e">
        <f t="shared" si="105"/>
        <v>#DIV/0!</v>
      </c>
      <c r="K7767" s="398"/>
      <c r="L7767" s="398"/>
      <c r="M7767" s="682"/>
    </row>
    <row r="7768" spans="8:13" hidden="1" x14ac:dyDescent="0.2">
      <c r="H7768" s="397"/>
      <c r="I7768" s="397"/>
      <c r="J7768" s="750" t="e">
        <f t="shared" si="105"/>
        <v>#DIV/0!</v>
      </c>
      <c r="K7768" s="398"/>
      <c r="L7768" s="398"/>
      <c r="M7768" s="682"/>
    </row>
    <row r="7769" spans="8:13" hidden="1" x14ac:dyDescent="0.2">
      <c r="H7769" s="397"/>
      <c r="I7769" s="397"/>
      <c r="J7769" s="750" t="e">
        <f t="shared" si="105"/>
        <v>#DIV/0!</v>
      </c>
      <c r="K7769" s="398"/>
      <c r="L7769" s="398"/>
      <c r="M7769" s="682"/>
    </row>
    <row r="7770" spans="8:13" hidden="1" x14ac:dyDescent="0.2">
      <c r="H7770" s="397"/>
      <c r="I7770" s="397"/>
      <c r="J7770" s="750" t="e">
        <f t="shared" si="105"/>
        <v>#DIV/0!</v>
      </c>
      <c r="K7770" s="398"/>
      <c r="L7770" s="398"/>
      <c r="M7770" s="682"/>
    </row>
    <row r="7771" spans="8:13" hidden="1" x14ac:dyDescent="0.2">
      <c r="H7771" s="397"/>
      <c r="I7771" s="397"/>
      <c r="J7771" s="750" t="e">
        <f t="shared" si="105"/>
        <v>#DIV/0!</v>
      </c>
      <c r="K7771" s="398"/>
      <c r="L7771" s="398"/>
      <c r="M7771" s="682"/>
    </row>
    <row r="7772" spans="8:13" hidden="1" x14ac:dyDescent="0.2">
      <c r="H7772" s="397"/>
      <c r="I7772" s="397"/>
      <c r="J7772" s="750" t="e">
        <f t="shared" si="105"/>
        <v>#DIV/0!</v>
      </c>
      <c r="K7772" s="398"/>
      <c r="L7772" s="398"/>
      <c r="M7772" s="682"/>
    </row>
    <row r="7773" spans="8:13" hidden="1" x14ac:dyDescent="0.2">
      <c r="H7773" s="397"/>
      <c r="I7773" s="397"/>
      <c r="J7773" s="750" t="e">
        <f t="shared" si="105"/>
        <v>#DIV/0!</v>
      </c>
      <c r="K7773" s="398"/>
      <c r="L7773" s="398"/>
      <c r="M7773" s="682"/>
    </row>
    <row r="7774" spans="8:13" hidden="1" x14ac:dyDescent="0.2">
      <c r="H7774" s="397"/>
      <c r="I7774" s="397"/>
      <c r="J7774" s="750" t="e">
        <f t="shared" si="105"/>
        <v>#DIV/0!</v>
      </c>
      <c r="K7774" s="398"/>
      <c r="L7774" s="398"/>
      <c r="M7774" s="682"/>
    </row>
    <row r="7775" spans="8:13" hidden="1" x14ac:dyDescent="0.2">
      <c r="H7775" s="397"/>
      <c r="I7775" s="397"/>
      <c r="J7775" s="750" t="e">
        <f t="shared" si="105"/>
        <v>#DIV/0!</v>
      </c>
      <c r="K7775" s="398"/>
      <c r="L7775" s="398"/>
      <c r="M7775" s="682"/>
    </row>
    <row r="7776" spans="8:13" hidden="1" x14ac:dyDescent="0.2">
      <c r="H7776" s="397"/>
      <c r="I7776" s="397"/>
      <c r="J7776" s="750" t="e">
        <f t="shared" si="105"/>
        <v>#DIV/0!</v>
      </c>
      <c r="K7776" s="398"/>
      <c r="L7776" s="398"/>
      <c r="M7776" s="682"/>
    </row>
    <row r="7777" spans="8:13" hidden="1" x14ac:dyDescent="0.2">
      <c r="H7777" s="397"/>
      <c r="I7777" s="397"/>
      <c r="J7777" s="750" t="e">
        <f t="shared" si="105"/>
        <v>#DIV/0!</v>
      </c>
      <c r="K7777" s="398"/>
      <c r="L7777" s="398"/>
      <c r="M7777" s="682"/>
    </row>
    <row r="7778" spans="8:13" hidden="1" x14ac:dyDescent="0.2">
      <c r="H7778" s="397"/>
      <c r="I7778" s="397"/>
      <c r="J7778" s="750" t="e">
        <f t="shared" si="105"/>
        <v>#DIV/0!</v>
      </c>
      <c r="K7778" s="398"/>
      <c r="L7778" s="398"/>
      <c r="M7778" s="682"/>
    </row>
    <row r="7779" spans="8:13" hidden="1" x14ac:dyDescent="0.2">
      <c r="H7779" s="397"/>
      <c r="I7779" s="397"/>
      <c r="J7779" s="750" t="e">
        <f t="shared" si="105"/>
        <v>#DIV/0!</v>
      </c>
      <c r="K7779" s="398"/>
      <c r="L7779" s="398"/>
      <c r="M7779" s="682"/>
    </row>
    <row r="7780" spans="8:13" hidden="1" x14ac:dyDescent="0.2">
      <c r="H7780" s="397"/>
      <c r="I7780" s="397"/>
      <c r="J7780" s="750" t="e">
        <f t="shared" si="105"/>
        <v>#DIV/0!</v>
      </c>
      <c r="K7780" s="398"/>
      <c r="L7780" s="398"/>
      <c r="M7780" s="682"/>
    </row>
    <row r="7781" spans="8:13" hidden="1" x14ac:dyDescent="0.2">
      <c r="H7781" s="397"/>
      <c r="I7781" s="397"/>
      <c r="J7781" s="750" t="e">
        <f t="shared" si="105"/>
        <v>#DIV/0!</v>
      </c>
      <c r="K7781" s="398"/>
      <c r="L7781" s="398"/>
      <c r="M7781" s="682"/>
    </row>
    <row r="7782" spans="8:13" hidden="1" x14ac:dyDescent="0.2">
      <c r="H7782" s="397"/>
      <c r="I7782" s="397"/>
      <c r="J7782" s="750" t="e">
        <f t="shared" si="105"/>
        <v>#DIV/0!</v>
      </c>
      <c r="K7782" s="398"/>
      <c r="L7782" s="398"/>
      <c r="M7782" s="682"/>
    </row>
    <row r="7783" spans="8:13" hidden="1" x14ac:dyDescent="0.2">
      <c r="H7783" s="397"/>
      <c r="I7783" s="397"/>
      <c r="J7783" s="750" t="e">
        <f t="shared" si="105"/>
        <v>#DIV/0!</v>
      </c>
      <c r="K7783" s="398"/>
      <c r="L7783" s="398"/>
      <c r="M7783" s="682"/>
    </row>
    <row r="7784" spans="8:13" hidden="1" x14ac:dyDescent="0.2">
      <c r="H7784" s="397"/>
      <c r="I7784" s="397"/>
      <c r="J7784" s="750" t="e">
        <f t="shared" si="105"/>
        <v>#DIV/0!</v>
      </c>
      <c r="K7784" s="398"/>
      <c r="L7784" s="398"/>
      <c r="M7784" s="682"/>
    </row>
    <row r="7785" spans="8:13" hidden="1" x14ac:dyDescent="0.2">
      <c r="H7785" s="397"/>
      <c r="I7785" s="397"/>
      <c r="J7785" s="750" t="e">
        <f t="shared" si="105"/>
        <v>#DIV/0!</v>
      </c>
      <c r="K7785" s="398"/>
      <c r="L7785" s="398"/>
      <c r="M7785" s="682"/>
    </row>
    <row r="7786" spans="8:13" hidden="1" x14ac:dyDescent="0.2">
      <c r="H7786" s="397"/>
      <c r="I7786" s="397"/>
      <c r="J7786" s="750" t="e">
        <f t="shared" si="105"/>
        <v>#DIV/0!</v>
      </c>
      <c r="K7786" s="398"/>
      <c r="L7786" s="398"/>
      <c r="M7786" s="682"/>
    </row>
    <row r="7787" spans="8:13" hidden="1" x14ac:dyDescent="0.2">
      <c r="H7787" s="397"/>
      <c r="I7787" s="397"/>
      <c r="J7787" s="750" t="e">
        <f t="shared" si="105"/>
        <v>#DIV/0!</v>
      </c>
      <c r="K7787" s="398"/>
      <c r="L7787" s="398"/>
      <c r="M7787" s="682"/>
    </row>
    <row r="7788" spans="8:13" hidden="1" x14ac:dyDescent="0.2">
      <c r="H7788" s="397"/>
      <c r="I7788" s="397"/>
      <c r="J7788" s="750" t="e">
        <f t="shared" si="105"/>
        <v>#DIV/0!</v>
      </c>
      <c r="K7788" s="398"/>
      <c r="L7788" s="398"/>
      <c r="M7788" s="682"/>
    </row>
    <row r="7789" spans="8:13" hidden="1" x14ac:dyDescent="0.2">
      <c r="H7789" s="397"/>
      <c r="I7789" s="397"/>
      <c r="J7789" s="750" t="e">
        <f t="shared" si="105"/>
        <v>#DIV/0!</v>
      </c>
      <c r="K7789" s="398"/>
      <c r="L7789" s="398"/>
      <c r="M7789" s="682"/>
    </row>
    <row r="7790" spans="8:13" hidden="1" x14ac:dyDescent="0.2">
      <c r="H7790" s="397"/>
      <c r="I7790" s="397"/>
      <c r="J7790" s="750" t="e">
        <f t="shared" si="105"/>
        <v>#DIV/0!</v>
      </c>
      <c r="K7790" s="398"/>
      <c r="L7790" s="398"/>
      <c r="M7790" s="682"/>
    </row>
    <row r="7791" spans="8:13" hidden="1" x14ac:dyDescent="0.2">
      <c r="H7791" s="397"/>
      <c r="I7791" s="397"/>
      <c r="J7791" s="750" t="e">
        <f t="shared" si="105"/>
        <v>#DIV/0!</v>
      </c>
      <c r="K7791" s="398"/>
      <c r="L7791" s="398"/>
      <c r="M7791" s="682"/>
    </row>
    <row r="7792" spans="8:13" hidden="1" x14ac:dyDescent="0.2">
      <c r="H7792" s="397"/>
      <c r="I7792" s="397"/>
      <c r="J7792" s="750" t="e">
        <f t="shared" si="105"/>
        <v>#DIV/0!</v>
      </c>
      <c r="K7792" s="398"/>
      <c r="L7792" s="398"/>
      <c r="M7792" s="682"/>
    </row>
    <row r="7793" spans="8:13" hidden="1" x14ac:dyDescent="0.2">
      <c r="H7793" s="397"/>
      <c r="I7793" s="397"/>
      <c r="J7793" s="750" t="e">
        <f t="shared" si="105"/>
        <v>#DIV/0!</v>
      </c>
      <c r="K7793" s="398"/>
      <c r="L7793" s="398"/>
      <c r="M7793" s="682"/>
    </row>
    <row r="7794" spans="8:13" hidden="1" x14ac:dyDescent="0.2">
      <c r="H7794" s="397"/>
      <c r="I7794" s="397"/>
      <c r="J7794" s="750" t="e">
        <f t="shared" si="105"/>
        <v>#DIV/0!</v>
      </c>
      <c r="K7794" s="398"/>
      <c r="L7794" s="398"/>
      <c r="M7794" s="682"/>
    </row>
    <row r="7795" spans="8:13" hidden="1" x14ac:dyDescent="0.2">
      <c r="H7795" s="397"/>
      <c r="I7795" s="397"/>
      <c r="J7795" s="750" t="e">
        <f t="shared" si="105"/>
        <v>#DIV/0!</v>
      </c>
      <c r="K7795" s="398"/>
      <c r="L7795" s="398"/>
      <c r="M7795" s="682"/>
    </row>
    <row r="7796" spans="8:13" hidden="1" x14ac:dyDescent="0.2">
      <c r="H7796" s="397"/>
      <c r="I7796" s="397"/>
      <c r="J7796" s="750" t="e">
        <f t="shared" si="105"/>
        <v>#DIV/0!</v>
      </c>
      <c r="K7796" s="398"/>
      <c r="L7796" s="398"/>
      <c r="M7796" s="682"/>
    </row>
    <row r="7797" spans="8:13" hidden="1" x14ac:dyDescent="0.2">
      <c r="H7797" s="397"/>
      <c r="I7797" s="397"/>
      <c r="J7797" s="750" t="e">
        <f t="shared" si="105"/>
        <v>#DIV/0!</v>
      </c>
      <c r="K7797" s="398"/>
      <c r="L7797" s="398"/>
      <c r="M7797" s="682"/>
    </row>
    <row r="7798" spans="8:13" hidden="1" x14ac:dyDescent="0.2">
      <c r="H7798" s="397"/>
      <c r="I7798" s="397"/>
      <c r="J7798" s="750" t="e">
        <f t="shared" si="105"/>
        <v>#DIV/0!</v>
      </c>
      <c r="K7798" s="398"/>
      <c r="L7798" s="398"/>
      <c r="M7798" s="682"/>
    </row>
    <row r="7799" spans="8:13" hidden="1" x14ac:dyDescent="0.2">
      <c r="H7799" s="397"/>
      <c r="I7799" s="397"/>
      <c r="J7799" s="750" t="e">
        <f t="shared" si="105"/>
        <v>#DIV/0!</v>
      </c>
      <c r="K7799" s="398"/>
      <c r="L7799" s="398"/>
      <c r="M7799" s="682"/>
    </row>
    <row r="7800" spans="8:13" hidden="1" x14ac:dyDescent="0.2">
      <c r="H7800" s="397"/>
      <c r="I7800" s="397"/>
      <c r="J7800" s="750" t="e">
        <f t="shared" si="105"/>
        <v>#DIV/0!</v>
      </c>
      <c r="K7800" s="398"/>
      <c r="L7800" s="398"/>
      <c r="M7800" s="682"/>
    </row>
    <row r="7801" spans="8:13" hidden="1" x14ac:dyDescent="0.2">
      <c r="H7801" s="397"/>
      <c r="I7801" s="397"/>
      <c r="J7801" s="750" t="e">
        <f t="shared" si="105"/>
        <v>#DIV/0!</v>
      </c>
      <c r="K7801" s="398"/>
      <c r="L7801" s="398"/>
      <c r="M7801" s="682"/>
    </row>
    <row r="7802" spans="8:13" hidden="1" x14ac:dyDescent="0.2">
      <c r="H7802" s="397"/>
      <c r="I7802" s="397"/>
      <c r="J7802" s="750" t="e">
        <f t="shared" si="105"/>
        <v>#DIV/0!</v>
      </c>
      <c r="K7802" s="398"/>
      <c r="L7802" s="398"/>
      <c r="M7802" s="682"/>
    </row>
    <row r="7803" spans="8:13" hidden="1" x14ac:dyDescent="0.2">
      <c r="H7803" s="397"/>
      <c r="I7803" s="397"/>
      <c r="J7803" s="750" t="e">
        <f t="shared" si="105"/>
        <v>#DIV/0!</v>
      </c>
      <c r="K7803" s="398"/>
      <c r="L7803" s="398"/>
      <c r="M7803" s="682"/>
    </row>
    <row r="7804" spans="8:13" hidden="1" x14ac:dyDescent="0.2">
      <c r="H7804" s="397"/>
      <c r="I7804" s="397"/>
      <c r="J7804" s="750" t="e">
        <f t="shared" si="105"/>
        <v>#DIV/0!</v>
      </c>
      <c r="K7804" s="398"/>
      <c r="L7804" s="398"/>
      <c r="M7804" s="682"/>
    </row>
    <row r="7805" spans="8:13" hidden="1" x14ac:dyDescent="0.2">
      <c r="H7805" s="397"/>
      <c r="I7805" s="397"/>
      <c r="J7805" s="750" t="e">
        <f t="shared" si="105"/>
        <v>#DIV/0!</v>
      </c>
      <c r="K7805" s="398"/>
      <c r="L7805" s="398"/>
      <c r="M7805" s="682"/>
    </row>
    <row r="7806" spans="8:13" hidden="1" x14ac:dyDescent="0.2">
      <c r="H7806" s="397"/>
      <c r="I7806" s="397"/>
      <c r="J7806" s="750" t="e">
        <f t="shared" si="105"/>
        <v>#DIV/0!</v>
      </c>
      <c r="K7806" s="398"/>
      <c r="L7806" s="398"/>
      <c r="M7806" s="682"/>
    </row>
    <row r="7807" spans="8:13" hidden="1" x14ac:dyDescent="0.2">
      <c r="H7807" s="397"/>
      <c r="I7807" s="397"/>
      <c r="J7807" s="750" t="e">
        <f t="shared" si="105"/>
        <v>#DIV/0!</v>
      </c>
      <c r="K7807" s="398"/>
      <c r="L7807" s="398"/>
      <c r="M7807" s="682"/>
    </row>
    <row r="7808" spans="8:13" hidden="1" x14ac:dyDescent="0.2">
      <c r="H7808" s="397"/>
      <c r="I7808" s="397"/>
      <c r="J7808" s="750" t="e">
        <f t="shared" si="105"/>
        <v>#DIV/0!</v>
      </c>
      <c r="K7808" s="398"/>
      <c r="L7808" s="398"/>
      <c r="M7808" s="682"/>
    </row>
    <row r="7809" spans="1:27" s="530" customFormat="1" hidden="1" x14ac:dyDescent="0.2">
      <c r="A7809" s="526"/>
      <c r="B7809" s="527"/>
      <c r="H7809" s="428"/>
      <c r="I7809" s="428"/>
      <c r="J7809" s="750" t="e">
        <f t="shared" si="105"/>
        <v>#DIV/0!</v>
      </c>
      <c r="K7809" s="428"/>
      <c r="L7809" s="428"/>
      <c r="M7809" s="682"/>
      <c r="N7809" s="171"/>
      <c r="O7809" s="171"/>
      <c r="P7809" s="171"/>
      <c r="Q7809" s="171"/>
      <c r="R7809" s="171"/>
      <c r="S7809" s="171"/>
      <c r="T7809" s="171"/>
      <c r="U7809" s="171"/>
      <c r="V7809" s="171"/>
      <c r="W7809" s="171"/>
      <c r="X7809" s="171"/>
      <c r="Y7809" s="171"/>
      <c r="Z7809" s="171"/>
      <c r="AA7809" s="171"/>
    </row>
    <row r="7810" spans="1:27" s="530" customFormat="1" hidden="1" x14ac:dyDescent="0.2">
      <c r="A7810" s="526"/>
      <c r="B7810" s="527"/>
      <c r="H7810" s="428"/>
      <c r="I7810" s="428"/>
      <c r="J7810" s="750" t="e">
        <f t="shared" si="105"/>
        <v>#DIV/0!</v>
      </c>
      <c r="K7810" s="428"/>
      <c r="L7810" s="428"/>
      <c r="M7810" s="682"/>
      <c r="N7810" s="171"/>
      <c r="O7810" s="171"/>
      <c r="P7810" s="171"/>
      <c r="Q7810" s="171"/>
      <c r="R7810" s="171"/>
      <c r="S7810" s="171"/>
      <c r="T7810" s="171"/>
      <c r="U7810" s="171"/>
      <c r="V7810" s="171"/>
      <c r="W7810" s="171"/>
      <c r="X7810" s="171"/>
      <c r="Y7810" s="171"/>
      <c r="Z7810" s="171"/>
      <c r="AA7810" s="171"/>
    </row>
    <row r="7811" spans="1:27" s="530" customFormat="1" hidden="1" x14ac:dyDescent="0.2">
      <c r="A7811" s="526"/>
      <c r="B7811" s="527"/>
      <c r="H7811" s="428"/>
      <c r="I7811" s="428"/>
      <c r="J7811" s="750" t="e">
        <f t="shared" si="105"/>
        <v>#DIV/0!</v>
      </c>
      <c r="K7811" s="428"/>
      <c r="L7811" s="428"/>
      <c r="M7811" s="682"/>
      <c r="N7811" s="171"/>
      <c r="O7811" s="171"/>
      <c r="P7811" s="171"/>
      <c r="Q7811" s="171"/>
      <c r="R7811" s="171"/>
      <c r="S7811" s="171"/>
      <c r="T7811" s="171"/>
      <c r="U7811" s="171"/>
      <c r="V7811" s="171"/>
      <c r="W7811" s="171"/>
      <c r="X7811" s="171"/>
      <c r="Y7811" s="171"/>
      <c r="Z7811" s="171"/>
      <c r="AA7811" s="171"/>
    </row>
    <row r="7812" spans="1:27" s="530" customFormat="1" hidden="1" x14ac:dyDescent="0.2">
      <c r="A7812" s="526"/>
      <c r="B7812" s="527"/>
      <c r="H7812" s="428"/>
      <c r="I7812" s="428"/>
      <c r="J7812" s="750" t="e">
        <f t="shared" si="105"/>
        <v>#DIV/0!</v>
      </c>
      <c r="K7812" s="428"/>
      <c r="L7812" s="428"/>
      <c r="M7812" s="682"/>
      <c r="N7812" s="171"/>
      <c r="O7812" s="171"/>
      <c r="P7812" s="171"/>
      <c r="Q7812" s="171"/>
      <c r="R7812" s="171"/>
      <c r="S7812" s="171"/>
      <c r="T7812" s="171"/>
      <c r="U7812" s="171"/>
      <c r="V7812" s="171"/>
      <c r="W7812" s="171"/>
      <c r="X7812" s="171"/>
      <c r="Y7812" s="171"/>
      <c r="Z7812" s="171"/>
      <c r="AA7812" s="171"/>
    </row>
    <row r="7813" spans="1:27" s="530" customFormat="1" hidden="1" x14ac:dyDescent="0.2">
      <c r="A7813" s="526"/>
      <c r="B7813" s="527"/>
      <c r="H7813" s="428"/>
      <c r="I7813" s="428"/>
      <c r="J7813" s="750" t="e">
        <f t="shared" si="105"/>
        <v>#DIV/0!</v>
      </c>
      <c r="K7813" s="428"/>
      <c r="L7813" s="428"/>
      <c r="M7813" s="682"/>
      <c r="N7813" s="171"/>
      <c r="O7813" s="171"/>
      <c r="P7813" s="171"/>
      <c r="Q7813" s="171"/>
      <c r="R7813" s="171"/>
      <c r="S7813" s="171"/>
      <c r="T7813" s="171"/>
      <c r="U7813" s="171"/>
      <c r="V7813" s="171"/>
      <c r="W7813" s="171"/>
      <c r="X7813" s="171"/>
      <c r="Y7813" s="171"/>
      <c r="Z7813" s="171"/>
      <c r="AA7813" s="171"/>
    </row>
    <row r="7814" spans="1:27" s="530" customFormat="1" hidden="1" x14ac:dyDescent="0.2">
      <c r="A7814" s="526"/>
      <c r="B7814" s="527"/>
      <c r="H7814" s="428"/>
      <c r="I7814" s="428"/>
      <c r="J7814" s="750" t="e">
        <f t="shared" si="105"/>
        <v>#DIV/0!</v>
      </c>
      <c r="K7814" s="428"/>
      <c r="L7814" s="428"/>
      <c r="M7814" s="682"/>
      <c r="N7814" s="171"/>
      <c r="O7814" s="171"/>
      <c r="P7814" s="171"/>
      <c r="Q7814" s="171"/>
      <c r="R7814" s="171"/>
      <c r="S7814" s="171"/>
      <c r="T7814" s="171"/>
      <c r="U7814" s="171"/>
      <c r="V7814" s="171"/>
      <c r="W7814" s="171"/>
      <c r="X7814" s="171"/>
      <c r="Y7814" s="171"/>
      <c r="Z7814" s="171"/>
      <c r="AA7814" s="171"/>
    </row>
    <row r="7815" spans="1:27" s="530" customFormat="1" hidden="1" x14ac:dyDescent="0.2">
      <c r="A7815" s="526"/>
      <c r="B7815" s="527"/>
      <c r="H7815" s="428"/>
      <c r="I7815" s="428"/>
      <c r="J7815" s="750" t="e">
        <f t="shared" si="105"/>
        <v>#DIV/0!</v>
      </c>
      <c r="K7815" s="428"/>
      <c r="L7815" s="428"/>
      <c r="M7815" s="682"/>
      <c r="N7815" s="171"/>
      <c r="O7815" s="171"/>
      <c r="P7815" s="171"/>
      <c r="Q7815" s="171"/>
      <c r="R7815" s="171"/>
      <c r="S7815" s="171"/>
      <c r="T7815" s="171"/>
      <c r="U7815" s="171"/>
      <c r="V7815" s="171"/>
      <c r="W7815" s="171"/>
      <c r="X7815" s="171"/>
      <c r="Y7815" s="171"/>
      <c r="Z7815" s="171"/>
      <c r="AA7815" s="171"/>
    </row>
    <row r="7816" spans="1:27" s="530" customFormat="1" hidden="1" x14ac:dyDescent="0.2">
      <c r="A7816" s="526"/>
      <c r="B7816" s="527"/>
      <c r="H7816" s="428"/>
      <c r="I7816" s="428"/>
      <c r="J7816" s="750" t="e">
        <f t="shared" si="105"/>
        <v>#DIV/0!</v>
      </c>
      <c r="K7816" s="428"/>
      <c r="L7816" s="428"/>
      <c r="M7816" s="682"/>
      <c r="N7816" s="171"/>
      <c r="O7816" s="171"/>
      <c r="P7816" s="171"/>
      <c r="Q7816" s="171"/>
      <c r="R7816" s="171"/>
      <c r="S7816" s="171"/>
      <c r="T7816" s="171"/>
      <c r="U7816" s="171"/>
      <c r="V7816" s="171"/>
      <c r="W7816" s="171"/>
      <c r="X7816" s="171"/>
      <c r="Y7816" s="171"/>
      <c r="Z7816" s="171"/>
      <c r="AA7816" s="171"/>
    </row>
    <row r="7817" spans="1:27" s="530" customFormat="1" hidden="1" x14ac:dyDescent="0.2">
      <c r="A7817" s="526"/>
      <c r="B7817" s="527"/>
      <c r="H7817" s="428"/>
      <c r="I7817" s="428"/>
      <c r="J7817" s="750" t="e">
        <f t="shared" si="105"/>
        <v>#DIV/0!</v>
      </c>
      <c r="K7817" s="428"/>
      <c r="L7817" s="428"/>
      <c r="M7817" s="682"/>
      <c r="N7817" s="171"/>
      <c r="O7817" s="171"/>
      <c r="P7817" s="171"/>
      <c r="Q7817" s="171"/>
      <c r="R7817" s="171"/>
      <c r="S7817" s="171"/>
      <c r="T7817" s="171"/>
      <c r="U7817" s="171"/>
      <c r="V7817" s="171"/>
      <c r="W7817" s="171"/>
      <c r="X7817" s="171"/>
      <c r="Y7817" s="171"/>
      <c r="Z7817" s="171"/>
      <c r="AA7817" s="171"/>
    </row>
    <row r="7818" spans="1:27" s="530" customFormat="1" hidden="1" x14ac:dyDescent="0.2">
      <c r="A7818" s="526"/>
      <c r="B7818" s="527"/>
      <c r="H7818" s="428"/>
      <c r="I7818" s="428"/>
      <c r="J7818" s="750" t="e">
        <f t="shared" si="105"/>
        <v>#DIV/0!</v>
      </c>
      <c r="K7818" s="428"/>
      <c r="L7818" s="428"/>
      <c r="M7818" s="682"/>
      <c r="N7818" s="171"/>
      <c r="O7818" s="171"/>
      <c r="P7818" s="171"/>
      <c r="Q7818" s="171"/>
      <c r="R7818" s="171"/>
      <c r="S7818" s="171"/>
      <c r="T7818" s="171"/>
      <c r="U7818" s="171"/>
      <c r="V7818" s="171"/>
      <c r="W7818" s="171"/>
      <c r="X7818" s="171"/>
      <c r="Y7818" s="171"/>
      <c r="Z7818" s="171"/>
      <c r="AA7818" s="171"/>
    </row>
    <row r="7819" spans="1:27" s="530" customFormat="1" hidden="1" x14ac:dyDescent="0.2">
      <c r="A7819" s="526"/>
      <c r="B7819" s="527"/>
      <c r="H7819" s="428"/>
      <c r="I7819" s="428"/>
      <c r="J7819" s="750" t="e">
        <f t="shared" si="105"/>
        <v>#DIV/0!</v>
      </c>
      <c r="K7819" s="428"/>
      <c r="L7819" s="428"/>
      <c r="M7819" s="682"/>
      <c r="N7819" s="171"/>
      <c r="O7819" s="171"/>
      <c r="P7819" s="171"/>
      <c r="Q7819" s="171"/>
      <c r="R7819" s="171"/>
      <c r="S7819" s="171"/>
      <c r="T7819" s="171"/>
      <c r="U7819" s="171"/>
      <c r="V7819" s="171"/>
      <c r="W7819" s="171"/>
      <c r="X7819" s="171"/>
      <c r="Y7819" s="171"/>
      <c r="Z7819" s="171"/>
      <c r="AA7819" s="171"/>
    </row>
    <row r="7820" spans="1:27" s="530" customFormat="1" hidden="1" x14ac:dyDescent="0.2">
      <c r="A7820" s="526"/>
      <c r="B7820" s="527"/>
      <c r="H7820" s="428"/>
      <c r="I7820" s="428"/>
      <c r="J7820" s="750" t="e">
        <f t="shared" si="105"/>
        <v>#DIV/0!</v>
      </c>
      <c r="K7820" s="428"/>
      <c r="L7820" s="428"/>
      <c r="M7820" s="682"/>
      <c r="N7820" s="171"/>
      <c r="O7820" s="171"/>
      <c r="P7820" s="171"/>
      <c r="Q7820" s="171"/>
      <c r="R7820" s="171"/>
      <c r="S7820" s="171"/>
      <c r="T7820" s="171"/>
      <c r="U7820" s="171"/>
      <c r="V7820" s="171"/>
      <c r="W7820" s="171"/>
      <c r="X7820" s="171"/>
      <c r="Y7820" s="171"/>
      <c r="Z7820" s="171"/>
      <c r="AA7820" s="171"/>
    </row>
    <row r="7821" spans="1:27" s="530" customFormat="1" hidden="1" x14ac:dyDescent="0.2">
      <c r="A7821" s="526"/>
      <c r="B7821" s="527"/>
      <c r="H7821" s="428"/>
      <c r="I7821" s="428"/>
      <c r="J7821" s="750" t="e">
        <f t="shared" si="105"/>
        <v>#DIV/0!</v>
      </c>
      <c r="K7821" s="428"/>
      <c r="L7821" s="428"/>
      <c r="M7821" s="682"/>
      <c r="N7821" s="171"/>
      <c r="O7821" s="171"/>
      <c r="P7821" s="171"/>
      <c r="Q7821" s="171"/>
      <c r="R7821" s="171"/>
      <c r="S7821" s="171"/>
      <c r="T7821" s="171"/>
      <c r="U7821" s="171"/>
      <c r="V7821" s="171"/>
      <c r="W7821" s="171"/>
      <c r="X7821" s="171"/>
      <c r="Y7821" s="171"/>
      <c r="Z7821" s="171"/>
      <c r="AA7821" s="171"/>
    </row>
    <row r="7822" spans="1:27" s="530" customFormat="1" hidden="1" x14ac:dyDescent="0.2">
      <c r="A7822" s="526"/>
      <c r="B7822" s="527"/>
      <c r="H7822" s="428"/>
      <c r="I7822" s="428"/>
      <c r="J7822" s="750" t="e">
        <f t="shared" ref="J7822:J7885" si="106">SUM(I7822/H7822)*100</f>
        <v>#DIV/0!</v>
      </c>
      <c r="K7822" s="428"/>
      <c r="L7822" s="428"/>
      <c r="M7822" s="682"/>
      <c r="N7822" s="171"/>
      <c r="O7822" s="171"/>
      <c r="P7822" s="171"/>
      <c r="Q7822" s="171"/>
      <c r="R7822" s="171"/>
      <c r="S7822" s="171"/>
      <c r="T7822" s="171"/>
      <c r="U7822" s="171"/>
      <c r="V7822" s="171"/>
      <c r="W7822" s="171"/>
      <c r="X7822" s="171"/>
      <c r="Y7822" s="171"/>
      <c r="Z7822" s="171"/>
      <c r="AA7822" s="171"/>
    </row>
    <row r="7823" spans="1:27" s="530" customFormat="1" hidden="1" x14ac:dyDescent="0.2">
      <c r="A7823" s="526"/>
      <c r="B7823" s="527"/>
      <c r="H7823" s="428"/>
      <c r="I7823" s="428"/>
      <c r="J7823" s="750" t="e">
        <f t="shared" si="106"/>
        <v>#DIV/0!</v>
      </c>
      <c r="K7823" s="428"/>
      <c r="L7823" s="428"/>
      <c r="M7823" s="682"/>
      <c r="N7823" s="171"/>
      <c r="O7823" s="171"/>
      <c r="P7823" s="171"/>
      <c r="Q7823" s="171"/>
      <c r="R7823" s="171"/>
      <c r="S7823" s="171"/>
      <c r="T7823" s="171"/>
      <c r="U7823" s="171"/>
      <c r="V7823" s="171"/>
      <c r="W7823" s="171"/>
      <c r="X7823" s="171"/>
      <c r="Y7823" s="171"/>
      <c r="Z7823" s="171"/>
      <c r="AA7823" s="171"/>
    </row>
    <row r="7824" spans="1:27" s="530" customFormat="1" hidden="1" x14ac:dyDescent="0.2">
      <c r="A7824" s="526"/>
      <c r="B7824" s="527"/>
      <c r="H7824" s="428"/>
      <c r="I7824" s="428"/>
      <c r="J7824" s="750" t="e">
        <f t="shared" si="106"/>
        <v>#DIV/0!</v>
      </c>
      <c r="K7824" s="428"/>
      <c r="L7824" s="428"/>
      <c r="M7824" s="682"/>
      <c r="N7824" s="171"/>
      <c r="O7824" s="171"/>
      <c r="P7824" s="171"/>
      <c r="Q7824" s="171"/>
      <c r="R7824" s="171"/>
      <c r="S7824" s="171"/>
      <c r="T7824" s="171"/>
      <c r="U7824" s="171"/>
      <c r="V7824" s="171"/>
      <c r="W7824" s="171"/>
      <c r="X7824" s="171"/>
      <c r="Y7824" s="171"/>
      <c r="Z7824" s="171"/>
      <c r="AA7824" s="171"/>
    </row>
    <row r="7825" spans="1:27" s="530" customFormat="1" hidden="1" x14ac:dyDescent="0.2">
      <c r="A7825" s="526"/>
      <c r="B7825" s="527"/>
      <c r="H7825" s="428"/>
      <c r="I7825" s="428"/>
      <c r="J7825" s="750" t="e">
        <f t="shared" si="106"/>
        <v>#DIV/0!</v>
      </c>
      <c r="K7825" s="428"/>
      <c r="L7825" s="428"/>
      <c r="M7825" s="682"/>
      <c r="N7825" s="171"/>
      <c r="O7825" s="171"/>
      <c r="P7825" s="171"/>
      <c r="Q7825" s="171"/>
      <c r="R7825" s="171"/>
      <c r="S7825" s="171"/>
      <c r="T7825" s="171"/>
      <c r="U7825" s="171"/>
      <c r="V7825" s="171"/>
      <c r="W7825" s="171"/>
      <c r="X7825" s="171"/>
      <c r="Y7825" s="171"/>
      <c r="Z7825" s="171"/>
      <c r="AA7825" s="171"/>
    </row>
    <row r="7826" spans="1:27" s="530" customFormat="1" hidden="1" x14ac:dyDescent="0.2">
      <c r="A7826" s="526"/>
      <c r="B7826" s="527"/>
      <c r="H7826" s="428"/>
      <c r="I7826" s="428"/>
      <c r="J7826" s="750" t="e">
        <f t="shared" si="106"/>
        <v>#DIV/0!</v>
      </c>
      <c r="K7826" s="428"/>
      <c r="L7826" s="428"/>
      <c r="M7826" s="682"/>
      <c r="N7826" s="171"/>
      <c r="O7826" s="171"/>
      <c r="P7826" s="171"/>
      <c r="Q7826" s="171"/>
      <c r="R7826" s="171"/>
      <c r="S7826" s="171"/>
      <c r="T7826" s="171"/>
      <c r="U7826" s="171"/>
      <c r="V7826" s="171"/>
      <c r="W7826" s="171"/>
      <c r="X7826" s="171"/>
      <c r="Y7826" s="171"/>
      <c r="Z7826" s="171"/>
      <c r="AA7826" s="171"/>
    </row>
    <row r="7827" spans="1:27" hidden="1" x14ac:dyDescent="0.2">
      <c r="H7827" s="397"/>
      <c r="I7827" s="397"/>
      <c r="J7827" s="750" t="e">
        <f t="shared" si="106"/>
        <v>#DIV/0!</v>
      </c>
      <c r="K7827" s="398"/>
      <c r="L7827" s="398"/>
      <c r="M7827" s="682"/>
    </row>
    <row r="7828" spans="1:27" s="530" customFormat="1" ht="25.5" x14ac:dyDescent="0.2">
      <c r="A7828" s="613"/>
      <c r="B7828" s="616">
        <v>6</v>
      </c>
      <c r="C7828" s="624"/>
      <c r="D7828" s="625"/>
      <c r="E7828" s="625"/>
      <c r="F7828" s="223"/>
      <c r="G7828" s="512" t="s">
        <v>5290</v>
      </c>
      <c r="H7828" s="442"/>
      <c r="I7828" s="442"/>
      <c r="J7828" s="751"/>
      <c r="K7828" s="417"/>
      <c r="L7828" s="448"/>
      <c r="M7828" s="682"/>
      <c r="N7828" s="171"/>
      <c r="O7828" s="171"/>
      <c r="P7828" s="169"/>
      <c r="Q7828" s="171"/>
      <c r="R7828" s="171"/>
      <c r="S7828" s="171"/>
      <c r="T7828" s="171"/>
      <c r="U7828" s="171"/>
      <c r="V7828" s="171"/>
      <c r="W7828" s="171"/>
      <c r="X7828" s="171"/>
      <c r="Y7828" s="171"/>
      <c r="Z7828" s="171"/>
      <c r="AA7828" s="171"/>
    </row>
    <row r="7829" spans="1:27" s="530" customFormat="1" x14ac:dyDescent="0.2">
      <c r="A7829" s="526"/>
      <c r="B7829" s="527"/>
      <c r="C7829" s="528" t="s">
        <v>3570</v>
      </c>
      <c r="D7829" s="528"/>
      <c r="E7829" s="536"/>
      <c r="F7829" s="536"/>
      <c r="G7829" s="529" t="s">
        <v>4229</v>
      </c>
      <c r="H7829" s="425"/>
      <c r="I7829" s="425"/>
      <c r="J7829" s="750"/>
      <c r="K7829" s="243"/>
      <c r="L7829" s="243"/>
      <c r="M7829" s="682"/>
      <c r="N7829" s="171"/>
      <c r="O7829" s="171"/>
      <c r="P7829" s="171"/>
      <c r="Q7829" s="171"/>
      <c r="R7829" s="171"/>
      <c r="S7829" s="171"/>
      <c r="T7829" s="171"/>
      <c r="U7829" s="171"/>
      <c r="V7829" s="171"/>
      <c r="W7829" s="171"/>
      <c r="X7829" s="171"/>
      <c r="Y7829" s="171"/>
      <c r="Z7829" s="171"/>
      <c r="AA7829" s="171"/>
    </row>
    <row r="7830" spans="1:27" ht="12" customHeight="1" x14ac:dyDescent="0.2">
      <c r="C7830" s="489" t="s">
        <v>4108</v>
      </c>
      <c r="D7830" s="490"/>
      <c r="G7830" s="491" t="s">
        <v>4094</v>
      </c>
      <c r="H7830" s="397"/>
      <c r="I7830" s="397"/>
      <c r="J7830" s="750"/>
      <c r="K7830" s="398"/>
      <c r="L7830" s="398"/>
      <c r="M7830" s="682"/>
    </row>
    <row r="7831" spans="1:27" s="530" customFormat="1" ht="12" customHeight="1" x14ac:dyDescent="0.2">
      <c r="A7831" s="526"/>
      <c r="B7831" s="527"/>
      <c r="C7831" s="528"/>
      <c r="D7831" s="537">
        <v>421</v>
      </c>
      <c r="E7831" s="538"/>
      <c r="F7831" s="538"/>
      <c r="G7831" s="539" t="s">
        <v>138</v>
      </c>
      <c r="H7831" s="425"/>
      <c r="I7831" s="425"/>
      <c r="J7831" s="750"/>
      <c r="K7831" s="243"/>
      <c r="L7831" s="243"/>
      <c r="M7831" s="682"/>
      <c r="N7831" s="171"/>
      <c r="O7831" s="171"/>
      <c r="P7831" s="171"/>
      <c r="Q7831" s="171"/>
      <c r="R7831" s="171"/>
      <c r="S7831" s="171"/>
      <c r="T7831" s="171"/>
      <c r="U7831" s="171"/>
      <c r="V7831" s="171"/>
      <c r="W7831" s="171"/>
      <c r="X7831" s="171"/>
      <c r="Y7831" s="171"/>
      <c r="Z7831" s="171"/>
      <c r="AA7831" s="171"/>
    </row>
    <row r="7832" spans="1:27" hidden="1" x14ac:dyDescent="0.2">
      <c r="F7832" s="494">
        <v>411</v>
      </c>
      <c r="G7832" s="495" t="s">
        <v>4167</v>
      </c>
      <c r="H7832" s="397"/>
      <c r="I7832" s="397"/>
      <c r="J7832" s="750" t="e">
        <f t="shared" si="106"/>
        <v>#DIV/0!</v>
      </c>
      <c r="K7832" s="398"/>
      <c r="L7832" s="398"/>
      <c r="M7832" s="682"/>
      <c r="N7832" s="540"/>
      <c r="O7832" s="540"/>
    </row>
    <row r="7833" spans="1:27" hidden="1" x14ac:dyDescent="0.2">
      <c r="F7833" s="494">
        <v>412</v>
      </c>
      <c r="G7833" s="496" t="s">
        <v>3764</v>
      </c>
      <c r="H7833" s="397"/>
      <c r="I7833" s="397"/>
      <c r="J7833" s="750" t="e">
        <f t="shared" si="106"/>
        <v>#DIV/0!</v>
      </c>
      <c r="K7833" s="398"/>
      <c r="L7833" s="398"/>
      <c r="M7833" s="682"/>
    </row>
    <row r="7834" spans="1:27" hidden="1" x14ac:dyDescent="0.2">
      <c r="F7834" s="494">
        <v>413</v>
      </c>
      <c r="G7834" s="495" t="s">
        <v>4168</v>
      </c>
      <c r="H7834" s="397"/>
      <c r="I7834" s="397"/>
      <c r="J7834" s="750" t="e">
        <f t="shared" si="106"/>
        <v>#DIV/0!</v>
      </c>
      <c r="K7834" s="398"/>
      <c r="L7834" s="398"/>
      <c r="M7834" s="682"/>
    </row>
    <row r="7835" spans="1:27" hidden="1" x14ac:dyDescent="0.2">
      <c r="F7835" s="494">
        <v>414</v>
      </c>
      <c r="G7835" s="495" t="s">
        <v>3767</v>
      </c>
      <c r="H7835" s="397"/>
      <c r="I7835" s="397"/>
      <c r="J7835" s="750" t="e">
        <f t="shared" si="106"/>
        <v>#DIV/0!</v>
      </c>
      <c r="K7835" s="398"/>
      <c r="L7835" s="398"/>
      <c r="M7835" s="682"/>
    </row>
    <row r="7836" spans="1:27" hidden="1" x14ac:dyDescent="0.2">
      <c r="F7836" s="494">
        <v>415</v>
      </c>
      <c r="G7836" s="495" t="s">
        <v>4177</v>
      </c>
      <c r="H7836" s="397"/>
      <c r="I7836" s="397"/>
      <c r="J7836" s="750" t="e">
        <f t="shared" si="106"/>
        <v>#DIV/0!</v>
      </c>
      <c r="K7836" s="398"/>
      <c r="L7836" s="398"/>
      <c r="M7836" s="682"/>
    </row>
    <row r="7837" spans="1:27" ht="25.5" hidden="1" x14ac:dyDescent="0.2">
      <c r="F7837" s="494">
        <v>416</v>
      </c>
      <c r="G7837" s="495" t="s">
        <v>4178</v>
      </c>
      <c r="H7837" s="397"/>
      <c r="I7837" s="397"/>
      <c r="J7837" s="750" t="e">
        <f t="shared" si="106"/>
        <v>#DIV/0!</v>
      </c>
      <c r="K7837" s="398"/>
      <c r="L7837" s="398"/>
      <c r="M7837" s="682"/>
    </row>
    <row r="7838" spans="1:27" hidden="1" x14ac:dyDescent="0.2">
      <c r="F7838" s="494">
        <v>417</v>
      </c>
      <c r="G7838" s="495" t="s">
        <v>4179</v>
      </c>
      <c r="H7838" s="397"/>
      <c r="I7838" s="397"/>
      <c r="J7838" s="750" t="e">
        <f t="shared" si="106"/>
        <v>#DIV/0!</v>
      </c>
      <c r="K7838" s="398"/>
      <c r="L7838" s="398"/>
      <c r="M7838" s="682"/>
    </row>
    <row r="7839" spans="1:27" hidden="1" x14ac:dyDescent="0.2">
      <c r="F7839" s="494">
        <v>418</v>
      </c>
      <c r="G7839" s="495" t="s">
        <v>3773</v>
      </c>
      <c r="H7839" s="397"/>
      <c r="I7839" s="397"/>
      <c r="J7839" s="750" t="e">
        <f t="shared" si="106"/>
        <v>#DIV/0!</v>
      </c>
      <c r="K7839" s="398"/>
      <c r="L7839" s="398"/>
      <c r="M7839" s="682"/>
    </row>
    <row r="7840" spans="1:27" ht="12.75" customHeight="1" x14ac:dyDescent="0.2">
      <c r="E7840" s="464">
        <v>69</v>
      </c>
      <c r="F7840" s="494">
        <v>421</v>
      </c>
      <c r="G7840" s="495" t="s">
        <v>3777</v>
      </c>
      <c r="H7840" s="397">
        <v>100000</v>
      </c>
      <c r="I7840" s="397">
        <v>29241.87</v>
      </c>
      <c r="J7840" s="750">
        <f t="shared" si="106"/>
        <v>29.241869999999999</v>
      </c>
      <c r="K7840" s="398"/>
      <c r="L7840" s="398"/>
      <c r="M7840" s="682"/>
    </row>
    <row r="7841" spans="5:13" hidden="1" x14ac:dyDescent="0.2">
      <c r="F7841" s="494">
        <v>422</v>
      </c>
      <c r="G7841" s="495" t="s">
        <v>3778</v>
      </c>
      <c r="H7841" s="397"/>
      <c r="I7841" s="397"/>
      <c r="J7841" s="750" t="e">
        <f t="shared" si="106"/>
        <v>#DIV/0!</v>
      </c>
      <c r="K7841" s="398"/>
      <c r="L7841" s="398"/>
      <c r="M7841" s="682"/>
    </row>
    <row r="7842" spans="5:13" x14ac:dyDescent="0.2">
      <c r="E7842" s="464">
        <v>70</v>
      </c>
      <c r="F7842" s="494">
        <v>423</v>
      </c>
      <c r="G7842" s="495" t="s">
        <v>3779</v>
      </c>
      <c r="H7842" s="397">
        <v>600487</v>
      </c>
      <c r="I7842" s="397">
        <v>502114.22</v>
      </c>
      <c r="J7842" s="750">
        <f t="shared" si="106"/>
        <v>83.617833525122109</v>
      </c>
      <c r="K7842" s="398"/>
      <c r="L7842" s="398"/>
      <c r="M7842" s="682"/>
    </row>
    <row r="7843" spans="5:13" ht="12.75" customHeight="1" x14ac:dyDescent="0.2">
      <c r="E7843" s="464">
        <v>71</v>
      </c>
      <c r="F7843" s="494">
        <v>424</v>
      </c>
      <c r="G7843" s="495" t="s">
        <v>3781</v>
      </c>
      <c r="H7843" s="397">
        <v>1000000</v>
      </c>
      <c r="I7843" s="397">
        <v>664529.31999999995</v>
      </c>
      <c r="J7843" s="750">
        <f t="shared" si="106"/>
        <v>66.452932000000004</v>
      </c>
      <c r="K7843" s="398"/>
      <c r="L7843" s="398"/>
      <c r="M7843" s="682"/>
    </row>
    <row r="7844" spans="5:13" hidden="1" x14ac:dyDescent="0.2">
      <c r="F7844" s="494">
        <v>425</v>
      </c>
      <c r="G7844" s="495" t="s">
        <v>4180</v>
      </c>
      <c r="H7844" s="397"/>
      <c r="I7844" s="397"/>
      <c r="J7844" s="750" t="e">
        <f t="shared" si="106"/>
        <v>#DIV/0!</v>
      </c>
      <c r="K7844" s="398"/>
      <c r="L7844" s="398"/>
      <c r="M7844" s="682"/>
    </row>
    <row r="7845" spans="5:13" ht="12" customHeight="1" x14ac:dyDescent="0.2">
      <c r="E7845" s="464">
        <v>72</v>
      </c>
      <c r="F7845" s="494">
        <v>426</v>
      </c>
      <c r="G7845" s="495" t="s">
        <v>3785</v>
      </c>
      <c r="H7845" s="397">
        <v>2500000</v>
      </c>
      <c r="I7845" s="397">
        <v>2059200</v>
      </c>
      <c r="J7845" s="750">
        <f t="shared" si="106"/>
        <v>82.367999999999995</v>
      </c>
      <c r="K7845" s="398"/>
      <c r="L7845" s="398"/>
      <c r="M7845" s="682"/>
    </row>
    <row r="7846" spans="5:13" hidden="1" x14ac:dyDescent="0.2">
      <c r="F7846" s="494">
        <v>431</v>
      </c>
      <c r="G7846" s="495" t="s">
        <v>4181</v>
      </c>
      <c r="H7846" s="397"/>
      <c r="I7846" s="397"/>
      <c r="J7846" s="750" t="e">
        <f t="shared" si="106"/>
        <v>#DIV/0!</v>
      </c>
      <c r="K7846" s="398"/>
      <c r="L7846" s="398"/>
      <c r="M7846" s="682"/>
    </row>
    <row r="7847" spans="5:13" hidden="1" x14ac:dyDescent="0.2">
      <c r="F7847" s="494">
        <v>432</v>
      </c>
      <c r="G7847" s="495" t="s">
        <v>4182</v>
      </c>
      <c r="H7847" s="397"/>
      <c r="I7847" s="397"/>
      <c r="J7847" s="750" t="e">
        <f t="shared" si="106"/>
        <v>#DIV/0!</v>
      </c>
      <c r="K7847" s="398"/>
      <c r="L7847" s="398"/>
      <c r="M7847" s="682"/>
    </row>
    <row r="7848" spans="5:13" hidden="1" x14ac:dyDescent="0.2">
      <c r="F7848" s="494">
        <v>433</v>
      </c>
      <c r="G7848" s="495" t="s">
        <v>4183</v>
      </c>
      <c r="H7848" s="397"/>
      <c r="I7848" s="397"/>
      <c r="J7848" s="750" t="e">
        <f t="shared" si="106"/>
        <v>#DIV/0!</v>
      </c>
      <c r="K7848" s="398"/>
      <c r="L7848" s="398"/>
      <c r="M7848" s="682"/>
    </row>
    <row r="7849" spans="5:13" hidden="1" x14ac:dyDescent="0.2">
      <c r="F7849" s="494">
        <v>434</v>
      </c>
      <c r="G7849" s="495" t="s">
        <v>4184</v>
      </c>
      <c r="H7849" s="397"/>
      <c r="I7849" s="397"/>
      <c r="J7849" s="750" t="e">
        <f t="shared" si="106"/>
        <v>#DIV/0!</v>
      </c>
      <c r="K7849" s="398"/>
      <c r="L7849" s="398"/>
      <c r="M7849" s="682"/>
    </row>
    <row r="7850" spans="5:13" hidden="1" x14ac:dyDescent="0.2">
      <c r="F7850" s="494">
        <v>435</v>
      </c>
      <c r="G7850" s="495" t="s">
        <v>3792</v>
      </c>
      <c r="H7850" s="397"/>
      <c r="I7850" s="397"/>
      <c r="J7850" s="750" t="e">
        <f t="shared" si="106"/>
        <v>#DIV/0!</v>
      </c>
      <c r="K7850" s="398"/>
      <c r="L7850" s="398"/>
      <c r="M7850" s="682"/>
    </row>
    <row r="7851" spans="5:13" hidden="1" x14ac:dyDescent="0.2">
      <c r="F7851" s="494">
        <v>441</v>
      </c>
      <c r="G7851" s="495" t="s">
        <v>4185</v>
      </c>
      <c r="H7851" s="397"/>
      <c r="I7851" s="397"/>
      <c r="J7851" s="750" t="e">
        <f t="shared" si="106"/>
        <v>#DIV/0!</v>
      </c>
      <c r="K7851" s="398"/>
      <c r="L7851" s="398"/>
      <c r="M7851" s="682"/>
    </row>
    <row r="7852" spans="5:13" hidden="1" x14ac:dyDescent="0.2">
      <c r="F7852" s="494">
        <v>442</v>
      </c>
      <c r="G7852" s="495" t="s">
        <v>4186</v>
      </c>
      <c r="H7852" s="397"/>
      <c r="I7852" s="397"/>
      <c r="J7852" s="750" t="e">
        <f t="shared" si="106"/>
        <v>#DIV/0!</v>
      </c>
      <c r="K7852" s="398"/>
      <c r="L7852" s="398"/>
      <c r="M7852" s="682"/>
    </row>
    <row r="7853" spans="5:13" hidden="1" x14ac:dyDescent="0.2">
      <c r="F7853" s="494">
        <v>443</v>
      </c>
      <c r="G7853" s="495" t="s">
        <v>3797</v>
      </c>
      <c r="H7853" s="397"/>
      <c r="I7853" s="397"/>
      <c r="J7853" s="750" t="e">
        <f t="shared" si="106"/>
        <v>#DIV/0!</v>
      </c>
      <c r="K7853" s="398"/>
      <c r="L7853" s="398"/>
      <c r="M7853" s="682"/>
    </row>
    <row r="7854" spans="5:13" hidden="1" x14ac:dyDescent="0.2">
      <c r="F7854" s="494">
        <v>444</v>
      </c>
      <c r="G7854" s="495" t="s">
        <v>3798</v>
      </c>
      <c r="H7854" s="397"/>
      <c r="I7854" s="397"/>
      <c r="J7854" s="750" t="e">
        <f t="shared" si="106"/>
        <v>#DIV/0!</v>
      </c>
      <c r="K7854" s="398"/>
      <c r="L7854" s="398"/>
      <c r="M7854" s="682"/>
    </row>
    <row r="7855" spans="5:13" ht="18" customHeight="1" thickBot="1" x14ac:dyDescent="0.25">
      <c r="E7855" s="464">
        <v>73</v>
      </c>
      <c r="F7855" s="494">
        <v>4511</v>
      </c>
      <c r="G7855" s="466" t="s">
        <v>1692</v>
      </c>
      <c r="H7855" s="397">
        <v>21000000</v>
      </c>
      <c r="I7855" s="397">
        <v>19997421.359999999</v>
      </c>
      <c r="J7855" s="750">
        <f t="shared" si="106"/>
        <v>95.225815999999995</v>
      </c>
      <c r="K7855" s="398"/>
      <c r="L7855" s="398"/>
      <c r="M7855" s="682"/>
    </row>
    <row r="7856" spans="5:13" ht="26.25" hidden="1" thickBot="1" x14ac:dyDescent="0.25">
      <c r="F7856" s="494">
        <v>4512</v>
      </c>
      <c r="G7856" s="466" t="s">
        <v>1701</v>
      </c>
      <c r="H7856" s="397"/>
      <c r="I7856" s="397"/>
      <c r="J7856" s="750" t="e">
        <f t="shared" si="106"/>
        <v>#DIV/0!</v>
      </c>
      <c r="K7856" s="398"/>
      <c r="L7856" s="398"/>
      <c r="M7856" s="682"/>
    </row>
    <row r="7857" spans="6:13" ht="26.25" hidden="1" thickBot="1" x14ac:dyDescent="0.25">
      <c r="F7857" s="494">
        <v>452</v>
      </c>
      <c r="G7857" s="495" t="s">
        <v>4187</v>
      </c>
      <c r="H7857" s="397"/>
      <c r="I7857" s="397"/>
      <c r="J7857" s="750" t="e">
        <f t="shared" si="106"/>
        <v>#DIV/0!</v>
      </c>
      <c r="K7857" s="398"/>
      <c r="L7857" s="398"/>
      <c r="M7857" s="682"/>
    </row>
    <row r="7858" spans="6:13" ht="26.25" hidden="1" thickBot="1" x14ac:dyDescent="0.25">
      <c r="F7858" s="494">
        <v>453</v>
      </c>
      <c r="G7858" s="495" t="s">
        <v>4188</v>
      </c>
      <c r="H7858" s="397"/>
      <c r="I7858" s="397"/>
      <c r="J7858" s="750" t="e">
        <f t="shared" si="106"/>
        <v>#DIV/0!</v>
      </c>
      <c r="K7858" s="398"/>
      <c r="L7858" s="398"/>
      <c r="M7858" s="682"/>
    </row>
    <row r="7859" spans="6:13" ht="13.5" hidden="1" thickBot="1" x14ac:dyDescent="0.25">
      <c r="F7859" s="494">
        <v>454</v>
      </c>
      <c r="G7859" s="495" t="s">
        <v>3803</v>
      </c>
      <c r="H7859" s="397"/>
      <c r="I7859" s="397"/>
      <c r="J7859" s="750" t="e">
        <f t="shared" si="106"/>
        <v>#DIV/0!</v>
      </c>
      <c r="K7859" s="398"/>
      <c r="L7859" s="398"/>
      <c r="M7859" s="682"/>
    </row>
    <row r="7860" spans="6:13" ht="13.5" hidden="1" thickBot="1" x14ac:dyDescent="0.25">
      <c r="F7860" s="494">
        <v>461</v>
      </c>
      <c r="G7860" s="495" t="s">
        <v>4169</v>
      </c>
      <c r="H7860" s="397"/>
      <c r="I7860" s="397"/>
      <c r="J7860" s="750" t="e">
        <f t="shared" si="106"/>
        <v>#DIV/0!</v>
      </c>
      <c r="K7860" s="398"/>
      <c r="L7860" s="398"/>
      <c r="M7860" s="682"/>
    </row>
    <row r="7861" spans="6:13" ht="26.25" hidden="1" thickBot="1" x14ac:dyDescent="0.25">
      <c r="F7861" s="494">
        <v>462</v>
      </c>
      <c r="G7861" s="495" t="s">
        <v>3806</v>
      </c>
      <c r="H7861" s="397"/>
      <c r="I7861" s="397"/>
      <c r="J7861" s="750" t="e">
        <f t="shared" si="106"/>
        <v>#DIV/0!</v>
      </c>
      <c r="K7861" s="398"/>
      <c r="L7861" s="398"/>
      <c r="M7861" s="682"/>
    </row>
    <row r="7862" spans="6:13" ht="13.5" hidden="1" thickBot="1" x14ac:dyDescent="0.25">
      <c r="F7862" s="494">
        <v>4631</v>
      </c>
      <c r="G7862" s="495" t="s">
        <v>3807</v>
      </c>
      <c r="H7862" s="397"/>
      <c r="I7862" s="397"/>
      <c r="J7862" s="750" t="e">
        <f t="shared" si="106"/>
        <v>#DIV/0!</v>
      </c>
      <c r="K7862" s="398"/>
      <c r="L7862" s="398"/>
      <c r="M7862" s="682"/>
    </row>
    <row r="7863" spans="6:13" ht="13.5" hidden="1" thickBot="1" x14ac:dyDescent="0.25">
      <c r="F7863" s="494">
        <v>4632</v>
      </c>
      <c r="G7863" s="495" t="s">
        <v>3808</v>
      </c>
      <c r="H7863" s="397"/>
      <c r="I7863" s="397"/>
      <c r="J7863" s="750" t="e">
        <f t="shared" si="106"/>
        <v>#DIV/0!</v>
      </c>
      <c r="K7863" s="398"/>
      <c r="L7863" s="398"/>
      <c r="M7863" s="682"/>
    </row>
    <row r="7864" spans="6:13" ht="26.25" hidden="1" thickBot="1" x14ac:dyDescent="0.25">
      <c r="F7864" s="494">
        <v>464</v>
      </c>
      <c r="G7864" s="495" t="s">
        <v>3809</v>
      </c>
      <c r="H7864" s="397"/>
      <c r="I7864" s="397"/>
      <c r="J7864" s="750" t="e">
        <f t="shared" si="106"/>
        <v>#DIV/0!</v>
      </c>
      <c r="K7864" s="398"/>
      <c r="L7864" s="398"/>
      <c r="M7864" s="682"/>
    </row>
    <row r="7865" spans="6:13" ht="13.5" hidden="1" thickBot="1" x14ac:dyDescent="0.25">
      <c r="F7865" s="494">
        <v>465</v>
      </c>
      <c r="G7865" s="495" t="s">
        <v>4170</v>
      </c>
      <c r="H7865" s="397"/>
      <c r="I7865" s="397"/>
      <c r="J7865" s="750" t="e">
        <f t="shared" si="106"/>
        <v>#DIV/0!</v>
      </c>
      <c r="K7865" s="398"/>
      <c r="L7865" s="398"/>
      <c r="M7865" s="682"/>
    </row>
    <row r="7866" spans="6:13" ht="13.5" hidden="1" thickBot="1" x14ac:dyDescent="0.25">
      <c r="F7866" s="494">
        <v>472</v>
      </c>
      <c r="G7866" s="495" t="s">
        <v>3813</v>
      </c>
      <c r="H7866" s="397"/>
      <c r="I7866" s="397"/>
      <c r="J7866" s="750" t="e">
        <f t="shared" si="106"/>
        <v>#DIV/0!</v>
      </c>
      <c r="K7866" s="398"/>
      <c r="L7866" s="398"/>
      <c r="M7866" s="682"/>
    </row>
    <row r="7867" spans="6:13" ht="13.5" hidden="1" thickBot="1" x14ac:dyDescent="0.25">
      <c r="F7867" s="494">
        <v>481</v>
      </c>
      <c r="G7867" s="495" t="s">
        <v>4189</v>
      </c>
      <c r="H7867" s="397"/>
      <c r="I7867" s="397"/>
      <c r="J7867" s="750" t="e">
        <f t="shared" si="106"/>
        <v>#DIV/0!</v>
      </c>
      <c r="K7867" s="398"/>
      <c r="L7867" s="398"/>
      <c r="M7867" s="682"/>
    </row>
    <row r="7868" spans="6:13" ht="13.5" hidden="1" thickBot="1" x14ac:dyDescent="0.25">
      <c r="F7868" s="494">
        <v>482</v>
      </c>
      <c r="G7868" s="495" t="s">
        <v>4190</v>
      </c>
      <c r="H7868" s="397"/>
      <c r="I7868" s="397"/>
      <c r="J7868" s="750" t="e">
        <f t="shared" si="106"/>
        <v>#DIV/0!</v>
      </c>
      <c r="K7868" s="398"/>
      <c r="L7868" s="398"/>
      <c r="M7868" s="682"/>
    </row>
    <row r="7869" spans="6:13" ht="13.5" hidden="1" thickBot="1" x14ac:dyDescent="0.25">
      <c r="F7869" s="494">
        <v>483</v>
      </c>
      <c r="G7869" s="497" t="s">
        <v>4191</v>
      </c>
      <c r="H7869" s="397"/>
      <c r="I7869" s="397"/>
      <c r="J7869" s="750" t="e">
        <f t="shared" si="106"/>
        <v>#DIV/0!</v>
      </c>
      <c r="K7869" s="398"/>
      <c r="L7869" s="398"/>
      <c r="M7869" s="682"/>
    </row>
    <row r="7870" spans="6:13" ht="39" hidden="1" thickBot="1" x14ac:dyDescent="0.25">
      <c r="F7870" s="494">
        <v>484</v>
      </c>
      <c r="G7870" s="495" t="s">
        <v>4192</v>
      </c>
      <c r="H7870" s="397"/>
      <c r="I7870" s="397"/>
      <c r="J7870" s="750" t="e">
        <f t="shared" si="106"/>
        <v>#DIV/0!</v>
      </c>
      <c r="K7870" s="398"/>
      <c r="L7870" s="398"/>
      <c r="M7870" s="682"/>
    </row>
    <row r="7871" spans="6:13" ht="26.25" hidden="1" thickBot="1" x14ac:dyDescent="0.25">
      <c r="F7871" s="494">
        <v>485</v>
      </c>
      <c r="G7871" s="495" t="s">
        <v>4193</v>
      </c>
      <c r="H7871" s="397"/>
      <c r="I7871" s="397"/>
      <c r="J7871" s="750" t="e">
        <f t="shared" si="106"/>
        <v>#DIV/0!</v>
      </c>
      <c r="K7871" s="398"/>
      <c r="L7871" s="398"/>
      <c r="M7871" s="682"/>
    </row>
    <row r="7872" spans="6:13" ht="26.25" hidden="1" thickBot="1" x14ac:dyDescent="0.25">
      <c r="F7872" s="494">
        <v>489</v>
      </c>
      <c r="G7872" s="495" t="s">
        <v>3821</v>
      </c>
      <c r="H7872" s="397"/>
      <c r="I7872" s="397"/>
      <c r="J7872" s="750" t="e">
        <f t="shared" si="106"/>
        <v>#DIV/0!</v>
      </c>
      <c r="K7872" s="398"/>
      <c r="L7872" s="398"/>
      <c r="M7872" s="682"/>
    </row>
    <row r="7873" spans="6:13" ht="26.25" hidden="1" thickBot="1" x14ac:dyDescent="0.25">
      <c r="F7873" s="494">
        <v>494</v>
      </c>
      <c r="G7873" s="495" t="s">
        <v>4171</v>
      </c>
      <c r="H7873" s="397"/>
      <c r="I7873" s="397"/>
      <c r="J7873" s="750" t="e">
        <f t="shared" si="106"/>
        <v>#DIV/0!</v>
      </c>
      <c r="K7873" s="398"/>
      <c r="L7873" s="398"/>
      <c r="M7873" s="682"/>
    </row>
    <row r="7874" spans="6:13" ht="26.25" hidden="1" thickBot="1" x14ac:dyDescent="0.25">
      <c r="F7874" s="494">
        <v>495</v>
      </c>
      <c r="G7874" s="495" t="s">
        <v>4172</v>
      </c>
      <c r="H7874" s="397"/>
      <c r="I7874" s="397"/>
      <c r="J7874" s="750" t="e">
        <f t="shared" si="106"/>
        <v>#DIV/0!</v>
      </c>
      <c r="K7874" s="398"/>
      <c r="L7874" s="398"/>
      <c r="M7874" s="682"/>
    </row>
    <row r="7875" spans="6:13" ht="39" hidden="1" thickBot="1" x14ac:dyDescent="0.25">
      <c r="F7875" s="494">
        <v>496</v>
      </c>
      <c r="G7875" s="495" t="s">
        <v>4173</v>
      </c>
      <c r="H7875" s="397"/>
      <c r="I7875" s="397"/>
      <c r="J7875" s="750" t="e">
        <f t="shared" si="106"/>
        <v>#DIV/0!</v>
      </c>
      <c r="K7875" s="398"/>
      <c r="L7875" s="398"/>
      <c r="M7875" s="682"/>
    </row>
    <row r="7876" spans="6:13" ht="26.25" hidden="1" thickBot="1" x14ac:dyDescent="0.25">
      <c r="F7876" s="494">
        <v>499</v>
      </c>
      <c r="G7876" s="495" t="s">
        <v>4174</v>
      </c>
      <c r="H7876" s="397"/>
      <c r="I7876" s="397"/>
      <c r="J7876" s="750" t="e">
        <f t="shared" si="106"/>
        <v>#DIV/0!</v>
      </c>
      <c r="K7876" s="398"/>
      <c r="L7876" s="398"/>
      <c r="M7876" s="682"/>
    </row>
    <row r="7877" spans="6:13" ht="13.5" hidden="1" thickBot="1" x14ac:dyDescent="0.25">
      <c r="F7877" s="494">
        <v>511</v>
      </c>
      <c r="G7877" s="497" t="s">
        <v>4194</v>
      </c>
      <c r="H7877" s="397"/>
      <c r="I7877" s="397"/>
      <c r="J7877" s="750" t="e">
        <f t="shared" si="106"/>
        <v>#DIV/0!</v>
      </c>
      <c r="K7877" s="398"/>
      <c r="L7877" s="398"/>
      <c r="M7877" s="682"/>
    </row>
    <row r="7878" spans="6:13" ht="13.5" hidden="1" thickBot="1" x14ac:dyDescent="0.25">
      <c r="F7878" s="494">
        <v>512</v>
      </c>
      <c r="G7878" s="497" t="s">
        <v>4195</v>
      </c>
      <c r="H7878" s="397"/>
      <c r="I7878" s="397"/>
      <c r="J7878" s="750" t="e">
        <f t="shared" si="106"/>
        <v>#DIV/0!</v>
      </c>
      <c r="K7878" s="398"/>
      <c r="L7878" s="398"/>
      <c r="M7878" s="682"/>
    </row>
    <row r="7879" spans="6:13" ht="13.5" hidden="1" thickBot="1" x14ac:dyDescent="0.25">
      <c r="F7879" s="494">
        <v>513</v>
      </c>
      <c r="G7879" s="497" t="s">
        <v>4196</v>
      </c>
      <c r="H7879" s="397"/>
      <c r="I7879" s="397"/>
      <c r="J7879" s="750" t="e">
        <f t="shared" si="106"/>
        <v>#DIV/0!</v>
      </c>
      <c r="K7879" s="398"/>
      <c r="L7879" s="398"/>
      <c r="M7879" s="682"/>
    </row>
    <row r="7880" spans="6:13" ht="13.5" hidden="1" thickBot="1" x14ac:dyDescent="0.25">
      <c r="F7880" s="494">
        <v>514</v>
      </c>
      <c r="G7880" s="495" t="s">
        <v>4197</v>
      </c>
      <c r="H7880" s="397"/>
      <c r="I7880" s="397"/>
      <c r="J7880" s="750" t="e">
        <f t="shared" si="106"/>
        <v>#DIV/0!</v>
      </c>
      <c r="K7880" s="398"/>
      <c r="L7880" s="398"/>
      <c r="M7880" s="682"/>
    </row>
    <row r="7881" spans="6:13" ht="13.5" hidden="1" thickBot="1" x14ac:dyDescent="0.25">
      <c r="F7881" s="494">
        <v>515</v>
      </c>
      <c r="G7881" s="495" t="s">
        <v>3832</v>
      </c>
      <c r="H7881" s="397"/>
      <c r="I7881" s="397"/>
      <c r="J7881" s="750" t="e">
        <f t="shared" si="106"/>
        <v>#DIV/0!</v>
      </c>
      <c r="K7881" s="398"/>
      <c r="L7881" s="398"/>
      <c r="M7881" s="682"/>
    </row>
    <row r="7882" spans="6:13" ht="13.5" hidden="1" thickBot="1" x14ac:dyDescent="0.25">
      <c r="F7882" s="494">
        <v>521</v>
      </c>
      <c r="G7882" s="495" t="s">
        <v>4198</v>
      </c>
      <c r="H7882" s="397"/>
      <c r="I7882" s="397"/>
      <c r="J7882" s="750" t="e">
        <f t="shared" si="106"/>
        <v>#DIV/0!</v>
      </c>
      <c r="K7882" s="398"/>
      <c r="L7882" s="398"/>
      <c r="M7882" s="682"/>
    </row>
    <row r="7883" spans="6:13" ht="13.5" hidden="1" thickBot="1" x14ac:dyDescent="0.25">
      <c r="F7883" s="494">
        <v>522</v>
      </c>
      <c r="G7883" s="495" t="s">
        <v>4199</v>
      </c>
      <c r="H7883" s="397"/>
      <c r="I7883" s="397"/>
      <c r="J7883" s="750" t="e">
        <f t="shared" si="106"/>
        <v>#DIV/0!</v>
      </c>
      <c r="K7883" s="398"/>
      <c r="L7883" s="398"/>
      <c r="M7883" s="682"/>
    </row>
    <row r="7884" spans="6:13" ht="13.5" hidden="1" thickBot="1" x14ac:dyDescent="0.25">
      <c r="F7884" s="494">
        <v>523</v>
      </c>
      <c r="G7884" s="495" t="s">
        <v>3837</v>
      </c>
      <c r="H7884" s="397"/>
      <c r="I7884" s="397"/>
      <c r="J7884" s="750" t="e">
        <f t="shared" si="106"/>
        <v>#DIV/0!</v>
      </c>
      <c r="K7884" s="398"/>
      <c r="L7884" s="398"/>
      <c r="M7884" s="682"/>
    </row>
    <row r="7885" spans="6:13" ht="13.5" hidden="1" thickBot="1" x14ac:dyDescent="0.25">
      <c r="F7885" s="494">
        <v>531</v>
      </c>
      <c r="G7885" s="496" t="s">
        <v>4175</v>
      </c>
      <c r="H7885" s="397"/>
      <c r="I7885" s="397"/>
      <c r="J7885" s="750" t="e">
        <f t="shared" si="106"/>
        <v>#DIV/0!</v>
      </c>
      <c r="K7885" s="398"/>
      <c r="L7885" s="398"/>
      <c r="M7885" s="682"/>
    </row>
    <row r="7886" spans="6:13" ht="13.5" hidden="1" thickBot="1" x14ac:dyDescent="0.25">
      <c r="F7886" s="494">
        <v>541</v>
      </c>
      <c r="G7886" s="495" t="s">
        <v>4200</v>
      </c>
      <c r="H7886" s="397"/>
      <c r="I7886" s="397"/>
      <c r="J7886" s="750" t="e">
        <f t="shared" ref="J7886:J7949" si="107">SUM(I7886/H7886)*100</f>
        <v>#DIV/0!</v>
      </c>
      <c r="K7886" s="398"/>
      <c r="L7886" s="398"/>
      <c r="M7886" s="682"/>
    </row>
    <row r="7887" spans="6:13" ht="13.5" hidden="1" thickBot="1" x14ac:dyDescent="0.25">
      <c r="F7887" s="494">
        <v>542</v>
      </c>
      <c r="G7887" s="495" t="s">
        <v>4201</v>
      </c>
      <c r="H7887" s="397"/>
      <c r="I7887" s="397"/>
      <c r="J7887" s="750" t="e">
        <f t="shared" si="107"/>
        <v>#DIV/0!</v>
      </c>
      <c r="K7887" s="398"/>
      <c r="L7887" s="398"/>
      <c r="M7887" s="682"/>
    </row>
    <row r="7888" spans="6:13" ht="13.5" hidden="1" thickBot="1" x14ac:dyDescent="0.25">
      <c r="F7888" s="494">
        <v>543</v>
      </c>
      <c r="G7888" s="495" t="s">
        <v>3842</v>
      </c>
      <c r="H7888" s="397"/>
      <c r="I7888" s="397"/>
      <c r="J7888" s="750" t="e">
        <f t="shared" si="107"/>
        <v>#DIV/0!</v>
      </c>
      <c r="K7888" s="398"/>
      <c r="L7888" s="398"/>
      <c r="M7888" s="682"/>
    </row>
    <row r="7889" spans="5:13" ht="39" hidden="1" thickBot="1" x14ac:dyDescent="0.25">
      <c r="F7889" s="494">
        <v>551</v>
      </c>
      <c r="G7889" s="495" t="s">
        <v>4176</v>
      </c>
      <c r="H7889" s="397"/>
      <c r="I7889" s="397"/>
      <c r="J7889" s="750" t="e">
        <f t="shared" si="107"/>
        <v>#DIV/0!</v>
      </c>
      <c r="K7889" s="398"/>
      <c r="L7889" s="398"/>
      <c r="M7889" s="682"/>
    </row>
    <row r="7890" spans="5:13" ht="13.5" hidden="1" thickBot="1" x14ac:dyDescent="0.25">
      <c r="F7890" s="498">
        <v>611</v>
      </c>
      <c r="G7890" s="499" t="s">
        <v>3848</v>
      </c>
      <c r="H7890" s="397"/>
      <c r="I7890" s="397"/>
      <c r="J7890" s="750" t="e">
        <f t="shared" si="107"/>
        <v>#DIV/0!</v>
      </c>
      <c r="K7890" s="398"/>
      <c r="L7890" s="398"/>
      <c r="M7890" s="682"/>
    </row>
    <row r="7891" spans="5:13" ht="13.5" hidden="1" thickBot="1" x14ac:dyDescent="0.25">
      <c r="F7891" s="498">
        <v>620</v>
      </c>
      <c r="G7891" s="499" t="s">
        <v>88</v>
      </c>
      <c r="H7891" s="397"/>
      <c r="I7891" s="397"/>
      <c r="J7891" s="750" t="e">
        <f t="shared" si="107"/>
        <v>#DIV/0!</v>
      </c>
      <c r="K7891" s="398"/>
      <c r="L7891" s="398"/>
      <c r="M7891" s="682"/>
    </row>
    <row r="7892" spans="5:13" x14ac:dyDescent="0.2">
      <c r="E7892" s="500"/>
      <c r="F7892" s="498"/>
      <c r="G7892" s="509" t="s">
        <v>4356</v>
      </c>
      <c r="H7892" s="400"/>
      <c r="I7892" s="400"/>
      <c r="J7892" s="750"/>
      <c r="K7892" s="401"/>
      <c r="L7892" s="402"/>
      <c r="M7892" s="682"/>
    </row>
    <row r="7893" spans="5:13" ht="13.5" thickBot="1" x14ac:dyDescent="0.25">
      <c r="E7893" s="502"/>
      <c r="F7893" s="503" t="s">
        <v>234</v>
      </c>
      <c r="G7893" s="504" t="s">
        <v>235</v>
      </c>
      <c r="H7893" s="403">
        <f>SUM(H7832:H7891)</f>
        <v>25200487</v>
      </c>
      <c r="I7893" s="403">
        <f>SUM(I7840:I7855)</f>
        <v>23252506.77</v>
      </c>
      <c r="J7893" s="750">
        <f t="shared" si="107"/>
        <v>92.270069106204176</v>
      </c>
      <c r="K7893" s="404"/>
      <c r="L7893" s="404"/>
      <c r="M7893" s="682"/>
    </row>
    <row r="7894" spans="5:13" ht="13.5" hidden="1" thickBot="1" x14ac:dyDescent="0.25">
      <c r="F7894" s="503" t="s">
        <v>236</v>
      </c>
      <c r="G7894" s="504" t="s">
        <v>237</v>
      </c>
      <c r="H7894" s="397"/>
      <c r="I7894" s="397"/>
      <c r="J7894" s="750" t="e">
        <f t="shared" si="107"/>
        <v>#DIV/0!</v>
      </c>
      <c r="K7894" s="398"/>
      <c r="L7894" s="404"/>
      <c r="M7894" s="682"/>
    </row>
    <row r="7895" spans="5:13" ht="13.5" hidden="1" thickBot="1" x14ac:dyDescent="0.25">
      <c r="F7895" s="503" t="s">
        <v>238</v>
      </c>
      <c r="G7895" s="504" t="s">
        <v>239</v>
      </c>
      <c r="H7895" s="397"/>
      <c r="I7895" s="397"/>
      <c r="J7895" s="750" t="e">
        <f t="shared" si="107"/>
        <v>#DIV/0!</v>
      </c>
      <c r="K7895" s="398"/>
      <c r="L7895" s="404"/>
      <c r="M7895" s="682"/>
    </row>
    <row r="7896" spans="5:13" ht="13.5" hidden="1" thickBot="1" x14ac:dyDescent="0.25">
      <c r="F7896" s="503" t="s">
        <v>240</v>
      </c>
      <c r="G7896" s="504" t="s">
        <v>241</v>
      </c>
      <c r="H7896" s="397"/>
      <c r="I7896" s="397"/>
      <c r="J7896" s="750" t="e">
        <f t="shared" si="107"/>
        <v>#DIV/0!</v>
      </c>
      <c r="K7896" s="398"/>
      <c r="L7896" s="404"/>
      <c r="M7896" s="682"/>
    </row>
    <row r="7897" spans="5:13" ht="13.5" hidden="1" thickBot="1" x14ac:dyDescent="0.25">
      <c r="F7897" s="503" t="s">
        <v>242</v>
      </c>
      <c r="G7897" s="504" t="s">
        <v>243</v>
      </c>
      <c r="H7897" s="397"/>
      <c r="I7897" s="397"/>
      <c r="J7897" s="750" t="e">
        <f t="shared" si="107"/>
        <v>#DIV/0!</v>
      </c>
      <c r="K7897" s="398"/>
      <c r="L7897" s="404"/>
      <c r="M7897" s="682"/>
    </row>
    <row r="7898" spans="5:13" ht="13.5" hidden="1" thickBot="1" x14ac:dyDescent="0.25">
      <c r="F7898" s="503" t="s">
        <v>244</v>
      </c>
      <c r="G7898" s="504" t="s">
        <v>245</v>
      </c>
      <c r="H7898" s="397"/>
      <c r="I7898" s="397"/>
      <c r="J7898" s="750" t="e">
        <f t="shared" si="107"/>
        <v>#DIV/0!</v>
      </c>
      <c r="K7898" s="398"/>
      <c r="L7898" s="404"/>
      <c r="M7898" s="682"/>
    </row>
    <row r="7899" spans="5:13" ht="13.5" hidden="1" thickBot="1" x14ac:dyDescent="0.25">
      <c r="F7899" s="503" t="s">
        <v>246</v>
      </c>
      <c r="G7899" s="504" t="s">
        <v>247</v>
      </c>
      <c r="H7899" s="397"/>
      <c r="I7899" s="397"/>
      <c r="J7899" s="750" t="e">
        <f t="shared" si="107"/>
        <v>#DIV/0!</v>
      </c>
      <c r="K7899" s="398"/>
      <c r="L7899" s="404"/>
      <c r="M7899" s="682"/>
    </row>
    <row r="7900" spans="5:13" ht="26.25" hidden="1" thickBot="1" x14ac:dyDescent="0.25">
      <c r="F7900" s="503" t="s">
        <v>248</v>
      </c>
      <c r="G7900" s="504" t="s">
        <v>249</v>
      </c>
      <c r="H7900" s="397"/>
      <c r="I7900" s="397"/>
      <c r="J7900" s="750" t="e">
        <f t="shared" si="107"/>
        <v>#DIV/0!</v>
      </c>
      <c r="K7900" s="398"/>
      <c r="L7900" s="404"/>
      <c r="M7900" s="682"/>
    </row>
    <row r="7901" spans="5:13" ht="13.5" hidden="1" thickBot="1" x14ac:dyDescent="0.25">
      <c r="F7901" s="503" t="s">
        <v>250</v>
      </c>
      <c r="G7901" s="504" t="s">
        <v>57</v>
      </c>
      <c r="H7901" s="397"/>
      <c r="I7901" s="397"/>
      <c r="J7901" s="750" t="e">
        <f t="shared" si="107"/>
        <v>#DIV/0!</v>
      </c>
      <c r="K7901" s="398"/>
      <c r="L7901" s="404"/>
      <c r="M7901" s="682"/>
    </row>
    <row r="7902" spans="5:13" ht="13.5" hidden="1" thickBot="1" x14ac:dyDescent="0.25">
      <c r="F7902" s="503" t="s">
        <v>251</v>
      </c>
      <c r="G7902" s="504" t="s">
        <v>252</v>
      </c>
      <c r="H7902" s="397"/>
      <c r="I7902" s="397"/>
      <c r="J7902" s="750" t="e">
        <f t="shared" si="107"/>
        <v>#DIV/0!</v>
      </c>
      <c r="K7902" s="398"/>
      <c r="L7902" s="404"/>
      <c r="M7902" s="682"/>
    </row>
    <row r="7903" spans="5:13" ht="13.5" hidden="1" thickBot="1" x14ac:dyDescent="0.25">
      <c r="F7903" s="503" t="s">
        <v>253</v>
      </c>
      <c r="G7903" s="504" t="s">
        <v>254</v>
      </c>
      <c r="H7903" s="397"/>
      <c r="I7903" s="397"/>
      <c r="J7903" s="750" t="e">
        <f t="shared" si="107"/>
        <v>#DIV/0!</v>
      </c>
      <c r="K7903" s="398"/>
      <c r="L7903" s="404"/>
      <c r="M7903" s="682"/>
    </row>
    <row r="7904" spans="5:13" ht="26.25" hidden="1" thickBot="1" x14ac:dyDescent="0.25">
      <c r="F7904" s="503" t="s">
        <v>255</v>
      </c>
      <c r="G7904" s="504" t="s">
        <v>256</v>
      </c>
      <c r="H7904" s="397"/>
      <c r="I7904" s="397"/>
      <c r="J7904" s="750" t="e">
        <f t="shared" si="107"/>
        <v>#DIV/0!</v>
      </c>
      <c r="K7904" s="398"/>
      <c r="L7904" s="404"/>
      <c r="M7904" s="682"/>
    </row>
    <row r="7905" spans="5:13" ht="26.25" hidden="1" thickBot="1" x14ac:dyDescent="0.25">
      <c r="F7905" s="503" t="s">
        <v>257</v>
      </c>
      <c r="G7905" s="504" t="s">
        <v>258</v>
      </c>
      <c r="H7905" s="397"/>
      <c r="I7905" s="397"/>
      <c r="J7905" s="750" t="e">
        <f t="shared" si="107"/>
        <v>#DIV/0!</v>
      </c>
      <c r="K7905" s="398"/>
      <c r="L7905" s="404"/>
      <c r="M7905" s="682"/>
    </row>
    <row r="7906" spans="5:13" ht="26.25" hidden="1" thickBot="1" x14ac:dyDescent="0.25">
      <c r="F7906" s="503" t="s">
        <v>259</v>
      </c>
      <c r="G7906" s="504" t="s">
        <v>260</v>
      </c>
      <c r="H7906" s="397"/>
      <c r="I7906" s="397"/>
      <c r="J7906" s="750" t="e">
        <f t="shared" si="107"/>
        <v>#DIV/0!</v>
      </c>
      <c r="K7906" s="398"/>
      <c r="L7906" s="404"/>
      <c r="M7906" s="682"/>
    </row>
    <row r="7907" spans="5:13" ht="26.25" hidden="1" thickBot="1" x14ac:dyDescent="0.25">
      <c r="F7907" s="503" t="s">
        <v>261</v>
      </c>
      <c r="G7907" s="504" t="s">
        <v>262</v>
      </c>
      <c r="H7907" s="397"/>
      <c r="I7907" s="397"/>
      <c r="J7907" s="750" t="e">
        <f t="shared" si="107"/>
        <v>#DIV/0!</v>
      </c>
      <c r="K7907" s="398"/>
      <c r="L7907" s="404"/>
      <c r="M7907" s="682"/>
    </row>
    <row r="7908" spans="5:13" ht="13.5" hidden="1" thickBot="1" x14ac:dyDescent="0.25">
      <c r="F7908" s="503" t="s">
        <v>263</v>
      </c>
      <c r="G7908" s="504" t="s">
        <v>264</v>
      </c>
      <c r="H7908" s="403"/>
      <c r="I7908" s="403"/>
      <c r="J7908" s="750" t="e">
        <f t="shared" si="107"/>
        <v>#DIV/0!</v>
      </c>
      <c r="K7908" s="404"/>
      <c r="L7908" s="404"/>
      <c r="M7908" s="682"/>
    </row>
    <row r="7909" spans="5:13" ht="13.5" thickBot="1" x14ac:dyDescent="0.25">
      <c r="G7909" s="505" t="s">
        <v>4357</v>
      </c>
      <c r="H7909" s="405">
        <f>SUM(H7893:H7908)</f>
        <v>25200487</v>
      </c>
      <c r="I7909" s="405">
        <f>SUM(I7893)</f>
        <v>23252506.77</v>
      </c>
      <c r="J7909" s="750">
        <f t="shared" si="107"/>
        <v>92.270069106204176</v>
      </c>
      <c r="K7909" s="406">
        <f>SUM(K7894:K7908)</f>
        <v>0</v>
      </c>
      <c r="L7909" s="406"/>
      <c r="M7909" s="682"/>
    </row>
    <row r="7910" spans="5:13" ht="15" customHeight="1" collapsed="1" x14ac:dyDescent="0.2">
      <c r="E7910" s="500"/>
      <c r="F7910" s="498"/>
      <c r="G7910" s="509" t="s">
        <v>4230</v>
      </c>
      <c r="H7910" s="400"/>
      <c r="I7910" s="400"/>
      <c r="J7910" s="750"/>
      <c r="K7910" s="401"/>
      <c r="L7910" s="402"/>
      <c r="M7910" s="682"/>
    </row>
    <row r="7911" spans="5:13" ht="13.5" thickBot="1" x14ac:dyDescent="0.25">
      <c r="E7911" s="502"/>
      <c r="F7911" s="503" t="s">
        <v>234</v>
      </c>
      <c r="G7911" s="504" t="s">
        <v>235</v>
      </c>
      <c r="H7911" s="403">
        <f>SUM(H7832:H7891)</f>
        <v>25200487</v>
      </c>
      <c r="I7911" s="403">
        <f>SUM(I7909)</f>
        <v>23252506.77</v>
      </c>
      <c r="J7911" s="750">
        <f t="shared" si="107"/>
        <v>92.270069106204176</v>
      </c>
      <c r="K7911" s="404"/>
      <c r="L7911" s="404"/>
      <c r="M7911" s="682"/>
    </row>
    <row r="7912" spans="5:13" ht="13.5" hidden="1" thickBot="1" x14ac:dyDescent="0.25">
      <c r="F7912" s="503" t="s">
        <v>236</v>
      </c>
      <c r="G7912" s="504" t="s">
        <v>237</v>
      </c>
      <c r="H7912" s="397"/>
      <c r="I7912" s="397"/>
      <c r="J7912" s="750" t="e">
        <f t="shared" si="107"/>
        <v>#DIV/0!</v>
      </c>
      <c r="K7912" s="398"/>
      <c r="L7912" s="404"/>
      <c r="M7912" s="682"/>
    </row>
    <row r="7913" spans="5:13" ht="13.5" hidden="1" thickBot="1" x14ac:dyDescent="0.25">
      <c r="F7913" s="503" t="s">
        <v>238</v>
      </c>
      <c r="G7913" s="504" t="s">
        <v>239</v>
      </c>
      <c r="H7913" s="397"/>
      <c r="I7913" s="397"/>
      <c r="J7913" s="750" t="e">
        <f t="shared" si="107"/>
        <v>#DIV/0!</v>
      </c>
      <c r="K7913" s="398"/>
      <c r="L7913" s="404"/>
      <c r="M7913" s="682"/>
    </row>
    <row r="7914" spans="5:13" ht="13.5" hidden="1" thickBot="1" x14ac:dyDescent="0.25">
      <c r="F7914" s="503" t="s">
        <v>240</v>
      </c>
      <c r="G7914" s="504" t="s">
        <v>241</v>
      </c>
      <c r="H7914" s="397"/>
      <c r="I7914" s="397"/>
      <c r="J7914" s="750" t="e">
        <f t="shared" si="107"/>
        <v>#DIV/0!</v>
      </c>
      <c r="K7914" s="398"/>
      <c r="L7914" s="404"/>
      <c r="M7914" s="682"/>
    </row>
    <row r="7915" spans="5:13" ht="13.5" hidden="1" thickBot="1" x14ac:dyDescent="0.25">
      <c r="F7915" s="503" t="s">
        <v>242</v>
      </c>
      <c r="G7915" s="504" t="s">
        <v>243</v>
      </c>
      <c r="H7915" s="397"/>
      <c r="I7915" s="397"/>
      <c r="J7915" s="750" t="e">
        <f t="shared" si="107"/>
        <v>#DIV/0!</v>
      </c>
      <c r="K7915" s="398"/>
      <c r="L7915" s="404"/>
      <c r="M7915" s="682"/>
    </row>
    <row r="7916" spans="5:13" ht="13.5" hidden="1" thickBot="1" x14ac:dyDescent="0.25">
      <c r="F7916" s="503" t="s">
        <v>244</v>
      </c>
      <c r="G7916" s="504" t="s">
        <v>245</v>
      </c>
      <c r="H7916" s="397"/>
      <c r="I7916" s="397"/>
      <c r="J7916" s="750" t="e">
        <f t="shared" si="107"/>
        <v>#DIV/0!</v>
      </c>
      <c r="K7916" s="398"/>
      <c r="L7916" s="404"/>
      <c r="M7916" s="682"/>
    </row>
    <row r="7917" spans="5:13" ht="13.5" hidden="1" thickBot="1" x14ac:dyDescent="0.25">
      <c r="F7917" s="503" t="s">
        <v>246</v>
      </c>
      <c r="G7917" s="504" t="s">
        <v>247</v>
      </c>
      <c r="H7917" s="397"/>
      <c r="I7917" s="397"/>
      <c r="J7917" s="750" t="e">
        <f t="shared" si="107"/>
        <v>#DIV/0!</v>
      </c>
      <c r="K7917" s="398"/>
      <c r="L7917" s="404"/>
      <c r="M7917" s="682"/>
    </row>
    <row r="7918" spans="5:13" ht="26.25" hidden="1" thickBot="1" x14ac:dyDescent="0.25">
      <c r="F7918" s="503" t="s">
        <v>248</v>
      </c>
      <c r="G7918" s="504" t="s">
        <v>249</v>
      </c>
      <c r="H7918" s="397"/>
      <c r="I7918" s="397"/>
      <c r="J7918" s="750" t="e">
        <f t="shared" si="107"/>
        <v>#DIV/0!</v>
      </c>
      <c r="K7918" s="398"/>
      <c r="L7918" s="404"/>
      <c r="M7918" s="682"/>
    </row>
    <row r="7919" spans="5:13" ht="13.5" hidden="1" thickBot="1" x14ac:dyDescent="0.25">
      <c r="F7919" s="503" t="s">
        <v>250</v>
      </c>
      <c r="G7919" s="504" t="s">
        <v>57</v>
      </c>
      <c r="H7919" s="397"/>
      <c r="I7919" s="397"/>
      <c r="J7919" s="750" t="e">
        <f t="shared" si="107"/>
        <v>#DIV/0!</v>
      </c>
      <c r="K7919" s="398"/>
      <c r="L7919" s="404"/>
      <c r="M7919" s="682"/>
    </row>
    <row r="7920" spans="5:13" ht="13.5" hidden="1" thickBot="1" x14ac:dyDescent="0.25">
      <c r="F7920" s="503" t="s">
        <v>251</v>
      </c>
      <c r="G7920" s="504" t="s">
        <v>252</v>
      </c>
      <c r="H7920" s="397"/>
      <c r="I7920" s="397"/>
      <c r="J7920" s="750" t="e">
        <f t="shared" si="107"/>
        <v>#DIV/0!</v>
      </c>
      <c r="K7920" s="398"/>
      <c r="L7920" s="404"/>
      <c r="M7920" s="682"/>
    </row>
    <row r="7921" spans="1:27" ht="13.5" hidden="1" thickBot="1" x14ac:dyDescent="0.25">
      <c r="F7921" s="503" t="s">
        <v>253</v>
      </c>
      <c r="G7921" s="504" t="s">
        <v>254</v>
      </c>
      <c r="H7921" s="397"/>
      <c r="I7921" s="397"/>
      <c r="J7921" s="750" t="e">
        <f t="shared" si="107"/>
        <v>#DIV/0!</v>
      </c>
      <c r="K7921" s="398"/>
      <c r="L7921" s="404"/>
      <c r="M7921" s="682"/>
    </row>
    <row r="7922" spans="1:27" ht="26.25" hidden="1" thickBot="1" x14ac:dyDescent="0.25">
      <c r="F7922" s="503" t="s">
        <v>255</v>
      </c>
      <c r="G7922" s="504" t="s">
        <v>256</v>
      </c>
      <c r="H7922" s="397"/>
      <c r="I7922" s="397"/>
      <c r="J7922" s="750" t="e">
        <f t="shared" si="107"/>
        <v>#DIV/0!</v>
      </c>
      <c r="K7922" s="398"/>
      <c r="L7922" s="404"/>
      <c r="M7922" s="682"/>
    </row>
    <row r="7923" spans="1:27" ht="26.25" hidden="1" thickBot="1" x14ac:dyDescent="0.25">
      <c r="F7923" s="503" t="s">
        <v>257</v>
      </c>
      <c r="G7923" s="504" t="s">
        <v>258</v>
      </c>
      <c r="H7923" s="397"/>
      <c r="I7923" s="397"/>
      <c r="J7923" s="750" t="e">
        <f t="shared" si="107"/>
        <v>#DIV/0!</v>
      </c>
      <c r="K7923" s="398"/>
      <c r="L7923" s="404"/>
      <c r="M7923" s="682"/>
    </row>
    <row r="7924" spans="1:27" ht="26.25" hidden="1" thickBot="1" x14ac:dyDescent="0.25">
      <c r="F7924" s="503" t="s">
        <v>259</v>
      </c>
      <c r="G7924" s="504" t="s">
        <v>260</v>
      </c>
      <c r="H7924" s="397"/>
      <c r="I7924" s="397"/>
      <c r="J7924" s="750" t="e">
        <f t="shared" si="107"/>
        <v>#DIV/0!</v>
      </c>
      <c r="K7924" s="398"/>
      <c r="L7924" s="404"/>
      <c r="M7924" s="682"/>
    </row>
    <row r="7925" spans="1:27" ht="26.25" hidden="1" thickBot="1" x14ac:dyDescent="0.25">
      <c r="F7925" s="503" t="s">
        <v>261</v>
      </c>
      <c r="G7925" s="504" t="s">
        <v>262</v>
      </c>
      <c r="H7925" s="397"/>
      <c r="I7925" s="397"/>
      <c r="J7925" s="750" t="e">
        <f t="shared" si="107"/>
        <v>#DIV/0!</v>
      </c>
      <c r="K7925" s="398"/>
      <c r="L7925" s="404"/>
      <c r="M7925" s="682"/>
    </row>
    <row r="7926" spans="1:27" ht="13.5" hidden="1" thickBot="1" x14ac:dyDescent="0.25">
      <c r="F7926" s="503" t="s">
        <v>263</v>
      </c>
      <c r="G7926" s="504" t="s">
        <v>264</v>
      </c>
      <c r="H7926" s="403"/>
      <c r="I7926" s="403"/>
      <c r="J7926" s="750" t="e">
        <f t="shared" si="107"/>
        <v>#DIV/0!</v>
      </c>
      <c r="K7926" s="404"/>
      <c r="L7926" s="404"/>
      <c r="M7926" s="682"/>
    </row>
    <row r="7927" spans="1:27" ht="13.5" collapsed="1" thickBot="1" x14ac:dyDescent="0.25">
      <c r="G7927" s="505" t="s">
        <v>4231</v>
      </c>
      <c r="H7927" s="405">
        <f>SUM(H7911:H7926)</f>
        <v>25200487</v>
      </c>
      <c r="I7927" s="405">
        <f>SUM(I7911)</f>
        <v>23252506.77</v>
      </c>
      <c r="J7927" s="750">
        <f t="shared" si="107"/>
        <v>92.270069106204176</v>
      </c>
      <c r="K7927" s="406">
        <f>SUM(K7912:K7926)</f>
        <v>0</v>
      </c>
      <c r="L7927" s="406"/>
      <c r="M7927" s="682"/>
    </row>
    <row r="7928" spans="1:27" s="530" customFormat="1" hidden="1" x14ac:dyDescent="0.2">
      <c r="A7928" s="526"/>
      <c r="B7928" s="527"/>
      <c r="C7928" s="622"/>
      <c r="F7928" s="626"/>
      <c r="G7928" s="570"/>
      <c r="H7928" s="425"/>
      <c r="I7928" s="425"/>
      <c r="J7928" s="750" t="e">
        <f t="shared" si="107"/>
        <v>#DIV/0!</v>
      </c>
      <c r="K7928" s="243"/>
      <c r="L7928" s="243"/>
      <c r="M7928" s="682"/>
      <c r="N7928" s="171"/>
      <c r="O7928" s="171"/>
      <c r="P7928" s="171"/>
      <c r="Q7928" s="171"/>
      <c r="R7928" s="171"/>
      <c r="S7928" s="171"/>
      <c r="T7928" s="171"/>
      <c r="U7928" s="171"/>
      <c r="V7928" s="171"/>
      <c r="W7928" s="171"/>
      <c r="X7928" s="171"/>
      <c r="Y7928" s="171"/>
      <c r="Z7928" s="171"/>
      <c r="AA7928" s="171"/>
    </row>
    <row r="7929" spans="1:27" hidden="1" x14ac:dyDescent="0.2">
      <c r="C7929" s="489" t="s">
        <v>5219</v>
      </c>
      <c r="D7929" s="490"/>
      <c r="G7929" s="491" t="s">
        <v>5220</v>
      </c>
      <c r="H7929" s="397"/>
      <c r="I7929" s="397"/>
      <c r="J7929" s="750" t="e">
        <f t="shared" si="107"/>
        <v>#DIV/0!</v>
      </c>
      <c r="K7929" s="398"/>
      <c r="L7929" s="398"/>
      <c r="M7929" s="682"/>
    </row>
    <row r="7930" spans="1:27" s="530" customFormat="1" hidden="1" x14ac:dyDescent="0.2">
      <c r="A7930" s="627"/>
      <c r="B7930" s="628"/>
      <c r="C7930" s="629"/>
      <c r="D7930" s="537">
        <v>421</v>
      </c>
      <c r="E7930" s="538"/>
      <c r="F7930" s="538"/>
      <c r="G7930" s="539" t="s">
        <v>138</v>
      </c>
      <c r="H7930" s="425"/>
      <c r="I7930" s="425"/>
      <c r="J7930" s="750" t="e">
        <f t="shared" si="107"/>
        <v>#DIV/0!</v>
      </c>
      <c r="K7930" s="243"/>
      <c r="L7930" s="243"/>
      <c r="M7930" s="682"/>
      <c r="N7930" s="171"/>
      <c r="O7930" s="171"/>
      <c r="P7930" s="171"/>
      <c r="Q7930" s="171"/>
      <c r="R7930" s="171"/>
      <c r="S7930" s="171"/>
      <c r="T7930" s="171"/>
      <c r="U7930" s="171"/>
      <c r="V7930" s="171"/>
      <c r="W7930" s="171"/>
      <c r="X7930" s="171"/>
      <c r="Y7930" s="171"/>
      <c r="Z7930" s="171"/>
      <c r="AA7930" s="171"/>
    </row>
    <row r="7931" spans="1:27" hidden="1" x14ac:dyDescent="0.2">
      <c r="F7931" s="494">
        <v>411</v>
      </c>
      <c r="G7931" s="495" t="s">
        <v>4167</v>
      </c>
      <c r="H7931" s="397"/>
      <c r="I7931" s="397"/>
      <c r="J7931" s="750" t="e">
        <f t="shared" si="107"/>
        <v>#DIV/0!</v>
      </c>
      <c r="K7931" s="398"/>
      <c r="L7931" s="398"/>
      <c r="M7931" s="682"/>
    </row>
    <row r="7932" spans="1:27" hidden="1" x14ac:dyDescent="0.2">
      <c r="F7932" s="494">
        <v>412</v>
      </c>
      <c r="G7932" s="496" t="s">
        <v>3764</v>
      </c>
      <c r="H7932" s="397"/>
      <c r="I7932" s="397"/>
      <c r="J7932" s="750" t="e">
        <f t="shared" si="107"/>
        <v>#DIV/0!</v>
      </c>
      <c r="K7932" s="398"/>
      <c r="L7932" s="398"/>
      <c r="M7932" s="682"/>
    </row>
    <row r="7933" spans="1:27" hidden="1" x14ac:dyDescent="0.2">
      <c r="F7933" s="494">
        <v>413</v>
      </c>
      <c r="G7933" s="495" t="s">
        <v>4168</v>
      </c>
      <c r="H7933" s="397"/>
      <c r="I7933" s="397"/>
      <c r="J7933" s="750" t="e">
        <f t="shared" si="107"/>
        <v>#DIV/0!</v>
      </c>
      <c r="K7933" s="398"/>
      <c r="L7933" s="398"/>
      <c r="M7933" s="682"/>
    </row>
    <row r="7934" spans="1:27" hidden="1" x14ac:dyDescent="0.2">
      <c r="F7934" s="494">
        <v>414</v>
      </c>
      <c r="G7934" s="495" t="s">
        <v>3767</v>
      </c>
      <c r="H7934" s="397"/>
      <c r="I7934" s="397"/>
      <c r="J7934" s="750" t="e">
        <f t="shared" si="107"/>
        <v>#DIV/0!</v>
      </c>
      <c r="K7934" s="398"/>
      <c r="L7934" s="398"/>
      <c r="M7934" s="682"/>
    </row>
    <row r="7935" spans="1:27" hidden="1" x14ac:dyDescent="0.2">
      <c r="F7935" s="494">
        <v>415</v>
      </c>
      <c r="G7935" s="495" t="s">
        <v>4177</v>
      </c>
      <c r="H7935" s="397"/>
      <c r="I7935" s="397"/>
      <c r="J7935" s="750" t="e">
        <f t="shared" si="107"/>
        <v>#DIV/0!</v>
      </c>
      <c r="K7935" s="398"/>
      <c r="L7935" s="398"/>
      <c r="M7935" s="682"/>
    </row>
    <row r="7936" spans="1:27" ht="25.5" hidden="1" x14ac:dyDescent="0.2">
      <c r="F7936" s="494">
        <v>416</v>
      </c>
      <c r="G7936" s="495" t="s">
        <v>4178</v>
      </c>
      <c r="H7936" s="397"/>
      <c r="I7936" s="397"/>
      <c r="J7936" s="750" t="e">
        <f t="shared" si="107"/>
        <v>#DIV/0!</v>
      </c>
      <c r="K7936" s="398"/>
      <c r="L7936" s="398"/>
      <c r="M7936" s="682"/>
    </row>
    <row r="7937" spans="6:13" hidden="1" x14ac:dyDescent="0.2">
      <c r="F7937" s="494">
        <v>417</v>
      </c>
      <c r="G7937" s="495" t="s">
        <v>4179</v>
      </c>
      <c r="H7937" s="397"/>
      <c r="I7937" s="397"/>
      <c r="J7937" s="750" t="e">
        <f t="shared" si="107"/>
        <v>#DIV/0!</v>
      </c>
      <c r="K7937" s="398"/>
      <c r="L7937" s="398"/>
      <c r="M7937" s="682"/>
    </row>
    <row r="7938" spans="6:13" hidden="1" x14ac:dyDescent="0.2">
      <c r="F7938" s="494">
        <v>418</v>
      </c>
      <c r="G7938" s="495" t="s">
        <v>3773</v>
      </c>
      <c r="H7938" s="397"/>
      <c r="I7938" s="397"/>
      <c r="J7938" s="750" t="e">
        <f t="shared" si="107"/>
        <v>#DIV/0!</v>
      </c>
      <c r="K7938" s="398"/>
      <c r="L7938" s="398"/>
      <c r="M7938" s="682"/>
    </row>
    <row r="7939" spans="6:13" hidden="1" x14ac:dyDescent="0.2">
      <c r="F7939" s="494">
        <v>421</v>
      </c>
      <c r="G7939" s="495" t="s">
        <v>3777</v>
      </c>
      <c r="H7939" s="397"/>
      <c r="I7939" s="397"/>
      <c r="J7939" s="750" t="e">
        <f t="shared" si="107"/>
        <v>#DIV/0!</v>
      </c>
      <c r="K7939" s="398"/>
      <c r="L7939" s="398"/>
      <c r="M7939" s="682"/>
    </row>
    <row r="7940" spans="6:13" hidden="1" x14ac:dyDescent="0.2">
      <c r="F7940" s="494">
        <v>422</v>
      </c>
      <c r="G7940" s="495" t="s">
        <v>3778</v>
      </c>
      <c r="H7940" s="397"/>
      <c r="I7940" s="397"/>
      <c r="J7940" s="750" t="e">
        <f t="shared" si="107"/>
        <v>#DIV/0!</v>
      </c>
      <c r="K7940" s="398"/>
      <c r="L7940" s="398"/>
      <c r="M7940" s="682"/>
    </row>
    <row r="7941" spans="6:13" hidden="1" x14ac:dyDescent="0.2">
      <c r="F7941" s="494">
        <v>423</v>
      </c>
      <c r="G7941" s="495" t="s">
        <v>3779</v>
      </c>
      <c r="H7941" s="397"/>
      <c r="I7941" s="397"/>
      <c r="J7941" s="750" t="e">
        <f t="shared" si="107"/>
        <v>#DIV/0!</v>
      </c>
      <c r="K7941" s="398"/>
      <c r="L7941" s="398"/>
      <c r="M7941" s="682"/>
    </row>
    <row r="7942" spans="6:13" hidden="1" x14ac:dyDescent="0.2">
      <c r="F7942" s="494">
        <v>424</v>
      </c>
      <c r="G7942" s="495" t="s">
        <v>3781</v>
      </c>
      <c r="H7942" s="397"/>
      <c r="I7942" s="397"/>
      <c r="J7942" s="750" t="e">
        <f t="shared" si="107"/>
        <v>#DIV/0!</v>
      </c>
      <c r="K7942" s="398"/>
      <c r="L7942" s="398"/>
      <c r="M7942" s="682"/>
    </row>
    <row r="7943" spans="6:13" hidden="1" x14ac:dyDescent="0.2">
      <c r="F7943" s="494">
        <v>425</v>
      </c>
      <c r="G7943" s="495" t="s">
        <v>4180</v>
      </c>
      <c r="H7943" s="397"/>
      <c r="I7943" s="397"/>
      <c r="J7943" s="750" t="e">
        <f t="shared" si="107"/>
        <v>#DIV/0!</v>
      </c>
      <c r="K7943" s="398"/>
      <c r="L7943" s="398"/>
      <c r="M7943" s="682"/>
    </row>
    <row r="7944" spans="6:13" hidden="1" x14ac:dyDescent="0.2">
      <c r="F7944" s="494">
        <v>426</v>
      </c>
      <c r="G7944" s="495" t="s">
        <v>3785</v>
      </c>
      <c r="H7944" s="397"/>
      <c r="I7944" s="397"/>
      <c r="J7944" s="750" t="e">
        <f t="shared" si="107"/>
        <v>#DIV/0!</v>
      </c>
      <c r="K7944" s="398"/>
      <c r="L7944" s="398"/>
      <c r="M7944" s="682"/>
    </row>
    <row r="7945" spans="6:13" hidden="1" x14ac:dyDescent="0.2">
      <c r="F7945" s="494">
        <v>431</v>
      </c>
      <c r="G7945" s="495" t="s">
        <v>4181</v>
      </c>
      <c r="H7945" s="397"/>
      <c r="I7945" s="397"/>
      <c r="J7945" s="750" t="e">
        <f t="shared" si="107"/>
        <v>#DIV/0!</v>
      </c>
      <c r="K7945" s="398"/>
      <c r="L7945" s="398"/>
      <c r="M7945" s="682"/>
    </row>
    <row r="7946" spans="6:13" hidden="1" x14ac:dyDescent="0.2">
      <c r="F7946" s="494">
        <v>432</v>
      </c>
      <c r="G7946" s="495" t="s">
        <v>4182</v>
      </c>
      <c r="H7946" s="397"/>
      <c r="I7946" s="397"/>
      <c r="J7946" s="750" t="e">
        <f t="shared" si="107"/>
        <v>#DIV/0!</v>
      </c>
      <c r="K7946" s="398"/>
      <c r="L7946" s="398"/>
      <c r="M7946" s="682"/>
    </row>
    <row r="7947" spans="6:13" hidden="1" x14ac:dyDescent="0.2">
      <c r="F7947" s="494">
        <v>433</v>
      </c>
      <c r="G7947" s="495" t="s">
        <v>4183</v>
      </c>
      <c r="H7947" s="397"/>
      <c r="I7947" s="397"/>
      <c r="J7947" s="750" t="e">
        <f t="shared" si="107"/>
        <v>#DIV/0!</v>
      </c>
      <c r="K7947" s="398"/>
      <c r="L7947" s="398"/>
      <c r="M7947" s="682"/>
    </row>
    <row r="7948" spans="6:13" hidden="1" x14ac:dyDescent="0.2">
      <c r="F7948" s="494">
        <v>434</v>
      </c>
      <c r="G7948" s="495" t="s">
        <v>4184</v>
      </c>
      <c r="H7948" s="397"/>
      <c r="I7948" s="397"/>
      <c r="J7948" s="750" t="e">
        <f t="shared" si="107"/>
        <v>#DIV/0!</v>
      </c>
      <c r="K7948" s="398"/>
      <c r="L7948" s="398"/>
      <c r="M7948" s="682"/>
    </row>
    <row r="7949" spans="6:13" hidden="1" x14ac:dyDescent="0.2">
      <c r="F7949" s="494">
        <v>435</v>
      </c>
      <c r="G7949" s="495" t="s">
        <v>3792</v>
      </c>
      <c r="H7949" s="397"/>
      <c r="I7949" s="397"/>
      <c r="J7949" s="750" t="e">
        <f t="shared" si="107"/>
        <v>#DIV/0!</v>
      </c>
      <c r="K7949" s="398"/>
      <c r="L7949" s="398"/>
      <c r="M7949" s="682"/>
    </row>
    <row r="7950" spans="6:13" hidden="1" x14ac:dyDescent="0.2">
      <c r="F7950" s="494">
        <v>441</v>
      </c>
      <c r="G7950" s="495" t="s">
        <v>4185</v>
      </c>
      <c r="H7950" s="397"/>
      <c r="I7950" s="397"/>
      <c r="J7950" s="750" t="e">
        <f t="shared" ref="J7950:J8013" si="108">SUM(I7950/H7950)*100</f>
        <v>#DIV/0!</v>
      </c>
      <c r="K7950" s="398"/>
      <c r="L7950" s="398"/>
      <c r="M7950" s="682"/>
    </row>
    <row r="7951" spans="6:13" hidden="1" x14ac:dyDescent="0.2">
      <c r="F7951" s="494">
        <v>442</v>
      </c>
      <c r="G7951" s="495" t="s">
        <v>4186</v>
      </c>
      <c r="H7951" s="397"/>
      <c r="I7951" s="397"/>
      <c r="J7951" s="750" t="e">
        <f t="shared" si="108"/>
        <v>#DIV/0!</v>
      </c>
      <c r="K7951" s="398"/>
      <c r="L7951" s="398"/>
      <c r="M7951" s="682"/>
    </row>
    <row r="7952" spans="6:13" hidden="1" x14ac:dyDescent="0.2">
      <c r="F7952" s="494">
        <v>443</v>
      </c>
      <c r="G7952" s="495" t="s">
        <v>3797</v>
      </c>
      <c r="H7952" s="397"/>
      <c r="I7952" s="397"/>
      <c r="J7952" s="750" t="e">
        <f t="shared" si="108"/>
        <v>#DIV/0!</v>
      </c>
      <c r="K7952" s="398"/>
      <c r="L7952" s="398"/>
      <c r="M7952" s="682"/>
    </row>
    <row r="7953" spans="6:13" hidden="1" x14ac:dyDescent="0.2">
      <c r="F7953" s="494">
        <v>444</v>
      </c>
      <c r="G7953" s="495" t="s">
        <v>3798</v>
      </c>
      <c r="H7953" s="397"/>
      <c r="I7953" s="397"/>
      <c r="J7953" s="750" t="e">
        <f t="shared" si="108"/>
        <v>#DIV/0!</v>
      </c>
      <c r="K7953" s="398"/>
      <c r="L7953" s="398"/>
      <c r="M7953" s="682"/>
    </row>
    <row r="7954" spans="6:13" ht="25.5" hidden="1" x14ac:dyDescent="0.2">
      <c r="F7954" s="494">
        <v>4511</v>
      </c>
      <c r="G7954" s="466" t="s">
        <v>1692</v>
      </c>
      <c r="H7954" s="397"/>
      <c r="I7954" s="397"/>
      <c r="J7954" s="750" t="e">
        <f t="shared" si="108"/>
        <v>#DIV/0!</v>
      </c>
      <c r="K7954" s="398"/>
      <c r="L7954" s="398"/>
      <c r="M7954" s="682"/>
    </row>
    <row r="7955" spans="6:13" ht="25.5" hidden="1" x14ac:dyDescent="0.2">
      <c r="F7955" s="494">
        <v>4512</v>
      </c>
      <c r="G7955" s="466" t="s">
        <v>1701</v>
      </c>
      <c r="H7955" s="397"/>
      <c r="I7955" s="397"/>
      <c r="J7955" s="750" t="e">
        <f t="shared" si="108"/>
        <v>#DIV/0!</v>
      </c>
      <c r="K7955" s="398"/>
      <c r="L7955" s="398"/>
      <c r="M7955" s="682"/>
    </row>
    <row r="7956" spans="6:13" ht="25.5" hidden="1" x14ac:dyDescent="0.2">
      <c r="F7956" s="494">
        <v>452</v>
      </c>
      <c r="G7956" s="495" t="s">
        <v>4187</v>
      </c>
      <c r="H7956" s="397"/>
      <c r="I7956" s="397"/>
      <c r="J7956" s="750" t="e">
        <f t="shared" si="108"/>
        <v>#DIV/0!</v>
      </c>
      <c r="K7956" s="398"/>
      <c r="L7956" s="398"/>
      <c r="M7956" s="682"/>
    </row>
    <row r="7957" spans="6:13" ht="25.5" hidden="1" x14ac:dyDescent="0.2">
      <c r="F7957" s="494">
        <v>453</v>
      </c>
      <c r="G7957" s="495" t="s">
        <v>4188</v>
      </c>
      <c r="H7957" s="397"/>
      <c r="I7957" s="397"/>
      <c r="J7957" s="750" t="e">
        <f t="shared" si="108"/>
        <v>#DIV/0!</v>
      </c>
      <c r="K7957" s="398"/>
      <c r="L7957" s="398"/>
      <c r="M7957" s="682"/>
    </row>
    <row r="7958" spans="6:13" hidden="1" x14ac:dyDescent="0.2">
      <c r="F7958" s="494">
        <v>454</v>
      </c>
      <c r="G7958" s="495" t="s">
        <v>3803</v>
      </c>
      <c r="H7958" s="397"/>
      <c r="I7958" s="397"/>
      <c r="J7958" s="750" t="e">
        <f t="shared" si="108"/>
        <v>#DIV/0!</v>
      </c>
      <c r="K7958" s="398"/>
      <c r="L7958" s="398"/>
      <c r="M7958" s="682"/>
    </row>
    <row r="7959" spans="6:13" hidden="1" x14ac:dyDescent="0.2">
      <c r="F7959" s="494">
        <v>461</v>
      </c>
      <c r="G7959" s="495" t="s">
        <v>4169</v>
      </c>
      <c r="H7959" s="397"/>
      <c r="I7959" s="397"/>
      <c r="J7959" s="750" t="e">
        <f t="shared" si="108"/>
        <v>#DIV/0!</v>
      </c>
      <c r="K7959" s="398"/>
      <c r="L7959" s="398"/>
      <c r="M7959" s="682"/>
    </row>
    <row r="7960" spans="6:13" ht="25.5" hidden="1" x14ac:dyDescent="0.2">
      <c r="F7960" s="494">
        <v>462</v>
      </c>
      <c r="G7960" s="495" t="s">
        <v>3806</v>
      </c>
      <c r="H7960" s="397"/>
      <c r="I7960" s="397"/>
      <c r="J7960" s="750" t="e">
        <f t="shared" si="108"/>
        <v>#DIV/0!</v>
      </c>
      <c r="K7960" s="398"/>
      <c r="L7960" s="398"/>
      <c r="M7960" s="682"/>
    </row>
    <row r="7961" spans="6:13" hidden="1" x14ac:dyDescent="0.2">
      <c r="F7961" s="494">
        <v>4631</v>
      </c>
      <c r="G7961" s="495" t="s">
        <v>3807</v>
      </c>
      <c r="H7961" s="397"/>
      <c r="I7961" s="397"/>
      <c r="J7961" s="750" t="e">
        <f t="shared" si="108"/>
        <v>#DIV/0!</v>
      </c>
      <c r="K7961" s="398"/>
      <c r="L7961" s="398"/>
      <c r="M7961" s="682"/>
    </row>
    <row r="7962" spans="6:13" hidden="1" x14ac:dyDescent="0.2">
      <c r="F7962" s="494">
        <v>4632</v>
      </c>
      <c r="G7962" s="495" t="s">
        <v>3808</v>
      </c>
      <c r="H7962" s="397"/>
      <c r="I7962" s="397"/>
      <c r="J7962" s="750" t="e">
        <f t="shared" si="108"/>
        <v>#DIV/0!</v>
      </c>
      <c r="K7962" s="398"/>
      <c r="L7962" s="398"/>
      <c r="M7962" s="682"/>
    </row>
    <row r="7963" spans="6:13" ht="25.5" hidden="1" x14ac:dyDescent="0.2">
      <c r="F7963" s="494">
        <v>464</v>
      </c>
      <c r="G7963" s="495" t="s">
        <v>3809</v>
      </c>
      <c r="H7963" s="397"/>
      <c r="I7963" s="397"/>
      <c r="J7963" s="750" t="e">
        <f t="shared" si="108"/>
        <v>#DIV/0!</v>
      </c>
      <c r="K7963" s="398"/>
      <c r="L7963" s="398"/>
      <c r="M7963" s="682"/>
    </row>
    <row r="7964" spans="6:13" hidden="1" x14ac:dyDescent="0.2">
      <c r="F7964" s="494">
        <v>465</v>
      </c>
      <c r="G7964" s="495" t="s">
        <v>4170</v>
      </c>
      <c r="H7964" s="397"/>
      <c r="I7964" s="397"/>
      <c r="J7964" s="750" t="e">
        <f t="shared" si="108"/>
        <v>#DIV/0!</v>
      </c>
      <c r="K7964" s="398"/>
      <c r="L7964" s="398"/>
      <c r="M7964" s="682"/>
    </row>
    <row r="7965" spans="6:13" hidden="1" x14ac:dyDescent="0.2">
      <c r="F7965" s="494">
        <v>472</v>
      </c>
      <c r="G7965" s="495" t="s">
        <v>3813</v>
      </c>
      <c r="H7965" s="397"/>
      <c r="I7965" s="397"/>
      <c r="J7965" s="750" t="e">
        <f t="shared" si="108"/>
        <v>#DIV/0!</v>
      </c>
      <c r="K7965" s="398"/>
      <c r="L7965" s="398"/>
      <c r="M7965" s="682"/>
    </row>
    <row r="7966" spans="6:13" hidden="1" x14ac:dyDescent="0.2">
      <c r="F7966" s="494">
        <v>481</v>
      </c>
      <c r="G7966" s="495" t="s">
        <v>4189</v>
      </c>
      <c r="H7966" s="397"/>
      <c r="I7966" s="397"/>
      <c r="J7966" s="750" t="e">
        <f t="shared" si="108"/>
        <v>#DIV/0!</v>
      </c>
      <c r="K7966" s="398"/>
      <c r="L7966" s="398"/>
      <c r="M7966" s="682"/>
    </row>
    <row r="7967" spans="6:13" hidden="1" x14ac:dyDescent="0.2">
      <c r="F7967" s="494">
        <v>482</v>
      </c>
      <c r="G7967" s="495" t="s">
        <v>4190</v>
      </c>
      <c r="H7967" s="397"/>
      <c r="I7967" s="397"/>
      <c r="J7967" s="750" t="e">
        <f t="shared" si="108"/>
        <v>#DIV/0!</v>
      </c>
      <c r="K7967" s="398"/>
      <c r="L7967" s="398"/>
      <c r="M7967" s="682"/>
    </row>
    <row r="7968" spans="6:13" hidden="1" x14ac:dyDescent="0.2">
      <c r="F7968" s="494">
        <v>483</v>
      </c>
      <c r="G7968" s="497" t="s">
        <v>4191</v>
      </c>
      <c r="H7968" s="397"/>
      <c r="I7968" s="397"/>
      <c r="J7968" s="750" t="e">
        <f t="shared" si="108"/>
        <v>#DIV/0!</v>
      </c>
      <c r="K7968" s="398"/>
      <c r="L7968" s="398"/>
      <c r="M7968" s="682"/>
    </row>
    <row r="7969" spans="6:13" ht="38.25" hidden="1" x14ac:dyDescent="0.2">
      <c r="F7969" s="494">
        <v>484</v>
      </c>
      <c r="G7969" s="495" t="s">
        <v>4192</v>
      </c>
      <c r="H7969" s="397"/>
      <c r="I7969" s="397"/>
      <c r="J7969" s="750" t="e">
        <f t="shared" si="108"/>
        <v>#DIV/0!</v>
      </c>
      <c r="K7969" s="398"/>
      <c r="L7969" s="398"/>
      <c r="M7969" s="682"/>
    </row>
    <row r="7970" spans="6:13" ht="25.5" hidden="1" x14ac:dyDescent="0.2">
      <c r="F7970" s="494">
        <v>485</v>
      </c>
      <c r="G7970" s="495" t="s">
        <v>4193</v>
      </c>
      <c r="H7970" s="397"/>
      <c r="I7970" s="397"/>
      <c r="J7970" s="750" t="e">
        <f t="shared" si="108"/>
        <v>#DIV/0!</v>
      </c>
      <c r="K7970" s="398"/>
      <c r="L7970" s="398"/>
      <c r="M7970" s="682"/>
    </row>
    <row r="7971" spans="6:13" ht="25.5" hidden="1" x14ac:dyDescent="0.2">
      <c r="F7971" s="494">
        <v>489</v>
      </c>
      <c r="G7971" s="495" t="s">
        <v>3821</v>
      </c>
      <c r="H7971" s="397"/>
      <c r="I7971" s="397"/>
      <c r="J7971" s="750" t="e">
        <f t="shared" si="108"/>
        <v>#DIV/0!</v>
      </c>
      <c r="K7971" s="398"/>
      <c r="L7971" s="398"/>
      <c r="M7971" s="682"/>
    </row>
    <row r="7972" spans="6:13" ht="25.5" hidden="1" x14ac:dyDescent="0.2">
      <c r="F7972" s="494">
        <v>494</v>
      </c>
      <c r="G7972" s="495" t="s">
        <v>4171</v>
      </c>
      <c r="H7972" s="397"/>
      <c r="I7972" s="397"/>
      <c r="J7972" s="750" t="e">
        <f t="shared" si="108"/>
        <v>#DIV/0!</v>
      </c>
      <c r="K7972" s="398"/>
      <c r="L7972" s="398"/>
      <c r="M7972" s="682"/>
    </row>
    <row r="7973" spans="6:13" ht="25.5" hidden="1" x14ac:dyDescent="0.2">
      <c r="F7973" s="494">
        <v>495</v>
      </c>
      <c r="G7973" s="495" t="s">
        <v>4172</v>
      </c>
      <c r="H7973" s="397"/>
      <c r="I7973" s="397"/>
      <c r="J7973" s="750" t="e">
        <f t="shared" si="108"/>
        <v>#DIV/0!</v>
      </c>
      <c r="K7973" s="398"/>
      <c r="L7973" s="398"/>
      <c r="M7973" s="682"/>
    </row>
    <row r="7974" spans="6:13" ht="38.25" hidden="1" x14ac:dyDescent="0.2">
      <c r="F7974" s="494">
        <v>496</v>
      </c>
      <c r="G7974" s="495" t="s">
        <v>4173</v>
      </c>
      <c r="H7974" s="397"/>
      <c r="I7974" s="397"/>
      <c r="J7974" s="750" t="e">
        <f t="shared" si="108"/>
        <v>#DIV/0!</v>
      </c>
      <c r="K7974" s="398"/>
      <c r="L7974" s="398"/>
      <c r="M7974" s="682"/>
    </row>
    <row r="7975" spans="6:13" ht="25.5" hidden="1" x14ac:dyDescent="0.2">
      <c r="F7975" s="494">
        <v>499</v>
      </c>
      <c r="G7975" s="495" t="s">
        <v>4174</v>
      </c>
      <c r="H7975" s="397"/>
      <c r="I7975" s="397"/>
      <c r="J7975" s="750" t="e">
        <f t="shared" si="108"/>
        <v>#DIV/0!</v>
      </c>
      <c r="K7975" s="398"/>
      <c r="L7975" s="398"/>
      <c r="M7975" s="682"/>
    </row>
    <row r="7976" spans="6:13" hidden="1" x14ac:dyDescent="0.2">
      <c r="F7976" s="494">
        <v>511</v>
      </c>
      <c r="G7976" s="497" t="s">
        <v>4194</v>
      </c>
      <c r="H7976" s="397"/>
      <c r="I7976" s="397"/>
      <c r="J7976" s="750" t="e">
        <f t="shared" si="108"/>
        <v>#DIV/0!</v>
      </c>
      <c r="K7976" s="398"/>
      <c r="L7976" s="398"/>
      <c r="M7976" s="682"/>
    </row>
    <row r="7977" spans="6:13" hidden="1" x14ac:dyDescent="0.2">
      <c r="F7977" s="494">
        <v>512</v>
      </c>
      <c r="G7977" s="497" t="s">
        <v>4195</v>
      </c>
      <c r="H7977" s="397"/>
      <c r="I7977" s="397"/>
      <c r="J7977" s="750" t="e">
        <f t="shared" si="108"/>
        <v>#DIV/0!</v>
      </c>
      <c r="K7977" s="398"/>
      <c r="L7977" s="398"/>
      <c r="M7977" s="682"/>
    </row>
    <row r="7978" spans="6:13" hidden="1" x14ac:dyDescent="0.2">
      <c r="F7978" s="494">
        <v>513</v>
      </c>
      <c r="G7978" s="497" t="s">
        <v>4196</v>
      </c>
      <c r="H7978" s="397"/>
      <c r="I7978" s="397"/>
      <c r="J7978" s="750" t="e">
        <f t="shared" si="108"/>
        <v>#DIV/0!</v>
      </c>
      <c r="K7978" s="398"/>
      <c r="L7978" s="398"/>
      <c r="M7978" s="682"/>
    </row>
    <row r="7979" spans="6:13" hidden="1" x14ac:dyDescent="0.2">
      <c r="F7979" s="494">
        <v>514</v>
      </c>
      <c r="G7979" s="495" t="s">
        <v>4197</v>
      </c>
      <c r="H7979" s="397"/>
      <c r="I7979" s="397"/>
      <c r="J7979" s="750" t="e">
        <f t="shared" si="108"/>
        <v>#DIV/0!</v>
      </c>
      <c r="K7979" s="398"/>
      <c r="L7979" s="398"/>
      <c r="M7979" s="682"/>
    </row>
    <row r="7980" spans="6:13" hidden="1" x14ac:dyDescent="0.2">
      <c r="F7980" s="494">
        <v>515</v>
      </c>
      <c r="G7980" s="495" t="s">
        <v>3832</v>
      </c>
      <c r="H7980" s="397"/>
      <c r="I7980" s="397"/>
      <c r="J7980" s="750" t="e">
        <f t="shared" si="108"/>
        <v>#DIV/0!</v>
      </c>
      <c r="K7980" s="398"/>
      <c r="L7980" s="398"/>
      <c r="M7980" s="682"/>
    </row>
    <row r="7981" spans="6:13" hidden="1" x14ac:dyDescent="0.2">
      <c r="F7981" s="494">
        <v>521</v>
      </c>
      <c r="G7981" s="495" t="s">
        <v>4198</v>
      </c>
      <c r="H7981" s="397"/>
      <c r="I7981" s="397"/>
      <c r="J7981" s="750" t="e">
        <f t="shared" si="108"/>
        <v>#DIV/0!</v>
      </c>
      <c r="K7981" s="398"/>
      <c r="L7981" s="398"/>
      <c r="M7981" s="682"/>
    </row>
    <row r="7982" spans="6:13" hidden="1" x14ac:dyDescent="0.2">
      <c r="F7982" s="494">
        <v>522</v>
      </c>
      <c r="G7982" s="495" t="s">
        <v>4199</v>
      </c>
      <c r="H7982" s="397"/>
      <c r="I7982" s="397"/>
      <c r="J7982" s="750" t="e">
        <f t="shared" si="108"/>
        <v>#DIV/0!</v>
      </c>
      <c r="K7982" s="398"/>
      <c r="L7982" s="398"/>
      <c r="M7982" s="682"/>
    </row>
    <row r="7983" spans="6:13" hidden="1" x14ac:dyDescent="0.2">
      <c r="F7983" s="494">
        <v>523</v>
      </c>
      <c r="G7983" s="495" t="s">
        <v>3837</v>
      </c>
      <c r="H7983" s="397"/>
      <c r="I7983" s="397"/>
      <c r="J7983" s="750" t="e">
        <f t="shared" si="108"/>
        <v>#DIV/0!</v>
      </c>
      <c r="K7983" s="398"/>
      <c r="L7983" s="398"/>
      <c r="M7983" s="682"/>
    </row>
    <row r="7984" spans="6:13" hidden="1" x14ac:dyDescent="0.2">
      <c r="F7984" s="494">
        <v>531</v>
      </c>
      <c r="G7984" s="496" t="s">
        <v>4175</v>
      </c>
      <c r="H7984" s="397"/>
      <c r="I7984" s="397"/>
      <c r="J7984" s="750" t="e">
        <f t="shared" si="108"/>
        <v>#DIV/0!</v>
      </c>
      <c r="K7984" s="398"/>
      <c r="L7984" s="398"/>
      <c r="M7984" s="682"/>
    </row>
    <row r="7985" spans="5:13" hidden="1" x14ac:dyDescent="0.2">
      <c r="F7985" s="494">
        <v>541</v>
      </c>
      <c r="G7985" s="495" t="s">
        <v>4200</v>
      </c>
      <c r="H7985" s="397"/>
      <c r="I7985" s="397"/>
      <c r="J7985" s="750" t="e">
        <f t="shared" si="108"/>
        <v>#DIV/0!</v>
      </c>
      <c r="K7985" s="398"/>
      <c r="L7985" s="398"/>
      <c r="M7985" s="682"/>
    </row>
    <row r="7986" spans="5:13" hidden="1" x14ac:dyDescent="0.2">
      <c r="F7986" s="494">
        <v>542</v>
      </c>
      <c r="G7986" s="495" t="s">
        <v>4201</v>
      </c>
      <c r="H7986" s="397"/>
      <c r="I7986" s="397"/>
      <c r="J7986" s="750" t="e">
        <f t="shared" si="108"/>
        <v>#DIV/0!</v>
      </c>
      <c r="K7986" s="398"/>
      <c r="L7986" s="398"/>
      <c r="M7986" s="682"/>
    </row>
    <row r="7987" spans="5:13" hidden="1" x14ac:dyDescent="0.2">
      <c r="F7987" s="494">
        <v>543</v>
      </c>
      <c r="G7987" s="495" t="s">
        <v>3842</v>
      </c>
      <c r="H7987" s="397"/>
      <c r="I7987" s="397"/>
      <c r="J7987" s="750" t="e">
        <f t="shared" si="108"/>
        <v>#DIV/0!</v>
      </c>
      <c r="K7987" s="398"/>
      <c r="L7987" s="398"/>
      <c r="M7987" s="682"/>
    </row>
    <row r="7988" spans="5:13" ht="38.25" hidden="1" x14ac:dyDescent="0.2">
      <c r="F7988" s="494">
        <v>551</v>
      </c>
      <c r="G7988" s="495" t="s">
        <v>4176</v>
      </c>
      <c r="H7988" s="397"/>
      <c r="I7988" s="397"/>
      <c r="J7988" s="750" t="e">
        <f t="shared" si="108"/>
        <v>#DIV/0!</v>
      </c>
      <c r="K7988" s="398"/>
      <c r="L7988" s="398"/>
      <c r="M7988" s="682"/>
    </row>
    <row r="7989" spans="5:13" hidden="1" x14ac:dyDescent="0.2">
      <c r="F7989" s="498">
        <v>611</v>
      </c>
      <c r="G7989" s="499" t="s">
        <v>3848</v>
      </c>
      <c r="H7989" s="397"/>
      <c r="I7989" s="397"/>
      <c r="J7989" s="750" t="e">
        <f t="shared" si="108"/>
        <v>#DIV/0!</v>
      </c>
      <c r="K7989" s="398"/>
      <c r="L7989" s="398"/>
      <c r="M7989" s="682"/>
    </row>
    <row r="7990" spans="5:13" hidden="1" x14ac:dyDescent="0.2">
      <c r="F7990" s="498">
        <v>620</v>
      </c>
      <c r="G7990" s="499" t="s">
        <v>88</v>
      </c>
      <c r="H7990" s="397"/>
      <c r="I7990" s="397"/>
      <c r="J7990" s="750" t="e">
        <f t="shared" si="108"/>
        <v>#DIV/0!</v>
      </c>
      <c r="K7990" s="398"/>
      <c r="L7990" s="398"/>
      <c r="M7990" s="682"/>
    </row>
    <row r="7991" spans="5:13" hidden="1" x14ac:dyDescent="0.2">
      <c r="E7991" s="500"/>
      <c r="F7991" s="498"/>
      <c r="G7991" s="509" t="s">
        <v>4356</v>
      </c>
      <c r="H7991" s="400"/>
      <c r="I7991" s="400"/>
      <c r="J7991" s="750" t="e">
        <f t="shared" si="108"/>
        <v>#DIV/0!</v>
      </c>
      <c r="K7991" s="401"/>
      <c r="L7991" s="402"/>
      <c r="M7991" s="682"/>
    </row>
    <row r="7992" spans="5:13" hidden="1" x14ac:dyDescent="0.2">
      <c r="E7992" s="502"/>
      <c r="F7992" s="503" t="s">
        <v>234</v>
      </c>
      <c r="G7992" s="504" t="s">
        <v>235</v>
      </c>
      <c r="H7992" s="403">
        <f>SUM(H7931:H7990)</f>
        <v>0</v>
      </c>
      <c r="I7992" s="403"/>
      <c r="J7992" s="750" t="e">
        <f t="shared" si="108"/>
        <v>#DIV/0!</v>
      </c>
      <c r="K7992" s="404"/>
      <c r="L7992" s="404"/>
      <c r="M7992" s="682"/>
    </row>
    <row r="7993" spans="5:13" hidden="1" x14ac:dyDescent="0.2">
      <c r="F7993" s="503" t="s">
        <v>236</v>
      </c>
      <c r="G7993" s="504" t="s">
        <v>237</v>
      </c>
      <c r="H7993" s="397"/>
      <c r="I7993" s="397"/>
      <c r="J7993" s="750" t="e">
        <f t="shared" si="108"/>
        <v>#DIV/0!</v>
      </c>
      <c r="K7993" s="398"/>
      <c r="L7993" s="404"/>
      <c r="M7993" s="682"/>
    </row>
    <row r="7994" spans="5:13" hidden="1" x14ac:dyDescent="0.2">
      <c r="F7994" s="503" t="s">
        <v>238</v>
      </c>
      <c r="G7994" s="504" t="s">
        <v>239</v>
      </c>
      <c r="H7994" s="397"/>
      <c r="I7994" s="397"/>
      <c r="J7994" s="750" t="e">
        <f t="shared" si="108"/>
        <v>#DIV/0!</v>
      </c>
      <c r="K7994" s="398"/>
      <c r="L7994" s="404"/>
      <c r="M7994" s="682"/>
    </row>
    <row r="7995" spans="5:13" hidden="1" x14ac:dyDescent="0.2">
      <c r="F7995" s="503" t="s">
        <v>240</v>
      </c>
      <c r="G7995" s="504" t="s">
        <v>241</v>
      </c>
      <c r="H7995" s="397"/>
      <c r="I7995" s="397"/>
      <c r="J7995" s="750" t="e">
        <f t="shared" si="108"/>
        <v>#DIV/0!</v>
      </c>
      <c r="K7995" s="398"/>
      <c r="L7995" s="404"/>
      <c r="M7995" s="682"/>
    </row>
    <row r="7996" spans="5:13" hidden="1" x14ac:dyDescent="0.2">
      <c r="F7996" s="503" t="s">
        <v>242</v>
      </c>
      <c r="G7996" s="504" t="s">
        <v>243</v>
      </c>
      <c r="H7996" s="397"/>
      <c r="I7996" s="397"/>
      <c r="J7996" s="750" t="e">
        <f t="shared" si="108"/>
        <v>#DIV/0!</v>
      </c>
      <c r="K7996" s="398"/>
      <c r="L7996" s="404"/>
      <c r="M7996" s="682"/>
    </row>
    <row r="7997" spans="5:13" hidden="1" x14ac:dyDescent="0.2">
      <c r="F7997" s="503" t="s">
        <v>244</v>
      </c>
      <c r="G7997" s="504" t="s">
        <v>245</v>
      </c>
      <c r="H7997" s="397"/>
      <c r="I7997" s="397"/>
      <c r="J7997" s="750" t="e">
        <f t="shared" si="108"/>
        <v>#DIV/0!</v>
      </c>
      <c r="K7997" s="398"/>
      <c r="L7997" s="404"/>
      <c r="M7997" s="682"/>
    </row>
    <row r="7998" spans="5:13" hidden="1" x14ac:dyDescent="0.2">
      <c r="F7998" s="503" t="s">
        <v>246</v>
      </c>
      <c r="G7998" s="504" t="s">
        <v>247</v>
      </c>
      <c r="H7998" s="397"/>
      <c r="I7998" s="397"/>
      <c r="J7998" s="750" t="e">
        <f t="shared" si="108"/>
        <v>#DIV/0!</v>
      </c>
      <c r="K7998" s="398"/>
      <c r="L7998" s="404"/>
      <c r="M7998" s="682"/>
    </row>
    <row r="7999" spans="5:13" ht="25.5" hidden="1" x14ac:dyDescent="0.2">
      <c r="F7999" s="503" t="s">
        <v>248</v>
      </c>
      <c r="G7999" s="504" t="s">
        <v>249</v>
      </c>
      <c r="H7999" s="397"/>
      <c r="I7999" s="397"/>
      <c r="J7999" s="750" t="e">
        <f t="shared" si="108"/>
        <v>#DIV/0!</v>
      </c>
      <c r="K7999" s="398"/>
      <c r="L7999" s="404"/>
      <c r="M7999" s="682"/>
    </row>
    <row r="8000" spans="5:13" hidden="1" x14ac:dyDescent="0.2">
      <c r="F8000" s="503" t="s">
        <v>250</v>
      </c>
      <c r="G8000" s="504" t="s">
        <v>57</v>
      </c>
      <c r="H8000" s="397"/>
      <c r="I8000" s="397"/>
      <c r="J8000" s="750" t="e">
        <f t="shared" si="108"/>
        <v>#DIV/0!</v>
      </c>
      <c r="K8000" s="398"/>
      <c r="L8000" s="404"/>
      <c r="M8000" s="682"/>
    </row>
    <row r="8001" spans="5:13" hidden="1" x14ac:dyDescent="0.2">
      <c r="F8001" s="503" t="s">
        <v>251</v>
      </c>
      <c r="G8001" s="504" t="s">
        <v>252</v>
      </c>
      <c r="H8001" s="397"/>
      <c r="I8001" s="397"/>
      <c r="J8001" s="750" t="e">
        <f t="shared" si="108"/>
        <v>#DIV/0!</v>
      </c>
      <c r="K8001" s="398"/>
      <c r="L8001" s="404"/>
      <c r="M8001" s="682"/>
    </row>
    <row r="8002" spans="5:13" hidden="1" x14ac:dyDescent="0.2">
      <c r="F8002" s="503" t="s">
        <v>253</v>
      </c>
      <c r="G8002" s="504" t="s">
        <v>254</v>
      </c>
      <c r="H8002" s="397"/>
      <c r="I8002" s="397"/>
      <c r="J8002" s="750" t="e">
        <f t="shared" si="108"/>
        <v>#DIV/0!</v>
      </c>
      <c r="K8002" s="398"/>
      <c r="L8002" s="404"/>
      <c r="M8002" s="682"/>
    </row>
    <row r="8003" spans="5:13" ht="25.5" hidden="1" x14ac:dyDescent="0.2">
      <c r="F8003" s="503" t="s">
        <v>255</v>
      </c>
      <c r="G8003" s="504" t="s">
        <v>256</v>
      </c>
      <c r="H8003" s="397"/>
      <c r="I8003" s="397"/>
      <c r="J8003" s="750" t="e">
        <f t="shared" si="108"/>
        <v>#DIV/0!</v>
      </c>
      <c r="K8003" s="398"/>
      <c r="L8003" s="404"/>
      <c r="M8003" s="682"/>
    </row>
    <row r="8004" spans="5:13" ht="25.5" hidden="1" x14ac:dyDescent="0.2">
      <c r="F8004" s="503" t="s">
        <v>257</v>
      </c>
      <c r="G8004" s="504" t="s">
        <v>258</v>
      </c>
      <c r="H8004" s="397"/>
      <c r="I8004" s="397"/>
      <c r="J8004" s="750" t="e">
        <f t="shared" si="108"/>
        <v>#DIV/0!</v>
      </c>
      <c r="K8004" s="398"/>
      <c r="L8004" s="404"/>
      <c r="M8004" s="682"/>
    </row>
    <row r="8005" spans="5:13" ht="25.5" hidden="1" x14ac:dyDescent="0.2">
      <c r="F8005" s="503" t="s">
        <v>259</v>
      </c>
      <c r="G8005" s="504" t="s">
        <v>260</v>
      </c>
      <c r="H8005" s="397"/>
      <c r="I8005" s="397"/>
      <c r="J8005" s="750" t="e">
        <f t="shared" si="108"/>
        <v>#DIV/0!</v>
      </c>
      <c r="K8005" s="398"/>
      <c r="L8005" s="404"/>
      <c r="M8005" s="682"/>
    </row>
    <row r="8006" spans="5:13" ht="25.5" hidden="1" x14ac:dyDescent="0.2">
      <c r="F8006" s="503" t="s">
        <v>261</v>
      </c>
      <c r="G8006" s="504" t="s">
        <v>262</v>
      </c>
      <c r="H8006" s="397"/>
      <c r="I8006" s="397"/>
      <c r="J8006" s="750" t="e">
        <f t="shared" si="108"/>
        <v>#DIV/0!</v>
      </c>
      <c r="K8006" s="398"/>
      <c r="L8006" s="404"/>
      <c r="M8006" s="682"/>
    </row>
    <row r="8007" spans="5:13" hidden="1" x14ac:dyDescent="0.2">
      <c r="F8007" s="503" t="s">
        <v>263</v>
      </c>
      <c r="G8007" s="504" t="s">
        <v>264</v>
      </c>
      <c r="H8007" s="403"/>
      <c r="I8007" s="403"/>
      <c r="J8007" s="750" t="e">
        <f t="shared" si="108"/>
        <v>#DIV/0!</v>
      </c>
      <c r="K8007" s="404"/>
      <c r="L8007" s="404"/>
      <c r="M8007" s="682"/>
    </row>
    <row r="8008" spans="5:13" ht="13.5" hidden="1" thickBot="1" x14ac:dyDescent="0.25">
      <c r="G8008" s="505" t="s">
        <v>4357</v>
      </c>
      <c r="H8008" s="405">
        <f>SUM(H7992:H8007)</f>
        <v>0</v>
      </c>
      <c r="I8008" s="405"/>
      <c r="J8008" s="750" t="e">
        <f t="shared" si="108"/>
        <v>#DIV/0!</v>
      </c>
      <c r="K8008" s="406">
        <f>SUM(K7993:K8007)</f>
        <v>0</v>
      </c>
      <c r="L8008" s="406"/>
      <c r="M8008" s="682"/>
    </row>
    <row r="8009" spans="5:13" ht="18.75" hidden="1" customHeight="1" collapsed="1" x14ac:dyDescent="0.2">
      <c r="E8009" s="500"/>
      <c r="F8009" s="498"/>
      <c r="G8009" s="506" t="s">
        <v>5221</v>
      </c>
      <c r="H8009" s="407"/>
      <c r="I8009" s="408"/>
      <c r="J8009" s="750" t="e">
        <f t="shared" si="108"/>
        <v>#DIV/0!</v>
      </c>
      <c r="K8009" s="409"/>
      <c r="L8009" s="410"/>
      <c r="M8009" s="682"/>
    </row>
    <row r="8010" spans="5:13" hidden="1" x14ac:dyDescent="0.2">
      <c r="E8010" s="502"/>
      <c r="F8010" s="503" t="s">
        <v>234</v>
      </c>
      <c r="G8010" s="504" t="s">
        <v>235</v>
      </c>
      <c r="H8010" s="403">
        <f>SUM(H7931:H7990)</f>
        <v>0</v>
      </c>
      <c r="I8010" s="403"/>
      <c r="J8010" s="750" t="e">
        <f t="shared" si="108"/>
        <v>#DIV/0!</v>
      </c>
      <c r="K8010" s="404"/>
      <c r="L8010" s="404"/>
      <c r="M8010" s="682"/>
    </row>
    <row r="8011" spans="5:13" hidden="1" x14ac:dyDescent="0.2">
      <c r="F8011" s="503" t="s">
        <v>236</v>
      </c>
      <c r="G8011" s="504" t="s">
        <v>237</v>
      </c>
      <c r="H8011" s="397"/>
      <c r="I8011" s="397"/>
      <c r="J8011" s="750" t="e">
        <f t="shared" si="108"/>
        <v>#DIV/0!</v>
      </c>
      <c r="K8011" s="398"/>
      <c r="L8011" s="404"/>
      <c r="M8011" s="682"/>
    </row>
    <row r="8012" spans="5:13" hidden="1" x14ac:dyDescent="0.2">
      <c r="F8012" s="503" t="s">
        <v>238</v>
      </c>
      <c r="G8012" s="504" t="s">
        <v>239</v>
      </c>
      <c r="H8012" s="397"/>
      <c r="I8012" s="397"/>
      <c r="J8012" s="750" t="e">
        <f t="shared" si="108"/>
        <v>#DIV/0!</v>
      </c>
      <c r="K8012" s="398"/>
      <c r="L8012" s="404"/>
      <c r="M8012" s="682"/>
    </row>
    <row r="8013" spans="5:13" hidden="1" x14ac:dyDescent="0.2">
      <c r="F8013" s="503" t="s">
        <v>240</v>
      </c>
      <c r="G8013" s="504" t="s">
        <v>241</v>
      </c>
      <c r="H8013" s="397"/>
      <c r="I8013" s="397"/>
      <c r="J8013" s="750" t="e">
        <f t="shared" si="108"/>
        <v>#DIV/0!</v>
      </c>
      <c r="K8013" s="398"/>
      <c r="L8013" s="404"/>
      <c r="M8013" s="682"/>
    </row>
    <row r="8014" spans="5:13" hidden="1" x14ac:dyDescent="0.2">
      <c r="F8014" s="503" t="s">
        <v>242</v>
      </c>
      <c r="G8014" s="504" t="s">
        <v>243</v>
      </c>
      <c r="H8014" s="397"/>
      <c r="I8014" s="397"/>
      <c r="J8014" s="750" t="e">
        <f t="shared" ref="J8014:J8077" si="109">SUM(I8014/H8014)*100</f>
        <v>#DIV/0!</v>
      </c>
      <c r="K8014" s="398"/>
      <c r="L8014" s="404"/>
      <c r="M8014" s="682"/>
    </row>
    <row r="8015" spans="5:13" hidden="1" x14ac:dyDescent="0.2">
      <c r="F8015" s="503" t="s">
        <v>244</v>
      </c>
      <c r="G8015" s="504" t="s">
        <v>245</v>
      </c>
      <c r="H8015" s="397"/>
      <c r="I8015" s="397"/>
      <c r="J8015" s="750" t="e">
        <f t="shared" si="109"/>
        <v>#DIV/0!</v>
      </c>
      <c r="K8015" s="398"/>
      <c r="L8015" s="404"/>
      <c r="M8015" s="682"/>
    </row>
    <row r="8016" spans="5:13" hidden="1" x14ac:dyDescent="0.2">
      <c r="F8016" s="503" t="s">
        <v>246</v>
      </c>
      <c r="G8016" s="504" t="s">
        <v>247</v>
      </c>
      <c r="H8016" s="397"/>
      <c r="I8016" s="397"/>
      <c r="J8016" s="750" t="e">
        <f t="shared" si="109"/>
        <v>#DIV/0!</v>
      </c>
      <c r="K8016" s="398"/>
      <c r="L8016" s="404"/>
      <c r="M8016" s="682"/>
    </row>
    <row r="8017" spans="1:27" ht="25.5" hidden="1" x14ac:dyDescent="0.2">
      <c r="F8017" s="503" t="s">
        <v>248</v>
      </c>
      <c r="G8017" s="504" t="s">
        <v>249</v>
      </c>
      <c r="H8017" s="397"/>
      <c r="I8017" s="397"/>
      <c r="J8017" s="750" t="e">
        <f t="shared" si="109"/>
        <v>#DIV/0!</v>
      </c>
      <c r="K8017" s="398"/>
      <c r="L8017" s="404"/>
      <c r="M8017" s="682"/>
    </row>
    <row r="8018" spans="1:27" hidden="1" x14ac:dyDescent="0.2">
      <c r="F8018" s="503" t="s">
        <v>250</v>
      </c>
      <c r="G8018" s="504" t="s">
        <v>57</v>
      </c>
      <c r="H8018" s="397"/>
      <c r="I8018" s="397"/>
      <c r="J8018" s="750" t="e">
        <f t="shared" si="109"/>
        <v>#DIV/0!</v>
      </c>
      <c r="K8018" s="398"/>
      <c r="L8018" s="404"/>
      <c r="M8018" s="682"/>
    </row>
    <row r="8019" spans="1:27" hidden="1" x14ac:dyDescent="0.2">
      <c r="F8019" s="503" t="s">
        <v>251</v>
      </c>
      <c r="G8019" s="504" t="s">
        <v>252</v>
      </c>
      <c r="H8019" s="397"/>
      <c r="I8019" s="397"/>
      <c r="J8019" s="750" t="e">
        <f t="shared" si="109"/>
        <v>#DIV/0!</v>
      </c>
      <c r="K8019" s="398"/>
      <c r="L8019" s="404"/>
      <c r="M8019" s="682"/>
    </row>
    <row r="8020" spans="1:27" hidden="1" x14ac:dyDescent="0.2">
      <c r="F8020" s="503" t="s">
        <v>253</v>
      </c>
      <c r="G8020" s="504" t="s">
        <v>254</v>
      </c>
      <c r="H8020" s="397"/>
      <c r="I8020" s="397"/>
      <c r="J8020" s="750" t="e">
        <f t="shared" si="109"/>
        <v>#DIV/0!</v>
      </c>
      <c r="K8020" s="398"/>
      <c r="L8020" s="404"/>
      <c r="M8020" s="682"/>
    </row>
    <row r="8021" spans="1:27" ht="25.5" hidden="1" x14ac:dyDescent="0.2">
      <c r="F8021" s="503" t="s">
        <v>255</v>
      </c>
      <c r="G8021" s="504" t="s">
        <v>256</v>
      </c>
      <c r="H8021" s="397"/>
      <c r="I8021" s="397"/>
      <c r="J8021" s="750" t="e">
        <f t="shared" si="109"/>
        <v>#DIV/0!</v>
      </c>
      <c r="K8021" s="398"/>
      <c r="L8021" s="404"/>
      <c r="M8021" s="682"/>
    </row>
    <row r="8022" spans="1:27" ht="25.5" hidden="1" x14ac:dyDescent="0.2">
      <c r="F8022" s="503" t="s">
        <v>257</v>
      </c>
      <c r="G8022" s="504" t="s">
        <v>258</v>
      </c>
      <c r="H8022" s="397"/>
      <c r="I8022" s="397"/>
      <c r="J8022" s="750" t="e">
        <f t="shared" si="109"/>
        <v>#DIV/0!</v>
      </c>
      <c r="K8022" s="398"/>
      <c r="L8022" s="404"/>
      <c r="M8022" s="682"/>
    </row>
    <row r="8023" spans="1:27" ht="25.5" hidden="1" x14ac:dyDescent="0.2">
      <c r="F8023" s="503" t="s">
        <v>259</v>
      </c>
      <c r="G8023" s="504" t="s">
        <v>260</v>
      </c>
      <c r="H8023" s="397"/>
      <c r="I8023" s="397"/>
      <c r="J8023" s="750" t="e">
        <f t="shared" si="109"/>
        <v>#DIV/0!</v>
      </c>
      <c r="K8023" s="398"/>
      <c r="L8023" s="404"/>
      <c r="M8023" s="682"/>
    </row>
    <row r="8024" spans="1:27" ht="25.5" hidden="1" x14ac:dyDescent="0.2">
      <c r="F8024" s="503" t="s">
        <v>261</v>
      </c>
      <c r="G8024" s="504" t="s">
        <v>262</v>
      </c>
      <c r="H8024" s="397"/>
      <c r="I8024" s="397"/>
      <c r="J8024" s="750" t="e">
        <f t="shared" si="109"/>
        <v>#DIV/0!</v>
      </c>
      <c r="K8024" s="398"/>
      <c r="L8024" s="404"/>
      <c r="M8024" s="682"/>
    </row>
    <row r="8025" spans="1:27" hidden="1" x14ac:dyDescent="0.2">
      <c r="F8025" s="503" t="s">
        <v>263</v>
      </c>
      <c r="G8025" s="504" t="s">
        <v>264</v>
      </c>
      <c r="H8025" s="403"/>
      <c r="I8025" s="403"/>
      <c r="J8025" s="750" t="e">
        <f t="shared" si="109"/>
        <v>#DIV/0!</v>
      </c>
      <c r="K8025" s="404"/>
      <c r="L8025" s="404"/>
      <c r="M8025" s="682"/>
    </row>
    <row r="8026" spans="1:27" ht="13.5" hidden="1" collapsed="1" thickBot="1" x14ac:dyDescent="0.25">
      <c r="G8026" s="505" t="s">
        <v>5222</v>
      </c>
      <c r="H8026" s="405">
        <f>SUM(H8010:H8025)</f>
        <v>0</v>
      </c>
      <c r="I8026" s="405"/>
      <c r="J8026" s="750" t="e">
        <f t="shared" si="109"/>
        <v>#DIV/0!</v>
      </c>
      <c r="K8026" s="406">
        <f>SUM(K8011:K8025)</f>
        <v>0</v>
      </c>
      <c r="L8026" s="406"/>
      <c r="M8026" s="682"/>
    </row>
    <row r="8027" spans="1:27" s="530" customFormat="1" hidden="1" x14ac:dyDescent="0.2">
      <c r="A8027" s="526"/>
      <c r="B8027" s="527"/>
      <c r="C8027" s="534"/>
      <c r="D8027" s="535"/>
      <c r="E8027" s="535"/>
      <c r="F8027" s="167"/>
      <c r="G8027" s="513"/>
      <c r="H8027" s="422"/>
      <c r="I8027" s="422"/>
      <c r="J8027" s="750" t="e">
        <f t="shared" si="109"/>
        <v>#DIV/0!</v>
      </c>
      <c r="K8027" s="423"/>
      <c r="L8027" s="424"/>
      <c r="M8027" s="682"/>
      <c r="N8027" s="171"/>
      <c r="O8027" s="171"/>
      <c r="P8027" s="171"/>
      <c r="Q8027" s="171"/>
      <c r="R8027" s="171"/>
      <c r="S8027" s="171"/>
      <c r="T8027" s="171"/>
      <c r="U8027" s="171"/>
      <c r="V8027" s="171"/>
      <c r="W8027" s="171"/>
      <c r="X8027" s="171"/>
      <c r="Y8027" s="171"/>
      <c r="Z8027" s="171"/>
      <c r="AA8027" s="171"/>
    </row>
    <row r="8028" spans="1:27" hidden="1" x14ac:dyDescent="0.2">
      <c r="C8028" s="489" t="s">
        <v>4602</v>
      </c>
      <c r="D8028" s="490"/>
      <c r="G8028" s="491" t="s">
        <v>5074</v>
      </c>
      <c r="H8028" s="397"/>
      <c r="I8028" s="397"/>
      <c r="J8028" s="750" t="e">
        <f t="shared" si="109"/>
        <v>#DIV/0!</v>
      </c>
      <c r="K8028" s="398"/>
      <c r="L8028" s="398"/>
      <c r="M8028" s="682"/>
    </row>
    <row r="8029" spans="1:27" hidden="1" x14ac:dyDescent="0.2">
      <c r="C8029" s="489"/>
      <c r="D8029" s="537">
        <v>421</v>
      </c>
      <c r="E8029" s="538"/>
      <c r="F8029" s="538"/>
      <c r="G8029" s="539" t="s">
        <v>138</v>
      </c>
      <c r="H8029" s="397"/>
      <c r="I8029" s="397"/>
      <c r="J8029" s="750" t="e">
        <f t="shared" si="109"/>
        <v>#DIV/0!</v>
      </c>
      <c r="K8029" s="398"/>
      <c r="L8029" s="398"/>
      <c r="M8029" s="682"/>
    </row>
    <row r="8030" spans="1:27" hidden="1" x14ac:dyDescent="0.2">
      <c r="F8030" s="494">
        <v>411</v>
      </c>
      <c r="G8030" s="495" t="s">
        <v>4167</v>
      </c>
      <c r="H8030" s="397"/>
      <c r="I8030" s="397"/>
      <c r="J8030" s="750" t="e">
        <f t="shared" si="109"/>
        <v>#DIV/0!</v>
      </c>
      <c r="K8030" s="398"/>
      <c r="L8030" s="398"/>
      <c r="M8030" s="682"/>
    </row>
    <row r="8031" spans="1:27" hidden="1" x14ac:dyDescent="0.2">
      <c r="F8031" s="494">
        <v>412</v>
      </c>
      <c r="G8031" s="496" t="s">
        <v>3764</v>
      </c>
      <c r="H8031" s="397"/>
      <c r="I8031" s="397"/>
      <c r="J8031" s="750" t="e">
        <f t="shared" si="109"/>
        <v>#DIV/0!</v>
      </c>
      <c r="K8031" s="398"/>
      <c r="L8031" s="398"/>
      <c r="M8031" s="682"/>
    </row>
    <row r="8032" spans="1:27" hidden="1" x14ac:dyDescent="0.2">
      <c r="F8032" s="494">
        <v>413</v>
      </c>
      <c r="G8032" s="495" t="s">
        <v>4168</v>
      </c>
      <c r="H8032" s="397"/>
      <c r="I8032" s="397"/>
      <c r="J8032" s="750" t="e">
        <f t="shared" si="109"/>
        <v>#DIV/0!</v>
      </c>
      <c r="K8032" s="398"/>
      <c r="L8032" s="398"/>
      <c r="M8032" s="682"/>
    </row>
    <row r="8033" spans="6:13" hidden="1" x14ac:dyDescent="0.2">
      <c r="F8033" s="494">
        <v>414</v>
      </c>
      <c r="G8033" s="495" t="s">
        <v>3767</v>
      </c>
      <c r="H8033" s="397"/>
      <c r="I8033" s="397"/>
      <c r="J8033" s="750" t="e">
        <f t="shared" si="109"/>
        <v>#DIV/0!</v>
      </c>
      <c r="K8033" s="398"/>
      <c r="L8033" s="398"/>
      <c r="M8033" s="682"/>
    </row>
    <row r="8034" spans="6:13" hidden="1" x14ac:dyDescent="0.2">
      <c r="F8034" s="494">
        <v>415</v>
      </c>
      <c r="G8034" s="495" t="s">
        <v>4177</v>
      </c>
      <c r="H8034" s="397"/>
      <c r="I8034" s="397"/>
      <c r="J8034" s="750" t="e">
        <f t="shared" si="109"/>
        <v>#DIV/0!</v>
      </c>
      <c r="K8034" s="398"/>
      <c r="L8034" s="398"/>
      <c r="M8034" s="682"/>
    </row>
    <row r="8035" spans="6:13" ht="25.5" hidden="1" x14ac:dyDescent="0.2">
      <c r="F8035" s="494">
        <v>416</v>
      </c>
      <c r="G8035" s="495" t="s">
        <v>4178</v>
      </c>
      <c r="H8035" s="397"/>
      <c r="I8035" s="397"/>
      <c r="J8035" s="750" t="e">
        <f t="shared" si="109"/>
        <v>#DIV/0!</v>
      </c>
      <c r="K8035" s="398"/>
      <c r="L8035" s="398"/>
      <c r="M8035" s="682"/>
    </row>
    <row r="8036" spans="6:13" hidden="1" x14ac:dyDescent="0.2">
      <c r="F8036" s="494">
        <v>417</v>
      </c>
      <c r="G8036" s="495" t="s">
        <v>4179</v>
      </c>
      <c r="H8036" s="397"/>
      <c r="I8036" s="397"/>
      <c r="J8036" s="750" t="e">
        <f t="shared" si="109"/>
        <v>#DIV/0!</v>
      </c>
      <c r="K8036" s="398"/>
      <c r="L8036" s="398"/>
      <c r="M8036" s="682"/>
    </row>
    <row r="8037" spans="6:13" hidden="1" x14ac:dyDescent="0.2">
      <c r="F8037" s="494">
        <v>418</v>
      </c>
      <c r="G8037" s="495" t="s">
        <v>3773</v>
      </c>
      <c r="H8037" s="397"/>
      <c r="I8037" s="397"/>
      <c r="J8037" s="750" t="e">
        <f t="shared" si="109"/>
        <v>#DIV/0!</v>
      </c>
      <c r="K8037" s="398"/>
      <c r="L8037" s="398"/>
      <c r="M8037" s="682"/>
    </row>
    <row r="8038" spans="6:13" hidden="1" x14ac:dyDescent="0.2">
      <c r="F8038" s="494">
        <v>421</v>
      </c>
      <c r="G8038" s="495" t="s">
        <v>3777</v>
      </c>
      <c r="H8038" s="397"/>
      <c r="I8038" s="397"/>
      <c r="J8038" s="750" t="e">
        <f t="shared" si="109"/>
        <v>#DIV/0!</v>
      </c>
      <c r="K8038" s="398"/>
      <c r="L8038" s="398"/>
      <c r="M8038" s="682"/>
    </row>
    <row r="8039" spans="6:13" hidden="1" x14ac:dyDescent="0.2">
      <c r="F8039" s="494">
        <v>422</v>
      </c>
      <c r="G8039" s="495" t="s">
        <v>3778</v>
      </c>
      <c r="H8039" s="397"/>
      <c r="I8039" s="397"/>
      <c r="J8039" s="750" t="e">
        <f t="shared" si="109"/>
        <v>#DIV/0!</v>
      </c>
      <c r="K8039" s="398"/>
      <c r="L8039" s="398"/>
      <c r="M8039" s="682"/>
    </row>
    <row r="8040" spans="6:13" hidden="1" x14ac:dyDescent="0.2">
      <c r="F8040" s="494">
        <v>423</v>
      </c>
      <c r="G8040" s="495" t="s">
        <v>3779</v>
      </c>
      <c r="H8040" s="397"/>
      <c r="I8040" s="397"/>
      <c r="J8040" s="750" t="e">
        <f t="shared" si="109"/>
        <v>#DIV/0!</v>
      </c>
      <c r="K8040" s="398"/>
      <c r="L8040" s="398"/>
      <c r="M8040" s="682"/>
    </row>
    <row r="8041" spans="6:13" hidden="1" x14ac:dyDescent="0.2">
      <c r="F8041" s="494">
        <v>424</v>
      </c>
      <c r="G8041" s="495" t="s">
        <v>3781</v>
      </c>
      <c r="H8041" s="397"/>
      <c r="I8041" s="397"/>
      <c r="J8041" s="750" t="e">
        <f t="shared" si="109"/>
        <v>#DIV/0!</v>
      </c>
      <c r="K8041" s="398"/>
      <c r="L8041" s="398"/>
      <c r="M8041" s="682"/>
    </row>
    <row r="8042" spans="6:13" hidden="1" x14ac:dyDescent="0.2">
      <c r="F8042" s="494">
        <v>425</v>
      </c>
      <c r="G8042" s="495" t="s">
        <v>4180</v>
      </c>
      <c r="H8042" s="397"/>
      <c r="I8042" s="397"/>
      <c r="J8042" s="750" t="e">
        <f t="shared" si="109"/>
        <v>#DIV/0!</v>
      </c>
      <c r="K8042" s="398"/>
      <c r="L8042" s="398"/>
      <c r="M8042" s="682"/>
    </row>
    <row r="8043" spans="6:13" hidden="1" x14ac:dyDescent="0.2">
      <c r="F8043" s="494">
        <v>426</v>
      </c>
      <c r="G8043" s="495" t="s">
        <v>3785</v>
      </c>
      <c r="H8043" s="397"/>
      <c r="I8043" s="397"/>
      <c r="J8043" s="750" t="e">
        <f t="shared" si="109"/>
        <v>#DIV/0!</v>
      </c>
      <c r="K8043" s="398"/>
      <c r="L8043" s="398"/>
      <c r="M8043" s="682"/>
    </row>
    <row r="8044" spans="6:13" hidden="1" x14ac:dyDescent="0.2">
      <c r="F8044" s="494">
        <v>431</v>
      </c>
      <c r="G8044" s="495" t="s">
        <v>4181</v>
      </c>
      <c r="H8044" s="397"/>
      <c r="I8044" s="397"/>
      <c r="J8044" s="750" t="e">
        <f t="shared" si="109"/>
        <v>#DIV/0!</v>
      </c>
      <c r="K8044" s="398"/>
      <c r="L8044" s="398"/>
      <c r="M8044" s="682"/>
    </row>
    <row r="8045" spans="6:13" hidden="1" x14ac:dyDescent="0.2">
      <c r="F8045" s="494">
        <v>432</v>
      </c>
      <c r="G8045" s="495" t="s">
        <v>4182</v>
      </c>
      <c r="H8045" s="397"/>
      <c r="I8045" s="397"/>
      <c r="J8045" s="750" t="e">
        <f t="shared" si="109"/>
        <v>#DIV/0!</v>
      </c>
      <c r="K8045" s="398"/>
      <c r="L8045" s="398"/>
      <c r="M8045" s="682"/>
    </row>
    <row r="8046" spans="6:13" hidden="1" x14ac:dyDescent="0.2">
      <c r="F8046" s="494">
        <v>433</v>
      </c>
      <c r="G8046" s="495" t="s">
        <v>4183</v>
      </c>
      <c r="H8046" s="397"/>
      <c r="I8046" s="397"/>
      <c r="J8046" s="750" t="e">
        <f t="shared" si="109"/>
        <v>#DIV/0!</v>
      </c>
      <c r="K8046" s="398"/>
      <c r="L8046" s="398"/>
      <c r="M8046" s="682"/>
    </row>
    <row r="8047" spans="6:13" hidden="1" x14ac:dyDescent="0.2">
      <c r="F8047" s="494">
        <v>434</v>
      </c>
      <c r="G8047" s="495" t="s">
        <v>4184</v>
      </c>
      <c r="H8047" s="397"/>
      <c r="I8047" s="397"/>
      <c r="J8047" s="750" t="e">
        <f t="shared" si="109"/>
        <v>#DIV/0!</v>
      </c>
      <c r="K8047" s="398"/>
      <c r="L8047" s="398"/>
      <c r="M8047" s="682"/>
    </row>
    <row r="8048" spans="6:13" hidden="1" x14ac:dyDescent="0.2">
      <c r="F8048" s="494">
        <v>435</v>
      </c>
      <c r="G8048" s="495" t="s">
        <v>3792</v>
      </c>
      <c r="H8048" s="397"/>
      <c r="I8048" s="397"/>
      <c r="J8048" s="750" t="e">
        <f t="shared" si="109"/>
        <v>#DIV/0!</v>
      </c>
      <c r="K8048" s="398"/>
      <c r="L8048" s="398"/>
      <c r="M8048" s="682"/>
    </row>
    <row r="8049" spans="6:13" hidden="1" x14ac:dyDescent="0.2">
      <c r="F8049" s="494">
        <v>441</v>
      </c>
      <c r="G8049" s="495" t="s">
        <v>4185</v>
      </c>
      <c r="H8049" s="397"/>
      <c r="I8049" s="397"/>
      <c r="J8049" s="750" t="e">
        <f t="shared" si="109"/>
        <v>#DIV/0!</v>
      </c>
      <c r="K8049" s="398"/>
      <c r="L8049" s="398"/>
      <c r="M8049" s="682"/>
    </row>
    <row r="8050" spans="6:13" hidden="1" x14ac:dyDescent="0.2">
      <c r="F8050" s="494">
        <v>442</v>
      </c>
      <c r="G8050" s="495" t="s">
        <v>4186</v>
      </c>
      <c r="H8050" s="397"/>
      <c r="I8050" s="397"/>
      <c r="J8050" s="750" t="e">
        <f t="shared" si="109"/>
        <v>#DIV/0!</v>
      </c>
      <c r="K8050" s="398"/>
      <c r="L8050" s="398"/>
      <c r="M8050" s="682"/>
    </row>
    <row r="8051" spans="6:13" hidden="1" x14ac:dyDescent="0.2">
      <c r="F8051" s="494">
        <v>443</v>
      </c>
      <c r="G8051" s="495" t="s">
        <v>3797</v>
      </c>
      <c r="H8051" s="397"/>
      <c r="I8051" s="397"/>
      <c r="J8051" s="750" t="e">
        <f t="shared" si="109"/>
        <v>#DIV/0!</v>
      </c>
      <c r="K8051" s="398"/>
      <c r="L8051" s="398"/>
      <c r="M8051" s="682"/>
    </row>
    <row r="8052" spans="6:13" hidden="1" x14ac:dyDescent="0.2">
      <c r="F8052" s="494">
        <v>444</v>
      </c>
      <c r="G8052" s="495" t="s">
        <v>3798</v>
      </c>
      <c r="H8052" s="397"/>
      <c r="I8052" s="397"/>
      <c r="J8052" s="750" t="e">
        <f t="shared" si="109"/>
        <v>#DIV/0!</v>
      </c>
      <c r="K8052" s="398"/>
      <c r="L8052" s="398"/>
      <c r="M8052" s="682"/>
    </row>
    <row r="8053" spans="6:13" ht="25.5" hidden="1" x14ac:dyDescent="0.2">
      <c r="F8053" s="494">
        <v>4511</v>
      </c>
      <c r="G8053" s="466" t="s">
        <v>1692</v>
      </c>
      <c r="H8053" s="397"/>
      <c r="I8053" s="397"/>
      <c r="J8053" s="750" t="e">
        <f t="shared" si="109"/>
        <v>#DIV/0!</v>
      </c>
      <c r="K8053" s="398"/>
      <c r="L8053" s="398"/>
      <c r="M8053" s="682"/>
    </row>
    <row r="8054" spans="6:13" ht="25.5" hidden="1" x14ac:dyDescent="0.2">
      <c r="F8054" s="494">
        <v>4512</v>
      </c>
      <c r="G8054" s="466" t="s">
        <v>1701</v>
      </c>
      <c r="H8054" s="397"/>
      <c r="I8054" s="397"/>
      <c r="J8054" s="750" t="e">
        <f t="shared" si="109"/>
        <v>#DIV/0!</v>
      </c>
      <c r="K8054" s="398"/>
      <c r="L8054" s="398"/>
      <c r="M8054" s="682"/>
    </row>
    <row r="8055" spans="6:13" ht="25.5" hidden="1" x14ac:dyDescent="0.2">
      <c r="F8055" s="494">
        <v>452</v>
      </c>
      <c r="G8055" s="495" t="s">
        <v>4187</v>
      </c>
      <c r="H8055" s="397"/>
      <c r="I8055" s="397"/>
      <c r="J8055" s="750" t="e">
        <f t="shared" si="109"/>
        <v>#DIV/0!</v>
      </c>
      <c r="K8055" s="398"/>
      <c r="L8055" s="398"/>
      <c r="M8055" s="682"/>
    </row>
    <row r="8056" spans="6:13" ht="25.5" hidden="1" x14ac:dyDescent="0.2">
      <c r="F8056" s="494">
        <v>453</v>
      </c>
      <c r="G8056" s="495" t="s">
        <v>4188</v>
      </c>
      <c r="H8056" s="397"/>
      <c r="I8056" s="397"/>
      <c r="J8056" s="750" t="e">
        <f t="shared" si="109"/>
        <v>#DIV/0!</v>
      </c>
      <c r="K8056" s="398"/>
      <c r="L8056" s="398"/>
      <c r="M8056" s="682"/>
    </row>
    <row r="8057" spans="6:13" hidden="1" x14ac:dyDescent="0.2">
      <c r="F8057" s="494">
        <v>454</v>
      </c>
      <c r="G8057" s="495" t="s">
        <v>3803</v>
      </c>
      <c r="H8057" s="397"/>
      <c r="I8057" s="397"/>
      <c r="J8057" s="750" t="e">
        <f t="shared" si="109"/>
        <v>#DIV/0!</v>
      </c>
      <c r="K8057" s="398"/>
      <c r="L8057" s="398"/>
      <c r="M8057" s="682"/>
    </row>
    <row r="8058" spans="6:13" hidden="1" x14ac:dyDescent="0.2">
      <c r="F8058" s="494">
        <v>461</v>
      </c>
      <c r="G8058" s="495" t="s">
        <v>4169</v>
      </c>
      <c r="H8058" s="397"/>
      <c r="I8058" s="397"/>
      <c r="J8058" s="750" t="e">
        <f t="shared" si="109"/>
        <v>#DIV/0!</v>
      </c>
      <c r="K8058" s="398"/>
      <c r="L8058" s="398"/>
      <c r="M8058" s="682"/>
    </row>
    <row r="8059" spans="6:13" ht="25.5" hidden="1" x14ac:dyDescent="0.2">
      <c r="F8059" s="494">
        <v>462</v>
      </c>
      <c r="G8059" s="495" t="s">
        <v>3806</v>
      </c>
      <c r="H8059" s="397"/>
      <c r="I8059" s="397"/>
      <c r="J8059" s="750" t="e">
        <f t="shared" si="109"/>
        <v>#DIV/0!</v>
      </c>
      <c r="K8059" s="398"/>
      <c r="L8059" s="398"/>
      <c r="M8059" s="682"/>
    </row>
    <row r="8060" spans="6:13" hidden="1" x14ac:dyDescent="0.2">
      <c r="F8060" s="494">
        <v>4631</v>
      </c>
      <c r="G8060" s="495" t="s">
        <v>3807</v>
      </c>
      <c r="H8060" s="397"/>
      <c r="I8060" s="397"/>
      <c r="J8060" s="750" t="e">
        <f t="shared" si="109"/>
        <v>#DIV/0!</v>
      </c>
      <c r="K8060" s="398"/>
      <c r="L8060" s="398"/>
      <c r="M8060" s="682"/>
    </row>
    <row r="8061" spans="6:13" hidden="1" x14ac:dyDescent="0.2">
      <c r="F8061" s="494">
        <v>4632</v>
      </c>
      <c r="G8061" s="495" t="s">
        <v>3808</v>
      </c>
      <c r="H8061" s="397"/>
      <c r="I8061" s="397"/>
      <c r="J8061" s="750" t="e">
        <f t="shared" si="109"/>
        <v>#DIV/0!</v>
      </c>
      <c r="K8061" s="398"/>
      <c r="L8061" s="398"/>
      <c r="M8061" s="682"/>
    </row>
    <row r="8062" spans="6:13" ht="25.5" hidden="1" x14ac:dyDescent="0.2">
      <c r="F8062" s="494">
        <v>464</v>
      </c>
      <c r="G8062" s="495" t="s">
        <v>3809</v>
      </c>
      <c r="H8062" s="397"/>
      <c r="I8062" s="397"/>
      <c r="J8062" s="750" t="e">
        <f t="shared" si="109"/>
        <v>#DIV/0!</v>
      </c>
      <c r="K8062" s="398"/>
      <c r="L8062" s="398"/>
      <c r="M8062" s="682"/>
    </row>
    <row r="8063" spans="6:13" hidden="1" x14ac:dyDescent="0.2">
      <c r="F8063" s="494">
        <v>465</v>
      </c>
      <c r="G8063" s="495" t="s">
        <v>4170</v>
      </c>
      <c r="H8063" s="397"/>
      <c r="I8063" s="397"/>
      <c r="J8063" s="750" t="e">
        <f t="shared" si="109"/>
        <v>#DIV/0!</v>
      </c>
      <c r="K8063" s="398"/>
      <c r="L8063" s="398"/>
      <c r="M8063" s="682"/>
    </row>
    <row r="8064" spans="6:13" hidden="1" x14ac:dyDescent="0.2">
      <c r="F8064" s="494">
        <v>472</v>
      </c>
      <c r="G8064" s="495" t="s">
        <v>3813</v>
      </c>
      <c r="H8064" s="397"/>
      <c r="I8064" s="397"/>
      <c r="J8064" s="750" t="e">
        <f t="shared" si="109"/>
        <v>#DIV/0!</v>
      </c>
      <c r="K8064" s="398"/>
      <c r="L8064" s="398"/>
      <c r="M8064" s="682"/>
    </row>
    <row r="8065" spans="6:13" hidden="1" x14ac:dyDescent="0.2">
      <c r="F8065" s="494">
        <v>481</v>
      </c>
      <c r="G8065" s="495" t="s">
        <v>4189</v>
      </c>
      <c r="H8065" s="397"/>
      <c r="I8065" s="397"/>
      <c r="J8065" s="750" t="e">
        <f t="shared" si="109"/>
        <v>#DIV/0!</v>
      </c>
      <c r="K8065" s="398"/>
      <c r="L8065" s="398"/>
      <c r="M8065" s="682"/>
    </row>
    <row r="8066" spans="6:13" hidden="1" x14ac:dyDescent="0.2">
      <c r="F8066" s="494">
        <v>482</v>
      </c>
      <c r="G8066" s="495" t="s">
        <v>4190</v>
      </c>
      <c r="H8066" s="397"/>
      <c r="I8066" s="397"/>
      <c r="J8066" s="750" t="e">
        <f t="shared" si="109"/>
        <v>#DIV/0!</v>
      </c>
      <c r="K8066" s="398"/>
      <c r="L8066" s="398"/>
      <c r="M8066" s="682"/>
    </row>
    <row r="8067" spans="6:13" hidden="1" x14ac:dyDescent="0.2">
      <c r="F8067" s="494">
        <v>483</v>
      </c>
      <c r="G8067" s="497" t="s">
        <v>4191</v>
      </c>
      <c r="H8067" s="397"/>
      <c r="I8067" s="397"/>
      <c r="J8067" s="750" t="e">
        <f t="shared" si="109"/>
        <v>#DIV/0!</v>
      </c>
      <c r="K8067" s="398"/>
      <c r="L8067" s="398"/>
      <c r="M8067" s="682"/>
    </row>
    <row r="8068" spans="6:13" ht="38.25" hidden="1" x14ac:dyDescent="0.2">
      <c r="F8068" s="494">
        <v>484</v>
      </c>
      <c r="G8068" s="495" t="s">
        <v>4192</v>
      </c>
      <c r="H8068" s="397"/>
      <c r="I8068" s="397"/>
      <c r="J8068" s="750" t="e">
        <f t="shared" si="109"/>
        <v>#DIV/0!</v>
      </c>
      <c r="K8068" s="398"/>
      <c r="L8068" s="398"/>
      <c r="M8068" s="682"/>
    </row>
    <row r="8069" spans="6:13" ht="25.5" hidden="1" x14ac:dyDescent="0.2">
      <c r="F8069" s="494">
        <v>485</v>
      </c>
      <c r="G8069" s="495" t="s">
        <v>4193</v>
      </c>
      <c r="H8069" s="397"/>
      <c r="I8069" s="397"/>
      <c r="J8069" s="750" t="e">
        <f t="shared" si="109"/>
        <v>#DIV/0!</v>
      </c>
      <c r="K8069" s="398"/>
      <c r="L8069" s="398"/>
      <c r="M8069" s="682"/>
    </row>
    <row r="8070" spans="6:13" ht="25.5" hidden="1" x14ac:dyDescent="0.2">
      <c r="F8070" s="494">
        <v>489</v>
      </c>
      <c r="G8070" s="495" t="s">
        <v>3821</v>
      </c>
      <c r="H8070" s="397"/>
      <c r="I8070" s="397"/>
      <c r="J8070" s="750" t="e">
        <f t="shared" si="109"/>
        <v>#DIV/0!</v>
      </c>
      <c r="K8070" s="398"/>
      <c r="L8070" s="398"/>
      <c r="M8070" s="682"/>
    </row>
    <row r="8071" spans="6:13" ht="25.5" hidden="1" x14ac:dyDescent="0.2">
      <c r="F8071" s="494">
        <v>494</v>
      </c>
      <c r="G8071" s="495" t="s">
        <v>4171</v>
      </c>
      <c r="H8071" s="397"/>
      <c r="I8071" s="397"/>
      <c r="J8071" s="750" t="e">
        <f t="shared" si="109"/>
        <v>#DIV/0!</v>
      </c>
      <c r="K8071" s="398"/>
      <c r="L8071" s="398"/>
      <c r="M8071" s="682"/>
    </row>
    <row r="8072" spans="6:13" ht="25.5" hidden="1" x14ac:dyDescent="0.2">
      <c r="F8072" s="494">
        <v>495</v>
      </c>
      <c r="G8072" s="495" t="s">
        <v>4172</v>
      </c>
      <c r="H8072" s="397"/>
      <c r="I8072" s="397"/>
      <c r="J8072" s="750" t="e">
        <f t="shared" si="109"/>
        <v>#DIV/0!</v>
      </c>
      <c r="K8072" s="398"/>
      <c r="L8072" s="398"/>
      <c r="M8072" s="682"/>
    </row>
    <row r="8073" spans="6:13" ht="38.25" hidden="1" x14ac:dyDescent="0.2">
      <c r="F8073" s="494">
        <v>496</v>
      </c>
      <c r="G8073" s="495" t="s">
        <v>4173</v>
      </c>
      <c r="H8073" s="397"/>
      <c r="I8073" s="397"/>
      <c r="J8073" s="750" t="e">
        <f t="shared" si="109"/>
        <v>#DIV/0!</v>
      </c>
      <c r="K8073" s="398"/>
      <c r="L8073" s="398"/>
      <c r="M8073" s="682"/>
    </row>
    <row r="8074" spans="6:13" ht="25.5" hidden="1" x14ac:dyDescent="0.2">
      <c r="F8074" s="494">
        <v>499</v>
      </c>
      <c r="G8074" s="495" t="s">
        <v>4174</v>
      </c>
      <c r="H8074" s="397"/>
      <c r="I8074" s="397"/>
      <c r="J8074" s="750" t="e">
        <f t="shared" si="109"/>
        <v>#DIV/0!</v>
      </c>
      <c r="K8074" s="398"/>
      <c r="L8074" s="398"/>
      <c r="M8074" s="682"/>
    </row>
    <row r="8075" spans="6:13" hidden="1" x14ac:dyDescent="0.2">
      <c r="F8075" s="494">
        <v>511</v>
      </c>
      <c r="G8075" s="497" t="s">
        <v>4194</v>
      </c>
      <c r="H8075" s="397"/>
      <c r="I8075" s="397"/>
      <c r="J8075" s="750" t="e">
        <f t="shared" si="109"/>
        <v>#DIV/0!</v>
      </c>
      <c r="K8075" s="398"/>
      <c r="L8075" s="398"/>
      <c r="M8075" s="682"/>
    </row>
    <row r="8076" spans="6:13" hidden="1" x14ac:dyDescent="0.2">
      <c r="F8076" s="494">
        <v>512</v>
      </c>
      <c r="G8076" s="497" t="s">
        <v>4195</v>
      </c>
      <c r="H8076" s="397"/>
      <c r="I8076" s="397"/>
      <c r="J8076" s="750" t="e">
        <f t="shared" si="109"/>
        <v>#DIV/0!</v>
      </c>
      <c r="K8076" s="398"/>
      <c r="L8076" s="398"/>
      <c r="M8076" s="682"/>
    </row>
    <row r="8077" spans="6:13" hidden="1" x14ac:dyDescent="0.2">
      <c r="F8077" s="494">
        <v>513</v>
      </c>
      <c r="G8077" s="497" t="s">
        <v>4196</v>
      </c>
      <c r="H8077" s="397"/>
      <c r="I8077" s="397"/>
      <c r="J8077" s="750" t="e">
        <f t="shared" si="109"/>
        <v>#DIV/0!</v>
      </c>
      <c r="K8077" s="398"/>
      <c r="L8077" s="398"/>
      <c r="M8077" s="682"/>
    </row>
    <row r="8078" spans="6:13" hidden="1" x14ac:dyDescent="0.2">
      <c r="F8078" s="494">
        <v>514</v>
      </c>
      <c r="G8078" s="495" t="s">
        <v>4197</v>
      </c>
      <c r="H8078" s="397"/>
      <c r="I8078" s="397"/>
      <c r="J8078" s="750" t="e">
        <f t="shared" ref="J8078:J8141" si="110">SUM(I8078/H8078)*100</f>
        <v>#DIV/0!</v>
      </c>
      <c r="K8078" s="398"/>
      <c r="L8078" s="398"/>
      <c r="M8078" s="682"/>
    </row>
    <row r="8079" spans="6:13" hidden="1" x14ac:dyDescent="0.2">
      <c r="F8079" s="494">
        <v>515</v>
      </c>
      <c r="G8079" s="495" t="s">
        <v>3832</v>
      </c>
      <c r="H8079" s="397"/>
      <c r="I8079" s="397"/>
      <c r="J8079" s="750" t="e">
        <f t="shared" si="110"/>
        <v>#DIV/0!</v>
      </c>
      <c r="K8079" s="398"/>
      <c r="L8079" s="398"/>
      <c r="M8079" s="682"/>
    </row>
    <row r="8080" spans="6:13" hidden="1" x14ac:dyDescent="0.2">
      <c r="F8080" s="494">
        <v>521</v>
      </c>
      <c r="G8080" s="495" t="s">
        <v>4198</v>
      </c>
      <c r="H8080" s="397"/>
      <c r="I8080" s="397"/>
      <c r="J8080" s="750" t="e">
        <f t="shared" si="110"/>
        <v>#DIV/0!</v>
      </c>
      <c r="K8080" s="398"/>
      <c r="L8080" s="398"/>
      <c r="M8080" s="682"/>
    </row>
    <row r="8081" spans="5:13" hidden="1" x14ac:dyDescent="0.2">
      <c r="F8081" s="494">
        <v>522</v>
      </c>
      <c r="G8081" s="495" t="s">
        <v>4199</v>
      </c>
      <c r="H8081" s="397"/>
      <c r="I8081" s="397"/>
      <c r="J8081" s="750" t="e">
        <f t="shared" si="110"/>
        <v>#DIV/0!</v>
      </c>
      <c r="K8081" s="398"/>
      <c r="L8081" s="398"/>
      <c r="M8081" s="682"/>
    </row>
    <row r="8082" spans="5:13" hidden="1" x14ac:dyDescent="0.2">
      <c r="F8082" s="494">
        <v>523</v>
      </c>
      <c r="G8082" s="495" t="s">
        <v>3837</v>
      </c>
      <c r="H8082" s="397"/>
      <c r="I8082" s="397"/>
      <c r="J8082" s="750" t="e">
        <f t="shared" si="110"/>
        <v>#DIV/0!</v>
      </c>
      <c r="K8082" s="398"/>
      <c r="L8082" s="398"/>
      <c r="M8082" s="682"/>
    </row>
    <row r="8083" spans="5:13" hidden="1" x14ac:dyDescent="0.2">
      <c r="F8083" s="494">
        <v>531</v>
      </c>
      <c r="G8083" s="496" t="s">
        <v>4175</v>
      </c>
      <c r="H8083" s="397"/>
      <c r="I8083" s="397"/>
      <c r="J8083" s="750" t="e">
        <f t="shared" si="110"/>
        <v>#DIV/0!</v>
      </c>
      <c r="K8083" s="398"/>
      <c r="L8083" s="398"/>
      <c r="M8083" s="682"/>
    </row>
    <row r="8084" spans="5:13" hidden="1" x14ac:dyDescent="0.2">
      <c r="F8084" s="494">
        <v>541</v>
      </c>
      <c r="G8084" s="495" t="s">
        <v>4200</v>
      </c>
      <c r="H8084" s="397"/>
      <c r="I8084" s="397"/>
      <c r="J8084" s="750" t="e">
        <f t="shared" si="110"/>
        <v>#DIV/0!</v>
      </c>
      <c r="K8084" s="398"/>
      <c r="L8084" s="398"/>
      <c r="M8084" s="682"/>
    </row>
    <row r="8085" spans="5:13" hidden="1" x14ac:dyDescent="0.2">
      <c r="F8085" s="494">
        <v>542</v>
      </c>
      <c r="G8085" s="495" t="s">
        <v>4201</v>
      </c>
      <c r="H8085" s="397"/>
      <c r="I8085" s="397"/>
      <c r="J8085" s="750" t="e">
        <f t="shared" si="110"/>
        <v>#DIV/0!</v>
      </c>
      <c r="K8085" s="398"/>
      <c r="L8085" s="398"/>
      <c r="M8085" s="682"/>
    </row>
    <row r="8086" spans="5:13" hidden="1" x14ac:dyDescent="0.2">
      <c r="F8086" s="494">
        <v>543</v>
      </c>
      <c r="G8086" s="495" t="s">
        <v>3842</v>
      </c>
      <c r="H8086" s="397"/>
      <c r="I8086" s="397"/>
      <c r="J8086" s="750" t="e">
        <f t="shared" si="110"/>
        <v>#DIV/0!</v>
      </c>
      <c r="K8086" s="398"/>
      <c r="L8086" s="398"/>
      <c r="M8086" s="682"/>
    </row>
    <row r="8087" spans="5:13" ht="38.25" hidden="1" x14ac:dyDescent="0.2">
      <c r="F8087" s="494">
        <v>551</v>
      </c>
      <c r="G8087" s="495" t="s">
        <v>4176</v>
      </c>
      <c r="H8087" s="397"/>
      <c r="I8087" s="397"/>
      <c r="J8087" s="750" t="e">
        <f t="shared" si="110"/>
        <v>#DIV/0!</v>
      </c>
      <c r="K8087" s="398"/>
      <c r="L8087" s="398"/>
      <c r="M8087" s="682"/>
    </row>
    <row r="8088" spans="5:13" hidden="1" x14ac:dyDescent="0.2">
      <c r="F8088" s="498">
        <v>611</v>
      </c>
      <c r="G8088" s="499" t="s">
        <v>3848</v>
      </c>
      <c r="H8088" s="397"/>
      <c r="I8088" s="397"/>
      <c r="J8088" s="750" t="e">
        <f t="shared" si="110"/>
        <v>#DIV/0!</v>
      </c>
      <c r="K8088" s="398"/>
      <c r="L8088" s="398"/>
      <c r="M8088" s="682"/>
    </row>
    <row r="8089" spans="5:13" hidden="1" x14ac:dyDescent="0.2">
      <c r="F8089" s="498">
        <v>620</v>
      </c>
      <c r="G8089" s="499" t="s">
        <v>88</v>
      </c>
      <c r="H8089" s="397"/>
      <c r="I8089" s="397"/>
      <c r="J8089" s="750" t="e">
        <f t="shared" si="110"/>
        <v>#DIV/0!</v>
      </c>
      <c r="K8089" s="398"/>
      <c r="L8089" s="398"/>
      <c r="M8089" s="682"/>
    </row>
    <row r="8090" spans="5:13" hidden="1" x14ac:dyDescent="0.2">
      <c r="E8090" s="500"/>
      <c r="F8090" s="498"/>
      <c r="G8090" s="509" t="s">
        <v>4356</v>
      </c>
      <c r="H8090" s="400"/>
      <c r="I8090" s="400"/>
      <c r="J8090" s="750" t="e">
        <f t="shared" si="110"/>
        <v>#DIV/0!</v>
      </c>
      <c r="K8090" s="401"/>
      <c r="L8090" s="402"/>
      <c r="M8090" s="682"/>
    </row>
    <row r="8091" spans="5:13" hidden="1" x14ac:dyDescent="0.2">
      <c r="E8091" s="502"/>
      <c r="F8091" s="503" t="s">
        <v>234</v>
      </c>
      <c r="G8091" s="504" t="s">
        <v>235</v>
      </c>
      <c r="H8091" s="403">
        <f>SUM(H8030:H8089)</f>
        <v>0</v>
      </c>
      <c r="I8091" s="403"/>
      <c r="J8091" s="750" t="e">
        <f t="shared" si="110"/>
        <v>#DIV/0!</v>
      </c>
      <c r="K8091" s="404"/>
      <c r="L8091" s="404"/>
      <c r="M8091" s="682"/>
    </row>
    <row r="8092" spans="5:13" hidden="1" x14ac:dyDescent="0.2">
      <c r="F8092" s="503" t="s">
        <v>236</v>
      </c>
      <c r="G8092" s="504" t="s">
        <v>237</v>
      </c>
      <c r="H8092" s="397"/>
      <c r="I8092" s="397"/>
      <c r="J8092" s="750" t="e">
        <f t="shared" si="110"/>
        <v>#DIV/0!</v>
      </c>
      <c r="K8092" s="398"/>
      <c r="L8092" s="404"/>
      <c r="M8092" s="682"/>
    </row>
    <row r="8093" spans="5:13" hidden="1" x14ac:dyDescent="0.2">
      <c r="F8093" s="503" t="s">
        <v>238</v>
      </c>
      <c r="G8093" s="504" t="s">
        <v>239</v>
      </c>
      <c r="H8093" s="397"/>
      <c r="I8093" s="397"/>
      <c r="J8093" s="750" t="e">
        <f t="shared" si="110"/>
        <v>#DIV/0!</v>
      </c>
      <c r="K8093" s="398"/>
      <c r="L8093" s="404"/>
      <c r="M8093" s="682"/>
    </row>
    <row r="8094" spans="5:13" hidden="1" x14ac:dyDescent="0.2">
      <c r="F8094" s="503" t="s">
        <v>240</v>
      </c>
      <c r="G8094" s="504" t="s">
        <v>241</v>
      </c>
      <c r="H8094" s="397"/>
      <c r="I8094" s="397"/>
      <c r="J8094" s="750" t="e">
        <f t="shared" si="110"/>
        <v>#DIV/0!</v>
      </c>
      <c r="K8094" s="398"/>
      <c r="L8094" s="404"/>
      <c r="M8094" s="682"/>
    </row>
    <row r="8095" spans="5:13" hidden="1" x14ac:dyDescent="0.2">
      <c r="F8095" s="503" t="s">
        <v>242</v>
      </c>
      <c r="G8095" s="504" t="s">
        <v>243</v>
      </c>
      <c r="H8095" s="397"/>
      <c r="I8095" s="397"/>
      <c r="J8095" s="750" t="e">
        <f t="shared" si="110"/>
        <v>#DIV/0!</v>
      </c>
      <c r="K8095" s="398"/>
      <c r="L8095" s="404"/>
      <c r="M8095" s="682"/>
    </row>
    <row r="8096" spans="5:13" hidden="1" x14ac:dyDescent="0.2">
      <c r="F8096" s="503" t="s">
        <v>244</v>
      </c>
      <c r="G8096" s="504" t="s">
        <v>245</v>
      </c>
      <c r="H8096" s="397"/>
      <c r="I8096" s="397"/>
      <c r="J8096" s="750" t="e">
        <f t="shared" si="110"/>
        <v>#DIV/0!</v>
      </c>
      <c r="K8096" s="398"/>
      <c r="L8096" s="404"/>
      <c r="M8096" s="682"/>
    </row>
    <row r="8097" spans="5:13" hidden="1" x14ac:dyDescent="0.2">
      <c r="F8097" s="503" t="s">
        <v>246</v>
      </c>
      <c r="G8097" s="504" t="s">
        <v>247</v>
      </c>
      <c r="H8097" s="397"/>
      <c r="I8097" s="397"/>
      <c r="J8097" s="750" t="e">
        <f t="shared" si="110"/>
        <v>#DIV/0!</v>
      </c>
      <c r="K8097" s="398"/>
      <c r="L8097" s="404"/>
      <c r="M8097" s="682"/>
    </row>
    <row r="8098" spans="5:13" ht="25.5" hidden="1" x14ac:dyDescent="0.2">
      <c r="F8098" s="503" t="s">
        <v>248</v>
      </c>
      <c r="G8098" s="504" t="s">
        <v>249</v>
      </c>
      <c r="H8098" s="397"/>
      <c r="I8098" s="397"/>
      <c r="J8098" s="750" t="e">
        <f t="shared" si="110"/>
        <v>#DIV/0!</v>
      </c>
      <c r="K8098" s="398"/>
      <c r="L8098" s="404"/>
      <c r="M8098" s="682"/>
    </row>
    <row r="8099" spans="5:13" hidden="1" x14ac:dyDescent="0.2">
      <c r="F8099" s="503" t="s">
        <v>250</v>
      </c>
      <c r="G8099" s="504" t="s">
        <v>57</v>
      </c>
      <c r="H8099" s="397"/>
      <c r="I8099" s="397"/>
      <c r="J8099" s="750" t="e">
        <f t="shared" si="110"/>
        <v>#DIV/0!</v>
      </c>
      <c r="K8099" s="398"/>
      <c r="L8099" s="404"/>
      <c r="M8099" s="682"/>
    </row>
    <row r="8100" spans="5:13" hidden="1" x14ac:dyDescent="0.2">
      <c r="F8100" s="503" t="s">
        <v>251</v>
      </c>
      <c r="G8100" s="504" t="s">
        <v>252</v>
      </c>
      <c r="H8100" s="397"/>
      <c r="I8100" s="397"/>
      <c r="J8100" s="750" t="e">
        <f t="shared" si="110"/>
        <v>#DIV/0!</v>
      </c>
      <c r="K8100" s="398"/>
      <c r="L8100" s="404"/>
      <c r="M8100" s="682"/>
    </row>
    <row r="8101" spans="5:13" hidden="1" x14ac:dyDescent="0.2">
      <c r="F8101" s="503" t="s">
        <v>253</v>
      </c>
      <c r="G8101" s="504" t="s">
        <v>254</v>
      </c>
      <c r="H8101" s="397"/>
      <c r="I8101" s="397"/>
      <c r="J8101" s="750" t="e">
        <f t="shared" si="110"/>
        <v>#DIV/0!</v>
      </c>
      <c r="K8101" s="398"/>
      <c r="L8101" s="404"/>
      <c r="M8101" s="682"/>
    </row>
    <row r="8102" spans="5:13" ht="25.5" hidden="1" x14ac:dyDescent="0.2">
      <c r="F8102" s="503" t="s">
        <v>255</v>
      </c>
      <c r="G8102" s="504" t="s">
        <v>256</v>
      </c>
      <c r="H8102" s="397"/>
      <c r="I8102" s="397"/>
      <c r="J8102" s="750" t="e">
        <f t="shared" si="110"/>
        <v>#DIV/0!</v>
      </c>
      <c r="K8102" s="398"/>
      <c r="L8102" s="404"/>
      <c r="M8102" s="682"/>
    </row>
    <row r="8103" spans="5:13" ht="25.5" hidden="1" x14ac:dyDescent="0.2">
      <c r="F8103" s="503" t="s">
        <v>257</v>
      </c>
      <c r="G8103" s="504" t="s">
        <v>258</v>
      </c>
      <c r="H8103" s="397"/>
      <c r="I8103" s="397"/>
      <c r="J8103" s="750" t="e">
        <f t="shared" si="110"/>
        <v>#DIV/0!</v>
      </c>
      <c r="K8103" s="398"/>
      <c r="L8103" s="404"/>
      <c r="M8103" s="682"/>
    </row>
    <row r="8104" spans="5:13" ht="25.5" hidden="1" x14ac:dyDescent="0.2">
      <c r="F8104" s="503" t="s">
        <v>259</v>
      </c>
      <c r="G8104" s="504" t="s">
        <v>260</v>
      </c>
      <c r="H8104" s="397"/>
      <c r="I8104" s="397"/>
      <c r="J8104" s="750" t="e">
        <f t="shared" si="110"/>
        <v>#DIV/0!</v>
      </c>
      <c r="K8104" s="398"/>
      <c r="L8104" s="404"/>
      <c r="M8104" s="682"/>
    </row>
    <row r="8105" spans="5:13" ht="25.5" hidden="1" x14ac:dyDescent="0.2">
      <c r="F8105" s="503" t="s">
        <v>261</v>
      </c>
      <c r="G8105" s="504" t="s">
        <v>262</v>
      </c>
      <c r="H8105" s="397"/>
      <c r="I8105" s="397"/>
      <c r="J8105" s="750" t="e">
        <f t="shared" si="110"/>
        <v>#DIV/0!</v>
      </c>
      <c r="K8105" s="398"/>
      <c r="L8105" s="404"/>
      <c r="M8105" s="682"/>
    </row>
    <row r="8106" spans="5:13" hidden="1" x14ac:dyDescent="0.2">
      <c r="F8106" s="503" t="s">
        <v>263</v>
      </c>
      <c r="G8106" s="504" t="s">
        <v>264</v>
      </c>
      <c r="H8106" s="403"/>
      <c r="I8106" s="403"/>
      <c r="J8106" s="750" t="e">
        <f t="shared" si="110"/>
        <v>#DIV/0!</v>
      </c>
      <c r="K8106" s="404"/>
      <c r="L8106" s="404"/>
      <c r="M8106" s="682"/>
    </row>
    <row r="8107" spans="5:13" ht="13.5" hidden="1" thickBot="1" x14ac:dyDescent="0.25">
      <c r="G8107" s="505" t="s">
        <v>4357</v>
      </c>
      <c r="H8107" s="405">
        <f>SUM(H8091:H8106)</f>
        <v>0</v>
      </c>
      <c r="I8107" s="405"/>
      <c r="J8107" s="750" t="e">
        <f t="shared" si="110"/>
        <v>#DIV/0!</v>
      </c>
      <c r="K8107" s="406">
        <f>SUM(K8092:K8106)</f>
        <v>0</v>
      </c>
      <c r="L8107" s="406"/>
      <c r="M8107" s="682"/>
    </row>
    <row r="8108" spans="5:13" hidden="1" collapsed="1" x14ac:dyDescent="0.2">
      <c r="E8108" s="500"/>
      <c r="F8108" s="498"/>
      <c r="G8108" s="506" t="s">
        <v>5002</v>
      </c>
      <c r="H8108" s="407"/>
      <c r="I8108" s="408"/>
      <c r="J8108" s="750" t="e">
        <f t="shared" si="110"/>
        <v>#DIV/0!</v>
      </c>
      <c r="K8108" s="409"/>
      <c r="L8108" s="410"/>
      <c r="M8108" s="682"/>
    </row>
    <row r="8109" spans="5:13" hidden="1" x14ac:dyDescent="0.2">
      <c r="E8109" s="502"/>
      <c r="F8109" s="503" t="s">
        <v>234</v>
      </c>
      <c r="G8109" s="504" t="s">
        <v>235</v>
      </c>
      <c r="H8109" s="403">
        <f>SUM(H8030:H8089)</f>
        <v>0</v>
      </c>
      <c r="I8109" s="403"/>
      <c r="J8109" s="750" t="e">
        <f t="shared" si="110"/>
        <v>#DIV/0!</v>
      </c>
      <c r="K8109" s="404"/>
      <c r="L8109" s="404"/>
      <c r="M8109" s="682"/>
    </row>
    <row r="8110" spans="5:13" hidden="1" x14ac:dyDescent="0.2">
      <c r="F8110" s="503" t="s">
        <v>236</v>
      </c>
      <c r="G8110" s="504" t="s">
        <v>237</v>
      </c>
      <c r="H8110" s="397"/>
      <c r="I8110" s="397"/>
      <c r="J8110" s="750" t="e">
        <f t="shared" si="110"/>
        <v>#DIV/0!</v>
      </c>
      <c r="K8110" s="398"/>
      <c r="L8110" s="404"/>
      <c r="M8110" s="682"/>
    </row>
    <row r="8111" spans="5:13" hidden="1" x14ac:dyDescent="0.2">
      <c r="F8111" s="503" t="s">
        <v>238</v>
      </c>
      <c r="G8111" s="504" t="s">
        <v>239</v>
      </c>
      <c r="H8111" s="397"/>
      <c r="I8111" s="397"/>
      <c r="J8111" s="750" t="e">
        <f t="shared" si="110"/>
        <v>#DIV/0!</v>
      </c>
      <c r="K8111" s="398"/>
      <c r="L8111" s="404"/>
      <c r="M8111" s="682"/>
    </row>
    <row r="8112" spans="5:13" hidden="1" x14ac:dyDescent="0.2">
      <c r="F8112" s="503" t="s">
        <v>240</v>
      </c>
      <c r="G8112" s="504" t="s">
        <v>241</v>
      </c>
      <c r="H8112" s="397"/>
      <c r="I8112" s="397"/>
      <c r="J8112" s="750" t="e">
        <f t="shared" si="110"/>
        <v>#DIV/0!</v>
      </c>
      <c r="K8112" s="398"/>
      <c r="L8112" s="404"/>
      <c r="M8112" s="682"/>
    </row>
    <row r="8113" spans="1:27" hidden="1" x14ac:dyDescent="0.2">
      <c r="F8113" s="503" t="s">
        <v>242</v>
      </c>
      <c r="G8113" s="504" t="s">
        <v>243</v>
      </c>
      <c r="H8113" s="397"/>
      <c r="I8113" s="397"/>
      <c r="J8113" s="750" t="e">
        <f t="shared" si="110"/>
        <v>#DIV/0!</v>
      </c>
      <c r="K8113" s="398"/>
      <c r="L8113" s="404"/>
      <c r="M8113" s="682"/>
    </row>
    <row r="8114" spans="1:27" hidden="1" x14ac:dyDescent="0.2">
      <c r="F8114" s="503" t="s">
        <v>244</v>
      </c>
      <c r="G8114" s="504" t="s">
        <v>245</v>
      </c>
      <c r="H8114" s="397"/>
      <c r="I8114" s="397"/>
      <c r="J8114" s="750" t="e">
        <f t="shared" si="110"/>
        <v>#DIV/0!</v>
      </c>
      <c r="K8114" s="398"/>
      <c r="L8114" s="404"/>
      <c r="M8114" s="682"/>
    </row>
    <row r="8115" spans="1:27" hidden="1" x14ac:dyDescent="0.2">
      <c r="F8115" s="503" t="s">
        <v>246</v>
      </c>
      <c r="G8115" s="504" t="s">
        <v>247</v>
      </c>
      <c r="H8115" s="397"/>
      <c r="I8115" s="397"/>
      <c r="J8115" s="750" t="e">
        <f t="shared" si="110"/>
        <v>#DIV/0!</v>
      </c>
      <c r="K8115" s="398"/>
      <c r="L8115" s="404"/>
      <c r="M8115" s="682"/>
    </row>
    <row r="8116" spans="1:27" ht="25.5" hidden="1" x14ac:dyDescent="0.2">
      <c r="F8116" s="503" t="s">
        <v>248</v>
      </c>
      <c r="G8116" s="504" t="s">
        <v>249</v>
      </c>
      <c r="H8116" s="397"/>
      <c r="I8116" s="397"/>
      <c r="J8116" s="750" t="e">
        <f t="shared" si="110"/>
        <v>#DIV/0!</v>
      </c>
      <c r="K8116" s="398"/>
      <c r="L8116" s="404"/>
      <c r="M8116" s="682"/>
    </row>
    <row r="8117" spans="1:27" hidden="1" x14ac:dyDescent="0.2">
      <c r="F8117" s="503" t="s">
        <v>250</v>
      </c>
      <c r="G8117" s="504" t="s">
        <v>57</v>
      </c>
      <c r="H8117" s="397"/>
      <c r="I8117" s="397"/>
      <c r="J8117" s="750" t="e">
        <f t="shared" si="110"/>
        <v>#DIV/0!</v>
      </c>
      <c r="K8117" s="398"/>
      <c r="L8117" s="404"/>
      <c r="M8117" s="682"/>
    </row>
    <row r="8118" spans="1:27" hidden="1" x14ac:dyDescent="0.2">
      <c r="F8118" s="503" t="s">
        <v>251</v>
      </c>
      <c r="G8118" s="504" t="s">
        <v>252</v>
      </c>
      <c r="H8118" s="397"/>
      <c r="I8118" s="397"/>
      <c r="J8118" s="750" t="e">
        <f t="shared" si="110"/>
        <v>#DIV/0!</v>
      </c>
      <c r="K8118" s="398"/>
      <c r="L8118" s="404"/>
      <c r="M8118" s="682"/>
    </row>
    <row r="8119" spans="1:27" hidden="1" x14ac:dyDescent="0.2">
      <c r="F8119" s="503" t="s">
        <v>253</v>
      </c>
      <c r="G8119" s="504" t="s">
        <v>254</v>
      </c>
      <c r="H8119" s="397"/>
      <c r="I8119" s="397"/>
      <c r="J8119" s="750" t="e">
        <f t="shared" si="110"/>
        <v>#DIV/0!</v>
      </c>
      <c r="K8119" s="398"/>
      <c r="L8119" s="404"/>
      <c r="M8119" s="682"/>
    </row>
    <row r="8120" spans="1:27" ht="25.5" hidden="1" x14ac:dyDescent="0.2">
      <c r="F8120" s="503" t="s">
        <v>255</v>
      </c>
      <c r="G8120" s="504" t="s">
        <v>256</v>
      </c>
      <c r="H8120" s="397"/>
      <c r="I8120" s="397"/>
      <c r="J8120" s="750" t="e">
        <f t="shared" si="110"/>
        <v>#DIV/0!</v>
      </c>
      <c r="K8120" s="398"/>
      <c r="L8120" s="404"/>
      <c r="M8120" s="682"/>
    </row>
    <row r="8121" spans="1:27" ht="25.5" hidden="1" x14ac:dyDescent="0.2">
      <c r="F8121" s="503" t="s">
        <v>257</v>
      </c>
      <c r="G8121" s="504" t="s">
        <v>258</v>
      </c>
      <c r="H8121" s="397"/>
      <c r="I8121" s="397"/>
      <c r="J8121" s="750" t="e">
        <f t="shared" si="110"/>
        <v>#DIV/0!</v>
      </c>
      <c r="K8121" s="398"/>
      <c r="L8121" s="404"/>
      <c r="M8121" s="682"/>
    </row>
    <row r="8122" spans="1:27" ht="25.5" hidden="1" x14ac:dyDescent="0.2">
      <c r="F8122" s="503" t="s">
        <v>259</v>
      </c>
      <c r="G8122" s="504" t="s">
        <v>260</v>
      </c>
      <c r="H8122" s="397"/>
      <c r="I8122" s="397"/>
      <c r="J8122" s="750" t="e">
        <f t="shared" si="110"/>
        <v>#DIV/0!</v>
      </c>
      <c r="K8122" s="398"/>
      <c r="L8122" s="404"/>
      <c r="M8122" s="682"/>
    </row>
    <row r="8123" spans="1:27" ht="25.5" hidden="1" x14ac:dyDescent="0.2">
      <c r="F8123" s="503" t="s">
        <v>261</v>
      </c>
      <c r="G8123" s="504" t="s">
        <v>262</v>
      </c>
      <c r="H8123" s="397"/>
      <c r="I8123" s="397"/>
      <c r="J8123" s="750" t="e">
        <f t="shared" si="110"/>
        <v>#DIV/0!</v>
      </c>
      <c r="K8123" s="398"/>
      <c r="L8123" s="404"/>
      <c r="M8123" s="682"/>
    </row>
    <row r="8124" spans="1:27" hidden="1" x14ac:dyDescent="0.2">
      <c r="F8124" s="503" t="s">
        <v>263</v>
      </c>
      <c r="G8124" s="504" t="s">
        <v>264</v>
      </c>
      <c r="H8124" s="403"/>
      <c r="I8124" s="403"/>
      <c r="J8124" s="750" t="e">
        <f t="shared" si="110"/>
        <v>#DIV/0!</v>
      </c>
      <c r="K8124" s="404"/>
      <c r="L8124" s="404"/>
      <c r="M8124" s="682"/>
    </row>
    <row r="8125" spans="1:27" ht="13.5" hidden="1" collapsed="1" thickBot="1" x14ac:dyDescent="0.25">
      <c r="G8125" s="505" t="s">
        <v>5003</v>
      </c>
      <c r="H8125" s="405">
        <f>SUM(H8109:H8124)</f>
        <v>0</v>
      </c>
      <c r="I8125" s="405"/>
      <c r="J8125" s="750" t="e">
        <f t="shared" si="110"/>
        <v>#DIV/0!</v>
      </c>
      <c r="K8125" s="406">
        <f>SUM(K8110:K8124)</f>
        <v>0</v>
      </c>
      <c r="L8125" s="406"/>
      <c r="M8125" s="682"/>
    </row>
    <row r="8126" spans="1:27" s="530" customFormat="1" hidden="1" x14ac:dyDescent="0.2">
      <c r="A8126" s="526"/>
      <c r="B8126" s="527"/>
      <c r="C8126" s="534"/>
      <c r="D8126" s="535"/>
      <c r="E8126" s="535"/>
      <c r="F8126" s="167"/>
      <c r="G8126" s="513"/>
      <c r="H8126" s="422"/>
      <c r="I8126" s="422"/>
      <c r="J8126" s="750" t="e">
        <f t="shared" si="110"/>
        <v>#DIV/0!</v>
      </c>
      <c r="K8126" s="423"/>
      <c r="L8126" s="424"/>
      <c r="M8126" s="682"/>
      <c r="N8126" s="171"/>
      <c r="O8126" s="171"/>
      <c r="P8126" s="171"/>
      <c r="Q8126" s="171"/>
      <c r="R8126" s="171"/>
      <c r="S8126" s="171"/>
      <c r="T8126" s="171"/>
      <c r="U8126" s="171"/>
      <c r="V8126" s="171"/>
      <c r="W8126" s="171"/>
      <c r="X8126" s="171"/>
      <c r="Y8126" s="171"/>
      <c r="Z8126" s="171"/>
      <c r="AA8126" s="171"/>
    </row>
    <row r="8127" spans="1:27" s="530" customFormat="1" x14ac:dyDescent="0.2">
      <c r="A8127" s="526"/>
      <c r="B8127" s="527"/>
      <c r="C8127" s="534"/>
      <c r="D8127" s="535"/>
      <c r="E8127" s="535"/>
      <c r="F8127" s="498"/>
      <c r="G8127" s="511" t="s">
        <v>4233</v>
      </c>
      <c r="H8127" s="413"/>
      <c r="I8127" s="413"/>
      <c r="J8127" s="750"/>
      <c r="K8127" s="414"/>
      <c r="L8127" s="415"/>
      <c r="M8127" s="682"/>
      <c r="N8127" s="171"/>
      <c r="O8127" s="171"/>
      <c r="P8127" s="171"/>
      <c r="Q8127" s="171"/>
      <c r="R8127" s="171"/>
      <c r="S8127" s="171"/>
      <c r="T8127" s="171"/>
      <c r="U8127" s="171"/>
      <c r="V8127" s="171"/>
      <c r="W8127" s="171"/>
      <c r="X8127" s="171"/>
      <c r="Y8127" s="171"/>
      <c r="Z8127" s="171"/>
      <c r="AA8127" s="171"/>
    </row>
    <row r="8128" spans="1:27" s="530" customFormat="1" ht="13.5" thickBot="1" x14ac:dyDescent="0.25">
      <c r="A8128" s="526"/>
      <c r="B8128" s="527"/>
      <c r="C8128" s="534"/>
      <c r="D8128" s="535"/>
      <c r="E8128" s="535"/>
      <c r="F8128" s="503" t="s">
        <v>234</v>
      </c>
      <c r="G8128" s="504" t="s">
        <v>235</v>
      </c>
      <c r="H8128" s="403">
        <f>SUM(H8109,H8010,H7911)</f>
        <v>25200487</v>
      </c>
      <c r="I8128" s="403">
        <f>SUM(I7927)</f>
        <v>23252506.77</v>
      </c>
      <c r="J8128" s="750">
        <f t="shared" si="110"/>
        <v>92.270069106204176</v>
      </c>
      <c r="K8128" s="404"/>
      <c r="L8128" s="404"/>
      <c r="M8128" s="682"/>
      <c r="N8128" s="171"/>
      <c r="O8128" s="171"/>
      <c r="P8128" s="171"/>
      <c r="Q8128" s="171"/>
      <c r="R8128" s="171"/>
      <c r="S8128" s="171"/>
      <c r="T8128" s="171"/>
      <c r="U8128" s="171"/>
      <c r="V8128" s="171"/>
      <c r="W8128" s="171"/>
      <c r="X8128" s="171"/>
      <c r="Y8128" s="171"/>
      <c r="Z8128" s="171"/>
      <c r="AA8128" s="171"/>
    </row>
    <row r="8129" spans="1:27" s="530" customFormat="1" ht="13.5" hidden="1" thickBot="1" x14ac:dyDescent="0.25">
      <c r="A8129" s="526"/>
      <c r="B8129" s="527"/>
      <c r="C8129" s="534"/>
      <c r="D8129" s="535"/>
      <c r="E8129" s="535"/>
      <c r="F8129" s="503" t="s">
        <v>236</v>
      </c>
      <c r="G8129" s="504" t="s">
        <v>237</v>
      </c>
      <c r="H8129" s="397"/>
      <c r="I8129" s="397"/>
      <c r="J8129" s="750" t="e">
        <f t="shared" si="110"/>
        <v>#DIV/0!</v>
      </c>
      <c r="K8129" s="398"/>
      <c r="L8129" s="404"/>
      <c r="M8129" s="682"/>
      <c r="N8129" s="171"/>
      <c r="O8129" s="171"/>
      <c r="P8129" s="171"/>
      <c r="Q8129" s="171"/>
      <c r="R8129" s="171"/>
      <c r="S8129" s="171"/>
      <c r="T8129" s="171"/>
      <c r="U8129" s="171"/>
      <c r="V8129" s="171"/>
      <c r="W8129" s="171"/>
      <c r="X8129" s="171"/>
      <c r="Y8129" s="171"/>
      <c r="Z8129" s="171"/>
      <c r="AA8129" s="171"/>
    </row>
    <row r="8130" spans="1:27" s="530" customFormat="1" ht="13.5" hidden="1" thickBot="1" x14ac:dyDescent="0.25">
      <c r="A8130" s="526"/>
      <c r="B8130" s="527"/>
      <c r="C8130" s="534"/>
      <c r="D8130" s="535"/>
      <c r="E8130" s="535"/>
      <c r="F8130" s="503" t="s">
        <v>238</v>
      </c>
      <c r="G8130" s="504" t="s">
        <v>239</v>
      </c>
      <c r="H8130" s="397"/>
      <c r="I8130" s="397"/>
      <c r="J8130" s="750" t="e">
        <f t="shared" si="110"/>
        <v>#DIV/0!</v>
      </c>
      <c r="K8130" s="398"/>
      <c r="L8130" s="404"/>
      <c r="M8130" s="682"/>
      <c r="N8130" s="171"/>
      <c r="O8130" s="171"/>
      <c r="P8130" s="171"/>
      <c r="Q8130" s="171"/>
      <c r="R8130" s="171"/>
      <c r="S8130" s="171"/>
      <c r="T8130" s="171"/>
      <c r="U8130" s="171"/>
      <c r="V8130" s="171"/>
      <c r="W8130" s="171"/>
      <c r="X8130" s="171"/>
      <c r="Y8130" s="171"/>
      <c r="Z8130" s="171"/>
      <c r="AA8130" s="171"/>
    </row>
    <row r="8131" spans="1:27" s="530" customFormat="1" ht="13.5" hidden="1" thickBot="1" x14ac:dyDescent="0.25">
      <c r="A8131" s="526"/>
      <c r="B8131" s="527"/>
      <c r="C8131" s="534"/>
      <c r="D8131" s="535"/>
      <c r="E8131" s="535"/>
      <c r="F8131" s="503" t="s">
        <v>240</v>
      </c>
      <c r="G8131" s="504" t="s">
        <v>241</v>
      </c>
      <c r="H8131" s="397"/>
      <c r="I8131" s="397"/>
      <c r="J8131" s="750" t="e">
        <f t="shared" si="110"/>
        <v>#DIV/0!</v>
      </c>
      <c r="K8131" s="398"/>
      <c r="L8131" s="404"/>
      <c r="M8131" s="682"/>
      <c r="N8131" s="171"/>
      <c r="O8131" s="171"/>
      <c r="P8131" s="171"/>
      <c r="Q8131" s="171"/>
      <c r="R8131" s="171"/>
      <c r="S8131" s="171"/>
      <c r="T8131" s="171"/>
      <c r="U8131" s="171"/>
      <c r="V8131" s="171"/>
      <c r="W8131" s="171"/>
      <c r="X8131" s="171"/>
      <c r="Y8131" s="171"/>
      <c r="Z8131" s="171"/>
      <c r="AA8131" s="171"/>
    </row>
    <row r="8132" spans="1:27" s="530" customFormat="1" ht="13.5" hidden="1" thickBot="1" x14ac:dyDescent="0.25">
      <c r="A8132" s="526"/>
      <c r="B8132" s="527"/>
      <c r="C8132" s="534"/>
      <c r="D8132" s="535"/>
      <c r="E8132" s="535"/>
      <c r="F8132" s="503" t="s">
        <v>242</v>
      </c>
      <c r="G8132" s="504" t="s">
        <v>243</v>
      </c>
      <c r="H8132" s="397"/>
      <c r="I8132" s="397"/>
      <c r="J8132" s="750" t="e">
        <f t="shared" si="110"/>
        <v>#DIV/0!</v>
      </c>
      <c r="K8132" s="398"/>
      <c r="L8132" s="404"/>
      <c r="M8132" s="682"/>
      <c r="N8132" s="171"/>
      <c r="O8132" s="171"/>
      <c r="P8132" s="171"/>
      <c r="Q8132" s="171"/>
      <c r="R8132" s="171"/>
      <c r="S8132" s="171"/>
      <c r="T8132" s="171"/>
      <c r="U8132" s="171"/>
      <c r="V8132" s="171"/>
      <c r="W8132" s="171"/>
      <c r="X8132" s="171"/>
      <c r="Y8132" s="171"/>
      <c r="Z8132" s="171"/>
      <c r="AA8132" s="171"/>
    </row>
    <row r="8133" spans="1:27" s="530" customFormat="1" ht="13.5" hidden="1" thickBot="1" x14ac:dyDescent="0.25">
      <c r="A8133" s="526"/>
      <c r="B8133" s="527"/>
      <c r="C8133" s="534"/>
      <c r="D8133" s="535"/>
      <c r="E8133" s="535"/>
      <c r="F8133" s="503" t="s">
        <v>244</v>
      </c>
      <c r="G8133" s="504" t="s">
        <v>245</v>
      </c>
      <c r="H8133" s="397"/>
      <c r="I8133" s="397"/>
      <c r="J8133" s="750" t="e">
        <f t="shared" si="110"/>
        <v>#DIV/0!</v>
      </c>
      <c r="K8133" s="398"/>
      <c r="L8133" s="404"/>
      <c r="M8133" s="682"/>
      <c r="N8133" s="171"/>
      <c r="O8133" s="171"/>
      <c r="P8133" s="171"/>
      <c r="Q8133" s="171"/>
      <c r="R8133" s="171"/>
      <c r="S8133" s="171"/>
      <c r="T8133" s="171"/>
      <c r="U8133" s="171"/>
      <c r="V8133" s="171"/>
      <c r="W8133" s="171"/>
      <c r="X8133" s="171"/>
      <c r="Y8133" s="171"/>
      <c r="Z8133" s="171"/>
      <c r="AA8133" s="171"/>
    </row>
    <row r="8134" spans="1:27" s="530" customFormat="1" ht="13.5" hidden="1" thickBot="1" x14ac:dyDescent="0.25">
      <c r="A8134" s="526"/>
      <c r="B8134" s="527"/>
      <c r="C8134" s="534"/>
      <c r="D8134" s="535"/>
      <c r="E8134" s="535"/>
      <c r="F8134" s="503" t="s">
        <v>246</v>
      </c>
      <c r="G8134" s="504" t="s">
        <v>247</v>
      </c>
      <c r="H8134" s="397"/>
      <c r="I8134" s="397"/>
      <c r="J8134" s="750" t="e">
        <f t="shared" si="110"/>
        <v>#DIV/0!</v>
      </c>
      <c r="K8134" s="398"/>
      <c r="L8134" s="404"/>
      <c r="M8134" s="682"/>
      <c r="N8134" s="171"/>
      <c r="O8134" s="171"/>
      <c r="P8134" s="171"/>
      <c r="Q8134" s="171"/>
      <c r="R8134" s="171"/>
      <c r="S8134" s="171"/>
      <c r="T8134" s="171"/>
      <c r="U8134" s="171"/>
      <c r="V8134" s="171"/>
      <c r="W8134" s="171"/>
      <c r="X8134" s="171"/>
      <c r="Y8134" s="171"/>
      <c r="Z8134" s="171"/>
      <c r="AA8134" s="171"/>
    </row>
    <row r="8135" spans="1:27" s="530" customFormat="1" ht="26.25" hidden="1" thickBot="1" x14ac:dyDescent="0.25">
      <c r="A8135" s="526"/>
      <c r="B8135" s="527"/>
      <c r="C8135" s="534"/>
      <c r="D8135" s="535"/>
      <c r="E8135" s="535"/>
      <c r="F8135" s="503" t="s">
        <v>248</v>
      </c>
      <c r="G8135" s="504" t="s">
        <v>249</v>
      </c>
      <c r="H8135" s="397"/>
      <c r="I8135" s="397"/>
      <c r="J8135" s="750" t="e">
        <f t="shared" si="110"/>
        <v>#DIV/0!</v>
      </c>
      <c r="K8135" s="398"/>
      <c r="L8135" s="404"/>
      <c r="M8135" s="682"/>
      <c r="N8135" s="171"/>
      <c r="O8135" s="171"/>
      <c r="P8135" s="171"/>
      <c r="Q8135" s="171"/>
      <c r="R8135" s="171"/>
      <c r="S8135" s="171"/>
      <c r="T8135" s="171"/>
      <c r="U8135" s="171"/>
      <c r="V8135" s="171"/>
      <c r="W8135" s="171"/>
      <c r="X8135" s="171"/>
      <c r="Y8135" s="171"/>
      <c r="Z8135" s="171"/>
      <c r="AA8135" s="171"/>
    </row>
    <row r="8136" spans="1:27" s="530" customFormat="1" ht="13.5" hidden="1" thickBot="1" x14ac:dyDescent="0.25">
      <c r="A8136" s="526"/>
      <c r="B8136" s="527"/>
      <c r="C8136" s="534"/>
      <c r="D8136" s="535"/>
      <c r="E8136" s="535"/>
      <c r="F8136" s="503" t="s">
        <v>250</v>
      </c>
      <c r="G8136" s="504" t="s">
        <v>57</v>
      </c>
      <c r="H8136" s="397"/>
      <c r="I8136" s="397"/>
      <c r="J8136" s="750" t="e">
        <f t="shared" si="110"/>
        <v>#DIV/0!</v>
      </c>
      <c r="K8136" s="398"/>
      <c r="L8136" s="404"/>
      <c r="M8136" s="682"/>
      <c r="N8136" s="171"/>
      <c r="O8136" s="171"/>
      <c r="P8136" s="171"/>
      <c r="Q8136" s="171"/>
      <c r="R8136" s="171"/>
      <c r="S8136" s="171"/>
      <c r="T8136" s="171"/>
      <c r="U8136" s="171"/>
      <c r="V8136" s="171"/>
      <c r="W8136" s="171"/>
      <c r="X8136" s="171"/>
      <c r="Y8136" s="171"/>
      <c r="Z8136" s="171"/>
      <c r="AA8136" s="171"/>
    </row>
    <row r="8137" spans="1:27" s="530" customFormat="1" ht="13.5" hidden="1" thickBot="1" x14ac:dyDescent="0.25">
      <c r="A8137" s="526"/>
      <c r="B8137" s="527"/>
      <c r="C8137" s="534"/>
      <c r="D8137" s="535"/>
      <c r="E8137" s="535"/>
      <c r="F8137" s="503" t="s">
        <v>251</v>
      </c>
      <c r="G8137" s="504" t="s">
        <v>252</v>
      </c>
      <c r="H8137" s="397"/>
      <c r="I8137" s="397"/>
      <c r="J8137" s="750" t="e">
        <f t="shared" si="110"/>
        <v>#DIV/0!</v>
      </c>
      <c r="K8137" s="398"/>
      <c r="L8137" s="404"/>
      <c r="M8137" s="682"/>
      <c r="N8137" s="171"/>
      <c r="O8137" s="171"/>
      <c r="P8137" s="171"/>
      <c r="Q8137" s="171"/>
      <c r="R8137" s="171"/>
      <c r="S8137" s="171"/>
      <c r="T8137" s="171"/>
      <c r="U8137" s="171"/>
      <c r="V8137" s="171"/>
      <c r="W8137" s="171"/>
      <c r="X8137" s="171"/>
      <c r="Y8137" s="171"/>
      <c r="Z8137" s="171"/>
      <c r="AA8137" s="171"/>
    </row>
    <row r="8138" spans="1:27" s="530" customFormat="1" ht="13.5" hidden="1" thickBot="1" x14ac:dyDescent="0.25">
      <c r="A8138" s="526"/>
      <c r="B8138" s="527"/>
      <c r="C8138" s="534"/>
      <c r="D8138" s="535"/>
      <c r="E8138" s="535"/>
      <c r="F8138" s="503" t="s">
        <v>253</v>
      </c>
      <c r="G8138" s="504" t="s">
        <v>254</v>
      </c>
      <c r="H8138" s="397"/>
      <c r="I8138" s="397"/>
      <c r="J8138" s="750" t="e">
        <f t="shared" si="110"/>
        <v>#DIV/0!</v>
      </c>
      <c r="K8138" s="398"/>
      <c r="L8138" s="404"/>
      <c r="M8138" s="682"/>
      <c r="N8138" s="171"/>
      <c r="O8138" s="171"/>
      <c r="P8138" s="171"/>
      <c r="Q8138" s="171"/>
      <c r="R8138" s="171"/>
      <c r="S8138" s="171"/>
      <c r="T8138" s="171"/>
      <c r="U8138" s="171"/>
      <c r="V8138" s="171"/>
      <c r="W8138" s="171"/>
      <c r="X8138" s="171"/>
      <c r="Y8138" s="171"/>
      <c r="Z8138" s="171"/>
      <c r="AA8138" s="171"/>
    </row>
    <row r="8139" spans="1:27" s="530" customFormat="1" ht="26.25" hidden="1" thickBot="1" x14ac:dyDescent="0.25">
      <c r="A8139" s="526"/>
      <c r="B8139" s="527"/>
      <c r="C8139" s="534"/>
      <c r="D8139" s="535"/>
      <c r="E8139" s="535"/>
      <c r="F8139" s="503" t="s">
        <v>255</v>
      </c>
      <c r="G8139" s="504" t="s">
        <v>256</v>
      </c>
      <c r="H8139" s="397"/>
      <c r="I8139" s="397"/>
      <c r="J8139" s="750" t="e">
        <f t="shared" si="110"/>
        <v>#DIV/0!</v>
      </c>
      <c r="K8139" s="398"/>
      <c r="L8139" s="404"/>
      <c r="M8139" s="682"/>
      <c r="N8139" s="171"/>
      <c r="O8139" s="171"/>
      <c r="P8139" s="171"/>
      <c r="Q8139" s="171"/>
      <c r="R8139" s="171"/>
      <c r="S8139" s="171"/>
      <c r="T8139" s="171"/>
      <c r="U8139" s="171"/>
      <c r="V8139" s="171"/>
      <c r="W8139" s="171"/>
      <c r="X8139" s="171"/>
      <c r="Y8139" s="171"/>
      <c r="Z8139" s="171"/>
      <c r="AA8139" s="171"/>
    </row>
    <row r="8140" spans="1:27" s="530" customFormat="1" ht="26.25" hidden="1" thickBot="1" x14ac:dyDescent="0.25">
      <c r="A8140" s="526"/>
      <c r="B8140" s="527"/>
      <c r="C8140" s="534"/>
      <c r="D8140" s="535"/>
      <c r="E8140" s="535"/>
      <c r="F8140" s="503" t="s">
        <v>257</v>
      </c>
      <c r="G8140" s="504" t="s">
        <v>258</v>
      </c>
      <c r="H8140" s="397"/>
      <c r="I8140" s="397"/>
      <c r="J8140" s="750" t="e">
        <f t="shared" si="110"/>
        <v>#DIV/0!</v>
      </c>
      <c r="K8140" s="398"/>
      <c r="L8140" s="404"/>
      <c r="M8140" s="682"/>
      <c r="N8140" s="171"/>
      <c r="O8140" s="171"/>
      <c r="P8140" s="171"/>
      <c r="Q8140" s="171"/>
      <c r="R8140" s="171"/>
      <c r="S8140" s="171"/>
      <c r="T8140" s="171"/>
      <c r="U8140" s="171"/>
      <c r="V8140" s="171"/>
      <c r="W8140" s="171"/>
      <c r="X8140" s="171"/>
      <c r="Y8140" s="171"/>
      <c r="Z8140" s="171"/>
      <c r="AA8140" s="171"/>
    </row>
    <row r="8141" spans="1:27" s="530" customFormat="1" ht="26.25" hidden="1" thickBot="1" x14ac:dyDescent="0.25">
      <c r="A8141" s="526"/>
      <c r="B8141" s="527"/>
      <c r="C8141" s="534"/>
      <c r="D8141" s="535"/>
      <c r="E8141" s="535"/>
      <c r="F8141" s="503" t="s">
        <v>259</v>
      </c>
      <c r="G8141" s="504" t="s">
        <v>260</v>
      </c>
      <c r="H8141" s="397"/>
      <c r="I8141" s="397"/>
      <c r="J8141" s="750" t="e">
        <f t="shared" si="110"/>
        <v>#DIV/0!</v>
      </c>
      <c r="K8141" s="398"/>
      <c r="L8141" s="404"/>
      <c r="M8141" s="682"/>
      <c r="N8141" s="171"/>
      <c r="O8141" s="171"/>
      <c r="P8141" s="171"/>
      <c r="Q8141" s="171"/>
      <c r="R8141" s="171"/>
      <c r="S8141" s="171"/>
      <c r="T8141" s="171"/>
      <c r="U8141" s="171"/>
      <c r="V8141" s="171"/>
      <c r="W8141" s="171"/>
      <c r="X8141" s="171"/>
      <c r="Y8141" s="171"/>
      <c r="Z8141" s="171"/>
      <c r="AA8141" s="171"/>
    </row>
    <row r="8142" spans="1:27" s="530" customFormat="1" ht="26.25" hidden="1" thickBot="1" x14ac:dyDescent="0.25">
      <c r="A8142" s="526"/>
      <c r="B8142" s="527"/>
      <c r="C8142" s="534"/>
      <c r="D8142" s="535"/>
      <c r="E8142" s="535"/>
      <c r="F8142" s="503" t="s">
        <v>261</v>
      </c>
      <c r="G8142" s="504" t="s">
        <v>262</v>
      </c>
      <c r="H8142" s="397"/>
      <c r="I8142" s="397"/>
      <c r="J8142" s="750" t="e">
        <f t="shared" ref="J8142:J8205" si="111">SUM(I8142/H8142)*100</f>
        <v>#DIV/0!</v>
      </c>
      <c r="K8142" s="398"/>
      <c r="L8142" s="404"/>
      <c r="M8142" s="682"/>
      <c r="N8142" s="171"/>
      <c r="O8142" s="171"/>
      <c r="P8142" s="171"/>
      <c r="Q8142" s="171"/>
      <c r="R8142" s="171"/>
      <c r="S8142" s="171"/>
      <c r="T8142" s="171"/>
      <c r="U8142" s="171"/>
      <c r="V8142" s="171"/>
      <c r="W8142" s="171"/>
      <c r="X8142" s="171"/>
      <c r="Y8142" s="171"/>
      <c r="Z8142" s="171"/>
      <c r="AA8142" s="171"/>
    </row>
    <row r="8143" spans="1:27" s="530" customFormat="1" ht="13.5" hidden="1" thickBot="1" x14ac:dyDescent="0.25">
      <c r="A8143" s="526"/>
      <c r="B8143" s="527"/>
      <c r="C8143" s="534"/>
      <c r="D8143" s="535"/>
      <c r="E8143" s="535"/>
      <c r="F8143" s="503" t="s">
        <v>263</v>
      </c>
      <c r="G8143" s="504" t="s">
        <v>264</v>
      </c>
      <c r="H8143" s="403"/>
      <c r="I8143" s="403"/>
      <c r="J8143" s="750" t="e">
        <f t="shared" si="111"/>
        <v>#DIV/0!</v>
      </c>
      <c r="K8143" s="404"/>
      <c r="L8143" s="404"/>
      <c r="M8143" s="682"/>
      <c r="N8143" s="171"/>
      <c r="O8143" s="171"/>
      <c r="P8143" s="171"/>
      <c r="Q8143" s="171"/>
      <c r="R8143" s="171"/>
      <c r="S8143" s="171"/>
      <c r="T8143" s="171"/>
      <c r="U8143" s="171"/>
      <c r="V8143" s="171"/>
      <c r="W8143" s="171"/>
      <c r="X8143" s="171"/>
      <c r="Y8143" s="171"/>
      <c r="Z8143" s="171"/>
      <c r="AA8143" s="171"/>
    </row>
    <row r="8144" spans="1:27" s="530" customFormat="1" ht="13.5" thickBot="1" x14ac:dyDescent="0.25">
      <c r="A8144" s="526"/>
      <c r="B8144" s="527"/>
      <c r="C8144" s="534"/>
      <c r="D8144" s="535"/>
      <c r="E8144" s="535"/>
      <c r="F8144" s="464"/>
      <c r="G8144" s="505" t="s">
        <v>4234</v>
      </c>
      <c r="H8144" s="405">
        <f>SUM(H8128:H8143)</f>
        <v>25200487</v>
      </c>
      <c r="I8144" s="405">
        <f>SUM(I8128)</f>
        <v>23252506.77</v>
      </c>
      <c r="J8144" s="750">
        <f t="shared" si="111"/>
        <v>92.270069106204176</v>
      </c>
      <c r="K8144" s="406">
        <f>SUM(K8129:K8143)</f>
        <v>0</v>
      </c>
      <c r="L8144" s="406"/>
      <c r="M8144" s="682"/>
      <c r="N8144" s="171"/>
      <c r="O8144" s="171"/>
      <c r="P8144" s="171"/>
      <c r="Q8144" s="171"/>
      <c r="R8144" s="171"/>
      <c r="S8144" s="171"/>
      <c r="T8144" s="171"/>
      <c r="U8144" s="171"/>
      <c r="V8144" s="171"/>
      <c r="W8144" s="171"/>
      <c r="X8144" s="171"/>
      <c r="Y8144" s="171"/>
      <c r="Z8144" s="171"/>
      <c r="AA8144" s="171"/>
    </row>
    <row r="8145" spans="1:27" s="530" customFormat="1" hidden="1" x14ac:dyDescent="0.2">
      <c r="A8145" s="526"/>
      <c r="B8145" s="527"/>
      <c r="C8145" s="534"/>
      <c r="D8145" s="535"/>
      <c r="E8145" s="535"/>
      <c r="F8145" s="464"/>
      <c r="G8145" s="510"/>
      <c r="H8145" s="411"/>
      <c r="I8145" s="411"/>
      <c r="J8145" s="750" t="e">
        <f t="shared" si="111"/>
        <v>#DIV/0!</v>
      </c>
      <c r="K8145" s="412"/>
      <c r="L8145" s="412"/>
      <c r="M8145" s="682"/>
      <c r="N8145" s="171"/>
      <c r="O8145" s="171"/>
      <c r="P8145" s="171"/>
      <c r="Q8145" s="171"/>
      <c r="R8145" s="171"/>
      <c r="S8145" s="171"/>
      <c r="T8145" s="171"/>
      <c r="U8145" s="171"/>
      <c r="V8145" s="171"/>
      <c r="W8145" s="171"/>
      <c r="X8145" s="171"/>
      <c r="Y8145" s="171"/>
      <c r="Z8145" s="171"/>
      <c r="AA8145" s="171"/>
    </row>
    <row r="8146" spans="1:27" s="530" customFormat="1" x14ac:dyDescent="0.2">
      <c r="A8146" s="526"/>
      <c r="B8146" s="527"/>
      <c r="C8146" s="534"/>
      <c r="D8146" s="535"/>
      <c r="E8146" s="535"/>
      <c r="F8146" s="498"/>
      <c r="G8146" s="511" t="s">
        <v>4309</v>
      </c>
      <c r="H8146" s="413"/>
      <c r="I8146" s="413"/>
      <c r="J8146" s="750"/>
      <c r="K8146" s="414"/>
      <c r="L8146" s="415"/>
      <c r="M8146" s="682"/>
      <c r="N8146" s="171"/>
      <c r="O8146" s="171"/>
      <c r="P8146" s="171"/>
      <c r="Q8146" s="171"/>
      <c r="R8146" s="171"/>
      <c r="S8146" s="171"/>
      <c r="T8146" s="171"/>
      <c r="U8146" s="171"/>
      <c r="V8146" s="171"/>
      <c r="W8146" s="171"/>
      <c r="X8146" s="171"/>
      <c r="Y8146" s="171"/>
      <c r="Z8146" s="171"/>
      <c r="AA8146" s="171"/>
    </row>
    <row r="8147" spans="1:27" s="530" customFormat="1" ht="13.5" thickBot="1" x14ac:dyDescent="0.25">
      <c r="A8147" s="526"/>
      <c r="B8147" s="527"/>
      <c r="C8147" s="534"/>
      <c r="D8147" s="535"/>
      <c r="E8147" s="535"/>
      <c r="F8147" s="503" t="s">
        <v>234</v>
      </c>
      <c r="G8147" s="504" t="s">
        <v>235</v>
      </c>
      <c r="H8147" s="403">
        <f>SUM(H8128)</f>
        <v>25200487</v>
      </c>
      <c r="I8147" s="403">
        <f>SUM(I8144)</f>
        <v>23252506.77</v>
      </c>
      <c r="J8147" s="750">
        <f t="shared" si="111"/>
        <v>92.270069106204176</v>
      </c>
      <c r="K8147" s="404"/>
      <c r="L8147" s="404"/>
      <c r="M8147" s="682"/>
      <c r="N8147" s="171"/>
      <c r="O8147" s="171"/>
      <c r="P8147" s="171"/>
      <c r="Q8147" s="171"/>
      <c r="R8147" s="171"/>
      <c r="S8147" s="171"/>
      <c r="T8147" s="171"/>
      <c r="U8147" s="171"/>
      <c r="V8147" s="171"/>
      <c r="W8147" s="171"/>
      <c r="X8147" s="171"/>
      <c r="Y8147" s="171"/>
      <c r="Z8147" s="171"/>
      <c r="AA8147" s="171"/>
    </row>
    <row r="8148" spans="1:27" s="530" customFormat="1" ht="13.5" hidden="1" thickBot="1" x14ac:dyDescent="0.25">
      <c r="A8148" s="526"/>
      <c r="B8148" s="527"/>
      <c r="C8148" s="534"/>
      <c r="D8148" s="535"/>
      <c r="E8148" s="535"/>
      <c r="F8148" s="503" t="s">
        <v>236</v>
      </c>
      <c r="G8148" s="504" t="s">
        <v>237</v>
      </c>
      <c r="H8148" s="397"/>
      <c r="I8148" s="397"/>
      <c r="J8148" s="750" t="e">
        <f t="shared" si="111"/>
        <v>#DIV/0!</v>
      </c>
      <c r="K8148" s="398"/>
      <c r="L8148" s="404"/>
      <c r="M8148" s="682"/>
      <c r="N8148" s="171"/>
      <c r="O8148" s="171"/>
      <c r="P8148" s="171"/>
      <c r="Q8148" s="171"/>
      <c r="R8148" s="171"/>
      <c r="S8148" s="171"/>
      <c r="T8148" s="171"/>
      <c r="U8148" s="171"/>
      <c r="V8148" s="171"/>
      <c r="W8148" s="171"/>
      <c r="X8148" s="171"/>
      <c r="Y8148" s="171"/>
      <c r="Z8148" s="171"/>
      <c r="AA8148" s="171"/>
    </row>
    <row r="8149" spans="1:27" s="530" customFormat="1" ht="13.5" hidden="1" thickBot="1" x14ac:dyDescent="0.25">
      <c r="A8149" s="526"/>
      <c r="B8149" s="527"/>
      <c r="C8149" s="534"/>
      <c r="D8149" s="535"/>
      <c r="E8149" s="535"/>
      <c r="F8149" s="503" t="s">
        <v>238</v>
      </c>
      <c r="G8149" s="504" t="s">
        <v>239</v>
      </c>
      <c r="H8149" s="397"/>
      <c r="I8149" s="397"/>
      <c r="J8149" s="750" t="e">
        <f t="shared" si="111"/>
        <v>#DIV/0!</v>
      </c>
      <c r="K8149" s="398"/>
      <c r="L8149" s="404"/>
      <c r="M8149" s="682"/>
      <c r="N8149" s="171"/>
      <c r="O8149" s="171"/>
      <c r="P8149" s="171"/>
      <c r="Q8149" s="171"/>
      <c r="R8149" s="171"/>
      <c r="S8149" s="171"/>
      <c r="T8149" s="171"/>
      <c r="U8149" s="171"/>
      <c r="V8149" s="171"/>
      <c r="W8149" s="171"/>
      <c r="X8149" s="171"/>
      <c r="Y8149" s="171"/>
      <c r="Z8149" s="171"/>
      <c r="AA8149" s="171"/>
    </row>
    <row r="8150" spans="1:27" s="530" customFormat="1" ht="13.5" hidden="1" thickBot="1" x14ac:dyDescent="0.25">
      <c r="A8150" s="526"/>
      <c r="B8150" s="527"/>
      <c r="C8150" s="534"/>
      <c r="D8150" s="535"/>
      <c r="E8150" s="535"/>
      <c r="F8150" s="503" t="s">
        <v>240</v>
      </c>
      <c r="G8150" s="504" t="s">
        <v>241</v>
      </c>
      <c r="H8150" s="397"/>
      <c r="I8150" s="397"/>
      <c r="J8150" s="750" t="e">
        <f t="shared" si="111"/>
        <v>#DIV/0!</v>
      </c>
      <c r="K8150" s="398"/>
      <c r="L8150" s="404"/>
      <c r="M8150" s="682"/>
      <c r="N8150" s="171"/>
      <c r="O8150" s="171"/>
      <c r="P8150" s="171"/>
      <c r="Q8150" s="171"/>
      <c r="R8150" s="171"/>
      <c r="S8150" s="171"/>
      <c r="T8150" s="171"/>
      <c r="U8150" s="171"/>
      <c r="V8150" s="171"/>
      <c r="W8150" s="171"/>
      <c r="X8150" s="171"/>
      <c r="Y8150" s="171"/>
      <c r="Z8150" s="171"/>
      <c r="AA8150" s="171"/>
    </row>
    <row r="8151" spans="1:27" s="530" customFormat="1" ht="13.5" hidden="1" thickBot="1" x14ac:dyDescent="0.25">
      <c r="A8151" s="526"/>
      <c r="B8151" s="527"/>
      <c r="C8151" s="534"/>
      <c r="D8151" s="535"/>
      <c r="E8151" s="535"/>
      <c r="F8151" s="503" t="s">
        <v>242</v>
      </c>
      <c r="G8151" s="504" t="s">
        <v>243</v>
      </c>
      <c r="H8151" s="397"/>
      <c r="I8151" s="397"/>
      <c r="J8151" s="750" t="e">
        <f t="shared" si="111"/>
        <v>#DIV/0!</v>
      </c>
      <c r="K8151" s="398"/>
      <c r="L8151" s="404"/>
      <c r="M8151" s="682"/>
      <c r="N8151" s="171"/>
      <c r="O8151" s="171"/>
      <c r="P8151" s="171"/>
      <c r="Q8151" s="171"/>
      <c r="R8151" s="171"/>
      <c r="S8151" s="171"/>
      <c r="T8151" s="171"/>
      <c r="U8151" s="171"/>
      <c r="V8151" s="171"/>
      <c r="W8151" s="171"/>
      <c r="X8151" s="171"/>
      <c r="Y8151" s="171"/>
      <c r="Z8151" s="171"/>
      <c r="AA8151" s="171"/>
    </row>
    <row r="8152" spans="1:27" s="530" customFormat="1" ht="13.5" hidden="1" thickBot="1" x14ac:dyDescent="0.25">
      <c r="A8152" s="526"/>
      <c r="B8152" s="527"/>
      <c r="C8152" s="534"/>
      <c r="D8152" s="535"/>
      <c r="E8152" s="535"/>
      <c r="F8152" s="503" t="s">
        <v>244</v>
      </c>
      <c r="G8152" s="504" t="s">
        <v>245</v>
      </c>
      <c r="H8152" s="397"/>
      <c r="I8152" s="397"/>
      <c r="J8152" s="750" t="e">
        <f t="shared" si="111"/>
        <v>#DIV/0!</v>
      </c>
      <c r="K8152" s="398"/>
      <c r="L8152" s="404"/>
      <c r="M8152" s="682"/>
      <c r="N8152" s="171"/>
      <c r="O8152" s="171"/>
      <c r="P8152" s="171"/>
      <c r="Q8152" s="171"/>
      <c r="R8152" s="171"/>
      <c r="S8152" s="171"/>
      <c r="T8152" s="171"/>
      <c r="U8152" s="171"/>
      <c r="V8152" s="171"/>
      <c r="W8152" s="171"/>
      <c r="X8152" s="171"/>
      <c r="Y8152" s="171"/>
      <c r="Z8152" s="171"/>
      <c r="AA8152" s="171"/>
    </row>
    <row r="8153" spans="1:27" s="530" customFormat="1" ht="13.5" hidden="1" thickBot="1" x14ac:dyDescent="0.25">
      <c r="A8153" s="526"/>
      <c r="B8153" s="527"/>
      <c r="C8153" s="534"/>
      <c r="D8153" s="535"/>
      <c r="E8153" s="535"/>
      <c r="F8153" s="503" t="s">
        <v>246</v>
      </c>
      <c r="G8153" s="504" t="s">
        <v>247</v>
      </c>
      <c r="H8153" s="397"/>
      <c r="I8153" s="397"/>
      <c r="J8153" s="750" t="e">
        <f t="shared" si="111"/>
        <v>#DIV/0!</v>
      </c>
      <c r="K8153" s="398"/>
      <c r="L8153" s="404"/>
      <c r="M8153" s="682"/>
      <c r="N8153" s="171"/>
      <c r="O8153" s="171"/>
      <c r="P8153" s="171"/>
      <c r="Q8153" s="171"/>
      <c r="R8153" s="171"/>
      <c r="S8153" s="171"/>
      <c r="T8153" s="171"/>
      <c r="U8153" s="171"/>
      <c r="V8153" s="171"/>
      <c r="W8153" s="171"/>
      <c r="X8153" s="171"/>
      <c r="Y8153" s="171"/>
      <c r="Z8153" s="171"/>
      <c r="AA8153" s="171"/>
    </row>
    <row r="8154" spans="1:27" s="530" customFormat="1" ht="26.25" hidden="1" thickBot="1" x14ac:dyDescent="0.25">
      <c r="A8154" s="526"/>
      <c r="B8154" s="527"/>
      <c r="C8154" s="534"/>
      <c r="D8154" s="535"/>
      <c r="E8154" s="535"/>
      <c r="F8154" s="503" t="s">
        <v>248</v>
      </c>
      <c r="G8154" s="504" t="s">
        <v>249</v>
      </c>
      <c r="H8154" s="397"/>
      <c r="I8154" s="397"/>
      <c r="J8154" s="750" t="e">
        <f t="shared" si="111"/>
        <v>#DIV/0!</v>
      </c>
      <c r="K8154" s="398"/>
      <c r="L8154" s="404"/>
      <c r="M8154" s="682"/>
      <c r="N8154" s="171"/>
      <c r="O8154" s="171"/>
      <c r="P8154" s="171"/>
      <c r="Q8154" s="171"/>
      <c r="R8154" s="171"/>
      <c r="S8154" s="171"/>
      <c r="T8154" s="171"/>
      <c r="U8154" s="171"/>
      <c r="V8154" s="171"/>
      <c r="W8154" s="171"/>
      <c r="X8154" s="171"/>
      <c r="Y8154" s="171"/>
      <c r="Z8154" s="171"/>
      <c r="AA8154" s="171"/>
    </row>
    <row r="8155" spans="1:27" s="530" customFormat="1" ht="13.5" hidden="1" thickBot="1" x14ac:dyDescent="0.25">
      <c r="A8155" s="526"/>
      <c r="B8155" s="527"/>
      <c r="C8155" s="534"/>
      <c r="D8155" s="535"/>
      <c r="E8155" s="535"/>
      <c r="F8155" s="503" t="s">
        <v>250</v>
      </c>
      <c r="G8155" s="504" t="s">
        <v>57</v>
      </c>
      <c r="H8155" s="397"/>
      <c r="I8155" s="397"/>
      <c r="J8155" s="750" t="e">
        <f t="shared" si="111"/>
        <v>#DIV/0!</v>
      </c>
      <c r="K8155" s="398"/>
      <c r="L8155" s="404"/>
      <c r="M8155" s="682"/>
      <c r="N8155" s="171"/>
      <c r="O8155" s="171"/>
      <c r="P8155" s="171"/>
      <c r="Q8155" s="171"/>
      <c r="R8155" s="171"/>
      <c r="S8155" s="171"/>
      <c r="T8155" s="171"/>
      <c r="U8155" s="171"/>
      <c r="V8155" s="171"/>
      <c r="W8155" s="171"/>
      <c r="X8155" s="171"/>
      <c r="Y8155" s="171"/>
      <c r="Z8155" s="171"/>
      <c r="AA8155" s="171"/>
    </row>
    <row r="8156" spans="1:27" s="530" customFormat="1" ht="13.5" hidden="1" thickBot="1" x14ac:dyDescent="0.25">
      <c r="A8156" s="526"/>
      <c r="B8156" s="527"/>
      <c r="C8156" s="534"/>
      <c r="D8156" s="535"/>
      <c r="E8156" s="535"/>
      <c r="F8156" s="503" t="s">
        <v>251</v>
      </c>
      <c r="G8156" s="504" t="s">
        <v>252</v>
      </c>
      <c r="H8156" s="397"/>
      <c r="I8156" s="397"/>
      <c r="J8156" s="750" t="e">
        <f t="shared" si="111"/>
        <v>#DIV/0!</v>
      </c>
      <c r="K8156" s="398"/>
      <c r="L8156" s="404"/>
      <c r="M8156" s="682"/>
      <c r="N8156" s="171"/>
      <c r="O8156" s="171"/>
      <c r="P8156" s="171"/>
      <c r="Q8156" s="171"/>
      <c r="R8156" s="171"/>
      <c r="S8156" s="171"/>
      <c r="T8156" s="171"/>
      <c r="U8156" s="171"/>
      <c r="V8156" s="171"/>
      <c r="W8156" s="171"/>
      <c r="X8156" s="171"/>
      <c r="Y8156" s="171"/>
      <c r="Z8156" s="171"/>
      <c r="AA8156" s="171"/>
    </row>
    <row r="8157" spans="1:27" s="530" customFormat="1" ht="13.5" hidden="1" thickBot="1" x14ac:dyDescent="0.25">
      <c r="A8157" s="526"/>
      <c r="B8157" s="527"/>
      <c r="C8157" s="534"/>
      <c r="D8157" s="535"/>
      <c r="E8157" s="535"/>
      <c r="F8157" s="503" t="s">
        <v>253</v>
      </c>
      <c r="G8157" s="504" t="s">
        <v>254</v>
      </c>
      <c r="H8157" s="397"/>
      <c r="I8157" s="397"/>
      <c r="J8157" s="750" t="e">
        <f t="shared" si="111"/>
        <v>#DIV/0!</v>
      </c>
      <c r="K8157" s="398"/>
      <c r="L8157" s="404"/>
      <c r="M8157" s="682"/>
      <c r="N8157" s="171"/>
      <c r="O8157" s="171"/>
      <c r="P8157" s="171"/>
      <c r="Q8157" s="171"/>
      <c r="R8157" s="171"/>
      <c r="S8157" s="171"/>
      <c r="T8157" s="171"/>
      <c r="U8157" s="171"/>
      <c r="V8157" s="171"/>
      <c r="W8157" s="171"/>
      <c r="X8157" s="171"/>
      <c r="Y8157" s="171"/>
      <c r="Z8157" s="171"/>
      <c r="AA8157" s="171"/>
    </row>
    <row r="8158" spans="1:27" s="530" customFormat="1" ht="26.25" hidden="1" thickBot="1" x14ac:dyDescent="0.25">
      <c r="A8158" s="526"/>
      <c r="B8158" s="527"/>
      <c r="C8158" s="534"/>
      <c r="D8158" s="535"/>
      <c r="E8158" s="535"/>
      <c r="F8158" s="503" t="s">
        <v>255</v>
      </c>
      <c r="G8158" s="504" t="s">
        <v>256</v>
      </c>
      <c r="H8158" s="397"/>
      <c r="I8158" s="397"/>
      <c r="J8158" s="750" t="e">
        <f t="shared" si="111"/>
        <v>#DIV/0!</v>
      </c>
      <c r="K8158" s="398"/>
      <c r="L8158" s="404"/>
      <c r="M8158" s="682"/>
      <c r="N8158" s="171"/>
      <c r="O8158" s="171"/>
      <c r="P8158" s="171"/>
      <c r="Q8158" s="171"/>
      <c r="R8158" s="171"/>
      <c r="S8158" s="171"/>
      <c r="T8158" s="171"/>
      <c r="U8158" s="171"/>
      <c r="V8158" s="171"/>
      <c r="W8158" s="171"/>
      <c r="X8158" s="171"/>
      <c r="Y8158" s="171"/>
      <c r="Z8158" s="171"/>
      <c r="AA8158" s="171"/>
    </row>
    <row r="8159" spans="1:27" s="530" customFormat="1" ht="26.25" hidden="1" thickBot="1" x14ac:dyDescent="0.25">
      <c r="A8159" s="526"/>
      <c r="B8159" s="527"/>
      <c r="C8159" s="534"/>
      <c r="D8159" s="535"/>
      <c r="E8159" s="535"/>
      <c r="F8159" s="503" t="s">
        <v>257</v>
      </c>
      <c r="G8159" s="504" t="s">
        <v>258</v>
      </c>
      <c r="H8159" s="397"/>
      <c r="I8159" s="397"/>
      <c r="J8159" s="750" t="e">
        <f t="shared" si="111"/>
        <v>#DIV/0!</v>
      </c>
      <c r="K8159" s="398"/>
      <c r="L8159" s="404"/>
      <c r="M8159" s="682"/>
      <c r="N8159" s="171"/>
      <c r="O8159" s="171"/>
      <c r="P8159" s="171"/>
      <c r="Q8159" s="171"/>
      <c r="R8159" s="171"/>
      <c r="S8159" s="171"/>
      <c r="T8159" s="171"/>
      <c r="U8159" s="171"/>
      <c r="V8159" s="171"/>
      <c r="W8159" s="171"/>
      <c r="X8159" s="171"/>
      <c r="Y8159" s="171"/>
      <c r="Z8159" s="171"/>
      <c r="AA8159" s="171"/>
    </row>
    <row r="8160" spans="1:27" s="530" customFormat="1" ht="26.25" hidden="1" thickBot="1" x14ac:dyDescent="0.25">
      <c r="A8160" s="526"/>
      <c r="B8160" s="527"/>
      <c r="C8160" s="534"/>
      <c r="D8160" s="535"/>
      <c r="E8160" s="535"/>
      <c r="F8160" s="503" t="s">
        <v>259</v>
      </c>
      <c r="G8160" s="504" t="s">
        <v>260</v>
      </c>
      <c r="H8160" s="397"/>
      <c r="I8160" s="397"/>
      <c r="J8160" s="750" t="e">
        <f t="shared" si="111"/>
        <v>#DIV/0!</v>
      </c>
      <c r="K8160" s="398"/>
      <c r="L8160" s="404"/>
      <c r="M8160" s="682"/>
      <c r="N8160" s="171"/>
      <c r="O8160" s="171"/>
      <c r="P8160" s="171"/>
      <c r="Q8160" s="171"/>
      <c r="R8160" s="171"/>
      <c r="S8160" s="171"/>
      <c r="T8160" s="171"/>
      <c r="U8160" s="171"/>
      <c r="V8160" s="171"/>
      <c r="W8160" s="171"/>
      <c r="X8160" s="171"/>
      <c r="Y8160" s="171"/>
      <c r="Z8160" s="171"/>
      <c r="AA8160" s="171"/>
    </row>
    <row r="8161" spans="1:27" s="530" customFormat="1" ht="26.25" hidden="1" thickBot="1" x14ac:dyDescent="0.25">
      <c r="A8161" s="526"/>
      <c r="B8161" s="527"/>
      <c r="C8161" s="534"/>
      <c r="D8161" s="535"/>
      <c r="E8161" s="535"/>
      <c r="F8161" s="503" t="s">
        <v>261</v>
      </c>
      <c r="G8161" s="504" t="s">
        <v>262</v>
      </c>
      <c r="H8161" s="397"/>
      <c r="I8161" s="397"/>
      <c r="J8161" s="750" t="e">
        <f t="shared" si="111"/>
        <v>#DIV/0!</v>
      </c>
      <c r="K8161" s="398"/>
      <c r="L8161" s="404"/>
      <c r="M8161" s="682"/>
      <c r="N8161" s="171"/>
      <c r="O8161" s="171"/>
      <c r="P8161" s="171"/>
      <c r="Q8161" s="171"/>
      <c r="R8161" s="171"/>
      <c r="S8161" s="171"/>
      <c r="T8161" s="171"/>
      <c r="U8161" s="171"/>
      <c r="V8161" s="171"/>
      <c r="W8161" s="171"/>
      <c r="X8161" s="171"/>
      <c r="Y8161" s="171"/>
      <c r="Z8161" s="171"/>
      <c r="AA8161" s="171"/>
    </row>
    <row r="8162" spans="1:27" s="530" customFormat="1" ht="13.5" hidden="1" thickBot="1" x14ac:dyDescent="0.25">
      <c r="A8162" s="526"/>
      <c r="B8162" s="527"/>
      <c r="C8162" s="534"/>
      <c r="D8162" s="535"/>
      <c r="E8162" s="535"/>
      <c r="F8162" s="503" t="s">
        <v>263</v>
      </c>
      <c r="G8162" s="504" t="s">
        <v>264</v>
      </c>
      <c r="H8162" s="403"/>
      <c r="I8162" s="403"/>
      <c r="J8162" s="750" t="e">
        <f t="shared" si="111"/>
        <v>#DIV/0!</v>
      </c>
      <c r="K8162" s="404"/>
      <c r="L8162" s="404"/>
      <c r="M8162" s="682"/>
      <c r="N8162" s="171"/>
      <c r="O8162" s="171"/>
      <c r="P8162" s="171"/>
      <c r="Q8162" s="171"/>
      <c r="R8162" s="171"/>
      <c r="S8162" s="171"/>
      <c r="T8162" s="171"/>
      <c r="U8162" s="171"/>
      <c r="V8162" s="171"/>
      <c r="W8162" s="171"/>
      <c r="X8162" s="171"/>
      <c r="Y8162" s="171"/>
      <c r="Z8162" s="171"/>
      <c r="AA8162" s="171"/>
    </row>
    <row r="8163" spans="1:27" s="530" customFormat="1" ht="15" customHeight="1" thickBot="1" x14ac:dyDescent="0.25">
      <c r="A8163" s="526"/>
      <c r="B8163" s="527"/>
      <c r="C8163" s="534"/>
      <c r="D8163" s="535"/>
      <c r="E8163" s="535"/>
      <c r="F8163" s="464"/>
      <c r="G8163" s="505" t="s">
        <v>4434</v>
      </c>
      <c r="H8163" s="405">
        <f>SUM(H8147:H8162)</f>
        <v>25200487</v>
      </c>
      <c r="I8163" s="405">
        <f>SUM(I8147)</f>
        <v>23252506.77</v>
      </c>
      <c r="J8163" s="750">
        <f t="shared" si="111"/>
        <v>92.270069106204176</v>
      </c>
      <c r="K8163" s="406">
        <f>SUM(K8148:K8162)</f>
        <v>0</v>
      </c>
      <c r="L8163" s="406"/>
      <c r="M8163" s="682"/>
      <c r="N8163" s="171"/>
      <c r="O8163" s="171"/>
      <c r="P8163" s="171"/>
      <c r="Q8163" s="171"/>
      <c r="R8163" s="171"/>
      <c r="S8163" s="171"/>
      <c r="T8163" s="171"/>
      <c r="U8163" s="171"/>
      <c r="V8163" s="171"/>
      <c r="W8163" s="171"/>
      <c r="X8163" s="171"/>
      <c r="Y8163" s="171"/>
      <c r="Z8163" s="171"/>
      <c r="AA8163" s="171"/>
    </row>
    <row r="8164" spans="1:27" s="530" customFormat="1" ht="15.75" hidden="1" customHeight="1" x14ac:dyDescent="0.2">
      <c r="A8164" s="526"/>
      <c r="B8164" s="527"/>
      <c r="C8164" s="534"/>
      <c r="D8164" s="535"/>
      <c r="E8164" s="535"/>
      <c r="F8164" s="464"/>
      <c r="G8164" s="510"/>
      <c r="H8164" s="411"/>
      <c r="I8164" s="411"/>
      <c r="J8164" s="750" t="e">
        <f t="shared" si="111"/>
        <v>#DIV/0!</v>
      </c>
      <c r="K8164" s="412"/>
      <c r="L8164" s="412"/>
      <c r="M8164" s="682"/>
      <c r="N8164" s="171"/>
      <c r="O8164" s="171"/>
      <c r="P8164" s="171"/>
      <c r="Q8164" s="171"/>
      <c r="R8164" s="171"/>
      <c r="S8164" s="171"/>
      <c r="T8164" s="171"/>
      <c r="U8164" s="171"/>
      <c r="V8164" s="171"/>
      <c r="W8164" s="171"/>
      <c r="X8164" s="171"/>
      <c r="Y8164" s="171"/>
      <c r="Z8164" s="171"/>
      <c r="AA8164" s="171"/>
    </row>
    <row r="8165" spans="1:27" s="530" customFormat="1" hidden="1" x14ac:dyDescent="0.2">
      <c r="A8165" s="526"/>
      <c r="B8165" s="527"/>
      <c r="C8165" s="534"/>
      <c r="D8165" s="535"/>
      <c r="E8165" s="535"/>
      <c r="F8165" s="464"/>
      <c r="G8165" s="510"/>
      <c r="H8165" s="411"/>
      <c r="I8165" s="411"/>
      <c r="J8165" s="750" t="e">
        <f t="shared" si="111"/>
        <v>#DIV/0!</v>
      </c>
      <c r="K8165" s="412"/>
      <c r="L8165" s="412"/>
      <c r="M8165" s="682"/>
      <c r="N8165" s="171"/>
      <c r="O8165" s="171"/>
      <c r="P8165" s="171"/>
      <c r="Q8165" s="171"/>
      <c r="R8165" s="171"/>
      <c r="S8165" s="171"/>
      <c r="T8165" s="171"/>
      <c r="U8165" s="171"/>
      <c r="V8165" s="171"/>
      <c r="W8165" s="171"/>
      <c r="X8165" s="171"/>
      <c r="Y8165" s="171"/>
      <c r="Z8165" s="171"/>
      <c r="AA8165" s="171"/>
    </row>
    <row r="8166" spans="1:27" hidden="1" x14ac:dyDescent="0.2">
      <c r="A8166" s="483"/>
      <c r="B8166" s="483"/>
      <c r="C8166" s="484"/>
      <c r="D8166" s="485"/>
      <c r="E8166" s="485"/>
      <c r="F8166" s="485"/>
      <c r="G8166" s="486" t="s">
        <v>5093</v>
      </c>
      <c r="H8166" s="416"/>
      <c r="I8166" s="416"/>
      <c r="J8166" s="750" t="e">
        <f t="shared" si="111"/>
        <v>#DIV/0!</v>
      </c>
      <c r="K8166" s="417"/>
      <c r="L8166" s="417"/>
      <c r="M8166" s="682"/>
    </row>
    <row r="8167" spans="1:27" s="530" customFormat="1" hidden="1" x14ac:dyDescent="0.2">
      <c r="A8167" s="526"/>
      <c r="B8167" s="527"/>
      <c r="C8167" s="528" t="s">
        <v>3558</v>
      </c>
      <c r="D8167" s="464"/>
      <c r="E8167" s="464"/>
      <c r="F8167" s="464"/>
      <c r="G8167" s="529" t="s">
        <v>4226</v>
      </c>
      <c r="H8167" s="422"/>
      <c r="I8167" s="422"/>
      <c r="J8167" s="750" t="e">
        <f t="shared" si="111"/>
        <v>#DIV/0!</v>
      </c>
      <c r="K8167" s="423"/>
      <c r="L8167" s="424"/>
      <c r="M8167" s="682"/>
      <c r="N8167" s="171"/>
      <c r="O8167" s="171"/>
      <c r="P8167" s="171"/>
      <c r="Q8167" s="171"/>
      <c r="R8167" s="171"/>
      <c r="S8167" s="171"/>
      <c r="T8167" s="171"/>
      <c r="U8167" s="171"/>
      <c r="V8167" s="171"/>
      <c r="W8167" s="171"/>
      <c r="X8167" s="171"/>
      <c r="Y8167" s="171"/>
      <c r="Z8167" s="171"/>
      <c r="AA8167" s="171"/>
    </row>
    <row r="8168" spans="1:27" s="530" customFormat="1" hidden="1" x14ac:dyDescent="0.2">
      <c r="A8168" s="526"/>
      <c r="B8168" s="527"/>
      <c r="C8168" s="531" t="s">
        <v>4052</v>
      </c>
      <c r="D8168" s="490"/>
      <c r="E8168" s="490"/>
      <c r="F8168" s="532"/>
      <c r="G8168" s="178" t="s">
        <v>4054</v>
      </c>
      <c r="H8168" s="422"/>
      <c r="I8168" s="422"/>
      <c r="J8168" s="750" t="e">
        <f t="shared" si="111"/>
        <v>#DIV/0!</v>
      </c>
      <c r="K8168" s="423"/>
      <c r="L8168" s="424"/>
      <c r="M8168" s="682"/>
      <c r="N8168" s="171"/>
      <c r="O8168" s="171"/>
      <c r="P8168" s="171"/>
      <c r="Q8168" s="171"/>
      <c r="R8168" s="171"/>
      <c r="S8168" s="171"/>
      <c r="T8168" s="171"/>
      <c r="U8168" s="171"/>
      <c r="V8168" s="171"/>
      <c r="W8168" s="171"/>
      <c r="X8168" s="171"/>
      <c r="Y8168" s="171"/>
      <c r="Z8168" s="171"/>
      <c r="AA8168" s="171"/>
    </row>
    <row r="8169" spans="1:27" s="530" customFormat="1" hidden="1" x14ac:dyDescent="0.2">
      <c r="A8169" s="526"/>
      <c r="B8169" s="527"/>
      <c r="C8169" s="528"/>
      <c r="D8169" s="492">
        <v>620</v>
      </c>
      <c r="E8169" s="492"/>
      <c r="F8169" s="492"/>
      <c r="G8169" s="533" t="s">
        <v>182</v>
      </c>
      <c r="H8169" s="422"/>
      <c r="I8169" s="422"/>
      <c r="J8169" s="750" t="e">
        <f t="shared" si="111"/>
        <v>#DIV/0!</v>
      </c>
      <c r="K8169" s="423"/>
      <c r="L8169" s="424"/>
      <c r="M8169" s="682"/>
      <c r="N8169" s="171"/>
      <c r="O8169" s="171"/>
      <c r="P8169" s="171"/>
      <c r="Q8169" s="171"/>
      <c r="R8169" s="171"/>
      <c r="S8169" s="171"/>
      <c r="T8169" s="171"/>
      <c r="U8169" s="171"/>
      <c r="V8169" s="171"/>
      <c r="W8169" s="171"/>
      <c r="X8169" s="171"/>
      <c r="Y8169" s="171"/>
      <c r="Z8169" s="171"/>
      <c r="AA8169" s="171"/>
    </row>
    <row r="8170" spans="1:27" s="530" customFormat="1" hidden="1" x14ac:dyDescent="0.2">
      <c r="A8170" s="526"/>
      <c r="B8170" s="527"/>
      <c r="C8170" s="528"/>
      <c r="D8170" s="492"/>
      <c r="E8170" s="492"/>
      <c r="F8170" s="464">
        <v>411</v>
      </c>
      <c r="G8170" s="495" t="s">
        <v>4167</v>
      </c>
      <c r="H8170" s="422"/>
      <c r="I8170" s="422"/>
      <c r="J8170" s="750" t="e">
        <f t="shared" si="111"/>
        <v>#DIV/0!</v>
      </c>
      <c r="K8170" s="423"/>
      <c r="L8170" s="424"/>
      <c r="M8170" s="682"/>
      <c r="N8170" s="171"/>
      <c r="O8170" s="171"/>
      <c r="P8170" s="171"/>
      <c r="Q8170" s="171"/>
      <c r="R8170" s="171"/>
      <c r="S8170" s="171"/>
      <c r="T8170" s="171"/>
      <c r="U8170" s="171"/>
      <c r="V8170" s="171"/>
      <c r="W8170" s="171"/>
      <c r="X8170" s="171"/>
      <c r="Y8170" s="171"/>
      <c r="Z8170" s="171"/>
      <c r="AA8170" s="171"/>
    </row>
    <row r="8171" spans="1:27" s="530" customFormat="1" hidden="1" x14ac:dyDescent="0.2">
      <c r="A8171" s="526"/>
      <c r="B8171" s="527"/>
      <c r="C8171" s="528"/>
      <c r="D8171" s="492"/>
      <c r="E8171" s="492"/>
      <c r="F8171" s="464">
        <v>412</v>
      </c>
      <c r="G8171" s="496" t="s">
        <v>3764</v>
      </c>
      <c r="H8171" s="422"/>
      <c r="I8171" s="422"/>
      <c r="J8171" s="750" t="e">
        <f t="shared" si="111"/>
        <v>#DIV/0!</v>
      </c>
      <c r="K8171" s="423"/>
      <c r="L8171" s="424"/>
      <c r="M8171" s="682"/>
      <c r="N8171" s="171"/>
      <c r="O8171" s="171"/>
      <c r="P8171" s="171"/>
      <c r="Q8171" s="171"/>
      <c r="R8171" s="171"/>
      <c r="S8171" s="171"/>
      <c r="T8171" s="171"/>
      <c r="U8171" s="171"/>
      <c r="V8171" s="171"/>
      <c r="W8171" s="171"/>
      <c r="X8171" s="171"/>
      <c r="Y8171" s="171"/>
      <c r="Z8171" s="171"/>
      <c r="AA8171" s="171"/>
    </row>
    <row r="8172" spans="1:27" s="530" customFormat="1" hidden="1" x14ac:dyDescent="0.2">
      <c r="A8172" s="526"/>
      <c r="B8172" s="527"/>
      <c r="C8172" s="534"/>
      <c r="D8172" s="535"/>
      <c r="E8172" s="535"/>
      <c r="F8172" s="494">
        <v>422</v>
      </c>
      <c r="G8172" s="495" t="s">
        <v>3778</v>
      </c>
      <c r="H8172" s="422"/>
      <c r="I8172" s="422"/>
      <c r="J8172" s="750" t="e">
        <f t="shared" si="111"/>
        <v>#DIV/0!</v>
      </c>
      <c r="K8172" s="423"/>
      <c r="L8172" s="424"/>
      <c r="M8172" s="682"/>
      <c r="N8172" s="171"/>
      <c r="O8172" s="171"/>
      <c r="P8172" s="171"/>
      <c r="Q8172" s="171"/>
      <c r="R8172" s="171"/>
      <c r="S8172" s="171"/>
      <c r="T8172" s="171"/>
      <c r="U8172" s="171"/>
      <c r="V8172" s="171"/>
      <c r="W8172" s="171"/>
      <c r="X8172" s="171"/>
      <c r="Y8172" s="171"/>
      <c r="Z8172" s="171"/>
      <c r="AA8172" s="171"/>
    </row>
    <row r="8173" spans="1:27" s="530" customFormat="1" hidden="1" x14ac:dyDescent="0.2">
      <c r="A8173" s="526"/>
      <c r="B8173" s="527"/>
      <c r="C8173" s="534"/>
      <c r="D8173" s="535"/>
      <c r="E8173" s="535"/>
      <c r="F8173" s="494">
        <v>423</v>
      </c>
      <c r="G8173" s="495" t="s">
        <v>3779</v>
      </c>
      <c r="H8173" s="422"/>
      <c r="I8173" s="422"/>
      <c r="J8173" s="750" t="e">
        <f t="shared" si="111"/>
        <v>#DIV/0!</v>
      </c>
      <c r="K8173" s="423"/>
      <c r="L8173" s="424"/>
      <c r="M8173" s="682"/>
      <c r="N8173" s="171"/>
      <c r="O8173" s="171"/>
      <c r="P8173" s="171"/>
      <c r="Q8173" s="171"/>
      <c r="R8173" s="171"/>
      <c r="S8173" s="171"/>
      <c r="T8173" s="171"/>
      <c r="U8173" s="171"/>
      <c r="V8173" s="171"/>
      <c r="W8173" s="171"/>
      <c r="X8173" s="171"/>
      <c r="Y8173" s="171"/>
      <c r="Z8173" s="171"/>
      <c r="AA8173" s="171"/>
    </row>
    <row r="8174" spans="1:27" s="530" customFormat="1" hidden="1" x14ac:dyDescent="0.2">
      <c r="A8174" s="526"/>
      <c r="B8174" s="527"/>
      <c r="C8174" s="534"/>
      <c r="D8174" s="535"/>
      <c r="E8174" s="535"/>
      <c r="F8174" s="494">
        <v>424</v>
      </c>
      <c r="G8174" s="495" t="s">
        <v>3781</v>
      </c>
      <c r="H8174" s="422"/>
      <c r="I8174" s="422"/>
      <c r="J8174" s="750" t="e">
        <f t="shared" si="111"/>
        <v>#DIV/0!</v>
      </c>
      <c r="K8174" s="423"/>
      <c r="L8174" s="424"/>
      <c r="M8174" s="682"/>
      <c r="N8174" s="171"/>
      <c r="O8174" s="171"/>
      <c r="P8174" s="171"/>
      <c r="Q8174" s="171"/>
      <c r="R8174" s="171"/>
      <c r="S8174" s="171"/>
      <c r="T8174" s="171"/>
      <c r="U8174" s="171"/>
      <c r="V8174" s="171"/>
      <c r="W8174" s="171"/>
      <c r="X8174" s="171"/>
      <c r="Y8174" s="171"/>
      <c r="Z8174" s="171"/>
      <c r="AA8174" s="171"/>
    </row>
    <row r="8175" spans="1:27" s="530" customFormat="1" hidden="1" x14ac:dyDescent="0.2">
      <c r="A8175" s="526"/>
      <c r="B8175" s="527"/>
      <c r="C8175" s="534"/>
      <c r="D8175" s="535"/>
      <c r="E8175" s="535"/>
      <c r="F8175" s="494">
        <v>425</v>
      </c>
      <c r="G8175" s="495" t="s">
        <v>4180</v>
      </c>
      <c r="H8175" s="422"/>
      <c r="I8175" s="422"/>
      <c r="J8175" s="750" t="e">
        <f t="shared" si="111"/>
        <v>#DIV/0!</v>
      </c>
      <c r="K8175" s="423"/>
      <c r="L8175" s="424"/>
      <c r="M8175" s="682"/>
      <c r="N8175" s="171"/>
      <c r="O8175" s="171"/>
      <c r="P8175" s="171"/>
      <c r="Q8175" s="171"/>
      <c r="R8175" s="171"/>
      <c r="S8175" s="171"/>
      <c r="T8175" s="171"/>
      <c r="U8175" s="171"/>
      <c r="V8175" s="171"/>
      <c r="W8175" s="171"/>
      <c r="X8175" s="171"/>
      <c r="Y8175" s="171"/>
      <c r="Z8175" s="171"/>
      <c r="AA8175" s="171"/>
    </row>
    <row r="8176" spans="1:27" s="530" customFormat="1" hidden="1" x14ac:dyDescent="0.2">
      <c r="A8176" s="526"/>
      <c r="B8176" s="527"/>
      <c r="C8176" s="534"/>
      <c r="D8176" s="535"/>
      <c r="E8176" s="535"/>
      <c r="F8176" s="494">
        <v>426</v>
      </c>
      <c r="G8176" s="495" t="s">
        <v>3785</v>
      </c>
      <c r="H8176" s="422"/>
      <c r="I8176" s="422"/>
      <c r="J8176" s="750" t="e">
        <f t="shared" si="111"/>
        <v>#DIV/0!</v>
      </c>
      <c r="K8176" s="423"/>
      <c r="L8176" s="424"/>
      <c r="M8176" s="682"/>
      <c r="N8176" s="171"/>
      <c r="O8176" s="171"/>
      <c r="P8176" s="171"/>
      <c r="Q8176" s="171"/>
      <c r="R8176" s="171"/>
      <c r="S8176" s="171"/>
      <c r="T8176" s="171"/>
      <c r="U8176" s="171"/>
      <c r="V8176" s="171"/>
      <c r="W8176" s="171"/>
      <c r="X8176" s="171"/>
      <c r="Y8176" s="171"/>
      <c r="Z8176" s="171"/>
      <c r="AA8176" s="171"/>
    </row>
    <row r="8177" spans="1:27" s="530" customFormat="1" hidden="1" x14ac:dyDescent="0.2">
      <c r="A8177" s="526"/>
      <c r="B8177" s="527"/>
      <c r="C8177" s="534"/>
      <c r="D8177" s="535"/>
      <c r="E8177" s="535"/>
      <c r="F8177" s="494">
        <v>482</v>
      </c>
      <c r="G8177" s="495" t="s">
        <v>4190</v>
      </c>
      <c r="H8177" s="422"/>
      <c r="I8177" s="422"/>
      <c r="J8177" s="750" t="e">
        <f t="shared" si="111"/>
        <v>#DIV/0!</v>
      </c>
      <c r="K8177" s="423"/>
      <c r="L8177" s="424"/>
      <c r="M8177" s="682"/>
      <c r="N8177" s="171"/>
      <c r="O8177" s="171"/>
      <c r="P8177" s="171"/>
      <c r="Q8177" s="171"/>
      <c r="R8177" s="171"/>
      <c r="S8177" s="171"/>
      <c r="T8177" s="171"/>
      <c r="U8177" s="171"/>
      <c r="V8177" s="171"/>
      <c r="W8177" s="171"/>
      <c r="X8177" s="171"/>
      <c r="Y8177" s="171"/>
      <c r="Z8177" s="171"/>
      <c r="AA8177" s="171"/>
    </row>
    <row r="8178" spans="1:27" s="530" customFormat="1" hidden="1" x14ac:dyDescent="0.2">
      <c r="A8178" s="526"/>
      <c r="B8178" s="527"/>
      <c r="C8178" s="534"/>
      <c r="D8178" s="535"/>
      <c r="E8178" s="535"/>
      <c r="F8178" s="494">
        <v>511</v>
      </c>
      <c r="G8178" s="497" t="s">
        <v>4194</v>
      </c>
      <c r="H8178" s="422"/>
      <c r="I8178" s="422"/>
      <c r="J8178" s="750" t="e">
        <f t="shared" si="111"/>
        <v>#DIV/0!</v>
      </c>
      <c r="K8178" s="423"/>
      <c r="L8178" s="424"/>
      <c r="M8178" s="682"/>
      <c r="N8178" s="171"/>
      <c r="O8178" s="171"/>
      <c r="P8178" s="171"/>
      <c r="Q8178" s="171"/>
      <c r="R8178" s="171"/>
      <c r="S8178" s="171"/>
      <c r="T8178" s="171"/>
      <c r="U8178" s="171"/>
      <c r="V8178" s="171"/>
      <c r="W8178" s="171"/>
      <c r="X8178" s="171"/>
      <c r="Y8178" s="171"/>
      <c r="Z8178" s="171"/>
      <c r="AA8178" s="171"/>
    </row>
    <row r="8179" spans="1:27" hidden="1" x14ac:dyDescent="0.2">
      <c r="E8179" s="500"/>
      <c r="F8179" s="498"/>
      <c r="G8179" s="501" t="s">
        <v>4344</v>
      </c>
      <c r="H8179" s="400"/>
      <c r="I8179" s="400"/>
      <c r="J8179" s="750" t="e">
        <f t="shared" si="111"/>
        <v>#DIV/0!</v>
      </c>
      <c r="K8179" s="401"/>
      <c r="L8179" s="402"/>
      <c r="M8179" s="682"/>
    </row>
    <row r="8180" spans="1:27" hidden="1" x14ac:dyDescent="0.2">
      <c r="E8180" s="502"/>
      <c r="F8180" s="503" t="s">
        <v>234</v>
      </c>
      <c r="G8180" s="504" t="s">
        <v>235</v>
      </c>
      <c r="H8180" s="403">
        <f>SUM(H8170:H8178)</f>
        <v>0</v>
      </c>
      <c r="I8180" s="403"/>
      <c r="J8180" s="750" t="e">
        <f t="shared" si="111"/>
        <v>#DIV/0!</v>
      </c>
      <c r="K8180" s="404"/>
      <c r="L8180" s="404"/>
      <c r="M8180" s="682"/>
    </row>
    <row r="8181" spans="1:27" hidden="1" x14ac:dyDescent="0.2">
      <c r="F8181" s="503" t="s">
        <v>236</v>
      </c>
      <c r="G8181" s="504" t="s">
        <v>237</v>
      </c>
      <c r="H8181" s="397"/>
      <c r="I8181" s="397"/>
      <c r="J8181" s="750" t="e">
        <f t="shared" si="111"/>
        <v>#DIV/0!</v>
      </c>
      <c r="K8181" s="398"/>
      <c r="L8181" s="404"/>
      <c r="M8181" s="682"/>
    </row>
    <row r="8182" spans="1:27" hidden="1" x14ac:dyDescent="0.2">
      <c r="F8182" s="503" t="s">
        <v>238</v>
      </c>
      <c r="G8182" s="504" t="s">
        <v>239</v>
      </c>
      <c r="H8182" s="397"/>
      <c r="I8182" s="397"/>
      <c r="J8182" s="750" t="e">
        <f t="shared" si="111"/>
        <v>#DIV/0!</v>
      </c>
      <c r="K8182" s="398"/>
      <c r="L8182" s="404"/>
      <c r="M8182" s="682"/>
    </row>
    <row r="8183" spans="1:27" hidden="1" x14ac:dyDescent="0.2">
      <c r="F8183" s="503" t="s">
        <v>240</v>
      </c>
      <c r="G8183" s="504" t="s">
        <v>241</v>
      </c>
      <c r="H8183" s="397"/>
      <c r="I8183" s="397"/>
      <c r="J8183" s="750" t="e">
        <f t="shared" si="111"/>
        <v>#DIV/0!</v>
      </c>
      <c r="K8183" s="398"/>
      <c r="L8183" s="404"/>
      <c r="M8183" s="682"/>
    </row>
    <row r="8184" spans="1:27" hidden="1" x14ac:dyDescent="0.2">
      <c r="F8184" s="503" t="s">
        <v>242</v>
      </c>
      <c r="G8184" s="504" t="s">
        <v>243</v>
      </c>
      <c r="H8184" s="397"/>
      <c r="I8184" s="397"/>
      <c r="J8184" s="750" t="e">
        <f t="shared" si="111"/>
        <v>#DIV/0!</v>
      </c>
      <c r="K8184" s="398"/>
      <c r="L8184" s="404"/>
      <c r="M8184" s="682"/>
    </row>
    <row r="8185" spans="1:27" hidden="1" x14ac:dyDescent="0.2">
      <c r="F8185" s="503" t="s">
        <v>244</v>
      </c>
      <c r="G8185" s="504" t="s">
        <v>245</v>
      </c>
      <c r="H8185" s="397"/>
      <c r="I8185" s="397"/>
      <c r="J8185" s="750" t="e">
        <f t="shared" si="111"/>
        <v>#DIV/0!</v>
      </c>
      <c r="K8185" s="398"/>
      <c r="L8185" s="404"/>
      <c r="M8185" s="682"/>
    </row>
    <row r="8186" spans="1:27" hidden="1" x14ac:dyDescent="0.2">
      <c r="F8186" s="503" t="s">
        <v>246</v>
      </c>
      <c r="G8186" s="504" t="s">
        <v>247</v>
      </c>
      <c r="H8186" s="397"/>
      <c r="I8186" s="397"/>
      <c r="J8186" s="750" t="e">
        <f t="shared" si="111"/>
        <v>#DIV/0!</v>
      </c>
      <c r="K8186" s="398"/>
      <c r="L8186" s="404"/>
      <c r="M8186" s="682"/>
    </row>
    <row r="8187" spans="1:27" ht="25.5" hidden="1" x14ac:dyDescent="0.2">
      <c r="F8187" s="503" t="s">
        <v>248</v>
      </c>
      <c r="G8187" s="504" t="s">
        <v>249</v>
      </c>
      <c r="H8187" s="397"/>
      <c r="I8187" s="397"/>
      <c r="J8187" s="750" t="e">
        <f t="shared" si="111"/>
        <v>#DIV/0!</v>
      </c>
      <c r="K8187" s="398"/>
      <c r="L8187" s="404"/>
      <c r="M8187" s="682"/>
    </row>
    <row r="8188" spans="1:27" hidden="1" x14ac:dyDescent="0.2">
      <c r="F8188" s="503" t="s">
        <v>250</v>
      </c>
      <c r="G8188" s="504" t="s">
        <v>57</v>
      </c>
      <c r="H8188" s="397"/>
      <c r="I8188" s="397"/>
      <c r="J8188" s="750" t="e">
        <f t="shared" si="111"/>
        <v>#DIV/0!</v>
      </c>
      <c r="K8188" s="398"/>
      <c r="L8188" s="404"/>
      <c r="M8188" s="682"/>
    </row>
    <row r="8189" spans="1:27" hidden="1" x14ac:dyDescent="0.2">
      <c r="F8189" s="503" t="s">
        <v>251</v>
      </c>
      <c r="G8189" s="504" t="s">
        <v>252</v>
      </c>
      <c r="H8189" s="397"/>
      <c r="I8189" s="397"/>
      <c r="J8189" s="750" t="e">
        <f t="shared" si="111"/>
        <v>#DIV/0!</v>
      </c>
      <c r="K8189" s="398"/>
      <c r="L8189" s="404"/>
      <c r="M8189" s="682"/>
    </row>
    <row r="8190" spans="1:27" hidden="1" x14ac:dyDescent="0.2">
      <c r="F8190" s="503" t="s">
        <v>253</v>
      </c>
      <c r="G8190" s="504" t="s">
        <v>254</v>
      </c>
      <c r="H8190" s="397"/>
      <c r="I8190" s="397"/>
      <c r="J8190" s="750" t="e">
        <f t="shared" si="111"/>
        <v>#DIV/0!</v>
      </c>
      <c r="K8190" s="398"/>
      <c r="L8190" s="404"/>
      <c r="M8190" s="682"/>
    </row>
    <row r="8191" spans="1:27" ht="25.5" hidden="1" x14ac:dyDescent="0.2">
      <c r="F8191" s="503" t="s">
        <v>255</v>
      </c>
      <c r="G8191" s="504" t="s">
        <v>256</v>
      </c>
      <c r="H8191" s="397"/>
      <c r="I8191" s="397"/>
      <c r="J8191" s="750" t="e">
        <f t="shared" si="111"/>
        <v>#DIV/0!</v>
      </c>
      <c r="K8191" s="398"/>
      <c r="L8191" s="404"/>
      <c r="M8191" s="682"/>
    </row>
    <row r="8192" spans="1:27" ht="25.5" hidden="1" x14ac:dyDescent="0.2">
      <c r="F8192" s="503" t="s">
        <v>257</v>
      </c>
      <c r="G8192" s="504" t="s">
        <v>258</v>
      </c>
      <c r="H8192" s="397"/>
      <c r="I8192" s="397"/>
      <c r="J8192" s="750" t="e">
        <f t="shared" si="111"/>
        <v>#DIV/0!</v>
      </c>
      <c r="K8192" s="398"/>
      <c r="L8192" s="404"/>
      <c r="M8192" s="682"/>
    </row>
    <row r="8193" spans="5:13" ht="25.5" hidden="1" x14ac:dyDescent="0.2">
      <c r="F8193" s="503" t="s">
        <v>259</v>
      </c>
      <c r="G8193" s="504" t="s">
        <v>260</v>
      </c>
      <c r="H8193" s="397"/>
      <c r="I8193" s="397"/>
      <c r="J8193" s="750" t="e">
        <f t="shared" si="111"/>
        <v>#DIV/0!</v>
      </c>
      <c r="K8193" s="398"/>
      <c r="L8193" s="404"/>
      <c r="M8193" s="682"/>
    </row>
    <row r="8194" spans="5:13" ht="25.5" hidden="1" x14ac:dyDescent="0.2">
      <c r="F8194" s="503" t="s">
        <v>261</v>
      </c>
      <c r="G8194" s="504" t="s">
        <v>262</v>
      </c>
      <c r="H8194" s="397"/>
      <c r="I8194" s="397"/>
      <c r="J8194" s="750" t="e">
        <f t="shared" si="111"/>
        <v>#DIV/0!</v>
      </c>
      <c r="K8194" s="398"/>
      <c r="L8194" s="404"/>
      <c r="M8194" s="682"/>
    </row>
    <row r="8195" spans="5:13" hidden="1" x14ac:dyDescent="0.2">
      <c r="F8195" s="503" t="s">
        <v>263</v>
      </c>
      <c r="G8195" s="504" t="s">
        <v>264</v>
      </c>
      <c r="H8195" s="403"/>
      <c r="I8195" s="403"/>
      <c r="J8195" s="750" t="e">
        <f t="shared" si="111"/>
        <v>#DIV/0!</v>
      </c>
      <c r="K8195" s="404"/>
      <c r="L8195" s="404"/>
      <c r="M8195" s="682"/>
    </row>
    <row r="8196" spans="5:13" ht="13.5" hidden="1" thickBot="1" x14ac:dyDescent="0.25">
      <c r="G8196" s="505" t="s">
        <v>4345</v>
      </c>
      <c r="H8196" s="405">
        <f>SUM(H8180:H8195)</f>
        <v>0</v>
      </c>
      <c r="I8196" s="405"/>
      <c r="J8196" s="750" t="e">
        <f t="shared" si="111"/>
        <v>#DIV/0!</v>
      </c>
      <c r="K8196" s="406">
        <f>SUM(K8181:K8195)</f>
        <v>0</v>
      </c>
      <c r="L8196" s="406"/>
      <c r="M8196" s="682"/>
    </row>
    <row r="8197" spans="5:13" ht="25.5" hidden="1" collapsed="1" x14ac:dyDescent="0.2">
      <c r="E8197" s="500"/>
      <c r="F8197" s="498"/>
      <c r="G8197" s="506" t="s">
        <v>4346</v>
      </c>
      <c r="H8197" s="407"/>
      <c r="I8197" s="408"/>
      <c r="J8197" s="750" t="e">
        <f t="shared" si="111"/>
        <v>#DIV/0!</v>
      </c>
      <c r="K8197" s="409"/>
      <c r="L8197" s="410"/>
      <c r="M8197" s="682"/>
    </row>
    <row r="8198" spans="5:13" hidden="1" x14ac:dyDescent="0.2">
      <c r="E8198" s="502"/>
      <c r="F8198" s="503" t="s">
        <v>234</v>
      </c>
      <c r="G8198" s="504" t="s">
        <v>235</v>
      </c>
      <c r="H8198" s="403">
        <f>SUM(H8170:H8178)</f>
        <v>0</v>
      </c>
      <c r="I8198" s="403"/>
      <c r="J8198" s="750" t="e">
        <f t="shared" si="111"/>
        <v>#DIV/0!</v>
      </c>
      <c r="K8198" s="404"/>
      <c r="L8198" s="404"/>
      <c r="M8198" s="682"/>
    </row>
    <row r="8199" spans="5:13" hidden="1" x14ac:dyDescent="0.2">
      <c r="F8199" s="503" t="s">
        <v>236</v>
      </c>
      <c r="G8199" s="504" t="s">
        <v>237</v>
      </c>
      <c r="H8199" s="397"/>
      <c r="I8199" s="397"/>
      <c r="J8199" s="750" t="e">
        <f t="shared" si="111"/>
        <v>#DIV/0!</v>
      </c>
      <c r="K8199" s="398"/>
      <c r="L8199" s="404"/>
      <c r="M8199" s="682"/>
    </row>
    <row r="8200" spans="5:13" hidden="1" x14ac:dyDescent="0.2">
      <c r="F8200" s="503" t="s">
        <v>238</v>
      </c>
      <c r="G8200" s="504" t="s">
        <v>239</v>
      </c>
      <c r="H8200" s="397"/>
      <c r="I8200" s="397"/>
      <c r="J8200" s="750" t="e">
        <f t="shared" si="111"/>
        <v>#DIV/0!</v>
      </c>
      <c r="K8200" s="398"/>
      <c r="L8200" s="404"/>
      <c r="M8200" s="682"/>
    </row>
    <row r="8201" spans="5:13" hidden="1" x14ac:dyDescent="0.2">
      <c r="F8201" s="503" t="s">
        <v>240</v>
      </c>
      <c r="G8201" s="504" t="s">
        <v>241</v>
      </c>
      <c r="H8201" s="397"/>
      <c r="I8201" s="397"/>
      <c r="J8201" s="750" t="e">
        <f t="shared" si="111"/>
        <v>#DIV/0!</v>
      </c>
      <c r="K8201" s="398"/>
      <c r="L8201" s="404"/>
      <c r="M8201" s="682"/>
    </row>
    <row r="8202" spans="5:13" hidden="1" x14ac:dyDescent="0.2">
      <c r="F8202" s="503" t="s">
        <v>242</v>
      </c>
      <c r="G8202" s="504" t="s">
        <v>243</v>
      </c>
      <c r="H8202" s="397"/>
      <c r="I8202" s="397"/>
      <c r="J8202" s="750" t="e">
        <f t="shared" si="111"/>
        <v>#DIV/0!</v>
      </c>
      <c r="K8202" s="398"/>
      <c r="L8202" s="404"/>
      <c r="M8202" s="682"/>
    </row>
    <row r="8203" spans="5:13" hidden="1" x14ac:dyDescent="0.2">
      <c r="F8203" s="503" t="s">
        <v>244</v>
      </c>
      <c r="G8203" s="504" t="s">
        <v>245</v>
      </c>
      <c r="H8203" s="397"/>
      <c r="I8203" s="397"/>
      <c r="J8203" s="750" t="e">
        <f t="shared" si="111"/>
        <v>#DIV/0!</v>
      </c>
      <c r="K8203" s="398"/>
      <c r="L8203" s="404"/>
      <c r="M8203" s="682"/>
    </row>
    <row r="8204" spans="5:13" hidden="1" x14ac:dyDescent="0.2">
      <c r="F8204" s="503" t="s">
        <v>246</v>
      </c>
      <c r="G8204" s="504" t="s">
        <v>247</v>
      </c>
      <c r="H8204" s="397"/>
      <c r="I8204" s="397"/>
      <c r="J8204" s="750" t="e">
        <f t="shared" si="111"/>
        <v>#DIV/0!</v>
      </c>
      <c r="K8204" s="398"/>
      <c r="L8204" s="404"/>
      <c r="M8204" s="682"/>
    </row>
    <row r="8205" spans="5:13" ht="25.5" hidden="1" x14ac:dyDescent="0.2">
      <c r="F8205" s="503" t="s">
        <v>248</v>
      </c>
      <c r="G8205" s="504" t="s">
        <v>249</v>
      </c>
      <c r="H8205" s="397"/>
      <c r="I8205" s="397"/>
      <c r="J8205" s="750" t="e">
        <f t="shared" si="111"/>
        <v>#DIV/0!</v>
      </c>
      <c r="K8205" s="398"/>
      <c r="L8205" s="404"/>
      <c r="M8205" s="682"/>
    </row>
    <row r="8206" spans="5:13" hidden="1" x14ac:dyDescent="0.2">
      <c r="F8206" s="503" t="s">
        <v>250</v>
      </c>
      <c r="G8206" s="504" t="s">
        <v>57</v>
      </c>
      <c r="H8206" s="397"/>
      <c r="I8206" s="397"/>
      <c r="J8206" s="750" t="e">
        <f t="shared" ref="J8206:J8269" si="112">SUM(I8206/H8206)*100</f>
        <v>#DIV/0!</v>
      </c>
      <c r="K8206" s="398"/>
      <c r="L8206" s="404"/>
      <c r="M8206" s="682"/>
    </row>
    <row r="8207" spans="5:13" hidden="1" x14ac:dyDescent="0.2">
      <c r="F8207" s="503" t="s">
        <v>251</v>
      </c>
      <c r="G8207" s="504" t="s">
        <v>252</v>
      </c>
      <c r="H8207" s="397"/>
      <c r="I8207" s="397"/>
      <c r="J8207" s="750" t="e">
        <f t="shared" si="112"/>
        <v>#DIV/0!</v>
      </c>
      <c r="K8207" s="398"/>
      <c r="L8207" s="404"/>
      <c r="M8207" s="682"/>
    </row>
    <row r="8208" spans="5:13" hidden="1" x14ac:dyDescent="0.2">
      <c r="F8208" s="503" t="s">
        <v>253</v>
      </c>
      <c r="G8208" s="504" t="s">
        <v>254</v>
      </c>
      <c r="H8208" s="397"/>
      <c r="I8208" s="397"/>
      <c r="J8208" s="750" t="e">
        <f t="shared" si="112"/>
        <v>#DIV/0!</v>
      </c>
      <c r="K8208" s="398"/>
      <c r="L8208" s="404"/>
      <c r="M8208" s="682"/>
    </row>
    <row r="8209" spans="1:27" ht="25.5" hidden="1" x14ac:dyDescent="0.2">
      <c r="F8209" s="503" t="s">
        <v>255</v>
      </c>
      <c r="G8209" s="504" t="s">
        <v>256</v>
      </c>
      <c r="H8209" s="397"/>
      <c r="I8209" s="397"/>
      <c r="J8209" s="750" t="e">
        <f t="shared" si="112"/>
        <v>#DIV/0!</v>
      </c>
      <c r="K8209" s="398"/>
      <c r="L8209" s="404"/>
      <c r="M8209" s="682"/>
    </row>
    <row r="8210" spans="1:27" ht="25.5" hidden="1" x14ac:dyDescent="0.2">
      <c r="F8210" s="503" t="s">
        <v>257</v>
      </c>
      <c r="G8210" s="504" t="s">
        <v>258</v>
      </c>
      <c r="H8210" s="397"/>
      <c r="I8210" s="397"/>
      <c r="J8210" s="750" t="e">
        <f t="shared" si="112"/>
        <v>#DIV/0!</v>
      </c>
      <c r="K8210" s="398"/>
      <c r="L8210" s="404"/>
      <c r="M8210" s="682"/>
    </row>
    <row r="8211" spans="1:27" ht="25.5" hidden="1" x14ac:dyDescent="0.2">
      <c r="F8211" s="503" t="s">
        <v>259</v>
      </c>
      <c r="G8211" s="504" t="s">
        <v>260</v>
      </c>
      <c r="H8211" s="397"/>
      <c r="I8211" s="397"/>
      <c r="J8211" s="750" t="e">
        <f t="shared" si="112"/>
        <v>#DIV/0!</v>
      </c>
      <c r="K8211" s="398"/>
      <c r="L8211" s="404"/>
      <c r="M8211" s="682"/>
    </row>
    <row r="8212" spans="1:27" ht="25.5" hidden="1" x14ac:dyDescent="0.2">
      <c r="F8212" s="503" t="s">
        <v>261</v>
      </c>
      <c r="G8212" s="504" t="s">
        <v>262</v>
      </c>
      <c r="H8212" s="397"/>
      <c r="I8212" s="397"/>
      <c r="J8212" s="750" t="e">
        <f t="shared" si="112"/>
        <v>#DIV/0!</v>
      </c>
      <c r="K8212" s="398"/>
      <c r="L8212" s="404"/>
      <c r="M8212" s="682"/>
    </row>
    <row r="8213" spans="1:27" hidden="1" x14ac:dyDescent="0.2">
      <c r="F8213" s="503" t="s">
        <v>263</v>
      </c>
      <c r="G8213" s="504" t="s">
        <v>264</v>
      </c>
      <c r="H8213" s="403"/>
      <c r="I8213" s="403"/>
      <c r="J8213" s="750" t="e">
        <f t="shared" si="112"/>
        <v>#DIV/0!</v>
      </c>
      <c r="K8213" s="404"/>
      <c r="L8213" s="404"/>
      <c r="M8213" s="682"/>
    </row>
    <row r="8214" spans="1:27" ht="13.5" hidden="1" collapsed="1" thickBot="1" x14ac:dyDescent="0.25">
      <c r="G8214" s="505" t="s">
        <v>4347</v>
      </c>
      <c r="H8214" s="405">
        <f>SUM(H8198:H8213)</f>
        <v>0</v>
      </c>
      <c r="I8214" s="405"/>
      <c r="J8214" s="750" t="e">
        <f t="shared" si="112"/>
        <v>#DIV/0!</v>
      </c>
      <c r="K8214" s="406">
        <f>SUM(K8199:K8213)</f>
        <v>0</v>
      </c>
      <c r="L8214" s="406"/>
      <c r="M8214" s="682"/>
    </row>
    <row r="8215" spans="1:27" hidden="1" x14ac:dyDescent="0.2">
      <c r="G8215" s="510"/>
      <c r="H8215" s="411"/>
      <c r="I8215" s="411"/>
      <c r="J8215" s="750" t="e">
        <f t="shared" si="112"/>
        <v>#DIV/0!</v>
      </c>
      <c r="K8215" s="412"/>
      <c r="L8215" s="412"/>
      <c r="M8215" s="682"/>
    </row>
    <row r="8216" spans="1:27" s="530" customFormat="1" hidden="1" x14ac:dyDescent="0.2">
      <c r="A8216" s="526"/>
      <c r="B8216" s="527"/>
      <c r="C8216" s="531" t="s">
        <v>5091</v>
      </c>
      <c r="D8216" s="490"/>
      <c r="E8216" s="490"/>
      <c r="F8216" s="532"/>
      <c r="G8216" s="178" t="s">
        <v>5092</v>
      </c>
      <c r="H8216" s="422"/>
      <c r="I8216" s="422"/>
      <c r="J8216" s="750" t="e">
        <f t="shared" si="112"/>
        <v>#DIV/0!</v>
      </c>
      <c r="K8216" s="423"/>
      <c r="L8216" s="424"/>
      <c r="M8216" s="682"/>
      <c r="N8216" s="171"/>
      <c r="O8216" s="171"/>
      <c r="P8216" s="171"/>
      <c r="Q8216" s="171"/>
      <c r="R8216" s="171"/>
      <c r="S8216" s="171"/>
      <c r="T8216" s="171"/>
      <c r="U8216" s="171"/>
      <c r="V8216" s="171"/>
      <c r="W8216" s="171"/>
      <c r="X8216" s="171"/>
      <c r="Y8216" s="171"/>
      <c r="Z8216" s="171"/>
      <c r="AA8216" s="171"/>
    </row>
    <row r="8217" spans="1:27" s="530" customFormat="1" hidden="1" x14ac:dyDescent="0.2">
      <c r="A8217" s="526"/>
      <c r="B8217" s="527"/>
      <c r="C8217" s="528"/>
      <c r="D8217" s="492">
        <v>620</v>
      </c>
      <c r="E8217" s="492"/>
      <c r="F8217" s="492"/>
      <c r="G8217" s="533" t="s">
        <v>182</v>
      </c>
      <c r="H8217" s="422"/>
      <c r="I8217" s="422"/>
      <c r="J8217" s="750" t="e">
        <f t="shared" si="112"/>
        <v>#DIV/0!</v>
      </c>
      <c r="K8217" s="423"/>
      <c r="L8217" s="424"/>
      <c r="M8217" s="682"/>
      <c r="N8217" s="171"/>
      <c r="O8217" s="171"/>
      <c r="P8217" s="171"/>
      <c r="Q8217" s="171"/>
      <c r="R8217" s="171"/>
      <c r="S8217" s="171"/>
      <c r="T8217" s="171"/>
      <c r="U8217" s="171"/>
      <c r="V8217" s="171"/>
      <c r="W8217" s="171"/>
      <c r="X8217" s="171"/>
      <c r="Y8217" s="171"/>
      <c r="Z8217" s="171"/>
      <c r="AA8217" s="171"/>
    </row>
    <row r="8218" spans="1:27" s="530" customFormat="1" hidden="1" x14ac:dyDescent="0.2">
      <c r="A8218" s="526"/>
      <c r="B8218" s="527"/>
      <c r="C8218" s="528"/>
      <c r="D8218" s="492"/>
      <c r="E8218" s="492"/>
      <c r="F8218" s="464">
        <v>411</v>
      </c>
      <c r="G8218" s="495" t="s">
        <v>4167</v>
      </c>
      <c r="H8218" s="422"/>
      <c r="I8218" s="422"/>
      <c r="J8218" s="750" t="e">
        <f t="shared" si="112"/>
        <v>#DIV/0!</v>
      </c>
      <c r="K8218" s="423"/>
      <c r="L8218" s="424"/>
      <c r="M8218" s="682"/>
      <c r="N8218" s="171"/>
      <c r="O8218" s="171"/>
      <c r="P8218" s="171"/>
      <c r="Q8218" s="171"/>
      <c r="R8218" s="171"/>
      <c r="S8218" s="171"/>
      <c r="T8218" s="171"/>
      <c r="U8218" s="171"/>
      <c r="V8218" s="171"/>
      <c r="W8218" s="171"/>
      <c r="X8218" s="171"/>
      <c r="Y8218" s="171"/>
      <c r="Z8218" s="171"/>
      <c r="AA8218" s="171"/>
    </row>
    <row r="8219" spans="1:27" s="530" customFormat="1" hidden="1" x14ac:dyDescent="0.2">
      <c r="A8219" s="526"/>
      <c r="B8219" s="527"/>
      <c r="C8219" s="528"/>
      <c r="D8219" s="492"/>
      <c r="E8219" s="492"/>
      <c r="F8219" s="464">
        <v>412</v>
      </c>
      <c r="G8219" s="496" t="s">
        <v>3764</v>
      </c>
      <c r="H8219" s="422"/>
      <c r="I8219" s="422"/>
      <c r="J8219" s="750" t="e">
        <f t="shared" si="112"/>
        <v>#DIV/0!</v>
      </c>
      <c r="K8219" s="423"/>
      <c r="L8219" s="424"/>
      <c r="M8219" s="682"/>
      <c r="N8219" s="171"/>
      <c r="O8219" s="171"/>
      <c r="P8219" s="171"/>
      <c r="Q8219" s="171"/>
      <c r="R8219" s="171"/>
      <c r="S8219" s="171"/>
      <c r="T8219" s="171"/>
      <c r="U8219" s="171"/>
      <c r="V8219" s="171"/>
      <c r="W8219" s="171"/>
      <c r="X8219" s="171"/>
      <c r="Y8219" s="171"/>
      <c r="Z8219" s="171"/>
      <c r="AA8219" s="171"/>
    </row>
    <row r="8220" spans="1:27" s="530" customFormat="1" hidden="1" x14ac:dyDescent="0.2">
      <c r="A8220" s="526"/>
      <c r="B8220" s="527"/>
      <c r="C8220" s="534"/>
      <c r="D8220" s="535"/>
      <c r="E8220" s="535"/>
      <c r="F8220" s="494">
        <v>422</v>
      </c>
      <c r="G8220" s="495" t="s">
        <v>3778</v>
      </c>
      <c r="H8220" s="422"/>
      <c r="I8220" s="422"/>
      <c r="J8220" s="750" t="e">
        <f t="shared" si="112"/>
        <v>#DIV/0!</v>
      </c>
      <c r="K8220" s="423"/>
      <c r="L8220" s="424"/>
      <c r="M8220" s="682"/>
      <c r="N8220" s="171"/>
      <c r="O8220" s="171"/>
      <c r="P8220" s="171"/>
      <c r="Q8220" s="171"/>
      <c r="R8220" s="171"/>
      <c r="S8220" s="171"/>
      <c r="T8220" s="171"/>
      <c r="U8220" s="171"/>
      <c r="V8220" s="171"/>
      <c r="W8220" s="171"/>
      <c r="X8220" s="171"/>
      <c r="Y8220" s="171"/>
      <c r="Z8220" s="171"/>
      <c r="AA8220" s="171"/>
    </row>
    <row r="8221" spans="1:27" s="530" customFormat="1" hidden="1" x14ac:dyDescent="0.2">
      <c r="A8221" s="526"/>
      <c r="B8221" s="527"/>
      <c r="C8221" s="534"/>
      <c r="D8221" s="535"/>
      <c r="E8221" s="535"/>
      <c r="F8221" s="494">
        <v>423</v>
      </c>
      <c r="G8221" s="495" t="s">
        <v>3779</v>
      </c>
      <c r="H8221" s="422"/>
      <c r="I8221" s="422"/>
      <c r="J8221" s="750" t="e">
        <f t="shared" si="112"/>
        <v>#DIV/0!</v>
      </c>
      <c r="K8221" s="423"/>
      <c r="L8221" s="424"/>
      <c r="M8221" s="682"/>
      <c r="N8221" s="171"/>
      <c r="O8221" s="171"/>
      <c r="P8221" s="171"/>
      <c r="Q8221" s="171"/>
      <c r="R8221" s="171"/>
      <c r="S8221" s="171"/>
      <c r="T8221" s="171"/>
      <c r="U8221" s="171"/>
      <c r="V8221" s="171"/>
      <c r="W8221" s="171"/>
      <c r="X8221" s="171"/>
      <c r="Y8221" s="171"/>
      <c r="Z8221" s="171"/>
      <c r="AA8221" s="171"/>
    </row>
    <row r="8222" spans="1:27" s="530" customFormat="1" hidden="1" x14ac:dyDescent="0.2">
      <c r="A8222" s="526"/>
      <c r="B8222" s="527"/>
      <c r="C8222" s="534"/>
      <c r="D8222" s="535"/>
      <c r="E8222" s="535"/>
      <c r="F8222" s="494">
        <v>424</v>
      </c>
      <c r="G8222" s="495" t="s">
        <v>3781</v>
      </c>
      <c r="H8222" s="422"/>
      <c r="I8222" s="422"/>
      <c r="J8222" s="750" t="e">
        <f t="shared" si="112"/>
        <v>#DIV/0!</v>
      </c>
      <c r="K8222" s="423"/>
      <c r="L8222" s="424"/>
      <c r="M8222" s="682"/>
      <c r="N8222" s="171"/>
      <c r="O8222" s="171"/>
      <c r="P8222" s="171"/>
      <c r="Q8222" s="171"/>
      <c r="R8222" s="171"/>
      <c r="S8222" s="171"/>
      <c r="T8222" s="171"/>
      <c r="U8222" s="171"/>
      <c r="V8222" s="171"/>
      <c r="W8222" s="171"/>
      <c r="X8222" s="171"/>
      <c r="Y8222" s="171"/>
      <c r="Z8222" s="171"/>
      <c r="AA8222" s="171"/>
    </row>
    <row r="8223" spans="1:27" s="530" customFormat="1" hidden="1" x14ac:dyDescent="0.2">
      <c r="A8223" s="526"/>
      <c r="B8223" s="527"/>
      <c r="C8223" s="534"/>
      <c r="D8223" s="535"/>
      <c r="E8223" s="535"/>
      <c r="F8223" s="494">
        <v>425</v>
      </c>
      <c r="G8223" s="495" t="s">
        <v>4180</v>
      </c>
      <c r="H8223" s="422"/>
      <c r="I8223" s="422"/>
      <c r="J8223" s="750" t="e">
        <f t="shared" si="112"/>
        <v>#DIV/0!</v>
      </c>
      <c r="K8223" s="423"/>
      <c r="L8223" s="424"/>
      <c r="M8223" s="682"/>
      <c r="N8223" s="171"/>
      <c r="O8223" s="171"/>
      <c r="P8223" s="171"/>
      <c r="Q8223" s="171"/>
      <c r="R8223" s="171"/>
      <c r="S8223" s="171"/>
      <c r="T8223" s="171"/>
      <c r="U8223" s="171"/>
      <c r="V8223" s="171"/>
      <c r="W8223" s="171"/>
      <c r="X8223" s="171"/>
      <c r="Y8223" s="171"/>
      <c r="Z8223" s="171"/>
      <c r="AA8223" s="171"/>
    </row>
    <row r="8224" spans="1:27" s="530" customFormat="1" hidden="1" x14ac:dyDescent="0.2">
      <c r="A8224" s="526"/>
      <c r="B8224" s="527"/>
      <c r="C8224" s="534"/>
      <c r="D8224" s="535"/>
      <c r="E8224" s="535"/>
      <c r="F8224" s="494">
        <v>426</v>
      </c>
      <c r="G8224" s="495" t="s">
        <v>3785</v>
      </c>
      <c r="H8224" s="422"/>
      <c r="I8224" s="422"/>
      <c r="J8224" s="750" t="e">
        <f t="shared" si="112"/>
        <v>#DIV/0!</v>
      </c>
      <c r="K8224" s="423"/>
      <c r="L8224" s="424"/>
      <c r="M8224" s="682"/>
      <c r="N8224" s="171"/>
      <c r="O8224" s="171"/>
      <c r="P8224" s="171"/>
      <c r="Q8224" s="171"/>
      <c r="R8224" s="171"/>
      <c r="S8224" s="171"/>
      <c r="T8224" s="171"/>
      <c r="U8224" s="171"/>
      <c r="V8224" s="171"/>
      <c r="W8224" s="171"/>
      <c r="X8224" s="171"/>
      <c r="Y8224" s="171"/>
      <c r="Z8224" s="171"/>
      <c r="AA8224" s="171"/>
    </row>
    <row r="8225" spans="1:27" s="530" customFormat="1" hidden="1" x14ac:dyDescent="0.2">
      <c r="A8225" s="526"/>
      <c r="B8225" s="527"/>
      <c r="C8225" s="534"/>
      <c r="D8225" s="535"/>
      <c r="E8225" s="535"/>
      <c r="F8225" s="494">
        <v>482</v>
      </c>
      <c r="G8225" s="495" t="s">
        <v>4190</v>
      </c>
      <c r="H8225" s="422"/>
      <c r="I8225" s="422"/>
      <c r="J8225" s="750" t="e">
        <f t="shared" si="112"/>
        <v>#DIV/0!</v>
      </c>
      <c r="K8225" s="423"/>
      <c r="L8225" s="424"/>
      <c r="M8225" s="682"/>
      <c r="N8225" s="171"/>
      <c r="O8225" s="171"/>
      <c r="P8225" s="171"/>
      <c r="Q8225" s="171"/>
      <c r="R8225" s="171"/>
      <c r="S8225" s="171"/>
      <c r="T8225" s="171"/>
      <c r="U8225" s="171"/>
      <c r="V8225" s="171"/>
      <c r="W8225" s="171"/>
      <c r="X8225" s="171"/>
      <c r="Y8225" s="171"/>
      <c r="Z8225" s="171"/>
      <c r="AA8225" s="171"/>
    </row>
    <row r="8226" spans="1:27" s="530" customFormat="1" hidden="1" x14ac:dyDescent="0.2">
      <c r="A8226" s="526"/>
      <c r="B8226" s="527"/>
      <c r="C8226" s="534"/>
      <c r="D8226" s="535"/>
      <c r="E8226" s="535"/>
      <c r="F8226" s="494">
        <v>511</v>
      </c>
      <c r="G8226" s="497" t="s">
        <v>4194</v>
      </c>
      <c r="H8226" s="422"/>
      <c r="I8226" s="422"/>
      <c r="J8226" s="750" t="e">
        <f t="shared" si="112"/>
        <v>#DIV/0!</v>
      </c>
      <c r="K8226" s="423"/>
      <c r="L8226" s="424"/>
      <c r="M8226" s="682"/>
      <c r="N8226" s="171"/>
      <c r="O8226" s="171"/>
      <c r="P8226" s="171"/>
      <c r="Q8226" s="171"/>
      <c r="R8226" s="171"/>
      <c r="S8226" s="171"/>
      <c r="T8226" s="171"/>
      <c r="U8226" s="171"/>
      <c r="V8226" s="171"/>
      <c r="W8226" s="171"/>
      <c r="X8226" s="171"/>
      <c r="Y8226" s="171"/>
      <c r="Z8226" s="171"/>
      <c r="AA8226" s="171"/>
    </row>
    <row r="8227" spans="1:27" s="530" customFormat="1" hidden="1" x14ac:dyDescent="0.2">
      <c r="A8227" s="526"/>
      <c r="B8227" s="527"/>
      <c r="C8227" s="534"/>
      <c r="D8227" s="535"/>
      <c r="E8227" s="535"/>
      <c r="F8227" s="494">
        <v>541</v>
      </c>
      <c r="G8227" s="497" t="s">
        <v>4200</v>
      </c>
      <c r="H8227" s="422"/>
      <c r="I8227" s="422"/>
      <c r="J8227" s="750" t="e">
        <f t="shared" si="112"/>
        <v>#DIV/0!</v>
      </c>
      <c r="K8227" s="423"/>
      <c r="L8227" s="424"/>
      <c r="M8227" s="682"/>
      <c r="N8227" s="171"/>
      <c r="O8227" s="171"/>
      <c r="P8227" s="171"/>
      <c r="Q8227" s="171"/>
      <c r="R8227" s="171"/>
      <c r="S8227" s="171"/>
      <c r="T8227" s="171"/>
      <c r="U8227" s="171"/>
      <c r="V8227" s="171"/>
      <c r="W8227" s="171"/>
      <c r="X8227" s="171"/>
      <c r="Y8227" s="171"/>
      <c r="Z8227" s="171"/>
      <c r="AA8227" s="171"/>
    </row>
    <row r="8228" spans="1:27" hidden="1" x14ac:dyDescent="0.2">
      <c r="E8228" s="500"/>
      <c r="F8228" s="498"/>
      <c r="G8228" s="501" t="s">
        <v>4344</v>
      </c>
      <c r="H8228" s="400"/>
      <c r="I8228" s="400"/>
      <c r="J8228" s="750" t="e">
        <f t="shared" si="112"/>
        <v>#DIV/0!</v>
      </c>
      <c r="K8228" s="401"/>
      <c r="L8228" s="402"/>
      <c r="M8228" s="682"/>
    </row>
    <row r="8229" spans="1:27" hidden="1" x14ac:dyDescent="0.2">
      <c r="E8229" s="502"/>
      <c r="F8229" s="503" t="s">
        <v>234</v>
      </c>
      <c r="G8229" s="504" t="s">
        <v>235</v>
      </c>
      <c r="H8229" s="403">
        <f>SUM(H8218:H8227)</f>
        <v>0</v>
      </c>
      <c r="I8229" s="403"/>
      <c r="J8229" s="750" t="e">
        <f t="shared" si="112"/>
        <v>#DIV/0!</v>
      </c>
      <c r="K8229" s="404"/>
      <c r="L8229" s="404"/>
      <c r="M8229" s="682"/>
    </row>
    <row r="8230" spans="1:27" hidden="1" x14ac:dyDescent="0.2">
      <c r="F8230" s="503" t="s">
        <v>236</v>
      </c>
      <c r="G8230" s="504" t="s">
        <v>237</v>
      </c>
      <c r="H8230" s="397"/>
      <c r="I8230" s="397"/>
      <c r="J8230" s="750" t="e">
        <f t="shared" si="112"/>
        <v>#DIV/0!</v>
      </c>
      <c r="K8230" s="398"/>
      <c r="L8230" s="404"/>
      <c r="M8230" s="682"/>
    </row>
    <row r="8231" spans="1:27" hidden="1" x14ac:dyDescent="0.2">
      <c r="F8231" s="503" t="s">
        <v>238</v>
      </c>
      <c r="G8231" s="504" t="s">
        <v>239</v>
      </c>
      <c r="H8231" s="397"/>
      <c r="I8231" s="397"/>
      <c r="J8231" s="750" t="e">
        <f t="shared" si="112"/>
        <v>#DIV/0!</v>
      </c>
      <c r="K8231" s="398"/>
      <c r="L8231" s="404"/>
      <c r="M8231" s="682"/>
    </row>
    <row r="8232" spans="1:27" hidden="1" x14ac:dyDescent="0.2">
      <c r="F8232" s="503" t="s">
        <v>240</v>
      </c>
      <c r="G8232" s="504" t="s">
        <v>241</v>
      </c>
      <c r="H8232" s="397"/>
      <c r="I8232" s="397"/>
      <c r="J8232" s="750" t="e">
        <f t="shared" si="112"/>
        <v>#DIV/0!</v>
      </c>
      <c r="K8232" s="398"/>
      <c r="L8232" s="404"/>
      <c r="M8232" s="682"/>
    </row>
    <row r="8233" spans="1:27" hidden="1" x14ac:dyDescent="0.2">
      <c r="F8233" s="503" t="s">
        <v>242</v>
      </c>
      <c r="G8233" s="504" t="s">
        <v>243</v>
      </c>
      <c r="H8233" s="397"/>
      <c r="I8233" s="397"/>
      <c r="J8233" s="750" t="e">
        <f t="shared" si="112"/>
        <v>#DIV/0!</v>
      </c>
      <c r="K8233" s="398"/>
      <c r="L8233" s="404"/>
      <c r="M8233" s="682"/>
    </row>
    <row r="8234" spans="1:27" hidden="1" x14ac:dyDescent="0.2">
      <c r="F8234" s="503" t="s">
        <v>244</v>
      </c>
      <c r="G8234" s="504" t="s">
        <v>245</v>
      </c>
      <c r="H8234" s="397"/>
      <c r="I8234" s="397"/>
      <c r="J8234" s="750" t="e">
        <f t="shared" si="112"/>
        <v>#DIV/0!</v>
      </c>
      <c r="K8234" s="398"/>
      <c r="L8234" s="404"/>
      <c r="M8234" s="682"/>
    </row>
    <row r="8235" spans="1:27" hidden="1" x14ac:dyDescent="0.2">
      <c r="F8235" s="503" t="s">
        <v>246</v>
      </c>
      <c r="G8235" s="504" t="s">
        <v>247</v>
      </c>
      <c r="H8235" s="397"/>
      <c r="I8235" s="397"/>
      <c r="J8235" s="750" t="e">
        <f t="shared" si="112"/>
        <v>#DIV/0!</v>
      </c>
      <c r="K8235" s="398"/>
      <c r="L8235" s="404"/>
      <c r="M8235" s="682"/>
    </row>
    <row r="8236" spans="1:27" ht="25.5" hidden="1" x14ac:dyDescent="0.2">
      <c r="F8236" s="503" t="s">
        <v>248</v>
      </c>
      <c r="G8236" s="504" t="s">
        <v>249</v>
      </c>
      <c r="H8236" s="397"/>
      <c r="I8236" s="397"/>
      <c r="J8236" s="750" t="e">
        <f t="shared" si="112"/>
        <v>#DIV/0!</v>
      </c>
      <c r="K8236" s="398"/>
      <c r="L8236" s="404"/>
      <c r="M8236" s="682"/>
    </row>
    <row r="8237" spans="1:27" hidden="1" x14ac:dyDescent="0.2">
      <c r="F8237" s="503" t="s">
        <v>250</v>
      </c>
      <c r="G8237" s="504" t="s">
        <v>57</v>
      </c>
      <c r="H8237" s="397"/>
      <c r="I8237" s="397"/>
      <c r="J8237" s="750" t="e">
        <f t="shared" si="112"/>
        <v>#DIV/0!</v>
      </c>
      <c r="K8237" s="398"/>
      <c r="L8237" s="404"/>
      <c r="M8237" s="682"/>
    </row>
    <row r="8238" spans="1:27" hidden="1" x14ac:dyDescent="0.2">
      <c r="F8238" s="503" t="s">
        <v>251</v>
      </c>
      <c r="G8238" s="504" t="s">
        <v>252</v>
      </c>
      <c r="H8238" s="397"/>
      <c r="I8238" s="397"/>
      <c r="J8238" s="750" t="e">
        <f t="shared" si="112"/>
        <v>#DIV/0!</v>
      </c>
      <c r="K8238" s="398"/>
      <c r="L8238" s="404"/>
      <c r="M8238" s="682"/>
    </row>
    <row r="8239" spans="1:27" hidden="1" x14ac:dyDescent="0.2">
      <c r="F8239" s="503" t="s">
        <v>253</v>
      </c>
      <c r="G8239" s="504" t="s">
        <v>254</v>
      </c>
      <c r="H8239" s="397"/>
      <c r="I8239" s="397"/>
      <c r="J8239" s="750" t="e">
        <f t="shared" si="112"/>
        <v>#DIV/0!</v>
      </c>
      <c r="K8239" s="398"/>
      <c r="L8239" s="404"/>
      <c r="M8239" s="682"/>
    </row>
    <row r="8240" spans="1:27" ht="25.5" hidden="1" x14ac:dyDescent="0.2">
      <c r="F8240" s="503" t="s">
        <v>255</v>
      </c>
      <c r="G8240" s="504" t="s">
        <v>256</v>
      </c>
      <c r="H8240" s="397"/>
      <c r="I8240" s="397"/>
      <c r="J8240" s="750" t="e">
        <f t="shared" si="112"/>
        <v>#DIV/0!</v>
      </c>
      <c r="K8240" s="398"/>
      <c r="L8240" s="404"/>
      <c r="M8240" s="682"/>
    </row>
    <row r="8241" spans="5:13" ht="25.5" hidden="1" x14ac:dyDescent="0.2">
      <c r="F8241" s="503" t="s">
        <v>257</v>
      </c>
      <c r="G8241" s="504" t="s">
        <v>258</v>
      </c>
      <c r="H8241" s="397"/>
      <c r="I8241" s="397"/>
      <c r="J8241" s="750" t="e">
        <f t="shared" si="112"/>
        <v>#DIV/0!</v>
      </c>
      <c r="K8241" s="398"/>
      <c r="L8241" s="404"/>
      <c r="M8241" s="682"/>
    </row>
    <row r="8242" spans="5:13" ht="25.5" hidden="1" x14ac:dyDescent="0.2">
      <c r="F8242" s="503" t="s">
        <v>259</v>
      </c>
      <c r="G8242" s="504" t="s">
        <v>260</v>
      </c>
      <c r="H8242" s="397"/>
      <c r="I8242" s="397"/>
      <c r="J8242" s="750" t="e">
        <f t="shared" si="112"/>
        <v>#DIV/0!</v>
      </c>
      <c r="K8242" s="398"/>
      <c r="L8242" s="404"/>
      <c r="M8242" s="682"/>
    </row>
    <row r="8243" spans="5:13" ht="25.5" hidden="1" x14ac:dyDescent="0.2">
      <c r="F8243" s="503" t="s">
        <v>261</v>
      </c>
      <c r="G8243" s="504" t="s">
        <v>262</v>
      </c>
      <c r="H8243" s="397"/>
      <c r="I8243" s="397"/>
      <c r="J8243" s="750" t="e">
        <f t="shared" si="112"/>
        <v>#DIV/0!</v>
      </c>
      <c r="K8243" s="398"/>
      <c r="L8243" s="404"/>
      <c r="M8243" s="682"/>
    </row>
    <row r="8244" spans="5:13" hidden="1" x14ac:dyDescent="0.2">
      <c r="F8244" s="503" t="s">
        <v>263</v>
      </c>
      <c r="G8244" s="504" t="s">
        <v>264</v>
      </c>
      <c r="H8244" s="403"/>
      <c r="I8244" s="403"/>
      <c r="J8244" s="750" t="e">
        <f t="shared" si="112"/>
        <v>#DIV/0!</v>
      </c>
      <c r="K8244" s="404"/>
      <c r="L8244" s="404"/>
      <c r="M8244" s="682"/>
    </row>
    <row r="8245" spans="5:13" ht="13.5" hidden="1" thickBot="1" x14ac:dyDescent="0.25">
      <c r="G8245" s="505" t="s">
        <v>4345</v>
      </c>
      <c r="H8245" s="405">
        <f>SUM(H8229:H8244)</f>
        <v>0</v>
      </c>
      <c r="I8245" s="405"/>
      <c r="J8245" s="750" t="e">
        <f t="shared" si="112"/>
        <v>#DIV/0!</v>
      </c>
      <c r="K8245" s="406">
        <f>SUM(K8230:K8244)</f>
        <v>0</v>
      </c>
      <c r="L8245" s="406"/>
      <c r="M8245" s="682"/>
    </row>
    <row r="8246" spans="5:13" ht="25.5" hidden="1" collapsed="1" x14ac:dyDescent="0.2">
      <c r="E8246" s="500"/>
      <c r="F8246" s="498"/>
      <c r="G8246" s="506" t="s">
        <v>4396</v>
      </c>
      <c r="H8246" s="407"/>
      <c r="I8246" s="408"/>
      <c r="J8246" s="750" t="e">
        <f t="shared" si="112"/>
        <v>#DIV/0!</v>
      </c>
      <c r="K8246" s="409"/>
      <c r="L8246" s="410"/>
      <c r="M8246" s="682"/>
    </row>
    <row r="8247" spans="5:13" hidden="1" x14ac:dyDescent="0.2">
      <c r="E8247" s="502"/>
      <c r="F8247" s="503" t="s">
        <v>234</v>
      </c>
      <c r="G8247" s="504" t="s">
        <v>235</v>
      </c>
      <c r="H8247" s="403">
        <f>SUM(H8218:H8227)</f>
        <v>0</v>
      </c>
      <c r="I8247" s="403"/>
      <c r="J8247" s="750" t="e">
        <f t="shared" si="112"/>
        <v>#DIV/0!</v>
      </c>
      <c r="K8247" s="404"/>
      <c r="L8247" s="404"/>
      <c r="M8247" s="682"/>
    </row>
    <row r="8248" spans="5:13" hidden="1" x14ac:dyDescent="0.2">
      <c r="F8248" s="503" t="s">
        <v>236</v>
      </c>
      <c r="G8248" s="504" t="s">
        <v>237</v>
      </c>
      <c r="H8248" s="397"/>
      <c r="I8248" s="397"/>
      <c r="J8248" s="750" t="e">
        <f t="shared" si="112"/>
        <v>#DIV/0!</v>
      </c>
      <c r="K8248" s="398"/>
      <c r="L8248" s="404"/>
      <c r="M8248" s="682"/>
    </row>
    <row r="8249" spans="5:13" hidden="1" x14ac:dyDescent="0.2">
      <c r="F8249" s="503" t="s">
        <v>238</v>
      </c>
      <c r="G8249" s="504" t="s">
        <v>239</v>
      </c>
      <c r="H8249" s="397"/>
      <c r="I8249" s="397"/>
      <c r="J8249" s="750" t="e">
        <f t="shared" si="112"/>
        <v>#DIV/0!</v>
      </c>
      <c r="K8249" s="398"/>
      <c r="L8249" s="404"/>
      <c r="M8249" s="682"/>
    </row>
    <row r="8250" spans="5:13" hidden="1" x14ac:dyDescent="0.2">
      <c r="F8250" s="503" t="s">
        <v>240</v>
      </c>
      <c r="G8250" s="504" t="s">
        <v>241</v>
      </c>
      <c r="H8250" s="397"/>
      <c r="I8250" s="397"/>
      <c r="J8250" s="750" t="e">
        <f t="shared" si="112"/>
        <v>#DIV/0!</v>
      </c>
      <c r="K8250" s="398"/>
      <c r="L8250" s="404"/>
      <c r="M8250" s="682"/>
    </row>
    <row r="8251" spans="5:13" hidden="1" x14ac:dyDescent="0.2">
      <c r="F8251" s="503" t="s">
        <v>242</v>
      </c>
      <c r="G8251" s="504" t="s">
        <v>243</v>
      </c>
      <c r="H8251" s="397"/>
      <c r="I8251" s="397"/>
      <c r="J8251" s="750" t="e">
        <f t="shared" si="112"/>
        <v>#DIV/0!</v>
      </c>
      <c r="K8251" s="398"/>
      <c r="L8251" s="404"/>
      <c r="M8251" s="682"/>
    </row>
    <row r="8252" spans="5:13" hidden="1" x14ac:dyDescent="0.2">
      <c r="F8252" s="503" t="s">
        <v>244</v>
      </c>
      <c r="G8252" s="504" t="s">
        <v>245</v>
      </c>
      <c r="H8252" s="397"/>
      <c r="I8252" s="397"/>
      <c r="J8252" s="750" t="e">
        <f t="shared" si="112"/>
        <v>#DIV/0!</v>
      </c>
      <c r="K8252" s="398"/>
      <c r="L8252" s="404"/>
      <c r="M8252" s="682"/>
    </row>
    <row r="8253" spans="5:13" hidden="1" x14ac:dyDescent="0.2">
      <c r="F8253" s="503" t="s">
        <v>246</v>
      </c>
      <c r="G8253" s="504" t="s">
        <v>247</v>
      </c>
      <c r="H8253" s="397"/>
      <c r="I8253" s="397"/>
      <c r="J8253" s="750" t="e">
        <f t="shared" si="112"/>
        <v>#DIV/0!</v>
      </c>
      <c r="K8253" s="398"/>
      <c r="L8253" s="404"/>
      <c r="M8253" s="682"/>
    </row>
    <row r="8254" spans="5:13" ht="25.5" hidden="1" x14ac:dyDescent="0.2">
      <c r="F8254" s="503" t="s">
        <v>248</v>
      </c>
      <c r="G8254" s="504" t="s">
        <v>249</v>
      </c>
      <c r="H8254" s="397"/>
      <c r="I8254" s="397"/>
      <c r="J8254" s="750" t="e">
        <f t="shared" si="112"/>
        <v>#DIV/0!</v>
      </c>
      <c r="K8254" s="398"/>
      <c r="L8254" s="404"/>
      <c r="M8254" s="682"/>
    </row>
    <row r="8255" spans="5:13" hidden="1" x14ac:dyDescent="0.2">
      <c r="F8255" s="503" t="s">
        <v>250</v>
      </c>
      <c r="G8255" s="504" t="s">
        <v>57</v>
      </c>
      <c r="H8255" s="397"/>
      <c r="I8255" s="397"/>
      <c r="J8255" s="750" t="e">
        <f t="shared" si="112"/>
        <v>#DIV/0!</v>
      </c>
      <c r="K8255" s="398"/>
      <c r="L8255" s="404"/>
      <c r="M8255" s="682"/>
    </row>
    <row r="8256" spans="5:13" hidden="1" x14ac:dyDescent="0.2">
      <c r="F8256" s="503" t="s">
        <v>251</v>
      </c>
      <c r="G8256" s="504" t="s">
        <v>252</v>
      </c>
      <c r="H8256" s="397"/>
      <c r="I8256" s="397"/>
      <c r="J8256" s="750" t="e">
        <f t="shared" si="112"/>
        <v>#DIV/0!</v>
      </c>
      <c r="K8256" s="398"/>
      <c r="L8256" s="404"/>
      <c r="M8256" s="682"/>
    </row>
    <row r="8257" spans="1:27" hidden="1" x14ac:dyDescent="0.2">
      <c r="F8257" s="503" t="s">
        <v>253</v>
      </c>
      <c r="G8257" s="504" t="s">
        <v>254</v>
      </c>
      <c r="H8257" s="397"/>
      <c r="I8257" s="397"/>
      <c r="J8257" s="750" t="e">
        <f t="shared" si="112"/>
        <v>#DIV/0!</v>
      </c>
      <c r="K8257" s="398"/>
      <c r="L8257" s="404"/>
      <c r="M8257" s="682"/>
    </row>
    <row r="8258" spans="1:27" ht="25.5" hidden="1" x14ac:dyDescent="0.2">
      <c r="F8258" s="503" t="s">
        <v>255</v>
      </c>
      <c r="G8258" s="504" t="s">
        <v>256</v>
      </c>
      <c r="H8258" s="397"/>
      <c r="I8258" s="397"/>
      <c r="J8258" s="750" t="e">
        <f t="shared" si="112"/>
        <v>#DIV/0!</v>
      </c>
      <c r="K8258" s="398"/>
      <c r="L8258" s="404"/>
      <c r="M8258" s="682"/>
    </row>
    <row r="8259" spans="1:27" ht="25.5" hidden="1" x14ac:dyDescent="0.2">
      <c r="F8259" s="503" t="s">
        <v>257</v>
      </c>
      <c r="G8259" s="504" t="s">
        <v>258</v>
      </c>
      <c r="H8259" s="397"/>
      <c r="I8259" s="397"/>
      <c r="J8259" s="750" t="e">
        <f t="shared" si="112"/>
        <v>#DIV/0!</v>
      </c>
      <c r="K8259" s="398"/>
      <c r="L8259" s="404"/>
      <c r="M8259" s="682"/>
    </row>
    <row r="8260" spans="1:27" ht="25.5" hidden="1" x14ac:dyDescent="0.2">
      <c r="F8260" s="503" t="s">
        <v>259</v>
      </c>
      <c r="G8260" s="504" t="s">
        <v>260</v>
      </c>
      <c r="H8260" s="397"/>
      <c r="I8260" s="397"/>
      <c r="J8260" s="750" t="e">
        <f t="shared" si="112"/>
        <v>#DIV/0!</v>
      </c>
      <c r="K8260" s="398"/>
      <c r="L8260" s="404"/>
      <c r="M8260" s="682"/>
    </row>
    <row r="8261" spans="1:27" ht="25.5" hidden="1" x14ac:dyDescent="0.2">
      <c r="F8261" s="503" t="s">
        <v>261</v>
      </c>
      <c r="G8261" s="504" t="s">
        <v>262</v>
      </c>
      <c r="H8261" s="397"/>
      <c r="I8261" s="397"/>
      <c r="J8261" s="750" t="e">
        <f t="shared" si="112"/>
        <v>#DIV/0!</v>
      </c>
      <c r="K8261" s="398"/>
      <c r="L8261" s="404"/>
      <c r="M8261" s="682"/>
    </row>
    <row r="8262" spans="1:27" hidden="1" x14ac:dyDescent="0.2">
      <c r="F8262" s="503" t="s">
        <v>263</v>
      </c>
      <c r="G8262" s="504" t="s">
        <v>264</v>
      </c>
      <c r="H8262" s="403"/>
      <c r="I8262" s="403"/>
      <c r="J8262" s="750" t="e">
        <f t="shared" si="112"/>
        <v>#DIV/0!</v>
      </c>
      <c r="K8262" s="404"/>
      <c r="L8262" s="404"/>
      <c r="M8262" s="682"/>
    </row>
    <row r="8263" spans="1:27" ht="13.5" hidden="1" collapsed="1" thickBot="1" x14ac:dyDescent="0.25">
      <c r="G8263" s="505" t="s">
        <v>4397</v>
      </c>
      <c r="H8263" s="405">
        <f>SUM(H8247:H8262)</f>
        <v>0</v>
      </c>
      <c r="I8263" s="405"/>
      <c r="J8263" s="750" t="e">
        <f t="shared" si="112"/>
        <v>#DIV/0!</v>
      </c>
      <c r="K8263" s="406">
        <f>SUM(K8248:K8262)</f>
        <v>0</v>
      </c>
      <c r="L8263" s="406"/>
      <c r="M8263" s="682"/>
    </row>
    <row r="8264" spans="1:27" hidden="1" x14ac:dyDescent="0.2">
      <c r="G8264" s="510"/>
      <c r="H8264" s="411"/>
      <c r="I8264" s="411"/>
      <c r="J8264" s="750" t="e">
        <f t="shared" si="112"/>
        <v>#DIV/0!</v>
      </c>
      <c r="K8264" s="412"/>
      <c r="L8264" s="412"/>
      <c r="M8264" s="682"/>
    </row>
    <row r="8265" spans="1:27" s="530" customFormat="1" hidden="1" x14ac:dyDescent="0.2">
      <c r="A8265" s="526"/>
      <c r="B8265" s="527"/>
      <c r="C8265" s="534"/>
      <c r="D8265" s="535"/>
      <c r="E8265" s="535"/>
      <c r="F8265" s="498"/>
      <c r="G8265" s="511" t="s">
        <v>4227</v>
      </c>
      <c r="H8265" s="413"/>
      <c r="I8265" s="413"/>
      <c r="J8265" s="750" t="e">
        <f t="shared" si="112"/>
        <v>#DIV/0!</v>
      </c>
      <c r="K8265" s="414"/>
      <c r="L8265" s="415"/>
      <c r="M8265" s="682"/>
      <c r="N8265" s="171"/>
      <c r="O8265" s="171"/>
      <c r="P8265" s="171"/>
      <c r="Q8265" s="171"/>
      <c r="R8265" s="171"/>
      <c r="S8265" s="171"/>
      <c r="T8265" s="171"/>
      <c r="U8265" s="171"/>
      <c r="V8265" s="171"/>
      <c r="W8265" s="171"/>
      <c r="X8265" s="171"/>
      <c r="Y8265" s="171"/>
      <c r="Z8265" s="171"/>
      <c r="AA8265" s="171"/>
    </row>
    <row r="8266" spans="1:27" s="530" customFormat="1" hidden="1" x14ac:dyDescent="0.2">
      <c r="A8266" s="526"/>
      <c r="B8266" s="527"/>
      <c r="C8266" s="534"/>
      <c r="D8266" s="535"/>
      <c r="E8266" s="535"/>
      <c r="F8266" s="503" t="s">
        <v>234</v>
      </c>
      <c r="G8266" s="504" t="s">
        <v>235</v>
      </c>
      <c r="H8266" s="403">
        <f>SUM(H8247,H8136,H8198)</f>
        <v>0</v>
      </c>
      <c r="I8266" s="403"/>
      <c r="J8266" s="750" t="e">
        <f t="shared" si="112"/>
        <v>#DIV/0!</v>
      </c>
      <c r="K8266" s="404"/>
      <c r="L8266" s="404"/>
      <c r="M8266" s="682"/>
      <c r="N8266" s="171"/>
      <c r="O8266" s="171"/>
      <c r="P8266" s="171"/>
      <c r="Q8266" s="171"/>
      <c r="R8266" s="171"/>
      <c r="S8266" s="171"/>
      <c r="T8266" s="171"/>
      <c r="U8266" s="171"/>
      <c r="V8266" s="171"/>
      <c r="W8266" s="171"/>
      <c r="X8266" s="171"/>
      <c r="Y8266" s="171"/>
      <c r="Z8266" s="171"/>
      <c r="AA8266" s="171"/>
    </row>
    <row r="8267" spans="1:27" s="530" customFormat="1" hidden="1" x14ac:dyDescent="0.2">
      <c r="A8267" s="526"/>
      <c r="B8267" s="527"/>
      <c r="C8267" s="534"/>
      <c r="D8267" s="535"/>
      <c r="E8267" s="535"/>
      <c r="F8267" s="503" t="s">
        <v>236</v>
      </c>
      <c r="G8267" s="504" t="s">
        <v>237</v>
      </c>
      <c r="H8267" s="397"/>
      <c r="I8267" s="397"/>
      <c r="J8267" s="750" t="e">
        <f t="shared" si="112"/>
        <v>#DIV/0!</v>
      </c>
      <c r="K8267" s="398"/>
      <c r="L8267" s="404"/>
      <c r="M8267" s="682"/>
      <c r="N8267" s="171"/>
      <c r="O8267" s="171"/>
      <c r="P8267" s="171"/>
      <c r="Q8267" s="171"/>
      <c r="R8267" s="171"/>
      <c r="S8267" s="171"/>
      <c r="T8267" s="171"/>
      <c r="U8267" s="171"/>
      <c r="V8267" s="171"/>
      <c r="W8267" s="171"/>
      <c r="X8267" s="171"/>
      <c r="Y8267" s="171"/>
      <c r="Z8267" s="171"/>
      <c r="AA8267" s="171"/>
    </row>
    <row r="8268" spans="1:27" s="530" customFormat="1" hidden="1" x14ac:dyDescent="0.2">
      <c r="A8268" s="526"/>
      <c r="B8268" s="527"/>
      <c r="C8268" s="534"/>
      <c r="D8268" s="535"/>
      <c r="E8268" s="535"/>
      <c r="F8268" s="503" t="s">
        <v>238</v>
      </c>
      <c r="G8268" s="504" t="s">
        <v>239</v>
      </c>
      <c r="H8268" s="397"/>
      <c r="I8268" s="397"/>
      <c r="J8268" s="750" t="e">
        <f t="shared" si="112"/>
        <v>#DIV/0!</v>
      </c>
      <c r="K8268" s="398"/>
      <c r="L8268" s="404"/>
      <c r="M8268" s="682"/>
      <c r="N8268" s="171"/>
      <c r="O8268" s="171"/>
      <c r="P8268" s="171"/>
      <c r="Q8268" s="171"/>
      <c r="R8268" s="171"/>
      <c r="S8268" s="171"/>
      <c r="T8268" s="171"/>
      <c r="U8268" s="171"/>
      <c r="V8268" s="171"/>
      <c r="W8268" s="171"/>
      <c r="X8268" s="171"/>
      <c r="Y8268" s="171"/>
      <c r="Z8268" s="171"/>
      <c r="AA8268" s="171"/>
    </row>
    <row r="8269" spans="1:27" s="530" customFormat="1" hidden="1" x14ac:dyDescent="0.2">
      <c r="A8269" s="526"/>
      <c r="B8269" s="527"/>
      <c r="C8269" s="534"/>
      <c r="D8269" s="535"/>
      <c r="E8269" s="535"/>
      <c r="F8269" s="503" t="s">
        <v>240</v>
      </c>
      <c r="G8269" s="504" t="s">
        <v>241</v>
      </c>
      <c r="H8269" s="397"/>
      <c r="I8269" s="397"/>
      <c r="J8269" s="750" t="e">
        <f t="shared" si="112"/>
        <v>#DIV/0!</v>
      </c>
      <c r="K8269" s="398"/>
      <c r="L8269" s="404"/>
      <c r="M8269" s="682"/>
      <c r="N8269" s="171"/>
      <c r="O8269" s="171"/>
      <c r="P8269" s="171"/>
      <c r="Q8269" s="171"/>
      <c r="R8269" s="171"/>
      <c r="S8269" s="171"/>
      <c r="T8269" s="171"/>
      <c r="U8269" s="171"/>
      <c r="V8269" s="171"/>
      <c r="W8269" s="171"/>
      <c r="X8269" s="171"/>
      <c r="Y8269" s="171"/>
      <c r="Z8269" s="171"/>
      <c r="AA8269" s="171"/>
    </row>
    <row r="8270" spans="1:27" s="530" customFormat="1" hidden="1" x14ac:dyDescent="0.2">
      <c r="A8270" s="526"/>
      <c r="B8270" s="527"/>
      <c r="C8270" s="534"/>
      <c r="D8270" s="535"/>
      <c r="E8270" s="535"/>
      <c r="F8270" s="503" t="s">
        <v>242</v>
      </c>
      <c r="G8270" s="504" t="s">
        <v>243</v>
      </c>
      <c r="H8270" s="397"/>
      <c r="I8270" s="397"/>
      <c r="J8270" s="750" t="e">
        <f t="shared" ref="J8270:J8333" si="113">SUM(I8270/H8270)*100</f>
        <v>#DIV/0!</v>
      </c>
      <c r="K8270" s="398"/>
      <c r="L8270" s="404"/>
      <c r="M8270" s="682"/>
      <c r="N8270" s="171"/>
      <c r="O8270" s="171"/>
      <c r="P8270" s="171"/>
      <c r="Q8270" s="171"/>
      <c r="R8270" s="171"/>
      <c r="S8270" s="171"/>
      <c r="T8270" s="171"/>
      <c r="U8270" s="171"/>
      <c r="V8270" s="171"/>
      <c r="W8270" s="171"/>
      <c r="X8270" s="171"/>
      <c r="Y8270" s="171"/>
      <c r="Z8270" s="171"/>
      <c r="AA8270" s="171"/>
    </row>
    <row r="8271" spans="1:27" s="530" customFormat="1" hidden="1" x14ac:dyDescent="0.2">
      <c r="A8271" s="526"/>
      <c r="B8271" s="527"/>
      <c r="C8271" s="534"/>
      <c r="D8271" s="535"/>
      <c r="E8271" s="535"/>
      <c r="F8271" s="503" t="s">
        <v>244</v>
      </c>
      <c r="G8271" s="504" t="s">
        <v>245</v>
      </c>
      <c r="H8271" s="397"/>
      <c r="I8271" s="397"/>
      <c r="J8271" s="750" t="e">
        <f t="shared" si="113"/>
        <v>#DIV/0!</v>
      </c>
      <c r="K8271" s="398"/>
      <c r="L8271" s="404"/>
      <c r="M8271" s="682"/>
      <c r="N8271" s="171"/>
      <c r="O8271" s="171"/>
      <c r="P8271" s="171"/>
      <c r="Q8271" s="171"/>
      <c r="R8271" s="171"/>
      <c r="S8271" s="171"/>
      <c r="T8271" s="171"/>
      <c r="U8271" s="171"/>
      <c r="V8271" s="171"/>
      <c r="W8271" s="171"/>
      <c r="X8271" s="171"/>
      <c r="Y8271" s="171"/>
      <c r="Z8271" s="171"/>
      <c r="AA8271" s="171"/>
    </row>
    <row r="8272" spans="1:27" s="530" customFormat="1" hidden="1" x14ac:dyDescent="0.2">
      <c r="A8272" s="526"/>
      <c r="B8272" s="527"/>
      <c r="C8272" s="534"/>
      <c r="D8272" s="535"/>
      <c r="E8272" s="535"/>
      <c r="F8272" s="503" t="s">
        <v>246</v>
      </c>
      <c r="G8272" s="504" t="s">
        <v>247</v>
      </c>
      <c r="H8272" s="397"/>
      <c r="I8272" s="397"/>
      <c r="J8272" s="750" t="e">
        <f t="shared" si="113"/>
        <v>#DIV/0!</v>
      </c>
      <c r="K8272" s="398"/>
      <c r="L8272" s="404"/>
      <c r="M8272" s="682"/>
      <c r="N8272" s="171"/>
      <c r="O8272" s="171"/>
      <c r="P8272" s="171"/>
      <c r="Q8272" s="171"/>
      <c r="R8272" s="171"/>
      <c r="S8272" s="171"/>
      <c r="T8272" s="171"/>
      <c r="U8272" s="171"/>
      <c r="V8272" s="171"/>
      <c r="W8272" s="171"/>
      <c r="X8272" s="171"/>
      <c r="Y8272" s="171"/>
      <c r="Z8272" s="171"/>
      <c r="AA8272" s="171"/>
    </row>
    <row r="8273" spans="1:27" s="530" customFormat="1" ht="25.5" hidden="1" x14ac:dyDescent="0.2">
      <c r="A8273" s="526"/>
      <c r="B8273" s="527"/>
      <c r="C8273" s="534"/>
      <c r="D8273" s="535"/>
      <c r="E8273" s="535"/>
      <c r="F8273" s="503" t="s">
        <v>248</v>
      </c>
      <c r="G8273" s="504" t="s">
        <v>249</v>
      </c>
      <c r="H8273" s="397"/>
      <c r="I8273" s="397"/>
      <c r="J8273" s="750" t="e">
        <f t="shared" si="113"/>
        <v>#DIV/0!</v>
      </c>
      <c r="K8273" s="398"/>
      <c r="L8273" s="404"/>
      <c r="M8273" s="682"/>
      <c r="N8273" s="171"/>
      <c r="O8273" s="171"/>
      <c r="P8273" s="171"/>
      <c r="Q8273" s="171"/>
      <c r="R8273" s="171"/>
      <c r="S8273" s="171"/>
      <c r="T8273" s="171"/>
      <c r="U8273" s="171"/>
      <c r="V8273" s="171"/>
      <c r="W8273" s="171"/>
      <c r="X8273" s="171"/>
      <c r="Y8273" s="171"/>
      <c r="Z8273" s="171"/>
      <c r="AA8273" s="171"/>
    </row>
    <row r="8274" spans="1:27" s="530" customFormat="1" hidden="1" x14ac:dyDescent="0.2">
      <c r="A8274" s="526"/>
      <c r="B8274" s="527"/>
      <c r="C8274" s="534"/>
      <c r="D8274" s="535"/>
      <c r="E8274" s="535"/>
      <c r="F8274" s="503" t="s">
        <v>250</v>
      </c>
      <c r="G8274" s="504" t="s">
        <v>57</v>
      </c>
      <c r="H8274" s="397"/>
      <c r="I8274" s="397"/>
      <c r="J8274" s="750" t="e">
        <f t="shared" si="113"/>
        <v>#DIV/0!</v>
      </c>
      <c r="K8274" s="398"/>
      <c r="L8274" s="404"/>
      <c r="M8274" s="682"/>
      <c r="N8274" s="171"/>
      <c r="O8274" s="171"/>
      <c r="P8274" s="171"/>
      <c r="Q8274" s="171"/>
      <c r="R8274" s="171"/>
      <c r="S8274" s="171"/>
      <c r="T8274" s="171"/>
      <c r="U8274" s="171"/>
      <c r="V8274" s="171"/>
      <c r="W8274" s="171"/>
      <c r="X8274" s="171"/>
      <c r="Y8274" s="171"/>
      <c r="Z8274" s="171"/>
      <c r="AA8274" s="171"/>
    </row>
    <row r="8275" spans="1:27" s="530" customFormat="1" hidden="1" x14ac:dyDescent="0.2">
      <c r="A8275" s="526"/>
      <c r="B8275" s="527"/>
      <c r="C8275" s="534"/>
      <c r="D8275" s="535"/>
      <c r="E8275" s="535"/>
      <c r="F8275" s="503" t="s">
        <v>251</v>
      </c>
      <c r="G8275" s="504" t="s">
        <v>252</v>
      </c>
      <c r="H8275" s="397"/>
      <c r="I8275" s="397"/>
      <c r="J8275" s="750" t="e">
        <f t="shared" si="113"/>
        <v>#DIV/0!</v>
      </c>
      <c r="K8275" s="398"/>
      <c r="L8275" s="404"/>
      <c r="M8275" s="682"/>
      <c r="N8275" s="171"/>
      <c r="O8275" s="171"/>
      <c r="P8275" s="171"/>
      <c r="Q8275" s="171"/>
      <c r="R8275" s="171"/>
      <c r="S8275" s="171"/>
      <c r="T8275" s="171"/>
      <c r="U8275" s="171"/>
      <c r="V8275" s="171"/>
      <c r="W8275" s="171"/>
      <c r="X8275" s="171"/>
      <c r="Y8275" s="171"/>
      <c r="Z8275" s="171"/>
      <c r="AA8275" s="171"/>
    </row>
    <row r="8276" spans="1:27" s="530" customFormat="1" hidden="1" x14ac:dyDescent="0.2">
      <c r="A8276" s="526"/>
      <c r="B8276" s="527"/>
      <c r="C8276" s="534"/>
      <c r="D8276" s="535"/>
      <c r="E8276" s="535"/>
      <c r="F8276" s="503" t="s">
        <v>253</v>
      </c>
      <c r="G8276" s="504" t="s">
        <v>254</v>
      </c>
      <c r="H8276" s="397"/>
      <c r="I8276" s="397"/>
      <c r="J8276" s="750" t="e">
        <f t="shared" si="113"/>
        <v>#DIV/0!</v>
      </c>
      <c r="K8276" s="398"/>
      <c r="L8276" s="404"/>
      <c r="M8276" s="682"/>
      <c r="N8276" s="171"/>
      <c r="O8276" s="171"/>
      <c r="P8276" s="171"/>
      <c r="Q8276" s="171"/>
      <c r="R8276" s="171"/>
      <c r="S8276" s="171"/>
      <c r="T8276" s="171"/>
      <c r="U8276" s="171"/>
      <c r="V8276" s="171"/>
      <c r="W8276" s="171"/>
      <c r="X8276" s="171"/>
      <c r="Y8276" s="171"/>
      <c r="Z8276" s="171"/>
      <c r="AA8276" s="171"/>
    </row>
    <row r="8277" spans="1:27" s="530" customFormat="1" ht="25.5" hidden="1" x14ac:dyDescent="0.2">
      <c r="A8277" s="526"/>
      <c r="B8277" s="527"/>
      <c r="C8277" s="534"/>
      <c r="D8277" s="535"/>
      <c r="E8277" s="535"/>
      <c r="F8277" s="503" t="s">
        <v>255</v>
      </c>
      <c r="G8277" s="504" t="s">
        <v>256</v>
      </c>
      <c r="H8277" s="397"/>
      <c r="I8277" s="397"/>
      <c r="J8277" s="750" t="e">
        <f t="shared" si="113"/>
        <v>#DIV/0!</v>
      </c>
      <c r="K8277" s="398"/>
      <c r="L8277" s="404"/>
      <c r="M8277" s="682"/>
      <c r="N8277" s="171"/>
      <c r="O8277" s="171"/>
      <c r="P8277" s="171"/>
      <c r="Q8277" s="171"/>
      <c r="R8277" s="171"/>
      <c r="S8277" s="171"/>
      <c r="T8277" s="171"/>
      <c r="U8277" s="171"/>
      <c r="V8277" s="171"/>
      <c r="W8277" s="171"/>
      <c r="X8277" s="171"/>
      <c r="Y8277" s="171"/>
      <c r="Z8277" s="171"/>
      <c r="AA8277" s="171"/>
    </row>
    <row r="8278" spans="1:27" s="530" customFormat="1" ht="25.5" hidden="1" x14ac:dyDescent="0.2">
      <c r="A8278" s="526"/>
      <c r="B8278" s="527"/>
      <c r="C8278" s="534"/>
      <c r="D8278" s="535"/>
      <c r="E8278" s="535"/>
      <c r="F8278" s="503" t="s">
        <v>257</v>
      </c>
      <c r="G8278" s="504" t="s">
        <v>258</v>
      </c>
      <c r="H8278" s="397"/>
      <c r="I8278" s="397"/>
      <c r="J8278" s="750" t="e">
        <f t="shared" si="113"/>
        <v>#DIV/0!</v>
      </c>
      <c r="K8278" s="398"/>
      <c r="L8278" s="404"/>
      <c r="M8278" s="682"/>
      <c r="N8278" s="171"/>
      <c r="O8278" s="171"/>
      <c r="P8278" s="171"/>
      <c r="Q8278" s="171"/>
      <c r="R8278" s="171"/>
      <c r="S8278" s="171"/>
      <c r="T8278" s="171"/>
      <c r="U8278" s="171"/>
      <c r="V8278" s="171"/>
      <c r="W8278" s="171"/>
      <c r="X8278" s="171"/>
      <c r="Y8278" s="171"/>
      <c r="Z8278" s="171"/>
      <c r="AA8278" s="171"/>
    </row>
    <row r="8279" spans="1:27" s="530" customFormat="1" ht="25.5" hidden="1" x14ac:dyDescent="0.2">
      <c r="A8279" s="526"/>
      <c r="B8279" s="527"/>
      <c r="C8279" s="534"/>
      <c r="D8279" s="535"/>
      <c r="E8279" s="535"/>
      <c r="F8279" s="503" t="s">
        <v>259</v>
      </c>
      <c r="G8279" s="504" t="s">
        <v>260</v>
      </c>
      <c r="H8279" s="397"/>
      <c r="I8279" s="397"/>
      <c r="J8279" s="750" t="e">
        <f t="shared" si="113"/>
        <v>#DIV/0!</v>
      </c>
      <c r="K8279" s="398"/>
      <c r="L8279" s="404"/>
      <c r="M8279" s="682"/>
      <c r="N8279" s="171"/>
      <c r="O8279" s="171"/>
      <c r="P8279" s="171"/>
      <c r="Q8279" s="171"/>
      <c r="R8279" s="171"/>
      <c r="S8279" s="171"/>
      <c r="T8279" s="171"/>
      <c r="U8279" s="171"/>
      <c r="V8279" s="171"/>
      <c r="W8279" s="171"/>
      <c r="X8279" s="171"/>
      <c r="Y8279" s="171"/>
      <c r="Z8279" s="171"/>
      <c r="AA8279" s="171"/>
    </row>
    <row r="8280" spans="1:27" s="530" customFormat="1" ht="25.5" hidden="1" x14ac:dyDescent="0.2">
      <c r="A8280" s="526"/>
      <c r="B8280" s="527"/>
      <c r="C8280" s="534"/>
      <c r="D8280" s="535"/>
      <c r="E8280" s="535"/>
      <c r="F8280" s="503" t="s">
        <v>261</v>
      </c>
      <c r="G8280" s="504" t="s">
        <v>262</v>
      </c>
      <c r="H8280" s="397"/>
      <c r="I8280" s="397"/>
      <c r="J8280" s="750" t="e">
        <f t="shared" si="113"/>
        <v>#DIV/0!</v>
      </c>
      <c r="K8280" s="398"/>
      <c r="L8280" s="404"/>
      <c r="M8280" s="682"/>
      <c r="N8280" s="171"/>
      <c r="O8280" s="171"/>
      <c r="P8280" s="171"/>
      <c r="Q8280" s="171"/>
      <c r="R8280" s="171"/>
      <c r="S8280" s="171"/>
      <c r="T8280" s="171"/>
      <c r="U8280" s="171"/>
      <c r="V8280" s="171"/>
      <c r="W8280" s="171"/>
      <c r="X8280" s="171"/>
      <c r="Y8280" s="171"/>
      <c r="Z8280" s="171"/>
      <c r="AA8280" s="171"/>
    </row>
    <row r="8281" spans="1:27" s="530" customFormat="1" hidden="1" x14ac:dyDescent="0.2">
      <c r="A8281" s="526"/>
      <c r="B8281" s="527"/>
      <c r="C8281" s="534"/>
      <c r="D8281" s="535"/>
      <c r="E8281" s="535"/>
      <c r="F8281" s="503" t="s">
        <v>263</v>
      </c>
      <c r="G8281" s="504" t="s">
        <v>264</v>
      </c>
      <c r="H8281" s="403"/>
      <c r="I8281" s="403"/>
      <c r="J8281" s="750" t="e">
        <f t="shared" si="113"/>
        <v>#DIV/0!</v>
      </c>
      <c r="K8281" s="404"/>
      <c r="L8281" s="404"/>
      <c r="M8281" s="682"/>
      <c r="N8281" s="171"/>
      <c r="O8281" s="171"/>
      <c r="P8281" s="171"/>
      <c r="Q8281" s="171"/>
      <c r="R8281" s="171"/>
      <c r="S8281" s="171"/>
      <c r="T8281" s="171"/>
      <c r="U8281" s="171"/>
      <c r="V8281" s="171"/>
      <c r="W8281" s="171"/>
      <c r="X8281" s="171"/>
      <c r="Y8281" s="171"/>
      <c r="Z8281" s="171"/>
      <c r="AA8281" s="171"/>
    </row>
    <row r="8282" spans="1:27" s="530" customFormat="1" ht="13.5" hidden="1" thickBot="1" x14ac:dyDescent="0.25">
      <c r="A8282" s="526"/>
      <c r="B8282" s="527"/>
      <c r="C8282" s="534"/>
      <c r="D8282" s="535"/>
      <c r="E8282" s="535"/>
      <c r="F8282" s="464"/>
      <c r="G8282" s="505" t="s">
        <v>4228</v>
      </c>
      <c r="H8282" s="405">
        <f>SUM(H8266:H8281)</f>
        <v>0</v>
      </c>
      <c r="I8282" s="405"/>
      <c r="J8282" s="750" t="e">
        <f t="shared" si="113"/>
        <v>#DIV/0!</v>
      </c>
      <c r="K8282" s="406">
        <f>SUM(K8267:K8281)</f>
        <v>0</v>
      </c>
      <c r="L8282" s="406"/>
      <c r="M8282" s="682"/>
      <c r="N8282" s="171"/>
      <c r="O8282" s="171"/>
      <c r="P8282" s="171"/>
      <c r="Q8282" s="171"/>
      <c r="R8282" s="171"/>
      <c r="S8282" s="171"/>
      <c r="T8282" s="171"/>
      <c r="U8282" s="171"/>
      <c r="V8282" s="171"/>
      <c r="W8282" s="171"/>
      <c r="X8282" s="171"/>
      <c r="Y8282" s="171"/>
      <c r="Z8282" s="171"/>
      <c r="AA8282" s="171"/>
    </row>
    <row r="8283" spans="1:27" hidden="1" x14ac:dyDescent="0.2">
      <c r="G8283" s="510"/>
      <c r="H8283" s="411"/>
      <c r="I8283" s="411"/>
      <c r="J8283" s="750" t="e">
        <f t="shared" si="113"/>
        <v>#DIV/0!</v>
      </c>
      <c r="K8283" s="412"/>
      <c r="L8283" s="412"/>
      <c r="M8283" s="682"/>
    </row>
    <row r="8284" spans="1:27" hidden="1" x14ac:dyDescent="0.2">
      <c r="G8284" s="510"/>
      <c r="H8284" s="411"/>
      <c r="I8284" s="411"/>
      <c r="J8284" s="750" t="e">
        <f t="shared" si="113"/>
        <v>#DIV/0!</v>
      </c>
      <c r="K8284" s="412"/>
      <c r="L8284" s="412"/>
      <c r="M8284" s="682"/>
    </row>
    <row r="8285" spans="1:27" s="530" customFormat="1" hidden="1" x14ac:dyDescent="0.2">
      <c r="A8285" s="526"/>
      <c r="B8285" s="527"/>
      <c r="C8285" s="528" t="s">
        <v>3576</v>
      </c>
      <c r="D8285" s="528"/>
      <c r="E8285" s="536"/>
      <c r="F8285" s="536"/>
      <c r="G8285" s="529" t="s">
        <v>4244</v>
      </c>
      <c r="H8285" s="425"/>
      <c r="I8285" s="425"/>
      <c r="J8285" s="750" t="e">
        <f t="shared" si="113"/>
        <v>#DIV/0!</v>
      </c>
      <c r="K8285" s="243"/>
      <c r="L8285" s="243"/>
      <c r="M8285" s="682"/>
      <c r="N8285" s="171"/>
      <c r="O8285" s="171"/>
      <c r="P8285" s="171"/>
      <c r="Q8285" s="171"/>
      <c r="R8285" s="171"/>
      <c r="S8285" s="171"/>
      <c r="T8285" s="171"/>
      <c r="U8285" s="171"/>
      <c r="V8285" s="171"/>
      <c r="W8285" s="171"/>
      <c r="X8285" s="171"/>
      <c r="Y8285" s="171"/>
      <c r="Z8285" s="171"/>
      <c r="AA8285" s="171"/>
    </row>
    <row r="8286" spans="1:27" hidden="1" x14ac:dyDescent="0.2">
      <c r="C8286" s="489" t="s">
        <v>4151</v>
      </c>
      <c r="D8286" s="490"/>
      <c r="G8286" s="491" t="s">
        <v>4103</v>
      </c>
      <c r="H8286" s="397"/>
      <c r="I8286" s="397"/>
      <c r="J8286" s="750" t="e">
        <f t="shared" si="113"/>
        <v>#DIV/0!</v>
      </c>
      <c r="K8286" s="398"/>
      <c r="L8286" s="398"/>
      <c r="M8286" s="682"/>
    </row>
    <row r="8287" spans="1:27" s="530" customFormat="1" hidden="1" x14ac:dyDescent="0.2">
      <c r="A8287" s="526"/>
      <c r="B8287" s="527"/>
      <c r="C8287" s="528"/>
      <c r="D8287" s="537">
        <v>451</v>
      </c>
      <c r="E8287" s="538"/>
      <c r="F8287" s="538"/>
      <c r="G8287" s="539" t="s">
        <v>153</v>
      </c>
      <c r="H8287" s="425"/>
      <c r="I8287" s="425"/>
      <c r="J8287" s="750" t="e">
        <f t="shared" si="113"/>
        <v>#DIV/0!</v>
      </c>
      <c r="K8287" s="243"/>
      <c r="L8287" s="243"/>
      <c r="M8287" s="682"/>
      <c r="N8287" s="171"/>
      <c r="O8287" s="171"/>
      <c r="P8287" s="171"/>
      <c r="Q8287" s="171"/>
      <c r="R8287" s="171"/>
      <c r="S8287" s="171"/>
      <c r="T8287" s="171"/>
      <c r="U8287" s="171"/>
      <c r="V8287" s="171"/>
      <c r="W8287" s="171"/>
      <c r="X8287" s="171"/>
      <c r="Y8287" s="171"/>
      <c r="Z8287" s="171"/>
      <c r="AA8287" s="171"/>
    </row>
    <row r="8288" spans="1:27" hidden="1" x14ac:dyDescent="0.2">
      <c r="F8288" s="494">
        <v>411</v>
      </c>
      <c r="G8288" s="495" t="s">
        <v>4167</v>
      </c>
      <c r="H8288" s="397"/>
      <c r="I8288" s="397"/>
      <c r="J8288" s="750" t="e">
        <f t="shared" si="113"/>
        <v>#DIV/0!</v>
      </c>
      <c r="K8288" s="398"/>
      <c r="L8288" s="398"/>
      <c r="M8288" s="682"/>
    </row>
    <row r="8289" spans="6:13" hidden="1" x14ac:dyDescent="0.2">
      <c r="F8289" s="494">
        <v>412</v>
      </c>
      <c r="G8289" s="496" t="s">
        <v>3764</v>
      </c>
      <c r="H8289" s="397"/>
      <c r="I8289" s="397"/>
      <c r="J8289" s="750" t="e">
        <f t="shared" si="113"/>
        <v>#DIV/0!</v>
      </c>
      <c r="K8289" s="398"/>
      <c r="L8289" s="398"/>
      <c r="M8289" s="682"/>
    </row>
    <row r="8290" spans="6:13" hidden="1" x14ac:dyDescent="0.2">
      <c r="F8290" s="494">
        <v>413</v>
      </c>
      <c r="G8290" s="495" t="s">
        <v>4168</v>
      </c>
      <c r="H8290" s="397"/>
      <c r="I8290" s="397"/>
      <c r="J8290" s="750" t="e">
        <f t="shared" si="113"/>
        <v>#DIV/0!</v>
      </c>
      <c r="K8290" s="398"/>
      <c r="L8290" s="398"/>
      <c r="M8290" s="682"/>
    </row>
    <row r="8291" spans="6:13" hidden="1" x14ac:dyDescent="0.2">
      <c r="F8291" s="494">
        <v>414</v>
      </c>
      <c r="G8291" s="495" t="s">
        <v>3767</v>
      </c>
      <c r="H8291" s="397"/>
      <c r="I8291" s="397"/>
      <c r="J8291" s="750" t="e">
        <f t="shared" si="113"/>
        <v>#DIV/0!</v>
      </c>
      <c r="K8291" s="398"/>
      <c r="L8291" s="398"/>
      <c r="M8291" s="682"/>
    </row>
    <row r="8292" spans="6:13" hidden="1" x14ac:dyDescent="0.2">
      <c r="F8292" s="494">
        <v>415</v>
      </c>
      <c r="G8292" s="495" t="s">
        <v>4177</v>
      </c>
      <c r="H8292" s="397"/>
      <c r="I8292" s="397"/>
      <c r="J8292" s="750" t="e">
        <f t="shared" si="113"/>
        <v>#DIV/0!</v>
      </c>
      <c r="K8292" s="398"/>
      <c r="L8292" s="398"/>
      <c r="M8292" s="682"/>
    </row>
    <row r="8293" spans="6:13" ht="25.5" hidden="1" x14ac:dyDescent="0.2">
      <c r="F8293" s="494">
        <v>416</v>
      </c>
      <c r="G8293" s="495" t="s">
        <v>4178</v>
      </c>
      <c r="H8293" s="397"/>
      <c r="I8293" s="397"/>
      <c r="J8293" s="750" t="e">
        <f t="shared" si="113"/>
        <v>#DIV/0!</v>
      </c>
      <c r="K8293" s="398"/>
      <c r="L8293" s="398"/>
      <c r="M8293" s="682"/>
    </row>
    <row r="8294" spans="6:13" hidden="1" x14ac:dyDescent="0.2">
      <c r="F8294" s="494">
        <v>417</v>
      </c>
      <c r="G8294" s="495" t="s">
        <v>4179</v>
      </c>
      <c r="H8294" s="397"/>
      <c r="I8294" s="397"/>
      <c r="J8294" s="750" t="e">
        <f t="shared" si="113"/>
        <v>#DIV/0!</v>
      </c>
      <c r="K8294" s="398"/>
      <c r="L8294" s="398"/>
      <c r="M8294" s="682"/>
    </row>
    <row r="8295" spans="6:13" hidden="1" x14ac:dyDescent="0.2">
      <c r="F8295" s="494">
        <v>418</v>
      </c>
      <c r="G8295" s="495" t="s">
        <v>3773</v>
      </c>
      <c r="H8295" s="397"/>
      <c r="I8295" s="397"/>
      <c r="J8295" s="750" t="e">
        <f t="shared" si="113"/>
        <v>#DIV/0!</v>
      </c>
      <c r="K8295" s="398"/>
      <c r="L8295" s="398"/>
      <c r="M8295" s="682"/>
    </row>
    <row r="8296" spans="6:13" hidden="1" x14ac:dyDescent="0.2">
      <c r="F8296" s="494">
        <v>421</v>
      </c>
      <c r="G8296" s="495" t="s">
        <v>3777</v>
      </c>
      <c r="H8296" s="397"/>
      <c r="I8296" s="397"/>
      <c r="J8296" s="750" t="e">
        <f t="shared" si="113"/>
        <v>#DIV/0!</v>
      </c>
      <c r="K8296" s="398"/>
      <c r="L8296" s="398"/>
      <c r="M8296" s="682"/>
    </row>
    <row r="8297" spans="6:13" hidden="1" x14ac:dyDescent="0.2">
      <c r="F8297" s="494">
        <v>422</v>
      </c>
      <c r="G8297" s="495" t="s">
        <v>3778</v>
      </c>
      <c r="H8297" s="397"/>
      <c r="I8297" s="397"/>
      <c r="J8297" s="750" t="e">
        <f t="shared" si="113"/>
        <v>#DIV/0!</v>
      </c>
      <c r="K8297" s="398"/>
      <c r="L8297" s="398"/>
      <c r="M8297" s="682"/>
    </row>
    <row r="8298" spans="6:13" hidden="1" x14ac:dyDescent="0.2">
      <c r="F8298" s="494">
        <v>423</v>
      </c>
      <c r="G8298" s="495" t="s">
        <v>3779</v>
      </c>
      <c r="H8298" s="397"/>
      <c r="I8298" s="397"/>
      <c r="J8298" s="750" t="e">
        <f t="shared" si="113"/>
        <v>#DIV/0!</v>
      </c>
      <c r="K8298" s="398"/>
      <c r="L8298" s="398"/>
      <c r="M8298" s="682"/>
    </row>
    <row r="8299" spans="6:13" hidden="1" x14ac:dyDescent="0.2">
      <c r="F8299" s="494">
        <v>424</v>
      </c>
      <c r="G8299" s="495" t="s">
        <v>3781</v>
      </c>
      <c r="H8299" s="397"/>
      <c r="I8299" s="397"/>
      <c r="J8299" s="750" t="e">
        <f t="shared" si="113"/>
        <v>#DIV/0!</v>
      </c>
      <c r="K8299" s="398"/>
      <c r="L8299" s="398"/>
      <c r="M8299" s="682"/>
    </row>
    <row r="8300" spans="6:13" hidden="1" x14ac:dyDescent="0.2">
      <c r="F8300" s="494">
        <v>425</v>
      </c>
      <c r="G8300" s="495" t="s">
        <v>4180</v>
      </c>
      <c r="H8300" s="397"/>
      <c r="I8300" s="397"/>
      <c r="J8300" s="750" t="e">
        <f t="shared" si="113"/>
        <v>#DIV/0!</v>
      </c>
      <c r="K8300" s="398"/>
      <c r="L8300" s="398"/>
      <c r="M8300" s="682"/>
    </row>
    <row r="8301" spans="6:13" hidden="1" x14ac:dyDescent="0.2">
      <c r="F8301" s="494">
        <v>426</v>
      </c>
      <c r="G8301" s="495" t="s">
        <v>3785</v>
      </c>
      <c r="H8301" s="397"/>
      <c r="I8301" s="397"/>
      <c r="J8301" s="750" t="e">
        <f t="shared" si="113"/>
        <v>#DIV/0!</v>
      </c>
      <c r="K8301" s="398"/>
      <c r="L8301" s="398"/>
      <c r="M8301" s="682"/>
    </row>
    <row r="8302" spans="6:13" hidden="1" x14ac:dyDescent="0.2">
      <c r="F8302" s="494">
        <v>431</v>
      </c>
      <c r="G8302" s="495" t="s">
        <v>4181</v>
      </c>
      <c r="H8302" s="397"/>
      <c r="I8302" s="397"/>
      <c r="J8302" s="750" t="e">
        <f t="shared" si="113"/>
        <v>#DIV/0!</v>
      </c>
      <c r="K8302" s="398"/>
      <c r="L8302" s="398"/>
      <c r="M8302" s="682"/>
    </row>
    <row r="8303" spans="6:13" hidden="1" x14ac:dyDescent="0.2">
      <c r="F8303" s="494">
        <v>432</v>
      </c>
      <c r="G8303" s="495" t="s">
        <v>4182</v>
      </c>
      <c r="H8303" s="397"/>
      <c r="I8303" s="397"/>
      <c r="J8303" s="750" t="e">
        <f t="shared" si="113"/>
        <v>#DIV/0!</v>
      </c>
      <c r="K8303" s="398"/>
      <c r="L8303" s="398"/>
      <c r="M8303" s="682"/>
    </row>
    <row r="8304" spans="6:13" hidden="1" x14ac:dyDescent="0.2">
      <c r="F8304" s="494">
        <v>433</v>
      </c>
      <c r="G8304" s="495" t="s">
        <v>4183</v>
      </c>
      <c r="H8304" s="397"/>
      <c r="I8304" s="397"/>
      <c r="J8304" s="750" t="e">
        <f t="shared" si="113"/>
        <v>#DIV/0!</v>
      </c>
      <c r="K8304" s="398"/>
      <c r="L8304" s="398"/>
      <c r="M8304" s="682"/>
    </row>
    <row r="8305" spans="6:13" hidden="1" x14ac:dyDescent="0.2">
      <c r="F8305" s="494">
        <v>434</v>
      </c>
      <c r="G8305" s="495" t="s">
        <v>4184</v>
      </c>
      <c r="H8305" s="397"/>
      <c r="I8305" s="397"/>
      <c r="J8305" s="750" t="e">
        <f t="shared" si="113"/>
        <v>#DIV/0!</v>
      </c>
      <c r="K8305" s="398"/>
      <c r="L8305" s="398"/>
      <c r="M8305" s="682"/>
    </row>
    <row r="8306" spans="6:13" hidden="1" x14ac:dyDescent="0.2">
      <c r="F8306" s="494">
        <v>435</v>
      </c>
      <c r="G8306" s="495" t="s">
        <v>3792</v>
      </c>
      <c r="H8306" s="397"/>
      <c r="I8306" s="397"/>
      <c r="J8306" s="750" t="e">
        <f t="shared" si="113"/>
        <v>#DIV/0!</v>
      </c>
      <c r="K8306" s="398"/>
      <c r="L8306" s="398"/>
      <c r="M8306" s="682"/>
    </row>
    <row r="8307" spans="6:13" hidden="1" x14ac:dyDescent="0.2">
      <c r="F8307" s="494">
        <v>441</v>
      </c>
      <c r="G8307" s="495" t="s">
        <v>4185</v>
      </c>
      <c r="H8307" s="397"/>
      <c r="I8307" s="397"/>
      <c r="J8307" s="750" t="e">
        <f t="shared" si="113"/>
        <v>#DIV/0!</v>
      </c>
      <c r="K8307" s="398"/>
      <c r="L8307" s="398"/>
      <c r="M8307" s="682"/>
    </row>
    <row r="8308" spans="6:13" hidden="1" x14ac:dyDescent="0.2">
      <c r="F8308" s="494">
        <v>442</v>
      </c>
      <c r="G8308" s="495" t="s">
        <v>4186</v>
      </c>
      <c r="H8308" s="397"/>
      <c r="I8308" s="397"/>
      <c r="J8308" s="750" t="e">
        <f t="shared" si="113"/>
        <v>#DIV/0!</v>
      </c>
      <c r="K8308" s="398"/>
      <c r="L8308" s="398"/>
      <c r="M8308" s="682"/>
    </row>
    <row r="8309" spans="6:13" hidden="1" x14ac:dyDescent="0.2">
      <c r="F8309" s="494">
        <v>443</v>
      </c>
      <c r="G8309" s="495" t="s">
        <v>3797</v>
      </c>
      <c r="H8309" s="397"/>
      <c r="I8309" s="397"/>
      <c r="J8309" s="750" t="e">
        <f t="shared" si="113"/>
        <v>#DIV/0!</v>
      </c>
      <c r="K8309" s="398"/>
      <c r="L8309" s="398"/>
      <c r="M8309" s="682"/>
    </row>
    <row r="8310" spans="6:13" hidden="1" x14ac:dyDescent="0.2">
      <c r="F8310" s="494">
        <v>444</v>
      </c>
      <c r="G8310" s="495" t="s">
        <v>3798</v>
      </c>
      <c r="H8310" s="397"/>
      <c r="I8310" s="397"/>
      <c r="J8310" s="750" t="e">
        <f t="shared" si="113"/>
        <v>#DIV/0!</v>
      </c>
      <c r="K8310" s="398"/>
      <c r="L8310" s="398"/>
      <c r="M8310" s="682"/>
    </row>
    <row r="8311" spans="6:13" ht="25.5" hidden="1" x14ac:dyDescent="0.2">
      <c r="F8311" s="494">
        <v>4511</v>
      </c>
      <c r="G8311" s="466" t="s">
        <v>1692</v>
      </c>
      <c r="H8311" s="397"/>
      <c r="I8311" s="397"/>
      <c r="J8311" s="750" t="e">
        <f t="shared" si="113"/>
        <v>#DIV/0!</v>
      </c>
      <c r="K8311" s="398"/>
      <c r="L8311" s="398"/>
      <c r="M8311" s="682"/>
    </row>
    <row r="8312" spans="6:13" ht="25.5" hidden="1" x14ac:dyDescent="0.2">
      <c r="F8312" s="494">
        <v>4512</v>
      </c>
      <c r="G8312" s="466" t="s">
        <v>1701</v>
      </c>
      <c r="H8312" s="397"/>
      <c r="I8312" s="397"/>
      <c r="J8312" s="750" t="e">
        <f t="shared" si="113"/>
        <v>#DIV/0!</v>
      </c>
      <c r="K8312" s="398"/>
      <c r="L8312" s="398"/>
      <c r="M8312" s="682"/>
    </row>
    <row r="8313" spans="6:13" ht="25.5" hidden="1" x14ac:dyDescent="0.2">
      <c r="F8313" s="494">
        <v>452</v>
      </c>
      <c r="G8313" s="495" t="s">
        <v>4187</v>
      </c>
      <c r="H8313" s="397"/>
      <c r="I8313" s="397"/>
      <c r="J8313" s="750" t="e">
        <f t="shared" si="113"/>
        <v>#DIV/0!</v>
      </c>
      <c r="K8313" s="398"/>
      <c r="L8313" s="398"/>
      <c r="M8313" s="682"/>
    </row>
    <row r="8314" spans="6:13" ht="25.5" hidden="1" x14ac:dyDescent="0.2">
      <c r="F8314" s="494">
        <v>453</v>
      </c>
      <c r="G8314" s="495" t="s">
        <v>4188</v>
      </c>
      <c r="H8314" s="397"/>
      <c r="I8314" s="397"/>
      <c r="J8314" s="750" t="e">
        <f t="shared" si="113"/>
        <v>#DIV/0!</v>
      </c>
      <c r="K8314" s="398"/>
      <c r="L8314" s="398"/>
      <c r="M8314" s="682"/>
    </row>
    <row r="8315" spans="6:13" hidden="1" x14ac:dyDescent="0.2">
      <c r="F8315" s="494">
        <v>454</v>
      </c>
      <c r="G8315" s="495" t="s">
        <v>3803</v>
      </c>
      <c r="H8315" s="397"/>
      <c r="I8315" s="397"/>
      <c r="J8315" s="750" t="e">
        <f t="shared" si="113"/>
        <v>#DIV/0!</v>
      </c>
      <c r="K8315" s="398"/>
      <c r="L8315" s="398"/>
      <c r="M8315" s="682"/>
    </row>
    <row r="8316" spans="6:13" hidden="1" x14ac:dyDescent="0.2">
      <c r="F8316" s="494">
        <v>461</v>
      </c>
      <c r="G8316" s="495" t="s">
        <v>4169</v>
      </c>
      <c r="H8316" s="397"/>
      <c r="I8316" s="397"/>
      <c r="J8316" s="750" t="e">
        <f t="shared" si="113"/>
        <v>#DIV/0!</v>
      </c>
      <c r="K8316" s="398"/>
      <c r="L8316" s="398"/>
      <c r="M8316" s="682"/>
    </row>
    <row r="8317" spans="6:13" ht="25.5" hidden="1" x14ac:dyDescent="0.2">
      <c r="F8317" s="494">
        <v>462</v>
      </c>
      <c r="G8317" s="495" t="s">
        <v>3806</v>
      </c>
      <c r="H8317" s="397"/>
      <c r="I8317" s="397"/>
      <c r="J8317" s="750" t="e">
        <f t="shared" si="113"/>
        <v>#DIV/0!</v>
      </c>
      <c r="K8317" s="398"/>
      <c r="L8317" s="398"/>
      <c r="M8317" s="682"/>
    </row>
    <row r="8318" spans="6:13" hidden="1" x14ac:dyDescent="0.2">
      <c r="F8318" s="494">
        <v>4631</v>
      </c>
      <c r="G8318" s="495" t="s">
        <v>3807</v>
      </c>
      <c r="H8318" s="397"/>
      <c r="I8318" s="397"/>
      <c r="J8318" s="750" t="e">
        <f t="shared" si="113"/>
        <v>#DIV/0!</v>
      </c>
      <c r="K8318" s="398"/>
      <c r="L8318" s="398"/>
      <c r="M8318" s="682"/>
    </row>
    <row r="8319" spans="6:13" hidden="1" x14ac:dyDescent="0.2">
      <c r="F8319" s="494">
        <v>4632</v>
      </c>
      <c r="G8319" s="495" t="s">
        <v>3808</v>
      </c>
      <c r="H8319" s="397"/>
      <c r="I8319" s="397"/>
      <c r="J8319" s="750" t="e">
        <f t="shared" si="113"/>
        <v>#DIV/0!</v>
      </c>
      <c r="K8319" s="398"/>
      <c r="L8319" s="398"/>
      <c r="M8319" s="682"/>
    </row>
    <row r="8320" spans="6:13" ht="25.5" hidden="1" x14ac:dyDescent="0.2">
      <c r="F8320" s="494">
        <v>464</v>
      </c>
      <c r="G8320" s="495" t="s">
        <v>3809</v>
      </c>
      <c r="H8320" s="397"/>
      <c r="I8320" s="397"/>
      <c r="J8320" s="750" t="e">
        <f t="shared" si="113"/>
        <v>#DIV/0!</v>
      </c>
      <c r="K8320" s="398"/>
      <c r="L8320" s="398"/>
      <c r="M8320" s="682"/>
    </row>
    <row r="8321" spans="6:13" hidden="1" x14ac:dyDescent="0.2">
      <c r="F8321" s="494">
        <v>465</v>
      </c>
      <c r="G8321" s="495" t="s">
        <v>4170</v>
      </c>
      <c r="H8321" s="397"/>
      <c r="I8321" s="397"/>
      <c r="J8321" s="750" t="e">
        <f t="shared" si="113"/>
        <v>#DIV/0!</v>
      </c>
      <c r="K8321" s="398"/>
      <c r="L8321" s="398"/>
      <c r="M8321" s="682"/>
    </row>
    <row r="8322" spans="6:13" hidden="1" x14ac:dyDescent="0.2">
      <c r="F8322" s="494">
        <v>472</v>
      </c>
      <c r="G8322" s="495" t="s">
        <v>3813</v>
      </c>
      <c r="H8322" s="397"/>
      <c r="I8322" s="397"/>
      <c r="J8322" s="750" t="e">
        <f t="shared" si="113"/>
        <v>#DIV/0!</v>
      </c>
      <c r="K8322" s="398"/>
      <c r="L8322" s="398"/>
      <c r="M8322" s="682"/>
    </row>
    <row r="8323" spans="6:13" hidden="1" x14ac:dyDescent="0.2">
      <c r="F8323" s="494">
        <v>481</v>
      </c>
      <c r="G8323" s="495" t="s">
        <v>4189</v>
      </c>
      <c r="H8323" s="397"/>
      <c r="I8323" s="397"/>
      <c r="J8323" s="750" t="e">
        <f t="shared" si="113"/>
        <v>#DIV/0!</v>
      </c>
      <c r="K8323" s="398"/>
      <c r="L8323" s="398"/>
      <c r="M8323" s="682"/>
    </row>
    <row r="8324" spans="6:13" hidden="1" x14ac:dyDescent="0.2">
      <c r="F8324" s="494">
        <v>482</v>
      </c>
      <c r="G8324" s="495" t="s">
        <v>4190</v>
      </c>
      <c r="H8324" s="397"/>
      <c r="I8324" s="397"/>
      <c r="J8324" s="750" t="e">
        <f t="shared" si="113"/>
        <v>#DIV/0!</v>
      </c>
      <c r="K8324" s="398"/>
      <c r="L8324" s="398"/>
      <c r="M8324" s="682"/>
    </row>
    <row r="8325" spans="6:13" hidden="1" x14ac:dyDescent="0.2">
      <c r="F8325" s="494">
        <v>483</v>
      </c>
      <c r="G8325" s="497" t="s">
        <v>4191</v>
      </c>
      <c r="H8325" s="397"/>
      <c r="I8325" s="397"/>
      <c r="J8325" s="750" t="e">
        <f t="shared" si="113"/>
        <v>#DIV/0!</v>
      </c>
      <c r="K8325" s="398"/>
      <c r="L8325" s="398"/>
      <c r="M8325" s="682"/>
    </row>
    <row r="8326" spans="6:13" ht="38.25" hidden="1" x14ac:dyDescent="0.2">
      <c r="F8326" s="494">
        <v>484</v>
      </c>
      <c r="G8326" s="495" t="s">
        <v>4192</v>
      </c>
      <c r="H8326" s="397"/>
      <c r="I8326" s="397"/>
      <c r="J8326" s="750" t="e">
        <f t="shared" si="113"/>
        <v>#DIV/0!</v>
      </c>
      <c r="K8326" s="398"/>
      <c r="L8326" s="398"/>
      <c r="M8326" s="682"/>
    </row>
    <row r="8327" spans="6:13" ht="25.5" hidden="1" x14ac:dyDescent="0.2">
      <c r="F8327" s="494">
        <v>485</v>
      </c>
      <c r="G8327" s="495" t="s">
        <v>4193</v>
      </c>
      <c r="H8327" s="397"/>
      <c r="I8327" s="397"/>
      <c r="J8327" s="750" t="e">
        <f t="shared" si="113"/>
        <v>#DIV/0!</v>
      </c>
      <c r="K8327" s="398"/>
      <c r="L8327" s="398"/>
      <c r="M8327" s="682"/>
    </row>
    <row r="8328" spans="6:13" ht="25.5" hidden="1" x14ac:dyDescent="0.2">
      <c r="F8328" s="494">
        <v>489</v>
      </c>
      <c r="G8328" s="495" t="s">
        <v>3821</v>
      </c>
      <c r="H8328" s="397"/>
      <c r="I8328" s="397"/>
      <c r="J8328" s="750" t="e">
        <f t="shared" si="113"/>
        <v>#DIV/0!</v>
      </c>
      <c r="K8328" s="398"/>
      <c r="L8328" s="398"/>
      <c r="M8328" s="682"/>
    </row>
    <row r="8329" spans="6:13" ht="25.5" hidden="1" x14ac:dyDescent="0.2">
      <c r="F8329" s="494">
        <v>494</v>
      </c>
      <c r="G8329" s="495" t="s">
        <v>4171</v>
      </c>
      <c r="H8329" s="397"/>
      <c r="I8329" s="397"/>
      <c r="J8329" s="750" t="e">
        <f t="shared" si="113"/>
        <v>#DIV/0!</v>
      </c>
      <c r="K8329" s="398"/>
      <c r="L8329" s="398"/>
      <c r="M8329" s="682"/>
    </row>
    <row r="8330" spans="6:13" ht="25.5" hidden="1" x14ac:dyDescent="0.2">
      <c r="F8330" s="494">
        <v>495</v>
      </c>
      <c r="G8330" s="495" t="s">
        <v>4172</v>
      </c>
      <c r="H8330" s="397"/>
      <c r="I8330" s="397"/>
      <c r="J8330" s="750" t="e">
        <f t="shared" si="113"/>
        <v>#DIV/0!</v>
      </c>
      <c r="K8330" s="398"/>
      <c r="L8330" s="398"/>
      <c r="M8330" s="682"/>
    </row>
    <row r="8331" spans="6:13" ht="38.25" hidden="1" x14ac:dyDescent="0.2">
      <c r="F8331" s="494">
        <v>496</v>
      </c>
      <c r="G8331" s="495" t="s">
        <v>4173</v>
      </c>
      <c r="H8331" s="397"/>
      <c r="I8331" s="397"/>
      <c r="J8331" s="750" t="e">
        <f t="shared" si="113"/>
        <v>#DIV/0!</v>
      </c>
      <c r="K8331" s="398"/>
      <c r="L8331" s="398"/>
      <c r="M8331" s="682"/>
    </row>
    <row r="8332" spans="6:13" ht="25.5" hidden="1" x14ac:dyDescent="0.2">
      <c r="F8332" s="494">
        <v>499</v>
      </c>
      <c r="G8332" s="495" t="s">
        <v>4174</v>
      </c>
      <c r="H8332" s="397"/>
      <c r="I8332" s="397"/>
      <c r="J8332" s="750" t="e">
        <f t="shared" si="113"/>
        <v>#DIV/0!</v>
      </c>
      <c r="K8332" s="398"/>
      <c r="L8332" s="398"/>
      <c r="M8332" s="682"/>
    </row>
    <row r="8333" spans="6:13" hidden="1" x14ac:dyDescent="0.2">
      <c r="F8333" s="494">
        <v>511</v>
      </c>
      <c r="G8333" s="497" t="s">
        <v>4194</v>
      </c>
      <c r="H8333" s="397"/>
      <c r="I8333" s="397"/>
      <c r="J8333" s="750" t="e">
        <f t="shared" si="113"/>
        <v>#DIV/0!</v>
      </c>
      <c r="K8333" s="398"/>
      <c r="L8333" s="398"/>
      <c r="M8333" s="682"/>
    </row>
    <row r="8334" spans="6:13" hidden="1" x14ac:dyDescent="0.2">
      <c r="F8334" s="494">
        <v>512</v>
      </c>
      <c r="G8334" s="497" t="s">
        <v>4195</v>
      </c>
      <c r="H8334" s="397"/>
      <c r="I8334" s="397"/>
      <c r="J8334" s="750" t="e">
        <f t="shared" ref="J8334:J8397" si="114">SUM(I8334/H8334)*100</f>
        <v>#DIV/0!</v>
      </c>
      <c r="K8334" s="398"/>
      <c r="L8334" s="398"/>
      <c r="M8334" s="682"/>
    </row>
    <row r="8335" spans="6:13" hidden="1" x14ac:dyDescent="0.2">
      <c r="F8335" s="494">
        <v>513</v>
      </c>
      <c r="G8335" s="497" t="s">
        <v>4196</v>
      </c>
      <c r="H8335" s="397"/>
      <c r="I8335" s="397"/>
      <c r="J8335" s="750" t="e">
        <f t="shared" si="114"/>
        <v>#DIV/0!</v>
      </c>
      <c r="K8335" s="398"/>
      <c r="L8335" s="398"/>
      <c r="M8335" s="682"/>
    </row>
    <row r="8336" spans="6:13" hidden="1" x14ac:dyDescent="0.2">
      <c r="F8336" s="494">
        <v>514</v>
      </c>
      <c r="G8336" s="495" t="s">
        <v>4197</v>
      </c>
      <c r="H8336" s="397"/>
      <c r="I8336" s="397"/>
      <c r="J8336" s="750" t="e">
        <f t="shared" si="114"/>
        <v>#DIV/0!</v>
      </c>
      <c r="K8336" s="398"/>
      <c r="L8336" s="398"/>
      <c r="M8336" s="682"/>
    </row>
    <row r="8337" spans="5:13" hidden="1" x14ac:dyDescent="0.2">
      <c r="F8337" s="494">
        <v>515</v>
      </c>
      <c r="G8337" s="495" t="s">
        <v>3832</v>
      </c>
      <c r="H8337" s="397"/>
      <c r="I8337" s="397"/>
      <c r="J8337" s="750" t="e">
        <f t="shared" si="114"/>
        <v>#DIV/0!</v>
      </c>
      <c r="K8337" s="398"/>
      <c r="L8337" s="398"/>
      <c r="M8337" s="682"/>
    </row>
    <row r="8338" spans="5:13" hidden="1" x14ac:dyDescent="0.2">
      <c r="F8338" s="494">
        <v>521</v>
      </c>
      <c r="G8338" s="495" t="s">
        <v>4198</v>
      </c>
      <c r="H8338" s="397"/>
      <c r="I8338" s="397"/>
      <c r="J8338" s="750" t="e">
        <f t="shared" si="114"/>
        <v>#DIV/0!</v>
      </c>
      <c r="K8338" s="398"/>
      <c r="L8338" s="398"/>
      <c r="M8338" s="682"/>
    </row>
    <row r="8339" spans="5:13" hidden="1" x14ac:dyDescent="0.2">
      <c r="F8339" s="494">
        <v>522</v>
      </c>
      <c r="G8339" s="495" t="s">
        <v>4199</v>
      </c>
      <c r="H8339" s="397"/>
      <c r="I8339" s="397"/>
      <c r="J8339" s="750" t="e">
        <f t="shared" si="114"/>
        <v>#DIV/0!</v>
      </c>
      <c r="K8339" s="398"/>
      <c r="L8339" s="398"/>
      <c r="M8339" s="682"/>
    </row>
    <row r="8340" spans="5:13" hidden="1" x14ac:dyDescent="0.2">
      <c r="F8340" s="494">
        <v>523</v>
      </c>
      <c r="G8340" s="495" t="s">
        <v>3837</v>
      </c>
      <c r="H8340" s="397"/>
      <c r="I8340" s="397"/>
      <c r="J8340" s="750" t="e">
        <f t="shared" si="114"/>
        <v>#DIV/0!</v>
      </c>
      <c r="K8340" s="398"/>
      <c r="L8340" s="398"/>
      <c r="M8340" s="682"/>
    </row>
    <row r="8341" spans="5:13" hidden="1" x14ac:dyDescent="0.2">
      <c r="F8341" s="494">
        <v>531</v>
      </c>
      <c r="G8341" s="496" t="s">
        <v>4175</v>
      </c>
      <c r="H8341" s="397"/>
      <c r="I8341" s="397"/>
      <c r="J8341" s="750" t="e">
        <f t="shared" si="114"/>
        <v>#DIV/0!</v>
      </c>
      <c r="K8341" s="398"/>
      <c r="L8341" s="398"/>
      <c r="M8341" s="682"/>
    </row>
    <row r="8342" spans="5:13" hidden="1" x14ac:dyDescent="0.2">
      <c r="F8342" s="494">
        <v>541</v>
      </c>
      <c r="G8342" s="495" t="s">
        <v>4200</v>
      </c>
      <c r="H8342" s="397"/>
      <c r="I8342" s="397"/>
      <c r="J8342" s="750" t="e">
        <f t="shared" si="114"/>
        <v>#DIV/0!</v>
      </c>
      <c r="K8342" s="398"/>
      <c r="L8342" s="398"/>
      <c r="M8342" s="682"/>
    </row>
    <row r="8343" spans="5:13" hidden="1" x14ac:dyDescent="0.2">
      <c r="F8343" s="494">
        <v>542</v>
      </c>
      <c r="G8343" s="495" t="s">
        <v>4201</v>
      </c>
      <c r="H8343" s="397"/>
      <c r="I8343" s="397"/>
      <c r="J8343" s="750" t="e">
        <f t="shared" si="114"/>
        <v>#DIV/0!</v>
      </c>
      <c r="K8343" s="398"/>
      <c r="L8343" s="398"/>
      <c r="M8343" s="682"/>
    </row>
    <row r="8344" spans="5:13" hidden="1" x14ac:dyDescent="0.2">
      <c r="F8344" s="494">
        <v>543</v>
      </c>
      <c r="G8344" s="495" t="s">
        <v>3842</v>
      </c>
      <c r="H8344" s="397"/>
      <c r="I8344" s="397"/>
      <c r="J8344" s="750" t="e">
        <f t="shared" si="114"/>
        <v>#DIV/0!</v>
      </c>
      <c r="K8344" s="398"/>
      <c r="L8344" s="398"/>
      <c r="M8344" s="682"/>
    </row>
    <row r="8345" spans="5:13" ht="38.25" hidden="1" x14ac:dyDescent="0.2">
      <c r="F8345" s="494">
        <v>551</v>
      </c>
      <c r="G8345" s="495" t="s">
        <v>4176</v>
      </c>
      <c r="H8345" s="397"/>
      <c r="I8345" s="397"/>
      <c r="J8345" s="750" t="e">
        <f t="shared" si="114"/>
        <v>#DIV/0!</v>
      </c>
      <c r="K8345" s="398"/>
      <c r="L8345" s="398"/>
      <c r="M8345" s="682"/>
    </row>
    <row r="8346" spans="5:13" hidden="1" x14ac:dyDescent="0.2">
      <c r="F8346" s="498">
        <v>611</v>
      </c>
      <c r="G8346" s="499" t="s">
        <v>3848</v>
      </c>
      <c r="H8346" s="397"/>
      <c r="I8346" s="397"/>
      <c r="J8346" s="750" t="e">
        <f t="shared" si="114"/>
        <v>#DIV/0!</v>
      </c>
      <c r="K8346" s="398"/>
      <c r="L8346" s="398"/>
      <c r="M8346" s="682"/>
    </row>
    <row r="8347" spans="5:13" hidden="1" x14ac:dyDescent="0.2">
      <c r="F8347" s="498">
        <v>620</v>
      </c>
      <c r="G8347" s="499" t="s">
        <v>88</v>
      </c>
      <c r="H8347" s="397"/>
      <c r="I8347" s="397"/>
      <c r="J8347" s="750" t="e">
        <f t="shared" si="114"/>
        <v>#DIV/0!</v>
      </c>
      <c r="K8347" s="398"/>
      <c r="L8347" s="398"/>
      <c r="M8347" s="682"/>
    </row>
    <row r="8348" spans="5:13" hidden="1" x14ac:dyDescent="0.2">
      <c r="E8348" s="500"/>
      <c r="F8348" s="498"/>
      <c r="G8348" s="509" t="s">
        <v>4363</v>
      </c>
      <c r="H8348" s="400"/>
      <c r="I8348" s="400"/>
      <c r="J8348" s="750" t="e">
        <f t="shared" si="114"/>
        <v>#DIV/0!</v>
      </c>
      <c r="K8348" s="401"/>
      <c r="L8348" s="402"/>
      <c r="M8348" s="682"/>
    </row>
    <row r="8349" spans="5:13" hidden="1" x14ac:dyDescent="0.2">
      <c r="E8349" s="502"/>
      <c r="F8349" s="503" t="s">
        <v>234</v>
      </c>
      <c r="G8349" s="504" t="s">
        <v>235</v>
      </c>
      <c r="H8349" s="403">
        <f>SUM(H8288:H8347)</f>
        <v>0</v>
      </c>
      <c r="I8349" s="403"/>
      <c r="J8349" s="750" t="e">
        <f t="shared" si="114"/>
        <v>#DIV/0!</v>
      </c>
      <c r="K8349" s="404"/>
      <c r="L8349" s="404"/>
      <c r="M8349" s="682"/>
    </row>
    <row r="8350" spans="5:13" hidden="1" x14ac:dyDescent="0.2">
      <c r="F8350" s="503" t="s">
        <v>236</v>
      </c>
      <c r="G8350" s="504" t="s">
        <v>237</v>
      </c>
      <c r="H8350" s="397"/>
      <c r="I8350" s="397"/>
      <c r="J8350" s="750" t="e">
        <f t="shared" si="114"/>
        <v>#DIV/0!</v>
      </c>
      <c r="K8350" s="398"/>
      <c r="L8350" s="404"/>
      <c r="M8350" s="682"/>
    </row>
    <row r="8351" spans="5:13" hidden="1" x14ac:dyDescent="0.2">
      <c r="F8351" s="503" t="s">
        <v>238</v>
      </c>
      <c r="G8351" s="504" t="s">
        <v>239</v>
      </c>
      <c r="H8351" s="397"/>
      <c r="I8351" s="397"/>
      <c r="J8351" s="750" t="e">
        <f t="shared" si="114"/>
        <v>#DIV/0!</v>
      </c>
      <c r="K8351" s="398"/>
      <c r="L8351" s="404"/>
      <c r="M8351" s="682"/>
    </row>
    <row r="8352" spans="5:13" hidden="1" x14ac:dyDescent="0.2">
      <c r="F8352" s="503" t="s">
        <v>240</v>
      </c>
      <c r="G8352" s="504" t="s">
        <v>241</v>
      </c>
      <c r="H8352" s="397"/>
      <c r="I8352" s="397"/>
      <c r="J8352" s="750" t="e">
        <f t="shared" si="114"/>
        <v>#DIV/0!</v>
      </c>
      <c r="K8352" s="398"/>
      <c r="L8352" s="404"/>
      <c r="M8352" s="682"/>
    </row>
    <row r="8353" spans="5:13" hidden="1" x14ac:dyDescent="0.2">
      <c r="F8353" s="503" t="s">
        <v>242</v>
      </c>
      <c r="G8353" s="504" t="s">
        <v>243</v>
      </c>
      <c r="H8353" s="397"/>
      <c r="I8353" s="397"/>
      <c r="J8353" s="750" t="e">
        <f t="shared" si="114"/>
        <v>#DIV/0!</v>
      </c>
      <c r="K8353" s="398"/>
      <c r="L8353" s="404"/>
      <c r="M8353" s="682"/>
    </row>
    <row r="8354" spans="5:13" hidden="1" x14ac:dyDescent="0.2">
      <c r="F8354" s="503" t="s">
        <v>244</v>
      </c>
      <c r="G8354" s="504" t="s">
        <v>245</v>
      </c>
      <c r="H8354" s="397"/>
      <c r="I8354" s="397"/>
      <c r="J8354" s="750" t="e">
        <f t="shared" si="114"/>
        <v>#DIV/0!</v>
      </c>
      <c r="K8354" s="398"/>
      <c r="L8354" s="404"/>
      <c r="M8354" s="682"/>
    </row>
    <row r="8355" spans="5:13" hidden="1" x14ac:dyDescent="0.2">
      <c r="F8355" s="503" t="s">
        <v>246</v>
      </c>
      <c r="G8355" s="504" t="s">
        <v>247</v>
      </c>
      <c r="H8355" s="397"/>
      <c r="I8355" s="397"/>
      <c r="J8355" s="750" t="e">
        <f t="shared" si="114"/>
        <v>#DIV/0!</v>
      </c>
      <c r="K8355" s="398"/>
      <c r="L8355" s="404"/>
      <c r="M8355" s="682"/>
    </row>
    <row r="8356" spans="5:13" ht="25.5" hidden="1" x14ac:dyDescent="0.2">
      <c r="F8356" s="503" t="s">
        <v>248</v>
      </c>
      <c r="G8356" s="504" t="s">
        <v>249</v>
      </c>
      <c r="H8356" s="397"/>
      <c r="I8356" s="397"/>
      <c r="J8356" s="750" t="e">
        <f t="shared" si="114"/>
        <v>#DIV/0!</v>
      </c>
      <c r="K8356" s="398"/>
      <c r="L8356" s="404"/>
      <c r="M8356" s="682"/>
    </row>
    <row r="8357" spans="5:13" hidden="1" x14ac:dyDescent="0.2">
      <c r="F8357" s="503" t="s">
        <v>250</v>
      </c>
      <c r="G8357" s="504" t="s">
        <v>57</v>
      </c>
      <c r="H8357" s="397"/>
      <c r="I8357" s="397"/>
      <c r="J8357" s="750" t="e">
        <f t="shared" si="114"/>
        <v>#DIV/0!</v>
      </c>
      <c r="K8357" s="398"/>
      <c r="L8357" s="404"/>
      <c r="M8357" s="682"/>
    </row>
    <row r="8358" spans="5:13" hidden="1" x14ac:dyDescent="0.2">
      <c r="F8358" s="503" t="s">
        <v>251</v>
      </c>
      <c r="G8358" s="504" t="s">
        <v>252</v>
      </c>
      <c r="H8358" s="397"/>
      <c r="I8358" s="397"/>
      <c r="J8358" s="750" t="e">
        <f t="shared" si="114"/>
        <v>#DIV/0!</v>
      </c>
      <c r="K8358" s="398"/>
      <c r="L8358" s="404"/>
      <c r="M8358" s="682"/>
    </row>
    <row r="8359" spans="5:13" hidden="1" x14ac:dyDescent="0.2">
      <c r="F8359" s="503" t="s">
        <v>253</v>
      </c>
      <c r="G8359" s="504" t="s">
        <v>254</v>
      </c>
      <c r="H8359" s="397"/>
      <c r="I8359" s="397"/>
      <c r="J8359" s="750" t="e">
        <f t="shared" si="114"/>
        <v>#DIV/0!</v>
      </c>
      <c r="K8359" s="398"/>
      <c r="L8359" s="404"/>
      <c r="M8359" s="682"/>
    </row>
    <row r="8360" spans="5:13" ht="25.5" hidden="1" x14ac:dyDescent="0.2">
      <c r="F8360" s="503" t="s">
        <v>255</v>
      </c>
      <c r="G8360" s="504" t="s">
        <v>256</v>
      </c>
      <c r="H8360" s="397"/>
      <c r="I8360" s="397"/>
      <c r="J8360" s="750" t="e">
        <f t="shared" si="114"/>
        <v>#DIV/0!</v>
      </c>
      <c r="K8360" s="398"/>
      <c r="L8360" s="404"/>
      <c r="M8360" s="682"/>
    </row>
    <row r="8361" spans="5:13" ht="25.5" hidden="1" x14ac:dyDescent="0.2">
      <c r="F8361" s="503" t="s">
        <v>257</v>
      </c>
      <c r="G8361" s="504" t="s">
        <v>258</v>
      </c>
      <c r="H8361" s="397"/>
      <c r="I8361" s="397"/>
      <c r="J8361" s="750" t="e">
        <f t="shared" si="114"/>
        <v>#DIV/0!</v>
      </c>
      <c r="K8361" s="398"/>
      <c r="L8361" s="404"/>
      <c r="M8361" s="682"/>
    </row>
    <row r="8362" spans="5:13" ht="25.5" hidden="1" x14ac:dyDescent="0.2">
      <c r="F8362" s="503" t="s">
        <v>259</v>
      </c>
      <c r="G8362" s="504" t="s">
        <v>260</v>
      </c>
      <c r="H8362" s="397"/>
      <c r="I8362" s="397"/>
      <c r="J8362" s="750" t="e">
        <f t="shared" si="114"/>
        <v>#DIV/0!</v>
      </c>
      <c r="K8362" s="398"/>
      <c r="L8362" s="404"/>
      <c r="M8362" s="682"/>
    </row>
    <row r="8363" spans="5:13" ht="25.5" hidden="1" x14ac:dyDescent="0.2">
      <c r="F8363" s="503" t="s">
        <v>261</v>
      </c>
      <c r="G8363" s="504" t="s">
        <v>262</v>
      </c>
      <c r="H8363" s="397"/>
      <c r="I8363" s="397"/>
      <c r="J8363" s="750" t="e">
        <f t="shared" si="114"/>
        <v>#DIV/0!</v>
      </c>
      <c r="K8363" s="398"/>
      <c r="L8363" s="404"/>
      <c r="M8363" s="682"/>
    </row>
    <row r="8364" spans="5:13" hidden="1" x14ac:dyDescent="0.2">
      <c r="F8364" s="503" t="s">
        <v>263</v>
      </c>
      <c r="G8364" s="504" t="s">
        <v>264</v>
      </c>
      <c r="H8364" s="403"/>
      <c r="I8364" s="403"/>
      <c r="J8364" s="750" t="e">
        <f t="shared" si="114"/>
        <v>#DIV/0!</v>
      </c>
      <c r="K8364" s="404"/>
      <c r="L8364" s="404"/>
      <c r="M8364" s="682"/>
    </row>
    <row r="8365" spans="5:13" ht="13.5" hidden="1" thickBot="1" x14ac:dyDescent="0.25">
      <c r="G8365" s="505" t="s">
        <v>4362</v>
      </c>
      <c r="H8365" s="405">
        <f>SUM(H8349:H8364)</f>
        <v>0</v>
      </c>
      <c r="I8365" s="405"/>
      <c r="J8365" s="750" t="e">
        <f t="shared" si="114"/>
        <v>#DIV/0!</v>
      </c>
      <c r="K8365" s="406">
        <f>SUM(K8350:K8364)</f>
        <v>0</v>
      </c>
      <c r="L8365" s="406"/>
      <c r="M8365" s="682"/>
    </row>
    <row r="8366" spans="5:13" ht="25.5" hidden="1" collapsed="1" x14ac:dyDescent="0.2">
      <c r="E8366" s="500"/>
      <c r="F8366" s="498"/>
      <c r="G8366" s="506" t="s">
        <v>4245</v>
      </c>
      <c r="H8366" s="407"/>
      <c r="I8366" s="408"/>
      <c r="J8366" s="750" t="e">
        <f t="shared" si="114"/>
        <v>#DIV/0!</v>
      </c>
      <c r="K8366" s="409"/>
      <c r="L8366" s="410"/>
      <c r="M8366" s="682"/>
    </row>
    <row r="8367" spans="5:13" hidden="1" x14ac:dyDescent="0.2">
      <c r="E8367" s="502"/>
      <c r="F8367" s="503" t="s">
        <v>234</v>
      </c>
      <c r="G8367" s="504" t="s">
        <v>235</v>
      </c>
      <c r="H8367" s="403">
        <f>SUM(H8288:H8347)</f>
        <v>0</v>
      </c>
      <c r="I8367" s="403"/>
      <c r="J8367" s="750" t="e">
        <f t="shared" si="114"/>
        <v>#DIV/0!</v>
      </c>
      <c r="K8367" s="404"/>
      <c r="L8367" s="404"/>
      <c r="M8367" s="682"/>
    </row>
    <row r="8368" spans="5:13" hidden="1" x14ac:dyDescent="0.2">
      <c r="F8368" s="503" t="s">
        <v>236</v>
      </c>
      <c r="G8368" s="504" t="s">
        <v>237</v>
      </c>
      <c r="H8368" s="397"/>
      <c r="I8368" s="397"/>
      <c r="J8368" s="750" t="e">
        <f t="shared" si="114"/>
        <v>#DIV/0!</v>
      </c>
      <c r="K8368" s="398"/>
      <c r="L8368" s="404"/>
      <c r="M8368" s="682"/>
    </row>
    <row r="8369" spans="1:27" hidden="1" x14ac:dyDescent="0.2">
      <c r="F8369" s="503" t="s">
        <v>238</v>
      </c>
      <c r="G8369" s="504" t="s">
        <v>239</v>
      </c>
      <c r="H8369" s="397"/>
      <c r="I8369" s="397"/>
      <c r="J8369" s="750" t="e">
        <f t="shared" si="114"/>
        <v>#DIV/0!</v>
      </c>
      <c r="K8369" s="398"/>
      <c r="L8369" s="404"/>
      <c r="M8369" s="682"/>
    </row>
    <row r="8370" spans="1:27" hidden="1" x14ac:dyDescent="0.2">
      <c r="F8370" s="503" t="s">
        <v>240</v>
      </c>
      <c r="G8370" s="504" t="s">
        <v>241</v>
      </c>
      <c r="H8370" s="397"/>
      <c r="I8370" s="397"/>
      <c r="J8370" s="750" t="e">
        <f t="shared" si="114"/>
        <v>#DIV/0!</v>
      </c>
      <c r="K8370" s="398"/>
      <c r="L8370" s="404"/>
      <c r="M8370" s="682"/>
    </row>
    <row r="8371" spans="1:27" hidden="1" x14ac:dyDescent="0.2">
      <c r="F8371" s="503" t="s">
        <v>242</v>
      </c>
      <c r="G8371" s="504" t="s">
        <v>243</v>
      </c>
      <c r="H8371" s="397"/>
      <c r="I8371" s="397"/>
      <c r="J8371" s="750" t="e">
        <f t="shared" si="114"/>
        <v>#DIV/0!</v>
      </c>
      <c r="K8371" s="398"/>
      <c r="L8371" s="404"/>
      <c r="M8371" s="682"/>
    </row>
    <row r="8372" spans="1:27" hidden="1" x14ac:dyDescent="0.2">
      <c r="F8372" s="503" t="s">
        <v>244</v>
      </c>
      <c r="G8372" s="504" t="s">
        <v>245</v>
      </c>
      <c r="H8372" s="397"/>
      <c r="I8372" s="397"/>
      <c r="J8372" s="750" t="e">
        <f t="shared" si="114"/>
        <v>#DIV/0!</v>
      </c>
      <c r="K8372" s="398"/>
      <c r="L8372" s="404"/>
      <c r="M8372" s="682"/>
    </row>
    <row r="8373" spans="1:27" hidden="1" x14ac:dyDescent="0.2">
      <c r="F8373" s="503" t="s">
        <v>246</v>
      </c>
      <c r="G8373" s="504" t="s">
        <v>247</v>
      </c>
      <c r="H8373" s="397"/>
      <c r="I8373" s="397"/>
      <c r="J8373" s="750" t="e">
        <f t="shared" si="114"/>
        <v>#DIV/0!</v>
      </c>
      <c r="K8373" s="398"/>
      <c r="L8373" s="404"/>
      <c r="M8373" s="682"/>
    </row>
    <row r="8374" spans="1:27" ht="25.5" hidden="1" x14ac:dyDescent="0.2">
      <c r="F8374" s="503" t="s">
        <v>248</v>
      </c>
      <c r="G8374" s="504" t="s">
        <v>249</v>
      </c>
      <c r="H8374" s="397"/>
      <c r="I8374" s="397"/>
      <c r="J8374" s="750" t="e">
        <f t="shared" si="114"/>
        <v>#DIV/0!</v>
      </c>
      <c r="K8374" s="398"/>
      <c r="L8374" s="404"/>
      <c r="M8374" s="682"/>
    </row>
    <row r="8375" spans="1:27" hidden="1" x14ac:dyDescent="0.2">
      <c r="F8375" s="503" t="s">
        <v>250</v>
      </c>
      <c r="G8375" s="504" t="s">
        <v>57</v>
      </c>
      <c r="H8375" s="397"/>
      <c r="I8375" s="397"/>
      <c r="J8375" s="750" t="e">
        <f t="shared" si="114"/>
        <v>#DIV/0!</v>
      </c>
      <c r="K8375" s="398"/>
      <c r="L8375" s="404"/>
      <c r="M8375" s="682"/>
    </row>
    <row r="8376" spans="1:27" hidden="1" x14ac:dyDescent="0.2">
      <c r="F8376" s="503" t="s">
        <v>251</v>
      </c>
      <c r="G8376" s="504" t="s">
        <v>252</v>
      </c>
      <c r="H8376" s="397"/>
      <c r="I8376" s="397"/>
      <c r="J8376" s="750" t="e">
        <f t="shared" si="114"/>
        <v>#DIV/0!</v>
      </c>
      <c r="K8376" s="398"/>
      <c r="L8376" s="404"/>
      <c r="M8376" s="682"/>
    </row>
    <row r="8377" spans="1:27" hidden="1" x14ac:dyDescent="0.2">
      <c r="F8377" s="503" t="s">
        <v>253</v>
      </c>
      <c r="G8377" s="504" t="s">
        <v>254</v>
      </c>
      <c r="H8377" s="397"/>
      <c r="I8377" s="397"/>
      <c r="J8377" s="750" t="e">
        <f t="shared" si="114"/>
        <v>#DIV/0!</v>
      </c>
      <c r="K8377" s="398"/>
      <c r="L8377" s="404"/>
      <c r="M8377" s="682"/>
    </row>
    <row r="8378" spans="1:27" ht="25.5" hidden="1" x14ac:dyDescent="0.2">
      <c r="F8378" s="503" t="s">
        <v>255</v>
      </c>
      <c r="G8378" s="504" t="s">
        <v>256</v>
      </c>
      <c r="H8378" s="397"/>
      <c r="I8378" s="397"/>
      <c r="J8378" s="750" t="e">
        <f t="shared" si="114"/>
        <v>#DIV/0!</v>
      </c>
      <c r="K8378" s="398"/>
      <c r="L8378" s="404"/>
      <c r="M8378" s="682"/>
    </row>
    <row r="8379" spans="1:27" ht="25.5" hidden="1" x14ac:dyDescent="0.2">
      <c r="F8379" s="503" t="s">
        <v>257</v>
      </c>
      <c r="G8379" s="504" t="s">
        <v>258</v>
      </c>
      <c r="H8379" s="397"/>
      <c r="I8379" s="397"/>
      <c r="J8379" s="750" t="e">
        <f t="shared" si="114"/>
        <v>#DIV/0!</v>
      </c>
      <c r="K8379" s="398"/>
      <c r="L8379" s="404"/>
      <c r="M8379" s="682"/>
    </row>
    <row r="8380" spans="1:27" ht="25.5" hidden="1" x14ac:dyDescent="0.2">
      <c r="F8380" s="503" t="s">
        <v>259</v>
      </c>
      <c r="G8380" s="504" t="s">
        <v>260</v>
      </c>
      <c r="H8380" s="397"/>
      <c r="I8380" s="397"/>
      <c r="J8380" s="750" t="e">
        <f t="shared" si="114"/>
        <v>#DIV/0!</v>
      </c>
      <c r="K8380" s="398"/>
      <c r="L8380" s="404"/>
      <c r="M8380" s="682"/>
    </row>
    <row r="8381" spans="1:27" ht="25.5" hidden="1" x14ac:dyDescent="0.2">
      <c r="F8381" s="503" t="s">
        <v>261</v>
      </c>
      <c r="G8381" s="504" t="s">
        <v>262</v>
      </c>
      <c r="H8381" s="397"/>
      <c r="I8381" s="397"/>
      <c r="J8381" s="750" t="e">
        <f t="shared" si="114"/>
        <v>#DIV/0!</v>
      </c>
      <c r="K8381" s="398"/>
      <c r="L8381" s="404"/>
      <c r="M8381" s="682"/>
    </row>
    <row r="8382" spans="1:27" hidden="1" x14ac:dyDescent="0.2">
      <c r="F8382" s="503" t="s">
        <v>263</v>
      </c>
      <c r="G8382" s="504" t="s">
        <v>264</v>
      </c>
      <c r="H8382" s="403"/>
      <c r="I8382" s="403"/>
      <c r="J8382" s="750" t="e">
        <f t="shared" si="114"/>
        <v>#DIV/0!</v>
      </c>
      <c r="K8382" s="404"/>
      <c r="L8382" s="404"/>
      <c r="M8382" s="682"/>
    </row>
    <row r="8383" spans="1:27" ht="13.5" hidden="1" collapsed="1" thickBot="1" x14ac:dyDescent="0.25">
      <c r="G8383" s="505" t="s">
        <v>4246</v>
      </c>
      <c r="H8383" s="405">
        <f>SUM(H8367:H8382)</f>
        <v>0</v>
      </c>
      <c r="I8383" s="405"/>
      <c r="J8383" s="750" t="e">
        <f t="shared" si="114"/>
        <v>#DIV/0!</v>
      </c>
      <c r="K8383" s="406">
        <f>SUM(K8368:K8382)</f>
        <v>0</v>
      </c>
      <c r="L8383" s="406"/>
      <c r="M8383" s="682"/>
    </row>
    <row r="8384" spans="1:27" s="530" customFormat="1" hidden="1" x14ac:dyDescent="0.2">
      <c r="A8384" s="526"/>
      <c r="B8384" s="527"/>
      <c r="C8384" s="528"/>
      <c r="G8384" s="570"/>
      <c r="H8384" s="425"/>
      <c r="I8384" s="425"/>
      <c r="J8384" s="750" t="e">
        <f t="shared" si="114"/>
        <v>#DIV/0!</v>
      </c>
      <c r="K8384" s="243"/>
      <c r="L8384" s="243"/>
      <c r="M8384" s="682"/>
      <c r="N8384" s="171"/>
      <c r="O8384" s="171"/>
      <c r="P8384" s="171"/>
      <c r="Q8384" s="171"/>
      <c r="R8384" s="171"/>
      <c r="S8384" s="171"/>
      <c r="T8384" s="171"/>
      <c r="U8384" s="171"/>
      <c r="V8384" s="171"/>
      <c r="W8384" s="171"/>
      <c r="X8384" s="171"/>
      <c r="Y8384" s="171"/>
      <c r="Z8384" s="171"/>
      <c r="AA8384" s="171"/>
    </row>
    <row r="8385" spans="1:27" s="530" customFormat="1" hidden="1" x14ac:dyDescent="0.2">
      <c r="A8385" s="526"/>
      <c r="B8385" s="527"/>
      <c r="C8385" s="534"/>
      <c r="D8385" s="535"/>
      <c r="E8385" s="535"/>
      <c r="F8385" s="498"/>
      <c r="G8385" s="511" t="s">
        <v>4247</v>
      </c>
      <c r="H8385" s="413"/>
      <c r="I8385" s="413"/>
      <c r="J8385" s="750" t="e">
        <f t="shared" si="114"/>
        <v>#DIV/0!</v>
      </c>
      <c r="K8385" s="414"/>
      <c r="L8385" s="415"/>
      <c r="M8385" s="682"/>
      <c r="N8385" s="171"/>
      <c r="O8385" s="171"/>
      <c r="P8385" s="171"/>
      <c r="Q8385" s="171"/>
      <c r="R8385" s="171"/>
      <c r="S8385" s="171"/>
      <c r="T8385" s="171"/>
      <c r="U8385" s="171"/>
      <c r="V8385" s="171"/>
      <c r="W8385" s="171"/>
      <c r="X8385" s="171"/>
      <c r="Y8385" s="171"/>
      <c r="Z8385" s="171"/>
      <c r="AA8385" s="171"/>
    </row>
    <row r="8386" spans="1:27" s="530" customFormat="1" hidden="1" x14ac:dyDescent="0.2">
      <c r="A8386" s="526"/>
      <c r="B8386" s="527"/>
      <c r="C8386" s="534"/>
      <c r="D8386" s="535"/>
      <c r="E8386" s="535"/>
      <c r="F8386" s="503" t="s">
        <v>234</v>
      </c>
      <c r="G8386" s="504" t="s">
        <v>235</v>
      </c>
      <c r="H8386" s="403">
        <f>SUM(H8367)</f>
        <v>0</v>
      </c>
      <c r="I8386" s="403"/>
      <c r="J8386" s="750" t="e">
        <f t="shared" si="114"/>
        <v>#DIV/0!</v>
      </c>
      <c r="K8386" s="404"/>
      <c r="L8386" s="404"/>
      <c r="M8386" s="682"/>
      <c r="N8386" s="171"/>
      <c r="O8386" s="171"/>
      <c r="P8386" s="171"/>
      <c r="Q8386" s="171"/>
      <c r="R8386" s="171"/>
      <c r="S8386" s="171"/>
      <c r="T8386" s="171"/>
      <c r="U8386" s="171"/>
      <c r="V8386" s="171"/>
      <c r="W8386" s="171"/>
      <c r="X8386" s="171"/>
      <c r="Y8386" s="171"/>
      <c r="Z8386" s="171"/>
      <c r="AA8386" s="171"/>
    </row>
    <row r="8387" spans="1:27" s="530" customFormat="1" hidden="1" x14ac:dyDescent="0.2">
      <c r="A8387" s="526"/>
      <c r="B8387" s="527"/>
      <c r="C8387" s="534"/>
      <c r="D8387" s="535"/>
      <c r="E8387" s="535"/>
      <c r="F8387" s="503" t="s">
        <v>236</v>
      </c>
      <c r="G8387" s="504" t="s">
        <v>237</v>
      </c>
      <c r="H8387" s="397"/>
      <c r="I8387" s="397"/>
      <c r="J8387" s="750" t="e">
        <f t="shared" si="114"/>
        <v>#DIV/0!</v>
      </c>
      <c r="K8387" s="398"/>
      <c r="L8387" s="404"/>
      <c r="M8387" s="682"/>
      <c r="N8387" s="171"/>
      <c r="O8387" s="171"/>
      <c r="P8387" s="171"/>
      <c r="Q8387" s="171"/>
      <c r="R8387" s="171"/>
      <c r="S8387" s="171"/>
      <c r="T8387" s="171"/>
      <c r="U8387" s="171"/>
      <c r="V8387" s="171"/>
      <c r="W8387" s="171"/>
      <c r="X8387" s="171"/>
      <c r="Y8387" s="171"/>
      <c r="Z8387" s="171"/>
      <c r="AA8387" s="171"/>
    </row>
    <row r="8388" spans="1:27" s="530" customFormat="1" hidden="1" x14ac:dyDescent="0.2">
      <c r="A8388" s="526"/>
      <c r="B8388" s="527"/>
      <c r="C8388" s="534"/>
      <c r="D8388" s="535"/>
      <c r="E8388" s="535"/>
      <c r="F8388" s="503" t="s">
        <v>238</v>
      </c>
      <c r="G8388" s="504" t="s">
        <v>239</v>
      </c>
      <c r="H8388" s="397"/>
      <c r="I8388" s="397"/>
      <c r="J8388" s="750" t="e">
        <f t="shared" si="114"/>
        <v>#DIV/0!</v>
      </c>
      <c r="K8388" s="398"/>
      <c r="L8388" s="404"/>
      <c r="M8388" s="682"/>
      <c r="N8388" s="171"/>
      <c r="O8388" s="171"/>
      <c r="P8388" s="171"/>
      <c r="Q8388" s="171"/>
      <c r="R8388" s="171"/>
      <c r="S8388" s="171"/>
      <c r="T8388" s="171"/>
      <c r="U8388" s="171"/>
      <c r="V8388" s="171"/>
      <c r="W8388" s="171"/>
      <c r="X8388" s="171"/>
      <c r="Y8388" s="171"/>
      <c r="Z8388" s="171"/>
      <c r="AA8388" s="171"/>
    </row>
    <row r="8389" spans="1:27" s="530" customFormat="1" hidden="1" x14ac:dyDescent="0.2">
      <c r="A8389" s="526"/>
      <c r="B8389" s="527"/>
      <c r="C8389" s="534"/>
      <c r="D8389" s="535"/>
      <c r="E8389" s="535"/>
      <c r="F8389" s="503" t="s">
        <v>240</v>
      </c>
      <c r="G8389" s="504" t="s">
        <v>241</v>
      </c>
      <c r="H8389" s="397"/>
      <c r="I8389" s="397"/>
      <c r="J8389" s="750" t="e">
        <f t="shared" si="114"/>
        <v>#DIV/0!</v>
      </c>
      <c r="K8389" s="398"/>
      <c r="L8389" s="404"/>
      <c r="M8389" s="682"/>
      <c r="N8389" s="171"/>
      <c r="O8389" s="171"/>
      <c r="P8389" s="171"/>
      <c r="Q8389" s="171"/>
      <c r="R8389" s="171"/>
      <c r="S8389" s="171"/>
      <c r="T8389" s="171"/>
      <c r="U8389" s="171"/>
      <c r="V8389" s="171"/>
      <c r="W8389" s="171"/>
      <c r="X8389" s="171"/>
      <c r="Y8389" s="171"/>
      <c r="Z8389" s="171"/>
      <c r="AA8389" s="171"/>
    </row>
    <row r="8390" spans="1:27" s="530" customFormat="1" hidden="1" x14ac:dyDescent="0.2">
      <c r="A8390" s="526"/>
      <c r="B8390" s="527"/>
      <c r="C8390" s="534"/>
      <c r="D8390" s="535"/>
      <c r="E8390" s="535"/>
      <c r="F8390" s="503" t="s">
        <v>242</v>
      </c>
      <c r="G8390" s="504" t="s">
        <v>243</v>
      </c>
      <c r="H8390" s="397"/>
      <c r="I8390" s="397"/>
      <c r="J8390" s="750" t="e">
        <f t="shared" si="114"/>
        <v>#DIV/0!</v>
      </c>
      <c r="K8390" s="398"/>
      <c r="L8390" s="404"/>
      <c r="M8390" s="682"/>
      <c r="N8390" s="171"/>
      <c r="O8390" s="171"/>
      <c r="P8390" s="171"/>
      <c r="Q8390" s="171"/>
      <c r="R8390" s="171"/>
      <c r="S8390" s="171"/>
      <c r="T8390" s="171"/>
      <c r="U8390" s="171"/>
      <c r="V8390" s="171"/>
      <c r="W8390" s="171"/>
      <c r="X8390" s="171"/>
      <c r="Y8390" s="171"/>
      <c r="Z8390" s="171"/>
      <c r="AA8390" s="171"/>
    </row>
    <row r="8391" spans="1:27" s="530" customFormat="1" hidden="1" x14ac:dyDescent="0.2">
      <c r="A8391" s="526"/>
      <c r="B8391" s="527"/>
      <c r="C8391" s="534"/>
      <c r="D8391" s="535"/>
      <c r="E8391" s="535"/>
      <c r="F8391" s="503" t="s">
        <v>244</v>
      </c>
      <c r="G8391" s="504" t="s">
        <v>245</v>
      </c>
      <c r="H8391" s="397"/>
      <c r="I8391" s="397"/>
      <c r="J8391" s="750" t="e">
        <f t="shared" si="114"/>
        <v>#DIV/0!</v>
      </c>
      <c r="K8391" s="398"/>
      <c r="L8391" s="404"/>
      <c r="M8391" s="682"/>
      <c r="N8391" s="171"/>
      <c r="O8391" s="171"/>
      <c r="P8391" s="171"/>
      <c r="Q8391" s="171"/>
      <c r="R8391" s="171"/>
      <c r="S8391" s="171"/>
      <c r="T8391" s="171"/>
      <c r="U8391" s="171"/>
      <c r="V8391" s="171"/>
      <c r="W8391" s="171"/>
      <c r="X8391" s="171"/>
      <c r="Y8391" s="171"/>
      <c r="Z8391" s="171"/>
      <c r="AA8391" s="171"/>
    </row>
    <row r="8392" spans="1:27" s="530" customFormat="1" hidden="1" x14ac:dyDescent="0.2">
      <c r="A8392" s="526"/>
      <c r="B8392" s="527"/>
      <c r="C8392" s="534"/>
      <c r="D8392" s="535"/>
      <c r="E8392" s="535"/>
      <c r="F8392" s="503" t="s">
        <v>246</v>
      </c>
      <c r="G8392" s="504" t="s">
        <v>247</v>
      </c>
      <c r="H8392" s="397"/>
      <c r="I8392" s="397"/>
      <c r="J8392" s="750" t="e">
        <f t="shared" si="114"/>
        <v>#DIV/0!</v>
      </c>
      <c r="K8392" s="398"/>
      <c r="L8392" s="404"/>
      <c r="M8392" s="682"/>
      <c r="N8392" s="171"/>
      <c r="O8392" s="171"/>
      <c r="P8392" s="171"/>
      <c r="Q8392" s="171"/>
      <c r="R8392" s="171"/>
      <c r="S8392" s="171"/>
      <c r="T8392" s="171"/>
      <c r="U8392" s="171"/>
      <c r="V8392" s="171"/>
      <c r="W8392" s="171"/>
      <c r="X8392" s="171"/>
      <c r="Y8392" s="171"/>
      <c r="Z8392" s="171"/>
      <c r="AA8392" s="171"/>
    </row>
    <row r="8393" spans="1:27" s="530" customFormat="1" ht="25.5" hidden="1" x14ac:dyDescent="0.2">
      <c r="A8393" s="526"/>
      <c r="B8393" s="527"/>
      <c r="C8393" s="534"/>
      <c r="D8393" s="535"/>
      <c r="E8393" s="535"/>
      <c r="F8393" s="503" t="s">
        <v>248</v>
      </c>
      <c r="G8393" s="504" t="s">
        <v>249</v>
      </c>
      <c r="H8393" s="397"/>
      <c r="I8393" s="397"/>
      <c r="J8393" s="750" t="e">
        <f t="shared" si="114"/>
        <v>#DIV/0!</v>
      </c>
      <c r="K8393" s="398"/>
      <c r="L8393" s="404"/>
      <c r="M8393" s="682"/>
      <c r="N8393" s="171"/>
      <c r="O8393" s="171"/>
      <c r="P8393" s="171"/>
      <c r="Q8393" s="171"/>
      <c r="R8393" s="171"/>
      <c r="S8393" s="171"/>
      <c r="T8393" s="171"/>
      <c r="U8393" s="171"/>
      <c r="V8393" s="171"/>
      <c r="W8393" s="171"/>
      <c r="X8393" s="171"/>
      <c r="Y8393" s="171"/>
      <c r="Z8393" s="171"/>
      <c r="AA8393" s="171"/>
    </row>
    <row r="8394" spans="1:27" s="530" customFormat="1" hidden="1" x14ac:dyDescent="0.2">
      <c r="A8394" s="526"/>
      <c r="B8394" s="527"/>
      <c r="C8394" s="534"/>
      <c r="D8394" s="535"/>
      <c r="E8394" s="535"/>
      <c r="F8394" s="503" t="s">
        <v>250</v>
      </c>
      <c r="G8394" s="504" t="s">
        <v>57</v>
      </c>
      <c r="H8394" s="397"/>
      <c r="I8394" s="397"/>
      <c r="J8394" s="750" t="e">
        <f t="shared" si="114"/>
        <v>#DIV/0!</v>
      </c>
      <c r="K8394" s="398"/>
      <c r="L8394" s="404"/>
      <c r="M8394" s="682"/>
      <c r="N8394" s="171"/>
      <c r="O8394" s="171"/>
      <c r="P8394" s="171"/>
      <c r="Q8394" s="171"/>
      <c r="R8394" s="171"/>
      <c r="S8394" s="171"/>
      <c r="T8394" s="171"/>
      <c r="U8394" s="171"/>
      <c r="V8394" s="171"/>
      <c r="W8394" s="171"/>
      <c r="X8394" s="171"/>
      <c r="Y8394" s="171"/>
      <c r="Z8394" s="171"/>
      <c r="AA8394" s="171"/>
    </row>
    <row r="8395" spans="1:27" s="530" customFormat="1" hidden="1" x14ac:dyDescent="0.2">
      <c r="A8395" s="526"/>
      <c r="B8395" s="527"/>
      <c r="C8395" s="534"/>
      <c r="D8395" s="535"/>
      <c r="E8395" s="535"/>
      <c r="F8395" s="503" t="s">
        <v>251</v>
      </c>
      <c r="G8395" s="504" t="s">
        <v>252</v>
      </c>
      <c r="H8395" s="397"/>
      <c r="I8395" s="397"/>
      <c r="J8395" s="750" t="e">
        <f t="shared" si="114"/>
        <v>#DIV/0!</v>
      </c>
      <c r="K8395" s="398"/>
      <c r="L8395" s="404"/>
      <c r="M8395" s="682"/>
      <c r="N8395" s="171"/>
      <c r="O8395" s="171"/>
      <c r="P8395" s="171"/>
      <c r="Q8395" s="171"/>
      <c r="R8395" s="171"/>
      <c r="S8395" s="171"/>
      <c r="T8395" s="171"/>
      <c r="U8395" s="171"/>
      <c r="V8395" s="171"/>
      <c r="W8395" s="171"/>
      <c r="X8395" s="171"/>
      <c r="Y8395" s="171"/>
      <c r="Z8395" s="171"/>
      <c r="AA8395" s="171"/>
    </row>
    <row r="8396" spans="1:27" s="530" customFormat="1" hidden="1" x14ac:dyDescent="0.2">
      <c r="A8396" s="526"/>
      <c r="B8396" s="527"/>
      <c r="C8396" s="534"/>
      <c r="D8396" s="535"/>
      <c r="E8396" s="535"/>
      <c r="F8396" s="503" t="s">
        <v>253</v>
      </c>
      <c r="G8396" s="504" t="s">
        <v>254</v>
      </c>
      <c r="H8396" s="397"/>
      <c r="I8396" s="397"/>
      <c r="J8396" s="750" t="e">
        <f t="shared" si="114"/>
        <v>#DIV/0!</v>
      </c>
      <c r="K8396" s="398"/>
      <c r="L8396" s="404"/>
      <c r="M8396" s="682"/>
      <c r="N8396" s="171"/>
      <c r="O8396" s="171"/>
      <c r="P8396" s="171"/>
      <c r="Q8396" s="171"/>
      <c r="R8396" s="171"/>
      <c r="S8396" s="171"/>
      <c r="T8396" s="171"/>
      <c r="U8396" s="171"/>
      <c r="V8396" s="171"/>
      <c r="W8396" s="171"/>
      <c r="X8396" s="171"/>
      <c r="Y8396" s="171"/>
      <c r="Z8396" s="171"/>
      <c r="AA8396" s="171"/>
    </row>
    <row r="8397" spans="1:27" s="530" customFormat="1" ht="25.5" hidden="1" x14ac:dyDescent="0.2">
      <c r="A8397" s="526"/>
      <c r="B8397" s="527"/>
      <c r="C8397" s="534"/>
      <c r="D8397" s="535"/>
      <c r="E8397" s="535"/>
      <c r="F8397" s="503" t="s">
        <v>255</v>
      </c>
      <c r="G8397" s="504" t="s">
        <v>256</v>
      </c>
      <c r="H8397" s="397"/>
      <c r="I8397" s="397"/>
      <c r="J8397" s="750" t="e">
        <f t="shared" si="114"/>
        <v>#DIV/0!</v>
      </c>
      <c r="K8397" s="398"/>
      <c r="L8397" s="404"/>
      <c r="M8397" s="682"/>
      <c r="N8397" s="171"/>
      <c r="O8397" s="171"/>
      <c r="P8397" s="171"/>
      <c r="Q8397" s="171"/>
      <c r="R8397" s="171"/>
      <c r="S8397" s="171"/>
      <c r="T8397" s="171"/>
      <c r="U8397" s="171"/>
      <c r="V8397" s="171"/>
      <c r="W8397" s="171"/>
      <c r="X8397" s="171"/>
      <c r="Y8397" s="171"/>
      <c r="Z8397" s="171"/>
      <c r="AA8397" s="171"/>
    </row>
    <row r="8398" spans="1:27" s="530" customFormat="1" ht="25.5" hidden="1" x14ac:dyDescent="0.2">
      <c r="A8398" s="526"/>
      <c r="B8398" s="527"/>
      <c r="C8398" s="534"/>
      <c r="D8398" s="535"/>
      <c r="E8398" s="535"/>
      <c r="F8398" s="503" t="s">
        <v>257</v>
      </c>
      <c r="G8398" s="504" t="s">
        <v>258</v>
      </c>
      <c r="H8398" s="397"/>
      <c r="I8398" s="397"/>
      <c r="J8398" s="750" t="e">
        <f t="shared" ref="J8398:J8423" si="115">SUM(I8398/H8398)*100</f>
        <v>#DIV/0!</v>
      </c>
      <c r="K8398" s="398"/>
      <c r="L8398" s="404"/>
      <c r="M8398" s="682"/>
      <c r="N8398" s="171"/>
      <c r="O8398" s="171"/>
      <c r="P8398" s="171"/>
      <c r="Q8398" s="171"/>
      <c r="R8398" s="171"/>
      <c r="S8398" s="171"/>
      <c r="T8398" s="171"/>
      <c r="U8398" s="171"/>
      <c r="V8398" s="171"/>
      <c r="W8398" s="171"/>
      <c r="X8398" s="171"/>
      <c r="Y8398" s="171"/>
      <c r="Z8398" s="171"/>
      <c r="AA8398" s="171"/>
    </row>
    <row r="8399" spans="1:27" s="530" customFormat="1" ht="25.5" hidden="1" x14ac:dyDescent="0.2">
      <c r="A8399" s="526"/>
      <c r="B8399" s="527"/>
      <c r="C8399" s="534"/>
      <c r="D8399" s="535"/>
      <c r="E8399" s="535"/>
      <c r="F8399" s="503" t="s">
        <v>259</v>
      </c>
      <c r="G8399" s="504" t="s">
        <v>260</v>
      </c>
      <c r="H8399" s="397"/>
      <c r="I8399" s="397"/>
      <c r="J8399" s="750" t="e">
        <f t="shared" si="115"/>
        <v>#DIV/0!</v>
      </c>
      <c r="K8399" s="398"/>
      <c r="L8399" s="404"/>
      <c r="M8399" s="682"/>
      <c r="N8399" s="171"/>
      <c r="O8399" s="171"/>
      <c r="P8399" s="171"/>
      <c r="Q8399" s="171"/>
      <c r="R8399" s="171"/>
      <c r="S8399" s="171"/>
      <c r="T8399" s="171"/>
      <c r="U8399" s="171"/>
      <c r="V8399" s="171"/>
      <c r="W8399" s="171"/>
      <c r="X8399" s="171"/>
      <c r="Y8399" s="171"/>
      <c r="Z8399" s="171"/>
      <c r="AA8399" s="171"/>
    </row>
    <row r="8400" spans="1:27" s="530" customFormat="1" ht="25.5" hidden="1" x14ac:dyDescent="0.2">
      <c r="A8400" s="526"/>
      <c r="B8400" s="527"/>
      <c r="C8400" s="534"/>
      <c r="D8400" s="535"/>
      <c r="E8400" s="535"/>
      <c r="F8400" s="503" t="s">
        <v>261</v>
      </c>
      <c r="G8400" s="504" t="s">
        <v>262</v>
      </c>
      <c r="H8400" s="397"/>
      <c r="I8400" s="397"/>
      <c r="J8400" s="750" t="e">
        <f t="shared" si="115"/>
        <v>#DIV/0!</v>
      </c>
      <c r="K8400" s="398"/>
      <c r="L8400" s="404"/>
      <c r="M8400" s="682"/>
      <c r="N8400" s="171"/>
      <c r="O8400" s="171"/>
      <c r="P8400" s="171"/>
      <c r="Q8400" s="171"/>
      <c r="R8400" s="171"/>
      <c r="S8400" s="171"/>
      <c r="T8400" s="171"/>
      <c r="U8400" s="171"/>
      <c r="V8400" s="171"/>
      <c r="W8400" s="171"/>
      <c r="X8400" s="171"/>
      <c r="Y8400" s="171"/>
      <c r="Z8400" s="171"/>
      <c r="AA8400" s="171"/>
    </row>
    <row r="8401" spans="1:27" s="530" customFormat="1" hidden="1" x14ac:dyDescent="0.2">
      <c r="A8401" s="526"/>
      <c r="B8401" s="527"/>
      <c r="C8401" s="534"/>
      <c r="D8401" s="535"/>
      <c r="E8401" s="535"/>
      <c r="F8401" s="503" t="s">
        <v>263</v>
      </c>
      <c r="G8401" s="504" t="s">
        <v>264</v>
      </c>
      <c r="H8401" s="403"/>
      <c r="I8401" s="403"/>
      <c r="J8401" s="750" t="e">
        <f t="shared" si="115"/>
        <v>#DIV/0!</v>
      </c>
      <c r="K8401" s="404"/>
      <c r="L8401" s="404"/>
      <c r="M8401" s="682"/>
      <c r="N8401" s="171"/>
      <c r="O8401" s="171"/>
      <c r="P8401" s="171"/>
      <c r="Q8401" s="171"/>
      <c r="R8401" s="171"/>
      <c r="S8401" s="171"/>
      <c r="T8401" s="171"/>
      <c r="U8401" s="171"/>
      <c r="V8401" s="171"/>
      <c r="W8401" s="171"/>
      <c r="X8401" s="171"/>
      <c r="Y8401" s="171"/>
      <c r="Z8401" s="171"/>
      <c r="AA8401" s="171"/>
    </row>
    <row r="8402" spans="1:27" s="530" customFormat="1" ht="13.5" hidden="1" thickBot="1" x14ac:dyDescent="0.25">
      <c r="A8402" s="526"/>
      <c r="B8402" s="527"/>
      <c r="C8402" s="534"/>
      <c r="D8402" s="535"/>
      <c r="E8402" s="535"/>
      <c r="F8402" s="464"/>
      <c r="G8402" s="505" t="s">
        <v>4248</v>
      </c>
      <c r="H8402" s="405">
        <f>SUM(H8386:H8401)</f>
        <v>0</v>
      </c>
      <c r="I8402" s="405"/>
      <c r="J8402" s="750" t="e">
        <f t="shared" si="115"/>
        <v>#DIV/0!</v>
      </c>
      <c r="K8402" s="406">
        <f>SUM(K8387:K8401)</f>
        <v>0</v>
      </c>
      <c r="L8402" s="406"/>
      <c r="M8402" s="682"/>
      <c r="N8402" s="171"/>
      <c r="O8402" s="171"/>
      <c r="P8402" s="171"/>
      <c r="Q8402" s="171"/>
      <c r="R8402" s="171"/>
      <c r="S8402" s="171"/>
      <c r="T8402" s="171"/>
      <c r="U8402" s="171"/>
      <c r="V8402" s="171"/>
      <c r="W8402" s="171"/>
      <c r="X8402" s="171"/>
      <c r="Y8402" s="171"/>
      <c r="Z8402" s="171"/>
      <c r="AA8402" s="171"/>
    </row>
    <row r="8403" spans="1:27" hidden="1" x14ac:dyDescent="0.2">
      <c r="H8403" s="397"/>
      <c r="I8403" s="397"/>
      <c r="J8403" s="750" t="e">
        <f t="shared" si="115"/>
        <v>#DIV/0!</v>
      </c>
      <c r="K8403" s="398"/>
      <c r="L8403" s="398"/>
      <c r="M8403" s="682"/>
    </row>
    <row r="8404" spans="1:27" s="530" customFormat="1" hidden="1" x14ac:dyDescent="0.2">
      <c r="A8404" s="526"/>
      <c r="B8404" s="527"/>
      <c r="C8404" s="534"/>
      <c r="D8404" s="535"/>
      <c r="E8404" s="535"/>
      <c r="F8404" s="498"/>
      <c r="G8404" s="511" t="s">
        <v>4277</v>
      </c>
      <c r="H8404" s="413"/>
      <c r="I8404" s="413"/>
      <c r="J8404" s="750" t="e">
        <f t="shared" si="115"/>
        <v>#DIV/0!</v>
      </c>
      <c r="K8404" s="414"/>
      <c r="L8404" s="415"/>
      <c r="M8404" s="682"/>
      <c r="N8404" s="171"/>
      <c r="O8404" s="171"/>
      <c r="P8404" s="171"/>
      <c r="Q8404" s="171"/>
      <c r="R8404" s="171"/>
      <c r="S8404" s="171"/>
      <c r="T8404" s="171"/>
      <c r="U8404" s="171"/>
      <c r="V8404" s="171"/>
      <c r="W8404" s="171"/>
      <c r="X8404" s="171"/>
      <c r="Y8404" s="171"/>
      <c r="Z8404" s="171"/>
      <c r="AA8404" s="171"/>
    </row>
    <row r="8405" spans="1:27" s="530" customFormat="1" hidden="1" x14ac:dyDescent="0.2">
      <c r="A8405" s="526"/>
      <c r="B8405" s="527"/>
      <c r="C8405" s="534"/>
      <c r="D8405" s="535"/>
      <c r="E8405" s="535"/>
      <c r="F8405" s="503" t="s">
        <v>234</v>
      </c>
      <c r="G8405" s="504" t="s">
        <v>235</v>
      </c>
      <c r="H8405" s="403">
        <f>SUM(H8386,H8266)</f>
        <v>0</v>
      </c>
      <c r="I8405" s="403"/>
      <c r="J8405" s="750" t="e">
        <f t="shared" si="115"/>
        <v>#DIV/0!</v>
      </c>
      <c r="K8405" s="404"/>
      <c r="L8405" s="404"/>
      <c r="M8405" s="682"/>
      <c r="N8405" s="171"/>
      <c r="O8405" s="171"/>
      <c r="P8405" s="171"/>
      <c r="Q8405" s="171"/>
      <c r="R8405" s="171"/>
      <c r="S8405" s="171"/>
      <c r="T8405" s="171"/>
      <c r="U8405" s="171"/>
      <c r="V8405" s="171"/>
      <c r="W8405" s="171"/>
      <c r="X8405" s="171"/>
      <c r="Y8405" s="171"/>
      <c r="Z8405" s="171"/>
      <c r="AA8405" s="171"/>
    </row>
    <row r="8406" spans="1:27" s="530" customFormat="1" hidden="1" x14ac:dyDescent="0.2">
      <c r="A8406" s="526"/>
      <c r="B8406" s="527"/>
      <c r="C8406" s="534"/>
      <c r="D8406" s="535"/>
      <c r="E8406" s="535"/>
      <c r="F8406" s="503" t="s">
        <v>236</v>
      </c>
      <c r="G8406" s="504" t="s">
        <v>237</v>
      </c>
      <c r="H8406" s="397"/>
      <c r="I8406" s="397"/>
      <c r="J8406" s="750" t="e">
        <f t="shared" si="115"/>
        <v>#DIV/0!</v>
      </c>
      <c r="K8406" s="398"/>
      <c r="L8406" s="404"/>
      <c r="M8406" s="682"/>
      <c r="N8406" s="171"/>
      <c r="O8406" s="171"/>
      <c r="P8406" s="171"/>
      <c r="Q8406" s="171"/>
      <c r="R8406" s="171"/>
      <c r="S8406" s="171"/>
      <c r="T8406" s="171"/>
      <c r="U8406" s="171"/>
      <c r="V8406" s="171"/>
      <c r="W8406" s="171"/>
      <c r="X8406" s="171"/>
      <c r="Y8406" s="171"/>
      <c r="Z8406" s="171"/>
      <c r="AA8406" s="171"/>
    </row>
    <row r="8407" spans="1:27" s="530" customFormat="1" hidden="1" x14ac:dyDescent="0.2">
      <c r="A8407" s="526"/>
      <c r="B8407" s="527"/>
      <c r="C8407" s="534"/>
      <c r="D8407" s="535"/>
      <c r="E8407" s="535"/>
      <c r="F8407" s="503" t="s">
        <v>238</v>
      </c>
      <c r="G8407" s="504" t="s">
        <v>239</v>
      </c>
      <c r="H8407" s="397"/>
      <c r="I8407" s="397"/>
      <c r="J8407" s="750" t="e">
        <f t="shared" si="115"/>
        <v>#DIV/0!</v>
      </c>
      <c r="K8407" s="398"/>
      <c r="L8407" s="404"/>
      <c r="M8407" s="682"/>
      <c r="N8407" s="171"/>
      <c r="O8407" s="171"/>
      <c r="P8407" s="171"/>
      <c r="Q8407" s="171"/>
      <c r="R8407" s="171"/>
      <c r="S8407" s="171"/>
      <c r="T8407" s="171"/>
      <c r="U8407" s="171"/>
      <c r="V8407" s="171"/>
      <c r="W8407" s="171"/>
      <c r="X8407" s="171"/>
      <c r="Y8407" s="171"/>
      <c r="Z8407" s="171"/>
      <c r="AA8407" s="171"/>
    </row>
    <row r="8408" spans="1:27" s="530" customFormat="1" hidden="1" x14ac:dyDescent="0.2">
      <c r="A8408" s="526"/>
      <c r="B8408" s="527"/>
      <c r="C8408" s="534"/>
      <c r="D8408" s="535"/>
      <c r="E8408" s="535"/>
      <c r="F8408" s="503" t="s">
        <v>240</v>
      </c>
      <c r="G8408" s="504" t="s">
        <v>241</v>
      </c>
      <c r="H8408" s="397"/>
      <c r="I8408" s="397"/>
      <c r="J8408" s="750" t="e">
        <f t="shared" si="115"/>
        <v>#DIV/0!</v>
      </c>
      <c r="K8408" s="398"/>
      <c r="L8408" s="404"/>
      <c r="M8408" s="682"/>
      <c r="N8408" s="171"/>
      <c r="O8408" s="171"/>
      <c r="P8408" s="171"/>
      <c r="Q8408" s="171"/>
      <c r="R8408" s="171"/>
      <c r="S8408" s="171"/>
      <c r="T8408" s="171"/>
      <c r="U8408" s="171"/>
      <c r="V8408" s="171"/>
      <c r="W8408" s="171"/>
      <c r="X8408" s="171"/>
      <c r="Y8408" s="171"/>
      <c r="Z8408" s="171"/>
      <c r="AA8408" s="171"/>
    </row>
    <row r="8409" spans="1:27" s="530" customFormat="1" hidden="1" x14ac:dyDescent="0.2">
      <c r="A8409" s="526"/>
      <c r="B8409" s="527"/>
      <c r="C8409" s="534"/>
      <c r="D8409" s="535"/>
      <c r="E8409" s="535"/>
      <c r="F8409" s="503" t="s">
        <v>242</v>
      </c>
      <c r="G8409" s="504" t="s">
        <v>243</v>
      </c>
      <c r="H8409" s="397"/>
      <c r="I8409" s="397"/>
      <c r="J8409" s="750" t="e">
        <f t="shared" si="115"/>
        <v>#DIV/0!</v>
      </c>
      <c r="K8409" s="398"/>
      <c r="L8409" s="404"/>
      <c r="M8409" s="682"/>
      <c r="N8409" s="171"/>
      <c r="O8409" s="171"/>
      <c r="P8409" s="171"/>
      <c r="Q8409" s="171"/>
      <c r="R8409" s="171"/>
      <c r="S8409" s="171"/>
      <c r="T8409" s="171"/>
      <c r="U8409" s="171"/>
      <c r="V8409" s="171"/>
      <c r="W8409" s="171"/>
      <c r="X8409" s="171"/>
      <c r="Y8409" s="171"/>
      <c r="Z8409" s="171"/>
      <c r="AA8409" s="171"/>
    </row>
    <row r="8410" spans="1:27" s="530" customFormat="1" hidden="1" x14ac:dyDescent="0.2">
      <c r="A8410" s="526"/>
      <c r="B8410" s="527"/>
      <c r="C8410" s="534"/>
      <c r="D8410" s="535"/>
      <c r="E8410" s="535"/>
      <c r="F8410" s="503" t="s">
        <v>244</v>
      </c>
      <c r="G8410" s="504" t="s">
        <v>245</v>
      </c>
      <c r="H8410" s="397"/>
      <c r="I8410" s="397"/>
      <c r="J8410" s="750" t="e">
        <f t="shared" si="115"/>
        <v>#DIV/0!</v>
      </c>
      <c r="K8410" s="398"/>
      <c r="L8410" s="404"/>
      <c r="M8410" s="682"/>
      <c r="N8410" s="171"/>
      <c r="O8410" s="171"/>
      <c r="P8410" s="171"/>
      <c r="Q8410" s="171"/>
      <c r="R8410" s="171"/>
      <c r="S8410" s="171"/>
      <c r="T8410" s="171"/>
      <c r="U8410" s="171"/>
      <c r="V8410" s="171"/>
      <c r="W8410" s="171"/>
      <c r="X8410" s="171"/>
      <c r="Y8410" s="171"/>
      <c r="Z8410" s="171"/>
      <c r="AA8410" s="171"/>
    </row>
    <row r="8411" spans="1:27" s="530" customFormat="1" hidden="1" x14ac:dyDescent="0.2">
      <c r="A8411" s="526"/>
      <c r="B8411" s="527"/>
      <c r="C8411" s="534"/>
      <c r="D8411" s="535"/>
      <c r="E8411" s="535"/>
      <c r="F8411" s="503" t="s">
        <v>246</v>
      </c>
      <c r="G8411" s="504" t="s">
        <v>247</v>
      </c>
      <c r="H8411" s="397"/>
      <c r="I8411" s="397"/>
      <c r="J8411" s="750" t="e">
        <f t="shared" si="115"/>
        <v>#DIV/0!</v>
      </c>
      <c r="K8411" s="398"/>
      <c r="L8411" s="404"/>
      <c r="M8411" s="682"/>
      <c r="N8411" s="171"/>
      <c r="O8411" s="171"/>
      <c r="P8411" s="171"/>
      <c r="Q8411" s="171"/>
      <c r="R8411" s="171"/>
      <c r="S8411" s="171"/>
      <c r="T8411" s="171"/>
      <c r="U8411" s="171"/>
      <c r="V8411" s="171"/>
      <c r="W8411" s="171"/>
      <c r="X8411" s="171"/>
      <c r="Y8411" s="171"/>
      <c r="Z8411" s="171"/>
      <c r="AA8411" s="171"/>
    </row>
    <row r="8412" spans="1:27" s="530" customFormat="1" ht="25.5" hidden="1" x14ac:dyDescent="0.2">
      <c r="A8412" s="526"/>
      <c r="B8412" s="527"/>
      <c r="C8412" s="534"/>
      <c r="D8412" s="535"/>
      <c r="E8412" s="535"/>
      <c r="F8412" s="503" t="s">
        <v>248</v>
      </c>
      <c r="G8412" s="504" t="s">
        <v>249</v>
      </c>
      <c r="H8412" s="397"/>
      <c r="I8412" s="397"/>
      <c r="J8412" s="750" t="e">
        <f t="shared" si="115"/>
        <v>#DIV/0!</v>
      </c>
      <c r="K8412" s="398"/>
      <c r="L8412" s="404"/>
      <c r="M8412" s="682"/>
      <c r="N8412" s="171"/>
      <c r="O8412" s="171"/>
      <c r="P8412" s="171"/>
      <c r="Q8412" s="171"/>
      <c r="R8412" s="171"/>
      <c r="S8412" s="171"/>
      <c r="T8412" s="171"/>
      <c r="U8412" s="171"/>
      <c r="V8412" s="171"/>
      <c r="W8412" s="171"/>
      <c r="X8412" s="171"/>
      <c r="Y8412" s="171"/>
      <c r="Z8412" s="171"/>
      <c r="AA8412" s="171"/>
    </row>
    <row r="8413" spans="1:27" s="530" customFormat="1" hidden="1" x14ac:dyDescent="0.2">
      <c r="A8413" s="526"/>
      <c r="B8413" s="527"/>
      <c r="C8413" s="534"/>
      <c r="D8413" s="535"/>
      <c r="E8413" s="535"/>
      <c r="F8413" s="503" t="s">
        <v>250</v>
      </c>
      <c r="G8413" s="504" t="s">
        <v>57</v>
      </c>
      <c r="H8413" s="397"/>
      <c r="I8413" s="397"/>
      <c r="J8413" s="750" t="e">
        <f t="shared" si="115"/>
        <v>#DIV/0!</v>
      </c>
      <c r="K8413" s="398"/>
      <c r="L8413" s="404"/>
      <c r="M8413" s="682"/>
      <c r="N8413" s="171"/>
      <c r="O8413" s="171"/>
      <c r="P8413" s="171"/>
      <c r="Q8413" s="171"/>
      <c r="R8413" s="171"/>
      <c r="S8413" s="171"/>
      <c r="T8413" s="171"/>
      <c r="U8413" s="171"/>
      <c r="V8413" s="171"/>
      <c r="W8413" s="171"/>
      <c r="X8413" s="171"/>
      <c r="Y8413" s="171"/>
      <c r="Z8413" s="171"/>
      <c r="AA8413" s="171"/>
    </row>
    <row r="8414" spans="1:27" s="530" customFormat="1" hidden="1" x14ac:dyDescent="0.2">
      <c r="A8414" s="526"/>
      <c r="B8414" s="527"/>
      <c r="C8414" s="534"/>
      <c r="D8414" s="535"/>
      <c r="E8414" s="535"/>
      <c r="F8414" s="503" t="s">
        <v>251</v>
      </c>
      <c r="G8414" s="504" t="s">
        <v>252</v>
      </c>
      <c r="H8414" s="397"/>
      <c r="I8414" s="397"/>
      <c r="J8414" s="750" t="e">
        <f t="shared" si="115"/>
        <v>#DIV/0!</v>
      </c>
      <c r="K8414" s="398"/>
      <c r="L8414" s="404"/>
      <c r="M8414" s="682"/>
      <c r="N8414" s="171"/>
      <c r="O8414" s="171"/>
      <c r="P8414" s="171"/>
      <c r="Q8414" s="171"/>
      <c r="R8414" s="171"/>
      <c r="S8414" s="171"/>
      <c r="T8414" s="171"/>
      <c r="U8414" s="171"/>
      <c r="V8414" s="171"/>
      <c r="W8414" s="171"/>
      <c r="X8414" s="171"/>
      <c r="Y8414" s="171"/>
      <c r="Z8414" s="171"/>
      <c r="AA8414" s="171"/>
    </row>
    <row r="8415" spans="1:27" s="530" customFormat="1" hidden="1" x14ac:dyDescent="0.2">
      <c r="A8415" s="526"/>
      <c r="B8415" s="527"/>
      <c r="C8415" s="534"/>
      <c r="D8415" s="535"/>
      <c r="E8415" s="535"/>
      <c r="F8415" s="503" t="s">
        <v>253</v>
      </c>
      <c r="G8415" s="504" t="s">
        <v>254</v>
      </c>
      <c r="H8415" s="397"/>
      <c r="I8415" s="397"/>
      <c r="J8415" s="750" t="e">
        <f t="shared" si="115"/>
        <v>#DIV/0!</v>
      </c>
      <c r="K8415" s="398"/>
      <c r="L8415" s="404"/>
      <c r="M8415" s="682"/>
      <c r="N8415" s="171"/>
      <c r="O8415" s="171"/>
      <c r="P8415" s="171"/>
      <c r="Q8415" s="171"/>
      <c r="R8415" s="171"/>
      <c r="S8415" s="171"/>
      <c r="T8415" s="171"/>
      <c r="U8415" s="171"/>
      <c r="V8415" s="171"/>
      <c r="W8415" s="171"/>
      <c r="X8415" s="171"/>
      <c r="Y8415" s="171"/>
      <c r="Z8415" s="171"/>
      <c r="AA8415" s="171"/>
    </row>
    <row r="8416" spans="1:27" s="530" customFormat="1" ht="25.5" hidden="1" x14ac:dyDescent="0.2">
      <c r="A8416" s="526"/>
      <c r="B8416" s="527"/>
      <c r="C8416" s="534"/>
      <c r="D8416" s="535"/>
      <c r="E8416" s="535"/>
      <c r="F8416" s="503" t="s">
        <v>255</v>
      </c>
      <c r="G8416" s="504" t="s">
        <v>256</v>
      </c>
      <c r="H8416" s="397"/>
      <c r="I8416" s="397"/>
      <c r="J8416" s="750" t="e">
        <f t="shared" si="115"/>
        <v>#DIV/0!</v>
      </c>
      <c r="K8416" s="398"/>
      <c r="L8416" s="404"/>
      <c r="M8416" s="682"/>
      <c r="N8416" s="171"/>
      <c r="O8416" s="171"/>
      <c r="P8416" s="171"/>
      <c r="Q8416" s="171"/>
      <c r="R8416" s="171"/>
      <c r="S8416" s="171"/>
      <c r="T8416" s="171"/>
      <c r="U8416" s="171"/>
      <c r="V8416" s="171"/>
      <c r="W8416" s="171"/>
      <c r="X8416" s="171"/>
      <c r="Y8416" s="171"/>
      <c r="Z8416" s="171"/>
      <c r="AA8416" s="171"/>
    </row>
    <row r="8417" spans="1:27" s="530" customFormat="1" ht="25.5" hidden="1" x14ac:dyDescent="0.2">
      <c r="A8417" s="526"/>
      <c r="B8417" s="527"/>
      <c r="C8417" s="534"/>
      <c r="D8417" s="535"/>
      <c r="E8417" s="535"/>
      <c r="F8417" s="503" t="s">
        <v>257</v>
      </c>
      <c r="G8417" s="504" t="s">
        <v>258</v>
      </c>
      <c r="H8417" s="397"/>
      <c r="I8417" s="397"/>
      <c r="J8417" s="750" t="e">
        <f t="shared" si="115"/>
        <v>#DIV/0!</v>
      </c>
      <c r="K8417" s="398"/>
      <c r="L8417" s="404"/>
      <c r="M8417" s="682"/>
      <c r="N8417" s="171"/>
      <c r="O8417" s="171"/>
      <c r="P8417" s="171"/>
      <c r="Q8417" s="171"/>
      <c r="R8417" s="171"/>
      <c r="S8417" s="171"/>
      <c r="T8417" s="171"/>
      <c r="U8417" s="171"/>
      <c r="V8417" s="171"/>
      <c r="W8417" s="171"/>
      <c r="X8417" s="171"/>
      <c r="Y8417" s="171"/>
      <c r="Z8417" s="171"/>
      <c r="AA8417" s="171"/>
    </row>
    <row r="8418" spans="1:27" s="530" customFormat="1" ht="25.5" hidden="1" x14ac:dyDescent="0.2">
      <c r="A8418" s="526"/>
      <c r="B8418" s="527"/>
      <c r="C8418" s="534"/>
      <c r="D8418" s="535"/>
      <c r="E8418" s="535"/>
      <c r="F8418" s="503" t="s">
        <v>259</v>
      </c>
      <c r="G8418" s="504" t="s">
        <v>260</v>
      </c>
      <c r="H8418" s="397"/>
      <c r="I8418" s="397"/>
      <c r="J8418" s="750" t="e">
        <f t="shared" si="115"/>
        <v>#DIV/0!</v>
      </c>
      <c r="K8418" s="398"/>
      <c r="L8418" s="404"/>
      <c r="M8418" s="682"/>
      <c r="N8418" s="171"/>
      <c r="O8418" s="171"/>
      <c r="P8418" s="171"/>
      <c r="Q8418" s="171"/>
      <c r="R8418" s="171"/>
      <c r="S8418" s="171"/>
      <c r="T8418" s="171"/>
      <c r="U8418" s="171"/>
      <c r="V8418" s="171"/>
      <c r="W8418" s="171"/>
      <c r="X8418" s="171"/>
      <c r="Y8418" s="171"/>
      <c r="Z8418" s="171"/>
      <c r="AA8418" s="171"/>
    </row>
    <row r="8419" spans="1:27" s="530" customFormat="1" ht="25.5" hidden="1" x14ac:dyDescent="0.2">
      <c r="A8419" s="526"/>
      <c r="B8419" s="527"/>
      <c r="C8419" s="534"/>
      <c r="D8419" s="535"/>
      <c r="E8419" s="535"/>
      <c r="F8419" s="503" t="s">
        <v>261</v>
      </c>
      <c r="G8419" s="504" t="s">
        <v>262</v>
      </c>
      <c r="H8419" s="397"/>
      <c r="I8419" s="397"/>
      <c r="J8419" s="750" t="e">
        <f t="shared" si="115"/>
        <v>#DIV/0!</v>
      </c>
      <c r="K8419" s="398"/>
      <c r="L8419" s="404"/>
      <c r="M8419" s="682"/>
      <c r="N8419" s="171"/>
      <c r="O8419" s="171"/>
      <c r="P8419" s="171"/>
      <c r="Q8419" s="171"/>
      <c r="R8419" s="171"/>
      <c r="S8419" s="171"/>
      <c r="T8419" s="171"/>
      <c r="U8419" s="171"/>
      <c r="V8419" s="171"/>
      <c r="W8419" s="171"/>
      <c r="X8419" s="171"/>
      <c r="Y8419" s="171"/>
      <c r="Z8419" s="171"/>
      <c r="AA8419" s="171"/>
    </row>
    <row r="8420" spans="1:27" s="530" customFormat="1" hidden="1" x14ac:dyDescent="0.2">
      <c r="A8420" s="526"/>
      <c r="B8420" s="527"/>
      <c r="C8420" s="534"/>
      <c r="D8420" s="535"/>
      <c r="E8420" s="535"/>
      <c r="F8420" s="503" t="s">
        <v>263</v>
      </c>
      <c r="G8420" s="504" t="s">
        <v>264</v>
      </c>
      <c r="H8420" s="403"/>
      <c r="I8420" s="403"/>
      <c r="J8420" s="750" t="e">
        <f t="shared" si="115"/>
        <v>#DIV/0!</v>
      </c>
      <c r="K8420" s="404"/>
      <c r="L8420" s="404"/>
      <c r="M8420" s="682"/>
      <c r="N8420" s="171"/>
      <c r="O8420" s="171"/>
      <c r="P8420" s="171"/>
      <c r="Q8420" s="171"/>
      <c r="R8420" s="171"/>
      <c r="S8420" s="171"/>
      <c r="T8420" s="171"/>
      <c r="U8420" s="171"/>
      <c r="V8420" s="171"/>
      <c r="W8420" s="171"/>
      <c r="X8420" s="171"/>
      <c r="Y8420" s="171"/>
      <c r="Z8420" s="171"/>
      <c r="AA8420" s="171"/>
    </row>
    <row r="8421" spans="1:27" s="530" customFormat="1" ht="13.5" hidden="1" thickBot="1" x14ac:dyDescent="0.25">
      <c r="A8421" s="526"/>
      <c r="B8421" s="527"/>
      <c r="C8421" s="534"/>
      <c r="D8421" s="535"/>
      <c r="E8421" s="535"/>
      <c r="F8421" s="464"/>
      <c r="G8421" s="505" t="s">
        <v>4278</v>
      </c>
      <c r="H8421" s="405">
        <f>SUM(H8405:H8420)</f>
        <v>0</v>
      </c>
      <c r="I8421" s="405"/>
      <c r="J8421" s="750" t="e">
        <f t="shared" si="115"/>
        <v>#DIV/0!</v>
      </c>
      <c r="K8421" s="406">
        <f>SUM(K8406:K8420)</f>
        <v>0</v>
      </c>
      <c r="L8421" s="406"/>
      <c r="M8421" s="682"/>
      <c r="N8421" s="171"/>
      <c r="O8421" s="171"/>
      <c r="P8421" s="171"/>
      <c r="Q8421" s="171"/>
      <c r="R8421" s="171"/>
      <c r="S8421" s="171"/>
      <c r="T8421" s="171"/>
      <c r="U8421" s="171"/>
      <c r="V8421" s="171"/>
      <c r="W8421" s="171"/>
      <c r="X8421" s="171"/>
      <c r="Y8421" s="171"/>
      <c r="Z8421" s="171"/>
      <c r="AA8421" s="171"/>
    </row>
    <row r="8422" spans="1:27" s="530" customFormat="1" hidden="1" x14ac:dyDescent="0.2">
      <c r="A8422" s="526"/>
      <c r="B8422" s="527"/>
      <c r="C8422" s="534"/>
      <c r="D8422" s="535"/>
      <c r="E8422" s="535"/>
      <c r="F8422" s="464"/>
      <c r="G8422" s="510"/>
      <c r="H8422" s="411"/>
      <c r="I8422" s="411"/>
      <c r="J8422" s="750" t="e">
        <f t="shared" si="115"/>
        <v>#DIV/0!</v>
      </c>
      <c r="K8422" s="412"/>
      <c r="L8422" s="412"/>
      <c r="M8422" s="682"/>
      <c r="N8422" s="171"/>
      <c r="O8422" s="171"/>
      <c r="P8422" s="171"/>
      <c r="Q8422" s="171"/>
      <c r="R8422" s="171"/>
      <c r="S8422" s="171"/>
      <c r="T8422" s="171"/>
      <c r="U8422" s="171"/>
      <c r="V8422" s="171"/>
      <c r="W8422" s="171"/>
      <c r="X8422" s="171"/>
      <c r="Y8422" s="171"/>
      <c r="Z8422" s="171"/>
      <c r="AA8422" s="171"/>
    </row>
    <row r="8423" spans="1:27" hidden="1" x14ac:dyDescent="0.2">
      <c r="H8423" s="397"/>
      <c r="I8423" s="397"/>
      <c r="J8423" s="750" t="e">
        <f t="shared" si="115"/>
        <v>#DIV/0!</v>
      </c>
      <c r="K8423" s="398"/>
      <c r="L8423" s="398"/>
      <c r="M8423" s="682"/>
    </row>
    <row r="8424" spans="1:27" s="530" customFormat="1" ht="16.5" customHeight="1" x14ac:dyDescent="0.2">
      <c r="A8424" s="613"/>
      <c r="B8424" s="616">
        <v>7</v>
      </c>
      <c r="C8424" s="624"/>
      <c r="D8424" s="625"/>
      <c r="E8424" s="625"/>
      <c r="F8424" s="223"/>
      <c r="G8424" s="512" t="s">
        <v>5291</v>
      </c>
      <c r="H8424" s="442"/>
      <c r="I8424" s="442"/>
      <c r="J8424" s="751"/>
      <c r="K8424" s="417"/>
      <c r="L8424" s="448"/>
      <c r="M8424" s="682"/>
      <c r="N8424" s="171"/>
      <c r="O8424" s="171"/>
      <c r="P8424" s="171"/>
      <c r="Q8424" s="171"/>
      <c r="R8424" s="171"/>
      <c r="S8424" s="171"/>
      <c r="T8424" s="171"/>
      <c r="U8424" s="171"/>
      <c r="V8424" s="171"/>
      <c r="W8424" s="171"/>
      <c r="X8424" s="171"/>
      <c r="Y8424" s="171"/>
      <c r="Z8424" s="171"/>
      <c r="AA8424" s="171"/>
    </row>
    <row r="8425" spans="1:27" s="530" customFormat="1" hidden="1" x14ac:dyDescent="0.2">
      <c r="A8425" s="526"/>
      <c r="B8425" s="527"/>
      <c r="C8425" s="528" t="s">
        <v>3573</v>
      </c>
      <c r="D8425" s="528"/>
      <c r="E8425" s="536"/>
      <c r="F8425" s="536"/>
      <c r="G8425" s="529" t="s">
        <v>4235</v>
      </c>
      <c r="H8425" s="425"/>
      <c r="I8425" s="425"/>
      <c r="J8425" s="750"/>
      <c r="K8425" s="243"/>
      <c r="L8425" s="243"/>
      <c r="M8425" s="682"/>
      <c r="N8425" s="171"/>
      <c r="O8425" s="171"/>
      <c r="P8425" s="171"/>
      <c r="Q8425" s="171"/>
      <c r="R8425" s="171"/>
      <c r="S8425" s="171"/>
      <c r="T8425" s="171"/>
      <c r="U8425" s="171"/>
      <c r="V8425" s="171"/>
      <c r="W8425" s="171"/>
      <c r="X8425" s="171"/>
      <c r="Y8425" s="171"/>
      <c r="Z8425" s="171"/>
      <c r="AA8425" s="171"/>
    </row>
    <row r="8426" spans="1:27" ht="25.5" hidden="1" x14ac:dyDescent="0.2">
      <c r="C8426" s="489" t="s">
        <v>4095</v>
      </c>
      <c r="D8426" s="490"/>
      <c r="G8426" s="491" t="s">
        <v>4096</v>
      </c>
      <c r="H8426" s="397"/>
      <c r="I8426" s="397"/>
      <c r="J8426" s="750"/>
      <c r="K8426" s="398"/>
      <c r="L8426" s="398"/>
      <c r="M8426" s="682"/>
    </row>
    <row r="8427" spans="1:27" s="530" customFormat="1" hidden="1" x14ac:dyDescent="0.2">
      <c r="A8427" s="526"/>
      <c r="B8427" s="527"/>
      <c r="C8427" s="528"/>
      <c r="D8427" s="537">
        <v>550</v>
      </c>
      <c r="E8427" s="538"/>
      <c r="F8427" s="538"/>
      <c r="G8427" s="539" t="s">
        <v>4289</v>
      </c>
      <c r="H8427" s="425"/>
      <c r="I8427" s="425"/>
      <c r="J8427" s="750"/>
      <c r="K8427" s="243"/>
      <c r="L8427" s="243"/>
      <c r="M8427" s="682"/>
      <c r="N8427" s="171"/>
      <c r="O8427" s="171"/>
      <c r="P8427" s="171"/>
      <c r="Q8427" s="171"/>
      <c r="R8427" s="171"/>
      <c r="S8427" s="171"/>
      <c r="T8427" s="171"/>
      <c r="U8427" s="171"/>
      <c r="V8427" s="171"/>
      <c r="W8427" s="171"/>
      <c r="X8427" s="171"/>
      <c r="Y8427" s="171"/>
      <c r="Z8427" s="171"/>
      <c r="AA8427" s="171"/>
    </row>
    <row r="8428" spans="1:27" hidden="1" x14ac:dyDescent="0.2">
      <c r="F8428" s="494">
        <v>411</v>
      </c>
      <c r="G8428" s="495" t="s">
        <v>4167</v>
      </c>
      <c r="H8428" s="397"/>
      <c r="I8428" s="397"/>
      <c r="J8428" s="750"/>
      <c r="K8428" s="398"/>
      <c r="L8428" s="398"/>
      <c r="M8428" s="682"/>
    </row>
    <row r="8429" spans="1:27" hidden="1" x14ac:dyDescent="0.2">
      <c r="F8429" s="494">
        <v>412</v>
      </c>
      <c r="G8429" s="496" t="s">
        <v>3764</v>
      </c>
      <c r="H8429" s="397"/>
      <c r="I8429" s="397"/>
      <c r="J8429" s="750"/>
      <c r="K8429" s="398"/>
      <c r="L8429" s="398"/>
      <c r="M8429" s="682"/>
    </row>
    <row r="8430" spans="1:27" hidden="1" x14ac:dyDescent="0.2">
      <c r="F8430" s="494">
        <v>413</v>
      </c>
      <c r="G8430" s="495" t="s">
        <v>4168</v>
      </c>
      <c r="H8430" s="397"/>
      <c r="I8430" s="397"/>
      <c r="J8430" s="750"/>
      <c r="K8430" s="398"/>
      <c r="L8430" s="398"/>
      <c r="M8430" s="682"/>
    </row>
    <row r="8431" spans="1:27" hidden="1" x14ac:dyDescent="0.2">
      <c r="F8431" s="494">
        <v>414</v>
      </c>
      <c r="G8431" s="495" t="s">
        <v>3767</v>
      </c>
      <c r="H8431" s="397"/>
      <c r="I8431" s="397"/>
      <c r="J8431" s="750"/>
      <c r="K8431" s="398"/>
      <c r="L8431" s="398"/>
      <c r="M8431" s="682"/>
    </row>
    <row r="8432" spans="1:27" hidden="1" x14ac:dyDescent="0.2">
      <c r="F8432" s="494">
        <v>415</v>
      </c>
      <c r="G8432" s="495" t="s">
        <v>4177</v>
      </c>
      <c r="H8432" s="397"/>
      <c r="I8432" s="397"/>
      <c r="J8432" s="750"/>
      <c r="K8432" s="398"/>
      <c r="L8432" s="398"/>
      <c r="M8432" s="682"/>
    </row>
    <row r="8433" spans="6:13" ht="25.5" hidden="1" x14ac:dyDescent="0.2">
      <c r="F8433" s="494">
        <v>416</v>
      </c>
      <c r="G8433" s="495" t="s">
        <v>4178</v>
      </c>
      <c r="H8433" s="397"/>
      <c r="I8433" s="397"/>
      <c r="J8433" s="750"/>
      <c r="K8433" s="398"/>
      <c r="L8433" s="398"/>
      <c r="M8433" s="682"/>
    </row>
    <row r="8434" spans="6:13" hidden="1" x14ac:dyDescent="0.2">
      <c r="F8434" s="494">
        <v>417</v>
      </c>
      <c r="G8434" s="495" t="s">
        <v>4179</v>
      </c>
      <c r="H8434" s="397"/>
      <c r="I8434" s="397"/>
      <c r="J8434" s="750"/>
      <c r="K8434" s="398"/>
      <c r="L8434" s="398"/>
      <c r="M8434" s="682"/>
    </row>
    <row r="8435" spans="6:13" hidden="1" x14ac:dyDescent="0.2">
      <c r="F8435" s="494">
        <v>418</v>
      </c>
      <c r="G8435" s="495" t="s">
        <v>3773</v>
      </c>
      <c r="H8435" s="397"/>
      <c r="I8435" s="397"/>
      <c r="J8435" s="750"/>
      <c r="K8435" s="398"/>
      <c r="L8435" s="398"/>
      <c r="M8435" s="682"/>
    </row>
    <row r="8436" spans="6:13" hidden="1" x14ac:dyDescent="0.2">
      <c r="F8436" s="494">
        <v>421</v>
      </c>
      <c r="G8436" s="495" t="s">
        <v>3777</v>
      </c>
      <c r="H8436" s="397"/>
      <c r="I8436" s="397"/>
      <c r="J8436" s="750"/>
      <c r="K8436" s="398"/>
      <c r="L8436" s="398"/>
      <c r="M8436" s="682"/>
    </row>
    <row r="8437" spans="6:13" hidden="1" x14ac:dyDescent="0.2">
      <c r="F8437" s="494">
        <v>422</v>
      </c>
      <c r="G8437" s="495" t="s">
        <v>3778</v>
      </c>
      <c r="H8437" s="397"/>
      <c r="I8437" s="397"/>
      <c r="J8437" s="750"/>
      <c r="K8437" s="398"/>
      <c r="L8437" s="398"/>
      <c r="M8437" s="682"/>
    </row>
    <row r="8438" spans="6:13" hidden="1" x14ac:dyDescent="0.2">
      <c r="F8438" s="494">
        <v>423</v>
      </c>
      <c r="G8438" s="495" t="s">
        <v>3779</v>
      </c>
      <c r="H8438" s="397"/>
      <c r="I8438" s="397"/>
      <c r="J8438" s="750"/>
      <c r="K8438" s="398"/>
      <c r="L8438" s="398"/>
      <c r="M8438" s="682"/>
    </row>
    <row r="8439" spans="6:13" hidden="1" x14ac:dyDescent="0.2">
      <c r="F8439" s="494">
        <v>424</v>
      </c>
      <c r="G8439" s="495" t="s">
        <v>3781</v>
      </c>
      <c r="H8439" s="397"/>
      <c r="I8439" s="397"/>
      <c r="J8439" s="750"/>
      <c r="K8439" s="398"/>
      <c r="L8439" s="398"/>
      <c r="M8439" s="682"/>
    </row>
    <row r="8440" spans="6:13" hidden="1" x14ac:dyDescent="0.2">
      <c r="F8440" s="494">
        <v>425</v>
      </c>
      <c r="G8440" s="495" t="s">
        <v>4180</v>
      </c>
      <c r="H8440" s="397"/>
      <c r="I8440" s="397"/>
      <c r="J8440" s="750"/>
      <c r="K8440" s="398"/>
      <c r="L8440" s="398"/>
      <c r="M8440" s="682"/>
    </row>
    <row r="8441" spans="6:13" hidden="1" x14ac:dyDescent="0.2">
      <c r="F8441" s="494">
        <v>426</v>
      </c>
      <c r="G8441" s="495" t="s">
        <v>3785</v>
      </c>
      <c r="H8441" s="397"/>
      <c r="I8441" s="397"/>
      <c r="J8441" s="750"/>
      <c r="K8441" s="398"/>
      <c r="L8441" s="398"/>
      <c r="M8441" s="682"/>
    </row>
    <row r="8442" spans="6:13" hidden="1" x14ac:dyDescent="0.2">
      <c r="F8442" s="494">
        <v>431</v>
      </c>
      <c r="G8442" s="495" t="s">
        <v>4181</v>
      </c>
      <c r="H8442" s="397"/>
      <c r="I8442" s="397"/>
      <c r="J8442" s="750"/>
      <c r="K8442" s="398"/>
      <c r="L8442" s="398"/>
      <c r="M8442" s="682"/>
    </row>
    <row r="8443" spans="6:13" hidden="1" x14ac:dyDescent="0.2">
      <c r="F8443" s="494">
        <v>432</v>
      </c>
      <c r="G8443" s="495" t="s">
        <v>4182</v>
      </c>
      <c r="H8443" s="397"/>
      <c r="I8443" s="397"/>
      <c r="J8443" s="750"/>
      <c r="K8443" s="398"/>
      <c r="L8443" s="398"/>
      <c r="M8443" s="682"/>
    </row>
    <row r="8444" spans="6:13" hidden="1" x14ac:dyDescent="0.2">
      <c r="F8444" s="494">
        <v>433</v>
      </c>
      <c r="G8444" s="495" t="s">
        <v>4183</v>
      </c>
      <c r="H8444" s="397"/>
      <c r="I8444" s="397"/>
      <c r="J8444" s="750"/>
      <c r="K8444" s="398"/>
      <c r="L8444" s="398"/>
      <c r="M8444" s="682"/>
    </row>
    <row r="8445" spans="6:13" hidden="1" x14ac:dyDescent="0.2">
      <c r="F8445" s="494">
        <v>434</v>
      </c>
      <c r="G8445" s="495" t="s">
        <v>4184</v>
      </c>
      <c r="H8445" s="397"/>
      <c r="I8445" s="397"/>
      <c r="J8445" s="750"/>
      <c r="K8445" s="398"/>
      <c r="L8445" s="398"/>
      <c r="M8445" s="682"/>
    </row>
    <row r="8446" spans="6:13" hidden="1" x14ac:dyDescent="0.2">
      <c r="F8446" s="494">
        <v>435</v>
      </c>
      <c r="G8446" s="495" t="s">
        <v>3792</v>
      </c>
      <c r="H8446" s="397"/>
      <c r="I8446" s="397"/>
      <c r="J8446" s="750"/>
      <c r="K8446" s="398"/>
      <c r="L8446" s="398"/>
      <c r="M8446" s="682"/>
    </row>
    <row r="8447" spans="6:13" hidden="1" x14ac:dyDescent="0.2">
      <c r="F8447" s="494">
        <v>441</v>
      </c>
      <c r="G8447" s="495" t="s">
        <v>4185</v>
      </c>
      <c r="H8447" s="397"/>
      <c r="I8447" s="397"/>
      <c r="J8447" s="750"/>
      <c r="K8447" s="398"/>
      <c r="L8447" s="398"/>
      <c r="M8447" s="682"/>
    </row>
    <row r="8448" spans="6:13" hidden="1" x14ac:dyDescent="0.2">
      <c r="F8448" s="494">
        <v>442</v>
      </c>
      <c r="G8448" s="495" t="s">
        <v>4186</v>
      </c>
      <c r="H8448" s="397"/>
      <c r="I8448" s="397"/>
      <c r="J8448" s="750"/>
      <c r="K8448" s="398"/>
      <c r="L8448" s="398"/>
      <c r="M8448" s="682"/>
    </row>
    <row r="8449" spans="6:13" hidden="1" x14ac:dyDescent="0.2">
      <c r="F8449" s="494">
        <v>443</v>
      </c>
      <c r="G8449" s="495" t="s">
        <v>3797</v>
      </c>
      <c r="H8449" s="397"/>
      <c r="I8449" s="397"/>
      <c r="J8449" s="750"/>
      <c r="K8449" s="398"/>
      <c r="L8449" s="398"/>
      <c r="M8449" s="682"/>
    </row>
    <row r="8450" spans="6:13" hidden="1" x14ac:dyDescent="0.2">
      <c r="F8450" s="494">
        <v>444</v>
      </c>
      <c r="G8450" s="495" t="s">
        <v>3798</v>
      </c>
      <c r="H8450" s="397"/>
      <c r="I8450" s="397"/>
      <c r="J8450" s="750"/>
      <c r="K8450" s="398"/>
      <c r="L8450" s="398"/>
      <c r="M8450" s="682"/>
    </row>
    <row r="8451" spans="6:13" ht="25.5" hidden="1" x14ac:dyDescent="0.2">
      <c r="F8451" s="494">
        <v>4511</v>
      </c>
      <c r="G8451" s="466" t="s">
        <v>1692</v>
      </c>
      <c r="H8451" s="397"/>
      <c r="I8451" s="397"/>
      <c r="J8451" s="750"/>
      <c r="K8451" s="398"/>
      <c r="L8451" s="398"/>
      <c r="M8451" s="682"/>
    </row>
    <row r="8452" spans="6:13" ht="19.5" hidden="1" customHeight="1" x14ac:dyDescent="0.2">
      <c r="F8452" s="494">
        <v>4512</v>
      </c>
      <c r="G8452" s="466" t="s">
        <v>1701</v>
      </c>
      <c r="H8452" s="397"/>
      <c r="I8452" s="397"/>
      <c r="J8452" s="750"/>
      <c r="K8452" s="398"/>
      <c r="L8452" s="398"/>
      <c r="M8452" s="682"/>
    </row>
    <row r="8453" spans="6:13" ht="25.5" hidden="1" x14ac:dyDescent="0.2">
      <c r="F8453" s="494">
        <v>452</v>
      </c>
      <c r="G8453" s="495" t="s">
        <v>4187</v>
      </c>
      <c r="H8453" s="397"/>
      <c r="I8453" s="397"/>
      <c r="J8453" s="750"/>
      <c r="K8453" s="398"/>
      <c r="L8453" s="398"/>
      <c r="M8453" s="682"/>
    </row>
    <row r="8454" spans="6:13" ht="25.5" hidden="1" x14ac:dyDescent="0.2">
      <c r="F8454" s="494">
        <v>453</v>
      </c>
      <c r="G8454" s="495" t="s">
        <v>4188</v>
      </c>
      <c r="H8454" s="397"/>
      <c r="I8454" s="397"/>
      <c r="J8454" s="750"/>
      <c r="K8454" s="398"/>
      <c r="L8454" s="398"/>
      <c r="M8454" s="682"/>
    </row>
    <row r="8455" spans="6:13" hidden="1" x14ac:dyDescent="0.2">
      <c r="F8455" s="494">
        <v>454</v>
      </c>
      <c r="G8455" s="495" t="s">
        <v>3803</v>
      </c>
      <c r="H8455" s="397"/>
      <c r="I8455" s="397"/>
      <c r="J8455" s="750"/>
      <c r="K8455" s="398"/>
      <c r="L8455" s="398"/>
      <c r="M8455" s="682"/>
    </row>
    <row r="8456" spans="6:13" hidden="1" x14ac:dyDescent="0.2">
      <c r="F8456" s="494">
        <v>461</v>
      </c>
      <c r="G8456" s="495" t="s">
        <v>4169</v>
      </c>
      <c r="H8456" s="397"/>
      <c r="I8456" s="397"/>
      <c r="J8456" s="750"/>
      <c r="K8456" s="398"/>
      <c r="L8456" s="398"/>
      <c r="M8456" s="682"/>
    </row>
    <row r="8457" spans="6:13" ht="25.5" hidden="1" x14ac:dyDescent="0.2">
      <c r="F8457" s="494">
        <v>462</v>
      </c>
      <c r="G8457" s="495" t="s">
        <v>3806</v>
      </c>
      <c r="H8457" s="397"/>
      <c r="I8457" s="397"/>
      <c r="J8457" s="750"/>
      <c r="K8457" s="398"/>
      <c r="L8457" s="398"/>
      <c r="M8457" s="682"/>
    </row>
    <row r="8458" spans="6:13" hidden="1" x14ac:dyDescent="0.2">
      <c r="F8458" s="494">
        <v>4631</v>
      </c>
      <c r="G8458" s="495" t="s">
        <v>3807</v>
      </c>
      <c r="H8458" s="397"/>
      <c r="I8458" s="397"/>
      <c r="J8458" s="750"/>
      <c r="K8458" s="398"/>
      <c r="L8458" s="398"/>
      <c r="M8458" s="682"/>
    </row>
    <row r="8459" spans="6:13" hidden="1" x14ac:dyDescent="0.2">
      <c r="F8459" s="494">
        <v>4632</v>
      </c>
      <c r="G8459" s="495" t="s">
        <v>3808</v>
      </c>
      <c r="H8459" s="397"/>
      <c r="I8459" s="397"/>
      <c r="J8459" s="750"/>
      <c r="K8459" s="398"/>
      <c r="L8459" s="398"/>
      <c r="M8459" s="682"/>
    </row>
    <row r="8460" spans="6:13" ht="25.5" hidden="1" x14ac:dyDescent="0.2">
      <c r="F8460" s="494">
        <v>464</v>
      </c>
      <c r="G8460" s="495" t="s">
        <v>3809</v>
      </c>
      <c r="H8460" s="397"/>
      <c r="I8460" s="397"/>
      <c r="J8460" s="750"/>
      <c r="K8460" s="398"/>
      <c r="L8460" s="398"/>
      <c r="M8460" s="682"/>
    </row>
    <row r="8461" spans="6:13" hidden="1" x14ac:dyDescent="0.2">
      <c r="F8461" s="494">
        <v>465</v>
      </c>
      <c r="G8461" s="495" t="s">
        <v>4170</v>
      </c>
      <c r="H8461" s="397"/>
      <c r="I8461" s="397"/>
      <c r="J8461" s="750"/>
      <c r="K8461" s="398"/>
      <c r="L8461" s="398"/>
      <c r="M8461" s="682"/>
    </row>
    <row r="8462" spans="6:13" hidden="1" x14ac:dyDescent="0.2">
      <c r="F8462" s="494">
        <v>472</v>
      </c>
      <c r="G8462" s="495" t="s">
        <v>3813</v>
      </c>
      <c r="H8462" s="397"/>
      <c r="I8462" s="397"/>
      <c r="J8462" s="750"/>
      <c r="K8462" s="398"/>
      <c r="L8462" s="398"/>
      <c r="M8462" s="682"/>
    </row>
    <row r="8463" spans="6:13" hidden="1" x14ac:dyDescent="0.2">
      <c r="F8463" s="494">
        <v>481</v>
      </c>
      <c r="G8463" s="495" t="s">
        <v>4189</v>
      </c>
      <c r="H8463" s="397"/>
      <c r="I8463" s="397"/>
      <c r="J8463" s="750"/>
      <c r="K8463" s="398"/>
      <c r="L8463" s="398"/>
      <c r="M8463" s="682"/>
    </row>
    <row r="8464" spans="6:13" hidden="1" x14ac:dyDescent="0.2">
      <c r="F8464" s="494">
        <v>482</v>
      </c>
      <c r="G8464" s="495" t="s">
        <v>4190</v>
      </c>
      <c r="H8464" s="397"/>
      <c r="I8464" s="397"/>
      <c r="J8464" s="750"/>
      <c r="K8464" s="398"/>
      <c r="L8464" s="398"/>
      <c r="M8464" s="682"/>
    </row>
    <row r="8465" spans="6:13" hidden="1" x14ac:dyDescent="0.2">
      <c r="F8465" s="494">
        <v>483</v>
      </c>
      <c r="G8465" s="497" t="s">
        <v>4191</v>
      </c>
      <c r="H8465" s="397"/>
      <c r="I8465" s="397"/>
      <c r="J8465" s="750"/>
      <c r="K8465" s="398"/>
      <c r="L8465" s="398"/>
      <c r="M8465" s="682"/>
    </row>
    <row r="8466" spans="6:13" ht="38.25" hidden="1" x14ac:dyDescent="0.2">
      <c r="F8466" s="494">
        <v>484</v>
      </c>
      <c r="G8466" s="495" t="s">
        <v>4192</v>
      </c>
      <c r="H8466" s="397"/>
      <c r="I8466" s="397"/>
      <c r="J8466" s="750"/>
      <c r="K8466" s="398"/>
      <c r="L8466" s="398"/>
      <c r="M8466" s="682"/>
    </row>
    <row r="8467" spans="6:13" ht="25.5" hidden="1" x14ac:dyDescent="0.2">
      <c r="F8467" s="494">
        <v>485</v>
      </c>
      <c r="G8467" s="495" t="s">
        <v>4193</v>
      </c>
      <c r="H8467" s="397"/>
      <c r="I8467" s="397"/>
      <c r="J8467" s="750"/>
      <c r="K8467" s="398"/>
      <c r="L8467" s="398"/>
      <c r="M8467" s="682"/>
    </row>
    <row r="8468" spans="6:13" ht="25.5" hidden="1" x14ac:dyDescent="0.2">
      <c r="F8468" s="494">
        <v>489</v>
      </c>
      <c r="G8468" s="495" t="s">
        <v>3821</v>
      </c>
      <c r="H8468" s="397"/>
      <c r="I8468" s="397"/>
      <c r="J8468" s="750"/>
      <c r="K8468" s="398"/>
      <c r="L8468" s="398"/>
      <c r="M8468" s="682"/>
    </row>
    <row r="8469" spans="6:13" ht="25.5" hidden="1" x14ac:dyDescent="0.2">
      <c r="F8469" s="494">
        <v>494</v>
      </c>
      <c r="G8469" s="495" t="s">
        <v>4171</v>
      </c>
      <c r="H8469" s="397"/>
      <c r="I8469" s="397"/>
      <c r="J8469" s="750"/>
      <c r="K8469" s="398"/>
      <c r="L8469" s="398"/>
      <c r="M8469" s="682"/>
    </row>
    <row r="8470" spans="6:13" ht="25.5" hidden="1" x14ac:dyDescent="0.2">
      <c r="F8470" s="494">
        <v>495</v>
      </c>
      <c r="G8470" s="495" t="s">
        <v>4172</v>
      </c>
      <c r="H8470" s="397"/>
      <c r="I8470" s="397"/>
      <c r="J8470" s="750"/>
      <c r="K8470" s="398"/>
      <c r="L8470" s="398"/>
      <c r="M8470" s="682"/>
    </row>
    <row r="8471" spans="6:13" ht="38.25" hidden="1" x14ac:dyDescent="0.2">
      <c r="F8471" s="494">
        <v>496</v>
      </c>
      <c r="G8471" s="495" t="s">
        <v>4173</v>
      </c>
      <c r="H8471" s="397"/>
      <c r="I8471" s="397"/>
      <c r="J8471" s="750"/>
      <c r="K8471" s="398"/>
      <c r="L8471" s="398"/>
      <c r="M8471" s="682"/>
    </row>
    <row r="8472" spans="6:13" ht="25.5" hidden="1" x14ac:dyDescent="0.2">
      <c r="F8472" s="494">
        <v>499</v>
      </c>
      <c r="G8472" s="495" t="s">
        <v>4174</v>
      </c>
      <c r="H8472" s="397"/>
      <c r="I8472" s="397"/>
      <c r="J8472" s="750"/>
      <c r="K8472" s="398"/>
      <c r="L8472" s="398"/>
      <c r="M8472" s="682"/>
    </row>
    <row r="8473" spans="6:13" hidden="1" x14ac:dyDescent="0.2">
      <c r="F8473" s="494">
        <v>511</v>
      </c>
      <c r="G8473" s="497" t="s">
        <v>4194</v>
      </c>
      <c r="H8473" s="397"/>
      <c r="I8473" s="397"/>
      <c r="J8473" s="750"/>
      <c r="K8473" s="398"/>
      <c r="L8473" s="398"/>
      <c r="M8473" s="682"/>
    </row>
    <row r="8474" spans="6:13" hidden="1" x14ac:dyDescent="0.2">
      <c r="F8474" s="494">
        <v>512</v>
      </c>
      <c r="G8474" s="497" t="s">
        <v>4195</v>
      </c>
      <c r="H8474" s="397"/>
      <c r="I8474" s="397"/>
      <c r="J8474" s="750"/>
      <c r="K8474" s="398"/>
      <c r="L8474" s="398"/>
      <c r="M8474" s="682"/>
    </row>
    <row r="8475" spans="6:13" hidden="1" x14ac:dyDescent="0.2">
      <c r="F8475" s="494">
        <v>513</v>
      </c>
      <c r="G8475" s="497" t="s">
        <v>4196</v>
      </c>
      <c r="H8475" s="397"/>
      <c r="I8475" s="397"/>
      <c r="J8475" s="750"/>
      <c r="K8475" s="398"/>
      <c r="L8475" s="398"/>
      <c r="M8475" s="682"/>
    </row>
    <row r="8476" spans="6:13" hidden="1" x14ac:dyDescent="0.2">
      <c r="F8476" s="494">
        <v>514</v>
      </c>
      <c r="G8476" s="495" t="s">
        <v>4197</v>
      </c>
      <c r="H8476" s="397"/>
      <c r="I8476" s="397"/>
      <c r="J8476" s="750"/>
      <c r="K8476" s="398"/>
      <c r="L8476" s="398"/>
      <c r="M8476" s="682"/>
    </row>
    <row r="8477" spans="6:13" hidden="1" x14ac:dyDescent="0.2">
      <c r="F8477" s="494">
        <v>515</v>
      </c>
      <c r="G8477" s="495" t="s">
        <v>3832</v>
      </c>
      <c r="H8477" s="397"/>
      <c r="I8477" s="397"/>
      <c r="J8477" s="750"/>
      <c r="K8477" s="398"/>
      <c r="L8477" s="398"/>
      <c r="M8477" s="682"/>
    </row>
    <row r="8478" spans="6:13" hidden="1" x14ac:dyDescent="0.2">
      <c r="F8478" s="494">
        <v>521</v>
      </c>
      <c r="G8478" s="495" t="s">
        <v>4198</v>
      </c>
      <c r="H8478" s="397"/>
      <c r="I8478" s="397"/>
      <c r="J8478" s="750"/>
      <c r="K8478" s="398"/>
      <c r="L8478" s="398"/>
      <c r="M8478" s="682"/>
    </row>
    <row r="8479" spans="6:13" hidden="1" x14ac:dyDescent="0.2">
      <c r="F8479" s="494">
        <v>522</v>
      </c>
      <c r="G8479" s="495" t="s">
        <v>4199</v>
      </c>
      <c r="H8479" s="397"/>
      <c r="I8479" s="397"/>
      <c r="J8479" s="750"/>
      <c r="K8479" s="398"/>
      <c r="L8479" s="398"/>
      <c r="M8479" s="682"/>
    </row>
    <row r="8480" spans="6:13" hidden="1" x14ac:dyDescent="0.2">
      <c r="F8480" s="494">
        <v>523</v>
      </c>
      <c r="G8480" s="495" t="s">
        <v>3837</v>
      </c>
      <c r="H8480" s="397"/>
      <c r="I8480" s="397"/>
      <c r="J8480" s="750"/>
      <c r="K8480" s="398"/>
      <c r="L8480" s="398"/>
      <c r="M8480" s="682"/>
    </row>
    <row r="8481" spans="5:13" hidden="1" x14ac:dyDescent="0.2">
      <c r="F8481" s="494">
        <v>531</v>
      </c>
      <c r="G8481" s="496" t="s">
        <v>4175</v>
      </c>
      <c r="H8481" s="397"/>
      <c r="I8481" s="397"/>
      <c r="J8481" s="750"/>
      <c r="K8481" s="398"/>
      <c r="L8481" s="398"/>
      <c r="M8481" s="682"/>
    </row>
    <row r="8482" spans="5:13" hidden="1" x14ac:dyDescent="0.2">
      <c r="F8482" s="494">
        <v>541</v>
      </c>
      <c r="G8482" s="495" t="s">
        <v>4200</v>
      </c>
      <c r="H8482" s="397"/>
      <c r="I8482" s="397"/>
      <c r="J8482" s="750"/>
      <c r="K8482" s="398"/>
      <c r="L8482" s="398"/>
      <c r="M8482" s="682"/>
    </row>
    <row r="8483" spans="5:13" hidden="1" x14ac:dyDescent="0.2">
      <c r="F8483" s="494">
        <v>542</v>
      </c>
      <c r="G8483" s="495" t="s">
        <v>4201</v>
      </c>
      <c r="H8483" s="397"/>
      <c r="I8483" s="397"/>
      <c r="J8483" s="750"/>
      <c r="K8483" s="398"/>
      <c r="L8483" s="398"/>
      <c r="M8483" s="682"/>
    </row>
    <row r="8484" spans="5:13" hidden="1" x14ac:dyDescent="0.2">
      <c r="F8484" s="494">
        <v>543</v>
      </c>
      <c r="G8484" s="495" t="s">
        <v>3842</v>
      </c>
      <c r="H8484" s="397"/>
      <c r="I8484" s="397"/>
      <c r="J8484" s="750"/>
      <c r="K8484" s="398"/>
      <c r="L8484" s="398"/>
      <c r="M8484" s="682"/>
    </row>
    <row r="8485" spans="5:13" ht="38.25" hidden="1" x14ac:dyDescent="0.2">
      <c r="F8485" s="494">
        <v>551</v>
      </c>
      <c r="G8485" s="495" t="s">
        <v>4176</v>
      </c>
      <c r="H8485" s="397"/>
      <c r="I8485" s="397"/>
      <c r="J8485" s="750"/>
      <c r="K8485" s="398"/>
      <c r="L8485" s="398"/>
      <c r="M8485" s="682"/>
    </row>
    <row r="8486" spans="5:13" hidden="1" x14ac:dyDescent="0.2">
      <c r="F8486" s="498">
        <v>611</v>
      </c>
      <c r="G8486" s="499" t="s">
        <v>3848</v>
      </c>
      <c r="H8486" s="397"/>
      <c r="I8486" s="397"/>
      <c r="J8486" s="750"/>
      <c r="K8486" s="398"/>
      <c r="L8486" s="398"/>
      <c r="M8486" s="682"/>
    </row>
    <row r="8487" spans="5:13" ht="14.25" hidden="1" customHeight="1" thickBot="1" x14ac:dyDescent="0.25">
      <c r="F8487" s="498">
        <v>620</v>
      </c>
      <c r="G8487" s="499" t="s">
        <v>88</v>
      </c>
      <c r="H8487" s="397"/>
      <c r="I8487" s="397"/>
      <c r="J8487" s="750"/>
      <c r="K8487" s="398"/>
      <c r="L8487" s="398"/>
      <c r="M8487" s="682"/>
    </row>
    <row r="8488" spans="5:13" hidden="1" x14ac:dyDescent="0.2">
      <c r="E8488" s="500"/>
      <c r="F8488" s="498"/>
      <c r="G8488" s="509" t="s">
        <v>4468</v>
      </c>
      <c r="H8488" s="400"/>
      <c r="I8488" s="400"/>
      <c r="J8488" s="750"/>
      <c r="K8488" s="401"/>
      <c r="L8488" s="402"/>
      <c r="M8488" s="682"/>
    </row>
    <row r="8489" spans="5:13" hidden="1" x14ac:dyDescent="0.2">
      <c r="E8489" s="502"/>
      <c r="F8489" s="503" t="s">
        <v>234</v>
      </c>
      <c r="G8489" s="504" t="s">
        <v>235</v>
      </c>
      <c r="H8489" s="403">
        <f>SUM(H8428:H8487)</f>
        <v>0</v>
      </c>
      <c r="I8489" s="403"/>
      <c r="J8489" s="750"/>
      <c r="K8489" s="404"/>
      <c r="L8489" s="404"/>
      <c r="M8489" s="682"/>
    </row>
    <row r="8490" spans="5:13" hidden="1" x14ac:dyDescent="0.2">
      <c r="F8490" s="503" t="s">
        <v>236</v>
      </c>
      <c r="G8490" s="504" t="s">
        <v>237</v>
      </c>
      <c r="H8490" s="397"/>
      <c r="I8490" s="397"/>
      <c r="J8490" s="750"/>
      <c r="K8490" s="398"/>
      <c r="L8490" s="404"/>
      <c r="M8490" s="682"/>
    </row>
    <row r="8491" spans="5:13" hidden="1" x14ac:dyDescent="0.2">
      <c r="F8491" s="503" t="s">
        <v>238</v>
      </c>
      <c r="G8491" s="504" t="s">
        <v>239</v>
      </c>
      <c r="H8491" s="397"/>
      <c r="I8491" s="397"/>
      <c r="J8491" s="750"/>
      <c r="K8491" s="398"/>
      <c r="L8491" s="404"/>
      <c r="M8491" s="682"/>
    </row>
    <row r="8492" spans="5:13" hidden="1" x14ac:dyDescent="0.2">
      <c r="F8492" s="503" t="s">
        <v>240</v>
      </c>
      <c r="G8492" s="504" t="s">
        <v>241</v>
      </c>
      <c r="H8492" s="397"/>
      <c r="I8492" s="397"/>
      <c r="J8492" s="750"/>
      <c r="K8492" s="398"/>
      <c r="L8492" s="404"/>
      <c r="M8492" s="682"/>
    </row>
    <row r="8493" spans="5:13" hidden="1" x14ac:dyDescent="0.2">
      <c r="F8493" s="503" t="s">
        <v>242</v>
      </c>
      <c r="G8493" s="504" t="s">
        <v>243</v>
      </c>
      <c r="H8493" s="397"/>
      <c r="I8493" s="397"/>
      <c r="J8493" s="750"/>
      <c r="K8493" s="398"/>
      <c r="L8493" s="404"/>
      <c r="M8493" s="682"/>
    </row>
    <row r="8494" spans="5:13" hidden="1" x14ac:dyDescent="0.2">
      <c r="F8494" s="503" t="s">
        <v>244</v>
      </c>
      <c r="G8494" s="504" t="s">
        <v>245</v>
      </c>
      <c r="H8494" s="397"/>
      <c r="I8494" s="397"/>
      <c r="J8494" s="750"/>
      <c r="K8494" s="398"/>
      <c r="L8494" s="404"/>
      <c r="M8494" s="682"/>
    </row>
    <row r="8495" spans="5:13" hidden="1" x14ac:dyDescent="0.2">
      <c r="F8495" s="503" t="s">
        <v>246</v>
      </c>
      <c r="G8495" s="504" t="s">
        <v>247</v>
      </c>
      <c r="H8495" s="397"/>
      <c r="I8495" s="397"/>
      <c r="J8495" s="750"/>
      <c r="K8495" s="398"/>
      <c r="L8495" s="404"/>
      <c r="M8495" s="682"/>
    </row>
    <row r="8496" spans="5:13" ht="25.5" hidden="1" x14ac:dyDescent="0.2">
      <c r="F8496" s="503" t="s">
        <v>248</v>
      </c>
      <c r="G8496" s="504" t="s">
        <v>249</v>
      </c>
      <c r="H8496" s="397"/>
      <c r="I8496" s="397"/>
      <c r="J8496" s="750"/>
      <c r="K8496" s="398"/>
      <c r="L8496" s="404"/>
      <c r="M8496" s="682"/>
    </row>
    <row r="8497" spans="5:13" hidden="1" x14ac:dyDescent="0.2">
      <c r="F8497" s="503" t="s">
        <v>250</v>
      </c>
      <c r="G8497" s="504" t="s">
        <v>57</v>
      </c>
      <c r="H8497" s="397"/>
      <c r="I8497" s="397"/>
      <c r="J8497" s="750"/>
      <c r="K8497" s="398"/>
      <c r="L8497" s="404"/>
      <c r="M8497" s="682"/>
    </row>
    <row r="8498" spans="5:13" hidden="1" x14ac:dyDescent="0.2">
      <c r="F8498" s="503" t="s">
        <v>251</v>
      </c>
      <c r="G8498" s="504" t="s">
        <v>252</v>
      </c>
      <c r="H8498" s="397"/>
      <c r="I8498" s="397"/>
      <c r="J8498" s="750"/>
      <c r="K8498" s="398"/>
      <c r="L8498" s="404"/>
      <c r="M8498" s="682"/>
    </row>
    <row r="8499" spans="5:13" hidden="1" x14ac:dyDescent="0.2">
      <c r="F8499" s="503" t="s">
        <v>253</v>
      </c>
      <c r="G8499" s="504" t="s">
        <v>254</v>
      </c>
      <c r="H8499" s="397"/>
      <c r="I8499" s="397"/>
      <c r="J8499" s="750"/>
      <c r="K8499" s="398"/>
      <c r="L8499" s="404"/>
      <c r="M8499" s="682"/>
    </row>
    <row r="8500" spans="5:13" ht="25.5" hidden="1" x14ac:dyDescent="0.2">
      <c r="F8500" s="503" t="s">
        <v>255</v>
      </c>
      <c r="G8500" s="504" t="s">
        <v>256</v>
      </c>
      <c r="H8500" s="397"/>
      <c r="I8500" s="397"/>
      <c r="J8500" s="750"/>
      <c r="K8500" s="398"/>
      <c r="L8500" s="404"/>
      <c r="M8500" s="682"/>
    </row>
    <row r="8501" spans="5:13" ht="25.5" hidden="1" x14ac:dyDescent="0.2">
      <c r="F8501" s="503" t="s">
        <v>257</v>
      </c>
      <c r="G8501" s="504" t="s">
        <v>258</v>
      </c>
      <c r="H8501" s="397"/>
      <c r="I8501" s="397"/>
      <c r="J8501" s="750"/>
      <c r="K8501" s="398"/>
      <c r="L8501" s="404"/>
      <c r="M8501" s="682"/>
    </row>
    <row r="8502" spans="5:13" ht="25.5" hidden="1" x14ac:dyDescent="0.2">
      <c r="F8502" s="503" t="s">
        <v>259</v>
      </c>
      <c r="G8502" s="504" t="s">
        <v>260</v>
      </c>
      <c r="H8502" s="397"/>
      <c r="I8502" s="397"/>
      <c r="J8502" s="750"/>
      <c r="K8502" s="398"/>
      <c r="L8502" s="404"/>
      <c r="M8502" s="682"/>
    </row>
    <row r="8503" spans="5:13" ht="25.5" hidden="1" x14ac:dyDescent="0.2">
      <c r="F8503" s="503" t="s">
        <v>261</v>
      </c>
      <c r="G8503" s="504" t="s">
        <v>262</v>
      </c>
      <c r="H8503" s="397"/>
      <c r="I8503" s="397"/>
      <c r="J8503" s="750"/>
      <c r="K8503" s="398"/>
      <c r="L8503" s="404"/>
      <c r="M8503" s="682"/>
    </row>
    <row r="8504" spans="5:13" hidden="1" x14ac:dyDescent="0.2">
      <c r="F8504" s="503" t="s">
        <v>263</v>
      </c>
      <c r="G8504" s="504" t="s">
        <v>264</v>
      </c>
      <c r="H8504" s="403"/>
      <c r="I8504" s="403"/>
      <c r="J8504" s="750"/>
      <c r="K8504" s="404"/>
      <c r="L8504" s="404"/>
      <c r="M8504" s="682"/>
    </row>
    <row r="8505" spans="5:13" ht="13.5" hidden="1" thickBot="1" x14ac:dyDescent="0.25">
      <c r="G8505" s="505" t="s">
        <v>4469</v>
      </c>
      <c r="H8505" s="405">
        <f>SUM(H8489:H8504)</f>
        <v>0</v>
      </c>
      <c r="I8505" s="405"/>
      <c r="J8505" s="750"/>
      <c r="K8505" s="406">
        <f>SUM(K8490:K8504)</f>
        <v>0</v>
      </c>
      <c r="L8505" s="406"/>
      <c r="M8505" s="682"/>
    </row>
    <row r="8506" spans="5:13" ht="25.5" hidden="1" collapsed="1" x14ac:dyDescent="0.2">
      <c r="E8506" s="500"/>
      <c r="F8506" s="498"/>
      <c r="G8506" s="506" t="s">
        <v>4237</v>
      </c>
      <c r="H8506" s="407"/>
      <c r="I8506" s="408"/>
      <c r="J8506" s="750"/>
      <c r="K8506" s="409"/>
      <c r="L8506" s="410"/>
      <c r="M8506" s="682"/>
    </row>
    <row r="8507" spans="5:13" hidden="1" x14ac:dyDescent="0.2">
      <c r="E8507" s="502"/>
      <c r="F8507" s="503" t="s">
        <v>234</v>
      </c>
      <c r="G8507" s="504" t="s">
        <v>235</v>
      </c>
      <c r="H8507" s="403">
        <f>SUM(H8428:H8487)</f>
        <v>0</v>
      </c>
      <c r="I8507" s="403"/>
      <c r="J8507" s="750"/>
      <c r="K8507" s="404"/>
      <c r="L8507" s="404"/>
      <c r="M8507" s="682"/>
    </row>
    <row r="8508" spans="5:13" hidden="1" x14ac:dyDescent="0.2">
      <c r="F8508" s="503" t="s">
        <v>236</v>
      </c>
      <c r="G8508" s="504" t="s">
        <v>237</v>
      </c>
      <c r="H8508" s="397"/>
      <c r="I8508" s="397"/>
      <c r="J8508" s="750"/>
      <c r="K8508" s="398"/>
      <c r="L8508" s="404"/>
      <c r="M8508" s="682"/>
    </row>
    <row r="8509" spans="5:13" hidden="1" x14ac:dyDescent="0.2">
      <c r="F8509" s="503" t="s">
        <v>238</v>
      </c>
      <c r="G8509" s="504" t="s">
        <v>239</v>
      </c>
      <c r="H8509" s="397"/>
      <c r="I8509" s="397"/>
      <c r="J8509" s="750"/>
      <c r="K8509" s="398"/>
      <c r="L8509" s="404"/>
      <c r="M8509" s="682"/>
    </row>
    <row r="8510" spans="5:13" hidden="1" x14ac:dyDescent="0.2">
      <c r="F8510" s="503" t="s">
        <v>240</v>
      </c>
      <c r="G8510" s="504" t="s">
        <v>241</v>
      </c>
      <c r="H8510" s="397"/>
      <c r="I8510" s="397"/>
      <c r="J8510" s="750"/>
      <c r="K8510" s="398"/>
      <c r="L8510" s="404"/>
      <c r="M8510" s="682"/>
    </row>
    <row r="8511" spans="5:13" hidden="1" x14ac:dyDescent="0.2">
      <c r="F8511" s="503" t="s">
        <v>242</v>
      </c>
      <c r="G8511" s="504" t="s">
        <v>243</v>
      </c>
      <c r="H8511" s="397"/>
      <c r="I8511" s="397"/>
      <c r="J8511" s="750"/>
      <c r="K8511" s="398"/>
      <c r="L8511" s="404"/>
      <c r="M8511" s="682"/>
    </row>
    <row r="8512" spans="5:13" hidden="1" x14ac:dyDescent="0.2">
      <c r="F8512" s="503" t="s">
        <v>244</v>
      </c>
      <c r="G8512" s="504" t="s">
        <v>245</v>
      </c>
      <c r="H8512" s="397"/>
      <c r="I8512" s="397"/>
      <c r="J8512" s="750"/>
      <c r="K8512" s="398"/>
      <c r="L8512" s="404"/>
      <c r="M8512" s="682"/>
    </row>
    <row r="8513" spans="1:27" hidden="1" x14ac:dyDescent="0.2">
      <c r="F8513" s="503" t="s">
        <v>246</v>
      </c>
      <c r="G8513" s="504" t="s">
        <v>247</v>
      </c>
      <c r="H8513" s="397"/>
      <c r="I8513" s="397"/>
      <c r="J8513" s="750"/>
      <c r="K8513" s="398"/>
      <c r="L8513" s="404"/>
      <c r="M8513" s="682"/>
    </row>
    <row r="8514" spans="1:27" ht="25.5" hidden="1" x14ac:dyDescent="0.2">
      <c r="F8514" s="503" t="s">
        <v>248</v>
      </c>
      <c r="G8514" s="504" t="s">
        <v>249</v>
      </c>
      <c r="H8514" s="397"/>
      <c r="I8514" s="397"/>
      <c r="J8514" s="750"/>
      <c r="K8514" s="398"/>
      <c r="L8514" s="404"/>
      <c r="M8514" s="682"/>
    </row>
    <row r="8515" spans="1:27" hidden="1" x14ac:dyDescent="0.2">
      <c r="F8515" s="503" t="s">
        <v>250</v>
      </c>
      <c r="G8515" s="504" t="s">
        <v>57</v>
      </c>
      <c r="H8515" s="397"/>
      <c r="I8515" s="397"/>
      <c r="J8515" s="750"/>
      <c r="K8515" s="398"/>
      <c r="L8515" s="404"/>
      <c r="M8515" s="682"/>
    </row>
    <row r="8516" spans="1:27" hidden="1" x14ac:dyDescent="0.2">
      <c r="F8516" s="503" t="s">
        <v>251</v>
      </c>
      <c r="G8516" s="504" t="s">
        <v>252</v>
      </c>
      <c r="H8516" s="397"/>
      <c r="I8516" s="397"/>
      <c r="J8516" s="750"/>
      <c r="K8516" s="398"/>
      <c r="L8516" s="404"/>
      <c r="M8516" s="682"/>
    </row>
    <row r="8517" spans="1:27" hidden="1" x14ac:dyDescent="0.2">
      <c r="F8517" s="503" t="s">
        <v>253</v>
      </c>
      <c r="G8517" s="504" t="s">
        <v>254</v>
      </c>
      <c r="H8517" s="397"/>
      <c r="I8517" s="397"/>
      <c r="J8517" s="750"/>
      <c r="K8517" s="398"/>
      <c r="L8517" s="404"/>
      <c r="M8517" s="682"/>
    </row>
    <row r="8518" spans="1:27" ht="25.5" hidden="1" x14ac:dyDescent="0.2">
      <c r="F8518" s="503" t="s">
        <v>255</v>
      </c>
      <c r="G8518" s="504" t="s">
        <v>256</v>
      </c>
      <c r="H8518" s="397"/>
      <c r="I8518" s="397"/>
      <c r="J8518" s="750"/>
      <c r="K8518" s="398"/>
      <c r="L8518" s="404"/>
      <c r="M8518" s="682"/>
    </row>
    <row r="8519" spans="1:27" ht="25.5" hidden="1" x14ac:dyDescent="0.2">
      <c r="F8519" s="503" t="s">
        <v>257</v>
      </c>
      <c r="G8519" s="504" t="s">
        <v>258</v>
      </c>
      <c r="H8519" s="397"/>
      <c r="I8519" s="397"/>
      <c r="J8519" s="750"/>
      <c r="K8519" s="398"/>
      <c r="L8519" s="404"/>
      <c r="M8519" s="682"/>
    </row>
    <row r="8520" spans="1:27" ht="25.5" hidden="1" x14ac:dyDescent="0.2">
      <c r="F8520" s="503" t="s">
        <v>259</v>
      </c>
      <c r="G8520" s="504" t="s">
        <v>260</v>
      </c>
      <c r="H8520" s="397"/>
      <c r="I8520" s="397"/>
      <c r="J8520" s="750"/>
      <c r="K8520" s="398"/>
      <c r="L8520" s="404"/>
      <c r="M8520" s="682"/>
    </row>
    <row r="8521" spans="1:27" ht="25.5" hidden="1" x14ac:dyDescent="0.2">
      <c r="F8521" s="503" t="s">
        <v>261</v>
      </c>
      <c r="G8521" s="504" t="s">
        <v>262</v>
      </c>
      <c r="H8521" s="397"/>
      <c r="I8521" s="397"/>
      <c r="J8521" s="750"/>
      <c r="K8521" s="398"/>
      <c r="L8521" s="404"/>
      <c r="M8521" s="682"/>
    </row>
    <row r="8522" spans="1:27" hidden="1" x14ac:dyDescent="0.2">
      <c r="F8522" s="503" t="s">
        <v>263</v>
      </c>
      <c r="G8522" s="504" t="s">
        <v>264</v>
      </c>
      <c r="H8522" s="403"/>
      <c r="I8522" s="403"/>
      <c r="J8522" s="750"/>
      <c r="K8522" s="404"/>
      <c r="L8522" s="404"/>
      <c r="M8522" s="682"/>
    </row>
    <row r="8523" spans="1:27" ht="13.5" hidden="1" collapsed="1" thickBot="1" x14ac:dyDescent="0.25">
      <c r="G8523" s="505" t="s">
        <v>4236</v>
      </c>
      <c r="H8523" s="405">
        <f>SUM(H8507:H8522)</f>
        <v>0</v>
      </c>
      <c r="I8523" s="405"/>
      <c r="J8523" s="750"/>
      <c r="K8523" s="406">
        <f>SUM(K8508:K8522)</f>
        <v>0</v>
      </c>
      <c r="L8523" s="406"/>
      <c r="M8523" s="682"/>
    </row>
    <row r="8524" spans="1:27" s="530" customFormat="1" x14ac:dyDescent="0.2">
      <c r="C8524" s="630" t="s">
        <v>3573</v>
      </c>
      <c r="D8524" s="631"/>
      <c r="E8524" s="631"/>
      <c r="F8524" s="631"/>
      <c r="G8524" s="632" t="s">
        <v>4235</v>
      </c>
      <c r="H8524" s="425"/>
      <c r="I8524" s="425"/>
      <c r="J8524" s="750"/>
      <c r="K8524" s="243"/>
      <c r="L8524" s="243"/>
      <c r="M8524" s="682"/>
      <c r="N8524" s="171"/>
      <c r="O8524" s="171"/>
      <c r="P8524" s="171"/>
      <c r="Q8524" s="171"/>
      <c r="R8524" s="171"/>
      <c r="S8524" s="171"/>
      <c r="T8524" s="171"/>
      <c r="U8524" s="171"/>
      <c r="V8524" s="171"/>
      <c r="W8524" s="171"/>
      <c r="X8524" s="171"/>
      <c r="Y8524" s="171"/>
      <c r="Z8524" s="171"/>
      <c r="AA8524" s="171"/>
    </row>
    <row r="8525" spans="1:27" x14ac:dyDescent="0.2">
      <c r="C8525" s="489" t="s">
        <v>4097</v>
      </c>
      <c r="D8525" s="490"/>
      <c r="G8525" s="491" t="s">
        <v>4098</v>
      </c>
      <c r="H8525" s="397"/>
      <c r="I8525" s="397"/>
      <c r="J8525" s="750"/>
      <c r="K8525" s="398"/>
      <c r="L8525" s="398"/>
      <c r="M8525" s="682"/>
    </row>
    <row r="8526" spans="1:27" s="530" customFormat="1" ht="16.5" customHeight="1" x14ac:dyDescent="0.2">
      <c r="A8526" s="526"/>
      <c r="B8526" s="527"/>
      <c r="C8526" s="528"/>
      <c r="D8526" s="537">
        <v>560</v>
      </c>
      <c r="E8526" s="538"/>
      <c r="F8526" s="538"/>
      <c r="G8526" s="514" t="s">
        <v>179</v>
      </c>
      <c r="H8526" s="425"/>
      <c r="I8526" s="425"/>
      <c r="J8526" s="750"/>
      <c r="K8526" s="243"/>
      <c r="L8526" s="243"/>
      <c r="M8526" s="682"/>
      <c r="N8526" s="171"/>
      <c r="O8526" s="171"/>
      <c r="P8526" s="171"/>
      <c r="Q8526" s="171"/>
      <c r="R8526" s="171"/>
      <c r="S8526" s="171"/>
      <c r="T8526" s="171"/>
      <c r="U8526" s="171"/>
      <c r="V8526" s="171"/>
      <c r="W8526" s="171"/>
      <c r="X8526" s="171"/>
      <c r="Y8526" s="171"/>
      <c r="Z8526" s="171"/>
      <c r="AA8526" s="171"/>
    </row>
    <row r="8527" spans="1:27" hidden="1" x14ac:dyDescent="0.2">
      <c r="F8527" s="494">
        <v>411</v>
      </c>
      <c r="G8527" s="495" t="s">
        <v>4167</v>
      </c>
      <c r="H8527" s="397"/>
      <c r="I8527" s="397"/>
      <c r="J8527" s="750" t="e">
        <f t="shared" ref="J8527:J8589" si="116">SUM(I8527/H8527)*100</f>
        <v>#DIV/0!</v>
      </c>
      <c r="K8527" s="398"/>
      <c r="L8527" s="398"/>
      <c r="M8527" s="682"/>
    </row>
    <row r="8528" spans="1:27" hidden="1" x14ac:dyDescent="0.2">
      <c r="F8528" s="494">
        <v>412</v>
      </c>
      <c r="G8528" s="496" t="s">
        <v>3764</v>
      </c>
      <c r="H8528" s="397"/>
      <c r="I8528" s="397"/>
      <c r="J8528" s="750" t="e">
        <f t="shared" si="116"/>
        <v>#DIV/0!</v>
      </c>
      <c r="K8528" s="398"/>
      <c r="L8528" s="398"/>
      <c r="M8528" s="682"/>
    </row>
    <row r="8529" spans="5:13" hidden="1" x14ac:dyDescent="0.2">
      <c r="F8529" s="494">
        <v>413</v>
      </c>
      <c r="G8529" s="495" t="s">
        <v>4168</v>
      </c>
      <c r="H8529" s="397"/>
      <c r="I8529" s="397"/>
      <c r="J8529" s="750" t="e">
        <f t="shared" si="116"/>
        <v>#DIV/0!</v>
      </c>
      <c r="K8529" s="398"/>
      <c r="L8529" s="398"/>
      <c r="M8529" s="682"/>
    </row>
    <row r="8530" spans="5:13" hidden="1" x14ac:dyDescent="0.2">
      <c r="F8530" s="494">
        <v>414</v>
      </c>
      <c r="G8530" s="495" t="s">
        <v>3767</v>
      </c>
      <c r="H8530" s="397"/>
      <c r="I8530" s="397"/>
      <c r="J8530" s="750" t="e">
        <f t="shared" si="116"/>
        <v>#DIV/0!</v>
      </c>
      <c r="K8530" s="398"/>
      <c r="L8530" s="398"/>
      <c r="M8530" s="682"/>
    </row>
    <row r="8531" spans="5:13" hidden="1" x14ac:dyDescent="0.2">
      <c r="F8531" s="494">
        <v>415</v>
      </c>
      <c r="G8531" s="495" t="s">
        <v>4177</v>
      </c>
      <c r="H8531" s="397"/>
      <c r="I8531" s="397"/>
      <c r="J8531" s="750" t="e">
        <f t="shared" si="116"/>
        <v>#DIV/0!</v>
      </c>
      <c r="K8531" s="398"/>
      <c r="L8531" s="398"/>
      <c r="M8531" s="682"/>
    </row>
    <row r="8532" spans="5:13" ht="25.5" hidden="1" x14ac:dyDescent="0.2">
      <c r="F8532" s="494">
        <v>416</v>
      </c>
      <c r="G8532" s="495" t="s">
        <v>4178</v>
      </c>
      <c r="H8532" s="397"/>
      <c r="I8532" s="397"/>
      <c r="J8532" s="750" t="e">
        <f t="shared" si="116"/>
        <v>#DIV/0!</v>
      </c>
      <c r="K8532" s="398"/>
      <c r="L8532" s="398"/>
      <c r="M8532" s="682"/>
    </row>
    <row r="8533" spans="5:13" hidden="1" x14ac:dyDescent="0.2">
      <c r="F8533" s="494">
        <v>417</v>
      </c>
      <c r="G8533" s="495" t="s">
        <v>4179</v>
      </c>
      <c r="H8533" s="397"/>
      <c r="I8533" s="397"/>
      <c r="J8533" s="750" t="e">
        <f t="shared" si="116"/>
        <v>#DIV/0!</v>
      </c>
      <c r="K8533" s="398"/>
      <c r="L8533" s="398"/>
      <c r="M8533" s="682"/>
    </row>
    <row r="8534" spans="5:13" hidden="1" x14ac:dyDescent="0.2">
      <c r="F8534" s="494">
        <v>418</v>
      </c>
      <c r="G8534" s="495" t="s">
        <v>3773</v>
      </c>
      <c r="H8534" s="397"/>
      <c r="I8534" s="397"/>
      <c r="J8534" s="750" t="e">
        <f t="shared" si="116"/>
        <v>#DIV/0!</v>
      </c>
      <c r="K8534" s="398"/>
      <c r="L8534" s="398"/>
      <c r="M8534" s="682"/>
    </row>
    <row r="8535" spans="5:13" hidden="1" x14ac:dyDescent="0.2">
      <c r="F8535" s="494">
        <v>421</v>
      </c>
      <c r="G8535" s="495" t="s">
        <v>3777</v>
      </c>
      <c r="H8535" s="397"/>
      <c r="I8535" s="397"/>
      <c r="J8535" s="750" t="e">
        <f t="shared" si="116"/>
        <v>#DIV/0!</v>
      </c>
      <c r="K8535" s="398"/>
      <c r="L8535" s="398"/>
      <c r="M8535" s="682"/>
    </row>
    <row r="8536" spans="5:13" hidden="1" x14ac:dyDescent="0.2">
      <c r="F8536" s="494">
        <v>422</v>
      </c>
      <c r="G8536" s="495" t="s">
        <v>3778</v>
      </c>
      <c r="H8536" s="397"/>
      <c r="I8536" s="397"/>
      <c r="J8536" s="750" t="e">
        <f t="shared" si="116"/>
        <v>#DIV/0!</v>
      </c>
      <c r="K8536" s="398"/>
      <c r="L8536" s="398"/>
      <c r="M8536" s="682"/>
    </row>
    <row r="8537" spans="5:13" hidden="1" x14ac:dyDescent="0.2">
      <c r="F8537" s="494">
        <v>423</v>
      </c>
      <c r="G8537" s="495" t="s">
        <v>3779</v>
      </c>
      <c r="H8537" s="397"/>
      <c r="I8537" s="397"/>
      <c r="J8537" s="750" t="e">
        <f t="shared" si="116"/>
        <v>#DIV/0!</v>
      </c>
      <c r="K8537" s="398"/>
      <c r="L8537" s="398"/>
      <c r="M8537" s="682"/>
    </row>
    <row r="8538" spans="5:13" x14ac:dyDescent="0.2">
      <c r="E8538" s="464">
        <v>74</v>
      </c>
      <c r="F8538" s="494">
        <v>424</v>
      </c>
      <c r="G8538" s="495" t="s">
        <v>3781</v>
      </c>
      <c r="H8538" s="397">
        <v>1200000</v>
      </c>
      <c r="I8538" s="397">
        <v>678826.1</v>
      </c>
      <c r="J8538" s="750">
        <f t="shared" si="116"/>
        <v>56.568841666666671</v>
      </c>
      <c r="K8538" s="398"/>
      <c r="L8538" s="398"/>
      <c r="M8538" s="682"/>
    </row>
    <row r="8539" spans="5:13" x14ac:dyDescent="0.2">
      <c r="E8539" s="464">
        <v>75</v>
      </c>
      <c r="F8539" s="494">
        <v>425</v>
      </c>
      <c r="G8539" s="495" t="s">
        <v>4180</v>
      </c>
      <c r="H8539" s="397">
        <v>300000</v>
      </c>
      <c r="I8539" s="397">
        <v>168376</v>
      </c>
      <c r="J8539" s="750">
        <f t="shared" si="116"/>
        <v>56.125333333333337</v>
      </c>
      <c r="K8539" s="398"/>
      <c r="L8539" s="398"/>
      <c r="M8539" s="682"/>
    </row>
    <row r="8540" spans="5:13" ht="13.5" thickBot="1" x14ac:dyDescent="0.25">
      <c r="E8540" s="464">
        <v>76</v>
      </c>
      <c r="F8540" s="494">
        <v>426</v>
      </c>
      <c r="G8540" s="495" t="s">
        <v>3785</v>
      </c>
      <c r="H8540" s="397">
        <v>2349049</v>
      </c>
      <c r="I8540" s="397">
        <v>701270.81</v>
      </c>
      <c r="J8540" s="750">
        <f t="shared" si="116"/>
        <v>29.853392159976234</v>
      </c>
      <c r="K8540" s="398"/>
      <c r="L8540" s="398"/>
      <c r="M8540" s="682"/>
    </row>
    <row r="8541" spans="5:13" ht="13.5" hidden="1" thickBot="1" x14ac:dyDescent="0.25">
      <c r="F8541" s="494">
        <v>431</v>
      </c>
      <c r="G8541" s="495" t="s">
        <v>4181</v>
      </c>
      <c r="H8541" s="397"/>
      <c r="I8541" s="397"/>
      <c r="J8541" s="750" t="e">
        <f t="shared" si="116"/>
        <v>#DIV/0!</v>
      </c>
      <c r="K8541" s="398"/>
      <c r="L8541" s="398"/>
      <c r="M8541" s="682"/>
    </row>
    <row r="8542" spans="5:13" ht="13.5" hidden="1" thickBot="1" x14ac:dyDescent="0.25">
      <c r="F8542" s="494">
        <v>432</v>
      </c>
      <c r="G8542" s="495" t="s">
        <v>4182</v>
      </c>
      <c r="H8542" s="397"/>
      <c r="I8542" s="397"/>
      <c r="J8542" s="750" t="e">
        <f t="shared" si="116"/>
        <v>#DIV/0!</v>
      </c>
      <c r="K8542" s="398"/>
      <c r="L8542" s="398"/>
      <c r="M8542" s="682"/>
    </row>
    <row r="8543" spans="5:13" ht="13.5" hidden="1" thickBot="1" x14ac:dyDescent="0.25">
      <c r="F8543" s="494">
        <v>433</v>
      </c>
      <c r="G8543" s="495" t="s">
        <v>4183</v>
      </c>
      <c r="H8543" s="397"/>
      <c r="I8543" s="397"/>
      <c r="J8543" s="750" t="e">
        <f t="shared" si="116"/>
        <v>#DIV/0!</v>
      </c>
      <c r="K8543" s="398"/>
      <c r="L8543" s="398"/>
      <c r="M8543" s="682"/>
    </row>
    <row r="8544" spans="5:13" ht="13.5" hidden="1" thickBot="1" x14ac:dyDescent="0.25">
      <c r="F8544" s="494">
        <v>434</v>
      </c>
      <c r="G8544" s="495" t="s">
        <v>4184</v>
      </c>
      <c r="H8544" s="397"/>
      <c r="I8544" s="397"/>
      <c r="J8544" s="750" t="e">
        <f t="shared" si="116"/>
        <v>#DIV/0!</v>
      </c>
      <c r="K8544" s="398"/>
      <c r="L8544" s="398"/>
      <c r="M8544" s="682"/>
    </row>
    <row r="8545" spans="6:13" ht="13.5" hidden="1" thickBot="1" x14ac:dyDescent="0.25">
      <c r="F8545" s="494">
        <v>435</v>
      </c>
      <c r="G8545" s="495" t="s">
        <v>3792</v>
      </c>
      <c r="H8545" s="397"/>
      <c r="I8545" s="397"/>
      <c r="J8545" s="750" t="e">
        <f t="shared" si="116"/>
        <v>#DIV/0!</v>
      </c>
      <c r="K8545" s="398"/>
      <c r="L8545" s="398"/>
      <c r="M8545" s="682"/>
    </row>
    <row r="8546" spans="6:13" ht="13.5" hidden="1" thickBot="1" x14ac:dyDescent="0.25">
      <c r="F8546" s="494">
        <v>441</v>
      </c>
      <c r="G8546" s="495" t="s">
        <v>4185</v>
      </c>
      <c r="H8546" s="397"/>
      <c r="I8546" s="397"/>
      <c r="J8546" s="750" t="e">
        <f t="shared" si="116"/>
        <v>#DIV/0!</v>
      </c>
      <c r="K8546" s="398"/>
      <c r="L8546" s="398"/>
      <c r="M8546" s="682"/>
    </row>
    <row r="8547" spans="6:13" ht="13.5" hidden="1" thickBot="1" x14ac:dyDescent="0.25">
      <c r="F8547" s="494">
        <v>442</v>
      </c>
      <c r="G8547" s="495" t="s">
        <v>4186</v>
      </c>
      <c r="H8547" s="397"/>
      <c r="I8547" s="397"/>
      <c r="J8547" s="750" t="e">
        <f t="shared" si="116"/>
        <v>#DIV/0!</v>
      </c>
      <c r="K8547" s="398"/>
      <c r="L8547" s="398"/>
      <c r="M8547" s="682"/>
    </row>
    <row r="8548" spans="6:13" ht="13.5" hidden="1" thickBot="1" x14ac:dyDescent="0.25">
      <c r="F8548" s="494">
        <v>443</v>
      </c>
      <c r="G8548" s="495" t="s">
        <v>3797</v>
      </c>
      <c r="H8548" s="397"/>
      <c r="I8548" s="397"/>
      <c r="J8548" s="750" t="e">
        <f t="shared" si="116"/>
        <v>#DIV/0!</v>
      </c>
      <c r="K8548" s="398"/>
      <c r="L8548" s="398"/>
      <c r="M8548" s="682"/>
    </row>
    <row r="8549" spans="6:13" ht="13.5" hidden="1" thickBot="1" x14ac:dyDescent="0.25">
      <c r="F8549" s="494">
        <v>444</v>
      </c>
      <c r="G8549" s="495" t="s">
        <v>3798</v>
      </c>
      <c r="H8549" s="397"/>
      <c r="I8549" s="397"/>
      <c r="J8549" s="750" t="e">
        <f t="shared" si="116"/>
        <v>#DIV/0!</v>
      </c>
      <c r="K8549" s="398"/>
      <c r="L8549" s="398"/>
      <c r="M8549" s="682"/>
    </row>
    <row r="8550" spans="6:13" ht="26.25" hidden="1" thickBot="1" x14ac:dyDescent="0.25">
      <c r="F8550" s="494">
        <v>4511</v>
      </c>
      <c r="G8550" s="466" t="s">
        <v>1692</v>
      </c>
      <c r="H8550" s="397"/>
      <c r="I8550" s="397"/>
      <c r="J8550" s="750" t="e">
        <f t="shared" si="116"/>
        <v>#DIV/0!</v>
      </c>
      <c r="K8550" s="398"/>
      <c r="L8550" s="398"/>
      <c r="M8550" s="682"/>
    </row>
    <row r="8551" spans="6:13" ht="12" hidden="1" customHeight="1" x14ac:dyDescent="0.2">
      <c r="F8551" s="494">
        <v>4512</v>
      </c>
      <c r="G8551" s="466" t="s">
        <v>1701</v>
      </c>
      <c r="H8551" s="397"/>
      <c r="I8551" s="397"/>
      <c r="J8551" s="750" t="e">
        <f t="shared" si="116"/>
        <v>#DIV/0!</v>
      </c>
      <c r="K8551" s="398"/>
      <c r="L8551" s="398"/>
      <c r="M8551" s="682"/>
    </row>
    <row r="8552" spans="6:13" ht="26.25" hidden="1" thickBot="1" x14ac:dyDescent="0.25">
      <c r="F8552" s="494">
        <v>452</v>
      </c>
      <c r="G8552" s="495" t="s">
        <v>4187</v>
      </c>
      <c r="H8552" s="397"/>
      <c r="I8552" s="397"/>
      <c r="J8552" s="750" t="e">
        <f t="shared" si="116"/>
        <v>#DIV/0!</v>
      </c>
      <c r="K8552" s="398"/>
      <c r="L8552" s="398"/>
      <c r="M8552" s="682"/>
    </row>
    <row r="8553" spans="6:13" ht="26.25" hidden="1" thickBot="1" x14ac:dyDescent="0.25">
      <c r="F8553" s="494">
        <v>453</v>
      </c>
      <c r="G8553" s="495" t="s">
        <v>4188</v>
      </c>
      <c r="H8553" s="397"/>
      <c r="I8553" s="397"/>
      <c r="J8553" s="750" t="e">
        <f t="shared" si="116"/>
        <v>#DIV/0!</v>
      </c>
      <c r="K8553" s="398"/>
      <c r="L8553" s="398"/>
      <c r="M8553" s="682"/>
    </row>
    <row r="8554" spans="6:13" ht="13.5" hidden="1" thickBot="1" x14ac:dyDescent="0.25">
      <c r="F8554" s="494">
        <v>454</v>
      </c>
      <c r="G8554" s="495" t="s">
        <v>3803</v>
      </c>
      <c r="H8554" s="397"/>
      <c r="I8554" s="397"/>
      <c r="J8554" s="750" t="e">
        <f t="shared" si="116"/>
        <v>#DIV/0!</v>
      </c>
      <c r="K8554" s="398"/>
      <c r="L8554" s="398"/>
      <c r="M8554" s="682"/>
    </row>
    <row r="8555" spans="6:13" ht="13.5" hidden="1" thickBot="1" x14ac:dyDescent="0.25">
      <c r="F8555" s="494">
        <v>461</v>
      </c>
      <c r="G8555" s="495" t="s">
        <v>4169</v>
      </c>
      <c r="H8555" s="397"/>
      <c r="I8555" s="397"/>
      <c r="J8555" s="750" t="e">
        <f t="shared" si="116"/>
        <v>#DIV/0!</v>
      </c>
      <c r="K8555" s="398"/>
      <c r="L8555" s="398"/>
      <c r="M8555" s="682"/>
    </row>
    <row r="8556" spans="6:13" ht="26.25" hidden="1" thickBot="1" x14ac:dyDescent="0.25">
      <c r="F8556" s="494">
        <v>462</v>
      </c>
      <c r="G8556" s="495" t="s">
        <v>3806</v>
      </c>
      <c r="H8556" s="397"/>
      <c r="I8556" s="397"/>
      <c r="J8556" s="750" t="e">
        <f t="shared" si="116"/>
        <v>#DIV/0!</v>
      </c>
      <c r="K8556" s="398"/>
      <c r="L8556" s="398"/>
      <c r="M8556" s="682"/>
    </row>
    <row r="8557" spans="6:13" ht="13.5" hidden="1" thickBot="1" x14ac:dyDescent="0.25">
      <c r="F8557" s="494">
        <v>4631</v>
      </c>
      <c r="G8557" s="495" t="s">
        <v>3807</v>
      </c>
      <c r="H8557" s="397"/>
      <c r="I8557" s="397"/>
      <c r="J8557" s="750" t="e">
        <f t="shared" si="116"/>
        <v>#DIV/0!</v>
      </c>
      <c r="K8557" s="398"/>
      <c r="L8557" s="398"/>
      <c r="M8557" s="682"/>
    </row>
    <row r="8558" spans="6:13" ht="13.5" hidden="1" thickBot="1" x14ac:dyDescent="0.25">
      <c r="F8558" s="494">
        <v>4632</v>
      </c>
      <c r="G8558" s="495" t="s">
        <v>3808</v>
      </c>
      <c r="H8558" s="397"/>
      <c r="I8558" s="397"/>
      <c r="J8558" s="750" t="e">
        <f t="shared" si="116"/>
        <v>#DIV/0!</v>
      </c>
      <c r="K8558" s="398"/>
      <c r="L8558" s="398"/>
      <c r="M8558" s="682"/>
    </row>
    <row r="8559" spans="6:13" ht="26.25" hidden="1" thickBot="1" x14ac:dyDescent="0.25">
      <c r="F8559" s="494">
        <v>464</v>
      </c>
      <c r="G8559" s="495" t="s">
        <v>3809</v>
      </c>
      <c r="H8559" s="397"/>
      <c r="I8559" s="397"/>
      <c r="J8559" s="750" t="e">
        <f t="shared" si="116"/>
        <v>#DIV/0!</v>
      </c>
      <c r="K8559" s="398"/>
      <c r="L8559" s="398"/>
      <c r="M8559" s="682"/>
    </row>
    <row r="8560" spans="6:13" ht="13.5" hidden="1" thickBot="1" x14ac:dyDescent="0.25">
      <c r="F8560" s="494">
        <v>465</v>
      </c>
      <c r="G8560" s="495" t="s">
        <v>4170</v>
      </c>
      <c r="H8560" s="397"/>
      <c r="I8560" s="397"/>
      <c r="J8560" s="750" t="e">
        <f t="shared" si="116"/>
        <v>#DIV/0!</v>
      </c>
      <c r="K8560" s="398"/>
      <c r="L8560" s="398"/>
      <c r="M8560" s="682"/>
    </row>
    <row r="8561" spans="6:13" ht="13.5" hidden="1" thickBot="1" x14ac:dyDescent="0.25">
      <c r="F8561" s="494">
        <v>472</v>
      </c>
      <c r="G8561" s="495" t="s">
        <v>3813</v>
      </c>
      <c r="H8561" s="397"/>
      <c r="I8561" s="397"/>
      <c r="J8561" s="750" t="e">
        <f t="shared" si="116"/>
        <v>#DIV/0!</v>
      </c>
      <c r="K8561" s="398"/>
      <c r="L8561" s="398"/>
      <c r="M8561" s="682"/>
    </row>
    <row r="8562" spans="6:13" ht="13.5" hidden="1" thickBot="1" x14ac:dyDescent="0.25">
      <c r="F8562" s="494">
        <v>481</v>
      </c>
      <c r="G8562" s="495" t="s">
        <v>4189</v>
      </c>
      <c r="H8562" s="397"/>
      <c r="I8562" s="397"/>
      <c r="J8562" s="750" t="e">
        <f t="shared" si="116"/>
        <v>#DIV/0!</v>
      </c>
      <c r="K8562" s="398"/>
      <c r="L8562" s="398"/>
      <c r="M8562" s="682"/>
    </row>
    <row r="8563" spans="6:13" ht="13.5" hidden="1" thickBot="1" x14ac:dyDescent="0.25">
      <c r="F8563" s="494">
        <v>482</v>
      </c>
      <c r="G8563" s="495" t="s">
        <v>4190</v>
      </c>
      <c r="H8563" s="397"/>
      <c r="I8563" s="397"/>
      <c r="J8563" s="750" t="e">
        <f t="shared" si="116"/>
        <v>#DIV/0!</v>
      </c>
      <c r="K8563" s="398"/>
      <c r="L8563" s="398"/>
      <c r="M8563" s="682"/>
    </row>
    <row r="8564" spans="6:13" ht="13.5" hidden="1" thickBot="1" x14ac:dyDescent="0.25">
      <c r="F8564" s="494">
        <v>483</v>
      </c>
      <c r="G8564" s="497" t="s">
        <v>4191</v>
      </c>
      <c r="H8564" s="397"/>
      <c r="I8564" s="397"/>
      <c r="J8564" s="750" t="e">
        <f t="shared" si="116"/>
        <v>#DIV/0!</v>
      </c>
      <c r="K8564" s="398"/>
      <c r="L8564" s="398"/>
      <c r="M8564" s="682"/>
    </row>
    <row r="8565" spans="6:13" ht="39" hidden="1" thickBot="1" x14ac:dyDescent="0.25">
      <c r="F8565" s="494">
        <v>484</v>
      </c>
      <c r="G8565" s="495" t="s">
        <v>4192</v>
      </c>
      <c r="H8565" s="397"/>
      <c r="I8565" s="397"/>
      <c r="J8565" s="750" t="e">
        <f t="shared" si="116"/>
        <v>#DIV/0!</v>
      </c>
      <c r="K8565" s="398"/>
      <c r="L8565" s="398"/>
      <c r="M8565" s="682"/>
    </row>
    <row r="8566" spans="6:13" ht="26.25" hidden="1" thickBot="1" x14ac:dyDescent="0.25">
      <c r="F8566" s="494">
        <v>485</v>
      </c>
      <c r="G8566" s="495" t="s">
        <v>4193</v>
      </c>
      <c r="H8566" s="397"/>
      <c r="I8566" s="397"/>
      <c r="J8566" s="750" t="e">
        <f t="shared" si="116"/>
        <v>#DIV/0!</v>
      </c>
      <c r="K8566" s="398"/>
      <c r="L8566" s="398"/>
      <c r="M8566" s="682"/>
    </row>
    <row r="8567" spans="6:13" ht="26.25" hidden="1" thickBot="1" x14ac:dyDescent="0.25">
      <c r="F8567" s="494">
        <v>489</v>
      </c>
      <c r="G8567" s="495" t="s">
        <v>3821</v>
      </c>
      <c r="H8567" s="397"/>
      <c r="I8567" s="397"/>
      <c r="J8567" s="750" t="e">
        <f t="shared" si="116"/>
        <v>#DIV/0!</v>
      </c>
      <c r="K8567" s="398"/>
      <c r="L8567" s="398"/>
      <c r="M8567" s="682"/>
    </row>
    <row r="8568" spans="6:13" ht="26.25" hidden="1" thickBot="1" x14ac:dyDescent="0.25">
      <c r="F8568" s="494">
        <v>494</v>
      </c>
      <c r="G8568" s="495" t="s">
        <v>4171</v>
      </c>
      <c r="H8568" s="397"/>
      <c r="I8568" s="397"/>
      <c r="J8568" s="750" t="e">
        <f t="shared" si="116"/>
        <v>#DIV/0!</v>
      </c>
      <c r="K8568" s="398"/>
      <c r="L8568" s="398"/>
      <c r="M8568" s="682"/>
    </row>
    <row r="8569" spans="6:13" ht="26.25" hidden="1" thickBot="1" x14ac:dyDescent="0.25">
      <c r="F8569" s="494">
        <v>495</v>
      </c>
      <c r="G8569" s="495" t="s">
        <v>4172</v>
      </c>
      <c r="H8569" s="397"/>
      <c r="I8569" s="397"/>
      <c r="J8569" s="750" t="e">
        <f t="shared" si="116"/>
        <v>#DIV/0!</v>
      </c>
      <c r="K8569" s="398"/>
      <c r="L8569" s="398"/>
      <c r="M8569" s="682"/>
    </row>
    <row r="8570" spans="6:13" ht="39" hidden="1" thickBot="1" x14ac:dyDescent="0.25">
      <c r="F8570" s="494">
        <v>496</v>
      </c>
      <c r="G8570" s="495" t="s">
        <v>4173</v>
      </c>
      <c r="H8570" s="397"/>
      <c r="I8570" s="397"/>
      <c r="J8570" s="750" t="e">
        <f t="shared" si="116"/>
        <v>#DIV/0!</v>
      </c>
      <c r="K8570" s="398"/>
      <c r="L8570" s="398"/>
      <c r="M8570" s="682"/>
    </row>
    <row r="8571" spans="6:13" ht="26.25" hidden="1" thickBot="1" x14ac:dyDescent="0.25">
      <c r="F8571" s="494">
        <v>499</v>
      </c>
      <c r="G8571" s="495" t="s">
        <v>4174</v>
      </c>
      <c r="H8571" s="397"/>
      <c r="I8571" s="397"/>
      <c r="J8571" s="750" t="e">
        <f t="shared" si="116"/>
        <v>#DIV/0!</v>
      </c>
      <c r="K8571" s="398"/>
      <c r="L8571" s="398"/>
      <c r="M8571" s="682"/>
    </row>
    <row r="8572" spans="6:13" ht="13.5" hidden="1" thickBot="1" x14ac:dyDescent="0.25">
      <c r="F8572" s="494">
        <v>511</v>
      </c>
      <c r="G8572" s="497" t="s">
        <v>4194</v>
      </c>
      <c r="H8572" s="397"/>
      <c r="I8572" s="397"/>
      <c r="J8572" s="750" t="e">
        <f t="shared" si="116"/>
        <v>#DIV/0!</v>
      </c>
      <c r="K8572" s="398"/>
      <c r="L8572" s="398"/>
      <c r="M8572" s="682"/>
    </row>
    <row r="8573" spans="6:13" ht="13.5" hidden="1" thickBot="1" x14ac:dyDescent="0.25">
      <c r="F8573" s="494">
        <v>512</v>
      </c>
      <c r="G8573" s="497" t="s">
        <v>4195</v>
      </c>
      <c r="H8573" s="397"/>
      <c r="I8573" s="397"/>
      <c r="J8573" s="750" t="e">
        <f t="shared" si="116"/>
        <v>#DIV/0!</v>
      </c>
      <c r="K8573" s="398"/>
      <c r="L8573" s="398"/>
      <c r="M8573" s="682"/>
    </row>
    <row r="8574" spans="6:13" ht="13.5" hidden="1" thickBot="1" x14ac:dyDescent="0.25">
      <c r="F8574" s="494">
        <v>513</v>
      </c>
      <c r="G8574" s="497" t="s">
        <v>4196</v>
      </c>
      <c r="H8574" s="397"/>
      <c r="I8574" s="397"/>
      <c r="J8574" s="750" t="e">
        <f t="shared" si="116"/>
        <v>#DIV/0!</v>
      </c>
      <c r="K8574" s="398"/>
      <c r="L8574" s="398"/>
      <c r="M8574" s="682"/>
    </row>
    <row r="8575" spans="6:13" ht="13.5" hidden="1" thickBot="1" x14ac:dyDescent="0.25">
      <c r="F8575" s="494">
        <v>514</v>
      </c>
      <c r="G8575" s="495" t="s">
        <v>4197</v>
      </c>
      <c r="H8575" s="397"/>
      <c r="I8575" s="397"/>
      <c r="J8575" s="750" t="e">
        <f t="shared" si="116"/>
        <v>#DIV/0!</v>
      </c>
      <c r="K8575" s="398"/>
      <c r="L8575" s="398"/>
      <c r="M8575" s="682"/>
    </row>
    <row r="8576" spans="6:13" ht="13.5" hidden="1" thickBot="1" x14ac:dyDescent="0.25">
      <c r="F8576" s="494">
        <v>515</v>
      </c>
      <c r="G8576" s="495" t="s">
        <v>3832</v>
      </c>
      <c r="H8576" s="397"/>
      <c r="I8576" s="397"/>
      <c r="J8576" s="750" t="e">
        <f t="shared" si="116"/>
        <v>#DIV/0!</v>
      </c>
      <c r="K8576" s="398"/>
      <c r="L8576" s="398"/>
      <c r="M8576" s="682"/>
    </row>
    <row r="8577" spans="5:13" ht="13.5" hidden="1" thickBot="1" x14ac:dyDescent="0.25">
      <c r="F8577" s="494">
        <v>521</v>
      </c>
      <c r="G8577" s="495" t="s">
        <v>4198</v>
      </c>
      <c r="H8577" s="397"/>
      <c r="I8577" s="397"/>
      <c r="J8577" s="750" t="e">
        <f t="shared" si="116"/>
        <v>#DIV/0!</v>
      </c>
      <c r="K8577" s="398"/>
      <c r="L8577" s="398"/>
      <c r="M8577" s="682"/>
    </row>
    <row r="8578" spans="5:13" ht="13.5" hidden="1" thickBot="1" x14ac:dyDescent="0.25">
      <c r="F8578" s="494">
        <v>522</v>
      </c>
      <c r="G8578" s="495" t="s">
        <v>4199</v>
      </c>
      <c r="H8578" s="397"/>
      <c r="I8578" s="397"/>
      <c r="J8578" s="750" t="e">
        <f t="shared" si="116"/>
        <v>#DIV/0!</v>
      </c>
      <c r="K8578" s="398"/>
      <c r="L8578" s="398"/>
      <c r="M8578" s="682"/>
    </row>
    <row r="8579" spans="5:13" ht="13.5" hidden="1" thickBot="1" x14ac:dyDescent="0.25">
      <c r="F8579" s="494">
        <v>523</v>
      </c>
      <c r="G8579" s="495" t="s">
        <v>3837</v>
      </c>
      <c r="H8579" s="397"/>
      <c r="I8579" s="397"/>
      <c r="J8579" s="750" t="e">
        <f t="shared" si="116"/>
        <v>#DIV/0!</v>
      </c>
      <c r="K8579" s="398"/>
      <c r="L8579" s="398"/>
      <c r="M8579" s="682"/>
    </row>
    <row r="8580" spans="5:13" ht="13.5" hidden="1" thickBot="1" x14ac:dyDescent="0.25">
      <c r="F8580" s="494">
        <v>531</v>
      </c>
      <c r="G8580" s="496" t="s">
        <v>4175</v>
      </c>
      <c r="H8580" s="397"/>
      <c r="I8580" s="397"/>
      <c r="J8580" s="750" t="e">
        <f t="shared" si="116"/>
        <v>#DIV/0!</v>
      </c>
      <c r="K8580" s="398"/>
      <c r="L8580" s="398"/>
      <c r="M8580" s="682"/>
    </row>
    <row r="8581" spans="5:13" ht="13.5" hidden="1" thickBot="1" x14ac:dyDescent="0.25">
      <c r="F8581" s="494">
        <v>541</v>
      </c>
      <c r="G8581" s="495" t="s">
        <v>4200</v>
      </c>
      <c r="H8581" s="397"/>
      <c r="I8581" s="397"/>
      <c r="J8581" s="750" t="e">
        <f t="shared" si="116"/>
        <v>#DIV/0!</v>
      </c>
      <c r="K8581" s="398"/>
      <c r="L8581" s="398"/>
      <c r="M8581" s="682"/>
    </row>
    <row r="8582" spans="5:13" ht="13.5" hidden="1" thickBot="1" x14ac:dyDescent="0.25">
      <c r="F8582" s="494">
        <v>542</v>
      </c>
      <c r="G8582" s="495" t="s">
        <v>4201</v>
      </c>
      <c r="H8582" s="397"/>
      <c r="I8582" s="397"/>
      <c r="J8582" s="750" t="e">
        <f t="shared" si="116"/>
        <v>#DIV/0!</v>
      </c>
      <c r="K8582" s="398"/>
      <c r="L8582" s="398"/>
      <c r="M8582" s="682"/>
    </row>
    <row r="8583" spans="5:13" ht="13.5" hidden="1" thickBot="1" x14ac:dyDescent="0.25">
      <c r="F8583" s="494">
        <v>543</v>
      </c>
      <c r="G8583" s="495" t="s">
        <v>3842</v>
      </c>
      <c r="H8583" s="397"/>
      <c r="I8583" s="397"/>
      <c r="J8583" s="750" t="e">
        <f t="shared" si="116"/>
        <v>#DIV/0!</v>
      </c>
      <c r="K8583" s="398"/>
      <c r="L8583" s="398"/>
      <c r="M8583" s="682"/>
    </row>
    <row r="8584" spans="5:13" ht="39" hidden="1" thickBot="1" x14ac:dyDescent="0.25">
      <c r="F8584" s="494">
        <v>551</v>
      </c>
      <c r="G8584" s="495" t="s">
        <v>4176</v>
      </c>
      <c r="H8584" s="397"/>
      <c r="I8584" s="397"/>
      <c r="J8584" s="750" t="e">
        <f t="shared" si="116"/>
        <v>#DIV/0!</v>
      </c>
      <c r="K8584" s="398"/>
      <c r="L8584" s="398"/>
      <c r="M8584" s="682"/>
    </row>
    <row r="8585" spans="5:13" ht="13.5" hidden="1" thickBot="1" x14ac:dyDescent="0.25">
      <c r="F8585" s="498">
        <v>611</v>
      </c>
      <c r="G8585" s="499" t="s">
        <v>3848</v>
      </c>
      <c r="H8585" s="397"/>
      <c r="I8585" s="397"/>
      <c r="J8585" s="750" t="e">
        <f t="shared" si="116"/>
        <v>#DIV/0!</v>
      </c>
      <c r="K8585" s="398"/>
      <c r="L8585" s="398"/>
      <c r="M8585" s="682"/>
    </row>
    <row r="8586" spans="5:13" ht="13.5" hidden="1" thickBot="1" x14ac:dyDescent="0.25">
      <c r="F8586" s="498">
        <v>620</v>
      </c>
      <c r="G8586" s="499" t="s">
        <v>88</v>
      </c>
      <c r="H8586" s="397"/>
      <c r="I8586" s="397"/>
      <c r="J8586" s="750" t="e">
        <f t="shared" si="116"/>
        <v>#DIV/0!</v>
      </c>
      <c r="K8586" s="398"/>
      <c r="L8586" s="398"/>
      <c r="M8586" s="682"/>
    </row>
    <row r="8587" spans="5:13" x14ac:dyDescent="0.2">
      <c r="E8587" s="500"/>
      <c r="F8587" s="498"/>
      <c r="G8587" s="509" t="s">
        <v>4360</v>
      </c>
      <c r="H8587" s="400"/>
      <c r="I8587" s="400"/>
      <c r="J8587" s="750"/>
      <c r="K8587" s="401"/>
      <c r="L8587" s="402"/>
      <c r="M8587" s="682"/>
    </row>
    <row r="8588" spans="5:13" x14ac:dyDescent="0.2">
      <c r="E8588" s="502"/>
      <c r="F8588" s="503" t="s">
        <v>234</v>
      </c>
      <c r="G8588" s="504" t="s">
        <v>235</v>
      </c>
      <c r="H8588" s="403">
        <v>3000000</v>
      </c>
      <c r="I8588" s="403">
        <f>SUM(I8538:I8540)</f>
        <v>1548472.9100000001</v>
      </c>
      <c r="J8588" s="750">
        <f t="shared" si="116"/>
        <v>51.615763666666666</v>
      </c>
      <c r="K8588" s="404"/>
      <c r="L8588" s="404"/>
      <c r="M8588" s="682"/>
    </row>
    <row r="8589" spans="5:13" hidden="1" x14ac:dyDescent="0.2">
      <c r="F8589" s="503" t="s">
        <v>236</v>
      </c>
      <c r="G8589" s="504" t="s">
        <v>237</v>
      </c>
      <c r="H8589" s="397"/>
      <c r="I8589" s="397"/>
      <c r="J8589" s="750" t="e">
        <f t="shared" si="116"/>
        <v>#DIV/0!</v>
      </c>
      <c r="K8589" s="398"/>
      <c r="L8589" s="404"/>
      <c r="M8589" s="682"/>
    </row>
    <row r="8590" spans="5:13" hidden="1" x14ac:dyDescent="0.2">
      <c r="F8590" s="503" t="s">
        <v>238</v>
      </c>
      <c r="G8590" s="504" t="s">
        <v>239</v>
      </c>
      <c r="H8590" s="397"/>
      <c r="I8590" s="397"/>
      <c r="J8590" s="750" t="e">
        <f t="shared" ref="J8590:J8653" si="117">SUM(I8590/H8590)*100</f>
        <v>#DIV/0!</v>
      </c>
      <c r="K8590" s="398"/>
      <c r="L8590" s="404"/>
      <c r="M8590" s="682"/>
    </row>
    <row r="8591" spans="5:13" hidden="1" x14ac:dyDescent="0.2">
      <c r="F8591" s="503" t="s">
        <v>240</v>
      </c>
      <c r="G8591" s="504" t="s">
        <v>241</v>
      </c>
      <c r="H8591" s="397"/>
      <c r="I8591" s="397"/>
      <c r="J8591" s="750" t="e">
        <f t="shared" si="117"/>
        <v>#DIV/0!</v>
      </c>
      <c r="K8591" s="398"/>
      <c r="L8591" s="404"/>
      <c r="M8591" s="682"/>
    </row>
    <row r="8592" spans="5:13" hidden="1" x14ac:dyDescent="0.2">
      <c r="F8592" s="503" t="s">
        <v>242</v>
      </c>
      <c r="G8592" s="504" t="s">
        <v>243</v>
      </c>
      <c r="H8592" s="397"/>
      <c r="I8592" s="397"/>
      <c r="J8592" s="750" t="e">
        <f t="shared" si="117"/>
        <v>#DIV/0!</v>
      </c>
      <c r="K8592" s="398"/>
      <c r="L8592" s="404"/>
      <c r="M8592" s="682"/>
    </row>
    <row r="8593" spans="5:13" hidden="1" x14ac:dyDescent="0.2">
      <c r="F8593" s="503" t="s">
        <v>244</v>
      </c>
      <c r="G8593" s="504" t="s">
        <v>245</v>
      </c>
      <c r="H8593" s="397"/>
      <c r="I8593" s="397"/>
      <c r="J8593" s="750" t="e">
        <f t="shared" si="117"/>
        <v>#DIV/0!</v>
      </c>
      <c r="K8593" s="398"/>
      <c r="L8593" s="404"/>
      <c r="M8593" s="682"/>
    </row>
    <row r="8594" spans="5:13" hidden="1" x14ac:dyDescent="0.2">
      <c r="F8594" s="503" t="s">
        <v>246</v>
      </c>
      <c r="G8594" s="504" t="s">
        <v>247</v>
      </c>
      <c r="H8594" s="397"/>
      <c r="I8594" s="397"/>
      <c r="J8594" s="750" t="e">
        <f t="shared" si="117"/>
        <v>#DIV/0!</v>
      </c>
      <c r="K8594" s="398"/>
      <c r="L8594" s="404"/>
      <c r="M8594" s="682"/>
    </row>
    <row r="8595" spans="5:13" ht="25.5" hidden="1" x14ac:dyDescent="0.2">
      <c r="F8595" s="503" t="s">
        <v>248</v>
      </c>
      <c r="G8595" s="504" t="s">
        <v>249</v>
      </c>
      <c r="H8595" s="397"/>
      <c r="I8595" s="397"/>
      <c r="J8595" s="750" t="e">
        <f t="shared" si="117"/>
        <v>#DIV/0!</v>
      </c>
      <c r="K8595" s="398"/>
      <c r="L8595" s="404"/>
      <c r="M8595" s="682"/>
    </row>
    <row r="8596" spans="5:13" hidden="1" x14ac:dyDescent="0.2">
      <c r="F8596" s="503" t="s">
        <v>250</v>
      </c>
      <c r="G8596" s="504" t="s">
        <v>57</v>
      </c>
      <c r="H8596" s="397"/>
      <c r="I8596" s="397"/>
      <c r="J8596" s="750" t="e">
        <f t="shared" si="117"/>
        <v>#DIV/0!</v>
      </c>
      <c r="K8596" s="398"/>
      <c r="L8596" s="404"/>
      <c r="M8596" s="682"/>
    </row>
    <row r="8597" spans="5:13" hidden="1" x14ac:dyDescent="0.2">
      <c r="F8597" s="503" t="s">
        <v>251</v>
      </c>
      <c r="G8597" s="504" t="s">
        <v>252</v>
      </c>
      <c r="H8597" s="397"/>
      <c r="I8597" s="397"/>
      <c r="J8597" s="750" t="e">
        <f t="shared" si="117"/>
        <v>#DIV/0!</v>
      </c>
      <c r="K8597" s="398"/>
      <c r="L8597" s="404"/>
      <c r="M8597" s="682"/>
    </row>
    <row r="8598" spans="5:13" hidden="1" x14ac:dyDescent="0.2">
      <c r="F8598" s="503" t="s">
        <v>253</v>
      </c>
      <c r="G8598" s="504" t="s">
        <v>254</v>
      </c>
      <c r="H8598" s="397"/>
      <c r="I8598" s="397"/>
      <c r="J8598" s="750" t="e">
        <f t="shared" si="117"/>
        <v>#DIV/0!</v>
      </c>
      <c r="K8598" s="398"/>
      <c r="L8598" s="404"/>
      <c r="M8598" s="682"/>
    </row>
    <row r="8599" spans="5:13" ht="25.5" hidden="1" x14ac:dyDescent="0.2">
      <c r="F8599" s="503" t="s">
        <v>255</v>
      </c>
      <c r="G8599" s="504" t="s">
        <v>256</v>
      </c>
      <c r="H8599" s="397"/>
      <c r="I8599" s="397"/>
      <c r="J8599" s="750" t="e">
        <f t="shared" si="117"/>
        <v>#DIV/0!</v>
      </c>
      <c r="K8599" s="398"/>
      <c r="L8599" s="404"/>
      <c r="M8599" s="682"/>
    </row>
    <row r="8600" spans="5:13" ht="14.25" customHeight="1" thickBot="1" x14ac:dyDescent="0.25">
      <c r="F8600" s="503" t="s">
        <v>257</v>
      </c>
      <c r="G8600" s="504" t="s">
        <v>258</v>
      </c>
      <c r="H8600" s="397">
        <v>849049</v>
      </c>
      <c r="I8600" s="397">
        <v>0</v>
      </c>
      <c r="J8600" s="750">
        <f t="shared" si="117"/>
        <v>0</v>
      </c>
      <c r="K8600" s="398"/>
      <c r="L8600" s="404"/>
      <c r="M8600" s="682"/>
    </row>
    <row r="8601" spans="5:13" ht="12.75" hidden="1" customHeight="1" x14ac:dyDescent="0.2">
      <c r="F8601" s="503" t="s">
        <v>259</v>
      </c>
      <c r="G8601" s="504" t="s">
        <v>260</v>
      </c>
      <c r="H8601" s="397"/>
      <c r="I8601" s="397"/>
      <c r="J8601" s="750" t="e">
        <f t="shared" si="117"/>
        <v>#DIV/0!</v>
      </c>
      <c r="K8601" s="398"/>
      <c r="L8601" s="404"/>
      <c r="M8601" s="682"/>
    </row>
    <row r="8602" spans="5:13" ht="13.5" hidden="1" customHeight="1" x14ac:dyDescent="0.2">
      <c r="F8602" s="503" t="s">
        <v>261</v>
      </c>
      <c r="G8602" s="504" t="s">
        <v>262</v>
      </c>
      <c r="H8602" s="397"/>
      <c r="I8602" s="397"/>
      <c r="J8602" s="750" t="e">
        <f t="shared" si="117"/>
        <v>#DIV/0!</v>
      </c>
      <c r="K8602" s="398"/>
      <c r="L8602" s="404"/>
      <c r="M8602" s="682"/>
    </row>
    <row r="8603" spans="5:13" ht="12" hidden="1" customHeight="1" thickBot="1" x14ac:dyDescent="0.25">
      <c r="F8603" s="503" t="s">
        <v>263</v>
      </c>
      <c r="G8603" s="504" t="s">
        <v>264</v>
      </c>
      <c r="H8603" s="403"/>
      <c r="I8603" s="403"/>
      <c r="J8603" s="750" t="e">
        <f t="shared" si="117"/>
        <v>#DIV/0!</v>
      </c>
      <c r="K8603" s="404"/>
      <c r="L8603" s="404"/>
      <c r="M8603" s="682"/>
    </row>
    <row r="8604" spans="5:13" ht="13.5" thickBot="1" x14ac:dyDescent="0.25">
      <c r="G8604" s="505" t="s">
        <v>4361</v>
      </c>
      <c r="H8604" s="405">
        <f>SUM(H8588:H8600)</f>
        <v>3849049</v>
      </c>
      <c r="I8604" s="405">
        <f>SUM(I8588)</f>
        <v>1548472.9100000001</v>
      </c>
      <c r="J8604" s="750">
        <f t="shared" si="117"/>
        <v>40.23001292007455</v>
      </c>
      <c r="K8604" s="406">
        <f>SUM(K8589:K8603)</f>
        <v>0</v>
      </c>
      <c r="L8604" s="406"/>
      <c r="M8604" s="682"/>
    </row>
    <row r="8605" spans="5:13" ht="16.5" customHeight="1" collapsed="1" x14ac:dyDescent="0.2">
      <c r="E8605" s="500"/>
      <c r="F8605" s="498"/>
      <c r="G8605" s="506" t="s">
        <v>4238</v>
      </c>
      <c r="H8605" s="407"/>
      <c r="I8605" s="408"/>
      <c r="J8605" s="750"/>
      <c r="K8605" s="409"/>
      <c r="L8605" s="410"/>
      <c r="M8605" s="682"/>
    </row>
    <row r="8606" spans="5:13" ht="15" customHeight="1" x14ac:dyDescent="0.2">
      <c r="E8606" s="502"/>
      <c r="F8606" s="503" t="s">
        <v>234</v>
      </c>
      <c r="G8606" s="504" t="s">
        <v>235</v>
      </c>
      <c r="H8606" s="403">
        <v>3000000</v>
      </c>
      <c r="I8606" s="403">
        <f>SUM(I8604)</f>
        <v>1548472.9100000001</v>
      </c>
      <c r="J8606" s="750">
        <f t="shared" si="117"/>
        <v>51.615763666666666</v>
      </c>
      <c r="K8606" s="404"/>
      <c r="L8606" s="404"/>
      <c r="M8606" s="682"/>
    </row>
    <row r="8607" spans="5:13" hidden="1" x14ac:dyDescent="0.2">
      <c r="F8607" s="503" t="s">
        <v>236</v>
      </c>
      <c r="G8607" s="504" t="s">
        <v>237</v>
      </c>
      <c r="H8607" s="397"/>
      <c r="I8607" s="397"/>
      <c r="J8607" s="750" t="e">
        <f t="shared" si="117"/>
        <v>#DIV/0!</v>
      </c>
      <c r="K8607" s="398"/>
      <c r="L8607" s="404"/>
      <c r="M8607" s="682"/>
    </row>
    <row r="8608" spans="5:13" hidden="1" x14ac:dyDescent="0.2">
      <c r="F8608" s="503" t="s">
        <v>238</v>
      </c>
      <c r="G8608" s="504" t="s">
        <v>239</v>
      </c>
      <c r="H8608" s="397"/>
      <c r="I8608" s="397"/>
      <c r="J8608" s="750" t="e">
        <f t="shared" si="117"/>
        <v>#DIV/0!</v>
      </c>
      <c r="K8608" s="398"/>
      <c r="L8608" s="404"/>
      <c r="M8608" s="682"/>
    </row>
    <row r="8609" spans="3:27" hidden="1" x14ac:dyDescent="0.2">
      <c r="F8609" s="503" t="s">
        <v>240</v>
      </c>
      <c r="G8609" s="504" t="s">
        <v>241</v>
      </c>
      <c r="H8609" s="397"/>
      <c r="I8609" s="397"/>
      <c r="J8609" s="750" t="e">
        <f t="shared" si="117"/>
        <v>#DIV/0!</v>
      </c>
      <c r="K8609" s="398"/>
      <c r="L8609" s="404"/>
      <c r="M8609" s="682"/>
    </row>
    <row r="8610" spans="3:27" hidden="1" x14ac:dyDescent="0.2">
      <c r="F8610" s="503" t="s">
        <v>242</v>
      </c>
      <c r="G8610" s="504" t="s">
        <v>243</v>
      </c>
      <c r="H8610" s="397"/>
      <c r="I8610" s="397"/>
      <c r="J8610" s="750" t="e">
        <f t="shared" si="117"/>
        <v>#DIV/0!</v>
      </c>
      <c r="K8610" s="398"/>
      <c r="L8610" s="404"/>
      <c r="M8610" s="682"/>
    </row>
    <row r="8611" spans="3:27" hidden="1" x14ac:dyDescent="0.2">
      <c r="F8611" s="503" t="s">
        <v>244</v>
      </c>
      <c r="G8611" s="504" t="s">
        <v>245</v>
      </c>
      <c r="H8611" s="397"/>
      <c r="I8611" s="397"/>
      <c r="J8611" s="750" t="e">
        <f t="shared" si="117"/>
        <v>#DIV/0!</v>
      </c>
      <c r="K8611" s="398"/>
      <c r="L8611" s="404"/>
      <c r="M8611" s="682"/>
    </row>
    <row r="8612" spans="3:27" hidden="1" x14ac:dyDescent="0.2">
      <c r="F8612" s="503" t="s">
        <v>246</v>
      </c>
      <c r="G8612" s="504" t="s">
        <v>247</v>
      </c>
      <c r="H8612" s="397"/>
      <c r="I8612" s="397"/>
      <c r="J8612" s="750" t="e">
        <f t="shared" si="117"/>
        <v>#DIV/0!</v>
      </c>
      <c r="K8612" s="398"/>
      <c r="L8612" s="404"/>
      <c r="M8612" s="682"/>
    </row>
    <row r="8613" spans="3:27" ht="25.5" hidden="1" x14ac:dyDescent="0.2">
      <c r="F8613" s="503" t="s">
        <v>248</v>
      </c>
      <c r="G8613" s="504" t="s">
        <v>249</v>
      </c>
      <c r="H8613" s="397"/>
      <c r="I8613" s="397"/>
      <c r="J8613" s="750" t="e">
        <f t="shared" si="117"/>
        <v>#DIV/0!</v>
      </c>
      <c r="K8613" s="398"/>
      <c r="L8613" s="404"/>
      <c r="M8613" s="682"/>
    </row>
    <row r="8614" spans="3:27" hidden="1" x14ac:dyDescent="0.2">
      <c r="F8614" s="503" t="s">
        <v>250</v>
      </c>
      <c r="G8614" s="504" t="s">
        <v>57</v>
      </c>
      <c r="H8614" s="397"/>
      <c r="I8614" s="397"/>
      <c r="J8614" s="750" t="e">
        <f t="shared" si="117"/>
        <v>#DIV/0!</v>
      </c>
      <c r="K8614" s="398"/>
      <c r="L8614" s="404"/>
      <c r="M8614" s="682"/>
    </row>
    <row r="8615" spans="3:27" hidden="1" x14ac:dyDescent="0.2">
      <c r="F8615" s="503" t="s">
        <v>251</v>
      </c>
      <c r="G8615" s="504" t="s">
        <v>252</v>
      </c>
      <c r="H8615" s="397"/>
      <c r="I8615" s="397"/>
      <c r="J8615" s="750" t="e">
        <f t="shared" si="117"/>
        <v>#DIV/0!</v>
      </c>
      <c r="K8615" s="398"/>
      <c r="L8615" s="404"/>
      <c r="M8615" s="682"/>
    </row>
    <row r="8616" spans="3:27" hidden="1" x14ac:dyDescent="0.2">
      <c r="F8616" s="503" t="s">
        <v>253</v>
      </c>
      <c r="G8616" s="504" t="s">
        <v>254</v>
      </c>
      <c r="H8616" s="397"/>
      <c r="I8616" s="397"/>
      <c r="J8616" s="750" t="e">
        <f t="shared" si="117"/>
        <v>#DIV/0!</v>
      </c>
      <c r="K8616" s="398"/>
      <c r="L8616" s="404"/>
      <c r="M8616" s="682"/>
    </row>
    <row r="8617" spans="3:27" ht="25.5" hidden="1" x14ac:dyDescent="0.2">
      <c r="F8617" s="503" t="s">
        <v>255</v>
      </c>
      <c r="G8617" s="504" t="s">
        <v>256</v>
      </c>
      <c r="H8617" s="397"/>
      <c r="I8617" s="397"/>
      <c r="J8617" s="750" t="e">
        <f t="shared" si="117"/>
        <v>#DIV/0!</v>
      </c>
      <c r="K8617" s="398"/>
      <c r="L8617" s="404"/>
      <c r="M8617" s="682"/>
    </row>
    <row r="8618" spans="3:27" ht="14.25" customHeight="1" thickBot="1" x14ac:dyDescent="0.25">
      <c r="F8618" s="503" t="s">
        <v>257</v>
      </c>
      <c r="G8618" s="504" t="s">
        <v>258</v>
      </c>
      <c r="H8618" s="397">
        <v>849049</v>
      </c>
      <c r="I8618" s="397">
        <v>0</v>
      </c>
      <c r="J8618" s="750">
        <f t="shared" si="117"/>
        <v>0</v>
      </c>
      <c r="K8618" s="398"/>
      <c r="L8618" s="404"/>
      <c r="M8618" s="682"/>
    </row>
    <row r="8619" spans="3:27" ht="15" hidden="1" customHeight="1" x14ac:dyDescent="0.2">
      <c r="F8619" s="503" t="s">
        <v>259</v>
      </c>
      <c r="G8619" s="504" t="s">
        <v>260</v>
      </c>
      <c r="H8619" s="397"/>
      <c r="I8619" s="397"/>
      <c r="J8619" s="750" t="e">
        <f t="shared" si="117"/>
        <v>#DIV/0!</v>
      </c>
      <c r="K8619" s="398"/>
      <c r="L8619" s="404"/>
      <c r="M8619" s="682"/>
    </row>
    <row r="8620" spans="3:27" ht="13.5" hidden="1" customHeight="1" x14ac:dyDescent="0.2">
      <c r="F8620" s="503" t="s">
        <v>261</v>
      </c>
      <c r="G8620" s="504" t="s">
        <v>262</v>
      </c>
      <c r="H8620" s="397"/>
      <c r="I8620" s="397"/>
      <c r="J8620" s="750" t="e">
        <f t="shared" si="117"/>
        <v>#DIV/0!</v>
      </c>
      <c r="K8620" s="398"/>
      <c r="L8620" s="404"/>
      <c r="M8620" s="682"/>
    </row>
    <row r="8621" spans="3:27" ht="12.75" hidden="1" customHeight="1" thickBot="1" x14ac:dyDescent="0.25">
      <c r="F8621" s="503" t="s">
        <v>263</v>
      </c>
      <c r="G8621" s="504" t="s">
        <v>264</v>
      </c>
      <c r="H8621" s="403"/>
      <c r="I8621" s="403"/>
      <c r="J8621" s="750" t="e">
        <f t="shared" si="117"/>
        <v>#DIV/0!</v>
      </c>
      <c r="K8621" s="404"/>
      <c r="L8621" s="404"/>
      <c r="M8621" s="682"/>
    </row>
    <row r="8622" spans="3:27" ht="13.5" collapsed="1" thickBot="1" x14ac:dyDescent="0.25">
      <c r="G8622" s="505" t="s">
        <v>4239</v>
      </c>
      <c r="H8622" s="405">
        <f>SUM(H8606:H8621)</f>
        <v>3849049</v>
      </c>
      <c r="I8622" s="405">
        <f>SUM(I8606)</f>
        <v>1548472.9100000001</v>
      </c>
      <c r="J8622" s="750">
        <f t="shared" si="117"/>
        <v>40.23001292007455</v>
      </c>
      <c r="K8622" s="406">
        <f>SUM(K8607:K8621)</f>
        <v>0</v>
      </c>
      <c r="L8622" s="406"/>
      <c r="M8622" s="682"/>
    </row>
    <row r="8623" spans="3:27" s="530" customFormat="1" ht="0.75" customHeight="1" x14ac:dyDescent="0.2">
      <c r="C8623" s="528"/>
      <c r="D8623" s="528"/>
      <c r="G8623" s="178"/>
      <c r="H8623" s="425"/>
      <c r="I8623" s="425"/>
      <c r="J8623" s="750" t="e">
        <f t="shared" si="117"/>
        <v>#DIV/0!</v>
      </c>
      <c r="K8623" s="243"/>
      <c r="L8623" s="243"/>
      <c r="M8623" s="682"/>
      <c r="N8623" s="171"/>
      <c r="O8623" s="171"/>
      <c r="P8623" s="171"/>
      <c r="Q8623" s="171"/>
      <c r="R8623" s="171"/>
      <c r="S8623" s="171"/>
      <c r="T8623" s="171"/>
      <c r="U8623" s="171"/>
      <c r="V8623" s="171"/>
      <c r="W8623" s="171"/>
      <c r="X8623" s="171"/>
      <c r="Y8623" s="171"/>
      <c r="Z8623" s="171"/>
      <c r="AA8623" s="171"/>
    </row>
    <row r="8624" spans="3:27" ht="25.5" hidden="1" x14ac:dyDescent="0.2">
      <c r="C8624" s="489" t="s">
        <v>4101</v>
      </c>
      <c r="D8624" s="490"/>
      <c r="G8624" s="491" t="s">
        <v>4102</v>
      </c>
      <c r="H8624" s="397"/>
      <c r="I8624" s="397"/>
      <c r="J8624" s="750" t="e">
        <f t="shared" si="117"/>
        <v>#DIV/0!</v>
      </c>
      <c r="K8624" s="398"/>
      <c r="L8624" s="398"/>
      <c r="M8624" s="682"/>
    </row>
    <row r="8625" spans="3:13" ht="25.5" hidden="1" x14ac:dyDescent="0.2">
      <c r="C8625" s="489"/>
      <c r="D8625" s="537">
        <v>540</v>
      </c>
      <c r="E8625" s="538"/>
      <c r="F8625" s="538"/>
      <c r="G8625" s="586" t="s">
        <v>3969</v>
      </c>
      <c r="H8625" s="397"/>
      <c r="I8625" s="397"/>
      <c r="J8625" s="750" t="e">
        <f t="shared" si="117"/>
        <v>#DIV/0!</v>
      </c>
      <c r="K8625" s="398"/>
      <c r="L8625" s="398"/>
      <c r="M8625" s="682"/>
    </row>
    <row r="8626" spans="3:13" hidden="1" x14ac:dyDescent="0.2">
      <c r="F8626" s="494">
        <v>411</v>
      </c>
      <c r="G8626" s="495" t="s">
        <v>4167</v>
      </c>
      <c r="H8626" s="397"/>
      <c r="I8626" s="397"/>
      <c r="J8626" s="750" t="e">
        <f t="shared" si="117"/>
        <v>#DIV/0!</v>
      </c>
      <c r="K8626" s="398"/>
      <c r="L8626" s="398"/>
      <c r="M8626" s="682"/>
    </row>
    <row r="8627" spans="3:13" hidden="1" x14ac:dyDescent="0.2">
      <c r="F8627" s="494">
        <v>412</v>
      </c>
      <c r="G8627" s="496" t="s">
        <v>3764</v>
      </c>
      <c r="H8627" s="397"/>
      <c r="I8627" s="397"/>
      <c r="J8627" s="750" t="e">
        <f t="shared" si="117"/>
        <v>#DIV/0!</v>
      </c>
      <c r="K8627" s="398"/>
      <c r="L8627" s="398"/>
      <c r="M8627" s="682"/>
    </row>
    <row r="8628" spans="3:13" hidden="1" x14ac:dyDescent="0.2">
      <c r="F8628" s="494">
        <v>413</v>
      </c>
      <c r="G8628" s="495" t="s">
        <v>4168</v>
      </c>
      <c r="H8628" s="397"/>
      <c r="I8628" s="397"/>
      <c r="J8628" s="750" t="e">
        <f t="shared" si="117"/>
        <v>#DIV/0!</v>
      </c>
      <c r="K8628" s="398"/>
      <c r="L8628" s="398"/>
      <c r="M8628" s="682"/>
    </row>
    <row r="8629" spans="3:13" hidden="1" x14ac:dyDescent="0.2">
      <c r="F8629" s="494">
        <v>414</v>
      </c>
      <c r="G8629" s="495" t="s">
        <v>3767</v>
      </c>
      <c r="H8629" s="397"/>
      <c r="I8629" s="397"/>
      <c r="J8629" s="750" t="e">
        <f t="shared" si="117"/>
        <v>#DIV/0!</v>
      </c>
      <c r="K8629" s="398"/>
      <c r="L8629" s="398"/>
      <c r="M8629" s="682"/>
    </row>
    <row r="8630" spans="3:13" hidden="1" x14ac:dyDescent="0.2">
      <c r="F8630" s="494">
        <v>415</v>
      </c>
      <c r="G8630" s="495" t="s">
        <v>4177</v>
      </c>
      <c r="H8630" s="397"/>
      <c r="I8630" s="397"/>
      <c r="J8630" s="750" t="e">
        <f t="shared" si="117"/>
        <v>#DIV/0!</v>
      </c>
      <c r="K8630" s="398"/>
      <c r="L8630" s="398"/>
      <c r="M8630" s="682"/>
    </row>
    <row r="8631" spans="3:13" ht="25.5" hidden="1" x14ac:dyDescent="0.2">
      <c r="F8631" s="494">
        <v>416</v>
      </c>
      <c r="G8631" s="495" t="s">
        <v>4178</v>
      </c>
      <c r="H8631" s="397"/>
      <c r="I8631" s="397"/>
      <c r="J8631" s="750" t="e">
        <f t="shared" si="117"/>
        <v>#DIV/0!</v>
      </c>
      <c r="K8631" s="398"/>
      <c r="L8631" s="398"/>
      <c r="M8631" s="682"/>
    </row>
    <row r="8632" spans="3:13" hidden="1" x14ac:dyDescent="0.2">
      <c r="F8632" s="494">
        <v>417</v>
      </c>
      <c r="G8632" s="495" t="s">
        <v>4179</v>
      </c>
      <c r="H8632" s="397"/>
      <c r="I8632" s="397"/>
      <c r="J8632" s="750" t="e">
        <f t="shared" si="117"/>
        <v>#DIV/0!</v>
      </c>
      <c r="K8632" s="398"/>
      <c r="L8632" s="398"/>
      <c r="M8632" s="682"/>
    </row>
    <row r="8633" spans="3:13" hidden="1" x14ac:dyDescent="0.2">
      <c r="F8633" s="494">
        <v>418</v>
      </c>
      <c r="G8633" s="495" t="s">
        <v>3773</v>
      </c>
      <c r="H8633" s="397"/>
      <c r="I8633" s="397"/>
      <c r="J8633" s="750" t="e">
        <f t="shared" si="117"/>
        <v>#DIV/0!</v>
      </c>
      <c r="K8633" s="398"/>
      <c r="L8633" s="398"/>
      <c r="M8633" s="682"/>
    </row>
    <row r="8634" spans="3:13" hidden="1" x14ac:dyDescent="0.2">
      <c r="F8634" s="494">
        <v>421</v>
      </c>
      <c r="G8634" s="495" t="s">
        <v>3777</v>
      </c>
      <c r="H8634" s="397"/>
      <c r="I8634" s="397"/>
      <c r="J8634" s="750" t="e">
        <f t="shared" si="117"/>
        <v>#DIV/0!</v>
      </c>
      <c r="K8634" s="398"/>
      <c r="L8634" s="398"/>
      <c r="M8634" s="682"/>
    </row>
    <row r="8635" spans="3:13" hidden="1" x14ac:dyDescent="0.2">
      <c r="F8635" s="494">
        <v>422</v>
      </c>
      <c r="G8635" s="495" t="s">
        <v>3778</v>
      </c>
      <c r="H8635" s="397"/>
      <c r="I8635" s="397"/>
      <c r="J8635" s="750" t="e">
        <f t="shared" si="117"/>
        <v>#DIV/0!</v>
      </c>
      <c r="K8635" s="398"/>
      <c r="L8635" s="398"/>
      <c r="M8635" s="682"/>
    </row>
    <row r="8636" spans="3:13" hidden="1" x14ac:dyDescent="0.2">
      <c r="F8636" s="494">
        <v>423</v>
      </c>
      <c r="G8636" s="495" t="s">
        <v>3779</v>
      </c>
      <c r="H8636" s="397"/>
      <c r="I8636" s="397"/>
      <c r="J8636" s="750" t="e">
        <f t="shared" si="117"/>
        <v>#DIV/0!</v>
      </c>
      <c r="K8636" s="398"/>
      <c r="L8636" s="398"/>
      <c r="M8636" s="682"/>
    </row>
    <row r="8637" spans="3:13" hidden="1" x14ac:dyDescent="0.2">
      <c r="F8637" s="494">
        <v>424</v>
      </c>
      <c r="G8637" s="495" t="s">
        <v>3781</v>
      </c>
      <c r="H8637" s="397"/>
      <c r="I8637" s="397"/>
      <c r="J8637" s="750" t="e">
        <f t="shared" si="117"/>
        <v>#DIV/0!</v>
      </c>
      <c r="K8637" s="398"/>
      <c r="L8637" s="398"/>
      <c r="M8637" s="682"/>
    </row>
    <row r="8638" spans="3:13" hidden="1" x14ac:dyDescent="0.2">
      <c r="F8638" s="494">
        <v>425</v>
      </c>
      <c r="G8638" s="495" t="s">
        <v>4180</v>
      </c>
      <c r="H8638" s="397"/>
      <c r="I8638" s="397"/>
      <c r="J8638" s="750" t="e">
        <f t="shared" si="117"/>
        <v>#DIV/0!</v>
      </c>
      <c r="K8638" s="398"/>
      <c r="L8638" s="398"/>
      <c r="M8638" s="682"/>
    </row>
    <row r="8639" spans="3:13" hidden="1" x14ac:dyDescent="0.2">
      <c r="F8639" s="494">
        <v>426</v>
      </c>
      <c r="G8639" s="495" t="s">
        <v>3785</v>
      </c>
      <c r="H8639" s="397"/>
      <c r="I8639" s="397"/>
      <c r="J8639" s="750" t="e">
        <f t="shared" si="117"/>
        <v>#DIV/0!</v>
      </c>
      <c r="K8639" s="398"/>
      <c r="L8639" s="398"/>
      <c r="M8639" s="682"/>
    </row>
    <row r="8640" spans="3:13" hidden="1" x14ac:dyDescent="0.2">
      <c r="F8640" s="494">
        <v>431</v>
      </c>
      <c r="G8640" s="495" t="s">
        <v>4181</v>
      </c>
      <c r="H8640" s="397"/>
      <c r="I8640" s="397"/>
      <c r="J8640" s="750" t="e">
        <f t="shared" si="117"/>
        <v>#DIV/0!</v>
      </c>
      <c r="K8640" s="398"/>
      <c r="L8640" s="398"/>
      <c r="M8640" s="682"/>
    </row>
    <row r="8641" spans="6:13" hidden="1" x14ac:dyDescent="0.2">
      <c r="F8641" s="494">
        <v>432</v>
      </c>
      <c r="G8641" s="495" t="s">
        <v>4182</v>
      </c>
      <c r="H8641" s="397"/>
      <c r="I8641" s="397"/>
      <c r="J8641" s="750" t="e">
        <f t="shared" si="117"/>
        <v>#DIV/0!</v>
      </c>
      <c r="K8641" s="398"/>
      <c r="L8641" s="398"/>
      <c r="M8641" s="682"/>
    </row>
    <row r="8642" spans="6:13" hidden="1" x14ac:dyDescent="0.2">
      <c r="F8642" s="494">
        <v>433</v>
      </c>
      <c r="G8642" s="495" t="s">
        <v>4183</v>
      </c>
      <c r="H8642" s="397"/>
      <c r="I8642" s="397"/>
      <c r="J8642" s="750" t="e">
        <f t="shared" si="117"/>
        <v>#DIV/0!</v>
      </c>
      <c r="K8642" s="398"/>
      <c r="L8642" s="398"/>
      <c r="M8642" s="682"/>
    </row>
    <row r="8643" spans="6:13" hidden="1" x14ac:dyDescent="0.2">
      <c r="F8643" s="494">
        <v>434</v>
      </c>
      <c r="G8643" s="495" t="s">
        <v>4184</v>
      </c>
      <c r="H8643" s="397"/>
      <c r="I8643" s="397"/>
      <c r="J8643" s="750" t="e">
        <f t="shared" si="117"/>
        <v>#DIV/0!</v>
      </c>
      <c r="K8643" s="398"/>
      <c r="L8643" s="398"/>
      <c r="M8643" s="682"/>
    </row>
    <row r="8644" spans="6:13" hidden="1" x14ac:dyDescent="0.2">
      <c r="F8644" s="494">
        <v>435</v>
      </c>
      <c r="G8644" s="495" t="s">
        <v>3792</v>
      </c>
      <c r="H8644" s="397"/>
      <c r="I8644" s="397"/>
      <c r="J8644" s="750" t="e">
        <f t="shared" si="117"/>
        <v>#DIV/0!</v>
      </c>
      <c r="K8644" s="398"/>
      <c r="L8644" s="398"/>
      <c r="M8644" s="682"/>
    </row>
    <row r="8645" spans="6:13" hidden="1" x14ac:dyDescent="0.2">
      <c r="F8645" s="494">
        <v>441</v>
      </c>
      <c r="G8645" s="495" t="s">
        <v>4185</v>
      </c>
      <c r="H8645" s="397"/>
      <c r="I8645" s="397"/>
      <c r="J8645" s="750" t="e">
        <f t="shared" si="117"/>
        <v>#DIV/0!</v>
      </c>
      <c r="K8645" s="398"/>
      <c r="L8645" s="398"/>
      <c r="M8645" s="682"/>
    </row>
    <row r="8646" spans="6:13" hidden="1" x14ac:dyDescent="0.2">
      <c r="F8646" s="494">
        <v>442</v>
      </c>
      <c r="G8646" s="495" t="s">
        <v>4186</v>
      </c>
      <c r="H8646" s="397"/>
      <c r="I8646" s="397"/>
      <c r="J8646" s="750" t="e">
        <f t="shared" si="117"/>
        <v>#DIV/0!</v>
      </c>
      <c r="K8646" s="398"/>
      <c r="L8646" s="398"/>
      <c r="M8646" s="682"/>
    </row>
    <row r="8647" spans="6:13" hidden="1" x14ac:dyDescent="0.2">
      <c r="F8647" s="494">
        <v>443</v>
      </c>
      <c r="G8647" s="495" t="s">
        <v>3797</v>
      </c>
      <c r="H8647" s="397"/>
      <c r="I8647" s="397"/>
      <c r="J8647" s="750" t="e">
        <f t="shared" si="117"/>
        <v>#DIV/0!</v>
      </c>
      <c r="K8647" s="398"/>
      <c r="L8647" s="398"/>
      <c r="M8647" s="682"/>
    </row>
    <row r="8648" spans="6:13" hidden="1" x14ac:dyDescent="0.2">
      <c r="F8648" s="494">
        <v>444</v>
      </c>
      <c r="G8648" s="495" t="s">
        <v>3798</v>
      </c>
      <c r="H8648" s="397"/>
      <c r="I8648" s="397"/>
      <c r="J8648" s="750" t="e">
        <f t="shared" si="117"/>
        <v>#DIV/0!</v>
      </c>
      <c r="K8648" s="398"/>
      <c r="L8648" s="398"/>
      <c r="M8648" s="682"/>
    </row>
    <row r="8649" spans="6:13" ht="25.5" hidden="1" x14ac:dyDescent="0.2">
      <c r="F8649" s="494">
        <v>4511</v>
      </c>
      <c r="G8649" s="466" t="s">
        <v>1692</v>
      </c>
      <c r="H8649" s="397"/>
      <c r="I8649" s="397"/>
      <c r="J8649" s="750" t="e">
        <f t="shared" si="117"/>
        <v>#DIV/0!</v>
      </c>
      <c r="K8649" s="398"/>
      <c r="L8649" s="398"/>
      <c r="M8649" s="682"/>
    </row>
    <row r="8650" spans="6:13" ht="25.5" hidden="1" x14ac:dyDescent="0.2">
      <c r="F8650" s="494">
        <v>4512</v>
      </c>
      <c r="G8650" s="466" t="s">
        <v>1701</v>
      </c>
      <c r="H8650" s="397"/>
      <c r="I8650" s="397"/>
      <c r="J8650" s="750" t="e">
        <f t="shared" si="117"/>
        <v>#DIV/0!</v>
      </c>
      <c r="K8650" s="398"/>
      <c r="L8650" s="398"/>
      <c r="M8650" s="682"/>
    </row>
    <row r="8651" spans="6:13" ht="25.5" hidden="1" x14ac:dyDescent="0.2">
      <c r="F8651" s="494">
        <v>452</v>
      </c>
      <c r="G8651" s="495" t="s">
        <v>4187</v>
      </c>
      <c r="H8651" s="397"/>
      <c r="I8651" s="397"/>
      <c r="J8651" s="750" t="e">
        <f t="shared" si="117"/>
        <v>#DIV/0!</v>
      </c>
      <c r="K8651" s="398"/>
      <c r="L8651" s="398"/>
      <c r="M8651" s="682"/>
    </row>
    <row r="8652" spans="6:13" ht="25.5" hidden="1" x14ac:dyDescent="0.2">
      <c r="F8652" s="494">
        <v>453</v>
      </c>
      <c r="G8652" s="495" t="s">
        <v>4188</v>
      </c>
      <c r="H8652" s="397"/>
      <c r="I8652" s="397"/>
      <c r="J8652" s="750" t="e">
        <f t="shared" si="117"/>
        <v>#DIV/0!</v>
      </c>
      <c r="K8652" s="398"/>
      <c r="L8652" s="398"/>
      <c r="M8652" s="682"/>
    </row>
    <row r="8653" spans="6:13" hidden="1" x14ac:dyDescent="0.2">
      <c r="F8653" s="494">
        <v>454</v>
      </c>
      <c r="G8653" s="495" t="s">
        <v>3803</v>
      </c>
      <c r="H8653" s="397"/>
      <c r="I8653" s="397"/>
      <c r="J8653" s="750" t="e">
        <f t="shared" si="117"/>
        <v>#DIV/0!</v>
      </c>
      <c r="K8653" s="398"/>
      <c r="L8653" s="398"/>
      <c r="M8653" s="682"/>
    </row>
    <row r="8654" spans="6:13" hidden="1" x14ac:dyDescent="0.2">
      <c r="F8654" s="494">
        <v>461</v>
      </c>
      <c r="G8654" s="495" t="s">
        <v>4169</v>
      </c>
      <c r="H8654" s="397"/>
      <c r="I8654" s="397"/>
      <c r="J8654" s="750" t="e">
        <f t="shared" ref="J8654:J8717" si="118">SUM(I8654/H8654)*100</f>
        <v>#DIV/0!</v>
      </c>
      <c r="K8654" s="398"/>
      <c r="L8654" s="398"/>
      <c r="M8654" s="682"/>
    </row>
    <row r="8655" spans="6:13" ht="25.5" hidden="1" x14ac:dyDescent="0.2">
      <c r="F8655" s="494">
        <v>462</v>
      </c>
      <c r="G8655" s="495" t="s">
        <v>3806</v>
      </c>
      <c r="H8655" s="397"/>
      <c r="I8655" s="397"/>
      <c r="J8655" s="750" t="e">
        <f t="shared" si="118"/>
        <v>#DIV/0!</v>
      </c>
      <c r="K8655" s="398"/>
      <c r="L8655" s="398"/>
      <c r="M8655" s="682"/>
    </row>
    <row r="8656" spans="6:13" hidden="1" x14ac:dyDescent="0.2">
      <c r="F8656" s="494">
        <v>4631</v>
      </c>
      <c r="G8656" s="495" t="s">
        <v>3807</v>
      </c>
      <c r="H8656" s="397"/>
      <c r="I8656" s="397"/>
      <c r="J8656" s="750" t="e">
        <f t="shared" si="118"/>
        <v>#DIV/0!</v>
      </c>
      <c r="K8656" s="398"/>
      <c r="L8656" s="398"/>
      <c r="M8656" s="682"/>
    </row>
    <row r="8657" spans="6:13" hidden="1" x14ac:dyDescent="0.2">
      <c r="F8657" s="494">
        <v>4632</v>
      </c>
      <c r="G8657" s="495" t="s">
        <v>3808</v>
      </c>
      <c r="H8657" s="397"/>
      <c r="I8657" s="397"/>
      <c r="J8657" s="750" t="e">
        <f t="shared" si="118"/>
        <v>#DIV/0!</v>
      </c>
      <c r="K8657" s="398"/>
      <c r="L8657" s="398"/>
      <c r="M8657" s="682"/>
    </row>
    <row r="8658" spans="6:13" ht="25.5" hidden="1" x14ac:dyDescent="0.2">
      <c r="F8658" s="494">
        <v>464</v>
      </c>
      <c r="G8658" s="495" t="s">
        <v>3809</v>
      </c>
      <c r="H8658" s="397"/>
      <c r="I8658" s="397"/>
      <c r="J8658" s="750" t="e">
        <f t="shared" si="118"/>
        <v>#DIV/0!</v>
      </c>
      <c r="K8658" s="398"/>
      <c r="L8658" s="398"/>
      <c r="M8658" s="682"/>
    </row>
    <row r="8659" spans="6:13" hidden="1" x14ac:dyDescent="0.2">
      <c r="F8659" s="494">
        <v>465</v>
      </c>
      <c r="G8659" s="495" t="s">
        <v>4170</v>
      </c>
      <c r="H8659" s="397"/>
      <c r="I8659" s="397"/>
      <c r="J8659" s="750" t="e">
        <f t="shared" si="118"/>
        <v>#DIV/0!</v>
      </c>
      <c r="K8659" s="398"/>
      <c r="L8659" s="398"/>
      <c r="M8659" s="682"/>
    </row>
    <row r="8660" spans="6:13" hidden="1" x14ac:dyDescent="0.2">
      <c r="F8660" s="494">
        <v>472</v>
      </c>
      <c r="G8660" s="495" t="s">
        <v>3813</v>
      </c>
      <c r="H8660" s="397"/>
      <c r="I8660" s="397"/>
      <c r="J8660" s="750" t="e">
        <f t="shared" si="118"/>
        <v>#DIV/0!</v>
      </c>
      <c r="K8660" s="398"/>
      <c r="L8660" s="398"/>
      <c r="M8660" s="682"/>
    </row>
    <row r="8661" spans="6:13" hidden="1" x14ac:dyDescent="0.2">
      <c r="F8661" s="494">
        <v>481</v>
      </c>
      <c r="G8661" s="495" t="s">
        <v>4189</v>
      </c>
      <c r="H8661" s="397"/>
      <c r="I8661" s="397"/>
      <c r="J8661" s="750" t="e">
        <f t="shared" si="118"/>
        <v>#DIV/0!</v>
      </c>
      <c r="K8661" s="398"/>
      <c r="L8661" s="398"/>
      <c r="M8661" s="682"/>
    </row>
    <row r="8662" spans="6:13" hidden="1" x14ac:dyDescent="0.2">
      <c r="F8662" s="494">
        <v>482</v>
      </c>
      <c r="G8662" s="495" t="s">
        <v>4190</v>
      </c>
      <c r="H8662" s="397"/>
      <c r="I8662" s="397"/>
      <c r="J8662" s="750" t="e">
        <f t="shared" si="118"/>
        <v>#DIV/0!</v>
      </c>
      <c r="K8662" s="398"/>
      <c r="L8662" s="398"/>
      <c r="M8662" s="682"/>
    </row>
    <row r="8663" spans="6:13" hidden="1" x14ac:dyDescent="0.2">
      <c r="F8663" s="494">
        <v>483</v>
      </c>
      <c r="G8663" s="497" t="s">
        <v>4191</v>
      </c>
      <c r="H8663" s="397"/>
      <c r="I8663" s="397"/>
      <c r="J8663" s="750" t="e">
        <f t="shared" si="118"/>
        <v>#DIV/0!</v>
      </c>
      <c r="K8663" s="398"/>
      <c r="L8663" s="398"/>
      <c r="M8663" s="682"/>
    </row>
    <row r="8664" spans="6:13" ht="38.25" hidden="1" x14ac:dyDescent="0.2">
      <c r="F8664" s="494">
        <v>484</v>
      </c>
      <c r="G8664" s="495" t="s">
        <v>4192</v>
      </c>
      <c r="H8664" s="397"/>
      <c r="I8664" s="397"/>
      <c r="J8664" s="750" t="e">
        <f t="shared" si="118"/>
        <v>#DIV/0!</v>
      </c>
      <c r="K8664" s="398"/>
      <c r="L8664" s="398"/>
      <c r="M8664" s="682"/>
    </row>
    <row r="8665" spans="6:13" ht="25.5" hidden="1" x14ac:dyDescent="0.2">
      <c r="F8665" s="494">
        <v>485</v>
      </c>
      <c r="G8665" s="495" t="s">
        <v>4193</v>
      </c>
      <c r="H8665" s="397"/>
      <c r="I8665" s="397"/>
      <c r="J8665" s="750" t="e">
        <f t="shared" si="118"/>
        <v>#DIV/0!</v>
      </c>
      <c r="K8665" s="398"/>
      <c r="L8665" s="398"/>
      <c r="M8665" s="682"/>
    </row>
    <row r="8666" spans="6:13" ht="25.5" hidden="1" x14ac:dyDescent="0.2">
      <c r="F8666" s="494">
        <v>489</v>
      </c>
      <c r="G8666" s="495" t="s">
        <v>3821</v>
      </c>
      <c r="H8666" s="397"/>
      <c r="I8666" s="397"/>
      <c r="J8666" s="750" t="e">
        <f t="shared" si="118"/>
        <v>#DIV/0!</v>
      </c>
      <c r="K8666" s="398"/>
      <c r="L8666" s="398"/>
      <c r="M8666" s="682"/>
    </row>
    <row r="8667" spans="6:13" ht="25.5" hidden="1" x14ac:dyDescent="0.2">
      <c r="F8667" s="494">
        <v>494</v>
      </c>
      <c r="G8667" s="495" t="s">
        <v>4171</v>
      </c>
      <c r="H8667" s="397"/>
      <c r="I8667" s="397"/>
      <c r="J8667" s="750" t="e">
        <f t="shared" si="118"/>
        <v>#DIV/0!</v>
      </c>
      <c r="K8667" s="398"/>
      <c r="L8667" s="398"/>
      <c r="M8667" s="682"/>
    </row>
    <row r="8668" spans="6:13" ht="25.5" hidden="1" x14ac:dyDescent="0.2">
      <c r="F8668" s="494">
        <v>495</v>
      </c>
      <c r="G8668" s="495" t="s">
        <v>4172</v>
      </c>
      <c r="H8668" s="397"/>
      <c r="I8668" s="397"/>
      <c r="J8668" s="750" t="e">
        <f t="shared" si="118"/>
        <v>#DIV/0!</v>
      </c>
      <c r="K8668" s="398"/>
      <c r="L8668" s="398"/>
      <c r="M8668" s="682"/>
    </row>
    <row r="8669" spans="6:13" ht="38.25" hidden="1" x14ac:dyDescent="0.2">
      <c r="F8669" s="494">
        <v>496</v>
      </c>
      <c r="G8669" s="495" t="s">
        <v>4173</v>
      </c>
      <c r="H8669" s="397"/>
      <c r="I8669" s="397"/>
      <c r="J8669" s="750" t="e">
        <f t="shared" si="118"/>
        <v>#DIV/0!</v>
      </c>
      <c r="K8669" s="398"/>
      <c r="L8669" s="398"/>
      <c r="M8669" s="682"/>
    </row>
    <row r="8670" spans="6:13" ht="25.5" hidden="1" x14ac:dyDescent="0.2">
      <c r="F8670" s="494">
        <v>499</v>
      </c>
      <c r="G8670" s="495" t="s">
        <v>4174</v>
      </c>
      <c r="H8670" s="397"/>
      <c r="I8670" s="397"/>
      <c r="J8670" s="750" t="e">
        <f t="shared" si="118"/>
        <v>#DIV/0!</v>
      </c>
      <c r="K8670" s="398"/>
      <c r="L8670" s="398"/>
      <c r="M8670" s="682"/>
    </row>
    <row r="8671" spans="6:13" hidden="1" x14ac:dyDescent="0.2">
      <c r="F8671" s="494">
        <v>511</v>
      </c>
      <c r="G8671" s="497" t="s">
        <v>4194</v>
      </c>
      <c r="H8671" s="397"/>
      <c r="I8671" s="397"/>
      <c r="J8671" s="750" t="e">
        <f t="shared" si="118"/>
        <v>#DIV/0!</v>
      </c>
      <c r="K8671" s="398"/>
      <c r="L8671" s="398"/>
      <c r="M8671" s="682"/>
    </row>
    <row r="8672" spans="6:13" hidden="1" x14ac:dyDescent="0.2">
      <c r="F8672" s="494">
        <v>512</v>
      </c>
      <c r="G8672" s="497" t="s">
        <v>4195</v>
      </c>
      <c r="H8672" s="397"/>
      <c r="I8672" s="397"/>
      <c r="J8672" s="750" t="e">
        <f t="shared" si="118"/>
        <v>#DIV/0!</v>
      </c>
      <c r="K8672" s="398"/>
      <c r="L8672" s="398"/>
      <c r="M8672" s="682"/>
    </row>
    <row r="8673" spans="5:13" hidden="1" x14ac:dyDescent="0.2">
      <c r="F8673" s="494">
        <v>513</v>
      </c>
      <c r="G8673" s="497" t="s">
        <v>4196</v>
      </c>
      <c r="H8673" s="397"/>
      <c r="I8673" s="397"/>
      <c r="J8673" s="750" t="e">
        <f t="shared" si="118"/>
        <v>#DIV/0!</v>
      </c>
      <c r="K8673" s="398"/>
      <c r="L8673" s="398"/>
      <c r="M8673" s="682"/>
    </row>
    <row r="8674" spans="5:13" hidden="1" x14ac:dyDescent="0.2">
      <c r="F8674" s="494">
        <v>514</v>
      </c>
      <c r="G8674" s="495" t="s">
        <v>4197</v>
      </c>
      <c r="H8674" s="397"/>
      <c r="I8674" s="397"/>
      <c r="J8674" s="750" t="e">
        <f t="shared" si="118"/>
        <v>#DIV/0!</v>
      </c>
      <c r="K8674" s="398"/>
      <c r="L8674" s="398"/>
      <c r="M8674" s="682"/>
    </row>
    <row r="8675" spans="5:13" hidden="1" x14ac:dyDescent="0.2">
      <c r="F8675" s="494">
        <v>515</v>
      </c>
      <c r="G8675" s="495" t="s">
        <v>3832</v>
      </c>
      <c r="H8675" s="397"/>
      <c r="I8675" s="397"/>
      <c r="J8675" s="750" t="e">
        <f t="shared" si="118"/>
        <v>#DIV/0!</v>
      </c>
      <c r="K8675" s="398"/>
      <c r="L8675" s="398"/>
      <c r="M8675" s="682"/>
    </row>
    <row r="8676" spans="5:13" hidden="1" x14ac:dyDescent="0.2">
      <c r="F8676" s="494">
        <v>521</v>
      </c>
      <c r="G8676" s="495" t="s">
        <v>4198</v>
      </c>
      <c r="H8676" s="397"/>
      <c r="I8676" s="397"/>
      <c r="J8676" s="750" t="e">
        <f t="shared" si="118"/>
        <v>#DIV/0!</v>
      </c>
      <c r="K8676" s="398"/>
      <c r="L8676" s="398"/>
      <c r="M8676" s="682"/>
    </row>
    <row r="8677" spans="5:13" hidden="1" x14ac:dyDescent="0.2">
      <c r="F8677" s="494">
        <v>522</v>
      </c>
      <c r="G8677" s="495" t="s">
        <v>4199</v>
      </c>
      <c r="H8677" s="397"/>
      <c r="I8677" s="397"/>
      <c r="J8677" s="750" t="e">
        <f t="shared" si="118"/>
        <v>#DIV/0!</v>
      </c>
      <c r="K8677" s="398"/>
      <c r="L8677" s="398"/>
      <c r="M8677" s="682"/>
    </row>
    <row r="8678" spans="5:13" hidden="1" x14ac:dyDescent="0.2">
      <c r="F8678" s="494">
        <v>523</v>
      </c>
      <c r="G8678" s="495" t="s">
        <v>3837</v>
      </c>
      <c r="H8678" s="397"/>
      <c r="I8678" s="397"/>
      <c r="J8678" s="750" t="e">
        <f t="shared" si="118"/>
        <v>#DIV/0!</v>
      </c>
      <c r="K8678" s="398"/>
      <c r="L8678" s="398"/>
      <c r="M8678" s="682"/>
    </row>
    <row r="8679" spans="5:13" hidden="1" x14ac:dyDescent="0.2">
      <c r="F8679" s="494">
        <v>531</v>
      </c>
      <c r="G8679" s="496" t="s">
        <v>4175</v>
      </c>
      <c r="H8679" s="397"/>
      <c r="I8679" s="397"/>
      <c r="J8679" s="750" t="e">
        <f t="shared" si="118"/>
        <v>#DIV/0!</v>
      </c>
      <c r="K8679" s="398"/>
      <c r="L8679" s="398"/>
      <c r="M8679" s="682"/>
    </row>
    <row r="8680" spans="5:13" hidden="1" x14ac:dyDescent="0.2">
      <c r="F8680" s="494">
        <v>541</v>
      </c>
      <c r="G8680" s="495" t="s">
        <v>4200</v>
      </c>
      <c r="H8680" s="397"/>
      <c r="I8680" s="397"/>
      <c r="J8680" s="750" t="e">
        <f t="shared" si="118"/>
        <v>#DIV/0!</v>
      </c>
      <c r="K8680" s="398"/>
      <c r="L8680" s="398"/>
      <c r="M8680" s="682"/>
    </row>
    <row r="8681" spans="5:13" hidden="1" x14ac:dyDescent="0.2">
      <c r="F8681" s="494">
        <v>542</v>
      </c>
      <c r="G8681" s="495" t="s">
        <v>4201</v>
      </c>
      <c r="H8681" s="397"/>
      <c r="I8681" s="397"/>
      <c r="J8681" s="750" t="e">
        <f t="shared" si="118"/>
        <v>#DIV/0!</v>
      </c>
      <c r="K8681" s="398"/>
      <c r="L8681" s="398"/>
      <c r="M8681" s="682"/>
    </row>
    <row r="8682" spans="5:13" hidden="1" x14ac:dyDescent="0.2">
      <c r="F8682" s="494">
        <v>543</v>
      </c>
      <c r="G8682" s="495" t="s">
        <v>3842</v>
      </c>
      <c r="H8682" s="397"/>
      <c r="I8682" s="397"/>
      <c r="J8682" s="750" t="e">
        <f t="shared" si="118"/>
        <v>#DIV/0!</v>
      </c>
      <c r="K8682" s="398"/>
      <c r="L8682" s="398"/>
      <c r="M8682" s="682"/>
    </row>
    <row r="8683" spans="5:13" ht="38.25" hidden="1" x14ac:dyDescent="0.2">
      <c r="F8683" s="494">
        <v>551</v>
      </c>
      <c r="G8683" s="495" t="s">
        <v>4176</v>
      </c>
      <c r="H8683" s="397"/>
      <c r="I8683" s="397"/>
      <c r="J8683" s="750" t="e">
        <f t="shared" si="118"/>
        <v>#DIV/0!</v>
      </c>
      <c r="K8683" s="398"/>
      <c r="L8683" s="398"/>
      <c r="M8683" s="682"/>
    </row>
    <row r="8684" spans="5:13" hidden="1" x14ac:dyDescent="0.2">
      <c r="F8684" s="498">
        <v>611</v>
      </c>
      <c r="G8684" s="499" t="s">
        <v>3848</v>
      </c>
      <c r="H8684" s="397"/>
      <c r="I8684" s="397"/>
      <c r="J8684" s="750" t="e">
        <f t="shared" si="118"/>
        <v>#DIV/0!</v>
      </c>
      <c r="K8684" s="398"/>
      <c r="L8684" s="398"/>
      <c r="M8684" s="682"/>
    </row>
    <row r="8685" spans="5:13" hidden="1" x14ac:dyDescent="0.2">
      <c r="F8685" s="498">
        <v>620</v>
      </c>
      <c r="G8685" s="499" t="s">
        <v>88</v>
      </c>
      <c r="H8685" s="397"/>
      <c r="I8685" s="397"/>
      <c r="J8685" s="750" t="e">
        <f t="shared" si="118"/>
        <v>#DIV/0!</v>
      </c>
      <c r="K8685" s="398"/>
      <c r="L8685" s="398"/>
      <c r="M8685" s="682"/>
    </row>
    <row r="8686" spans="5:13" hidden="1" x14ac:dyDescent="0.2">
      <c r="E8686" s="500"/>
      <c r="F8686" s="498"/>
      <c r="G8686" s="509" t="s">
        <v>4358</v>
      </c>
      <c r="H8686" s="400"/>
      <c r="I8686" s="400"/>
      <c r="J8686" s="750" t="e">
        <f t="shared" si="118"/>
        <v>#DIV/0!</v>
      </c>
      <c r="K8686" s="401"/>
      <c r="L8686" s="402"/>
      <c r="M8686" s="682"/>
    </row>
    <row r="8687" spans="5:13" hidden="1" x14ac:dyDescent="0.2">
      <c r="E8687" s="502"/>
      <c r="F8687" s="503" t="s">
        <v>234</v>
      </c>
      <c r="G8687" s="504" t="s">
        <v>235</v>
      </c>
      <c r="H8687" s="403">
        <f>SUM(H8626:H8685)</f>
        <v>0</v>
      </c>
      <c r="I8687" s="403"/>
      <c r="J8687" s="750" t="e">
        <f t="shared" si="118"/>
        <v>#DIV/0!</v>
      </c>
      <c r="K8687" s="404"/>
      <c r="L8687" s="404"/>
      <c r="M8687" s="682"/>
    </row>
    <row r="8688" spans="5:13" hidden="1" x14ac:dyDescent="0.2">
      <c r="F8688" s="503" t="s">
        <v>236</v>
      </c>
      <c r="G8688" s="504" t="s">
        <v>237</v>
      </c>
      <c r="H8688" s="397"/>
      <c r="I8688" s="397"/>
      <c r="J8688" s="750" t="e">
        <f t="shared" si="118"/>
        <v>#DIV/0!</v>
      </c>
      <c r="K8688" s="398"/>
      <c r="L8688" s="404"/>
      <c r="M8688" s="682"/>
    </row>
    <row r="8689" spans="5:13" hidden="1" x14ac:dyDescent="0.2">
      <c r="F8689" s="503" t="s">
        <v>238</v>
      </c>
      <c r="G8689" s="504" t="s">
        <v>239</v>
      </c>
      <c r="H8689" s="397"/>
      <c r="I8689" s="397"/>
      <c r="J8689" s="750" t="e">
        <f t="shared" si="118"/>
        <v>#DIV/0!</v>
      </c>
      <c r="K8689" s="398"/>
      <c r="L8689" s="404"/>
      <c r="M8689" s="682"/>
    </row>
    <row r="8690" spans="5:13" hidden="1" x14ac:dyDescent="0.2">
      <c r="F8690" s="503" t="s">
        <v>240</v>
      </c>
      <c r="G8690" s="504" t="s">
        <v>241</v>
      </c>
      <c r="H8690" s="397"/>
      <c r="I8690" s="397"/>
      <c r="J8690" s="750" t="e">
        <f t="shared" si="118"/>
        <v>#DIV/0!</v>
      </c>
      <c r="K8690" s="398"/>
      <c r="L8690" s="404"/>
      <c r="M8690" s="682"/>
    </row>
    <row r="8691" spans="5:13" hidden="1" x14ac:dyDescent="0.2">
      <c r="F8691" s="503" t="s">
        <v>242</v>
      </c>
      <c r="G8691" s="504" t="s">
        <v>243</v>
      </c>
      <c r="H8691" s="397"/>
      <c r="I8691" s="397"/>
      <c r="J8691" s="750" t="e">
        <f t="shared" si="118"/>
        <v>#DIV/0!</v>
      </c>
      <c r="K8691" s="398"/>
      <c r="L8691" s="404"/>
      <c r="M8691" s="682"/>
    </row>
    <row r="8692" spans="5:13" hidden="1" x14ac:dyDescent="0.2">
      <c r="F8692" s="503" t="s">
        <v>244</v>
      </c>
      <c r="G8692" s="504" t="s">
        <v>245</v>
      </c>
      <c r="H8692" s="397"/>
      <c r="I8692" s="397"/>
      <c r="J8692" s="750" t="e">
        <f t="shared" si="118"/>
        <v>#DIV/0!</v>
      </c>
      <c r="K8692" s="398"/>
      <c r="L8692" s="404"/>
      <c r="M8692" s="682"/>
    </row>
    <row r="8693" spans="5:13" hidden="1" x14ac:dyDescent="0.2">
      <c r="F8693" s="503" t="s">
        <v>246</v>
      </c>
      <c r="G8693" s="504" t="s">
        <v>247</v>
      </c>
      <c r="H8693" s="397"/>
      <c r="I8693" s="397"/>
      <c r="J8693" s="750" t="e">
        <f t="shared" si="118"/>
        <v>#DIV/0!</v>
      </c>
      <c r="K8693" s="398"/>
      <c r="L8693" s="404"/>
      <c r="M8693" s="682"/>
    </row>
    <row r="8694" spans="5:13" ht="25.5" hidden="1" x14ac:dyDescent="0.2">
      <c r="F8694" s="503" t="s">
        <v>248</v>
      </c>
      <c r="G8694" s="504" t="s">
        <v>249</v>
      </c>
      <c r="H8694" s="397"/>
      <c r="I8694" s="397"/>
      <c r="J8694" s="750" t="e">
        <f t="shared" si="118"/>
        <v>#DIV/0!</v>
      </c>
      <c r="K8694" s="398"/>
      <c r="L8694" s="404"/>
      <c r="M8694" s="682"/>
    </row>
    <row r="8695" spans="5:13" hidden="1" x14ac:dyDescent="0.2">
      <c r="F8695" s="503" t="s">
        <v>250</v>
      </c>
      <c r="G8695" s="504" t="s">
        <v>57</v>
      </c>
      <c r="H8695" s="397"/>
      <c r="I8695" s="397"/>
      <c r="J8695" s="750" t="e">
        <f t="shared" si="118"/>
        <v>#DIV/0!</v>
      </c>
      <c r="K8695" s="398"/>
      <c r="L8695" s="404"/>
      <c r="M8695" s="682"/>
    </row>
    <row r="8696" spans="5:13" hidden="1" x14ac:dyDescent="0.2">
      <c r="F8696" s="503" t="s">
        <v>251</v>
      </c>
      <c r="G8696" s="504" t="s">
        <v>252</v>
      </c>
      <c r="H8696" s="397"/>
      <c r="I8696" s="397"/>
      <c r="J8696" s="750" t="e">
        <f t="shared" si="118"/>
        <v>#DIV/0!</v>
      </c>
      <c r="K8696" s="398"/>
      <c r="L8696" s="404"/>
      <c r="M8696" s="682"/>
    </row>
    <row r="8697" spans="5:13" hidden="1" x14ac:dyDescent="0.2">
      <c r="F8697" s="503" t="s">
        <v>253</v>
      </c>
      <c r="G8697" s="504" t="s">
        <v>254</v>
      </c>
      <c r="H8697" s="397"/>
      <c r="I8697" s="397"/>
      <c r="J8697" s="750" t="e">
        <f t="shared" si="118"/>
        <v>#DIV/0!</v>
      </c>
      <c r="K8697" s="398"/>
      <c r="L8697" s="404"/>
      <c r="M8697" s="682"/>
    </row>
    <row r="8698" spans="5:13" ht="25.5" hidden="1" x14ac:dyDescent="0.2">
      <c r="F8698" s="503" t="s">
        <v>255</v>
      </c>
      <c r="G8698" s="504" t="s">
        <v>256</v>
      </c>
      <c r="H8698" s="397"/>
      <c r="I8698" s="397"/>
      <c r="J8698" s="750" t="e">
        <f t="shared" si="118"/>
        <v>#DIV/0!</v>
      </c>
      <c r="K8698" s="398"/>
      <c r="L8698" s="404"/>
      <c r="M8698" s="682"/>
    </row>
    <row r="8699" spans="5:13" ht="25.5" hidden="1" x14ac:dyDescent="0.2">
      <c r="F8699" s="503" t="s">
        <v>257</v>
      </c>
      <c r="G8699" s="504" t="s">
        <v>258</v>
      </c>
      <c r="H8699" s="397"/>
      <c r="I8699" s="397"/>
      <c r="J8699" s="750" t="e">
        <f t="shared" si="118"/>
        <v>#DIV/0!</v>
      </c>
      <c r="K8699" s="398"/>
      <c r="L8699" s="404"/>
      <c r="M8699" s="682"/>
    </row>
    <row r="8700" spans="5:13" ht="25.5" hidden="1" x14ac:dyDescent="0.2">
      <c r="F8700" s="503" t="s">
        <v>259</v>
      </c>
      <c r="G8700" s="504" t="s">
        <v>260</v>
      </c>
      <c r="H8700" s="397"/>
      <c r="I8700" s="397"/>
      <c r="J8700" s="750" t="e">
        <f t="shared" si="118"/>
        <v>#DIV/0!</v>
      </c>
      <c r="K8700" s="398"/>
      <c r="L8700" s="404"/>
      <c r="M8700" s="682"/>
    </row>
    <row r="8701" spans="5:13" ht="25.5" hidden="1" x14ac:dyDescent="0.2">
      <c r="F8701" s="503" t="s">
        <v>261</v>
      </c>
      <c r="G8701" s="504" t="s">
        <v>262</v>
      </c>
      <c r="H8701" s="397"/>
      <c r="I8701" s="397"/>
      <c r="J8701" s="750" t="e">
        <f t="shared" si="118"/>
        <v>#DIV/0!</v>
      </c>
      <c r="K8701" s="398"/>
      <c r="L8701" s="404"/>
      <c r="M8701" s="682"/>
    </row>
    <row r="8702" spans="5:13" hidden="1" x14ac:dyDescent="0.2">
      <c r="F8702" s="503" t="s">
        <v>263</v>
      </c>
      <c r="G8702" s="504" t="s">
        <v>264</v>
      </c>
      <c r="H8702" s="403"/>
      <c r="I8702" s="403"/>
      <c r="J8702" s="750" t="e">
        <f t="shared" si="118"/>
        <v>#DIV/0!</v>
      </c>
      <c r="K8702" s="404"/>
      <c r="L8702" s="404"/>
      <c r="M8702" s="682"/>
    </row>
    <row r="8703" spans="5:13" ht="13.5" hidden="1" thickBot="1" x14ac:dyDescent="0.25">
      <c r="G8703" s="505" t="s">
        <v>4359</v>
      </c>
      <c r="H8703" s="405">
        <f>SUM(H8687:H8702)</f>
        <v>0</v>
      </c>
      <c r="I8703" s="405"/>
      <c r="J8703" s="750" t="e">
        <f t="shared" si="118"/>
        <v>#DIV/0!</v>
      </c>
      <c r="K8703" s="406">
        <f>SUM(K8688:K8702)</f>
        <v>0</v>
      </c>
      <c r="L8703" s="406"/>
      <c r="M8703" s="682"/>
    </row>
    <row r="8704" spans="5:13" ht="25.5" hidden="1" collapsed="1" x14ac:dyDescent="0.2">
      <c r="E8704" s="500"/>
      <c r="F8704" s="498"/>
      <c r="G8704" s="506" t="s">
        <v>4241</v>
      </c>
      <c r="H8704" s="407"/>
      <c r="I8704" s="408"/>
      <c r="J8704" s="750" t="e">
        <f t="shared" si="118"/>
        <v>#DIV/0!</v>
      </c>
      <c r="K8704" s="409"/>
      <c r="L8704" s="410"/>
      <c r="M8704" s="682"/>
    </row>
    <row r="8705" spans="5:13" hidden="1" x14ac:dyDescent="0.2">
      <c r="E8705" s="502"/>
      <c r="F8705" s="503" t="s">
        <v>234</v>
      </c>
      <c r="G8705" s="504" t="s">
        <v>235</v>
      </c>
      <c r="H8705" s="403">
        <f>SUM(H8626:H8685)</f>
        <v>0</v>
      </c>
      <c r="I8705" s="403"/>
      <c r="J8705" s="750" t="e">
        <f t="shared" si="118"/>
        <v>#DIV/0!</v>
      </c>
      <c r="K8705" s="404"/>
      <c r="L8705" s="404"/>
      <c r="M8705" s="682"/>
    </row>
    <row r="8706" spans="5:13" hidden="1" x14ac:dyDescent="0.2">
      <c r="F8706" s="503" t="s">
        <v>236</v>
      </c>
      <c r="G8706" s="504" t="s">
        <v>237</v>
      </c>
      <c r="H8706" s="397"/>
      <c r="I8706" s="397"/>
      <c r="J8706" s="750" t="e">
        <f t="shared" si="118"/>
        <v>#DIV/0!</v>
      </c>
      <c r="K8706" s="398"/>
      <c r="L8706" s="404"/>
      <c r="M8706" s="682"/>
    </row>
    <row r="8707" spans="5:13" hidden="1" x14ac:dyDescent="0.2">
      <c r="F8707" s="503" t="s">
        <v>238</v>
      </c>
      <c r="G8707" s="504" t="s">
        <v>239</v>
      </c>
      <c r="H8707" s="397"/>
      <c r="I8707" s="397"/>
      <c r="J8707" s="750" t="e">
        <f t="shared" si="118"/>
        <v>#DIV/0!</v>
      </c>
      <c r="K8707" s="398"/>
      <c r="L8707" s="404"/>
      <c r="M8707" s="682"/>
    </row>
    <row r="8708" spans="5:13" hidden="1" x14ac:dyDescent="0.2">
      <c r="F8708" s="503" t="s">
        <v>240</v>
      </c>
      <c r="G8708" s="504" t="s">
        <v>241</v>
      </c>
      <c r="H8708" s="397"/>
      <c r="I8708" s="397"/>
      <c r="J8708" s="750" t="e">
        <f t="shared" si="118"/>
        <v>#DIV/0!</v>
      </c>
      <c r="K8708" s="398"/>
      <c r="L8708" s="404"/>
      <c r="M8708" s="682"/>
    </row>
    <row r="8709" spans="5:13" hidden="1" x14ac:dyDescent="0.2">
      <c r="F8709" s="503" t="s">
        <v>242</v>
      </c>
      <c r="G8709" s="504" t="s">
        <v>243</v>
      </c>
      <c r="H8709" s="397"/>
      <c r="I8709" s="397"/>
      <c r="J8709" s="750" t="e">
        <f t="shared" si="118"/>
        <v>#DIV/0!</v>
      </c>
      <c r="K8709" s="398"/>
      <c r="L8709" s="404"/>
      <c r="M8709" s="682"/>
    </row>
    <row r="8710" spans="5:13" hidden="1" x14ac:dyDescent="0.2">
      <c r="F8710" s="503" t="s">
        <v>244</v>
      </c>
      <c r="G8710" s="504" t="s">
        <v>245</v>
      </c>
      <c r="H8710" s="397"/>
      <c r="I8710" s="397"/>
      <c r="J8710" s="750" t="e">
        <f t="shared" si="118"/>
        <v>#DIV/0!</v>
      </c>
      <c r="K8710" s="398"/>
      <c r="L8710" s="404"/>
      <c r="M8710" s="682"/>
    </row>
    <row r="8711" spans="5:13" hidden="1" x14ac:dyDescent="0.2">
      <c r="F8711" s="503" t="s">
        <v>246</v>
      </c>
      <c r="G8711" s="504" t="s">
        <v>247</v>
      </c>
      <c r="H8711" s="397"/>
      <c r="I8711" s="397"/>
      <c r="J8711" s="750" t="e">
        <f t="shared" si="118"/>
        <v>#DIV/0!</v>
      </c>
      <c r="K8711" s="398"/>
      <c r="L8711" s="404"/>
      <c r="M8711" s="682"/>
    </row>
    <row r="8712" spans="5:13" ht="25.5" hidden="1" x14ac:dyDescent="0.2">
      <c r="F8712" s="503" t="s">
        <v>248</v>
      </c>
      <c r="G8712" s="504" t="s">
        <v>249</v>
      </c>
      <c r="H8712" s="397"/>
      <c r="I8712" s="397"/>
      <c r="J8712" s="750" t="e">
        <f t="shared" si="118"/>
        <v>#DIV/0!</v>
      </c>
      <c r="K8712" s="398"/>
      <c r="L8712" s="404"/>
      <c r="M8712" s="682"/>
    </row>
    <row r="8713" spans="5:13" hidden="1" x14ac:dyDescent="0.2">
      <c r="F8713" s="503" t="s">
        <v>250</v>
      </c>
      <c r="G8713" s="504" t="s">
        <v>57</v>
      </c>
      <c r="H8713" s="397"/>
      <c r="I8713" s="397"/>
      <c r="J8713" s="750" t="e">
        <f t="shared" si="118"/>
        <v>#DIV/0!</v>
      </c>
      <c r="K8713" s="398"/>
      <c r="L8713" s="404"/>
      <c r="M8713" s="682"/>
    </row>
    <row r="8714" spans="5:13" hidden="1" x14ac:dyDescent="0.2">
      <c r="F8714" s="503" t="s">
        <v>251</v>
      </c>
      <c r="G8714" s="504" t="s">
        <v>252</v>
      </c>
      <c r="H8714" s="397"/>
      <c r="I8714" s="397"/>
      <c r="J8714" s="750" t="e">
        <f t="shared" si="118"/>
        <v>#DIV/0!</v>
      </c>
      <c r="K8714" s="398"/>
      <c r="L8714" s="404"/>
      <c r="M8714" s="682"/>
    </row>
    <row r="8715" spans="5:13" hidden="1" x14ac:dyDescent="0.2">
      <c r="F8715" s="503" t="s">
        <v>253</v>
      </c>
      <c r="G8715" s="504" t="s">
        <v>254</v>
      </c>
      <c r="H8715" s="397"/>
      <c r="I8715" s="397"/>
      <c r="J8715" s="750" t="e">
        <f t="shared" si="118"/>
        <v>#DIV/0!</v>
      </c>
      <c r="K8715" s="398"/>
      <c r="L8715" s="404"/>
      <c r="M8715" s="682"/>
    </row>
    <row r="8716" spans="5:13" ht="25.5" hidden="1" x14ac:dyDescent="0.2">
      <c r="F8716" s="503" t="s">
        <v>255</v>
      </c>
      <c r="G8716" s="504" t="s">
        <v>256</v>
      </c>
      <c r="H8716" s="397"/>
      <c r="I8716" s="397"/>
      <c r="J8716" s="750" t="e">
        <f t="shared" si="118"/>
        <v>#DIV/0!</v>
      </c>
      <c r="K8716" s="398"/>
      <c r="L8716" s="404"/>
      <c r="M8716" s="682"/>
    </row>
    <row r="8717" spans="5:13" ht="25.5" hidden="1" x14ac:dyDescent="0.2">
      <c r="F8717" s="503" t="s">
        <v>257</v>
      </c>
      <c r="G8717" s="504" t="s">
        <v>258</v>
      </c>
      <c r="H8717" s="397"/>
      <c r="I8717" s="397"/>
      <c r="J8717" s="750" t="e">
        <f t="shared" si="118"/>
        <v>#DIV/0!</v>
      </c>
      <c r="K8717" s="398"/>
      <c r="L8717" s="404"/>
      <c r="M8717" s="682"/>
    </row>
    <row r="8718" spans="5:13" ht="25.5" hidden="1" x14ac:dyDescent="0.2">
      <c r="F8718" s="503" t="s">
        <v>259</v>
      </c>
      <c r="G8718" s="504" t="s">
        <v>260</v>
      </c>
      <c r="H8718" s="397"/>
      <c r="I8718" s="397"/>
      <c r="J8718" s="750" t="e">
        <f t="shared" ref="J8718:J8781" si="119">SUM(I8718/H8718)*100</f>
        <v>#DIV/0!</v>
      </c>
      <c r="K8718" s="398"/>
      <c r="L8718" s="404"/>
      <c r="M8718" s="682"/>
    </row>
    <row r="8719" spans="5:13" ht="25.5" hidden="1" x14ac:dyDescent="0.2">
      <c r="F8719" s="503" t="s">
        <v>261</v>
      </c>
      <c r="G8719" s="504" t="s">
        <v>262</v>
      </c>
      <c r="H8719" s="397"/>
      <c r="I8719" s="397"/>
      <c r="J8719" s="750" t="e">
        <f t="shared" si="119"/>
        <v>#DIV/0!</v>
      </c>
      <c r="K8719" s="398"/>
      <c r="L8719" s="404"/>
      <c r="M8719" s="682"/>
    </row>
    <row r="8720" spans="5:13" hidden="1" x14ac:dyDescent="0.2">
      <c r="F8720" s="503" t="s">
        <v>263</v>
      </c>
      <c r="G8720" s="504" t="s">
        <v>264</v>
      </c>
      <c r="H8720" s="403"/>
      <c r="I8720" s="403"/>
      <c r="J8720" s="750" t="e">
        <f t="shared" si="119"/>
        <v>#DIV/0!</v>
      </c>
      <c r="K8720" s="404"/>
      <c r="L8720" s="404"/>
      <c r="M8720" s="682"/>
    </row>
    <row r="8721" spans="3:27" ht="13.5" hidden="1" collapsed="1" thickBot="1" x14ac:dyDescent="0.25">
      <c r="G8721" s="505" t="s">
        <v>4240</v>
      </c>
      <c r="H8721" s="405">
        <f>SUM(H8705:H8720)</f>
        <v>0</v>
      </c>
      <c r="I8721" s="405"/>
      <c r="J8721" s="750" t="e">
        <f t="shared" si="119"/>
        <v>#DIV/0!</v>
      </c>
      <c r="K8721" s="406">
        <f>SUM(K8706:K8720)</f>
        <v>0</v>
      </c>
      <c r="L8721" s="406"/>
      <c r="M8721" s="682"/>
    </row>
    <row r="8722" spans="3:27" s="530" customFormat="1" ht="0.75" customHeight="1" x14ac:dyDescent="0.2">
      <c r="C8722" s="172"/>
      <c r="G8722" s="179"/>
      <c r="H8722" s="425"/>
      <c r="I8722" s="425"/>
      <c r="J8722" s="750" t="e">
        <f t="shared" si="119"/>
        <v>#DIV/0!</v>
      </c>
      <c r="K8722" s="243"/>
      <c r="L8722" s="243"/>
      <c r="M8722" s="682"/>
      <c r="N8722" s="171"/>
      <c r="O8722" s="171"/>
      <c r="P8722" s="171"/>
      <c r="Q8722" s="171"/>
      <c r="R8722" s="171"/>
      <c r="S8722" s="171"/>
      <c r="T8722" s="171"/>
      <c r="U8722" s="171"/>
      <c r="V8722" s="171"/>
      <c r="W8722" s="171"/>
      <c r="X8722" s="171"/>
      <c r="Y8722" s="171"/>
      <c r="Z8722" s="171"/>
      <c r="AA8722" s="171"/>
    </row>
    <row r="8723" spans="3:27" x14ac:dyDescent="0.2">
      <c r="C8723" s="489" t="s">
        <v>4618</v>
      </c>
      <c r="D8723" s="490"/>
      <c r="G8723" s="491" t="s">
        <v>5090</v>
      </c>
      <c r="H8723" s="397"/>
      <c r="I8723" s="397"/>
      <c r="J8723" s="750"/>
      <c r="K8723" s="398"/>
      <c r="L8723" s="398"/>
      <c r="M8723" s="682"/>
    </row>
    <row r="8724" spans="3:27" ht="28.5" customHeight="1" x14ac:dyDescent="0.2">
      <c r="C8724" s="489"/>
      <c r="D8724" s="492">
        <v>560</v>
      </c>
      <c r="E8724" s="492"/>
      <c r="F8724" s="492"/>
      <c r="G8724" s="514" t="s">
        <v>179</v>
      </c>
      <c r="H8724" s="397"/>
      <c r="I8724" s="397"/>
      <c r="J8724" s="750"/>
      <c r="K8724" s="398"/>
      <c r="L8724" s="398"/>
      <c r="M8724" s="682"/>
    </row>
    <row r="8725" spans="3:27" hidden="1" x14ac:dyDescent="0.2">
      <c r="F8725" s="494">
        <v>411</v>
      </c>
      <c r="G8725" s="495" t="s">
        <v>4167</v>
      </c>
      <c r="H8725" s="397"/>
      <c r="I8725" s="397"/>
      <c r="J8725" s="750" t="e">
        <f t="shared" si="119"/>
        <v>#DIV/0!</v>
      </c>
      <c r="K8725" s="398"/>
      <c r="L8725" s="398"/>
      <c r="M8725" s="682"/>
    </row>
    <row r="8726" spans="3:27" hidden="1" x14ac:dyDescent="0.2">
      <c r="F8726" s="494">
        <v>412</v>
      </c>
      <c r="G8726" s="496" t="s">
        <v>3764</v>
      </c>
      <c r="H8726" s="397"/>
      <c r="I8726" s="397"/>
      <c r="J8726" s="750" t="e">
        <f t="shared" si="119"/>
        <v>#DIV/0!</v>
      </c>
      <c r="K8726" s="398"/>
      <c r="L8726" s="398"/>
      <c r="M8726" s="682"/>
    </row>
    <row r="8727" spans="3:27" hidden="1" x14ac:dyDescent="0.2">
      <c r="F8727" s="494">
        <v>413</v>
      </c>
      <c r="G8727" s="495" t="s">
        <v>4168</v>
      </c>
      <c r="H8727" s="397"/>
      <c r="I8727" s="397"/>
      <c r="J8727" s="750" t="e">
        <f t="shared" si="119"/>
        <v>#DIV/0!</v>
      </c>
      <c r="K8727" s="398"/>
      <c r="L8727" s="398"/>
      <c r="M8727" s="682"/>
    </row>
    <row r="8728" spans="3:27" hidden="1" x14ac:dyDescent="0.2">
      <c r="F8728" s="494">
        <v>414</v>
      </c>
      <c r="G8728" s="495" t="s">
        <v>3767</v>
      </c>
      <c r="H8728" s="397"/>
      <c r="I8728" s="397"/>
      <c r="J8728" s="750" t="e">
        <f t="shared" si="119"/>
        <v>#DIV/0!</v>
      </c>
      <c r="K8728" s="398"/>
      <c r="L8728" s="398"/>
      <c r="M8728" s="682"/>
    </row>
    <row r="8729" spans="3:27" hidden="1" x14ac:dyDescent="0.2">
      <c r="F8729" s="494">
        <v>415</v>
      </c>
      <c r="G8729" s="495" t="s">
        <v>4177</v>
      </c>
      <c r="H8729" s="397"/>
      <c r="I8729" s="397"/>
      <c r="J8729" s="750" t="e">
        <f t="shared" si="119"/>
        <v>#DIV/0!</v>
      </c>
      <c r="K8729" s="398"/>
      <c r="L8729" s="398"/>
      <c r="M8729" s="682"/>
    </row>
    <row r="8730" spans="3:27" ht="25.5" hidden="1" x14ac:dyDescent="0.2">
      <c r="F8730" s="494">
        <v>416</v>
      </c>
      <c r="G8730" s="495" t="s">
        <v>4178</v>
      </c>
      <c r="H8730" s="397"/>
      <c r="I8730" s="397"/>
      <c r="J8730" s="750" t="e">
        <f t="shared" si="119"/>
        <v>#DIV/0!</v>
      </c>
      <c r="K8730" s="398"/>
      <c r="L8730" s="398"/>
      <c r="M8730" s="682"/>
    </row>
    <row r="8731" spans="3:27" hidden="1" x14ac:dyDescent="0.2">
      <c r="F8731" s="494">
        <v>417</v>
      </c>
      <c r="G8731" s="495" t="s">
        <v>4179</v>
      </c>
      <c r="H8731" s="397"/>
      <c r="I8731" s="397"/>
      <c r="J8731" s="750" t="e">
        <f t="shared" si="119"/>
        <v>#DIV/0!</v>
      </c>
      <c r="K8731" s="398"/>
      <c r="L8731" s="398"/>
      <c r="M8731" s="682"/>
    </row>
    <row r="8732" spans="3:27" hidden="1" x14ac:dyDescent="0.2">
      <c r="F8732" s="494">
        <v>418</v>
      </c>
      <c r="G8732" s="495" t="s">
        <v>3773</v>
      </c>
      <c r="H8732" s="397"/>
      <c r="I8732" s="397"/>
      <c r="J8732" s="750" t="e">
        <f t="shared" si="119"/>
        <v>#DIV/0!</v>
      </c>
      <c r="K8732" s="398"/>
      <c r="L8732" s="398"/>
      <c r="M8732" s="682"/>
    </row>
    <row r="8733" spans="3:27" hidden="1" x14ac:dyDescent="0.2">
      <c r="F8733" s="494">
        <v>421</v>
      </c>
      <c r="G8733" s="495" t="s">
        <v>3777</v>
      </c>
      <c r="H8733" s="397"/>
      <c r="I8733" s="397"/>
      <c r="J8733" s="750" t="e">
        <f t="shared" si="119"/>
        <v>#DIV/0!</v>
      </c>
      <c r="K8733" s="398"/>
      <c r="L8733" s="398"/>
      <c r="M8733" s="682"/>
    </row>
    <row r="8734" spans="3:27" hidden="1" x14ac:dyDescent="0.2">
      <c r="F8734" s="494">
        <v>422</v>
      </c>
      <c r="G8734" s="495" t="s">
        <v>3778</v>
      </c>
      <c r="H8734" s="397"/>
      <c r="I8734" s="397"/>
      <c r="J8734" s="750" t="e">
        <f t="shared" si="119"/>
        <v>#DIV/0!</v>
      </c>
      <c r="K8734" s="398"/>
      <c r="L8734" s="398"/>
      <c r="M8734" s="682"/>
    </row>
    <row r="8735" spans="3:27" hidden="1" x14ac:dyDescent="0.2">
      <c r="F8735" s="494">
        <v>423</v>
      </c>
      <c r="G8735" s="495" t="s">
        <v>3779</v>
      </c>
      <c r="H8735" s="397"/>
      <c r="I8735" s="397"/>
      <c r="J8735" s="750" t="e">
        <f t="shared" si="119"/>
        <v>#DIV/0!</v>
      </c>
      <c r="K8735" s="398"/>
      <c r="L8735" s="398"/>
      <c r="M8735" s="682"/>
    </row>
    <row r="8736" spans="3:27" hidden="1" x14ac:dyDescent="0.2">
      <c r="F8736" s="494">
        <v>424</v>
      </c>
      <c r="G8736" s="495" t="s">
        <v>3781</v>
      </c>
      <c r="H8736" s="397"/>
      <c r="I8736" s="397"/>
      <c r="J8736" s="750" t="e">
        <f t="shared" si="119"/>
        <v>#DIV/0!</v>
      </c>
      <c r="K8736" s="398"/>
      <c r="L8736" s="398"/>
      <c r="M8736" s="682"/>
    </row>
    <row r="8737" spans="6:13" hidden="1" x14ac:dyDescent="0.2">
      <c r="F8737" s="494">
        <v>425</v>
      </c>
      <c r="G8737" s="495" t="s">
        <v>4180</v>
      </c>
      <c r="H8737" s="397"/>
      <c r="I8737" s="397"/>
      <c r="J8737" s="750" t="e">
        <f t="shared" si="119"/>
        <v>#DIV/0!</v>
      </c>
      <c r="K8737" s="398"/>
      <c r="L8737" s="398"/>
      <c r="M8737" s="682"/>
    </row>
    <row r="8738" spans="6:13" hidden="1" x14ac:dyDescent="0.2">
      <c r="F8738" s="494">
        <v>426</v>
      </c>
      <c r="G8738" s="495" t="s">
        <v>3785</v>
      </c>
      <c r="H8738" s="397"/>
      <c r="I8738" s="397"/>
      <c r="J8738" s="750" t="e">
        <f t="shared" si="119"/>
        <v>#DIV/0!</v>
      </c>
      <c r="K8738" s="398"/>
      <c r="L8738" s="398"/>
      <c r="M8738" s="682"/>
    </row>
    <row r="8739" spans="6:13" hidden="1" x14ac:dyDescent="0.2">
      <c r="F8739" s="494">
        <v>431</v>
      </c>
      <c r="G8739" s="495" t="s">
        <v>4181</v>
      </c>
      <c r="H8739" s="397"/>
      <c r="I8739" s="397"/>
      <c r="J8739" s="750" t="e">
        <f t="shared" si="119"/>
        <v>#DIV/0!</v>
      </c>
      <c r="K8739" s="398"/>
      <c r="L8739" s="398"/>
      <c r="M8739" s="682"/>
    </row>
    <row r="8740" spans="6:13" hidden="1" x14ac:dyDescent="0.2">
      <c r="F8740" s="494">
        <v>432</v>
      </c>
      <c r="G8740" s="495" t="s">
        <v>4182</v>
      </c>
      <c r="H8740" s="397"/>
      <c r="I8740" s="397"/>
      <c r="J8740" s="750" t="e">
        <f t="shared" si="119"/>
        <v>#DIV/0!</v>
      </c>
      <c r="K8740" s="398"/>
      <c r="L8740" s="398"/>
      <c r="M8740" s="682"/>
    </row>
    <row r="8741" spans="6:13" hidden="1" x14ac:dyDescent="0.2">
      <c r="F8741" s="494">
        <v>433</v>
      </c>
      <c r="G8741" s="495" t="s">
        <v>4183</v>
      </c>
      <c r="H8741" s="397"/>
      <c r="I8741" s="397"/>
      <c r="J8741" s="750" t="e">
        <f t="shared" si="119"/>
        <v>#DIV/0!</v>
      </c>
      <c r="K8741" s="398"/>
      <c r="L8741" s="398"/>
      <c r="M8741" s="682"/>
    </row>
    <row r="8742" spans="6:13" hidden="1" x14ac:dyDescent="0.2">
      <c r="F8742" s="494">
        <v>434</v>
      </c>
      <c r="G8742" s="495" t="s">
        <v>4184</v>
      </c>
      <c r="H8742" s="397"/>
      <c r="I8742" s="397"/>
      <c r="J8742" s="750" t="e">
        <f t="shared" si="119"/>
        <v>#DIV/0!</v>
      </c>
      <c r="K8742" s="398"/>
      <c r="L8742" s="398"/>
      <c r="M8742" s="682"/>
    </row>
    <row r="8743" spans="6:13" hidden="1" x14ac:dyDescent="0.2">
      <c r="F8743" s="494">
        <v>435</v>
      </c>
      <c r="G8743" s="495" t="s">
        <v>3792</v>
      </c>
      <c r="H8743" s="397"/>
      <c r="I8743" s="397"/>
      <c r="J8743" s="750" t="e">
        <f t="shared" si="119"/>
        <v>#DIV/0!</v>
      </c>
      <c r="K8743" s="398"/>
      <c r="L8743" s="398"/>
      <c r="M8743" s="682"/>
    </row>
    <row r="8744" spans="6:13" hidden="1" x14ac:dyDescent="0.2">
      <c r="F8744" s="494">
        <v>441</v>
      </c>
      <c r="G8744" s="495" t="s">
        <v>4185</v>
      </c>
      <c r="H8744" s="397"/>
      <c r="I8744" s="397"/>
      <c r="J8744" s="750" t="e">
        <f t="shared" si="119"/>
        <v>#DIV/0!</v>
      </c>
      <c r="K8744" s="398"/>
      <c r="L8744" s="398"/>
      <c r="M8744" s="682"/>
    </row>
    <row r="8745" spans="6:13" hidden="1" x14ac:dyDescent="0.2">
      <c r="F8745" s="494">
        <v>442</v>
      </c>
      <c r="G8745" s="495" t="s">
        <v>4186</v>
      </c>
      <c r="H8745" s="397"/>
      <c r="I8745" s="397"/>
      <c r="J8745" s="750" t="e">
        <f t="shared" si="119"/>
        <v>#DIV/0!</v>
      </c>
      <c r="K8745" s="398"/>
      <c r="L8745" s="398"/>
      <c r="M8745" s="682"/>
    </row>
    <row r="8746" spans="6:13" hidden="1" x14ac:dyDescent="0.2">
      <c r="F8746" s="494">
        <v>443</v>
      </c>
      <c r="G8746" s="495" t="s">
        <v>3797</v>
      </c>
      <c r="H8746" s="397"/>
      <c r="I8746" s="397"/>
      <c r="J8746" s="750" t="e">
        <f t="shared" si="119"/>
        <v>#DIV/0!</v>
      </c>
      <c r="K8746" s="398"/>
      <c r="L8746" s="398"/>
      <c r="M8746" s="682"/>
    </row>
    <row r="8747" spans="6:13" hidden="1" x14ac:dyDescent="0.2">
      <c r="F8747" s="494">
        <v>444</v>
      </c>
      <c r="G8747" s="495" t="s">
        <v>3798</v>
      </c>
      <c r="H8747" s="397"/>
      <c r="I8747" s="397"/>
      <c r="J8747" s="750" t="e">
        <f t="shared" si="119"/>
        <v>#DIV/0!</v>
      </c>
      <c r="K8747" s="398"/>
      <c r="L8747" s="398"/>
      <c r="M8747" s="682"/>
    </row>
    <row r="8748" spans="6:13" ht="25.5" hidden="1" x14ac:dyDescent="0.2">
      <c r="F8748" s="494">
        <v>4511</v>
      </c>
      <c r="G8748" s="466" t="s">
        <v>1692</v>
      </c>
      <c r="H8748" s="397"/>
      <c r="I8748" s="397"/>
      <c r="J8748" s="750" t="e">
        <f t="shared" si="119"/>
        <v>#DIV/0!</v>
      </c>
      <c r="K8748" s="398"/>
      <c r="L8748" s="398"/>
      <c r="M8748" s="682"/>
    </row>
    <row r="8749" spans="6:13" ht="25.5" hidden="1" x14ac:dyDescent="0.2">
      <c r="F8749" s="494">
        <v>4512</v>
      </c>
      <c r="G8749" s="466" t="s">
        <v>1701</v>
      </c>
      <c r="H8749" s="397"/>
      <c r="I8749" s="397"/>
      <c r="J8749" s="750" t="e">
        <f t="shared" si="119"/>
        <v>#DIV/0!</v>
      </c>
      <c r="K8749" s="398"/>
      <c r="L8749" s="398"/>
      <c r="M8749" s="682"/>
    </row>
    <row r="8750" spans="6:13" ht="25.5" hidden="1" x14ac:dyDescent="0.2">
      <c r="F8750" s="494">
        <v>452</v>
      </c>
      <c r="G8750" s="495" t="s">
        <v>4187</v>
      </c>
      <c r="H8750" s="397"/>
      <c r="I8750" s="397"/>
      <c r="J8750" s="750" t="e">
        <f t="shared" si="119"/>
        <v>#DIV/0!</v>
      </c>
      <c r="K8750" s="398"/>
      <c r="L8750" s="398"/>
      <c r="M8750" s="682"/>
    </row>
    <row r="8751" spans="6:13" ht="25.5" hidden="1" x14ac:dyDescent="0.2">
      <c r="F8751" s="494">
        <v>453</v>
      </c>
      <c r="G8751" s="495" t="s">
        <v>4188</v>
      </c>
      <c r="H8751" s="397"/>
      <c r="I8751" s="397"/>
      <c r="J8751" s="750" t="e">
        <f t="shared" si="119"/>
        <v>#DIV/0!</v>
      </c>
      <c r="K8751" s="398"/>
      <c r="L8751" s="398"/>
      <c r="M8751" s="682"/>
    </row>
    <row r="8752" spans="6:13" hidden="1" x14ac:dyDescent="0.2">
      <c r="F8752" s="494">
        <v>454</v>
      </c>
      <c r="G8752" s="495" t="s">
        <v>3803</v>
      </c>
      <c r="H8752" s="397"/>
      <c r="I8752" s="397"/>
      <c r="J8752" s="750" t="e">
        <f t="shared" si="119"/>
        <v>#DIV/0!</v>
      </c>
      <c r="K8752" s="398"/>
      <c r="L8752" s="398"/>
      <c r="M8752" s="682"/>
    </row>
    <row r="8753" spans="6:13" hidden="1" x14ac:dyDescent="0.2">
      <c r="F8753" s="494">
        <v>461</v>
      </c>
      <c r="G8753" s="495" t="s">
        <v>4169</v>
      </c>
      <c r="H8753" s="397"/>
      <c r="I8753" s="397"/>
      <c r="J8753" s="750" t="e">
        <f t="shared" si="119"/>
        <v>#DIV/0!</v>
      </c>
      <c r="K8753" s="398"/>
      <c r="L8753" s="398"/>
      <c r="M8753" s="682"/>
    </row>
    <row r="8754" spans="6:13" ht="25.5" hidden="1" x14ac:dyDescent="0.2">
      <c r="F8754" s="494">
        <v>462</v>
      </c>
      <c r="G8754" s="495" t="s">
        <v>3806</v>
      </c>
      <c r="H8754" s="397"/>
      <c r="I8754" s="397"/>
      <c r="J8754" s="750" t="e">
        <f t="shared" si="119"/>
        <v>#DIV/0!</v>
      </c>
      <c r="K8754" s="398"/>
      <c r="L8754" s="398"/>
      <c r="M8754" s="682"/>
    </row>
    <row r="8755" spans="6:13" hidden="1" x14ac:dyDescent="0.2">
      <c r="F8755" s="494">
        <v>4631</v>
      </c>
      <c r="G8755" s="495" t="s">
        <v>3807</v>
      </c>
      <c r="H8755" s="397"/>
      <c r="I8755" s="397"/>
      <c r="J8755" s="750" t="e">
        <f t="shared" si="119"/>
        <v>#DIV/0!</v>
      </c>
      <c r="K8755" s="398"/>
      <c r="L8755" s="398"/>
      <c r="M8755" s="682"/>
    </row>
    <row r="8756" spans="6:13" hidden="1" x14ac:dyDescent="0.2">
      <c r="F8756" s="494">
        <v>4632</v>
      </c>
      <c r="G8756" s="495" t="s">
        <v>3808</v>
      </c>
      <c r="H8756" s="397"/>
      <c r="I8756" s="397"/>
      <c r="J8756" s="750" t="e">
        <f t="shared" si="119"/>
        <v>#DIV/0!</v>
      </c>
      <c r="K8756" s="398"/>
      <c r="L8756" s="398"/>
      <c r="M8756" s="682"/>
    </row>
    <row r="8757" spans="6:13" ht="25.5" hidden="1" x14ac:dyDescent="0.2">
      <c r="F8757" s="494">
        <v>464</v>
      </c>
      <c r="G8757" s="495" t="s">
        <v>3809</v>
      </c>
      <c r="H8757" s="397"/>
      <c r="I8757" s="397"/>
      <c r="J8757" s="750" t="e">
        <f t="shared" si="119"/>
        <v>#DIV/0!</v>
      </c>
      <c r="K8757" s="398"/>
      <c r="L8757" s="398"/>
      <c r="M8757" s="682"/>
    </row>
    <row r="8758" spans="6:13" hidden="1" x14ac:dyDescent="0.2">
      <c r="F8758" s="494">
        <v>465</v>
      </c>
      <c r="G8758" s="495" t="s">
        <v>4170</v>
      </c>
      <c r="H8758" s="397"/>
      <c r="I8758" s="397"/>
      <c r="J8758" s="750" t="e">
        <f t="shared" si="119"/>
        <v>#DIV/0!</v>
      </c>
      <c r="K8758" s="398"/>
      <c r="L8758" s="398"/>
      <c r="M8758" s="682"/>
    </row>
    <row r="8759" spans="6:13" hidden="1" x14ac:dyDescent="0.2">
      <c r="F8759" s="494">
        <v>472</v>
      </c>
      <c r="G8759" s="495" t="s">
        <v>3813</v>
      </c>
      <c r="H8759" s="397"/>
      <c r="I8759" s="397"/>
      <c r="J8759" s="750" t="e">
        <f t="shared" si="119"/>
        <v>#DIV/0!</v>
      </c>
      <c r="K8759" s="398"/>
      <c r="L8759" s="398"/>
      <c r="M8759" s="682"/>
    </row>
    <row r="8760" spans="6:13" hidden="1" x14ac:dyDescent="0.2">
      <c r="F8760" s="494">
        <v>481</v>
      </c>
      <c r="G8760" s="495" t="s">
        <v>4189</v>
      </c>
      <c r="H8760" s="397"/>
      <c r="I8760" s="397"/>
      <c r="J8760" s="750" t="e">
        <f t="shared" si="119"/>
        <v>#DIV/0!</v>
      </c>
      <c r="K8760" s="398"/>
      <c r="L8760" s="398"/>
      <c r="M8760" s="682"/>
    </row>
    <row r="8761" spans="6:13" hidden="1" x14ac:dyDescent="0.2">
      <c r="F8761" s="494">
        <v>482</v>
      </c>
      <c r="G8761" s="495" t="s">
        <v>4190</v>
      </c>
      <c r="H8761" s="397"/>
      <c r="I8761" s="397"/>
      <c r="J8761" s="750" t="e">
        <f t="shared" si="119"/>
        <v>#DIV/0!</v>
      </c>
      <c r="K8761" s="398"/>
      <c r="L8761" s="398"/>
      <c r="M8761" s="682"/>
    </row>
    <row r="8762" spans="6:13" hidden="1" x14ac:dyDescent="0.2">
      <c r="F8762" s="494">
        <v>483</v>
      </c>
      <c r="G8762" s="497" t="s">
        <v>4191</v>
      </c>
      <c r="H8762" s="397"/>
      <c r="I8762" s="397"/>
      <c r="J8762" s="750" t="e">
        <f t="shared" si="119"/>
        <v>#DIV/0!</v>
      </c>
      <c r="K8762" s="398"/>
      <c r="L8762" s="398"/>
      <c r="M8762" s="682"/>
    </row>
    <row r="8763" spans="6:13" ht="38.25" hidden="1" x14ac:dyDescent="0.2">
      <c r="F8763" s="494">
        <v>484</v>
      </c>
      <c r="G8763" s="495" t="s">
        <v>4192</v>
      </c>
      <c r="H8763" s="397"/>
      <c r="I8763" s="397"/>
      <c r="J8763" s="750" t="e">
        <f t="shared" si="119"/>
        <v>#DIV/0!</v>
      </c>
      <c r="K8763" s="398"/>
      <c r="L8763" s="398"/>
      <c r="M8763" s="682"/>
    </row>
    <row r="8764" spans="6:13" ht="25.5" hidden="1" x14ac:dyDescent="0.2">
      <c r="F8764" s="494">
        <v>485</v>
      </c>
      <c r="G8764" s="495" t="s">
        <v>4193</v>
      </c>
      <c r="H8764" s="397"/>
      <c r="I8764" s="397"/>
      <c r="J8764" s="750" t="e">
        <f t="shared" si="119"/>
        <v>#DIV/0!</v>
      </c>
      <c r="K8764" s="398"/>
      <c r="L8764" s="398"/>
      <c r="M8764" s="682"/>
    </row>
    <row r="8765" spans="6:13" ht="25.5" hidden="1" x14ac:dyDescent="0.2">
      <c r="F8765" s="494">
        <v>489</v>
      </c>
      <c r="G8765" s="495" t="s">
        <v>3821</v>
      </c>
      <c r="H8765" s="397"/>
      <c r="I8765" s="397"/>
      <c r="J8765" s="750" t="e">
        <f t="shared" si="119"/>
        <v>#DIV/0!</v>
      </c>
      <c r="K8765" s="398"/>
      <c r="L8765" s="398"/>
      <c r="M8765" s="682"/>
    </row>
    <row r="8766" spans="6:13" ht="25.5" hidden="1" x14ac:dyDescent="0.2">
      <c r="F8766" s="494">
        <v>494</v>
      </c>
      <c r="G8766" s="495" t="s">
        <v>4171</v>
      </c>
      <c r="H8766" s="397"/>
      <c r="I8766" s="397"/>
      <c r="J8766" s="750" t="e">
        <f t="shared" si="119"/>
        <v>#DIV/0!</v>
      </c>
      <c r="K8766" s="398"/>
      <c r="L8766" s="398"/>
      <c r="M8766" s="682"/>
    </row>
    <row r="8767" spans="6:13" ht="25.5" hidden="1" x14ac:dyDescent="0.2">
      <c r="F8767" s="494">
        <v>495</v>
      </c>
      <c r="G8767" s="495" t="s">
        <v>4172</v>
      </c>
      <c r="H8767" s="397"/>
      <c r="I8767" s="397"/>
      <c r="J8767" s="750" t="e">
        <f t="shared" si="119"/>
        <v>#DIV/0!</v>
      </c>
      <c r="K8767" s="398"/>
      <c r="L8767" s="398"/>
      <c r="M8767" s="682"/>
    </row>
    <row r="8768" spans="6:13" ht="38.25" hidden="1" x14ac:dyDescent="0.2">
      <c r="F8768" s="494">
        <v>496</v>
      </c>
      <c r="G8768" s="495" t="s">
        <v>4173</v>
      </c>
      <c r="H8768" s="397"/>
      <c r="I8768" s="397"/>
      <c r="J8768" s="750" t="e">
        <f t="shared" si="119"/>
        <v>#DIV/0!</v>
      </c>
      <c r="K8768" s="398"/>
      <c r="L8768" s="398"/>
      <c r="M8768" s="682"/>
    </row>
    <row r="8769" spans="5:13" ht="25.5" hidden="1" x14ac:dyDescent="0.2">
      <c r="F8769" s="494">
        <v>499</v>
      </c>
      <c r="G8769" s="495" t="s">
        <v>4174</v>
      </c>
      <c r="H8769" s="397"/>
      <c r="I8769" s="397"/>
      <c r="J8769" s="750" t="e">
        <f t="shared" si="119"/>
        <v>#DIV/0!</v>
      </c>
      <c r="K8769" s="398"/>
      <c r="L8769" s="398"/>
      <c r="M8769" s="682"/>
    </row>
    <row r="8770" spans="5:13" hidden="1" x14ac:dyDescent="0.2">
      <c r="F8770" s="494">
        <v>511</v>
      </c>
      <c r="G8770" s="497" t="s">
        <v>4194</v>
      </c>
      <c r="H8770" s="397"/>
      <c r="I8770" s="397"/>
      <c r="J8770" s="750" t="e">
        <f t="shared" si="119"/>
        <v>#DIV/0!</v>
      </c>
      <c r="K8770" s="398"/>
      <c r="L8770" s="398"/>
      <c r="M8770" s="682"/>
    </row>
    <row r="8771" spans="5:13" ht="13.5" thickBot="1" x14ac:dyDescent="0.25">
      <c r="E8771" s="464">
        <v>77</v>
      </c>
      <c r="F8771" s="494">
        <v>512</v>
      </c>
      <c r="G8771" s="497" t="s">
        <v>4195</v>
      </c>
      <c r="H8771" s="397">
        <v>800000</v>
      </c>
      <c r="I8771" s="397">
        <v>0</v>
      </c>
      <c r="J8771" s="750">
        <f t="shared" si="119"/>
        <v>0</v>
      </c>
      <c r="K8771" s="398"/>
      <c r="L8771" s="398"/>
      <c r="M8771" s="682"/>
    </row>
    <row r="8772" spans="5:13" ht="13.5" hidden="1" thickBot="1" x14ac:dyDescent="0.25">
      <c r="F8772" s="494">
        <v>513</v>
      </c>
      <c r="G8772" s="497" t="s">
        <v>4196</v>
      </c>
      <c r="H8772" s="397"/>
      <c r="I8772" s="397"/>
      <c r="J8772" s="750" t="e">
        <f t="shared" si="119"/>
        <v>#DIV/0!</v>
      </c>
      <c r="K8772" s="398"/>
      <c r="L8772" s="398"/>
      <c r="M8772" s="682"/>
    </row>
    <row r="8773" spans="5:13" ht="13.5" hidden="1" thickBot="1" x14ac:dyDescent="0.25">
      <c r="F8773" s="494">
        <v>514</v>
      </c>
      <c r="G8773" s="495" t="s">
        <v>4197</v>
      </c>
      <c r="H8773" s="397"/>
      <c r="I8773" s="397"/>
      <c r="J8773" s="750" t="e">
        <f t="shared" si="119"/>
        <v>#DIV/0!</v>
      </c>
      <c r="K8773" s="398"/>
      <c r="L8773" s="398"/>
      <c r="M8773" s="682"/>
    </row>
    <row r="8774" spans="5:13" ht="13.5" hidden="1" thickBot="1" x14ac:dyDescent="0.25">
      <c r="F8774" s="494">
        <v>515</v>
      </c>
      <c r="G8774" s="495" t="s">
        <v>3832</v>
      </c>
      <c r="H8774" s="397"/>
      <c r="I8774" s="397"/>
      <c r="J8774" s="750" t="e">
        <f t="shared" si="119"/>
        <v>#DIV/0!</v>
      </c>
      <c r="K8774" s="398"/>
      <c r="L8774" s="398"/>
      <c r="M8774" s="682"/>
    </row>
    <row r="8775" spans="5:13" ht="13.5" hidden="1" thickBot="1" x14ac:dyDescent="0.25">
      <c r="F8775" s="494">
        <v>521</v>
      </c>
      <c r="G8775" s="495" t="s">
        <v>4198</v>
      </c>
      <c r="H8775" s="397"/>
      <c r="I8775" s="397"/>
      <c r="J8775" s="750" t="e">
        <f t="shared" si="119"/>
        <v>#DIV/0!</v>
      </c>
      <c r="K8775" s="398"/>
      <c r="L8775" s="398"/>
      <c r="M8775" s="682"/>
    </row>
    <row r="8776" spans="5:13" ht="13.5" hidden="1" thickBot="1" x14ac:dyDescent="0.25">
      <c r="F8776" s="494">
        <v>522</v>
      </c>
      <c r="G8776" s="495" t="s">
        <v>4199</v>
      </c>
      <c r="H8776" s="397"/>
      <c r="I8776" s="397"/>
      <c r="J8776" s="750" t="e">
        <f t="shared" si="119"/>
        <v>#DIV/0!</v>
      </c>
      <c r="K8776" s="398"/>
      <c r="L8776" s="398"/>
      <c r="M8776" s="682"/>
    </row>
    <row r="8777" spans="5:13" ht="13.5" hidden="1" thickBot="1" x14ac:dyDescent="0.25">
      <c r="F8777" s="494">
        <v>523</v>
      </c>
      <c r="G8777" s="495" t="s">
        <v>3837</v>
      </c>
      <c r="H8777" s="397"/>
      <c r="I8777" s="397"/>
      <c r="J8777" s="750" t="e">
        <f t="shared" si="119"/>
        <v>#DIV/0!</v>
      </c>
      <c r="K8777" s="398"/>
      <c r="L8777" s="398"/>
      <c r="M8777" s="682"/>
    </row>
    <row r="8778" spans="5:13" ht="13.5" hidden="1" thickBot="1" x14ac:dyDescent="0.25">
      <c r="F8778" s="494">
        <v>531</v>
      </c>
      <c r="G8778" s="496" t="s">
        <v>4175</v>
      </c>
      <c r="H8778" s="397"/>
      <c r="I8778" s="397"/>
      <c r="J8778" s="750" t="e">
        <f t="shared" si="119"/>
        <v>#DIV/0!</v>
      </c>
      <c r="K8778" s="398"/>
      <c r="L8778" s="398"/>
      <c r="M8778" s="682"/>
    </row>
    <row r="8779" spans="5:13" ht="13.5" hidden="1" thickBot="1" x14ac:dyDescent="0.25">
      <c r="F8779" s="494">
        <v>541</v>
      </c>
      <c r="G8779" s="495" t="s">
        <v>4200</v>
      </c>
      <c r="H8779" s="397"/>
      <c r="I8779" s="397"/>
      <c r="J8779" s="750" t="e">
        <f t="shared" si="119"/>
        <v>#DIV/0!</v>
      </c>
      <c r="K8779" s="398"/>
      <c r="L8779" s="398"/>
      <c r="M8779" s="682"/>
    </row>
    <row r="8780" spans="5:13" ht="13.5" hidden="1" thickBot="1" x14ac:dyDescent="0.25">
      <c r="F8780" s="494">
        <v>542</v>
      </c>
      <c r="G8780" s="495" t="s">
        <v>4201</v>
      </c>
      <c r="H8780" s="397"/>
      <c r="I8780" s="397"/>
      <c r="J8780" s="750" t="e">
        <f t="shared" si="119"/>
        <v>#DIV/0!</v>
      </c>
      <c r="K8780" s="398"/>
      <c r="L8780" s="398"/>
      <c r="M8780" s="682"/>
    </row>
    <row r="8781" spans="5:13" ht="13.5" hidden="1" thickBot="1" x14ac:dyDescent="0.25">
      <c r="F8781" s="494">
        <v>543</v>
      </c>
      <c r="G8781" s="495" t="s">
        <v>3842</v>
      </c>
      <c r="H8781" s="397"/>
      <c r="I8781" s="397"/>
      <c r="J8781" s="750" t="e">
        <f t="shared" si="119"/>
        <v>#DIV/0!</v>
      </c>
      <c r="K8781" s="398"/>
      <c r="L8781" s="398"/>
      <c r="M8781" s="682"/>
    </row>
    <row r="8782" spans="5:13" ht="39" hidden="1" thickBot="1" x14ac:dyDescent="0.25">
      <c r="F8782" s="494">
        <v>551</v>
      </c>
      <c r="G8782" s="495" t="s">
        <v>4176</v>
      </c>
      <c r="H8782" s="397"/>
      <c r="I8782" s="397"/>
      <c r="J8782" s="750" t="e">
        <f t="shared" ref="J8782:J8845" si="120">SUM(I8782/H8782)*100</f>
        <v>#DIV/0!</v>
      </c>
      <c r="K8782" s="398"/>
      <c r="L8782" s="398"/>
      <c r="M8782" s="682"/>
    </row>
    <row r="8783" spans="5:13" ht="13.5" hidden="1" thickBot="1" x14ac:dyDescent="0.25">
      <c r="F8783" s="498">
        <v>611</v>
      </c>
      <c r="G8783" s="499" t="s">
        <v>3848</v>
      </c>
      <c r="H8783" s="397"/>
      <c r="I8783" s="397"/>
      <c r="J8783" s="750" t="e">
        <f t="shared" si="120"/>
        <v>#DIV/0!</v>
      </c>
      <c r="K8783" s="398"/>
      <c r="L8783" s="398"/>
      <c r="M8783" s="682"/>
    </row>
    <row r="8784" spans="5:13" ht="13.5" hidden="1" thickBot="1" x14ac:dyDescent="0.25">
      <c r="F8784" s="498">
        <v>620</v>
      </c>
      <c r="G8784" s="499" t="s">
        <v>88</v>
      </c>
      <c r="H8784" s="397"/>
      <c r="I8784" s="397"/>
      <c r="J8784" s="750" t="e">
        <f t="shared" si="120"/>
        <v>#DIV/0!</v>
      </c>
      <c r="K8784" s="398"/>
      <c r="L8784" s="398"/>
      <c r="M8784" s="682"/>
    </row>
    <row r="8785" spans="5:13" x14ac:dyDescent="0.2">
      <c r="E8785" s="500"/>
      <c r="F8785" s="498"/>
      <c r="G8785" s="509" t="s">
        <v>4360</v>
      </c>
      <c r="H8785" s="400"/>
      <c r="I8785" s="400"/>
      <c r="J8785" s="750"/>
      <c r="K8785" s="401"/>
      <c r="L8785" s="402"/>
      <c r="M8785" s="682"/>
    </row>
    <row r="8786" spans="5:13" ht="13.5" thickBot="1" x14ac:dyDescent="0.25">
      <c r="E8786" s="502"/>
      <c r="F8786" s="503" t="s">
        <v>234</v>
      </c>
      <c r="G8786" s="504" t="s">
        <v>235</v>
      </c>
      <c r="H8786" s="403">
        <f>SUM(H8725:H8784)</f>
        <v>800000</v>
      </c>
      <c r="I8786" s="403">
        <v>0</v>
      </c>
      <c r="J8786" s="750">
        <f t="shared" si="120"/>
        <v>0</v>
      </c>
      <c r="K8786" s="404"/>
      <c r="L8786" s="404"/>
      <c r="M8786" s="682"/>
    </row>
    <row r="8787" spans="5:13" ht="13.5" hidden="1" thickBot="1" x14ac:dyDescent="0.25">
      <c r="F8787" s="503" t="s">
        <v>236</v>
      </c>
      <c r="G8787" s="504" t="s">
        <v>237</v>
      </c>
      <c r="H8787" s="397"/>
      <c r="I8787" s="397"/>
      <c r="J8787" s="750" t="e">
        <f t="shared" si="120"/>
        <v>#DIV/0!</v>
      </c>
      <c r="K8787" s="398"/>
      <c r="L8787" s="404"/>
      <c r="M8787" s="682"/>
    </row>
    <row r="8788" spans="5:13" ht="13.5" hidden="1" thickBot="1" x14ac:dyDescent="0.25">
      <c r="F8788" s="503" t="s">
        <v>238</v>
      </c>
      <c r="G8788" s="504" t="s">
        <v>239</v>
      </c>
      <c r="H8788" s="397"/>
      <c r="I8788" s="397"/>
      <c r="J8788" s="750" t="e">
        <f t="shared" si="120"/>
        <v>#DIV/0!</v>
      </c>
      <c r="K8788" s="398"/>
      <c r="L8788" s="404"/>
      <c r="M8788" s="682"/>
    </row>
    <row r="8789" spans="5:13" ht="13.5" hidden="1" thickBot="1" x14ac:dyDescent="0.25">
      <c r="F8789" s="503" t="s">
        <v>240</v>
      </c>
      <c r="G8789" s="504" t="s">
        <v>241</v>
      </c>
      <c r="H8789" s="397"/>
      <c r="I8789" s="397"/>
      <c r="J8789" s="750" t="e">
        <f t="shared" si="120"/>
        <v>#DIV/0!</v>
      </c>
      <c r="K8789" s="398"/>
      <c r="L8789" s="404"/>
      <c r="M8789" s="682"/>
    </row>
    <row r="8790" spans="5:13" ht="13.5" hidden="1" thickBot="1" x14ac:dyDescent="0.25">
      <c r="F8790" s="503" t="s">
        <v>242</v>
      </c>
      <c r="G8790" s="504" t="s">
        <v>243</v>
      </c>
      <c r="H8790" s="397"/>
      <c r="I8790" s="397"/>
      <c r="J8790" s="750" t="e">
        <f t="shared" si="120"/>
        <v>#DIV/0!</v>
      </c>
      <c r="K8790" s="398"/>
      <c r="L8790" s="404"/>
      <c r="M8790" s="682"/>
    </row>
    <row r="8791" spans="5:13" ht="13.5" hidden="1" thickBot="1" x14ac:dyDescent="0.25">
      <c r="F8791" s="503" t="s">
        <v>244</v>
      </c>
      <c r="G8791" s="504" t="s">
        <v>245</v>
      </c>
      <c r="H8791" s="397"/>
      <c r="I8791" s="397"/>
      <c r="J8791" s="750" t="e">
        <f t="shared" si="120"/>
        <v>#DIV/0!</v>
      </c>
      <c r="K8791" s="398"/>
      <c r="L8791" s="404"/>
      <c r="M8791" s="682"/>
    </row>
    <row r="8792" spans="5:13" ht="13.5" hidden="1" thickBot="1" x14ac:dyDescent="0.25">
      <c r="F8792" s="503" t="s">
        <v>246</v>
      </c>
      <c r="G8792" s="504" t="s">
        <v>247</v>
      </c>
      <c r="H8792" s="397"/>
      <c r="I8792" s="397"/>
      <c r="J8792" s="750" t="e">
        <f t="shared" si="120"/>
        <v>#DIV/0!</v>
      </c>
      <c r="K8792" s="398"/>
      <c r="L8792" s="404"/>
      <c r="M8792" s="682"/>
    </row>
    <row r="8793" spans="5:13" ht="26.25" hidden="1" thickBot="1" x14ac:dyDescent="0.25">
      <c r="F8793" s="503" t="s">
        <v>248</v>
      </c>
      <c r="G8793" s="504" t="s">
        <v>249</v>
      </c>
      <c r="H8793" s="397"/>
      <c r="I8793" s="397"/>
      <c r="J8793" s="750" t="e">
        <f t="shared" si="120"/>
        <v>#DIV/0!</v>
      </c>
      <c r="K8793" s="398"/>
      <c r="L8793" s="404"/>
      <c r="M8793" s="682"/>
    </row>
    <row r="8794" spans="5:13" ht="13.5" hidden="1" thickBot="1" x14ac:dyDescent="0.25">
      <c r="F8794" s="503" t="s">
        <v>250</v>
      </c>
      <c r="G8794" s="504" t="s">
        <v>57</v>
      </c>
      <c r="H8794" s="397"/>
      <c r="I8794" s="397"/>
      <c r="J8794" s="750" t="e">
        <f t="shared" si="120"/>
        <v>#DIV/0!</v>
      </c>
      <c r="K8794" s="398"/>
      <c r="L8794" s="404"/>
      <c r="M8794" s="682"/>
    </row>
    <row r="8795" spans="5:13" ht="13.5" hidden="1" thickBot="1" x14ac:dyDescent="0.25">
      <c r="F8795" s="503" t="s">
        <v>251</v>
      </c>
      <c r="G8795" s="504" t="s">
        <v>252</v>
      </c>
      <c r="H8795" s="397"/>
      <c r="I8795" s="397"/>
      <c r="J8795" s="750" t="e">
        <f t="shared" si="120"/>
        <v>#DIV/0!</v>
      </c>
      <c r="K8795" s="398"/>
      <c r="L8795" s="404"/>
      <c r="M8795" s="682"/>
    </row>
    <row r="8796" spans="5:13" ht="13.5" hidden="1" thickBot="1" x14ac:dyDescent="0.25">
      <c r="F8796" s="503" t="s">
        <v>253</v>
      </c>
      <c r="G8796" s="504" t="s">
        <v>254</v>
      </c>
      <c r="H8796" s="397"/>
      <c r="I8796" s="397"/>
      <c r="J8796" s="750" t="e">
        <f t="shared" si="120"/>
        <v>#DIV/0!</v>
      </c>
      <c r="K8796" s="398"/>
      <c r="L8796" s="404"/>
      <c r="M8796" s="682"/>
    </row>
    <row r="8797" spans="5:13" ht="26.25" hidden="1" thickBot="1" x14ac:dyDescent="0.25">
      <c r="F8797" s="503" t="s">
        <v>255</v>
      </c>
      <c r="G8797" s="504" t="s">
        <v>256</v>
      </c>
      <c r="H8797" s="397"/>
      <c r="I8797" s="397"/>
      <c r="J8797" s="750" t="e">
        <f t="shared" si="120"/>
        <v>#DIV/0!</v>
      </c>
      <c r="K8797" s="398"/>
      <c r="L8797" s="404"/>
      <c r="M8797" s="682"/>
    </row>
    <row r="8798" spans="5:13" ht="26.25" hidden="1" thickBot="1" x14ac:dyDescent="0.25">
      <c r="F8798" s="503" t="s">
        <v>257</v>
      </c>
      <c r="G8798" s="504" t="s">
        <v>258</v>
      </c>
      <c r="H8798" s="397"/>
      <c r="I8798" s="397"/>
      <c r="J8798" s="750" t="e">
        <f t="shared" si="120"/>
        <v>#DIV/0!</v>
      </c>
      <c r="K8798" s="398"/>
      <c r="L8798" s="404"/>
      <c r="M8798" s="682"/>
    </row>
    <row r="8799" spans="5:13" ht="26.25" hidden="1" thickBot="1" x14ac:dyDescent="0.25">
      <c r="F8799" s="503" t="s">
        <v>259</v>
      </c>
      <c r="G8799" s="504" t="s">
        <v>260</v>
      </c>
      <c r="H8799" s="397"/>
      <c r="I8799" s="397"/>
      <c r="J8799" s="750" t="e">
        <f t="shared" si="120"/>
        <v>#DIV/0!</v>
      </c>
      <c r="K8799" s="398"/>
      <c r="L8799" s="404"/>
      <c r="M8799" s="682"/>
    </row>
    <row r="8800" spans="5:13" ht="26.25" hidden="1" thickBot="1" x14ac:dyDescent="0.25">
      <c r="F8800" s="503" t="s">
        <v>261</v>
      </c>
      <c r="G8800" s="504" t="s">
        <v>262</v>
      </c>
      <c r="H8800" s="397"/>
      <c r="I8800" s="397"/>
      <c r="J8800" s="750" t="e">
        <f t="shared" si="120"/>
        <v>#DIV/0!</v>
      </c>
      <c r="K8800" s="398"/>
      <c r="L8800" s="404"/>
      <c r="M8800" s="682"/>
    </row>
    <row r="8801" spans="5:13" ht="13.5" hidden="1" thickBot="1" x14ac:dyDescent="0.25">
      <c r="F8801" s="503" t="s">
        <v>263</v>
      </c>
      <c r="G8801" s="504" t="s">
        <v>264</v>
      </c>
      <c r="H8801" s="403"/>
      <c r="I8801" s="403"/>
      <c r="J8801" s="750" t="e">
        <f t="shared" si="120"/>
        <v>#DIV/0!</v>
      </c>
      <c r="K8801" s="404"/>
      <c r="L8801" s="404"/>
      <c r="M8801" s="682"/>
    </row>
    <row r="8802" spans="5:13" ht="13.5" thickBot="1" x14ac:dyDescent="0.25">
      <c r="G8802" s="505" t="s">
        <v>4361</v>
      </c>
      <c r="H8802" s="405">
        <f>SUM(H8786:H8801)</f>
        <v>800000</v>
      </c>
      <c r="I8802" s="405">
        <v>0</v>
      </c>
      <c r="J8802" s="750">
        <f t="shared" si="120"/>
        <v>0</v>
      </c>
      <c r="K8802" s="406">
        <f>SUM(K8787:K8801)</f>
        <v>0</v>
      </c>
      <c r="L8802" s="406"/>
      <c r="M8802" s="682"/>
    </row>
    <row r="8803" spans="5:13" collapsed="1" x14ac:dyDescent="0.2">
      <c r="E8803" s="500"/>
      <c r="F8803" s="498"/>
      <c r="G8803" s="506" t="s">
        <v>5158</v>
      </c>
      <c r="H8803" s="407"/>
      <c r="I8803" s="408"/>
      <c r="J8803" s="750"/>
      <c r="K8803" s="409"/>
      <c r="L8803" s="410"/>
      <c r="M8803" s="682"/>
    </row>
    <row r="8804" spans="5:13" ht="13.5" thickBot="1" x14ac:dyDescent="0.25">
      <c r="E8804" s="502"/>
      <c r="F8804" s="503" t="s">
        <v>234</v>
      </c>
      <c r="G8804" s="504" t="s">
        <v>235</v>
      </c>
      <c r="H8804" s="403">
        <f>SUM(H8725:H8784)</f>
        <v>800000</v>
      </c>
      <c r="I8804" s="403">
        <v>0</v>
      </c>
      <c r="J8804" s="750">
        <f t="shared" si="120"/>
        <v>0</v>
      </c>
      <c r="K8804" s="404"/>
      <c r="L8804" s="404"/>
      <c r="M8804" s="682"/>
    </row>
    <row r="8805" spans="5:13" ht="13.5" hidden="1" thickBot="1" x14ac:dyDescent="0.25">
      <c r="F8805" s="503" t="s">
        <v>236</v>
      </c>
      <c r="G8805" s="504" t="s">
        <v>237</v>
      </c>
      <c r="H8805" s="397"/>
      <c r="I8805" s="397"/>
      <c r="J8805" s="750" t="e">
        <f t="shared" si="120"/>
        <v>#DIV/0!</v>
      </c>
      <c r="K8805" s="398"/>
      <c r="L8805" s="404"/>
      <c r="M8805" s="682"/>
    </row>
    <row r="8806" spans="5:13" ht="13.5" hidden="1" thickBot="1" x14ac:dyDescent="0.25">
      <c r="F8806" s="503" t="s">
        <v>238</v>
      </c>
      <c r="G8806" s="504" t="s">
        <v>239</v>
      </c>
      <c r="H8806" s="397"/>
      <c r="I8806" s="397"/>
      <c r="J8806" s="750" t="e">
        <f t="shared" si="120"/>
        <v>#DIV/0!</v>
      </c>
      <c r="K8806" s="398"/>
      <c r="L8806" s="404"/>
      <c r="M8806" s="682"/>
    </row>
    <row r="8807" spans="5:13" ht="13.5" hidden="1" thickBot="1" x14ac:dyDescent="0.25">
      <c r="F8807" s="503" t="s">
        <v>240</v>
      </c>
      <c r="G8807" s="504" t="s">
        <v>241</v>
      </c>
      <c r="H8807" s="397"/>
      <c r="I8807" s="397"/>
      <c r="J8807" s="750" t="e">
        <f t="shared" si="120"/>
        <v>#DIV/0!</v>
      </c>
      <c r="K8807" s="398"/>
      <c r="L8807" s="404"/>
      <c r="M8807" s="682"/>
    </row>
    <row r="8808" spans="5:13" ht="13.5" hidden="1" thickBot="1" x14ac:dyDescent="0.25">
      <c r="F8808" s="503" t="s">
        <v>242</v>
      </c>
      <c r="G8808" s="504" t="s">
        <v>243</v>
      </c>
      <c r="H8808" s="397"/>
      <c r="I8808" s="397"/>
      <c r="J8808" s="750" t="e">
        <f t="shared" si="120"/>
        <v>#DIV/0!</v>
      </c>
      <c r="K8808" s="398"/>
      <c r="L8808" s="404"/>
      <c r="M8808" s="682"/>
    </row>
    <row r="8809" spans="5:13" ht="13.5" hidden="1" thickBot="1" x14ac:dyDescent="0.25">
      <c r="F8809" s="503" t="s">
        <v>244</v>
      </c>
      <c r="G8809" s="504" t="s">
        <v>245</v>
      </c>
      <c r="H8809" s="397"/>
      <c r="I8809" s="397"/>
      <c r="J8809" s="750" t="e">
        <f t="shared" si="120"/>
        <v>#DIV/0!</v>
      </c>
      <c r="K8809" s="398"/>
      <c r="L8809" s="404"/>
      <c r="M8809" s="682"/>
    </row>
    <row r="8810" spans="5:13" ht="13.5" hidden="1" thickBot="1" x14ac:dyDescent="0.25">
      <c r="F8810" s="503" t="s">
        <v>246</v>
      </c>
      <c r="G8810" s="504" t="s">
        <v>247</v>
      </c>
      <c r="H8810" s="397"/>
      <c r="I8810" s="397"/>
      <c r="J8810" s="750" t="e">
        <f t="shared" si="120"/>
        <v>#DIV/0!</v>
      </c>
      <c r="K8810" s="398"/>
      <c r="L8810" s="404"/>
      <c r="M8810" s="682"/>
    </row>
    <row r="8811" spans="5:13" ht="26.25" hidden="1" thickBot="1" x14ac:dyDescent="0.25">
      <c r="F8811" s="503" t="s">
        <v>248</v>
      </c>
      <c r="G8811" s="504" t="s">
        <v>249</v>
      </c>
      <c r="H8811" s="397"/>
      <c r="I8811" s="397"/>
      <c r="J8811" s="750" t="e">
        <f t="shared" si="120"/>
        <v>#DIV/0!</v>
      </c>
      <c r="K8811" s="398"/>
      <c r="L8811" s="404"/>
      <c r="M8811" s="682"/>
    </row>
    <row r="8812" spans="5:13" ht="13.5" hidden="1" thickBot="1" x14ac:dyDescent="0.25">
      <c r="F8812" s="503" t="s">
        <v>250</v>
      </c>
      <c r="G8812" s="504" t="s">
        <v>57</v>
      </c>
      <c r="H8812" s="397"/>
      <c r="I8812" s="397"/>
      <c r="J8812" s="750" t="e">
        <f t="shared" si="120"/>
        <v>#DIV/0!</v>
      </c>
      <c r="K8812" s="398"/>
      <c r="L8812" s="404"/>
      <c r="M8812" s="682"/>
    </row>
    <row r="8813" spans="5:13" ht="13.5" hidden="1" thickBot="1" x14ac:dyDescent="0.25">
      <c r="F8813" s="503" t="s">
        <v>251</v>
      </c>
      <c r="G8813" s="504" t="s">
        <v>252</v>
      </c>
      <c r="H8813" s="397"/>
      <c r="I8813" s="397"/>
      <c r="J8813" s="750" t="e">
        <f t="shared" si="120"/>
        <v>#DIV/0!</v>
      </c>
      <c r="K8813" s="398"/>
      <c r="L8813" s="404"/>
      <c r="M8813" s="682"/>
    </row>
    <row r="8814" spans="5:13" ht="13.5" hidden="1" thickBot="1" x14ac:dyDescent="0.25">
      <c r="F8814" s="503" t="s">
        <v>253</v>
      </c>
      <c r="G8814" s="504" t="s">
        <v>254</v>
      </c>
      <c r="H8814" s="397"/>
      <c r="I8814" s="397"/>
      <c r="J8814" s="750" t="e">
        <f t="shared" si="120"/>
        <v>#DIV/0!</v>
      </c>
      <c r="K8814" s="398"/>
      <c r="L8814" s="404"/>
      <c r="M8814" s="682"/>
    </row>
    <row r="8815" spans="5:13" ht="26.25" hidden="1" thickBot="1" x14ac:dyDescent="0.25">
      <c r="F8815" s="503" t="s">
        <v>255</v>
      </c>
      <c r="G8815" s="504" t="s">
        <v>256</v>
      </c>
      <c r="H8815" s="397"/>
      <c r="I8815" s="397"/>
      <c r="J8815" s="750" t="e">
        <f t="shared" si="120"/>
        <v>#DIV/0!</v>
      </c>
      <c r="K8815" s="398"/>
      <c r="L8815" s="404"/>
      <c r="M8815" s="682"/>
    </row>
    <row r="8816" spans="5:13" ht="26.25" hidden="1" thickBot="1" x14ac:dyDescent="0.25">
      <c r="F8816" s="503" t="s">
        <v>257</v>
      </c>
      <c r="G8816" s="504" t="s">
        <v>258</v>
      </c>
      <c r="H8816" s="397"/>
      <c r="I8816" s="397"/>
      <c r="J8816" s="750" t="e">
        <f t="shared" si="120"/>
        <v>#DIV/0!</v>
      </c>
      <c r="K8816" s="398"/>
      <c r="L8816" s="404"/>
      <c r="M8816" s="682"/>
    </row>
    <row r="8817" spans="1:27" ht="26.25" hidden="1" thickBot="1" x14ac:dyDescent="0.25">
      <c r="F8817" s="503" t="s">
        <v>259</v>
      </c>
      <c r="G8817" s="504" t="s">
        <v>260</v>
      </c>
      <c r="H8817" s="397"/>
      <c r="I8817" s="397"/>
      <c r="J8817" s="750" t="e">
        <f t="shared" si="120"/>
        <v>#DIV/0!</v>
      </c>
      <c r="K8817" s="398"/>
      <c r="L8817" s="404"/>
      <c r="M8817" s="682"/>
    </row>
    <row r="8818" spans="1:27" ht="26.25" hidden="1" thickBot="1" x14ac:dyDescent="0.25">
      <c r="F8818" s="503" t="s">
        <v>261</v>
      </c>
      <c r="G8818" s="504" t="s">
        <v>262</v>
      </c>
      <c r="H8818" s="397"/>
      <c r="I8818" s="397"/>
      <c r="J8818" s="750" t="e">
        <f t="shared" si="120"/>
        <v>#DIV/0!</v>
      </c>
      <c r="K8818" s="398"/>
      <c r="L8818" s="404"/>
      <c r="M8818" s="682"/>
    </row>
    <row r="8819" spans="1:27" ht="13.5" hidden="1" thickBot="1" x14ac:dyDescent="0.25">
      <c r="F8819" s="503" t="s">
        <v>263</v>
      </c>
      <c r="G8819" s="504" t="s">
        <v>264</v>
      </c>
      <c r="H8819" s="403"/>
      <c r="I8819" s="403"/>
      <c r="J8819" s="750" t="e">
        <f t="shared" si="120"/>
        <v>#DIV/0!</v>
      </c>
      <c r="K8819" s="404"/>
      <c r="L8819" s="404"/>
      <c r="M8819" s="682"/>
    </row>
    <row r="8820" spans="1:27" ht="13.5" collapsed="1" thickBot="1" x14ac:dyDescent="0.25">
      <c r="G8820" s="505" t="s">
        <v>5159</v>
      </c>
      <c r="H8820" s="405">
        <f>SUM(H8804:H8819)</f>
        <v>800000</v>
      </c>
      <c r="I8820" s="405">
        <v>0</v>
      </c>
      <c r="J8820" s="750">
        <v>0</v>
      </c>
      <c r="K8820" s="406">
        <f>SUM(K8805:K8819)</f>
        <v>0</v>
      </c>
      <c r="L8820" s="406"/>
      <c r="M8820" s="682"/>
    </row>
    <row r="8821" spans="1:27" s="530" customFormat="1" ht="6.75" customHeight="1" x14ac:dyDescent="0.2">
      <c r="A8821" s="526"/>
      <c r="B8821" s="527"/>
      <c r="C8821" s="172"/>
      <c r="D8821" s="536"/>
      <c r="G8821" s="179"/>
      <c r="H8821" s="422"/>
      <c r="I8821" s="422"/>
      <c r="J8821" s="750"/>
      <c r="K8821" s="423"/>
      <c r="L8821" s="424"/>
      <c r="M8821" s="682"/>
      <c r="N8821" s="171"/>
      <c r="O8821" s="171"/>
      <c r="P8821" s="171"/>
      <c r="Q8821" s="171"/>
      <c r="R8821" s="171"/>
      <c r="S8821" s="171"/>
      <c r="T8821" s="171"/>
      <c r="U8821" s="171"/>
      <c r="V8821" s="171"/>
      <c r="W8821" s="171"/>
      <c r="X8821" s="171"/>
      <c r="Y8821" s="171"/>
      <c r="Z8821" s="171"/>
      <c r="AA8821" s="171"/>
    </row>
    <row r="8822" spans="1:27" s="530" customFormat="1" x14ac:dyDescent="0.2">
      <c r="A8822" s="526"/>
      <c r="B8822" s="527"/>
      <c r="C8822" s="534"/>
      <c r="D8822" s="535"/>
      <c r="E8822" s="535"/>
      <c r="F8822" s="498"/>
      <c r="G8822" s="511" t="s">
        <v>4242</v>
      </c>
      <c r="H8822" s="413"/>
      <c r="I8822" s="413"/>
      <c r="J8822" s="750"/>
      <c r="K8822" s="414"/>
      <c r="L8822" s="415"/>
      <c r="M8822" s="682"/>
      <c r="N8822" s="171"/>
      <c r="O8822" s="171"/>
      <c r="P8822" s="171"/>
      <c r="Q8822" s="171"/>
      <c r="R8822" s="171"/>
      <c r="S8822" s="171"/>
      <c r="T8822" s="171"/>
      <c r="U8822" s="171"/>
      <c r="V8822" s="171"/>
      <c r="W8822" s="171"/>
      <c r="X8822" s="171"/>
      <c r="Y8822" s="171"/>
      <c r="Z8822" s="171"/>
      <c r="AA8822" s="171"/>
    </row>
    <row r="8823" spans="1:27" s="530" customFormat="1" x14ac:dyDescent="0.2">
      <c r="A8823" s="526"/>
      <c r="B8823" s="527"/>
      <c r="C8823" s="534"/>
      <c r="D8823" s="535"/>
      <c r="E8823" s="535"/>
      <c r="F8823" s="503" t="s">
        <v>234</v>
      </c>
      <c r="G8823" s="504" t="s">
        <v>235</v>
      </c>
      <c r="H8823" s="403">
        <f>SUM(H8804,H8705,H8606,H8507)</f>
        <v>3800000</v>
      </c>
      <c r="I8823" s="403">
        <f>SUM(I8622)</f>
        <v>1548472.9100000001</v>
      </c>
      <c r="J8823" s="750">
        <f t="shared" si="120"/>
        <v>40.749287105263157</v>
      </c>
      <c r="K8823" s="404"/>
      <c r="L8823" s="404"/>
      <c r="M8823" s="682"/>
      <c r="N8823" s="171"/>
      <c r="O8823" s="171"/>
      <c r="P8823" s="171"/>
      <c r="Q8823" s="171"/>
      <c r="R8823" s="171"/>
      <c r="S8823" s="171"/>
      <c r="T8823" s="171"/>
      <c r="U8823" s="171"/>
      <c r="V8823" s="171"/>
      <c r="W8823" s="171"/>
      <c r="X8823" s="171"/>
      <c r="Y8823" s="171"/>
      <c r="Z8823" s="171"/>
      <c r="AA8823" s="171"/>
    </row>
    <row r="8824" spans="1:27" s="530" customFormat="1" hidden="1" x14ac:dyDescent="0.2">
      <c r="A8824" s="526"/>
      <c r="B8824" s="527"/>
      <c r="C8824" s="534"/>
      <c r="D8824" s="535"/>
      <c r="E8824" s="535"/>
      <c r="F8824" s="503" t="s">
        <v>236</v>
      </c>
      <c r="G8824" s="504" t="s">
        <v>237</v>
      </c>
      <c r="H8824" s="397"/>
      <c r="I8824" s="397"/>
      <c r="J8824" s="750" t="e">
        <f t="shared" si="120"/>
        <v>#DIV/0!</v>
      </c>
      <c r="K8824" s="398"/>
      <c r="L8824" s="404"/>
      <c r="M8824" s="682"/>
      <c r="N8824" s="171"/>
      <c r="O8824" s="171"/>
      <c r="P8824" s="171"/>
      <c r="Q8824" s="171"/>
      <c r="R8824" s="171"/>
      <c r="S8824" s="171"/>
      <c r="T8824" s="171"/>
      <c r="U8824" s="171"/>
      <c r="V8824" s="171"/>
      <c r="W8824" s="171"/>
      <c r="X8824" s="171"/>
      <c r="Y8824" s="171"/>
      <c r="Z8824" s="171"/>
      <c r="AA8824" s="171"/>
    </row>
    <row r="8825" spans="1:27" s="530" customFormat="1" hidden="1" x14ac:dyDescent="0.2">
      <c r="A8825" s="526"/>
      <c r="B8825" s="527"/>
      <c r="C8825" s="534"/>
      <c r="D8825" s="535"/>
      <c r="E8825" s="535"/>
      <c r="F8825" s="503" t="s">
        <v>238</v>
      </c>
      <c r="G8825" s="504" t="s">
        <v>239</v>
      </c>
      <c r="H8825" s="397"/>
      <c r="I8825" s="397"/>
      <c r="J8825" s="750" t="e">
        <f t="shared" si="120"/>
        <v>#DIV/0!</v>
      </c>
      <c r="K8825" s="398"/>
      <c r="L8825" s="404"/>
      <c r="M8825" s="682"/>
      <c r="N8825" s="171"/>
      <c r="O8825" s="171"/>
      <c r="P8825" s="171"/>
      <c r="Q8825" s="171"/>
      <c r="R8825" s="171"/>
      <c r="S8825" s="171"/>
      <c r="T8825" s="171"/>
      <c r="U8825" s="171"/>
      <c r="V8825" s="171"/>
      <c r="W8825" s="171"/>
      <c r="X8825" s="171"/>
      <c r="Y8825" s="171"/>
      <c r="Z8825" s="171"/>
      <c r="AA8825" s="171"/>
    </row>
    <row r="8826" spans="1:27" s="530" customFormat="1" hidden="1" x14ac:dyDescent="0.2">
      <c r="A8826" s="526"/>
      <c r="B8826" s="527"/>
      <c r="C8826" s="534"/>
      <c r="D8826" s="535"/>
      <c r="E8826" s="535"/>
      <c r="F8826" s="503" t="s">
        <v>240</v>
      </c>
      <c r="G8826" s="504" t="s">
        <v>241</v>
      </c>
      <c r="H8826" s="397"/>
      <c r="I8826" s="397"/>
      <c r="J8826" s="750" t="e">
        <f t="shared" si="120"/>
        <v>#DIV/0!</v>
      </c>
      <c r="K8826" s="398"/>
      <c r="L8826" s="404"/>
      <c r="M8826" s="682"/>
      <c r="N8826" s="171"/>
      <c r="O8826" s="171"/>
      <c r="P8826" s="171"/>
      <c r="Q8826" s="171"/>
      <c r="R8826" s="171"/>
      <c r="S8826" s="171"/>
      <c r="T8826" s="171"/>
      <c r="U8826" s="171"/>
      <c r="V8826" s="171"/>
      <c r="W8826" s="171"/>
      <c r="X8826" s="171"/>
      <c r="Y8826" s="171"/>
      <c r="Z8826" s="171"/>
      <c r="AA8826" s="171"/>
    </row>
    <row r="8827" spans="1:27" s="530" customFormat="1" hidden="1" x14ac:dyDescent="0.2">
      <c r="A8827" s="526"/>
      <c r="B8827" s="527"/>
      <c r="C8827" s="534"/>
      <c r="D8827" s="535"/>
      <c r="E8827" s="535"/>
      <c r="F8827" s="503" t="s">
        <v>242</v>
      </c>
      <c r="G8827" s="504" t="s">
        <v>243</v>
      </c>
      <c r="H8827" s="397"/>
      <c r="I8827" s="397"/>
      <c r="J8827" s="750" t="e">
        <f t="shared" si="120"/>
        <v>#DIV/0!</v>
      </c>
      <c r="K8827" s="398"/>
      <c r="L8827" s="404"/>
      <c r="M8827" s="682"/>
      <c r="N8827" s="171"/>
      <c r="O8827" s="171"/>
      <c r="P8827" s="171"/>
      <c r="Q8827" s="171"/>
      <c r="R8827" s="171"/>
      <c r="S8827" s="171"/>
      <c r="T8827" s="171"/>
      <c r="U8827" s="171"/>
      <c r="V8827" s="171"/>
      <c r="W8827" s="171"/>
      <c r="X8827" s="171"/>
      <c r="Y8827" s="171"/>
      <c r="Z8827" s="171"/>
      <c r="AA8827" s="171"/>
    </row>
    <row r="8828" spans="1:27" s="530" customFormat="1" hidden="1" x14ac:dyDescent="0.2">
      <c r="A8828" s="526"/>
      <c r="B8828" s="527"/>
      <c r="C8828" s="534"/>
      <c r="D8828" s="535"/>
      <c r="E8828" s="535"/>
      <c r="F8828" s="503" t="s">
        <v>244</v>
      </c>
      <c r="G8828" s="504" t="s">
        <v>245</v>
      </c>
      <c r="H8828" s="397"/>
      <c r="I8828" s="397"/>
      <c r="J8828" s="750" t="e">
        <f t="shared" si="120"/>
        <v>#DIV/0!</v>
      </c>
      <c r="K8828" s="398"/>
      <c r="L8828" s="404"/>
      <c r="M8828" s="682"/>
      <c r="N8828" s="171"/>
      <c r="O8828" s="171"/>
      <c r="P8828" s="171"/>
      <c r="Q8828" s="171"/>
      <c r="R8828" s="171"/>
      <c r="S8828" s="171"/>
      <c r="T8828" s="171"/>
      <c r="U8828" s="171"/>
      <c r="V8828" s="171"/>
      <c r="W8828" s="171"/>
      <c r="X8828" s="171"/>
      <c r="Y8828" s="171"/>
      <c r="Z8828" s="171"/>
      <c r="AA8828" s="171"/>
    </row>
    <row r="8829" spans="1:27" s="530" customFormat="1" hidden="1" x14ac:dyDescent="0.2">
      <c r="A8829" s="526"/>
      <c r="B8829" s="527"/>
      <c r="C8829" s="534"/>
      <c r="D8829" s="535"/>
      <c r="E8829" s="535"/>
      <c r="F8829" s="503" t="s">
        <v>246</v>
      </c>
      <c r="G8829" s="504" t="s">
        <v>247</v>
      </c>
      <c r="H8829" s="397"/>
      <c r="I8829" s="397"/>
      <c r="J8829" s="750" t="e">
        <f t="shared" si="120"/>
        <v>#DIV/0!</v>
      </c>
      <c r="K8829" s="398"/>
      <c r="L8829" s="404"/>
      <c r="M8829" s="682"/>
      <c r="N8829" s="171"/>
      <c r="O8829" s="171"/>
      <c r="P8829" s="171"/>
      <c r="Q8829" s="171"/>
      <c r="R8829" s="171"/>
      <c r="S8829" s="171"/>
      <c r="T8829" s="171"/>
      <c r="U8829" s="171"/>
      <c r="V8829" s="171"/>
      <c r="W8829" s="171"/>
      <c r="X8829" s="171"/>
      <c r="Y8829" s="171"/>
      <c r="Z8829" s="171"/>
      <c r="AA8829" s="171"/>
    </row>
    <row r="8830" spans="1:27" s="530" customFormat="1" ht="25.5" hidden="1" x14ac:dyDescent="0.2">
      <c r="A8830" s="526"/>
      <c r="B8830" s="527"/>
      <c r="C8830" s="534"/>
      <c r="D8830" s="535"/>
      <c r="E8830" s="535"/>
      <c r="F8830" s="503" t="s">
        <v>248</v>
      </c>
      <c r="G8830" s="504" t="s">
        <v>249</v>
      </c>
      <c r="H8830" s="397"/>
      <c r="I8830" s="397"/>
      <c r="J8830" s="750" t="e">
        <f t="shared" si="120"/>
        <v>#DIV/0!</v>
      </c>
      <c r="K8830" s="398"/>
      <c r="L8830" s="404"/>
      <c r="M8830" s="682"/>
      <c r="N8830" s="171"/>
      <c r="O8830" s="171"/>
      <c r="P8830" s="171"/>
      <c r="Q8830" s="171"/>
      <c r="R8830" s="171"/>
      <c r="S8830" s="171"/>
      <c r="T8830" s="171"/>
      <c r="U8830" s="171"/>
      <c r="V8830" s="171"/>
      <c r="W8830" s="171"/>
      <c r="X8830" s="171"/>
      <c r="Y8830" s="171"/>
      <c r="Z8830" s="171"/>
      <c r="AA8830" s="171"/>
    </row>
    <row r="8831" spans="1:27" s="530" customFormat="1" hidden="1" x14ac:dyDescent="0.2">
      <c r="A8831" s="526"/>
      <c r="B8831" s="527"/>
      <c r="C8831" s="534"/>
      <c r="D8831" s="535"/>
      <c r="E8831" s="535"/>
      <c r="F8831" s="503" t="s">
        <v>250</v>
      </c>
      <c r="G8831" s="504" t="s">
        <v>57</v>
      </c>
      <c r="H8831" s="397"/>
      <c r="I8831" s="397"/>
      <c r="J8831" s="750" t="e">
        <f t="shared" si="120"/>
        <v>#DIV/0!</v>
      </c>
      <c r="K8831" s="398"/>
      <c r="L8831" s="404"/>
      <c r="M8831" s="682"/>
      <c r="N8831" s="171"/>
      <c r="O8831" s="171"/>
      <c r="P8831" s="171"/>
      <c r="Q8831" s="171"/>
      <c r="R8831" s="171"/>
      <c r="S8831" s="171"/>
      <c r="T8831" s="171"/>
      <c r="U8831" s="171"/>
      <c r="V8831" s="171"/>
      <c r="W8831" s="171"/>
      <c r="X8831" s="171"/>
      <c r="Y8831" s="171"/>
      <c r="Z8831" s="171"/>
      <c r="AA8831" s="171"/>
    </row>
    <row r="8832" spans="1:27" s="530" customFormat="1" hidden="1" x14ac:dyDescent="0.2">
      <c r="A8832" s="526"/>
      <c r="B8832" s="527"/>
      <c r="C8832" s="534"/>
      <c r="D8832" s="535"/>
      <c r="E8832" s="535"/>
      <c r="F8832" s="503" t="s">
        <v>251</v>
      </c>
      <c r="G8832" s="504" t="s">
        <v>252</v>
      </c>
      <c r="H8832" s="397"/>
      <c r="I8832" s="397"/>
      <c r="J8832" s="750" t="e">
        <f t="shared" si="120"/>
        <v>#DIV/0!</v>
      </c>
      <c r="K8832" s="398"/>
      <c r="L8832" s="404"/>
      <c r="M8832" s="682"/>
      <c r="N8832" s="171"/>
      <c r="O8832" s="171"/>
      <c r="P8832" s="171"/>
      <c r="Q8832" s="171"/>
      <c r="R8832" s="171"/>
      <c r="S8832" s="171"/>
      <c r="T8832" s="171"/>
      <c r="U8832" s="171"/>
      <c r="V8832" s="171"/>
      <c r="W8832" s="171"/>
      <c r="X8832" s="171"/>
      <c r="Y8832" s="171"/>
      <c r="Z8832" s="171"/>
      <c r="AA8832" s="171"/>
    </row>
    <row r="8833" spans="1:27" s="530" customFormat="1" hidden="1" x14ac:dyDescent="0.2">
      <c r="A8833" s="526"/>
      <c r="B8833" s="527"/>
      <c r="C8833" s="534"/>
      <c r="D8833" s="535"/>
      <c r="E8833" s="535"/>
      <c r="F8833" s="503" t="s">
        <v>253</v>
      </c>
      <c r="G8833" s="504" t="s">
        <v>254</v>
      </c>
      <c r="H8833" s="397"/>
      <c r="I8833" s="397"/>
      <c r="J8833" s="750" t="e">
        <f t="shared" si="120"/>
        <v>#DIV/0!</v>
      </c>
      <c r="K8833" s="398"/>
      <c r="L8833" s="404"/>
      <c r="M8833" s="682"/>
      <c r="N8833" s="171"/>
      <c r="O8833" s="171"/>
      <c r="P8833" s="171"/>
      <c r="Q8833" s="171"/>
      <c r="R8833" s="171"/>
      <c r="S8833" s="171"/>
      <c r="T8833" s="171"/>
      <c r="U8833" s="171"/>
      <c r="V8833" s="171"/>
      <c r="W8833" s="171"/>
      <c r="X8833" s="171"/>
      <c r="Y8833" s="171"/>
      <c r="Z8833" s="171"/>
      <c r="AA8833" s="171"/>
    </row>
    <row r="8834" spans="1:27" s="530" customFormat="1" ht="25.5" hidden="1" x14ac:dyDescent="0.2">
      <c r="A8834" s="526"/>
      <c r="B8834" s="527"/>
      <c r="C8834" s="534"/>
      <c r="D8834" s="535"/>
      <c r="E8834" s="535"/>
      <c r="F8834" s="503" t="s">
        <v>255</v>
      </c>
      <c r="G8834" s="504" t="s">
        <v>256</v>
      </c>
      <c r="H8834" s="397"/>
      <c r="I8834" s="397"/>
      <c r="J8834" s="750" t="e">
        <f t="shared" si="120"/>
        <v>#DIV/0!</v>
      </c>
      <c r="K8834" s="398"/>
      <c r="L8834" s="404"/>
      <c r="M8834" s="682"/>
      <c r="N8834" s="171"/>
      <c r="O8834" s="171"/>
      <c r="P8834" s="171"/>
      <c r="Q8834" s="171"/>
      <c r="R8834" s="171"/>
      <c r="S8834" s="171"/>
      <c r="T8834" s="171"/>
      <c r="U8834" s="171"/>
      <c r="V8834" s="171"/>
      <c r="W8834" s="171"/>
      <c r="X8834" s="171"/>
      <c r="Y8834" s="171"/>
      <c r="Z8834" s="171"/>
      <c r="AA8834" s="171"/>
    </row>
    <row r="8835" spans="1:27" s="530" customFormat="1" ht="25.5" hidden="1" x14ac:dyDescent="0.2">
      <c r="A8835" s="526"/>
      <c r="B8835" s="527"/>
      <c r="C8835" s="534"/>
      <c r="D8835" s="535"/>
      <c r="E8835" s="535"/>
      <c r="F8835" s="503" t="s">
        <v>257</v>
      </c>
      <c r="G8835" s="504" t="s">
        <v>258</v>
      </c>
      <c r="H8835" s="397"/>
      <c r="I8835" s="397"/>
      <c r="J8835" s="750" t="e">
        <f t="shared" si="120"/>
        <v>#DIV/0!</v>
      </c>
      <c r="K8835" s="398"/>
      <c r="L8835" s="404"/>
      <c r="M8835" s="682"/>
      <c r="N8835" s="171"/>
      <c r="O8835" s="171"/>
      <c r="P8835" s="171"/>
      <c r="Q8835" s="171"/>
      <c r="R8835" s="171"/>
      <c r="S8835" s="171"/>
      <c r="T8835" s="171"/>
      <c r="U8835" s="171"/>
      <c r="V8835" s="171"/>
      <c r="W8835" s="171"/>
      <c r="X8835" s="171"/>
      <c r="Y8835" s="171"/>
      <c r="Z8835" s="171"/>
      <c r="AA8835" s="171"/>
    </row>
    <row r="8836" spans="1:27" s="530" customFormat="1" ht="25.5" hidden="1" x14ac:dyDescent="0.2">
      <c r="A8836" s="526"/>
      <c r="B8836" s="527"/>
      <c r="C8836" s="534"/>
      <c r="D8836" s="535"/>
      <c r="E8836" s="535"/>
      <c r="F8836" s="503" t="s">
        <v>259</v>
      </c>
      <c r="G8836" s="504" t="s">
        <v>260</v>
      </c>
      <c r="H8836" s="397"/>
      <c r="I8836" s="397"/>
      <c r="J8836" s="750" t="e">
        <f t="shared" si="120"/>
        <v>#DIV/0!</v>
      </c>
      <c r="K8836" s="398"/>
      <c r="L8836" s="404"/>
      <c r="M8836" s="682"/>
      <c r="N8836" s="171"/>
      <c r="O8836" s="171"/>
      <c r="P8836" s="171"/>
      <c r="Q8836" s="171"/>
      <c r="R8836" s="171"/>
      <c r="S8836" s="171"/>
      <c r="T8836" s="171"/>
      <c r="U8836" s="171"/>
      <c r="V8836" s="171"/>
      <c r="W8836" s="171"/>
      <c r="X8836" s="171"/>
      <c r="Y8836" s="171"/>
      <c r="Z8836" s="171"/>
      <c r="AA8836" s="171"/>
    </row>
    <row r="8837" spans="1:27" s="530" customFormat="1" ht="25.5" hidden="1" x14ac:dyDescent="0.2">
      <c r="A8837" s="526"/>
      <c r="B8837" s="527"/>
      <c r="C8837" s="534"/>
      <c r="D8837" s="535"/>
      <c r="E8837" s="535"/>
      <c r="F8837" s="503" t="s">
        <v>261</v>
      </c>
      <c r="G8837" s="504" t="s">
        <v>262</v>
      </c>
      <c r="H8837" s="397"/>
      <c r="I8837" s="397"/>
      <c r="J8837" s="750" t="e">
        <f t="shared" si="120"/>
        <v>#DIV/0!</v>
      </c>
      <c r="K8837" s="398"/>
      <c r="L8837" s="404"/>
      <c r="M8837" s="682"/>
      <c r="N8837" s="171"/>
      <c r="O8837" s="171"/>
      <c r="P8837" s="171"/>
      <c r="Q8837" s="171"/>
      <c r="R8837" s="171"/>
      <c r="S8837" s="171"/>
      <c r="T8837" s="171"/>
      <c r="U8837" s="171"/>
      <c r="V8837" s="171"/>
      <c r="W8837" s="171"/>
      <c r="X8837" s="171"/>
      <c r="Y8837" s="171"/>
      <c r="Z8837" s="171"/>
      <c r="AA8837" s="171"/>
    </row>
    <row r="8838" spans="1:27" s="530" customFormat="1" ht="13.5" customHeight="1" thickBot="1" x14ac:dyDescent="0.25">
      <c r="A8838" s="526"/>
      <c r="B8838" s="527"/>
      <c r="C8838" s="534"/>
      <c r="D8838" s="535"/>
      <c r="E8838" s="535"/>
      <c r="F8838" s="503" t="s">
        <v>257</v>
      </c>
      <c r="G8838" s="504" t="s">
        <v>258</v>
      </c>
      <c r="H8838" s="403">
        <v>849049</v>
      </c>
      <c r="I8838" s="403"/>
      <c r="J8838" s="750">
        <f t="shared" si="120"/>
        <v>0</v>
      </c>
      <c r="K8838" s="404"/>
      <c r="L8838" s="404"/>
      <c r="M8838" s="682"/>
      <c r="N8838" s="171"/>
      <c r="O8838" s="171"/>
      <c r="P8838" s="171"/>
      <c r="Q8838" s="171"/>
      <c r="R8838" s="171"/>
      <c r="S8838" s="171"/>
      <c r="T8838" s="171"/>
      <c r="U8838" s="171"/>
      <c r="V8838" s="171"/>
      <c r="W8838" s="171"/>
      <c r="X8838" s="171"/>
      <c r="Y8838" s="171"/>
      <c r="Z8838" s="171"/>
      <c r="AA8838" s="171"/>
    </row>
    <row r="8839" spans="1:27" s="530" customFormat="1" ht="13.5" thickBot="1" x14ac:dyDescent="0.25">
      <c r="A8839" s="526"/>
      <c r="B8839" s="527"/>
      <c r="C8839" s="534"/>
      <c r="D8839" s="535"/>
      <c r="E8839" s="535"/>
      <c r="F8839" s="464"/>
      <c r="G8839" s="505" t="s">
        <v>4243</v>
      </c>
      <c r="H8839" s="405">
        <f>SUM(H8823:H8838)</f>
        <v>4649049</v>
      </c>
      <c r="I8839" s="405">
        <f>SUM(I8823)</f>
        <v>1548472.9100000001</v>
      </c>
      <c r="J8839" s="750">
        <f t="shared" si="120"/>
        <v>33.307304569171031</v>
      </c>
      <c r="K8839" s="406">
        <f>SUM(K8824:K8838)</f>
        <v>0</v>
      </c>
      <c r="L8839" s="406"/>
      <c r="M8839" s="682"/>
      <c r="N8839" s="171"/>
      <c r="O8839" s="171"/>
      <c r="P8839" s="171"/>
      <c r="Q8839" s="171"/>
      <c r="R8839" s="171"/>
      <c r="S8839" s="171"/>
      <c r="T8839" s="171"/>
      <c r="U8839" s="171"/>
      <c r="V8839" s="171"/>
      <c r="W8839" s="171"/>
      <c r="X8839" s="171"/>
      <c r="Y8839" s="171"/>
      <c r="Z8839" s="171"/>
      <c r="AA8839" s="171"/>
    </row>
    <row r="8840" spans="1:27" hidden="1" x14ac:dyDescent="0.2">
      <c r="H8840" s="397"/>
      <c r="I8840" s="397"/>
      <c r="J8840" s="750" t="e">
        <f t="shared" si="120"/>
        <v>#DIV/0!</v>
      </c>
      <c r="K8840" s="398"/>
      <c r="L8840" s="398"/>
      <c r="M8840" s="682"/>
    </row>
    <row r="8841" spans="1:27" s="530" customFormat="1" x14ac:dyDescent="0.2">
      <c r="A8841" s="526"/>
      <c r="B8841" s="527"/>
      <c r="C8841" s="534"/>
      <c r="D8841" s="535"/>
      <c r="E8841" s="535"/>
      <c r="F8841" s="498"/>
      <c r="G8841" s="511" t="s">
        <v>4432</v>
      </c>
      <c r="H8841" s="413"/>
      <c r="I8841" s="413"/>
      <c r="J8841" s="750"/>
      <c r="K8841" s="414"/>
      <c r="L8841" s="415"/>
      <c r="M8841" s="682"/>
      <c r="N8841" s="171"/>
      <c r="O8841" s="171"/>
      <c r="P8841" s="171"/>
      <c r="Q8841" s="171"/>
      <c r="R8841" s="171"/>
      <c r="S8841" s="171"/>
      <c r="T8841" s="171"/>
      <c r="U8841" s="171"/>
      <c r="V8841" s="171"/>
      <c r="W8841" s="171"/>
      <c r="X8841" s="171"/>
      <c r="Y8841" s="171"/>
      <c r="Z8841" s="171"/>
      <c r="AA8841" s="171"/>
    </row>
    <row r="8842" spans="1:27" s="530" customFormat="1" x14ac:dyDescent="0.2">
      <c r="A8842" s="526"/>
      <c r="B8842" s="527"/>
      <c r="C8842" s="534"/>
      <c r="D8842" s="535"/>
      <c r="E8842" s="535"/>
      <c r="F8842" s="503" t="s">
        <v>234</v>
      </c>
      <c r="G8842" s="504" t="s">
        <v>235</v>
      </c>
      <c r="H8842" s="403">
        <f>SUM(H8823)</f>
        <v>3800000</v>
      </c>
      <c r="I8842" s="403">
        <f>SUM(I8823)</f>
        <v>1548472.9100000001</v>
      </c>
      <c r="J8842" s="750">
        <f t="shared" si="120"/>
        <v>40.749287105263157</v>
      </c>
      <c r="K8842" s="404"/>
      <c r="L8842" s="404"/>
      <c r="M8842" s="682"/>
      <c r="N8842" s="171"/>
      <c r="O8842" s="171"/>
      <c r="P8842" s="171"/>
      <c r="Q8842" s="171"/>
      <c r="R8842" s="171"/>
      <c r="S8842" s="171"/>
      <c r="T8842" s="171"/>
      <c r="U8842" s="171"/>
      <c r="V8842" s="171"/>
      <c r="W8842" s="171"/>
      <c r="X8842" s="171"/>
      <c r="Y8842" s="171"/>
      <c r="Z8842" s="171"/>
      <c r="AA8842" s="171"/>
    </row>
    <row r="8843" spans="1:27" s="530" customFormat="1" hidden="1" x14ac:dyDescent="0.2">
      <c r="A8843" s="526"/>
      <c r="B8843" s="527"/>
      <c r="C8843" s="534"/>
      <c r="D8843" s="535"/>
      <c r="E8843" s="535"/>
      <c r="F8843" s="503" t="s">
        <v>236</v>
      </c>
      <c r="G8843" s="504" t="s">
        <v>237</v>
      </c>
      <c r="H8843" s="397"/>
      <c r="I8843" s="397"/>
      <c r="J8843" s="750" t="e">
        <f t="shared" si="120"/>
        <v>#DIV/0!</v>
      </c>
      <c r="K8843" s="398"/>
      <c r="L8843" s="404"/>
      <c r="M8843" s="682"/>
      <c r="N8843" s="171"/>
      <c r="O8843" s="171"/>
      <c r="P8843" s="171"/>
      <c r="Q8843" s="171"/>
      <c r="R8843" s="171"/>
      <c r="S8843" s="171"/>
      <c r="T8843" s="171"/>
      <c r="U8843" s="171"/>
      <c r="V8843" s="171"/>
      <c r="W8843" s="171"/>
      <c r="X8843" s="171"/>
      <c r="Y8843" s="171"/>
      <c r="Z8843" s="171"/>
      <c r="AA8843" s="171"/>
    </row>
    <row r="8844" spans="1:27" s="530" customFormat="1" hidden="1" x14ac:dyDescent="0.2">
      <c r="A8844" s="526"/>
      <c r="B8844" s="527"/>
      <c r="C8844" s="534"/>
      <c r="D8844" s="535"/>
      <c r="E8844" s="535"/>
      <c r="F8844" s="503" t="s">
        <v>238</v>
      </c>
      <c r="G8844" s="504" t="s">
        <v>239</v>
      </c>
      <c r="H8844" s="397"/>
      <c r="I8844" s="397"/>
      <c r="J8844" s="750" t="e">
        <f t="shared" si="120"/>
        <v>#DIV/0!</v>
      </c>
      <c r="K8844" s="398"/>
      <c r="L8844" s="404"/>
      <c r="M8844" s="682"/>
      <c r="N8844" s="171"/>
      <c r="O8844" s="171"/>
      <c r="P8844" s="171"/>
      <c r="Q8844" s="171"/>
      <c r="R8844" s="171"/>
      <c r="S8844" s="171"/>
      <c r="T8844" s="171"/>
      <c r="U8844" s="171"/>
      <c r="V8844" s="171"/>
      <c r="W8844" s="171"/>
      <c r="X8844" s="171"/>
      <c r="Y8844" s="171"/>
      <c r="Z8844" s="171"/>
      <c r="AA8844" s="171"/>
    </row>
    <row r="8845" spans="1:27" s="530" customFormat="1" hidden="1" x14ac:dyDescent="0.2">
      <c r="A8845" s="526"/>
      <c r="B8845" s="527"/>
      <c r="C8845" s="534"/>
      <c r="D8845" s="535"/>
      <c r="E8845" s="535"/>
      <c r="F8845" s="503" t="s">
        <v>240</v>
      </c>
      <c r="G8845" s="504" t="s">
        <v>241</v>
      </c>
      <c r="H8845" s="397"/>
      <c r="I8845" s="397"/>
      <c r="J8845" s="750" t="e">
        <f t="shared" si="120"/>
        <v>#DIV/0!</v>
      </c>
      <c r="K8845" s="398"/>
      <c r="L8845" s="404"/>
      <c r="M8845" s="682"/>
      <c r="N8845" s="171"/>
      <c r="O8845" s="171"/>
      <c r="P8845" s="171"/>
      <c r="Q8845" s="171"/>
      <c r="R8845" s="171"/>
      <c r="S8845" s="171"/>
      <c r="T8845" s="171"/>
      <c r="U8845" s="171"/>
      <c r="V8845" s="171"/>
      <c r="W8845" s="171"/>
      <c r="X8845" s="171"/>
      <c r="Y8845" s="171"/>
      <c r="Z8845" s="171"/>
      <c r="AA8845" s="171"/>
    </row>
    <row r="8846" spans="1:27" s="530" customFormat="1" hidden="1" x14ac:dyDescent="0.2">
      <c r="A8846" s="526"/>
      <c r="B8846" s="527"/>
      <c r="C8846" s="534"/>
      <c r="D8846" s="535"/>
      <c r="E8846" s="535"/>
      <c r="F8846" s="503" t="s">
        <v>242</v>
      </c>
      <c r="G8846" s="504" t="s">
        <v>243</v>
      </c>
      <c r="H8846" s="397"/>
      <c r="I8846" s="397"/>
      <c r="J8846" s="750" t="e">
        <f t="shared" ref="J8846:J8909" si="121">SUM(I8846/H8846)*100</f>
        <v>#DIV/0!</v>
      </c>
      <c r="K8846" s="398"/>
      <c r="L8846" s="404"/>
      <c r="M8846" s="682"/>
      <c r="N8846" s="171"/>
      <c r="O8846" s="171"/>
      <c r="P8846" s="171"/>
      <c r="Q8846" s="171"/>
      <c r="R8846" s="171"/>
      <c r="S8846" s="171"/>
      <c r="T8846" s="171"/>
      <c r="U8846" s="171"/>
      <c r="V8846" s="171"/>
      <c r="W8846" s="171"/>
      <c r="X8846" s="171"/>
      <c r="Y8846" s="171"/>
      <c r="Z8846" s="171"/>
      <c r="AA8846" s="171"/>
    </row>
    <row r="8847" spans="1:27" s="530" customFormat="1" hidden="1" x14ac:dyDescent="0.2">
      <c r="A8847" s="526"/>
      <c r="B8847" s="527"/>
      <c r="C8847" s="534"/>
      <c r="D8847" s="535"/>
      <c r="E8847" s="535"/>
      <c r="F8847" s="503" t="s">
        <v>244</v>
      </c>
      <c r="G8847" s="504" t="s">
        <v>245</v>
      </c>
      <c r="H8847" s="397"/>
      <c r="I8847" s="397"/>
      <c r="J8847" s="750" t="e">
        <f t="shared" si="121"/>
        <v>#DIV/0!</v>
      </c>
      <c r="K8847" s="398"/>
      <c r="L8847" s="404"/>
      <c r="M8847" s="682"/>
      <c r="N8847" s="171"/>
      <c r="O8847" s="171"/>
      <c r="P8847" s="171"/>
      <c r="Q8847" s="171"/>
      <c r="R8847" s="171"/>
      <c r="S8847" s="171"/>
      <c r="T8847" s="171"/>
      <c r="U8847" s="171"/>
      <c r="V8847" s="171"/>
      <c r="W8847" s="171"/>
      <c r="X8847" s="171"/>
      <c r="Y8847" s="171"/>
      <c r="Z8847" s="171"/>
      <c r="AA8847" s="171"/>
    </row>
    <row r="8848" spans="1:27" s="530" customFormat="1" hidden="1" x14ac:dyDescent="0.2">
      <c r="A8848" s="526"/>
      <c r="B8848" s="527"/>
      <c r="C8848" s="534"/>
      <c r="D8848" s="535"/>
      <c r="E8848" s="535"/>
      <c r="F8848" s="503" t="s">
        <v>246</v>
      </c>
      <c r="G8848" s="504" t="s">
        <v>247</v>
      </c>
      <c r="H8848" s="397"/>
      <c r="I8848" s="397"/>
      <c r="J8848" s="750" t="e">
        <f t="shared" si="121"/>
        <v>#DIV/0!</v>
      </c>
      <c r="K8848" s="398"/>
      <c r="L8848" s="404"/>
      <c r="M8848" s="682"/>
      <c r="N8848" s="171"/>
      <c r="O8848" s="171"/>
      <c r="P8848" s="171"/>
      <c r="Q8848" s="171"/>
      <c r="R8848" s="171"/>
      <c r="S8848" s="171"/>
      <c r="T8848" s="171"/>
      <c r="U8848" s="171"/>
      <c r="V8848" s="171"/>
      <c r="W8848" s="171"/>
      <c r="X8848" s="171"/>
      <c r="Y8848" s="171"/>
      <c r="Z8848" s="171"/>
      <c r="AA8848" s="171"/>
    </row>
    <row r="8849" spans="1:27" s="530" customFormat="1" ht="25.5" hidden="1" x14ac:dyDescent="0.2">
      <c r="A8849" s="526"/>
      <c r="B8849" s="527"/>
      <c r="C8849" s="534"/>
      <c r="D8849" s="535"/>
      <c r="E8849" s="535"/>
      <c r="F8849" s="503" t="s">
        <v>248</v>
      </c>
      <c r="G8849" s="504" t="s">
        <v>249</v>
      </c>
      <c r="H8849" s="397"/>
      <c r="I8849" s="397"/>
      <c r="J8849" s="750" t="e">
        <f t="shared" si="121"/>
        <v>#DIV/0!</v>
      </c>
      <c r="K8849" s="398"/>
      <c r="L8849" s="404"/>
      <c r="M8849" s="682"/>
      <c r="N8849" s="171"/>
      <c r="O8849" s="171"/>
      <c r="P8849" s="171"/>
      <c r="Q8849" s="171"/>
      <c r="R8849" s="171"/>
      <c r="S8849" s="171"/>
      <c r="T8849" s="171"/>
      <c r="U8849" s="171"/>
      <c r="V8849" s="171"/>
      <c r="W8849" s="171"/>
      <c r="X8849" s="171"/>
      <c r="Y8849" s="171"/>
      <c r="Z8849" s="171"/>
      <c r="AA8849" s="171"/>
    </row>
    <row r="8850" spans="1:27" s="530" customFormat="1" hidden="1" x14ac:dyDescent="0.2">
      <c r="A8850" s="526"/>
      <c r="B8850" s="527"/>
      <c r="C8850" s="534"/>
      <c r="D8850" s="535"/>
      <c r="E8850" s="535"/>
      <c r="F8850" s="503" t="s">
        <v>250</v>
      </c>
      <c r="G8850" s="504" t="s">
        <v>57</v>
      </c>
      <c r="H8850" s="397"/>
      <c r="I8850" s="397"/>
      <c r="J8850" s="750" t="e">
        <f t="shared" si="121"/>
        <v>#DIV/0!</v>
      </c>
      <c r="K8850" s="398"/>
      <c r="L8850" s="404"/>
      <c r="M8850" s="682"/>
      <c r="N8850" s="171"/>
      <c r="O8850" s="171"/>
      <c r="P8850" s="171"/>
      <c r="Q8850" s="171"/>
      <c r="R8850" s="171"/>
      <c r="S8850" s="171"/>
      <c r="T8850" s="171"/>
      <c r="U8850" s="171"/>
      <c r="V8850" s="171"/>
      <c r="W8850" s="171"/>
      <c r="X8850" s="171"/>
      <c r="Y8850" s="171"/>
      <c r="Z8850" s="171"/>
      <c r="AA8850" s="171"/>
    </row>
    <row r="8851" spans="1:27" s="530" customFormat="1" hidden="1" x14ac:dyDescent="0.2">
      <c r="A8851" s="526"/>
      <c r="B8851" s="527"/>
      <c r="C8851" s="534"/>
      <c r="D8851" s="535"/>
      <c r="E8851" s="535"/>
      <c r="F8851" s="503" t="s">
        <v>251</v>
      </c>
      <c r="G8851" s="504" t="s">
        <v>252</v>
      </c>
      <c r="H8851" s="397"/>
      <c r="I8851" s="397"/>
      <c r="J8851" s="750" t="e">
        <f t="shared" si="121"/>
        <v>#DIV/0!</v>
      </c>
      <c r="K8851" s="398"/>
      <c r="L8851" s="404"/>
      <c r="M8851" s="682"/>
      <c r="N8851" s="171"/>
      <c r="O8851" s="171"/>
      <c r="P8851" s="171"/>
      <c r="Q8851" s="171"/>
      <c r="R8851" s="171"/>
      <c r="S8851" s="171"/>
      <c r="T8851" s="171"/>
      <c r="U8851" s="171"/>
      <c r="V8851" s="171"/>
      <c r="W8851" s="171"/>
      <c r="X8851" s="171"/>
      <c r="Y8851" s="171"/>
      <c r="Z8851" s="171"/>
      <c r="AA8851" s="171"/>
    </row>
    <row r="8852" spans="1:27" s="530" customFormat="1" hidden="1" x14ac:dyDescent="0.2">
      <c r="A8852" s="526"/>
      <c r="B8852" s="527"/>
      <c r="C8852" s="534"/>
      <c r="D8852" s="535"/>
      <c r="E8852" s="535"/>
      <c r="F8852" s="503" t="s">
        <v>253</v>
      </c>
      <c r="G8852" s="504" t="s">
        <v>254</v>
      </c>
      <c r="H8852" s="397"/>
      <c r="I8852" s="397"/>
      <c r="J8852" s="750" t="e">
        <f t="shared" si="121"/>
        <v>#DIV/0!</v>
      </c>
      <c r="K8852" s="398"/>
      <c r="L8852" s="404"/>
      <c r="M8852" s="682"/>
      <c r="N8852" s="171"/>
      <c r="O8852" s="171"/>
      <c r="P8852" s="171"/>
      <c r="Q8852" s="171"/>
      <c r="R8852" s="171"/>
      <c r="S8852" s="171"/>
      <c r="T8852" s="171"/>
      <c r="U8852" s="171"/>
      <c r="V8852" s="171"/>
      <c r="W8852" s="171"/>
      <c r="X8852" s="171"/>
      <c r="Y8852" s="171"/>
      <c r="Z8852" s="171"/>
      <c r="AA8852" s="171"/>
    </row>
    <row r="8853" spans="1:27" s="530" customFormat="1" ht="25.5" hidden="1" x14ac:dyDescent="0.2">
      <c r="A8853" s="526"/>
      <c r="B8853" s="527"/>
      <c r="C8853" s="534"/>
      <c r="D8853" s="535"/>
      <c r="E8853" s="535"/>
      <c r="F8853" s="503" t="s">
        <v>255</v>
      </c>
      <c r="G8853" s="504" t="s">
        <v>256</v>
      </c>
      <c r="H8853" s="397"/>
      <c r="I8853" s="397"/>
      <c r="J8853" s="750" t="e">
        <f t="shared" si="121"/>
        <v>#DIV/0!</v>
      </c>
      <c r="K8853" s="398"/>
      <c r="L8853" s="404"/>
      <c r="M8853" s="682"/>
      <c r="N8853" s="171"/>
      <c r="O8853" s="171"/>
      <c r="P8853" s="171"/>
      <c r="Q8853" s="171"/>
      <c r="R8853" s="171"/>
      <c r="S8853" s="171"/>
      <c r="T8853" s="171"/>
      <c r="U8853" s="171"/>
      <c r="V8853" s="171"/>
      <c r="W8853" s="171"/>
      <c r="X8853" s="171"/>
      <c r="Y8853" s="171"/>
      <c r="Z8853" s="171"/>
      <c r="AA8853" s="171"/>
    </row>
    <row r="8854" spans="1:27" s="530" customFormat="1" ht="25.5" hidden="1" x14ac:dyDescent="0.2">
      <c r="A8854" s="526"/>
      <c r="B8854" s="527"/>
      <c r="C8854" s="534"/>
      <c r="D8854" s="535"/>
      <c r="E8854" s="535"/>
      <c r="F8854" s="503" t="s">
        <v>257</v>
      </c>
      <c r="G8854" s="504" t="s">
        <v>258</v>
      </c>
      <c r="H8854" s="397"/>
      <c r="I8854" s="397"/>
      <c r="J8854" s="750" t="e">
        <f t="shared" si="121"/>
        <v>#DIV/0!</v>
      </c>
      <c r="K8854" s="398"/>
      <c r="L8854" s="404"/>
      <c r="M8854" s="682"/>
      <c r="N8854" s="171"/>
      <c r="O8854" s="171"/>
      <c r="P8854" s="171"/>
      <c r="Q8854" s="171"/>
      <c r="R8854" s="171"/>
      <c r="S8854" s="171"/>
      <c r="T8854" s="171"/>
      <c r="U8854" s="171"/>
      <c r="V8854" s="171"/>
      <c r="W8854" s="171"/>
      <c r="X8854" s="171"/>
      <c r="Y8854" s="171"/>
      <c r="Z8854" s="171"/>
      <c r="AA8854" s="171"/>
    </row>
    <row r="8855" spans="1:27" s="530" customFormat="1" ht="25.5" hidden="1" x14ac:dyDescent="0.2">
      <c r="A8855" s="526"/>
      <c r="B8855" s="527"/>
      <c r="C8855" s="534"/>
      <c r="D8855" s="535"/>
      <c r="E8855" s="535"/>
      <c r="F8855" s="503" t="s">
        <v>259</v>
      </c>
      <c r="G8855" s="504" t="s">
        <v>260</v>
      </c>
      <c r="H8855" s="397"/>
      <c r="I8855" s="397"/>
      <c r="J8855" s="750" t="e">
        <f t="shared" si="121"/>
        <v>#DIV/0!</v>
      </c>
      <c r="K8855" s="398"/>
      <c r="L8855" s="404"/>
      <c r="M8855" s="682"/>
      <c r="N8855" s="171"/>
      <c r="O8855" s="171"/>
      <c r="P8855" s="171"/>
      <c r="Q8855" s="171"/>
      <c r="R8855" s="171"/>
      <c r="S8855" s="171"/>
      <c r="T8855" s="171"/>
      <c r="U8855" s="171"/>
      <c r="V8855" s="171"/>
      <c r="W8855" s="171"/>
      <c r="X8855" s="171"/>
      <c r="Y8855" s="171"/>
      <c r="Z8855" s="171"/>
      <c r="AA8855" s="171"/>
    </row>
    <row r="8856" spans="1:27" s="530" customFormat="1" ht="25.5" hidden="1" x14ac:dyDescent="0.2">
      <c r="A8856" s="526"/>
      <c r="B8856" s="527"/>
      <c r="C8856" s="534"/>
      <c r="D8856" s="535"/>
      <c r="E8856" s="535"/>
      <c r="F8856" s="503" t="s">
        <v>261</v>
      </c>
      <c r="G8856" s="504" t="s">
        <v>262</v>
      </c>
      <c r="H8856" s="397"/>
      <c r="I8856" s="397"/>
      <c r="J8856" s="750" t="e">
        <f t="shared" si="121"/>
        <v>#DIV/0!</v>
      </c>
      <c r="K8856" s="398"/>
      <c r="L8856" s="404"/>
      <c r="M8856" s="682"/>
      <c r="N8856" s="171"/>
      <c r="O8856" s="171"/>
      <c r="P8856" s="171"/>
      <c r="Q8856" s="171"/>
      <c r="R8856" s="171"/>
      <c r="S8856" s="171"/>
      <c r="T8856" s="171"/>
      <c r="U8856" s="171"/>
      <c r="V8856" s="171"/>
      <c r="W8856" s="171"/>
      <c r="X8856" s="171"/>
      <c r="Y8856" s="171"/>
      <c r="Z8856" s="171"/>
      <c r="AA8856" s="171"/>
    </row>
    <row r="8857" spans="1:27" s="530" customFormat="1" ht="16.5" customHeight="1" thickBot="1" x14ac:dyDescent="0.25">
      <c r="A8857" s="526"/>
      <c r="B8857" s="527"/>
      <c r="C8857" s="534"/>
      <c r="D8857" s="535"/>
      <c r="E8857" s="535"/>
      <c r="F8857" s="503" t="s">
        <v>257</v>
      </c>
      <c r="G8857" s="504" t="s">
        <v>258</v>
      </c>
      <c r="H8857" s="403">
        <v>849049</v>
      </c>
      <c r="I8857" s="403"/>
      <c r="J8857" s="750">
        <f t="shared" si="121"/>
        <v>0</v>
      </c>
      <c r="K8857" s="404"/>
      <c r="L8857" s="404"/>
      <c r="M8857" s="682"/>
      <c r="N8857" s="171"/>
      <c r="O8857" s="171"/>
      <c r="P8857" s="171"/>
      <c r="Q8857" s="171"/>
      <c r="R8857" s="171"/>
      <c r="S8857" s="171"/>
      <c r="T8857" s="171"/>
      <c r="U8857" s="171"/>
      <c r="V8857" s="171"/>
      <c r="W8857" s="171"/>
      <c r="X8857" s="171"/>
      <c r="Y8857" s="171"/>
      <c r="Z8857" s="171"/>
      <c r="AA8857" s="171"/>
    </row>
    <row r="8858" spans="1:27" s="530" customFormat="1" ht="13.5" thickBot="1" x14ac:dyDescent="0.25">
      <c r="A8858" s="526"/>
      <c r="B8858" s="527"/>
      <c r="C8858" s="534"/>
      <c r="D8858" s="535"/>
      <c r="E8858" s="535"/>
      <c r="F8858" s="464"/>
      <c r="G8858" s="505" t="s">
        <v>4433</v>
      </c>
      <c r="H8858" s="405">
        <f>SUM(H8842:H8857)</f>
        <v>4649049</v>
      </c>
      <c r="I8858" s="405">
        <f>SUM(I8842)</f>
        <v>1548472.9100000001</v>
      </c>
      <c r="J8858" s="750">
        <f t="shared" si="121"/>
        <v>33.307304569171031</v>
      </c>
      <c r="K8858" s="406">
        <f>SUM(K8843:K8857)</f>
        <v>0</v>
      </c>
      <c r="L8858" s="406"/>
      <c r="M8858" s="682"/>
      <c r="N8858" s="171"/>
      <c r="O8858" s="171"/>
      <c r="P8858" s="171"/>
      <c r="Q8858" s="171"/>
      <c r="R8858" s="171"/>
      <c r="S8858" s="171"/>
      <c r="T8858" s="171"/>
      <c r="U8858" s="171"/>
      <c r="V8858" s="171"/>
      <c r="W8858" s="171"/>
      <c r="X8858" s="171"/>
      <c r="Y8858" s="171"/>
      <c r="Z8858" s="171"/>
      <c r="AA8858" s="171"/>
    </row>
    <row r="8859" spans="1:27" hidden="1" x14ac:dyDescent="0.2">
      <c r="H8859" s="397"/>
      <c r="I8859" s="397"/>
      <c r="J8859" s="750" t="e">
        <f t="shared" si="121"/>
        <v>#DIV/0!</v>
      </c>
      <c r="K8859" s="398"/>
      <c r="L8859" s="398"/>
      <c r="M8859" s="682"/>
    </row>
    <row r="8860" spans="1:27" ht="1.5" customHeight="1" x14ac:dyDescent="0.2">
      <c r="H8860" s="397"/>
      <c r="I8860" s="397"/>
      <c r="J8860" s="750" t="e">
        <f t="shared" si="121"/>
        <v>#DIV/0!</v>
      </c>
      <c r="K8860" s="398"/>
      <c r="L8860" s="398"/>
      <c r="M8860" s="682"/>
    </row>
    <row r="8861" spans="1:27" x14ac:dyDescent="0.2">
      <c r="A8861" s="613"/>
      <c r="B8861" s="623">
        <v>8</v>
      </c>
      <c r="C8861" s="624"/>
      <c r="D8861" s="174"/>
      <c r="E8861" s="174"/>
      <c r="F8861" s="174"/>
      <c r="G8861" s="614" t="s">
        <v>5292</v>
      </c>
      <c r="H8861" s="442"/>
      <c r="I8861" s="442"/>
      <c r="J8861" s="751"/>
      <c r="K8861" s="443"/>
      <c r="L8861" s="447"/>
      <c r="M8861" s="682"/>
    </row>
    <row r="8862" spans="1:27" ht="13.5" customHeight="1" x14ac:dyDescent="0.2">
      <c r="C8862" s="489" t="s">
        <v>3567</v>
      </c>
      <c r="G8862" s="513" t="s">
        <v>4279</v>
      </c>
      <c r="H8862" s="397"/>
      <c r="I8862" s="397"/>
      <c r="J8862" s="750"/>
      <c r="K8862" s="398"/>
      <c r="L8862" s="398"/>
      <c r="M8862" s="682"/>
    </row>
    <row r="8863" spans="1:27" x14ac:dyDescent="0.2">
      <c r="C8863" s="542" t="s">
        <v>4109</v>
      </c>
      <c r="D8863" s="173"/>
      <c r="E8863" s="173"/>
      <c r="F8863" s="502"/>
      <c r="G8863" s="550" t="s">
        <v>4293</v>
      </c>
      <c r="H8863" s="397"/>
      <c r="I8863" s="397"/>
      <c r="J8863" s="750"/>
      <c r="K8863" s="398"/>
      <c r="L8863" s="398"/>
      <c r="M8863" s="682"/>
      <c r="N8863" s="189"/>
      <c r="O8863" s="171"/>
    </row>
    <row r="8864" spans="1:27" ht="16.5" customHeight="1" x14ac:dyDescent="0.2">
      <c r="C8864" s="633"/>
      <c r="D8864" s="492">
        <v>473</v>
      </c>
      <c r="E8864" s="492"/>
      <c r="F8864" s="492"/>
      <c r="G8864" s="551" t="s">
        <v>162</v>
      </c>
      <c r="H8864" s="397"/>
      <c r="I8864" s="397"/>
      <c r="J8864" s="750"/>
      <c r="K8864" s="398"/>
      <c r="L8864" s="398"/>
      <c r="M8864" s="682"/>
      <c r="N8864" s="189"/>
      <c r="O8864" s="171"/>
    </row>
    <row r="8865" spans="5:15" x14ac:dyDescent="0.2">
      <c r="E8865" s="464">
        <v>78</v>
      </c>
      <c r="F8865" s="494">
        <v>411</v>
      </c>
      <c r="G8865" s="495" t="s">
        <v>4167</v>
      </c>
      <c r="H8865" s="397">
        <v>1285000</v>
      </c>
      <c r="I8865" s="397">
        <v>1171853.07</v>
      </c>
      <c r="J8865" s="750">
        <f t="shared" si="121"/>
        <v>91.194791439688714</v>
      </c>
      <c r="K8865" s="398"/>
      <c r="L8865" s="398"/>
      <c r="M8865" s="682"/>
      <c r="N8865" s="171"/>
      <c r="O8865" s="171"/>
    </row>
    <row r="8866" spans="5:15" x14ac:dyDescent="0.2">
      <c r="E8866" s="464">
        <v>79</v>
      </c>
      <c r="F8866" s="494">
        <v>412</v>
      </c>
      <c r="G8866" s="496" t="s">
        <v>3764</v>
      </c>
      <c r="H8866" s="397">
        <v>230015</v>
      </c>
      <c r="I8866" s="397">
        <v>208887.18</v>
      </c>
      <c r="J8866" s="750">
        <f t="shared" si="121"/>
        <v>90.814590352803066</v>
      </c>
      <c r="K8866" s="398"/>
      <c r="L8866" s="398"/>
      <c r="M8866" s="682"/>
      <c r="N8866" s="171"/>
      <c r="O8866" s="171"/>
    </row>
    <row r="8867" spans="5:15" hidden="1" x14ac:dyDescent="0.2">
      <c r="F8867" s="494">
        <v>413</v>
      </c>
      <c r="G8867" s="495" t="s">
        <v>4168</v>
      </c>
      <c r="H8867" s="397"/>
      <c r="I8867" s="397"/>
      <c r="J8867" s="750" t="e">
        <f t="shared" si="121"/>
        <v>#DIV/0!</v>
      </c>
      <c r="K8867" s="398"/>
      <c r="L8867" s="398"/>
      <c r="M8867" s="682"/>
      <c r="N8867" s="171"/>
      <c r="O8867" s="171"/>
    </row>
    <row r="8868" spans="5:15" hidden="1" x14ac:dyDescent="0.2">
      <c r="F8868" s="494">
        <v>414</v>
      </c>
      <c r="G8868" s="495" t="s">
        <v>3767</v>
      </c>
      <c r="H8868" s="397"/>
      <c r="I8868" s="397"/>
      <c r="J8868" s="750" t="e">
        <f t="shared" si="121"/>
        <v>#DIV/0!</v>
      </c>
      <c r="K8868" s="398"/>
      <c r="L8868" s="398"/>
      <c r="M8868" s="682"/>
      <c r="N8868" s="171"/>
      <c r="O8868" s="171"/>
    </row>
    <row r="8869" spans="5:15" hidden="1" x14ac:dyDescent="0.2">
      <c r="F8869" s="494">
        <v>415</v>
      </c>
      <c r="G8869" s="495" t="s">
        <v>4177</v>
      </c>
      <c r="H8869" s="397"/>
      <c r="I8869" s="397"/>
      <c r="J8869" s="750" t="e">
        <f t="shared" si="121"/>
        <v>#DIV/0!</v>
      </c>
      <c r="K8869" s="398"/>
      <c r="L8869" s="398"/>
      <c r="M8869" s="682"/>
      <c r="N8869" s="171"/>
      <c r="O8869" s="171"/>
    </row>
    <row r="8870" spans="5:15" ht="25.5" hidden="1" x14ac:dyDescent="0.2">
      <c r="F8870" s="494">
        <v>416</v>
      </c>
      <c r="G8870" s="495" t="s">
        <v>4178</v>
      </c>
      <c r="H8870" s="397"/>
      <c r="I8870" s="397"/>
      <c r="J8870" s="750" t="e">
        <f t="shared" si="121"/>
        <v>#DIV/0!</v>
      </c>
      <c r="K8870" s="398"/>
      <c r="L8870" s="398"/>
      <c r="M8870" s="682"/>
      <c r="N8870" s="171"/>
      <c r="O8870" s="171"/>
    </row>
    <row r="8871" spans="5:15" hidden="1" x14ac:dyDescent="0.2">
      <c r="F8871" s="494">
        <v>417</v>
      </c>
      <c r="G8871" s="495" t="s">
        <v>4179</v>
      </c>
      <c r="H8871" s="397"/>
      <c r="I8871" s="397"/>
      <c r="J8871" s="750" t="e">
        <f t="shared" si="121"/>
        <v>#DIV/0!</v>
      </c>
      <c r="K8871" s="398"/>
      <c r="L8871" s="398"/>
      <c r="M8871" s="682"/>
      <c r="N8871" s="171"/>
      <c r="O8871" s="171"/>
    </row>
    <row r="8872" spans="5:15" hidden="1" x14ac:dyDescent="0.2">
      <c r="F8872" s="494">
        <v>418</v>
      </c>
      <c r="G8872" s="495" t="s">
        <v>3773</v>
      </c>
      <c r="H8872" s="397"/>
      <c r="I8872" s="397"/>
      <c r="J8872" s="750" t="e">
        <f t="shared" si="121"/>
        <v>#DIV/0!</v>
      </c>
      <c r="K8872" s="398"/>
      <c r="L8872" s="398"/>
      <c r="M8872" s="682"/>
      <c r="N8872" s="171"/>
      <c r="O8872" s="171"/>
    </row>
    <row r="8873" spans="5:15" x14ac:dyDescent="0.2">
      <c r="E8873" s="464">
        <v>80</v>
      </c>
      <c r="F8873" s="494">
        <v>421</v>
      </c>
      <c r="G8873" s="495" t="s">
        <v>3777</v>
      </c>
      <c r="H8873" s="397">
        <v>110000</v>
      </c>
      <c r="I8873" s="397">
        <v>56979.48</v>
      </c>
      <c r="J8873" s="750">
        <f t="shared" si="121"/>
        <v>51.799527272727275</v>
      </c>
      <c r="K8873" s="398"/>
      <c r="L8873" s="398">
        <v>53054.8</v>
      </c>
      <c r="M8873" s="682"/>
      <c r="N8873" s="171"/>
      <c r="O8873" s="171"/>
    </row>
    <row r="8874" spans="5:15" x14ac:dyDescent="0.2">
      <c r="E8874" s="464">
        <v>81</v>
      </c>
      <c r="F8874" s="494">
        <v>422</v>
      </c>
      <c r="G8874" s="495" t="s">
        <v>3778</v>
      </c>
      <c r="H8874" s="397">
        <v>160000</v>
      </c>
      <c r="I8874" s="397">
        <v>48744</v>
      </c>
      <c r="J8874" s="750">
        <f t="shared" si="121"/>
        <v>30.464999999999996</v>
      </c>
      <c r="K8874" s="398"/>
      <c r="L8874" s="398"/>
      <c r="M8874" s="682"/>
      <c r="N8874" s="171"/>
      <c r="O8874" s="171"/>
    </row>
    <row r="8875" spans="5:15" x14ac:dyDescent="0.2">
      <c r="E8875" s="464">
        <v>82</v>
      </c>
      <c r="F8875" s="494">
        <v>423</v>
      </c>
      <c r="G8875" s="495" t="s">
        <v>3779</v>
      </c>
      <c r="H8875" s="397">
        <v>730000</v>
      </c>
      <c r="I8875" s="397">
        <v>271690.59000000003</v>
      </c>
      <c r="J8875" s="750">
        <f t="shared" si="121"/>
        <v>37.217889041095894</v>
      </c>
      <c r="K8875" s="398"/>
      <c r="L8875" s="398">
        <v>320764.58</v>
      </c>
      <c r="M8875" s="682"/>
      <c r="N8875" s="171"/>
      <c r="O8875" s="171"/>
    </row>
    <row r="8876" spans="5:15" x14ac:dyDescent="0.2">
      <c r="E8876" s="464">
        <v>83</v>
      </c>
      <c r="F8876" s="494">
        <v>424</v>
      </c>
      <c r="G8876" s="495" t="s">
        <v>3781</v>
      </c>
      <c r="H8876" s="397">
        <v>0</v>
      </c>
      <c r="I8876" s="397">
        <v>0</v>
      </c>
      <c r="J8876" s="750"/>
      <c r="K8876" s="398"/>
      <c r="L8876" s="398"/>
      <c r="M8876" s="682"/>
      <c r="N8876" s="171"/>
      <c r="O8876" s="171"/>
    </row>
    <row r="8877" spans="5:15" x14ac:dyDescent="0.2">
      <c r="E8877" s="464">
        <v>84</v>
      </c>
      <c r="F8877" s="494">
        <v>425</v>
      </c>
      <c r="G8877" s="495" t="s">
        <v>4180</v>
      </c>
      <c r="H8877" s="397">
        <v>22000</v>
      </c>
      <c r="I8877" s="397">
        <v>2520</v>
      </c>
      <c r="J8877" s="750">
        <f t="shared" si="121"/>
        <v>11.454545454545455</v>
      </c>
      <c r="K8877" s="398"/>
      <c r="L8877" s="398"/>
      <c r="M8877" s="682"/>
      <c r="N8877" s="171"/>
      <c r="O8877" s="171"/>
    </row>
    <row r="8878" spans="5:15" ht="15.75" customHeight="1" x14ac:dyDescent="0.2">
      <c r="E8878" s="464">
        <v>85</v>
      </c>
      <c r="F8878" s="494">
        <v>426</v>
      </c>
      <c r="G8878" s="495" t="s">
        <v>3785</v>
      </c>
      <c r="H8878" s="397">
        <v>230000</v>
      </c>
      <c r="I8878" s="397">
        <v>106311.67</v>
      </c>
      <c r="J8878" s="750">
        <f t="shared" si="121"/>
        <v>46.222465217391303</v>
      </c>
      <c r="K8878" s="398"/>
      <c r="L8878" s="398">
        <v>15934.5</v>
      </c>
      <c r="M8878" s="682"/>
      <c r="N8878" s="171"/>
      <c r="O8878" s="171"/>
    </row>
    <row r="8879" spans="5:15" hidden="1" x14ac:dyDescent="0.2">
      <c r="F8879" s="494">
        <v>431</v>
      </c>
      <c r="G8879" s="495" t="s">
        <v>4181</v>
      </c>
      <c r="H8879" s="397"/>
      <c r="I8879" s="397"/>
      <c r="J8879" s="750" t="e">
        <f t="shared" si="121"/>
        <v>#DIV/0!</v>
      </c>
      <c r="K8879" s="398"/>
      <c r="L8879" s="398"/>
      <c r="M8879" s="682"/>
      <c r="N8879" s="171"/>
      <c r="O8879" s="171"/>
    </row>
    <row r="8880" spans="5:15" hidden="1" x14ac:dyDescent="0.2">
      <c r="F8880" s="494">
        <v>432</v>
      </c>
      <c r="G8880" s="495" t="s">
        <v>4182</v>
      </c>
      <c r="H8880" s="397"/>
      <c r="I8880" s="397"/>
      <c r="J8880" s="750" t="e">
        <f t="shared" si="121"/>
        <v>#DIV/0!</v>
      </c>
      <c r="K8880" s="398"/>
      <c r="L8880" s="398"/>
      <c r="M8880" s="682"/>
      <c r="N8880" s="171"/>
      <c r="O8880" s="171"/>
    </row>
    <row r="8881" spans="6:15" hidden="1" x14ac:dyDescent="0.2">
      <c r="F8881" s="494">
        <v>433</v>
      </c>
      <c r="G8881" s="495" t="s">
        <v>4183</v>
      </c>
      <c r="H8881" s="397"/>
      <c r="I8881" s="397"/>
      <c r="J8881" s="750" t="e">
        <f t="shared" si="121"/>
        <v>#DIV/0!</v>
      </c>
      <c r="K8881" s="398"/>
      <c r="L8881" s="398"/>
      <c r="M8881" s="682"/>
      <c r="N8881" s="171"/>
      <c r="O8881" s="171"/>
    </row>
    <row r="8882" spans="6:15" hidden="1" x14ac:dyDescent="0.2">
      <c r="F8882" s="494">
        <v>434</v>
      </c>
      <c r="G8882" s="495" t="s">
        <v>4184</v>
      </c>
      <c r="H8882" s="397"/>
      <c r="I8882" s="397"/>
      <c r="J8882" s="750" t="e">
        <f t="shared" si="121"/>
        <v>#DIV/0!</v>
      </c>
      <c r="K8882" s="398"/>
      <c r="L8882" s="398"/>
      <c r="M8882" s="682"/>
      <c r="N8882" s="171"/>
      <c r="O8882" s="171"/>
    </row>
    <row r="8883" spans="6:15" hidden="1" x14ac:dyDescent="0.2">
      <c r="F8883" s="494">
        <v>435</v>
      </c>
      <c r="G8883" s="495" t="s">
        <v>3792</v>
      </c>
      <c r="H8883" s="397"/>
      <c r="I8883" s="397"/>
      <c r="J8883" s="750" t="e">
        <f t="shared" si="121"/>
        <v>#DIV/0!</v>
      </c>
      <c r="K8883" s="398"/>
      <c r="L8883" s="398"/>
      <c r="M8883" s="682"/>
      <c r="N8883" s="171"/>
      <c r="O8883" s="171"/>
    </row>
    <row r="8884" spans="6:15" hidden="1" x14ac:dyDescent="0.2">
      <c r="F8884" s="494">
        <v>441</v>
      </c>
      <c r="G8884" s="495" t="s">
        <v>4185</v>
      </c>
      <c r="H8884" s="397"/>
      <c r="I8884" s="397"/>
      <c r="J8884" s="750" t="e">
        <f t="shared" si="121"/>
        <v>#DIV/0!</v>
      </c>
      <c r="K8884" s="398"/>
      <c r="L8884" s="398"/>
      <c r="M8884" s="682"/>
      <c r="N8884" s="171"/>
      <c r="O8884" s="171"/>
    </row>
    <row r="8885" spans="6:15" hidden="1" x14ac:dyDescent="0.2">
      <c r="F8885" s="494">
        <v>442</v>
      </c>
      <c r="G8885" s="495" t="s">
        <v>4186</v>
      </c>
      <c r="H8885" s="397"/>
      <c r="I8885" s="397"/>
      <c r="J8885" s="750" t="e">
        <f t="shared" si="121"/>
        <v>#DIV/0!</v>
      </c>
      <c r="K8885" s="398"/>
      <c r="L8885" s="398"/>
      <c r="M8885" s="682"/>
      <c r="N8885" s="171"/>
      <c r="O8885" s="171"/>
    </row>
    <row r="8886" spans="6:15" hidden="1" x14ac:dyDescent="0.2">
      <c r="F8886" s="494">
        <v>443</v>
      </c>
      <c r="G8886" s="495" t="s">
        <v>3797</v>
      </c>
      <c r="H8886" s="397"/>
      <c r="I8886" s="397"/>
      <c r="J8886" s="750" t="e">
        <f t="shared" si="121"/>
        <v>#DIV/0!</v>
      </c>
      <c r="K8886" s="398"/>
      <c r="L8886" s="398"/>
      <c r="M8886" s="682"/>
      <c r="N8886" s="171"/>
      <c r="O8886" s="171"/>
    </row>
    <row r="8887" spans="6:15" hidden="1" x14ac:dyDescent="0.2">
      <c r="F8887" s="494">
        <v>444</v>
      </c>
      <c r="G8887" s="495" t="s">
        <v>3798</v>
      </c>
      <c r="H8887" s="397"/>
      <c r="I8887" s="397"/>
      <c r="J8887" s="750" t="e">
        <f t="shared" si="121"/>
        <v>#DIV/0!</v>
      </c>
      <c r="K8887" s="398"/>
      <c r="L8887" s="398"/>
      <c r="M8887" s="682"/>
      <c r="N8887" s="171"/>
      <c r="O8887" s="171"/>
    </row>
    <row r="8888" spans="6:15" ht="25.5" hidden="1" x14ac:dyDescent="0.2">
      <c r="F8888" s="494">
        <v>4511</v>
      </c>
      <c r="G8888" s="466" t="s">
        <v>1692</v>
      </c>
      <c r="H8888" s="397"/>
      <c r="I8888" s="397"/>
      <c r="J8888" s="750" t="e">
        <f t="shared" si="121"/>
        <v>#DIV/0!</v>
      </c>
      <c r="K8888" s="398"/>
      <c r="L8888" s="398"/>
      <c r="M8888" s="682"/>
      <c r="N8888" s="171"/>
      <c r="O8888" s="171"/>
    </row>
    <row r="8889" spans="6:15" ht="25.5" hidden="1" x14ac:dyDescent="0.2">
      <c r="F8889" s="494">
        <v>4512</v>
      </c>
      <c r="G8889" s="466" t="s">
        <v>1701</v>
      </c>
      <c r="H8889" s="397"/>
      <c r="I8889" s="397"/>
      <c r="J8889" s="750" t="e">
        <f t="shared" si="121"/>
        <v>#DIV/0!</v>
      </c>
      <c r="K8889" s="398"/>
      <c r="L8889" s="398"/>
      <c r="M8889" s="682"/>
      <c r="N8889" s="171"/>
      <c r="O8889" s="171"/>
    </row>
    <row r="8890" spans="6:15" ht="25.5" hidden="1" x14ac:dyDescent="0.2">
      <c r="F8890" s="494">
        <v>452</v>
      </c>
      <c r="G8890" s="495" t="s">
        <v>4187</v>
      </c>
      <c r="H8890" s="397"/>
      <c r="I8890" s="397"/>
      <c r="J8890" s="750" t="e">
        <f t="shared" si="121"/>
        <v>#DIV/0!</v>
      </c>
      <c r="K8890" s="398"/>
      <c r="L8890" s="398"/>
      <c r="M8890" s="682"/>
      <c r="N8890" s="171"/>
      <c r="O8890" s="171"/>
    </row>
    <row r="8891" spans="6:15" ht="25.5" hidden="1" x14ac:dyDescent="0.2">
      <c r="F8891" s="494">
        <v>453</v>
      </c>
      <c r="G8891" s="495" t="s">
        <v>4188</v>
      </c>
      <c r="H8891" s="397"/>
      <c r="I8891" s="397"/>
      <c r="J8891" s="750" t="e">
        <f t="shared" si="121"/>
        <v>#DIV/0!</v>
      </c>
      <c r="K8891" s="398"/>
      <c r="L8891" s="398"/>
      <c r="M8891" s="682"/>
      <c r="N8891" s="171"/>
      <c r="O8891" s="171"/>
    </row>
    <row r="8892" spans="6:15" hidden="1" x14ac:dyDescent="0.2">
      <c r="F8892" s="494">
        <v>454</v>
      </c>
      <c r="G8892" s="495" t="s">
        <v>3803</v>
      </c>
      <c r="H8892" s="397"/>
      <c r="I8892" s="397"/>
      <c r="J8892" s="750" t="e">
        <f t="shared" si="121"/>
        <v>#DIV/0!</v>
      </c>
      <c r="K8892" s="398"/>
      <c r="L8892" s="398"/>
      <c r="M8892" s="682"/>
      <c r="N8892" s="171"/>
      <c r="O8892" s="171"/>
    </row>
    <row r="8893" spans="6:15" hidden="1" x14ac:dyDescent="0.2">
      <c r="F8893" s="494">
        <v>461</v>
      </c>
      <c r="G8893" s="495" t="s">
        <v>4169</v>
      </c>
      <c r="H8893" s="397"/>
      <c r="I8893" s="397"/>
      <c r="J8893" s="750" t="e">
        <f t="shared" si="121"/>
        <v>#DIV/0!</v>
      </c>
      <c r="K8893" s="398"/>
      <c r="L8893" s="398"/>
      <c r="M8893" s="682"/>
      <c r="N8893" s="171"/>
      <c r="O8893" s="171"/>
    </row>
    <row r="8894" spans="6:15" ht="25.5" hidden="1" x14ac:dyDescent="0.2">
      <c r="F8894" s="494">
        <v>462</v>
      </c>
      <c r="G8894" s="495" t="s">
        <v>3806</v>
      </c>
      <c r="H8894" s="397"/>
      <c r="I8894" s="397"/>
      <c r="J8894" s="750" t="e">
        <f t="shared" si="121"/>
        <v>#DIV/0!</v>
      </c>
      <c r="K8894" s="398"/>
      <c r="L8894" s="398"/>
      <c r="M8894" s="682"/>
      <c r="N8894" s="171"/>
      <c r="O8894" s="171"/>
    </row>
    <row r="8895" spans="6:15" hidden="1" x14ac:dyDescent="0.2">
      <c r="F8895" s="494">
        <v>4631</v>
      </c>
      <c r="G8895" s="495" t="s">
        <v>3807</v>
      </c>
      <c r="H8895" s="397"/>
      <c r="I8895" s="397"/>
      <c r="J8895" s="750" t="e">
        <f t="shared" si="121"/>
        <v>#DIV/0!</v>
      </c>
      <c r="K8895" s="398"/>
      <c r="L8895" s="398"/>
      <c r="M8895" s="682"/>
      <c r="N8895" s="171"/>
      <c r="O8895" s="171"/>
    </row>
    <row r="8896" spans="6:15" hidden="1" x14ac:dyDescent="0.2">
      <c r="F8896" s="494">
        <v>4632</v>
      </c>
      <c r="G8896" s="495" t="s">
        <v>3808</v>
      </c>
      <c r="H8896" s="397"/>
      <c r="I8896" s="397"/>
      <c r="J8896" s="750" t="e">
        <f t="shared" si="121"/>
        <v>#DIV/0!</v>
      </c>
      <c r="K8896" s="398"/>
      <c r="L8896" s="398"/>
      <c r="M8896" s="682"/>
      <c r="N8896" s="171"/>
      <c r="O8896" s="171"/>
    </row>
    <row r="8897" spans="1:27" ht="25.5" hidden="1" x14ac:dyDescent="0.2">
      <c r="F8897" s="494">
        <v>464</v>
      </c>
      <c r="G8897" s="495" t="s">
        <v>3809</v>
      </c>
      <c r="H8897" s="397"/>
      <c r="I8897" s="397"/>
      <c r="J8897" s="750" t="e">
        <f t="shared" si="121"/>
        <v>#DIV/0!</v>
      </c>
      <c r="K8897" s="398"/>
      <c r="L8897" s="398"/>
      <c r="M8897" s="682"/>
      <c r="N8897" s="171"/>
      <c r="O8897" s="171"/>
    </row>
    <row r="8898" spans="1:27" x14ac:dyDescent="0.2">
      <c r="E8898" s="464">
        <v>86</v>
      </c>
      <c r="F8898" s="494">
        <v>465</v>
      </c>
      <c r="G8898" s="495" t="s">
        <v>4170</v>
      </c>
      <c r="H8898" s="397">
        <v>186000</v>
      </c>
      <c r="I8898" s="397">
        <v>151897.85</v>
      </c>
      <c r="J8898" s="750">
        <f t="shared" si="121"/>
        <v>81.665510752688178</v>
      </c>
      <c r="K8898" s="398"/>
      <c r="L8898" s="398"/>
      <c r="M8898" s="682"/>
      <c r="N8898" s="171"/>
      <c r="O8898" s="171"/>
    </row>
    <row r="8899" spans="1:27" hidden="1" x14ac:dyDescent="0.2">
      <c r="F8899" s="494">
        <v>472</v>
      </c>
      <c r="G8899" s="495" t="s">
        <v>3813</v>
      </c>
      <c r="H8899" s="397"/>
      <c r="I8899" s="397"/>
      <c r="J8899" s="750" t="e">
        <f t="shared" si="121"/>
        <v>#DIV/0!</v>
      </c>
      <c r="K8899" s="398"/>
      <c r="L8899" s="398"/>
      <c r="M8899" s="682"/>
      <c r="N8899" s="171"/>
      <c r="O8899" s="171"/>
    </row>
    <row r="8900" spans="1:27" hidden="1" x14ac:dyDescent="0.2">
      <c r="F8900" s="494">
        <v>481</v>
      </c>
      <c r="G8900" s="495" t="s">
        <v>4189</v>
      </c>
      <c r="H8900" s="397"/>
      <c r="I8900" s="397"/>
      <c r="J8900" s="750" t="e">
        <f t="shared" si="121"/>
        <v>#DIV/0!</v>
      </c>
      <c r="K8900" s="398"/>
      <c r="L8900" s="398"/>
      <c r="M8900" s="682"/>
      <c r="N8900" s="171"/>
      <c r="O8900" s="171"/>
    </row>
    <row r="8901" spans="1:27" x14ac:dyDescent="0.2">
      <c r="E8901" s="464">
        <v>87</v>
      </c>
      <c r="F8901" s="494">
        <v>482</v>
      </c>
      <c r="G8901" s="495" t="s">
        <v>4190</v>
      </c>
      <c r="H8901" s="397">
        <v>20000</v>
      </c>
      <c r="I8901" s="397">
        <v>0</v>
      </c>
      <c r="J8901" s="750">
        <f t="shared" si="121"/>
        <v>0</v>
      </c>
      <c r="K8901" s="398"/>
      <c r="L8901" s="398"/>
      <c r="M8901" s="682"/>
      <c r="N8901" s="171"/>
      <c r="O8901" s="171"/>
    </row>
    <row r="8902" spans="1:27" s="639" customFormat="1" hidden="1" x14ac:dyDescent="0.2">
      <c r="A8902" s="634"/>
      <c r="B8902" s="634"/>
      <c r="C8902" s="635"/>
      <c r="D8902" s="634"/>
      <c r="E8902" s="634"/>
      <c r="F8902" s="636">
        <v>483</v>
      </c>
      <c r="G8902" s="546" t="s">
        <v>4191</v>
      </c>
      <c r="H8902" s="418"/>
      <c r="I8902" s="418"/>
      <c r="J8902" s="750" t="e">
        <f t="shared" si="121"/>
        <v>#DIV/0!</v>
      </c>
      <c r="K8902" s="419"/>
      <c r="L8902" s="419"/>
      <c r="M8902" s="682"/>
      <c r="N8902" s="637"/>
      <c r="O8902" s="637"/>
      <c r="P8902" s="638"/>
      <c r="Q8902" s="638"/>
      <c r="R8902" s="638"/>
      <c r="S8902" s="638"/>
      <c r="T8902" s="638"/>
      <c r="U8902" s="638"/>
      <c r="V8902" s="638"/>
      <c r="W8902" s="638"/>
      <c r="X8902" s="638"/>
      <c r="Y8902" s="638"/>
      <c r="Z8902" s="638"/>
      <c r="AA8902" s="638"/>
    </row>
    <row r="8903" spans="1:27" ht="38.25" hidden="1" x14ac:dyDescent="0.2">
      <c r="F8903" s="494">
        <v>484</v>
      </c>
      <c r="G8903" s="495" t="s">
        <v>4192</v>
      </c>
      <c r="H8903" s="397"/>
      <c r="I8903" s="397"/>
      <c r="J8903" s="750" t="e">
        <f t="shared" si="121"/>
        <v>#DIV/0!</v>
      </c>
      <c r="K8903" s="398"/>
      <c r="L8903" s="398"/>
      <c r="M8903" s="682"/>
      <c r="N8903" s="171"/>
      <c r="O8903" s="171"/>
    </row>
    <row r="8904" spans="1:27" ht="25.5" hidden="1" x14ac:dyDescent="0.2">
      <c r="F8904" s="494">
        <v>485</v>
      </c>
      <c r="G8904" s="495" t="s">
        <v>4193</v>
      </c>
      <c r="H8904" s="397"/>
      <c r="I8904" s="397"/>
      <c r="J8904" s="750" t="e">
        <f t="shared" si="121"/>
        <v>#DIV/0!</v>
      </c>
      <c r="K8904" s="398"/>
      <c r="L8904" s="398"/>
      <c r="M8904" s="682"/>
      <c r="N8904" s="171"/>
      <c r="O8904" s="171"/>
    </row>
    <row r="8905" spans="1:27" ht="25.5" hidden="1" x14ac:dyDescent="0.2">
      <c r="F8905" s="494">
        <v>489</v>
      </c>
      <c r="G8905" s="495" t="s">
        <v>3821</v>
      </c>
      <c r="H8905" s="397"/>
      <c r="I8905" s="397"/>
      <c r="J8905" s="750" t="e">
        <f t="shared" si="121"/>
        <v>#DIV/0!</v>
      </c>
      <c r="K8905" s="398"/>
      <c r="L8905" s="398"/>
      <c r="M8905" s="682"/>
      <c r="N8905" s="171"/>
      <c r="O8905" s="171"/>
    </row>
    <row r="8906" spans="1:27" ht="25.5" hidden="1" x14ac:dyDescent="0.2">
      <c r="F8906" s="494">
        <v>494</v>
      </c>
      <c r="G8906" s="495" t="s">
        <v>4171</v>
      </c>
      <c r="H8906" s="397"/>
      <c r="I8906" s="397"/>
      <c r="J8906" s="750" t="e">
        <f t="shared" si="121"/>
        <v>#DIV/0!</v>
      </c>
      <c r="K8906" s="398"/>
      <c r="L8906" s="398"/>
      <c r="M8906" s="682"/>
      <c r="N8906" s="171"/>
      <c r="O8906" s="171"/>
    </row>
    <row r="8907" spans="1:27" ht="25.5" hidden="1" x14ac:dyDescent="0.2">
      <c r="F8907" s="494">
        <v>495</v>
      </c>
      <c r="G8907" s="495" t="s">
        <v>4172</v>
      </c>
      <c r="H8907" s="397"/>
      <c r="I8907" s="397"/>
      <c r="J8907" s="750" t="e">
        <f t="shared" si="121"/>
        <v>#DIV/0!</v>
      </c>
      <c r="K8907" s="398"/>
      <c r="L8907" s="398"/>
      <c r="M8907" s="682"/>
      <c r="N8907" s="171"/>
      <c r="O8907" s="171"/>
    </row>
    <row r="8908" spans="1:27" ht="38.25" hidden="1" x14ac:dyDescent="0.2">
      <c r="F8908" s="494">
        <v>496</v>
      </c>
      <c r="G8908" s="495" t="s">
        <v>4173</v>
      </c>
      <c r="H8908" s="397"/>
      <c r="I8908" s="397"/>
      <c r="J8908" s="750" t="e">
        <f t="shared" si="121"/>
        <v>#DIV/0!</v>
      </c>
      <c r="K8908" s="398"/>
      <c r="L8908" s="398"/>
      <c r="M8908" s="682"/>
      <c r="N8908" s="171"/>
      <c r="O8908" s="171"/>
    </row>
    <row r="8909" spans="1:27" ht="25.5" hidden="1" x14ac:dyDescent="0.2">
      <c r="F8909" s="494">
        <v>499</v>
      </c>
      <c r="G8909" s="495" t="s">
        <v>4174</v>
      </c>
      <c r="H8909" s="397"/>
      <c r="I8909" s="397"/>
      <c r="J8909" s="750" t="e">
        <f t="shared" si="121"/>
        <v>#DIV/0!</v>
      </c>
      <c r="K8909" s="398"/>
      <c r="L8909" s="398"/>
      <c r="M8909" s="682"/>
      <c r="N8909" s="171"/>
      <c r="O8909" s="171"/>
    </row>
    <row r="8910" spans="1:27" hidden="1" x14ac:dyDescent="0.2">
      <c r="F8910" s="494">
        <v>511</v>
      </c>
      <c r="G8910" s="497" t="s">
        <v>4194</v>
      </c>
      <c r="H8910" s="397"/>
      <c r="I8910" s="397"/>
      <c r="J8910" s="750" t="e">
        <f t="shared" ref="J8910:J8973" si="122">SUM(I8910/H8910)*100</f>
        <v>#DIV/0!</v>
      </c>
      <c r="K8910" s="398"/>
      <c r="L8910" s="398"/>
      <c r="M8910" s="682"/>
      <c r="N8910" s="171"/>
      <c r="O8910" s="171"/>
    </row>
    <row r="8911" spans="1:27" ht="13.5" thickBot="1" x14ac:dyDescent="0.25">
      <c r="E8911" s="464">
        <v>88</v>
      </c>
      <c r="F8911" s="494">
        <v>512</v>
      </c>
      <c r="G8911" s="497" t="s">
        <v>4195</v>
      </c>
      <c r="H8911" s="397">
        <v>100000</v>
      </c>
      <c r="I8911" s="397">
        <v>15995</v>
      </c>
      <c r="J8911" s="750">
        <f t="shared" si="122"/>
        <v>15.995000000000001</v>
      </c>
      <c r="K8911" s="398"/>
      <c r="L8911" s="398"/>
      <c r="M8911" s="682"/>
      <c r="N8911" s="171"/>
      <c r="O8911" s="171"/>
    </row>
    <row r="8912" spans="1:27" ht="13.5" hidden="1" thickBot="1" x14ac:dyDescent="0.25">
      <c r="F8912" s="494">
        <v>513</v>
      </c>
      <c r="G8912" s="497" t="s">
        <v>4196</v>
      </c>
      <c r="H8912" s="397"/>
      <c r="I8912" s="397"/>
      <c r="J8912" s="750" t="e">
        <f t="shared" si="122"/>
        <v>#DIV/0!</v>
      </c>
      <c r="K8912" s="398"/>
      <c r="L8912" s="398"/>
      <c r="M8912" s="682"/>
      <c r="N8912" s="171"/>
      <c r="O8912" s="171"/>
    </row>
    <row r="8913" spans="5:15" ht="13.5" hidden="1" thickBot="1" x14ac:dyDescent="0.25">
      <c r="F8913" s="494">
        <v>514</v>
      </c>
      <c r="G8913" s="495" t="s">
        <v>4197</v>
      </c>
      <c r="H8913" s="397"/>
      <c r="I8913" s="397"/>
      <c r="J8913" s="750" t="e">
        <f t="shared" si="122"/>
        <v>#DIV/0!</v>
      </c>
      <c r="K8913" s="398"/>
      <c r="L8913" s="398"/>
      <c r="M8913" s="682"/>
      <c r="N8913" s="171"/>
      <c r="O8913" s="171"/>
    </row>
    <row r="8914" spans="5:15" ht="13.5" hidden="1" thickBot="1" x14ac:dyDescent="0.25">
      <c r="F8914" s="494">
        <v>515</v>
      </c>
      <c r="G8914" s="495" t="s">
        <v>3832</v>
      </c>
      <c r="H8914" s="397"/>
      <c r="I8914" s="397"/>
      <c r="J8914" s="750" t="e">
        <f t="shared" si="122"/>
        <v>#DIV/0!</v>
      </c>
      <c r="K8914" s="398"/>
      <c r="L8914" s="398"/>
      <c r="M8914" s="682"/>
      <c r="N8914" s="171"/>
      <c r="O8914" s="171"/>
    </row>
    <row r="8915" spans="5:15" ht="13.5" hidden="1" thickBot="1" x14ac:dyDescent="0.25">
      <c r="F8915" s="494">
        <v>521</v>
      </c>
      <c r="G8915" s="495" t="s">
        <v>4198</v>
      </c>
      <c r="H8915" s="397"/>
      <c r="I8915" s="397"/>
      <c r="J8915" s="750" t="e">
        <f t="shared" si="122"/>
        <v>#DIV/0!</v>
      </c>
      <c r="K8915" s="398"/>
      <c r="L8915" s="398"/>
      <c r="M8915" s="682"/>
      <c r="N8915" s="171"/>
      <c r="O8915" s="171"/>
    </row>
    <row r="8916" spans="5:15" ht="13.5" hidden="1" thickBot="1" x14ac:dyDescent="0.25">
      <c r="F8916" s="494">
        <v>522</v>
      </c>
      <c r="G8916" s="495" t="s">
        <v>4199</v>
      </c>
      <c r="H8916" s="397"/>
      <c r="I8916" s="397"/>
      <c r="J8916" s="750" t="e">
        <f t="shared" si="122"/>
        <v>#DIV/0!</v>
      </c>
      <c r="K8916" s="398"/>
      <c r="L8916" s="398"/>
      <c r="M8916" s="682"/>
      <c r="N8916" s="171"/>
      <c r="O8916" s="171"/>
    </row>
    <row r="8917" spans="5:15" ht="13.5" hidden="1" thickBot="1" x14ac:dyDescent="0.25">
      <c r="F8917" s="494">
        <v>523</v>
      </c>
      <c r="G8917" s="495" t="s">
        <v>3837</v>
      </c>
      <c r="H8917" s="397"/>
      <c r="I8917" s="397"/>
      <c r="J8917" s="750" t="e">
        <f t="shared" si="122"/>
        <v>#DIV/0!</v>
      </c>
      <c r="K8917" s="398"/>
      <c r="L8917" s="398"/>
      <c r="M8917" s="682"/>
      <c r="N8917" s="171"/>
      <c r="O8917" s="171"/>
    </row>
    <row r="8918" spans="5:15" ht="13.5" hidden="1" thickBot="1" x14ac:dyDescent="0.25">
      <c r="F8918" s="494">
        <v>531</v>
      </c>
      <c r="G8918" s="496" t="s">
        <v>4175</v>
      </c>
      <c r="H8918" s="397"/>
      <c r="I8918" s="397"/>
      <c r="J8918" s="750" t="e">
        <f t="shared" si="122"/>
        <v>#DIV/0!</v>
      </c>
      <c r="K8918" s="398"/>
      <c r="L8918" s="398"/>
      <c r="M8918" s="682"/>
      <c r="N8918" s="171"/>
      <c r="O8918" s="171"/>
    </row>
    <row r="8919" spans="5:15" ht="13.5" hidden="1" thickBot="1" x14ac:dyDescent="0.25">
      <c r="F8919" s="494">
        <v>541</v>
      </c>
      <c r="G8919" s="495" t="s">
        <v>4200</v>
      </c>
      <c r="H8919" s="397"/>
      <c r="I8919" s="397"/>
      <c r="J8919" s="750" t="e">
        <f t="shared" si="122"/>
        <v>#DIV/0!</v>
      </c>
      <c r="K8919" s="398"/>
      <c r="L8919" s="398"/>
      <c r="M8919" s="682"/>
      <c r="N8919" s="171"/>
      <c r="O8919" s="171"/>
    </row>
    <row r="8920" spans="5:15" ht="13.5" hidden="1" thickBot="1" x14ac:dyDescent="0.25">
      <c r="F8920" s="494">
        <v>542</v>
      </c>
      <c r="G8920" s="495" t="s">
        <v>4201</v>
      </c>
      <c r="H8920" s="397"/>
      <c r="I8920" s="397"/>
      <c r="J8920" s="750" t="e">
        <f t="shared" si="122"/>
        <v>#DIV/0!</v>
      </c>
      <c r="K8920" s="398"/>
      <c r="L8920" s="398"/>
      <c r="M8920" s="682"/>
      <c r="N8920" s="171"/>
      <c r="O8920" s="171"/>
    </row>
    <row r="8921" spans="5:15" ht="13.5" hidden="1" thickBot="1" x14ac:dyDescent="0.25">
      <c r="F8921" s="494">
        <v>543</v>
      </c>
      <c r="G8921" s="495" t="s">
        <v>3842</v>
      </c>
      <c r="H8921" s="397"/>
      <c r="I8921" s="397"/>
      <c r="J8921" s="750" t="e">
        <f t="shared" si="122"/>
        <v>#DIV/0!</v>
      </c>
      <c r="K8921" s="398"/>
      <c r="L8921" s="398"/>
      <c r="M8921" s="682"/>
      <c r="N8921" s="171"/>
      <c r="O8921" s="171"/>
    </row>
    <row r="8922" spans="5:15" ht="39" hidden="1" thickBot="1" x14ac:dyDescent="0.25">
      <c r="F8922" s="494">
        <v>551</v>
      </c>
      <c r="G8922" s="495" t="s">
        <v>4176</v>
      </c>
      <c r="H8922" s="397"/>
      <c r="I8922" s="397"/>
      <c r="J8922" s="750" t="e">
        <f t="shared" si="122"/>
        <v>#DIV/0!</v>
      </c>
      <c r="K8922" s="398"/>
      <c r="L8922" s="398"/>
      <c r="M8922" s="682"/>
      <c r="N8922" s="171"/>
      <c r="O8922" s="171"/>
    </row>
    <row r="8923" spans="5:15" ht="13.5" hidden="1" thickBot="1" x14ac:dyDescent="0.25">
      <c r="F8923" s="498">
        <v>611</v>
      </c>
      <c r="G8923" s="499" t="s">
        <v>3848</v>
      </c>
      <c r="H8923" s="397"/>
      <c r="I8923" s="397"/>
      <c r="J8923" s="750" t="e">
        <f t="shared" si="122"/>
        <v>#DIV/0!</v>
      </c>
      <c r="K8923" s="398"/>
      <c r="L8923" s="398"/>
      <c r="M8923" s="682"/>
      <c r="N8923" s="171"/>
      <c r="O8923" s="171"/>
    </row>
    <row r="8924" spans="5:15" ht="13.5" hidden="1" thickBot="1" x14ac:dyDescent="0.25">
      <c r="F8924" s="498">
        <v>620</v>
      </c>
      <c r="G8924" s="499" t="s">
        <v>88</v>
      </c>
      <c r="H8924" s="397"/>
      <c r="I8924" s="397"/>
      <c r="J8924" s="750" t="e">
        <f t="shared" si="122"/>
        <v>#DIV/0!</v>
      </c>
      <c r="K8924" s="398"/>
      <c r="L8924" s="398"/>
      <c r="M8924" s="682"/>
      <c r="N8924" s="171"/>
      <c r="O8924" s="171"/>
    </row>
    <row r="8925" spans="5:15" x14ac:dyDescent="0.2">
      <c r="E8925" s="500"/>
      <c r="F8925" s="498"/>
      <c r="G8925" s="501" t="s">
        <v>4392</v>
      </c>
      <c r="H8925" s="400"/>
      <c r="I8925" s="400"/>
      <c r="J8925" s="750"/>
      <c r="K8925" s="401"/>
      <c r="L8925" s="402"/>
      <c r="M8925" s="682"/>
      <c r="N8925" s="171"/>
      <c r="O8925" s="171"/>
    </row>
    <row r="8926" spans="5:15" x14ac:dyDescent="0.2">
      <c r="E8926" s="502"/>
      <c r="F8926" s="503" t="s">
        <v>234</v>
      </c>
      <c r="G8926" s="504" t="s">
        <v>235</v>
      </c>
      <c r="H8926" s="403">
        <f>SUM(H8865:H8924)</f>
        <v>3073015</v>
      </c>
      <c r="I8926" s="403">
        <f>SUM(I8865:I8911)</f>
        <v>2034878.84</v>
      </c>
      <c r="J8926" s="750">
        <f t="shared" si="122"/>
        <v>66.217667014316561</v>
      </c>
      <c r="K8926" s="404"/>
      <c r="L8926" s="404"/>
      <c r="M8926" s="682"/>
      <c r="N8926" s="545"/>
      <c r="O8926" s="171"/>
    </row>
    <row r="8927" spans="5:15" hidden="1" x14ac:dyDescent="0.2">
      <c r="F8927" s="503" t="s">
        <v>236</v>
      </c>
      <c r="G8927" s="504" t="s">
        <v>237</v>
      </c>
      <c r="H8927" s="397"/>
      <c r="I8927" s="397"/>
      <c r="J8927" s="750" t="e">
        <f t="shared" si="122"/>
        <v>#DIV/0!</v>
      </c>
      <c r="K8927" s="398"/>
      <c r="L8927" s="404"/>
      <c r="M8927" s="682"/>
      <c r="N8927" s="171"/>
      <c r="O8927" s="171"/>
    </row>
    <row r="8928" spans="5:15" hidden="1" x14ac:dyDescent="0.2">
      <c r="F8928" s="503" t="s">
        <v>238</v>
      </c>
      <c r="G8928" s="504" t="s">
        <v>239</v>
      </c>
      <c r="H8928" s="397"/>
      <c r="I8928" s="397"/>
      <c r="J8928" s="750" t="e">
        <f t="shared" si="122"/>
        <v>#DIV/0!</v>
      </c>
      <c r="K8928" s="398"/>
      <c r="L8928" s="404"/>
      <c r="M8928" s="682"/>
      <c r="N8928" s="171"/>
      <c r="O8928" s="171"/>
    </row>
    <row r="8929" spans="5:15" hidden="1" x14ac:dyDescent="0.2">
      <c r="F8929" s="503" t="s">
        <v>240</v>
      </c>
      <c r="G8929" s="504" t="s">
        <v>241</v>
      </c>
      <c r="H8929" s="397"/>
      <c r="I8929" s="397"/>
      <c r="J8929" s="750" t="e">
        <f t="shared" si="122"/>
        <v>#DIV/0!</v>
      </c>
      <c r="K8929" s="398"/>
      <c r="L8929" s="404"/>
      <c r="M8929" s="682"/>
      <c r="N8929" s="171"/>
      <c r="O8929" s="171"/>
    </row>
    <row r="8930" spans="5:15" hidden="1" x14ac:dyDescent="0.2">
      <c r="F8930" s="503" t="s">
        <v>242</v>
      </c>
      <c r="G8930" s="504" t="s">
        <v>243</v>
      </c>
      <c r="H8930" s="397"/>
      <c r="I8930" s="397"/>
      <c r="J8930" s="750" t="e">
        <f t="shared" si="122"/>
        <v>#DIV/0!</v>
      </c>
      <c r="K8930" s="398"/>
      <c r="L8930" s="404"/>
      <c r="M8930" s="682"/>
      <c r="N8930" s="171"/>
      <c r="O8930" s="171"/>
    </row>
    <row r="8931" spans="5:15" hidden="1" x14ac:dyDescent="0.2">
      <c r="F8931" s="503" t="s">
        <v>244</v>
      </c>
      <c r="G8931" s="504" t="s">
        <v>245</v>
      </c>
      <c r="H8931" s="397"/>
      <c r="I8931" s="397"/>
      <c r="J8931" s="750" t="e">
        <f t="shared" si="122"/>
        <v>#DIV/0!</v>
      </c>
      <c r="K8931" s="398"/>
      <c r="L8931" s="404"/>
      <c r="M8931" s="682"/>
      <c r="N8931" s="171"/>
      <c r="O8931" s="171"/>
    </row>
    <row r="8932" spans="5:15" hidden="1" x14ac:dyDescent="0.2">
      <c r="F8932" s="503" t="s">
        <v>246</v>
      </c>
      <c r="G8932" s="504" t="s">
        <v>247</v>
      </c>
      <c r="H8932" s="397"/>
      <c r="I8932" s="397"/>
      <c r="J8932" s="750" t="e">
        <f t="shared" si="122"/>
        <v>#DIV/0!</v>
      </c>
      <c r="K8932" s="398"/>
      <c r="L8932" s="404"/>
      <c r="M8932" s="682"/>
      <c r="N8932" s="171"/>
      <c r="O8932" s="171"/>
    </row>
    <row r="8933" spans="5:15" ht="25.5" hidden="1" x14ac:dyDescent="0.2">
      <c r="F8933" s="503" t="s">
        <v>248</v>
      </c>
      <c r="G8933" s="504" t="s">
        <v>249</v>
      </c>
      <c r="H8933" s="397"/>
      <c r="I8933" s="397"/>
      <c r="J8933" s="750" t="e">
        <f t="shared" si="122"/>
        <v>#DIV/0!</v>
      </c>
      <c r="K8933" s="398"/>
      <c r="L8933" s="404"/>
      <c r="M8933" s="682"/>
      <c r="N8933" s="171"/>
      <c r="O8933" s="171"/>
    </row>
    <row r="8934" spans="5:15" hidden="1" x14ac:dyDescent="0.2">
      <c r="F8934" s="503" t="s">
        <v>250</v>
      </c>
      <c r="G8934" s="504" t="s">
        <v>57</v>
      </c>
      <c r="H8934" s="397"/>
      <c r="I8934" s="397"/>
      <c r="J8934" s="750" t="e">
        <f t="shared" si="122"/>
        <v>#DIV/0!</v>
      </c>
      <c r="K8934" s="398"/>
      <c r="L8934" s="404"/>
      <c r="M8934" s="682"/>
      <c r="N8934" s="171"/>
      <c r="O8934" s="171"/>
    </row>
    <row r="8935" spans="5:15" hidden="1" x14ac:dyDescent="0.2">
      <c r="F8935" s="503" t="s">
        <v>251</v>
      </c>
      <c r="G8935" s="504" t="s">
        <v>252</v>
      </c>
      <c r="H8935" s="397"/>
      <c r="I8935" s="397"/>
      <c r="J8935" s="750" t="e">
        <f t="shared" si="122"/>
        <v>#DIV/0!</v>
      </c>
      <c r="K8935" s="398"/>
      <c r="L8935" s="404"/>
      <c r="M8935" s="682"/>
      <c r="N8935" s="171"/>
      <c r="O8935" s="171"/>
    </row>
    <row r="8936" spans="5:15" hidden="1" x14ac:dyDescent="0.2">
      <c r="F8936" s="503" t="s">
        <v>253</v>
      </c>
      <c r="G8936" s="504" t="s">
        <v>254</v>
      </c>
      <c r="H8936" s="397"/>
      <c r="I8936" s="397"/>
      <c r="J8936" s="750" t="e">
        <f t="shared" si="122"/>
        <v>#DIV/0!</v>
      </c>
      <c r="K8936" s="398"/>
      <c r="L8936" s="404"/>
      <c r="M8936" s="682"/>
      <c r="N8936" s="171"/>
      <c r="O8936" s="171"/>
    </row>
    <row r="8937" spans="5:15" ht="25.5" hidden="1" x14ac:dyDescent="0.2">
      <c r="F8937" s="503" t="s">
        <v>255</v>
      </c>
      <c r="G8937" s="504" t="s">
        <v>256</v>
      </c>
      <c r="H8937" s="397"/>
      <c r="I8937" s="397"/>
      <c r="J8937" s="750" t="e">
        <f t="shared" si="122"/>
        <v>#DIV/0!</v>
      </c>
      <c r="K8937" s="398"/>
      <c r="L8937" s="404"/>
      <c r="M8937" s="682"/>
      <c r="N8937" s="171"/>
      <c r="O8937" s="171"/>
    </row>
    <row r="8938" spans="5:15" ht="25.5" hidden="1" x14ac:dyDescent="0.2">
      <c r="F8938" s="503" t="s">
        <v>257</v>
      </c>
      <c r="G8938" s="504" t="s">
        <v>258</v>
      </c>
      <c r="H8938" s="397"/>
      <c r="I8938" s="397"/>
      <c r="J8938" s="750" t="e">
        <f t="shared" si="122"/>
        <v>#DIV/0!</v>
      </c>
      <c r="K8938" s="398"/>
      <c r="L8938" s="404"/>
      <c r="M8938" s="682"/>
      <c r="N8938" s="171"/>
      <c r="O8938" s="171"/>
    </row>
    <row r="8939" spans="5:15" ht="25.5" hidden="1" x14ac:dyDescent="0.2">
      <c r="F8939" s="503" t="s">
        <v>259</v>
      </c>
      <c r="G8939" s="504" t="s">
        <v>260</v>
      </c>
      <c r="H8939" s="397"/>
      <c r="I8939" s="397"/>
      <c r="J8939" s="750" t="e">
        <f t="shared" si="122"/>
        <v>#DIV/0!</v>
      </c>
      <c r="K8939" s="398"/>
      <c r="L8939" s="404"/>
      <c r="M8939" s="682"/>
      <c r="N8939" s="171"/>
      <c r="O8939" s="171"/>
    </row>
    <row r="8940" spans="5:15" ht="14.25" customHeight="1" x14ac:dyDescent="0.2">
      <c r="F8940" s="549" t="s">
        <v>240</v>
      </c>
      <c r="G8940" s="504" t="s">
        <v>241</v>
      </c>
      <c r="H8940" s="397"/>
      <c r="I8940" s="397"/>
      <c r="J8940" s="750"/>
      <c r="K8940" s="398"/>
      <c r="L8940" s="404">
        <v>375379.58</v>
      </c>
      <c r="M8940" s="682"/>
      <c r="N8940" s="171"/>
      <c r="O8940" s="171"/>
    </row>
    <row r="8941" spans="5:15" ht="14.25" customHeight="1" thickBot="1" x14ac:dyDescent="0.25">
      <c r="F8941" s="549" t="s">
        <v>246</v>
      </c>
      <c r="G8941" s="504" t="s">
        <v>5395</v>
      </c>
      <c r="H8941" s="403"/>
      <c r="I8941" s="403"/>
      <c r="J8941" s="750"/>
      <c r="K8941" s="404"/>
      <c r="L8941" s="404">
        <v>14374.3</v>
      </c>
      <c r="M8941" s="682"/>
      <c r="N8941" s="171"/>
      <c r="O8941" s="171"/>
    </row>
    <row r="8942" spans="5:15" ht="15.75" customHeight="1" thickBot="1" x14ac:dyDescent="0.25">
      <c r="G8942" s="505" t="s">
        <v>4393</v>
      </c>
      <c r="H8942" s="405">
        <f>SUM(H8926:H8941)</f>
        <v>3073015</v>
      </c>
      <c r="I8942" s="405">
        <f>SUM(I8926)</f>
        <v>2034878.84</v>
      </c>
      <c r="J8942" s="750">
        <f t="shared" si="122"/>
        <v>66.217667014316561</v>
      </c>
      <c r="K8942" s="406">
        <f>SUM(K8927:K8941)</f>
        <v>0</v>
      </c>
      <c r="L8942" s="406">
        <f>SUM(L8940:L8941)</f>
        <v>389753.88</v>
      </c>
      <c r="M8942" s="682"/>
      <c r="N8942" s="171"/>
      <c r="O8942" s="171"/>
    </row>
    <row r="8943" spans="5:15" ht="15.75" customHeight="1" collapsed="1" x14ac:dyDescent="0.2">
      <c r="E8943" s="500"/>
      <c r="F8943" s="498"/>
      <c r="G8943" s="506" t="s">
        <v>4280</v>
      </c>
      <c r="H8943" s="407"/>
      <c r="I8943" s="408"/>
      <c r="J8943" s="750"/>
      <c r="K8943" s="409"/>
      <c r="L8943" s="410"/>
      <c r="M8943" s="682"/>
      <c r="N8943" s="171"/>
      <c r="O8943" s="171"/>
    </row>
    <row r="8944" spans="5:15" ht="15.75" customHeight="1" x14ac:dyDescent="0.2">
      <c r="E8944" s="502"/>
      <c r="F8944" s="503" t="s">
        <v>234</v>
      </c>
      <c r="G8944" s="504" t="s">
        <v>235</v>
      </c>
      <c r="H8944" s="403">
        <f>SUM(H8865:H8924)</f>
        <v>3073015</v>
      </c>
      <c r="I8944" s="403">
        <f>SUM(I8926)</f>
        <v>2034878.84</v>
      </c>
      <c r="J8944" s="750">
        <f t="shared" si="122"/>
        <v>66.217667014316561</v>
      </c>
      <c r="K8944" s="404"/>
      <c r="L8944" s="404"/>
      <c r="M8944" s="682"/>
      <c r="N8944" s="171"/>
      <c r="O8944" s="171"/>
    </row>
    <row r="8945" spans="6:15" hidden="1" x14ac:dyDescent="0.2">
      <c r="F8945" s="503" t="s">
        <v>236</v>
      </c>
      <c r="G8945" s="504" t="s">
        <v>237</v>
      </c>
      <c r="H8945" s="397"/>
      <c r="I8945" s="397"/>
      <c r="J8945" s="750" t="e">
        <f t="shared" si="122"/>
        <v>#DIV/0!</v>
      </c>
      <c r="K8945" s="398"/>
      <c r="L8945" s="404"/>
      <c r="M8945" s="682"/>
      <c r="N8945" s="171"/>
      <c r="O8945" s="171"/>
    </row>
    <row r="8946" spans="6:15" hidden="1" x14ac:dyDescent="0.2">
      <c r="F8946" s="503" t="s">
        <v>238</v>
      </c>
      <c r="G8946" s="504" t="s">
        <v>239</v>
      </c>
      <c r="H8946" s="397"/>
      <c r="I8946" s="397"/>
      <c r="J8946" s="750" t="e">
        <f t="shared" si="122"/>
        <v>#DIV/0!</v>
      </c>
      <c r="K8946" s="398"/>
      <c r="L8946" s="404"/>
      <c r="M8946" s="682"/>
      <c r="N8946" s="171"/>
      <c r="O8946" s="171"/>
    </row>
    <row r="8947" spans="6:15" hidden="1" x14ac:dyDescent="0.2">
      <c r="F8947" s="503" t="s">
        <v>240</v>
      </c>
      <c r="G8947" s="504" t="s">
        <v>241</v>
      </c>
      <c r="H8947" s="397"/>
      <c r="I8947" s="397"/>
      <c r="J8947" s="750" t="e">
        <f t="shared" si="122"/>
        <v>#DIV/0!</v>
      </c>
      <c r="K8947" s="398"/>
      <c r="L8947" s="404"/>
      <c r="M8947" s="682"/>
      <c r="N8947" s="171"/>
      <c r="O8947" s="171"/>
    </row>
    <row r="8948" spans="6:15" hidden="1" x14ac:dyDescent="0.2">
      <c r="F8948" s="503" t="s">
        <v>242</v>
      </c>
      <c r="G8948" s="504" t="s">
        <v>243</v>
      </c>
      <c r="H8948" s="397"/>
      <c r="I8948" s="397"/>
      <c r="J8948" s="750" t="e">
        <f t="shared" si="122"/>
        <v>#DIV/0!</v>
      </c>
      <c r="K8948" s="398"/>
      <c r="L8948" s="404"/>
      <c r="M8948" s="682"/>
      <c r="N8948" s="171"/>
      <c r="O8948" s="171"/>
    </row>
    <row r="8949" spans="6:15" hidden="1" x14ac:dyDescent="0.2">
      <c r="F8949" s="503" t="s">
        <v>244</v>
      </c>
      <c r="G8949" s="504" t="s">
        <v>245</v>
      </c>
      <c r="H8949" s="397"/>
      <c r="I8949" s="397"/>
      <c r="J8949" s="750" t="e">
        <f t="shared" si="122"/>
        <v>#DIV/0!</v>
      </c>
      <c r="K8949" s="398"/>
      <c r="L8949" s="404"/>
      <c r="M8949" s="682"/>
      <c r="N8949" s="171"/>
      <c r="O8949" s="171"/>
    </row>
    <row r="8950" spans="6:15" hidden="1" x14ac:dyDescent="0.2">
      <c r="F8950" s="503" t="s">
        <v>246</v>
      </c>
      <c r="G8950" s="504" t="s">
        <v>247</v>
      </c>
      <c r="H8950" s="397"/>
      <c r="I8950" s="397"/>
      <c r="J8950" s="750" t="e">
        <f t="shared" si="122"/>
        <v>#DIV/0!</v>
      </c>
      <c r="K8950" s="398"/>
      <c r="L8950" s="404"/>
      <c r="M8950" s="682"/>
      <c r="N8950" s="171"/>
      <c r="O8950" s="171"/>
    </row>
    <row r="8951" spans="6:15" ht="25.5" hidden="1" x14ac:dyDescent="0.2">
      <c r="F8951" s="503" t="s">
        <v>248</v>
      </c>
      <c r="G8951" s="504" t="s">
        <v>249</v>
      </c>
      <c r="H8951" s="397"/>
      <c r="I8951" s="397"/>
      <c r="J8951" s="750" t="e">
        <f t="shared" si="122"/>
        <v>#DIV/0!</v>
      </c>
      <c r="K8951" s="398"/>
      <c r="L8951" s="404"/>
      <c r="M8951" s="682"/>
      <c r="N8951" s="171"/>
      <c r="O8951" s="171"/>
    </row>
    <row r="8952" spans="6:15" hidden="1" x14ac:dyDescent="0.2">
      <c r="F8952" s="503" t="s">
        <v>250</v>
      </c>
      <c r="G8952" s="504" t="s">
        <v>57</v>
      </c>
      <c r="H8952" s="397"/>
      <c r="I8952" s="397"/>
      <c r="J8952" s="750" t="e">
        <f t="shared" si="122"/>
        <v>#DIV/0!</v>
      </c>
      <c r="K8952" s="398"/>
      <c r="L8952" s="404"/>
      <c r="M8952" s="682"/>
      <c r="N8952" s="171"/>
      <c r="O8952" s="171"/>
    </row>
    <row r="8953" spans="6:15" hidden="1" x14ac:dyDescent="0.2">
      <c r="F8953" s="503" t="s">
        <v>251</v>
      </c>
      <c r="G8953" s="504" t="s">
        <v>252</v>
      </c>
      <c r="H8953" s="397"/>
      <c r="I8953" s="397"/>
      <c r="J8953" s="750" t="e">
        <f t="shared" si="122"/>
        <v>#DIV/0!</v>
      </c>
      <c r="K8953" s="398"/>
      <c r="L8953" s="404"/>
      <c r="M8953" s="682"/>
      <c r="N8953" s="171"/>
      <c r="O8953" s="171"/>
    </row>
    <row r="8954" spans="6:15" hidden="1" x14ac:dyDescent="0.2">
      <c r="F8954" s="503" t="s">
        <v>253</v>
      </c>
      <c r="G8954" s="504" t="s">
        <v>254</v>
      </c>
      <c r="H8954" s="397"/>
      <c r="I8954" s="397"/>
      <c r="J8954" s="750" t="e">
        <f t="shared" si="122"/>
        <v>#DIV/0!</v>
      </c>
      <c r="K8954" s="398"/>
      <c r="L8954" s="404"/>
      <c r="M8954" s="682"/>
      <c r="N8954" s="171"/>
      <c r="O8954" s="171"/>
    </row>
    <row r="8955" spans="6:15" ht="25.5" hidden="1" x14ac:dyDescent="0.2">
      <c r="F8955" s="503" t="s">
        <v>255</v>
      </c>
      <c r="G8955" s="504" t="s">
        <v>256</v>
      </c>
      <c r="H8955" s="397"/>
      <c r="I8955" s="397"/>
      <c r="J8955" s="750" t="e">
        <f t="shared" si="122"/>
        <v>#DIV/0!</v>
      </c>
      <c r="K8955" s="398"/>
      <c r="L8955" s="404"/>
      <c r="M8955" s="682"/>
      <c r="N8955" s="171"/>
      <c r="O8955" s="171"/>
    </row>
    <row r="8956" spans="6:15" ht="25.5" hidden="1" x14ac:dyDescent="0.2">
      <c r="F8956" s="503" t="s">
        <v>257</v>
      </c>
      <c r="G8956" s="504" t="s">
        <v>258</v>
      </c>
      <c r="H8956" s="397"/>
      <c r="I8956" s="397"/>
      <c r="J8956" s="750" t="e">
        <f t="shared" si="122"/>
        <v>#DIV/0!</v>
      </c>
      <c r="K8956" s="398"/>
      <c r="L8956" s="404"/>
      <c r="M8956" s="682"/>
      <c r="N8956" s="171"/>
      <c r="O8956" s="171"/>
    </row>
    <row r="8957" spans="6:15" ht="25.5" hidden="1" x14ac:dyDescent="0.2">
      <c r="F8957" s="503" t="s">
        <v>259</v>
      </c>
      <c r="G8957" s="504" t="s">
        <v>260</v>
      </c>
      <c r="H8957" s="397"/>
      <c r="I8957" s="397"/>
      <c r="J8957" s="750" t="e">
        <f t="shared" si="122"/>
        <v>#DIV/0!</v>
      </c>
      <c r="K8957" s="398"/>
      <c r="L8957" s="404"/>
      <c r="M8957" s="682"/>
      <c r="N8957" s="171"/>
      <c r="O8957" s="171"/>
    </row>
    <row r="8958" spans="6:15" ht="17.25" customHeight="1" x14ac:dyDescent="0.2">
      <c r="F8958" s="549" t="s">
        <v>240</v>
      </c>
      <c r="G8958" s="504" t="s">
        <v>241</v>
      </c>
      <c r="H8958" s="397"/>
      <c r="I8958" s="397"/>
      <c r="J8958" s="750"/>
      <c r="K8958" s="398"/>
      <c r="L8958" s="404">
        <f>SUM(L8940)</f>
        <v>375379.58</v>
      </c>
      <c r="M8958" s="682"/>
      <c r="N8958" s="171"/>
      <c r="O8958" s="171"/>
    </row>
    <row r="8959" spans="6:15" ht="13.5" customHeight="1" thickBot="1" x14ac:dyDescent="0.25">
      <c r="F8959" s="549" t="s">
        <v>246</v>
      </c>
      <c r="G8959" s="504" t="s">
        <v>5395</v>
      </c>
      <c r="H8959" s="403"/>
      <c r="I8959" s="403"/>
      <c r="J8959" s="750"/>
      <c r="K8959" s="404"/>
      <c r="L8959" s="404">
        <f>SUM(L8941)</f>
        <v>14374.3</v>
      </c>
      <c r="M8959" s="682"/>
      <c r="N8959" s="171"/>
      <c r="O8959" s="171"/>
    </row>
    <row r="8960" spans="6:15" ht="18" customHeight="1" collapsed="1" thickBot="1" x14ac:dyDescent="0.25">
      <c r="G8960" s="505" t="s">
        <v>4395</v>
      </c>
      <c r="H8960" s="405">
        <f>SUM(H8944:H8959)</f>
        <v>3073015</v>
      </c>
      <c r="I8960" s="405">
        <f>SUM(I8944)</f>
        <v>2034878.84</v>
      </c>
      <c r="J8960" s="750">
        <f t="shared" si="122"/>
        <v>66.217667014316561</v>
      </c>
      <c r="K8960" s="406">
        <f>SUM(K8945:K8959)</f>
        <v>0</v>
      </c>
      <c r="L8960" s="406">
        <f>SUM(L8958:L8959)</f>
        <v>389753.88</v>
      </c>
      <c r="M8960" s="682"/>
      <c r="N8960" s="171"/>
      <c r="O8960" s="171"/>
    </row>
    <row r="8961" spans="3:15" ht="6.75" hidden="1" customHeight="1" x14ac:dyDescent="0.2">
      <c r="H8961" s="397"/>
      <c r="I8961" s="397"/>
      <c r="J8961" s="750" t="e">
        <f t="shared" si="122"/>
        <v>#DIV/0!</v>
      </c>
      <c r="K8961" s="398"/>
      <c r="L8961" s="398"/>
      <c r="M8961" s="682"/>
      <c r="N8961" s="171"/>
      <c r="O8961" s="171"/>
    </row>
    <row r="8962" spans="3:15" x14ac:dyDescent="0.2">
      <c r="C8962" s="542" t="s">
        <v>4295</v>
      </c>
      <c r="D8962" s="173"/>
      <c r="E8962" s="173"/>
      <c r="F8962" s="502"/>
      <c r="G8962" s="550" t="s">
        <v>4092</v>
      </c>
      <c r="H8962" s="397"/>
      <c r="I8962" s="397"/>
      <c r="J8962" s="750"/>
      <c r="K8962" s="398"/>
      <c r="L8962" s="398"/>
      <c r="M8962" s="682"/>
      <c r="N8962" s="189"/>
      <c r="O8962" s="171"/>
    </row>
    <row r="8963" spans="3:15" x14ac:dyDescent="0.2">
      <c r="C8963" s="633"/>
      <c r="D8963" s="492">
        <v>473</v>
      </c>
      <c r="E8963" s="492"/>
      <c r="F8963" s="492"/>
      <c r="G8963" s="551" t="s">
        <v>162</v>
      </c>
      <c r="H8963" s="397"/>
      <c r="I8963" s="397"/>
      <c r="J8963" s="750"/>
      <c r="K8963" s="398"/>
      <c r="L8963" s="398"/>
      <c r="M8963" s="682"/>
      <c r="N8963" s="189"/>
      <c r="O8963" s="171"/>
    </row>
    <row r="8964" spans="3:15" hidden="1" x14ac:dyDescent="0.2">
      <c r="F8964" s="494">
        <v>411</v>
      </c>
      <c r="G8964" s="495" t="s">
        <v>4167</v>
      </c>
      <c r="H8964" s="397"/>
      <c r="I8964" s="397"/>
      <c r="J8964" s="750" t="e">
        <f t="shared" si="122"/>
        <v>#DIV/0!</v>
      </c>
      <c r="K8964" s="398"/>
      <c r="L8964" s="398"/>
      <c r="M8964" s="682"/>
      <c r="N8964" s="171"/>
      <c r="O8964" s="171"/>
    </row>
    <row r="8965" spans="3:15" hidden="1" x14ac:dyDescent="0.2">
      <c r="F8965" s="494">
        <v>412</v>
      </c>
      <c r="G8965" s="496" t="s">
        <v>3764</v>
      </c>
      <c r="H8965" s="397"/>
      <c r="I8965" s="397"/>
      <c r="J8965" s="750" t="e">
        <f t="shared" si="122"/>
        <v>#DIV/0!</v>
      </c>
      <c r="K8965" s="398"/>
      <c r="L8965" s="398"/>
      <c r="M8965" s="682"/>
      <c r="N8965" s="171"/>
      <c r="O8965" s="171"/>
    </row>
    <row r="8966" spans="3:15" hidden="1" x14ac:dyDescent="0.2">
      <c r="F8966" s="494">
        <v>413</v>
      </c>
      <c r="G8966" s="495" t="s">
        <v>4168</v>
      </c>
      <c r="H8966" s="397"/>
      <c r="I8966" s="397"/>
      <c r="J8966" s="750" t="e">
        <f t="shared" si="122"/>
        <v>#DIV/0!</v>
      </c>
      <c r="K8966" s="398"/>
      <c r="L8966" s="398"/>
      <c r="M8966" s="682"/>
      <c r="N8966" s="171"/>
      <c r="O8966" s="171"/>
    </row>
    <row r="8967" spans="3:15" hidden="1" x14ac:dyDescent="0.2">
      <c r="F8967" s="494">
        <v>414</v>
      </c>
      <c r="G8967" s="495" t="s">
        <v>3767</v>
      </c>
      <c r="H8967" s="397"/>
      <c r="I8967" s="397"/>
      <c r="J8967" s="750" t="e">
        <f t="shared" si="122"/>
        <v>#DIV/0!</v>
      </c>
      <c r="K8967" s="398"/>
      <c r="L8967" s="398"/>
      <c r="M8967" s="682"/>
      <c r="N8967" s="171"/>
      <c r="O8967" s="171"/>
    </row>
    <row r="8968" spans="3:15" hidden="1" x14ac:dyDescent="0.2">
      <c r="F8968" s="494">
        <v>415</v>
      </c>
      <c r="G8968" s="495" t="s">
        <v>4177</v>
      </c>
      <c r="H8968" s="397"/>
      <c r="I8968" s="397"/>
      <c r="J8968" s="750" t="e">
        <f t="shared" si="122"/>
        <v>#DIV/0!</v>
      </c>
      <c r="K8968" s="398"/>
      <c r="L8968" s="398"/>
      <c r="M8968" s="682"/>
      <c r="N8968" s="171"/>
      <c r="O8968" s="171"/>
    </row>
    <row r="8969" spans="3:15" ht="25.5" hidden="1" x14ac:dyDescent="0.2">
      <c r="F8969" s="494">
        <v>416</v>
      </c>
      <c r="G8969" s="495" t="s">
        <v>4178</v>
      </c>
      <c r="H8969" s="397"/>
      <c r="I8969" s="397"/>
      <c r="J8969" s="750" t="e">
        <f t="shared" si="122"/>
        <v>#DIV/0!</v>
      </c>
      <c r="K8969" s="398"/>
      <c r="L8969" s="398"/>
      <c r="M8969" s="682"/>
      <c r="N8969" s="171"/>
      <c r="O8969" s="171"/>
    </row>
    <row r="8970" spans="3:15" hidden="1" x14ac:dyDescent="0.2">
      <c r="F8970" s="494">
        <v>417</v>
      </c>
      <c r="G8970" s="495" t="s">
        <v>4179</v>
      </c>
      <c r="H8970" s="397"/>
      <c r="I8970" s="397"/>
      <c r="J8970" s="750" t="e">
        <f t="shared" si="122"/>
        <v>#DIV/0!</v>
      </c>
      <c r="K8970" s="398"/>
      <c r="L8970" s="398"/>
      <c r="M8970" s="682"/>
      <c r="N8970" s="171"/>
      <c r="O8970" s="171"/>
    </row>
    <row r="8971" spans="3:15" hidden="1" x14ac:dyDescent="0.2">
      <c r="F8971" s="494">
        <v>418</v>
      </c>
      <c r="G8971" s="495" t="s">
        <v>3773</v>
      </c>
      <c r="H8971" s="397"/>
      <c r="I8971" s="397"/>
      <c r="J8971" s="750" t="e">
        <f t="shared" si="122"/>
        <v>#DIV/0!</v>
      </c>
      <c r="K8971" s="398"/>
      <c r="L8971" s="398"/>
      <c r="M8971" s="682"/>
      <c r="N8971" s="171"/>
      <c r="O8971" s="171"/>
    </row>
    <row r="8972" spans="3:15" hidden="1" x14ac:dyDescent="0.2">
      <c r="F8972" s="494">
        <v>421</v>
      </c>
      <c r="G8972" s="495" t="s">
        <v>3777</v>
      </c>
      <c r="H8972" s="397"/>
      <c r="I8972" s="397"/>
      <c r="J8972" s="750" t="e">
        <f t="shared" si="122"/>
        <v>#DIV/0!</v>
      </c>
      <c r="K8972" s="398"/>
      <c r="L8972" s="398"/>
      <c r="M8972" s="682"/>
      <c r="N8972" s="171"/>
      <c r="O8972" s="171"/>
    </row>
    <row r="8973" spans="3:15" hidden="1" x14ac:dyDescent="0.2">
      <c r="F8973" s="494">
        <v>422</v>
      </c>
      <c r="G8973" s="495" t="s">
        <v>3778</v>
      </c>
      <c r="H8973" s="397"/>
      <c r="I8973" s="397"/>
      <c r="J8973" s="750" t="e">
        <f t="shared" si="122"/>
        <v>#DIV/0!</v>
      </c>
      <c r="K8973" s="398"/>
      <c r="L8973" s="398"/>
      <c r="M8973" s="682"/>
      <c r="N8973" s="171"/>
      <c r="O8973" s="171"/>
    </row>
    <row r="8974" spans="3:15" x14ac:dyDescent="0.2">
      <c r="E8974" s="464">
        <v>89</v>
      </c>
      <c r="F8974" s="494">
        <v>423</v>
      </c>
      <c r="G8974" s="495" t="s">
        <v>3779</v>
      </c>
      <c r="H8974" s="397">
        <v>800000</v>
      </c>
      <c r="I8974" s="397">
        <v>671249.41</v>
      </c>
      <c r="J8974" s="750">
        <f t="shared" ref="J8974:J9037" si="123">SUM(I8974/H8974)*100</f>
        <v>83.906176250000016</v>
      </c>
      <c r="K8974" s="398">
        <v>500000</v>
      </c>
      <c r="L8974" s="398">
        <v>769050</v>
      </c>
      <c r="M8974" s="682"/>
      <c r="N8974" s="171"/>
      <c r="O8974" s="171"/>
    </row>
    <row r="8975" spans="3:15" hidden="1" x14ac:dyDescent="0.2">
      <c r="F8975" s="494">
        <v>424</v>
      </c>
      <c r="G8975" s="495" t="s">
        <v>3781</v>
      </c>
      <c r="H8975" s="397"/>
      <c r="I8975" s="397"/>
      <c r="J8975" s="750" t="e">
        <f t="shared" si="123"/>
        <v>#DIV/0!</v>
      </c>
      <c r="K8975" s="398"/>
      <c r="L8975" s="398"/>
      <c r="M8975" s="682"/>
      <c r="N8975" s="171"/>
      <c r="O8975" s="171"/>
    </row>
    <row r="8976" spans="3:15" hidden="1" x14ac:dyDescent="0.2">
      <c r="F8976" s="494">
        <v>425</v>
      </c>
      <c r="G8976" s="495" t="s">
        <v>4180</v>
      </c>
      <c r="H8976" s="397"/>
      <c r="I8976" s="397"/>
      <c r="J8976" s="750" t="e">
        <f t="shared" si="123"/>
        <v>#DIV/0!</v>
      </c>
      <c r="K8976" s="398"/>
      <c r="L8976" s="398"/>
      <c r="M8976" s="682"/>
      <c r="N8976" s="171"/>
      <c r="O8976" s="171"/>
    </row>
    <row r="8977" spans="5:15" ht="13.5" thickBot="1" x14ac:dyDescent="0.25">
      <c r="E8977" s="464">
        <v>90</v>
      </c>
      <c r="F8977" s="494">
        <v>426</v>
      </c>
      <c r="G8977" s="495" t="s">
        <v>3785</v>
      </c>
      <c r="H8977" s="397">
        <v>700000</v>
      </c>
      <c r="I8977" s="397">
        <v>363839.2</v>
      </c>
      <c r="J8977" s="750">
        <f t="shared" si="123"/>
        <v>51.977028571428576</v>
      </c>
      <c r="K8977" s="398"/>
      <c r="L8977" s="398">
        <v>13248</v>
      </c>
      <c r="M8977" s="682"/>
      <c r="N8977" s="171"/>
      <c r="O8977" s="171"/>
    </row>
    <row r="8978" spans="5:15" ht="13.5" hidden="1" thickBot="1" x14ac:dyDescent="0.25">
      <c r="F8978" s="494">
        <v>431</v>
      </c>
      <c r="G8978" s="495" t="s">
        <v>4181</v>
      </c>
      <c r="H8978" s="397"/>
      <c r="I8978" s="397"/>
      <c r="J8978" s="750" t="e">
        <f t="shared" si="123"/>
        <v>#DIV/0!</v>
      </c>
      <c r="K8978" s="398"/>
      <c r="L8978" s="398"/>
      <c r="M8978" s="682"/>
      <c r="N8978" s="171"/>
      <c r="O8978" s="171"/>
    </row>
    <row r="8979" spans="5:15" ht="13.5" hidden="1" thickBot="1" x14ac:dyDescent="0.25">
      <c r="F8979" s="494">
        <v>432</v>
      </c>
      <c r="G8979" s="495" t="s">
        <v>4182</v>
      </c>
      <c r="H8979" s="397"/>
      <c r="I8979" s="397"/>
      <c r="J8979" s="750" t="e">
        <f t="shared" si="123"/>
        <v>#DIV/0!</v>
      </c>
      <c r="K8979" s="398"/>
      <c r="L8979" s="398"/>
      <c r="M8979" s="682"/>
      <c r="N8979" s="171"/>
      <c r="O8979" s="171"/>
    </row>
    <row r="8980" spans="5:15" ht="13.5" hidden="1" thickBot="1" x14ac:dyDescent="0.25">
      <c r="F8980" s="494">
        <v>433</v>
      </c>
      <c r="G8980" s="495" t="s">
        <v>4183</v>
      </c>
      <c r="H8980" s="397"/>
      <c r="I8980" s="397"/>
      <c r="J8980" s="750" t="e">
        <f t="shared" si="123"/>
        <v>#DIV/0!</v>
      </c>
      <c r="K8980" s="398"/>
      <c r="L8980" s="398"/>
      <c r="M8980" s="682"/>
      <c r="N8980" s="171"/>
      <c r="O8980" s="171"/>
    </row>
    <row r="8981" spans="5:15" ht="13.5" hidden="1" thickBot="1" x14ac:dyDescent="0.25">
      <c r="F8981" s="494">
        <v>434</v>
      </c>
      <c r="G8981" s="495" t="s">
        <v>4184</v>
      </c>
      <c r="H8981" s="397"/>
      <c r="I8981" s="397"/>
      <c r="J8981" s="750" t="e">
        <f t="shared" si="123"/>
        <v>#DIV/0!</v>
      </c>
      <c r="K8981" s="398"/>
      <c r="L8981" s="398"/>
      <c r="M8981" s="682"/>
      <c r="N8981" s="171"/>
      <c r="O8981" s="171"/>
    </row>
    <row r="8982" spans="5:15" ht="13.5" hidden="1" thickBot="1" x14ac:dyDescent="0.25">
      <c r="F8982" s="494">
        <v>435</v>
      </c>
      <c r="G8982" s="495" t="s">
        <v>3792</v>
      </c>
      <c r="H8982" s="397"/>
      <c r="I8982" s="397"/>
      <c r="J8982" s="750" t="e">
        <f t="shared" si="123"/>
        <v>#DIV/0!</v>
      </c>
      <c r="K8982" s="398"/>
      <c r="L8982" s="398"/>
      <c r="M8982" s="682"/>
      <c r="N8982" s="171"/>
      <c r="O8982" s="171"/>
    </row>
    <row r="8983" spans="5:15" ht="13.5" hidden="1" thickBot="1" x14ac:dyDescent="0.25">
      <c r="F8983" s="494">
        <v>441</v>
      </c>
      <c r="G8983" s="495" t="s">
        <v>4185</v>
      </c>
      <c r="H8983" s="397"/>
      <c r="I8983" s="397"/>
      <c r="J8983" s="750" t="e">
        <f t="shared" si="123"/>
        <v>#DIV/0!</v>
      </c>
      <c r="K8983" s="398"/>
      <c r="L8983" s="398"/>
      <c r="M8983" s="682"/>
      <c r="N8983" s="171"/>
      <c r="O8983" s="171"/>
    </row>
    <row r="8984" spans="5:15" ht="13.5" hidden="1" thickBot="1" x14ac:dyDescent="0.25">
      <c r="F8984" s="494">
        <v>442</v>
      </c>
      <c r="G8984" s="495" t="s">
        <v>4186</v>
      </c>
      <c r="H8984" s="397"/>
      <c r="I8984" s="397"/>
      <c r="J8984" s="750" t="e">
        <f t="shared" si="123"/>
        <v>#DIV/0!</v>
      </c>
      <c r="K8984" s="398"/>
      <c r="L8984" s="398"/>
      <c r="M8984" s="682"/>
      <c r="N8984" s="171"/>
      <c r="O8984" s="171"/>
    </row>
    <row r="8985" spans="5:15" ht="13.5" hidden="1" thickBot="1" x14ac:dyDescent="0.25">
      <c r="F8985" s="494">
        <v>443</v>
      </c>
      <c r="G8985" s="495" t="s">
        <v>3797</v>
      </c>
      <c r="H8985" s="397"/>
      <c r="I8985" s="397"/>
      <c r="J8985" s="750" t="e">
        <f t="shared" si="123"/>
        <v>#DIV/0!</v>
      </c>
      <c r="K8985" s="398"/>
      <c r="L8985" s="398"/>
      <c r="M8985" s="682"/>
      <c r="N8985" s="171"/>
      <c r="O8985" s="171"/>
    </row>
    <row r="8986" spans="5:15" ht="13.5" hidden="1" thickBot="1" x14ac:dyDescent="0.25">
      <c r="F8986" s="494">
        <v>444</v>
      </c>
      <c r="G8986" s="495" t="s">
        <v>3798</v>
      </c>
      <c r="H8986" s="397"/>
      <c r="I8986" s="397"/>
      <c r="J8986" s="750" t="e">
        <f t="shared" si="123"/>
        <v>#DIV/0!</v>
      </c>
      <c r="K8986" s="398"/>
      <c r="L8986" s="398"/>
      <c r="M8986" s="682"/>
      <c r="N8986" s="171"/>
      <c r="O8986" s="171"/>
    </row>
    <row r="8987" spans="5:15" ht="26.25" hidden="1" thickBot="1" x14ac:dyDescent="0.25">
      <c r="F8987" s="494">
        <v>4511</v>
      </c>
      <c r="G8987" s="466" t="s">
        <v>1692</v>
      </c>
      <c r="H8987" s="397"/>
      <c r="I8987" s="397"/>
      <c r="J8987" s="750" t="e">
        <f t="shared" si="123"/>
        <v>#DIV/0!</v>
      </c>
      <c r="K8987" s="398"/>
      <c r="L8987" s="398"/>
      <c r="M8987" s="682"/>
      <c r="N8987" s="171"/>
      <c r="O8987" s="171"/>
    </row>
    <row r="8988" spans="5:15" ht="26.25" hidden="1" thickBot="1" x14ac:dyDescent="0.25">
      <c r="F8988" s="494">
        <v>4512</v>
      </c>
      <c r="G8988" s="466" t="s">
        <v>1701</v>
      </c>
      <c r="H8988" s="397"/>
      <c r="I8988" s="397"/>
      <c r="J8988" s="750" t="e">
        <f t="shared" si="123"/>
        <v>#DIV/0!</v>
      </c>
      <c r="K8988" s="398"/>
      <c r="L8988" s="398"/>
      <c r="M8988" s="682"/>
      <c r="N8988" s="171"/>
      <c r="O8988" s="171"/>
    </row>
    <row r="8989" spans="5:15" ht="26.25" hidden="1" thickBot="1" x14ac:dyDescent="0.25">
      <c r="F8989" s="494">
        <v>452</v>
      </c>
      <c r="G8989" s="495" t="s">
        <v>4187</v>
      </c>
      <c r="H8989" s="397"/>
      <c r="I8989" s="397"/>
      <c r="J8989" s="750" t="e">
        <f t="shared" si="123"/>
        <v>#DIV/0!</v>
      </c>
      <c r="K8989" s="398"/>
      <c r="L8989" s="398"/>
      <c r="M8989" s="682"/>
      <c r="N8989" s="171"/>
      <c r="O8989" s="171"/>
    </row>
    <row r="8990" spans="5:15" ht="26.25" hidden="1" thickBot="1" x14ac:dyDescent="0.25">
      <c r="F8990" s="494">
        <v>453</v>
      </c>
      <c r="G8990" s="495" t="s">
        <v>4188</v>
      </c>
      <c r="H8990" s="397"/>
      <c r="I8990" s="397"/>
      <c r="J8990" s="750" t="e">
        <f t="shared" si="123"/>
        <v>#DIV/0!</v>
      </c>
      <c r="K8990" s="398"/>
      <c r="L8990" s="398"/>
      <c r="M8990" s="682"/>
      <c r="N8990" s="171"/>
      <c r="O8990" s="171"/>
    </row>
    <row r="8991" spans="5:15" ht="13.5" hidden="1" thickBot="1" x14ac:dyDescent="0.25">
      <c r="F8991" s="494">
        <v>454</v>
      </c>
      <c r="G8991" s="495" t="s">
        <v>3803</v>
      </c>
      <c r="H8991" s="397"/>
      <c r="I8991" s="397"/>
      <c r="J8991" s="750" t="e">
        <f t="shared" si="123"/>
        <v>#DIV/0!</v>
      </c>
      <c r="K8991" s="398"/>
      <c r="L8991" s="398"/>
      <c r="M8991" s="682"/>
      <c r="N8991" s="171"/>
      <c r="O8991" s="171"/>
    </row>
    <row r="8992" spans="5:15" ht="13.5" hidden="1" thickBot="1" x14ac:dyDescent="0.25">
      <c r="F8992" s="494">
        <v>461</v>
      </c>
      <c r="G8992" s="495" t="s">
        <v>4169</v>
      </c>
      <c r="H8992" s="397"/>
      <c r="I8992" s="397"/>
      <c r="J8992" s="750" t="e">
        <f t="shared" si="123"/>
        <v>#DIV/0!</v>
      </c>
      <c r="K8992" s="398"/>
      <c r="L8992" s="398"/>
      <c r="M8992" s="682"/>
      <c r="N8992" s="171"/>
      <c r="O8992" s="171"/>
    </row>
    <row r="8993" spans="6:15" ht="26.25" hidden="1" thickBot="1" x14ac:dyDescent="0.25">
      <c r="F8993" s="494">
        <v>462</v>
      </c>
      <c r="G8993" s="495" t="s">
        <v>3806</v>
      </c>
      <c r="H8993" s="397"/>
      <c r="I8993" s="397"/>
      <c r="J8993" s="750" t="e">
        <f t="shared" si="123"/>
        <v>#DIV/0!</v>
      </c>
      <c r="K8993" s="398"/>
      <c r="L8993" s="398"/>
      <c r="M8993" s="682"/>
      <c r="N8993" s="171"/>
      <c r="O8993" s="171"/>
    </row>
    <row r="8994" spans="6:15" ht="13.5" hidden="1" thickBot="1" x14ac:dyDescent="0.25">
      <c r="F8994" s="494">
        <v>4631</v>
      </c>
      <c r="G8994" s="495" t="s">
        <v>3807</v>
      </c>
      <c r="H8994" s="397"/>
      <c r="I8994" s="397"/>
      <c r="J8994" s="750" t="e">
        <f t="shared" si="123"/>
        <v>#DIV/0!</v>
      </c>
      <c r="K8994" s="398"/>
      <c r="L8994" s="398"/>
      <c r="M8994" s="682"/>
      <c r="N8994" s="171"/>
      <c r="O8994" s="171"/>
    </row>
    <row r="8995" spans="6:15" ht="13.5" hidden="1" thickBot="1" x14ac:dyDescent="0.25">
      <c r="F8995" s="494">
        <v>4632</v>
      </c>
      <c r="G8995" s="495" t="s">
        <v>3808</v>
      </c>
      <c r="H8995" s="397"/>
      <c r="I8995" s="397"/>
      <c r="J8995" s="750" t="e">
        <f t="shared" si="123"/>
        <v>#DIV/0!</v>
      </c>
      <c r="K8995" s="398"/>
      <c r="L8995" s="398"/>
      <c r="M8995" s="682"/>
      <c r="N8995" s="171"/>
      <c r="O8995" s="171"/>
    </row>
    <row r="8996" spans="6:15" ht="26.25" hidden="1" thickBot="1" x14ac:dyDescent="0.25">
      <c r="F8996" s="494">
        <v>464</v>
      </c>
      <c r="G8996" s="495" t="s">
        <v>3809</v>
      </c>
      <c r="H8996" s="397"/>
      <c r="I8996" s="397"/>
      <c r="J8996" s="750" t="e">
        <f t="shared" si="123"/>
        <v>#DIV/0!</v>
      </c>
      <c r="K8996" s="398"/>
      <c r="L8996" s="398"/>
      <c r="M8996" s="682"/>
      <c r="N8996" s="171"/>
      <c r="O8996" s="171"/>
    </row>
    <row r="8997" spans="6:15" ht="13.5" hidden="1" thickBot="1" x14ac:dyDescent="0.25">
      <c r="F8997" s="494">
        <v>465</v>
      </c>
      <c r="G8997" s="495" t="s">
        <v>4170</v>
      </c>
      <c r="H8997" s="397"/>
      <c r="I8997" s="397"/>
      <c r="J8997" s="750" t="e">
        <f t="shared" si="123"/>
        <v>#DIV/0!</v>
      </c>
      <c r="K8997" s="398"/>
      <c r="L8997" s="398"/>
      <c r="M8997" s="682"/>
      <c r="N8997" s="171"/>
      <c r="O8997" s="171"/>
    </row>
    <row r="8998" spans="6:15" ht="13.5" hidden="1" thickBot="1" x14ac:dyDescent="0.25">
      <c r="F8998" s="494">
        <v>472</v>
      </c>
      <c r="G8998" s="495" t="s">
        <v>3813</v>
      </c>
      <c r="H8998" s="397"/>
      <c r="I8998" s="397"/>
      <c r="J8998" s="750" t="e">
        <f t="shared" si="123"/>
        <v>#DIV/0!</v>
      </c>
      <c r="K8998" s="398"/>
      <c r="L8998" s="398"/>
      <c r="M8998" s="682"/>
      <c r="N8998" s="171"/>
      <c r="O8998" s="171"/>
    </row>
    <row r="8999" spans="6:15" ht="13.5" hidden="1" thickBot="1" x14ac:dyDescent="0.25">
      <c r="F8999" s="494">
        <v>481</v>
      </c>
      <c r="G8999" s="495" t="s">
        <v>4189</v>
      </c>
      <c r="H8999" s="397"/>
      <c r="I8999" s="397"/>
      <c r="J8999" s="750" t="e">
        <f t="shared" si="123"/>
        <v>#DIV/0!</v>
      </c>
      <c r="K8999" s="398"/>
      <c r="L8999" s="398"/>
      <c r="M8999" s="682"/>
      <c r="N8999" s="171"/>
      <c r="O8999" s="171"/>
    </row>
    <row r="9000" spans="6:15" ht="13.5" hidden="1" thickBot="1" x14ac:dyDescent="0.25">
      <c r="F9000" s="494">
        <v>482</v>
      </c>
      <c r="G9000" s="495" t="s">
        <v>4190</v>
      </c>
      <c r="H9000" s="397"/>
      <c r="I9000" s="397"/>
      <c r="J9000" s="750" t="e">
        <f t="shared" si="123"/>
        <v>#DIV/0!</v>
      </c>
      <c r="K9000" s="398"/>
      <c r="L9000" s="398"/>
      <c r="M9000" s="682"/>
      <c r="N9000" s="171"/>
      <c r="O9000" s="171"/>
    </row>
    <row r="9001" spans="6:15" ht="13.5" hidden="1" thickBot="1" x14ac:dyDescent="0.25">
      <c r="F9001" s="494">
        <v>483</v>
      </c>
      <c r="G9001" s="497" t="s">
        <v>4191</v>
      </c>
      <c r="H9001" s="397"/>
      <c r="I9001" s="397"/>
      <c r="J9001" s="750" t="e">
        <f t="shared" si="123"/>
        <v>#DIV/0!</v>
      </c>
      <c r="K9001" s="398"/>
      <c r="L9001" s="398"/>
      <c r="M9001" s="682"/>
      <c r="N9001" s="171"/>
      <c r="O9001" s="171"/>
    </row>
    <row r="9002" spans="6:15" ht="39" hidden="1" thickBot="1" x14ac:dyDescent="0.25">
      <c r="F9002" s="494">
        <v>484</v>
      </c>
      <c r="G9002" s="495" t="s">
        <v>4192</v>
      </c>
      <c r="H9002" s="397"/>
      <c r="I9002" s="397"/>
      <c r="J9002" s="750" t="e">
        <f t="shared" si="123"/>
        <v>#DIV/0!</v>
      </c>
      <c r="K9002" s="398"/>
      <c r="L9002" s="398"/>
      <c r="M9002" s="682"/>
      <c r="N9002" s="171"/>
      <c r="O9002" s="171"/>
    </row>
    <row r="9003" spans="6:15" ht="26.25" hidden="1" thickBot="1" x14ac:dyDescent="0.25">
      <c r="F9003" s="494">
        <v>485</v>
      </c>
      <c r="G9003" s="495" t="s">
        <v>4193</v>
      </c>
      <c r="H9003" s="397"/>
      <c r="I9003" s="397"/>
      <c r="J9003" s="750" t="e">
        <f t="shared" si="123"/>
        <v>#DIV/0!</v>
      </c>
      <c r="K9003" s="398"/>
      <c r="L9003" s="398"/>
      <c r="M9003" s="682"/>
      <c r="N9003" s="171"/>
      <c r="O9003" s="171"/>
    </row>
    <row r="9004" spans="6:15" ht="26.25" hidden="1" thickBot="1" x14ac:dyDescent="0.25">
      <c r="F9004" s="494">
        <v>489</v>
      </c>
      <c r="G9004" s="495" t="s">
        <v>3821</v>
      </c>
      <c r="H9004" s="397"/>
      <c r="I9004" s="397"/>
      <c r="J9004" s="750" t="e">
        <f t="shared" si="123"/>
        <v>#DIV/0!</v>
      </c>
      <c r="K9004" s="398"/>
      <c r="L9004" s="398"/>
      <c r="M9004" s="682"/>
      <c r="N9004" s="171"/>
      <c r="O9004" s="171"/>
    </row>
    <row r="9005" spans="6:15" ht="26.25" hidden="1" thickBot="1" x14ac:dyDescent="0.25">
      <c r="F9005" s="494">
        <v>494</v>
      </c>
      <c r="G9005" s="495" t="s">
        <v>4171</v>
      </c>
      <c r="H9005" s="397"/>
      <c r="I9005" s="397"/>
      <c r="J9005" s="750" t="e">
        <f t="shared" si="123"/>
        <v>#DIV/0!</v>
      </c>
      <c r="K9005" s="398"/>
      <c r="L9005" s="398"/>
      <c r="M9005" s="682"/>
      <c r="N9005" s="171"/>
      <c r="O9005" s="171"/>
    </row>
    <row r="9006" spans="6:15" ht="26.25" hidden="1" thickBot="1" x14ac:dyDescent="0.25">
      <c r="F9006" s="494">
        <v>495</v>
      </c>
      <c r="G9006" s="495" t="s">
        <v>4172</v>
      </c>
      <c r="H9006" s="397"/>
      <c r="I9006" s="397"/>
      <c r="J9006" s="750" t="e">
        <f t="shared" si="123"/>
        <v>#DIV/0!</v>
      </c>
      <c r="K9006" s="398"/>
      <c r="L9006" s="398"/>
      <c r="M9006" s="682"/>
      <c r="N9006" s="171"/>
      <c r="O9006" s="171"/>
    </row>
    <row r="9007" spans="6:15" ht="39" hidden="1" thickBot="1" x14ac:dyDescent="0.25">
      <c r="F9007" s="494">
        <v>496</v>
      </c>
      <c r="G9007" s="495" t="s">
        <v>4173</v>
      </c>
      <c r="H9007" s="397"/>
      <c r="I9007" s="397"/>
      <c r="J9007" s="750" t="e">
        <f t="shared" si="123"/>
        <v>#DIV/0!</v>
      </c>
      <c r="K9007" s="398"/>
      <c r="L9007" s="398"/>
      <c r="M9007" s="682"/>
      <c r="N9007" s="171"/>
      <c r="O9007" s="171"/>
    </row>
    <row r="9008" spans="6:15" ht="26.25" hidden="1" thickBot="1" x14ac:dyDescent="0.25">
      <c r="F9008" s="494">
        <v>499</v>
      </c>
      <c r="G9008" s="495" t="s">
        <v>4174</v>
      </c>
      <c r="H9008" s="397"/>
      <c r="I9008" s="397"/>
      <c r="J9008" s="750" t="e">
        <f t="shared" si="123"/>
        <v>#DIV/0!</v>
      </c>
      <c r="K9008" s="398"/>
      <c r="L9008" s="398"/>
      <c r="M9008" s="682"/>
      <c r="N9008" s="171"/>
      <c r="O9008" s="171"/>
    </row>
    <row r="9009" spans="5:15" ht="13.5" hidden="1" thickBot="1" x14ac:dyDescent="0.25">
      <c r="F9009" s="494">
        <v>511</v>
      </c>
      <c r="G9009" s="497" t="s">
        <v>4194</v>
      </c>
      <c r="H9009" s="397"/>
      <c r="I9009" s="397"/>
      <c r="J9009" s="750" t="e">
        <f t="shared" si="123"/>
        <v>#DIV/0!</v>
      </c>
      <c r="K9009" s="398"/>
      <c r="L9009" s="398"/>
      <c r="M9009" s="682"/>
      <c r="N9009" s="171"/>
      <c r="O9009" s="171"/>
    </row>
    <row r="9010" spans="5:15" ht="13.5" hidden="1" thickBot="1" x14ac:dyDescent="0.25">
      <c r="F9010" s="494">
        <v>512</v>
      </c>
      <c r="G9010" s="497" t="s">
        <v>4195</v>
      </c>
      <c r="H9010" s="397"/>
      <c r="I9010" s="397"/>
      <c r="J9010" s="750" t="e">
        <f t="shared" si="123"/>
        <v>#DIV/0!</v>
      </c>
      <c r="K9010" s="398"/>
      <c r="L9010" s="398"/>
      <c r="M9010" s="682"/>
      <c r="N9010" s="171"/>
      <c r="O9010" s="171"/>
    </row>
    <row r="9011" spans="5:15" ht="13.5" hidden="1" thickBot="1" x14ac:dyDescent="0.25">
      <c r="F9011" s="494">
        <v>513</v>
      </c>
      <c r="G9011" s="497" t="s">
        <v>4196</v>
      </c>
      <c r="H9011" s="397"/>
      <c r="I9011" s="397"/>
      <c r="J9011" s="750" t="e">
        <f t="shared" si="123"/>
        <v>#DIV/0!</v>
      </c>
      <c r="K9011" s="398"/>
      <c r="L9011" s="398"/>
      <c r="M9011" s="682"/>
      <c r="N9011" s="171"/>
      <c r="O9011" s="171"/>
    </row>
    <row r="9012" spans="5:15" ht="13.5" hidden="1" thickBot="1" x14ac:dyDescent="0.25">
      <c r="F9012" s="494">
        <v>514</v>
      </c>
      <c r="G9012" s="495" t="s">
        <v>4197</v>
      </c>
      <c r="H9012" s="397"/>
      <c r="I9012" s="397"/>
      <c r="J9012" s="750" t="e">
        <f t="shared" si="123"/>
        <v>#DIV/0!</v>
      </c>
      <c r="K9012" s="398"/>
      <c r="L9012" s="398"/>
      <c r="M9012" s="682"/>
      <c r="N9012" s="171"/>
      <c r="O9012" s="171"/>
    </row>
    <row r="9013" spans="5:15" ht="13.5" hidden="1" thickBot="1" x14ac:dyDescent="0.25">
      <c r="F9013" s="494">
        <v>515</v>
      </c>
      <c r="G9013" s="495" t="s">
        <v>3832</v>
      </c>
      <c r="H9013" s="397"/>
      <c r="I9013" s="397"/>
      <c r="J9013" s="750" t="e">
        <f t="shared" si="123"/>
        <v>#DIV/0!</v>
      </c>
      <c r="K9013" s="398"/>
      <c r="L9013" s="398"/>
      <c r="M9013" s="682"/>
      <c r="N9013" s="171"/>
      <c r="O9013" s="171"/>
    </row>
    <row r="9014" spans="5:15" ht="13.5" hidden="1" thickBot="1" x14ac:dyDescent="0.25">
      <c r="F9014" s="494">
        <v>521</v>
      </c>
      <c r="G9014" s="495" t="s">
        <v>4198</v>
      </c>
      <c r="H9014" s="397"/>
      <c r="I9014" s="397"/>
      <c r="J9014" s="750" t="e">
        <f t="shared" si="123"/>
        <v>#DIV/0!</v>
      </c>
      <c r="K9014" s="398"/>
      <c r="L9014" s="398"/>
      <c r="M9014" s="682"/>
      <c r="N9014" s="171"/>
      <c r="O9014" s="171"/>
    </row>
    <row r="9015" spans="5:15" ht="13.5" hidden="1" thickBot="1" x14ac:dyDescent="0.25">
      <c r="F9015" s="494">
        <v>522</v>
      </c>
      <c r="G9015" s="495" t="s">
        <v>4199</v>
      </c>
      <c r="H9015" s="397"/>
      <c r="I9015" s="397"/>
      <c r="J9015" s="750" t="e">
        <f t="shared" si="123"/>
        <v>#DIV/0!</v>
      </c>
      <c r="K9015" s="398"/>
      <c r="L9015" s="398"/>
      <c r="M9015" s="682"/>
      <c r="N9015" s="171"/>
      <c r="O9015" s="171"/>
    </row>
    <row r="9016" spans="5:15" ht="13.5" hidden="1" thickBot="1" x14ac:dyDescent="0.25">
      <c r="F9016" s="494">
        <v>523</v>
      </c>
      <c r="G9016" s="495" t="s">
        <v>3837</v>
      </c>
      <c r="H9016" s="397"/>
      <c r="I9016" s="397"/>
      <c r="J9016" s="750" t="e">
        <f t="shared" si="123"/>
        <v>#DIV/0!</v>
      </c>
      <c r="K9016" s="398"/>
      <c r="L9016" s="398"/>
      <c r="M9016" s="682"/>
      <c r="N9016" s="171"/>
      <c r="O9016" s="171"/>
    </row>
    <row r="9017" spans="5:15" ht="13.5" hidden="1" thickBot="1" x14ac:dyDescent="0.25">
      <c r="F9017" s="494">
        <v>531</v>
      </c>
      <c r="G9017" s="496" t="s">
        <v>4175</v>
      </c>
      <c r="H9017" s="397"/>
      <c r="I9017" s="397"/>
      <c r="J9017" s="750" t="e">
        <f t="shared" si="123"/>
        <v>#DIV/0!</v>
      </c>
      <c r="K9017" s="398"/>
      <c r="L9017" s="398"/>
      <c r="M9017" s="682"/>
      <c r="N9017" s="171"/>
      <c r="O9017" s="171"/>
    </row>
    <row r="9018" spans="5:15" ht="13.5" hidden="1" thickBot="1" x14ac:dyDescent="0.25">
      <c r="F9018" s="494">
        <v>541</v>
      </c>
      <c r="G9018" s="495" t="s">
        <v>4200</v>
      </c>
      <c r="H9018" s="397"/>
      <c r="I9018" s="397"/>
      <c r="J9018" s="750" t="e">
        <f t="shared" si="123"/>
        <v>#DIV/0!</v>
      </c>
      <c r="K9018" s="398"/>
      <c r="L9018" s="398"/>
      <c r="M9018" s="682"/>
      <c r="N9018" s="171"/>
      <c r="O9018" s="171"/>
    </row>
    <row r="9019" spans="5:15" ht="13.5" hidden="1" thickBot="1" x14ac:dyDescent="0.25">
      <c r="F9019" s="494">
        <v>542</v>
      </c>
      <c r="G9019" s="495" t="s">
        <v>4201</v>
      </c>
      <c r="H9019" s="397"/>
      <c r="I9019" s="397"/>
      <c r="J9019" s="750" t="e">
        <f t="shared" si="123"/>
        <v>#DIV/0!</v>
      </c>
      <c r="K9019" s="398"/>
      <c r="L9019" s="398"/>
      <c r="M9019" s="682"/>
      <c r="N9019" s="171"/>
      <c r="O9019" s="171"/>
    </row>
    <row r="9020" spans="5:15" ht="13.5" hidden="1" thickBot="1" x14ac:dyDescent="0.25">
      <c r="F9020" s="494">
        <v>543</v>
      </c>
      <c r="G9020" s="495" t="s">
        <v>3842</v>
      </c>
      <c r="H9020" s="397"/>
      <c r="I9020" s="397"/>
      <c r="J9020" s="750" t="e">
        <f t="shared" si="123"/>
        <v>#DIV/0!</v>
      </c>
      <c r="K9020" s="398"/>
      <c r="L9020" s="398"/>
      <c r="M9020" s="682"/>
      <c r="N9020" s="171"/>
      <c r="O9020" s="171"/>
    </row>
    <row r="9021" spans="5:15" ht="39" hidden="1" thickBot="1" x14ac:dyDescent="0.25">
      <c r="F9021" s="494">
        <v>551</v>
      </c>
      <c r="G9021" s="495" t="s">
        <v>4176</v>
      </c>
      <c r="H9021" s="397"/>
      <c r="I9021" s="397"/>
      <c r="J9021" s="750" t="e">
        <f t="shared" si="123"/>
        <v>#DIV/0!</v>
      </c>
      <c r="K9021" s="398"/>
      <c r="L9021" s="398"/>
      <c r="M9021" s="682"/>
      <c r="N9021" s="171"/>
      <c r="O9021" s="171"/>
    </row>
    <row r="9022" spans="5:15" ht="13.5" hidden="1" thickBot="1" x14ac:dyDescent="0.25">
      <c r="F9022" s="498">
        <v>611</v>
      </c>
      <c r="G9022" s="499" t="s">
        <v>3848</v>
      </c>
      <c r="H9022" s="397"/>
      <c r="I9022" s="397"/>
      <c r="J9022" s="750" t="e">
        <f t="shared" si="123"/>
        <v>#DIV/0!</v>
      </c>
      <c r="K9022" s="398"/>
      <c r="L9022" s="398"/>
      <c r="M9022" s="682"/>
      <c r="N9022" s="171"/>
      <c r="O9022" s="171"/>
    </row>
    <row r="9023" spans="5:15" ht="13.5" hidden="1" thickBot="1" x14ac:dyDescent="0.25">
      <c r="F9023" s="498">
        <v>620</v>
      </c>
      <c r="G9023" s="499" t="s">
        <v>88</v>
      </c>
      <c r="H9023" s="397"/>
      <c r="I9023" s="397"/>
      <c r="J9023" s="750" t="e">
        <f t="shared" si="123"/>
        <v>#DIV/0!</v>
      </c>
      <c r="K9023" s="398"/>
      <c r="L9023" s="398"/>
      <c r="M9023" s="682"/>
      <c r="N9023" s="171"/>
      <c r="O9023" s="171"/>
    </row>
    <row r="9024" spans="5:15" x14ac:dyDescent="0.2">
      <c r="E9024" s="500"/>
      <c r="F9024" s="498"/>
      <c r="G9024" s="501" t="s">
        <v>4392</v>
      </c>
      <c r="H9024" s="400"/>
      <c r="I9024" s="400"/>
      <c r="J9024" s="750"/>
      <c r="K9024" s="401"/>
      <c r="L9024" s="402"/>
      <c r="M9024" s="682"/>
      <c r="N9024" s="171"/>
      <c r="O9024" s="171"/>
    </row>
    <row r="9025" spans="5:15" x14ac:dyDescent="0.2">
      <c r="E9025" s="502"/>
      <c r="F9025" s="503" t="s">
        <v>234</v>
      </c>
      <c r="G9025" s="504" t="s">
        <v>235</v>
      </c>
      <c r="H9025" s="403">
        <f>SUM(H8964:H9023)</f>
        <v>1500000</v>
      </c>
      <c r="I9025" s="403">
        <f>SUM(I8974:I8977)</f>
        <v>1035088.6100000001</v>
      </c>
      <c r="J9025" s="750">
        <f t="shared" si="123"/>
        <v>69.00590733333334</v>
      </c>
      <c r="K9025" s="404"/>
      <c r="L9025" s="404"/>
      <c r="M9025" s="682"/>
      <c r="N9025" s="171"/>
      <c r="O9025" s="171"/>
    </row>
    <row r="9026" spans="5:15" hidden="1" x14ac:dyDescent="0.2">
      <c r="F9026" s="503" t="s">
        <v>236</v>
      </c>
      <c r="G9026" s="504" t="s">
        <v>237</v>
      </c>
      <c r="H9026" s="397"/>
      <c r="I9026" s="397"/>
      <c r="J9026" s="750" t="e">
        <f t="shared" si="123"/>
        <v>#DIV/0!</v>
      </c>
      <c r="K9026" s="398"/>
      <c r="L9026" s="404"/>
      <c r="M9026" s="682"/>
    </row>
    <row r="9027" spans="5:15" hidden="1" x14ac:dyDescent="0.2">
      <c r="F9027" s="503" t="s">
        <v>238</v>
      </c>
      <c r="G9027" s="504" t="s">
        <v>239</v>
      </c>
      <c r="H9027" s="397"/>
      <c r="I9027" s="397"/>
      <c r="J9027" s="750" t="e">
        <f t="shared" si="123"/>
        <v>#DIV/0!</v>
      </c>
      <c r="K9027" s="398"/>
      <c r="L9027" s="404"/>
      <c r="M9027" s="682"/>
    </row>
    <row r="9028" spans="5:15" x14ac:dyDescent="0.2">
      <c r="F9028" s="503" t="s">
        <v>240</v>
      </c>
      <c r="G9028" s="504" t="s">
        <v>241</v>
      </c>
      <c r="H9028" s="397"/>
      <c r="I9028" s="397"/>
      <c r="J9028" s="750"/>
      <c r="K9028" s="398">
        <v>500000</v>
      </c>
      <c r="L9028" s="404">
        <v>773338</v>
      </c>
      <c r="M9028" s="682"/>
    </row>
    <row r="9029" spans="5:15" hidden="1" x14ac:dyDescent="0.2">
      <c r="F9029" s="503" t="s">
        <v>242</v>
      </c>
      <c r="G9029" s="504" t="s">
        <v>243</v>
      </c>
      <c r="H9029" s="397"/>
      <c r="I9029" s="397"/>
      <c r="J9029" s="750" t="e">
        <f t="shared" si="123"/>
        <v>#DIV/0!</v>
      </c>
      <c r="K9029" s="398"/>
      <c r="L9029" s="404"/>
      <c r="M9029" s="682"/>
    </row>
    <row r="9030" spans="5:15" hidden="1" x14ac:dyDescent="0.2">
      <c r="F9030" s="503" t="s">
        <v>244</v>
      </c>
      <c r="G9030" s="504" t="s">
        <v>245</v>
      </c>
      <c r="H9030" s="397"/>
      <c r="I9030" s="397"/>
      <c r="J9030" s="750" t="e">
        <f t="shared" si="123"/>
        <v>#DIV/0!</v>
      </c>
      <c r="K9030" s="398"/>
      <c r="L9030" s="404"/>
      <c r="M9030" s="682"/>
    </row>
    <row r="9031" spans="5:15" hidden="1" x14ac:dyDescent="0.2">
      <c r="F9031" s="503" t="s">
        <v>246</v>
      </c>
      <c r="G9031" s="504" t="s">
        <v>247</v>
      </c>
      <c r="H9031" s="397"/>
      <c r="I9031" s="397"/>
      <c r="J9031" s="750" t="e">
        <f t="shared" si="123"/>
        <v>#DIV/0!</v>
      </c>
      <c r="K9031" s="398"/>
      <c r="L9031" s="404"/>
      <c r="M9031" s="682"/>
    </row>
    <row r="9032" spans="5:15" ht="25.5" hidden="1" x14ac:dyDescent="0.2">
      <c r="F9032" s="503" t="s">
        <v>248</v>
      </c>
      <c r="G9032" s="504" t="s">
        <v>249</v>
      </c>
      <c r="H9032" s="397"/>
      <c r="I9032" s="397"/>
      <c r="J9032" s="750" t="e">
        <f t="shared" si="123"/>
        <v>#DIV/0!</v>
      </c>
      <c r="K9032" s="398"/>
      <c r="L9032" s="404"/>
      <c r="M9032" s="682"/>
    </row>
    <row r="9033" spans="5:15" hidden="1" x14ac:dyDescent="0.2">
      <c r="F9033" s="503" t="s">
        <v>250</v>
      </c>
      <c r="G9033" s="504" t="s">
        <v>57</v>
      </c>
      <c r="H9033" s="397"/>
      <c r="I9033" s="397"/>
      <c r="J9033" s="750" t="e">
        <f t="shared" si="123"/>
        <v>#DIV/0!</v>
      </c>
      <c r="K9033" s="398"/>
      <c r="L9033" s="404"/>
      <c r="M9033" s="682"/>
    </row>
    <row r="9034" spans="5:15" hidden="1" x14ac:dyDescent="0.2">
      <c r="F9034" s="503" t="s">
        <v>251</v>
      </c>
      <c r="G9034" s="504" t="s">
        <v>252</v>
      </c>
      <c r="H9034" s="397"/>
      <c r="I9034" s="397"/>
      <c r="J9034" s="750" t="e">
        <f t="shared" si="123"/>
        <v>#DIV/0!</v>
      </c>
      <c r="K9034" s="398"/>
      <c r="L9034" s="404"/>
      <c r="M9034" s="682"/>
    </row>
    <row r="9035" spans="5:15" hidden="1" x14ac:dyDescent="0.2">
      <c r="F9035" s="503" t="s">
        <v>253</v>
      </c>
      <c r="G9035" s="504" t="s">
        <v>254</v>
      </c>
      <c r="H9035" s="397"/>
      <c r="I9035" s="397"/>
      <c r="J9035" s="750" t="e">
        <f t="shared" si="123"/>
        <v>#DIV/0!</v>
      </c>
      <c r="K9035" s="398"/>
      <c r="L9035" s="404"/>
      <c r="M9035" s="682"/>
    </row>
    <row r="9036" spans="5:15" ht="25.5" hidden="1" x14ac:dyDescent="0.2">
      <c r="F9036" s="503" t="s">
        <v>255</v>
      </c>
      <c r="G9036" s="504" t="s">
        <v>256</v>
      </c>
      <c r="H9036" s="397"/>
      <c r="I9036" s="397"/>
      <c r="J9036" s="750" t="e">
        <f t="shared" si="123"/>
        <v>#DIV/0!</v>
      </c>
      <c r="K9036" s="398"/>
      <c r="L9036" s="404"/>
      <c r="M9036" s="682"/>
    </row>
    <row r="9037" spans="5:15" ht="25.5" hidden="1" x14ac:dyDescent="0.2">
      <c r="F9037" s="503" t="s">
        <v>257</v>
      </c>
      <c r="G9037" s="504" t="s">
        <v>258</v>
      </c>
      <c r="H9037" s="397"/>
      <c r="I9037" s="397"/>
      <c r="J9037" s="750" t="e">
        <f t="shared" si="123"/>
        <v>#DIV/0!</v>
      </c>
      <c r="K9037" s="398"/>
      <c r="L9037" s="404"/>
      <c r="M9037" s="682"/>
    </row>
    <row r="9038" spans="5:15" ht="25.5" hidden="1" x14ac:dyDescent="0.2">
      <c r="F9038" s="503" t="s">
        <v>259</v>
      </c>
      <c r="G9038" s="504" t="s">
        <v>260</v>
      </c>
      <c r="H9038" s="397"/>
      <c r="I9038" s="397"/>
      <c r="J9038" s="750" t="e">
        <f t="shared" ref="J9038:J9101" si="124">SUM(I9038/H9038)*100</f>
        <v>#DIV/0!</v>
      </c>
      <c r="K9038" s="398"/>
      <c r="L9038" s="404"/>
      <c r="M9038" s="682"/>
    </row>
    <row r="9039" spans="5:15" ht="25.5" hidden="1" x14ac:dyDescent="0.2">
      <c r="F9039" s="503" t="s">
        <v>261</v>
      </c>
      <c r="G9039" s="504" t="s">
        <v>262</v>
      </c>
      <c r="H9039" s="397"/>
      <c r="I9039" s="397"/>
      <c r="J9039" s="750" t="e">
        <f t="shared" si="124"/>
        <v>#DIV/0!</v>
      </c>
      <c r="K9039" s="398"/>
      <c r="L9039" s="404"/>
      <c r="M9039" s="682"/>
    </row>
    <row r="9040" spans="5:15" ht="14.25" customHeight="1" thickBot="1" x14ac:dyDescent="0.25">
      <c r="F9040" s="549" t="s">
        <v>246</v>
      </c>
      <c r="G9040" s="504" t="s">
        <v>5395</v>
      </c>
      <c r="H9040" s="403"/>
      <c r="I9040" s="403"/>
      <c r="J9040" s="750"/>
      <c r="K9040" s="404"/>
      <c r="L9040" s="404">
        <v>8970</v>
      </c>
      <c r="M9040" s="682"/>
    </row>
    <row r="9041" spans="5:13" ht="13.5" customHeight="1" thickBot="1" x14ac:dyDescent="0.25">
      <c r="G9041" s="505" t="s">
        <v>4393</v>
      </c>
      <c r="H9041" s="405">
        <f>SUM(H9025:H9040)</f>
        <v>1500000</v>
      </c>
      <c r="I9041" s="405">
        <f>SUM(I9025)</f>
        <v>1035088.6100000001</v>
      </c>
      <c r="J9041" s="750">
        <f t="shared" si="124"/>
        <v>69.00590733333334</v>
      </c>
      <c r="K9041" s="406">
        <v>500000</v>
      </c>
      <c r="L9041" s="406">
        <f>SUM(L9028:L9040)</f>
        <v>782308</v>
      </c>
      <c r="M9041" s="682"/>
    </row>
    <row r="9042" spans="5:13" ht="15.75" customHeight="1" collapsed="1" x14ac:dyDescent="0.2">
      <c r="E9042" s="500"/>
      <c r="F9042" s="498"/>
      <c r="G9042" s="506" t="s">
        <v>4296</v>
      </c>
      <c r="H9042" s="407"/>
      <c r="I9042" s="408"/>
      <c r="J9042" s="750"/>
      <c r="K9042" s="409"/>
      <c r="L9042" s="410"/>
      <c r="M9042" s="682"/>
    </row>
    <row r="9043" spans="5:13" x14ac:dyDescent="0.2">
      <c r="E9043" s="502"/>
      <c r="F9043" s="503" t="s">
        <v>234</v>
      </c>
      <c r="G9043" s="504" t="s">
        <v>235</v>
      </c>
      <c r="H9043" s="403">
        <f>SUM(H8964:H9023)</f>
        <v>1500000</v>
      </c>
      <c r="I9043" s="403">
        <f>SUM(I9041)</f>
        <v>1035088.6100000001</v>
      </c>
      <c r="J9043" s="750">
        <f t="shared" si="124"/>
        <v>69.00590733333334</v>
      </c>
      <c r="K9043" s="404"/>
      <c r="L9043" s="404"/>
      <c r="M9043" s="682"/>
    </row>
    <row r="9044" spans="5:13" hidden="1" x14ac:dyDescent="0.2">
      <c r="F9044" s="503" t="s">
        <v>236</v>
      </c>
      <c r="G9044" s="504" t="s">
        <v>237</v>
      </c>
      <c r="H9044" s="397"/>
      <c r="I9044" s="397"/>
      <c r="J9044" s="750" t="e">
        <f t="shared" si="124"/>
        <v>#DIV/0!</v>
      </c>
      <c r="K9044" s="398"/>
      <c r="L9044" s="404"/>
      <c r="M9044" s="682"/>
    </row>
    <row r="9045" spans="5:13" hidden="1" x14ac:dyDescent="0.2">
      <c r="F9045" s="503" t="s">
        <v>238</v>
      </c>
      <c r="G9045" s="504" t="s">
        <v>239</v>
      </c>
      <c r="H9045" s="397"/>
      <c r="I9045" s="397"/>
      <c r="J9045" s="750" t="e">
        <f t="shared" si="124"/>
        <v>#DIV/0!</v>
      </c>
      <c r="K9045" s="398"/>
      <c r="L9045" s="404"/>
      <c r="M9045" s="682"/>
    </row>
    <row r="9046" spans="5:13" x14ac:dyDescent="0.2">
      <c r="F9046" s="503" t="s">
        <v>240</v>
      </c>
      <c r="G9046" s="504" t="s">
        <v>241</v>
      </c>
      <c r="H9046" s="397"/>
      <c r="I9046" s="397"/>
      <c r="J9046" s="750"/>
      <c r="K9046" s="398">
        <v>500000</v>
      </c>
      <c r="L9046" s="404">
        <f>SUM(L9028)</f>
        <v>773338</v>
      </c>
      <c r="M9046" s="682"/>
    </row>
    <row r="9047" spans="5:13" hidden="1" x14ac:dyDescent="0.2">
      <c r="F9047" s="503" t="s">
        <v>242</v>
      </c>
      <c r="G9047" s="504" t="s">
        <v>243</v>
      </c>
      <c r="H9047" s="397"/>
      <c r="I9047" s="397"/>
      <c r="J9047" s="750" t="e">
        <f t="shared" si="124"/>
        <v>#DIV/0!</v>
      </c>
      <c r="K9047" s="398"/>
      <c r="L9047" s="404"/>
      <c r="M9047" s="682"/>
    </row>
    <row r="9048" spans="5:13" hidden="1" x14ac:dyDescent="0.2">
      <c r="F9048" s="503" t="s">
        <v>244</v>
      </c>
      <c r="G9048" s="504" t="s">
        <v>245</v>
      </c>
      <c r="H9048" s="397"/>
      <c r="I9048" s="397"/>
      <c r="J9048" s="750" t="e">
        <f t="shared" si="124"/>
        <v>#DIV/0!</v>
      </c>
      <c r="K9048" s="398"/>
      <c r="L9048" s="404"/>
      <c r="M9048" s="682"/>
    </row>
    <row r="9049" spans="5:13" hidden="1" x14ac:dyDescent="0.2">
      <c r="F9049" s="503" t="s">
        <v>246</v>
      </c>
      <c r="G9049" s="504" t="s">
        <v>247</v>
      </c>
      <c r="H9049" s="397"/>
      <c r="I9049" s="397"/>
      <c r="J9049" s="750" t="e">
        <f t="shared" si="124"/>
        <v>#DIV/0!</v>
      </c>
      <c r="K9049" s="398"/>
      <c r="L9049" s="404"/>
      <c r="M9049" s="682"/>
    </row>
    <row r="9050" spans="5:13" ht="25.5" hidden="1" x14ac:dyDescent="0.2">
      <c r="F9050" s="503" t="s">
        <v>248</v>
      </c>
      <c r="G9050" s="504" t="s">
        <v>249</v>
      </c>
      <c r="H9050" s="397"/>
      <c r="I9050" s="397"/>
      <c r="J9050" s="750" t="e">
        <f t="shared" si="124"/>
        <v>#DIV/0!</v>
      </c>
      <c r="K9050" s="398"/>
      <c r="L9050" s="404"/>
      <c r="M9050" s="682"/>
    </row>
    <row r="9051" spans="5:13" hidden="1" x14ac:dyDescent="0.2">
      <c r="F9051" s="503" t="s">
        <v>250</v>
      </c>
      <c r="G9051" s="504" t="s">
        <v>57</v>
      </c>
      <c r="H9051" s="397"/>
      <c r="I9051" s="397"/>
      <c r="J9051" s="750" t="e">
        <f t="shared" si="124"/>
        <v>#DIV/0!</v>
      </c>
      <c r="K9051" s="398"/>
      <c r="L9051" s="404"/>
      <c r="M9051" s="682"/>
    </row>
    <row r="9052" spans="5:13" hidden="1" x14ac:dyDescent="0.2">
      <c r="F9052" s="503" t="s">
        <v>251</v>
      </c>
      <c r="G9052" s="504" t="s">
        <v>252</v>
      </c>
      <c r="H9052" s="397"/>
      <c r="I9052" s="397"/>
      <c r="J9052" s="750" t="e">
        <f t="shared" si="124"/>
        <v>#DIV/0!</v>
      </c>
      <c r="K9052" s="398"/>
      <c r="L9052" s="404"/>
      <c r="M9052" s="682"/>
    </row>
    <row r="9053" spans="5:13" hidden="1" x14ac:dyDescent="0.2">
      <c r="F9053" s="503" t="s">
        <v>253</v>
      </c>
      <c r="G9053" s="504" t="s">
        <v>254</v>
      </c>
      <c r="H9053" s="397"/>
      <c r="I9053" s="397"/>
      <c r="J9053" s="750" t="e">
        <f t="shared" si="124"/>
        <v>#DIV/0!</v>
      </c>
      <c r="K9053" s="398"/>
      <c r="L9053" s="404"/>
      <c r="M9053" s="682"/>
    </row>
    <row r="9054" spans="5:13" ht="25.5" hidden="1" x14ac:dyDescent="0.2">
      <c r="F9054" s="503" t="s">
        <v>255</v>
      </c>
      <c r="G9054" s="504" t="s">
        <v>256</v>
      </c>
      <c r="H9054" s="397"/>
      <c r="I9054" s="397"/>
      <c r="J9054" s="750" t="e">
        <f t="shared" si="124"/>
        <v>#DIV/0!</v>
      </c>
      <c r="K9054" s="398"/>
      <c r="L9054" s="404"/>
      <c r="M9054" s="682"/>
    </row>
    <row r="9055" spans="5:13" ht="25.5" hidden="1" x14ac:dyDescent="0.2">
      <c r="F9055" s="503" t="s">
        <v>257</v>
      </c>
      <c r="G9055" s="504" t="s">
        <v>258</v>
      </c>
      <c r="H9055" s="397"/>
      <c r="I9055" s="397"/>
      <c r="J9055" s="750" t="e">
        <f t="shared" si="124"/>
        <v>#DIV/0!</v>
      </c>
      <c r="K9055" s="398"/>
      <c r="L9055" s="404"/>
      <c r="M9055" s="682"/>
    </row>
    <row r="9056" spans="5:13" ht="25.5" hidden="1" x14ac:dyDescent="0.2">
      <c r="F9056" s="503" t="s">
        <v>259</v>
      </c>
      <c r="G9056" s="504" t="s">
        <v>260</v>
      </c>
      <c r="H9056" s="397"/>
      <c r="I9056" s="397"/>
      <c r="J9056" s="750" t="e">
        <f t="shared" si="124"/>
        <v>#DIV/0!</v>
      </c>
      <c r="K9056" s="398"/>
      <c r="L9056" s="404"/>
      <c r="M9056" s="682"/>
    </row>
    <row r="9057" spans="3:13" ht="25.5" hidden="1" x14ac:dyDescent="0.2">
      <c r="F9057" s="503" t="s">
        <v>261</v>
      </c>
      <c r="G9057" s="504" t="s">
        <v>262</v>
      </c>
      <c r="H9057" s="397"/>
      <c r="I9057" s="397"/>
      <c r="J9057" s="750" t="e">
        <f t="shared" si="124"/>
        <v>#DIV/0!</v>
      </c>
      <c r="K9057" s="398"/>
      <c r="L9057" s="404"/>
      <c r="M9057" s="682"/>
    </row>
    <row r="9058" spans="3:13" ht="18" customHeight="1" thickBot="1" x14ac:dyDescent="0.25">
      <c r="F9058" s="549" t="s">
        <v>246</v>
      </c>
      <c r="G9058" s="504" t="s">
        <v>5395</v>
      </c>
      <c r="H9058" s="403"/>
      <c r="I9058" s="403"/>
      <c r="J9058" s="750"/>
      <c r="K9058" s="404"/>
      <c r="L9058" s="404">
        <v>8970</v>
      </c>
      <c r="M9058" s="682"/>
    </row>
    <row r="9059" spans="3:13" ht="15" customHeight="1" collapsed="1" thickBot="1" x14ac:dyDescent="0.25">
      <c r="G9059" s="505" t="s">
        <v>4394</v>
      </c>
      <c r="H9059" s="405">
        <f>SUM(H9043:H9058)</f>
        <v>1500000</v>
      </c>
      <c r="I9059" s="405">
        <f>SUM(I9043)</f>
        <v>1035088.6100000001</v>
      </c>
      <c r="J9059" s="750">
        <f t="shared" si="124"/>
        <v>69.00590733333334</v>
      </c>
      <c r="K9059" s="406">
        <v>500000</v>
      </c>
      <c r="L9059" s="406">
        <f>SUM(L9046:L9058)</f>
        <v>782308</v>
      </c>
      <c r="M9059" s="682"/>
    </row>
    <row r="9060" spans="3:13" ht="4.5" hidden="1" customHeight="1" x14ac:dyDescent="0.2">
      <c r="H9060" s="397"/>
      <c r="I9060" s="397"/>
      <c r="J9060" s="750" t="e">
        <f t="shared" si="124"/>
        <v>#DIV/0!</v>
      </c>
      <c r="K9060" s="398"/>
      <c r="L9060" s="398"/>
      <c r="M9060" s="682"/>
    </row>
    <row r="9061" spans="3:13" x14ac:dyDescent="0.2">
      <c r="C9061" s="489" t="s">
        <v>4578</v>
      </c>
      <c r="D9061" s="490"/>
      <c r="G9061" s="508" t="s">
        <v>5123</v>
      </c>
      <c r="H9061" s="397"/>
      <c r="I9061" s="397"/>
      <c r="J9061" s="750"/>
      <c r="K9061" s="398"/>
      <c r="L9061" s="398"/>
      <c r="M9061" s="682"/>
    </row>
    <row r="9062" spans="3:13" x14ac:dyDescent="0.2">
      <c r="C9062" s="489"/>
      <c r="D9062" s="492">
        <v>473</v>
      </c>
      <c r="E9062" s="492"/>
      <c r="F9062" s="492"/>
      <c r="G9062" s="551" t="s">
        <v>162</v>
      </c>
      <c r="H9062" s="397"/>
      <c r="I9062" s="397"/>
      <c r="J9062" s="750"/>
      <c r="K9062" s="398"/>
      <c r="L9062" s="398"/>
      <c r="M9062" s="682"/>
    </row>
    <row r="9063" spans="3:13" hidden="1" x14ac:dyDescent="0.2">
      <c r="F9063" s="494">
        <v>411</v>
      </c>
      <c r="G9063" s="495" t="s">
        <v>4167</v>
      </c>
      <c r="H9063" s="397"/>
      <c r="I9063" s="397"/>
      <c r="J9063" s="750" t="e">
        <f t="shared" si="124"/>
        <v>#DIV/0!</v>
      </c>
      <c r="K9063" s="398"/>
      <c r="L9063" s="398"/>
      <c r="M9063" s="682"/>
    </row>
    <row r="9064" spans="3:13" hidden="1" x14ac:dyDescent="0.2">
      <c r="F9064" s="494">
        <v>412</v>
      </c>
      <c r="G9064" s="496" t="s">
        <v>3764</v>
      </c>
      <c r="H9064" s="397"/>
      <c r="I9064" s="397"/>
      <c r="J9064" s="750" t="e">
        <f t="shared" si="124"/>
        <v>#DIV/0!</v>
      </c>
      <c r="K9064" s="398"/>
      <c r="L9064" s="398"/>
      <c r="M9064" s="682"/>
    </row>
    <row r="9065" spans="3:13" hidden="1" x14ac:dyDescent="0.2">
      <c r="F9065" s="494">
        <v>413</v>
      </c>
      <c r="G9065" s="495" t="s">
        <v>4168</v>
      </c>
      <c r="H9065" s="397"/>
      <c r="I9065" s="397"/>
      <c r="J9065" s="750" t="e">
        <f t="shared" si="124"/>
        <v>#DIV/0!</v>
      </c>
      <c r="K9065" s="398"/>
      <c r="L9065" s="398"/>
      <c r="M9065" s="682"/>
    </row>
    <row r="9066" spans="3:13" hidden="1" x14ac:dyDescent="0.2">
      <c r="F9066" s="494">
        <v>414</v>
      </c>
      <c r="G9066" s="495" t="s">
        <v>3767</v>
      </c>
      <c r="H9066" s="397"/>
      <c r="I9066" s="397"/>
      <c r="J9066" s="750" t="e">
        <f t="shared" si="124"/>
        <v>#DIV/0!</v>
      </c>
      <c r="K9066" s="398"/>
      <c r="L9066" s="398"/>
      <c r="M9066" s="682"/>
    </row>
    <row r="9067" spans="3:13" hidden="1" x14ac:dyDescent="0.2">
      <c r="F9067" s="494">
        <v>415</v>
      </c>
      <c r="G9067" s="495" t="s">
        <v>4177</v>
      </c>
      <c r="H9067" s="397"/>
      <c r="I9067" s="397"/>
      <c r="J9067" s="750" t="e">
        <f t="shared" si="124"/>
        <v>#DIV/0!</v>
      </c>
      <c r="K9067" s="398"/>
      <c r="L9067" s="398"/>
      <c r="M9067" s="682"/>
    </row>
    <row r="9068" spans="3:13" ht="25.5" hidden="1" x14ac:dyDescent="0.2">
      <c r="F9068" s="494">
        <v>416</v>
      </c>
      <c r="G9068" s="495" t="s">
        <v>4178</v>
      </c>
      <c r="H9068" s="397"/>
      <c r="I9068" s="397"/>
      <c r="J9068" s="750" t="e">
        <f t="shared" si="124"/>
        <v>#DIV/0!</v>
      </c>
      <c r="K9068" s="398"/>
      <c r="L9068" s="398"/>
      <c r="M9068" s="682"/>
    </row>
    <row r="9069" spans="3:13" hidden="1" x14ac:dyDescent="0.2">
      <c r="F9069" s="494">
        <v>417</v>
      </c>
      <c r="G9069" s="495" t="s">
        <v>4179</v>
      </c>
      <c r="H9069" s="397"/>
      <c r="I9069" s="397"/>
      <c r="J9069" s="750" t="e">
        <f t="shared" si="124"/>
        <v>#DIV/0!</v>
      </c>
      <c r="K9069" s="398"/>
      <c r="L9069" s="398"/>
      <c r="M9069" s="682"/>
    </row>
    <row r="9070" spans="3:13" hidden="1" x14ac:dyDescent="0.2">
      <c r="F9070" s="494">
        <v>418</v>
      </c>
      <c r="G9070" s="495" t="s">
        <v>3773</v>
      </c>
      <c r="H9070" s="397"/>
      <c r="I9070" s="397"/>
      <c r="J9070" s="750" t="e">
        <f t="shared" si="124"/>
        <v>#DIV/0!</v>
      </c>
      <c r="K9070" s="398"/>
      <c r="L9070" s="398"/>
      <c r="M9070" s="682"/>
    </row>
    <row r="9071" spans="3:13" x14ac:dyDescent="0.2">
      <c r="E9071" s="464">
        <v>91</v>
      </c>
      <c r="F9071" s="494">
        <v>421</v>
      </c>
      <c r="G9071" s="495" t="s">
        <v>3777</v>
      </c>
      <c r="H9071" s="397">
        <v>20000</v>
      </c>
      <c r="I9071" s="397">
        <v>0</v>
      </c>
      <c r="J9071" s="750">
        <f t="shared" si="124"/>
        <v>0</v>
      </c>
      <c r="K9071" s="398"/>
      <c r="L9071" s="398"/>
      <c r="M9071" s="682"/>
    </row>
    <row r="9072" spans="3:13" hidden="1" x14ac:dyDescent="0.2">
      <c r="F9072" s="494">
        <v>422</v>
      </c>
      <c r="G9072" s="495" t="s">
        <v>3778</v>
      </c>
      <c r="H9072" s="397"/>
      <c r="I9072" s="397"/>
      <c r="J9072" s="750" t="e">
        <f t="shared" si="124"/>
        <v>#DIV/0!</v>
      </c>
      <c r="K9072" s="398"/>
      <c r="L9072" s="398"/>
      <c r="M9072" s="682"/>
    </row>
    <row r="9073" spans="5:13" ht="13.5" thickBot="1" x14ac:dyDescent="0.25">
      <c r="E9073" s="464">
        <v>92</v>
      </c>
      <c r="F9073" s="494">
        <v>423</v>
      </c>
      <c r="G9073" s="640" t="s">
        <v>3779</v>
      </c>
      <c r="H9073" s="397">
        <v>4500000</v>
      </c>
      <c r="I9073" s="397">
        <v>3933274.19</v>
      </c>
      <c r="J9073" s="750">
        <f t="shared" si="124"/>
        <v>87.406093111111105</v>
      </c>
      <c r="K9073" s="398"/>
      <c r="L9073" s="398">
        <v>1976655.7</v>
      </c>
      <c r="M9073" s="682"/>
    </row>
    <row r="9074" spans="5:13" ht="13.5" hidden="1" thickBot="1" x14ac:dyDescent="0.25">
      <c r="F9074" s="494">
        <v>424</v>
      </c>
      <c r="G9074" s="495" t="s">
        <v>3781</v>
      </c>
      <c r="H9074" s="397"/>
      <c r="I9074" s="397"/>
      <c r="J9074" s="750" t="e">
        <f t="shared" si="124"/>
        <v>#DIV/0!</v>
      </c>
      <c r="K9074" s="398"/>
      <c r="L9074" s="398"/>
      <c r="M9074" s="682"/>
    </row>
    <row r="9075" spans="5:13" ht="13.5" hidden="1" thickBot="1" x14ac:dyDescent="0.25">
      <c r="F9075" s="494">
        <v>425</v>
      </c>
      <c r="G9075" s="495" t="s">
        <v>4180</v>
      </c>
      <c r="H9075" s="397"/>
      <c r="I9075" s="397"/>
      <c r="J9075" s="750" t="e">
        <f t="shared" si="124"/>
        <v>#DIV/0!</v>
      </c>
      <c r="K9075" s="398"/>
      <c r="L9075" s="398"/>
      <c r="M9075" s="682"/>
    </row>
    <row r="9076" spans="5:13" ht="13.5" hidden="1" thickBot="1" x14ac:dyDescent="0.25">
      <c r="F9076" s="494">
        <v>426</v>
      </c>
      <c r="G9076" s="495" t="s">
        <v>3785</v>
      </c>
      <c r="H9076" s="397"/>
      <c r="I9076" s="397"/>
      <c r="J9076" s="750" t="e">
        <f t="shared" si="124"/>
        <v>#DIV/0!</v>
      </c>
      <c r="K9076" s="398"/>
      <c r="L9076" s="398"/>
      <c r="M9076" s="682"/>
    </row>
    <row r="9077" spans="5:13" ht="13.5" hidden="1" thickBot="1" x14ac:dyDescent="0.25">
      <c r="F9077" s="494">
        <v>431</v>
      </c>
      <c r="G9077" s="495" t="s">
        <v>4181</v>
      </c>
      <c r="H9077" s="397"/>
      <c r="I9077" s="397"/>
      <c r="J9077" s="750" t="e">
        <f t="shared" si="124"/>
        <v>#DIV/0!</v>
      </c>
      <c r="K9077" s="398"/>
      <c r="L9077" s="398"/>
      <c r="M9077" s="682"/>
    </row>
    <row r="9078" spans="5:13" ht="13.5" hidden="1" thickBot="1" x14ac:dyDescent="0.25">
      <c r="F9078" s="494">
        <v>432</v>
      </c>
      <c r="G9078" s="495" t="s">
        <v>4182</v>
      </c>
      <c r="H9078" s="397"/>
      <c r="I9078" s="397"/>
      <c r="J9078" s="750" t="e">
        <f t="shared" si="124"/>
        <v>#DIV/0!</v>
      </c>
      <c r="K9078" s="398"/>
      <c r="L9078" s="398"/>
      <c r="M9078" s="682"/>
    </row>
    <row r="9079" spans="5:13" ht="13.5" hidden="1" thickBot="1" x14ac:dyDescent="0.25">
      <c r="F9079" s="494">
        <v>433</v>
      </c>
      <c r="G9079" s="495" t="s">
        <v>4183</v>
      </c>
      <c r="H9079" s="397"/>
      <c r="I9079" s="397"/>
      <c r="J9079" s="750" t="e">
        <f t="shared" si="124"/>
        <v>#DIV/0!</v>
      </c>
      <c r="K9079" s="398"/>
      <c r="L9079" s="398"/>
      <c r="M9079" s="682"/>
    </row>
    <row r="9080" spans="5:13" ht="13.5" hidden="1" thickBot="1" x14ac:dyDescent="0.25">
      <c r="F9080" s="494">
        <v>434</v>
      </c>
      <c r="G9080" s="495" t="s">
        <v>4184</v>
      </c>
      <c r="H9080" s="397"/>
      <c r="I9080" s="397"/>
      <c r="J9080" s="750" t="e">
        <f t="shared" si="124"/>
        <v>#DIV/0!</v>
      </c>
      <c r="K9080" s="398"/>
      <c r="L9080" s="398"/>
      <c r="M9080" s="682"/>
    </row>
    <row r="9081" spans="5:13" ht="13.5" hidden="1" thickBot="1" x14ac:dyDescent="0.25">
      <c r="F9081" s="494">
        <v>435</v>
      </c>
      <c r="G9081" s="495" t="s">
        <v>3792</v>
      </c>
      <c r="H9081" s="397"/>
      <c r="I9081" s="397"/>
      <c r="J9081" s="750" t="e">
        <f t="shared" si="124"/>
        <v>#DIV/0!</v>
      </c>
      <c r="K9081" s="398"/>
      <c r="L9081" s="398"/>
      <c r="M9081" s="682"/>
    </row>
    <row r="9082" spans="5:13" ht="13.5" hidden="1" thickBot="1" x14ac:dyDescent="0.25">
      <c r="F9082" s="494">
        <v>441</v>
      </c>
      <c r="G9082" s="495" t="s">
        <v>4185</v>
      </c>
      <c r="H9082" s="397"/>
      <c r="I9082" s="397"/>
      <c r="J9082" s="750" t="e">
        <f t="shared" si="124"/>
        <v>#DIV/0!</v>
      </c>
      <c r="K9082" s="398"/>
      <c r="L9082" s="398"/>
      <c r="M9082" s="682"/>
    </row>
    <row r="9083" spans="5:13" ht="13.5" hidden="1" thickBot="1" x14ac:dyDescent="0.25">
      <c r="F9083" s="494">
        <v>442</v>
      </c>
      <c r="G9083" s="495" t="s">
        <v>4186</v>
      </c>
      <c r="H9083" s="397"/>
      <c r="I9083" s="397"/>
      <c r="J9083" s="750" t="e">
        <f t="shared" si="124"/>
        <v>#DIV/0!</v>
      </c>
      <c r="K9083" s="398"/>
      <c r="L9083" s="398"/>
      <c r="M9083" s="682"/>
    </row>
    <row r="9084" spans="5:13" ht="13.5" hidden="1" thickBot="1" x14ac:dyDescent="0.25">
      <c r="F9084" s="494">
        <v>443</v>
      </c>
      <c r="G9084" s="495" t="s">
        <v>3797</v>
      </c>
      <c r="H9084" s="397"/>
      <c r="I9084" s="397"/>
      <c r="J9084" s="750" t="e">
        <f t="shared" si="124"/>
        <v>#DIV/0!</v>
      </c>
      <c r="K9084" s="398"/>
      <c r="L9084" s="398"/>
      <c r="M9084" s="682"/>
    </row>
    <row r="9085" spans="5:13" ht="13.5" hidden="1" thickBot="1" x14ac:dyDescent="0.25">
      <c r="F9085" s="494">
        <v>444</v>
      </c>
      <c r="G9085" s="495" t="s">
        <v>3798</v>
      </c>
      <c r="H9085" s="397"/>
      <c r="I9085" s="397"/>
      <c r="J9085" s="750" t="e">
        <f t="shared" si="124"/>
        <v>#DIV/0!</v>
      </c>
      <c r="K9085" s="398"/>
      <c r="L9085" s="398"/>
      <c r="M9085" s="682"/>
    </row>
    <row r="9086" spans="5:13" ht="26.25" hidden="1" thickBot="1" x14ac:dyDescent="0.25">
      <c r="F9086" s="494">
        <v>4511</v>
      </c>
      <c r="G9086" s="466" t="s">
        <v>1692</v>
      </c>
      <c r="H9086" s="397"/>
      <c r="I9086" s="397"/>
      <c r="J9086" s="750" t="e">
        <f t="shared" si="124"/>
        <v>#DIV/0!</v>
      </c>
      <c r="K9086" s="398"/>
      <c r="L9086" s="398"/>
      <c r="M9086" s="682"/>
    </row>
    <row r="9087" spans="5:13" ht="26.25" hidden="1" thickBot="1" x14ac:dyDescent="0.25">
      <c r="F9087" s="494">
        <v>4512</v>
      </c>
      <c r="G9087" s="466" t="s">
        <v>1701</v>
      </c>
      <c r="H9087" s="397"/>
      <c r="I9087" s="397"/>
      <c r="J9087" s="750" t="e">
        <f t="shared" si="124"/>
        <v>#DIV/0!</v>
      </c>
      <c r="K9087" s="398"/>
      <c r="L9087" s="398"/>
      <c r="M9087" s="682"/>
    </row>
    <row r="9088" spans="5:13" ht="26.25" hidden="1" thickBot="1" x14ac:dyDescent="0.25">
      <c r="F9088" s="494">
        <v>452</v>
      </c>
      <c r="G9088" s="495" t="s">
        <v>4187</v>
      </c>
      <c r="H9088" s="397"/>
      <c r="I9088" s="397"/>
      <c r="J9088" s="750" t="e">
        <f t="shared" si="124"/>
        <v>#DIV/0!</v>
      </c>
      <c r="K9088" s="398"/>
      <c r="L9088" s="398"/>
      <c r="M9088" s="682"/>
    </row>
    <row r="9089" spans="6:13" ht="26.25" hidden="1" thickBot="1" x14ac:dyDescent="0.25">
      <c r="F9089" s="494">
        <v>453</v>
      </c>
      <c r="G9089" s="495" t="s">
        <v>4188</v>
      </c>
      <c r="H9089" s="397"/>
      <c r="I9089" s="397"/>
      <c r="J9089" s="750" t="e">
        <f t="shared" si="124"/>
        <v>#DIV/0!</v>
      </c>
      <c r="K9089" s="398"/>
      <c r="L9089" s="398"/>
      <c r="M9089" s="682"/>
    </row>
    <row r="9090" spans="6:13" ht="13.5" hidden="1" thickBot="1" x14ac:dyDescent="0.25">
      <c r="F9090" s="494">
        <v>454</v>
      </c>
      <c r="G9090" s="495" t="s">
        <v>3803</v>
      </c>
      <c r="H9090" s="397"/>
      <c r="I9090" s="397"/>
      <c r="J9090" s="750" t="e">
        <f t="shared" si="124"/>
        <v>#DIV/0!</v>
      </c>
      <c r="K9090" s="398"/>
      <c r="L9090" s="398"/>
      <c r="M9090" s="682"/>
    </row>
    <row r="9091" spans="6:13" ht="13.5" hidden="1" thickBot="1" x14ac:dyDescent="0.25">
      <c r="F9091" s="494">
        <v>461</v>
      </c>
      <c r="G9091" s="495" t="s">
        <v>4169</v>
      </c>
      <c r="H9091" s="397"/>
      <c r="I9091" s="397"/>
      <c r="J9091" s="750" t="e">
        <f t="shared" si="124"/>
        <v>#DIV/0!</v>
      </c>
      <c r="K9091" s="398"/>
      <c r="L9091" s="398"/>
      <c r="M9091" s="682"/>
    </row>
    <row r="9092" spans="6:13" ht="26.25" hidden="1" thickBot="1" x14ac:dyDescent="0.25">
      <c r="F9092" s="494">
        <v>462</v>
      </c>
      <c r="G9092" s="495" t="s">
        <v>3806</v>
      </c>
      <c r="H9092" s="397"/>
      <c r="I9092" s="397"/>
      <c r="J9092" s="750" t="e">
        <f t="shared" si="124"/>
        <v>#DIV/0!</v>
      </c>
      <c r="K9092" s="398"/>
      <c r="L9092" s="398"/>
      <c r="M9092" s="682"/>
    </row>
    <row r="9093" spans="6:13" ht="13.5" hidden="1" thickBot="1" x14ac:dyDescent="0.25">
      <c r="F9093" s="494">
        <v>4631</v>
      </c>
      <c r="G9093" s="495" t="s">
        <v>3807</v>
      </c>
      <c r="H9093" s="397"/>
      <c r="I9093" s="397"/>
      <c r="J9093" s="750" t="e">
        <f t="shared" si="124"/>
        <v>#DIV/0!</v>
      </c>
      <c r="K9093" s="398"/>
      <c r="L9093" s="398"/>
      <c r="M9093" s="682"/>
    </row>
    <row r="9094" spans="6:13" ht="13.5" hidden="1" thickBot="1" x14ac:dyDescent="0.25">
      <c r="F9094" s="494">
        <v>4632</v>
      </c>
      <c r="G9094" s="495" t="s">
        <v>3808</v>
      </c>
      <c r="H9094" s="397"/>
      <c r="I9094" s="397"/>
      <c r="J9094" s="750" t="e">
        <f t="shared" si="124"/>
        <v>#DIV/0!</v>
      </c>
      <c r="K9094" s="398"/>
      <c r="L9094" s="398"/>
      <c r="M9094" s="682"/>
    </row>
    <row r="9095" spans="6:13" ht="26.25" hidden="1" thickBot="1" x14ac:dyDescent="0.25">
      <c r="F9095" s="494">
        <v>464</v>
      </c>
      <c r="G9095" s="495" t="s">
        <v>3809</v>
      </c>
      <c r="H9095" s="397"/>
      <c r="I9095" s="397"/>
      <c r="J9095" s="750" t="e">
        <f t="shared" si="124"/>
        <v>#DIV/0!</v>
      </c>
      <c r="K9095" s="398"/>
      <c r="L9095" s="398"/>
      <c r="M9095" s="682"/>
    </row>
    <row r="9096" spans="6:13" ht="13.5" hidden="1" thickBot="1" x14ac:dyDescent="0.25">
      <c r="F9096" s="494">
        <v>465</v>
      </c>
      <c r="G9096" s="495" t="s">
        <v>4170</v>
      </c>
      <c r="H9096" s="397"/>
      <c r="I9096" s="397"/>
      <c r="J9096" s="750" t="e">
        <f t="shared" si="124"/>
        <v>#DIV/0!</v>
      </c>
      <c r="K9096" s="398"/>
      <c r="L9096" s="398"/>
      <c r="M9096" s="682"/>
    </row>
    <row r="9097" spans="6:13" ht="13.5" hidden="1" thickBot="1" x14ac:dyDescent="0.25">
      <c r="F9097" s="494">
        <v>472</v>
      </c>
      <c r="G9097" s="495" t="s">
        <v>3813</v>
      </c>
      <c r="H9097" s="397"/>
      <c r="I9097" s="397"/>
      <c r="J9097" s="750" t="e">
        <f t="shared" si="124"/>
        <v>#DIV/0!</v>
      </c>
      <c r="K9097" s="398"/>
      <c r="L9097" s="398"/>
      <c r="M9097" s="682"/>
    </row>
    <row r="9098" spans="6:13" ht="13.5" hidden="1" thickBot="1" x14ac:dyDescent="0.25">
      <c r="F9098" s="494">
        <v>481</v>
      </c>
      <c r="G9098" s="495" t="s">
        <v>4189</v>
      </c>
      <c r="H9098" s="397"/>
      <c r="I9098" s="397"/>
      <c r="J9098" s="750" t="e">
        <f t="shared" si="124"/>
        <v>#DIV/0!</v>
      </c>
      <c r="K9098" s="398"/>
      <c r="L9098" s="398"/>
      <c r="M9098" s="682"/>
    </row>
    <row r="9099" spans="6:13" ht="13.5" hidden="1" thickBot="1" x14ac:dyDescent="0.25">
      <c r="F9099" s="494">
        <v>482</v>
      </c>
      <c r="G9099" s="495" t="s">
        <v>4190</v>
      </c>
      <c r="H9099" s="397"/>
      <c r="I9099" s="397"/>
      <c r="J9099" s="750" t="e">
        <f t="shared" si="124"/>
        <v>#DIV/0!</v>
      </c>
      <c r="K9099" s="398"/>
      <c r="L9099" s="398"/>
      <c r="M9099" s="682"/>
    </row>
    <row r="9100" spans="6:13" ht="13.5" hidden="1" thickBot="1" x14ac:dyDescent="0.25">
      <c r="F9100" s="494">
        <v>483</v>
      </c>
      <c r="G9100" s="497" t="s">
        <v>4191</v>
      </c>
      <c r="H9100" s="397"/>
      <c r="I9100" s="397"/>
      <c r="J9100" s="750" t="e">
        <f t="shared" si="124"/>
        <v>#DIV/0!</v>
      </c>
      <c r="K9100" s="398"/>
      <c r="L9100" s="398"/>
      <c r="M9100" s="682"/>
    </row>
    <row r="9101" spans="6:13" ht="39" hidden="1" thickBot="1" x14ac:dyDescent="0.25">
      <c r="F9101" s="494">
        <v>484</v>
      </c>
      <c r="G9101" s="495" t="s">
        <v>4192</v>
      </c>
      <c r="H9101" s="397"/>
      <c r="I9101" s="397"/>
      <c r="J9101" s="750" t="e">
        <f t="shared" si="124"/>
        <v>#DIV/0!</v>
      </c>
      <c r="K9101" s="398"/>
      <c r="L9101" s="398"/>
      <c r="M9101" s="682"/>
    </row>
    <row r="9102" spans="6:13" ht="26.25" hidden="1" thickBot="1" x14ac:dyDescent="0.25">
      <c r="F9102" s="494">
        <v>485</v>
      </c>
      <c r="G9102" s="495" t="s">
        <v>4193</v>
      </c>
      <c r="H9102" s="397"/>
      <c r="I9102" s="397"/>
      <c r="J9102" s="750" t="e">
        <f t="shared" ref="J9102:J9165" si="125">SUM(I9102/H9102)*100</f>
        <v>#DIV/0!</v>
      </c>
      <c r="K9102" s="398"/>
      <c r="L9102" s="398"/>
      <c r="M9102" s="682"/>
    </row>
    <row r="9103" spans="6:13" ht="26.25" hidden="1" thickBot="1" x14ac:dyDescent="0.25">
      <c r="F9103" s="494">
        <v>489</v>
      </c>
      <c r="G9103" s="495" t="s">
        <v>3821</v>
      </c>
      <c r="H9103" s="397"/>
      <c r="I9103" s="397"/>
      <c r="J9103" s="750" t="e">
        <f t="shared" si="125"/>
        <v>#DIV/0!</v>
      </c>
      <c r="K9103" s="398"/>
      <c r="L9103" s="398"/>
      <c r="M9103" s="682"/>
    </row>
    <row r="9104" spans="6:13" ht="26.25" hidden="1" thickBot="1" x14ac:dyDescent="0.25">
      <c r="F9104" s="494">
        <v>494</v>
      </c>
      <c r="G9104" s="495" t="s">
        <v>4171</v>
      </c>
      <c r="H9104" s="397"/>
      <c r="I9104" s="397"/>
      <c r="J9104" s="750" t="e">
        <f t="shared" si="125"/>
        <v>#DIV/0!</v>
      </c>
      <c r="K9104" s="398"/>
      <c r="L9104" s="398"/>
      <c r="M9104" s="682"/>
    </row>
    <row r="9105" spans="6:13" ht="26.25" hidden="1" thickBot="1" x14ac:dyDescent="0.25">
      <c r="F9105" s="494">
        <v>495</v>
      </c>
      <c r="G9105" s="495" t="s">
        <v>4172</v>
      </c>
      <c r="H9105" s="397"/>
      <c r="I9105" s="397"/>
      <c r="J9105" s="750" t="e">
        <f t="shared" si="125"/>
        <v>#DIV/0!</v>
      </c>
      <c r="K9105" s="398"/>
      <c r="L9105" s="398"/>
      <c r="M9105" s="682"/>
    </row>
    <row r="9106" spans="6:13" ht="39" hidden="1" thickBot="1" x14ac:dyDescent="0.25">
      <c r="F9106" s="494">
        <v>496</v>
      </c>
      <c r="G9106" s="495" t="s">
        <v>4173</v>
      </c>
      <c r="H9106" s="397"/>
      <c r="I9106" s="397"/>
      <c r="J9106" s="750" t="e">
        <f t="shared" si="125"/>
        <v>#DIV/0!</v>
      </c>
      <c r="K9106" s="398"/>
      <c r="L9106" s="398"/>
      <c r="M9106" s="682"/>
    </row>
    <row r="9107" spans="6:13" ht="26.25" hidden="1" thickBot="1" x14ac:dyDescent="0.25">
      <c r="F9107" s="494">
        <v>499</v>
      </c>
      <c r="G9107" s="495" t="s">
        <v>4174</v>
      </c>
      <c r="H9107" s="397"/>
      <c r="I9107" s="397"/>
      <c r="J9107" s="750" t="e">
        <f t="shared" si="125"/>
        <v>#DIV/0!</v>
      </c>
      <c r="K9107" s="398"/>
      <c r="L9107" s="398"/>
      <c r="M9107" s="682"/>
    </row>
    <row r="9108" spans="6:13" ht="13.5" hidden="1" thickBot="1" x14ac:dyDescent="0.25">
      <c r="F9108" s="494">
        <v>511</v>
      </c>
      <c r="G9108" s="497" t="s">
        <v>4194</v>
      </c>
      <c r="H9108" s="397"/>
      <c r="I9108" s="397"/>
      <c r="J9108" s="750" t="e">
        <f t="shared" si="125"/>
        <v>#DIV/0!</v>
      </c>
      <c r="K9108" s="398"/>
      <c r="L9108" s="398"/>
      <c r="M9108" s="682"/>
    </row>
    <row r="9109" spans="6:13" ht="13.5" hidden="1" thickBot="1" x14ac:dyDescent="0.25">
      <c r="F9109" s="494">
        <v>512</v>
      </c>
      <c r="G9109" s="497" t="s">
        <v>4195</v>
      </c>
      <c r="H9109" s="397"/>
      <c r="I9109" s="397"/>
      <c r="J9109" s="750" t="e">
        <f t="shared" si="125"/>
        <v>#DIV/0!</v>
      </c>
      <c r="K9109" s="398"/>
      <c r="L9109" s="398"/>
      <c r="M9109" s="682"/>
    </row>
    <row r="9110" spans="6:13" ht="13.5" hidden="1" thickBot="1" x14ac:dyDescent="0.25">
      <c r="F9110" s="494">
        <v>513</v>
      </c>
      <c r="G9110" s="497" t="s">
        <v>4196</v>
      </c>
      <c r="H9110" s="397"/>
      <c r="I9110" s="397"/>
      <c r="J9110" s="750" t="e">
        <f t="shared" si="125"/>
        <v>#DIV/0!</v>
      </c>
      <c r="K9110" s="398"/>
      <c r="L9110" s="398"/>
      <c r="M9110" s="682"/>
    </row>
    <row r="9111" spans="6:13" ht="13.5" hidden="1" thickBot="1" x14ac:dyDescent="0.25">
      <c r="F9111" s="494">
        <v>514</v>
      </c>
      <c r="G9111" s="495" t="s">
        <v>4197</v>
      </c>
      <c r="H9111" s="397"/>
      <c r="I9111" s="397"/>
      <c r="J9111" s="750" t="e">
        <f t="shared" si="125"/>
        <v>#DIV/0!</v>
      </c>
      <c r="K9111" s="398"/>
      <c r="L9111" s="398"/>
      <c r="M9111" s="682"/>
    </row>
    <row r="9112" spans="6:13" ht="13.5" hidden="1" thickBot="1" x14ac:dyDescent="0.25">
      <c r="F9112" s="494">
        <v>515</v>
      </c>
      <c r="G9112" s="495" t="s">
        <v>3832</v>
      </c>
      <c r="H9112" s="397"/>
      <c r="I9112" s="397"/>
      <c r="J9112" s="750" t="e">
        <f t="shared" si="125"/>
        <v>#DIV/0!</v>
      </c>
      <c r="K9112" s="398"/>
      <c r="L9112" s="398"/>
      <c r="M9112" s="682"/>
    </row>
    <row r="9113" spans="6:13" ht="13.5" hidden="1" thickBot="1" x14ac:dyDescent="0.25">
      <c r="F9113" s="494">
        <v>521</v>
      </c>
      <c r="G9113" s="495" t="s">
        <v>4198</v>
      </c>
      <c r="H9113" s="397"/>
      <c r="I9113" s="397"/>
      <c r="J9113" s="750" t="e">
        <f t="shared" si="125"/>
        <v>#DIV/0!</v>
      </c>
      <c r="K9113" s="398"/>
      <c r="L9113" s="398"/>
      <c r="M9113" s="682"/>
    </row>
    <row r="9114" spans="6:13" ht="13.5" hidden="1" thickBot="1" x14ac:dyDescent="0.25">
      <c r="F9114" s="494">
        <v>522</v>
      </c>
      <c r="G9114" s="495" t="s">
        <v>4199</v>
      </c>
      <c r="H9114" s="397"/>
      <c r="I9114" s="397"/>
      <c r="J9114" s="750" t="e">
        <f t="shared" si="125"/>
        <v>#DIV/0!</v>
      </c>
      <c r="K9114" s="398"/>
      <c r="L9114" s="398"/>
      <c r="M9114" s="682"/>
    </row>
    <row r="9115" spans="6:13" ht="13.5" hidden="1" thickBot="1" x14ac:dyDescent="0.25">
      <c r="F9115" s="494">
        <v>523</v>
      </c>
      <c r="G9115" s="495" t="s">
        <v>3837</v>
      </c>
      <c r="H9115" s="397"/>
      <c r="I9115" s="397"/>
      <c r="J9115" s="750" t="e">
        <f t="shared" si="125"/>
        <v>#DIV/0!</v>
      </c>
      <c r="K9115" s="398"/>
      <c r="L9115" s="398"/>
      <c r="M9115" s="682"/>
    </row>
    <row r="9116" spans="6:13" ht="13.5" hidden="1" thickBot="1" x14ac:dyDescent="0.25">
      <c r="F9116" s="494">
        <v>531</v>
      </c>
      <c r="G9116" s="496" t="s">
        <v>4175</v>
      </c>
      <c r="H9116" s="397"/>
      <c r="I9116" s="397"/>
      <c r="J9116" s="750" t="e">
        <f t="shared" si="125"/>
        <v>#DIV/0!</v>
      </c>
      <c r="K9116" s="398"/>
      <c r="L9116" s="398"/>
      <c r="M9116" s="682"/>
    </row>
    <row r="9117" spans="6:13" ht="13.5" hidden="1" thickBot="1" x14ac:dyDescent="0.25">
      <c r="F9117" s="494">
        <v>541</v>
      </c>
      <c r="G9117" s="495" t="s">
        <v>4200</v>
      </c>
      <c r="H9117" s="397"/>
      <c r="I9117" s="397"/>
      <c r="J9117" s="750" t="e">
        <f t="shared" si="125"/>
        <v>#DIV/0!</v>
      </c>
      <c r="K9117" s="398"/>
      <c r="L9117" s="398"/>
      <c r="M9117" s="682"/>
    </row>
    <row r="9118" spans="6:13" ht="13.5" hidden="1" thickBot="1" x14ac:dyDescent="0.25">
      <c r="F9118" s="494">
        <v>542</v>
      </c>
      <c r="G9118" s="495" t="s">
        <v>4201</v>
      </c>
      <c r="H9118" s="397"/>
      <c r="I9118" s="397"/>
      <c r="J9118" s="750" t="e">
        <f t="shared" si="125"/>
        <v>#DIV/0!</v>
      </c>
      <c r="K9118" s="398"/>
      <c r="L9118" s="398"/>
      <c r="M9118" s="682"/>
    </row>
    <row r="9119" spans="6:13" ht="13.5" hidden="1" thickBot="1" x14ac:dyDescent="0.25">
      <c r="F9119" s="494">
        <v>543</v>
      </c>
      <c r="G9119" s="495" t="s">
        <v>3842</v>
      </c>
      <c r="H9119" s="397"/>
      <c r="I9119" s="397"/>
      <c r="J9119" s="750" t="e">
        <f t="shared" si="125"/>
        <v>#DIV/0!</v>
      </c>
      <c r="K9119" s="398"/>
      <c r="L9119" s="398"/>
      <c r="M9119" s="682"/>
    </row>
    <row r="9120" spans="6:13" ht="39" hidden="1" thickBot="1" x14ac:dyDescent="0.25">
      <c r="F9120" s="494">
        <v>551</v>
      </c>
      <c r="G9120" s="495" t="s">
        <v>4176</v>
      </c>
      <c r="H9120" s="397"/>
      <c r="I9120" s="397"/>
      <c r="J9120" s="750" t="e">
        <f t="shared" si="125"/>
        <v>#DIV/0!</v>
      </c>
      <c r="K9120" s="398"/>
      <c r="L9120" s="398"/>
      <c r="M9120" s="682"/>
    </row>
    <row r="9121" spans="5:13" ht="13.5" hidden="1" thickBot="1" x14ac:dyDescent="0.25">
      <c r="F9121" s="498">
        <v>611</v>
      </c>
      <c r="G9121" s="499" t="s">
        <v>3848</v>
      </c>
      <c r="H9121" s="397"/>
      <c r="I9121" s="397"/>
      <c r="J9121" s="750" t="e">
        <f t="shared" si="125"/>
        <v>#DIV/0!</v>
      </c>
      <c r="K9121" s="398"/>
      <c r="L9121" s="398"/>
      <c r="M9121" s="682"/>
    </row>
    <row r="9122" spans="5:13" ht="13.5" hidden="1" thickBot="1" x14ac:dyDescent="0.25">
      <c r="F9122" s="498">
        <v>620</v>
      </c>
      <c r="G9122" s="499" t="s">
        <v>88</v>
      </c>
      <c r="H9122" s="397"/>
      <c r="I9122" s="397"/>
      <c r="J9122" s="750" t="e">
        <f t="shared" si="125"/>
        <v>#DIV/0!</v>
      </c>
      <c r="K9122" s="398"/>
      <c r="L9122" s="398"/>
      <c r="M9122" s="682"/>
    </row>
    <row r="9123" spans="5:13" x14ac:dyDescent="0.2">
      <c r="E9123" s="500"/>
      <c r="F9123" s="498"/>
      <c r="G9123" s="501" t="s">
        <v>4392</v>
      </c>
      <c r="H9123" s="400"/>
      <c r="I9123" s="400"/>
      <c r="J9123" s="750"/>
      <c r="K9123" s="401"/>
      <c r="L9123" s="402"/>
      <c r="M9123" s="682"/>
    </row>
    <row r="9124" spans="5:13" x14ac:dyDescent="0.2">
      <c r="E9124" s="502"/>
      <c r="F9124" s="503" t="s">
        <v>234</v>
      </c>
      <c r="G9124" s="504" t="s">
        <v>235</v>
      </c>
      <c r="H9124" s="403">
        <f>SUM(H9063:H9122)</f>
        <v>4520000</v>
      </c>
      <c r="I9124" s="403">
        <f>SUM(I9071:I9073)</f>
        <v>3933274.19</v>
      </c>
      <c r="J9124" s="750">
        <f t="shared" si="125"/>
        <v>87.019340486725667</v>
      </c>
      <c r="K9124" s="404"/>
      <c r="L9124" s="404"/>
      <c r="M9124" s="682"/>
    </row>
    <row r="9125" spans="5:13" hidden="1" x14ac:dyDescent="0.2">
      <c r="F9125" s="503" t="s">
        <v>236</v>
      </c>
      <c r="G9125" s="504" t="s">
        <v>237</v>
      </c>
      <c r="H9125" s="397"/>
      <c r="I9125" s="397"/>
      <c r="J9125" s="750" t="e">
        <f t="shared" si="125"/>
        <v>#DIV/0!</v>
      </c>
      <c r="K9125" s="398"/>
      <c r="L9125" s="404"/>
      <c r="M9125" s="682"/>
    </row>
    <row r="9126" spans="5:13" hidden="1" x14ac:dyDescent="0.2">
      <c r="F9126" s="503" t="s">
        <v>238</v>
      </c>
      <c r="G9126" s="504" t="s">
        <v>239</v>
      </c>
      <c r="H9126" s="397"/>
      <c r="I9126" s="397"/>
      <c r="J9126" s="750" t="e">
        <f t="shared" si="125"/>
        <v>#DIV/0!</v>
      </c>
      <c r="K9126" s="398"/>
      <c r="L9126" s="404"/>
      <c r="M9126" s="682"/>
    </row>
    <row r="9127" spans="5:13" hidden="1" x14ac:dyDescent="0.2">
      <c r="F9127" s="503" t="s">
        <v>240</v>
      </c>
      <c r="G9127" s="504" t="s">
        <v>241</v>
      </c>
      <c r="H9127" s="397"/>
      <c r="I9127" s="397"/>
      <c r="J9127" s="750" t="e">
        <f t="shared" si="125"/>
        <v>#DIV/0!</v>
      </c>
      <c r="K9127" s="398"/>
      <c r="L9127" s="404"/>
      <c r="M9127" s="682"/>
    </row>
    <row r="9128" spans="5:13" hidden="1" x14ac:dyDescent="0.2">
      <c r="F9128" s="503" t="s">
        <v>242</v>
      </c>
      <c r="G9128" s="504" t="s">
        <v>243</v>
      </c>
      <c r="H9128" s="397"/>
      <c r="I9128" s="397"/>
      <c r="J9128" s="750" t="e">
        <f t="shared" si="125"/>
        <v>#DIV/0!</v>
      </c>
      <c r="K9128" s="398"/>
      <c r="L9128" s="404"/>
      <c r="M9128" s="682"/>
    </row>
    <row r="9129" spans="5:13" hidden="1" x14ac:dyDescent="0.2">
      <c r="F9129" s="503" t="s">
        <v>244</v>
      </c>
      <c r="G9129" s="504" t="s">
        <v>245</v>
      </c>
      <c r="H9129" s="397"/>
      <c r="I9129" s="397"/>
      <c r="J9129" s="750" t="e">
        <f t="shared" si="125"/>
        <v>#DIV/0!</v>
      </c>
      <c r="K9129" s="398"/>
      <c r="L9129" s="404"/>
      <c r="M9129" s="682"/>
    </row>
    <row r="9130" spans="5:13" hidden="1" x14ac:dyDescent="0.2">
      <c r="F9130" s="503" t="s">
        <v>246</v>
      </c>
      <c r="G9130" s="504" t="s">
        <v>247</v>
      </c>
      <c r="H9130" s="397"/>
      <c r="I9130" s="397"/>
      <c r="J9130" s="750" t="e">
        <f t="shared" si="125"/>
        <v>#DIV/0!</v>
      </c>
      <c r="K9130" s="398"/>
      <c r="L9130" s="404"/>
      <c r="M9130" s="682"/>
    </row>
    <row r="9131" spans="5:13" ht="25.5" hidden="1" x14ac:dyDescent="0.2">
      <c r="F9131" s="503" t="s">
        <v>248</v>
      </c>
      <c r="G9131" s="504" t="s">
        <v>249</v>
      </c>
      <c r="H9131" s="397"/>
      <c r="I9131" s="397"/>
      <c r="J9131" s="750" t="e">
        <f t="shared" si="125"/>
        <v>#DIV/0!</v>
      </c>
      <c r="K9131" s="398"/>
      <c r="L9131" s="404"/>
      <c r="M9131" s="682"/>
    </row>
    <row r="9132" spans="5:13" hidden="1" x14ac:dyDescent="0.2">
      <c r="F9132" s="503" t="s">
        <v>250</v>
      </c>
      <c r="G9132" s="504" t="s">
        <v>57</v>
      </c>
      <c r="H9132" s="397"/>
      <c r="I9132" s="397"/>
      <c r="J9132" s="750" t="e">
        <f t="shared" si="125"/>
        <v>#DIV/0!</v>
      </c>
      <c r="K9132" s="398"/>
      <c r="L9132" s="404"/>
      <c r="M9132" s="682"/>
    </row>
    <row r="9133" spans="5:13" hidden="1" x14ac:dyDescent="0.2">
      <c r="F9133" s="503" t="s">
        <v>251</v>
      </c>
      <c r="G9133" s="504" t="s">
        <v>252</v>
      </c>
      <c r="H9133" s="397"/>
      <c r="I9133" s="397"/>
      <c r="J9133" s="750" t="e">
        <f t="shared" si="125"/>
        <v>#DIV/0!</v>
      </c>
      <c r="K9133" s="398"/>
      <c r="L9133" s="404"/>
      <c r="M9133" s="682"/>
    </row>
    <row r="9134" spans="5:13" hidden="1" x14ac:dyDescent="0.2">
      <c r="F9134" s="503" t="s">
        <v>253</v>
      </c>
      <c r="G9134" s="504" t="s">
        <v>254</v>
      </c>
      <c r="H9134" s="397"/>
      <c r="I9134" s="397"/>
      <c r="J9134" s="750" t="e">
        <f t="shared" si="125"/>
        <v>#DIV/0!</v>
      </c>
      <c r="K9134" s="398"/>
      <c r="L9134" s="404"/>
      <c r="M9134" s="682"/>
    </row>
    <row r="9135" spans="5:13" ht="25.5" hidden="1" x14ac:dyDescent="0.2">
      <c r="F9135" s="503" t="s">
        <v>255</v>
      </c>
      <c r="G9135" s="504" t="s">
        <v>256</v>
      </c>
      <c r="H9135" s="397"/>
      <c r="I9135" s="397"/>
      <c r="J9135" s="750" t="e">
        <f t="shared" si="125"/>
        <v>#DIV/0!</v>
      </c>
      <c r="K9135" s="398"/>
      <c r="L9135" s="404"/>
      <c r="M9135" s="682"/>
    </row>
    <row r="9136" spans="5:13" ht="25.5" hidden="1" x14ac:dyDescent="0.2">
      <c r="F9136" s="503" t="s">
        <v>257</v>
      </c>
      <c r="G9136" s="504" t="s">
        <v>258</v>
      </c>
      <c r="H9136" s="397"/>
      <c r="I9136" s="397"/>
      <c r="J9136" s="750" t="e">
        <f t="shared" si="125"/>
        <v>#DIV/0!</v>
      </c>
      <c r="K9136" s="398"/>
      <c r="L9136" s="404"/>
      <c r="M9136" s="682"/>
    </row>
    <row r="9137" spans="5:13" ht="25.5" hidden="1" x14ac:dyDescent="0.2">
      <c r="F9137" s="503" t="s">
        <v>259</v>
      </c>
      <c r="G9137" s="504" t="s">
        <v>260</v>
      </c>
      <c r="H9137" s="397"/>
      <c r="I9137" s="397"/>
      <c r="J9137" s="750" t="e">
        <f t="shared" si="125"/>
        <v>#DIV/0!</v>
      </c>
      <c r="K9137" s="398"/>
      <c r="L9137" s="404"/>
      <c r="M9137" s="682"/>
    </row>
    <row r="9138" spans="5:13" ht="25.5" hidden="1" x14ac:dyDescent="0.2">
      <c r="F9138" s="503" t="s">
        <v>261</v>
      </c>
      <c r="G9138" s="504" t="s">
        <v>262</v>
      </c>
      <c r="H9138" s="397"/>
      <c r="I9138" s="397"/>
      <c r="J9138" s="750" t="e">
        <f t="shared" si="125"/>
        <v>#DIV/0!</v>
      </c>
      <c r="K9138" s="398"/>
      <c r="L9138" s="404"/>
      <c r="M9138" s="682"/>
    </row>
    <row r="9139" spans="5:13" ht="18" customHeight="1" thickBot="1" x14ac:dyDescent="0.25">
      <c r="F9139" s="549" t="s">
        <v>246</v>
      </c>
      <c r="G9139" s="504" t="s">
        <v>5395</v>
      </c>
      <c r="H9139" s="403"/>
      <c r="I9139" s="403"/>
      <c r="J9139" s="750"/>
      <c r="K9139" s="404"/>
      <c r="L9139" s="404">
        <v>1976655.7</v>
      </c>
      <c r="M9139" s="682"/>
    </row>
    <row r="9140" spans="5:13" ht="13.5" thickBot="1" x14ac:dyDescent="0.25">
      <c r="G9140" s="505" t="s">
        <v>4393</v>
      </c>
      <c r="H9140" s="405">
        <f>SUM(H9124:H9139)</f>
        <v>4520000</v>
      </c>
      <c r="I9140" s="405">
        <f>SUM(I9124)</f>
        <v>3933274.19</v>
      </c>
      <c r="J9140" s="750">
        <f t="shared" si="125"/>
        <v>87.019340486725667</v>
      </c>
      <c r="K9140" s="406">
        <f>SUM(K9125:K9139)</f>
        <v>0</v>
      </c>
      <c r="L9140" s="406">
        <f>SUM(L9139)</f>
        <v>1976655.7</v>
      </c>
      <c r="M9140" s="682"/>
    </row>
    <row r="9141" spans="5:13" x14ac:dyDescent="0.2">
      <c r="E9141" s="500"/>
      <c r="F9141" s="498"/>
      <c r="G9141" s="506" t="s">
        <v>5044</v>
      </c>
      <c r="H9141" s="407"/>
      <c r="I9141" s="408"/>
      <c r="J9141" s="750"/>
      <c r="K9141" s="409"/>
      <c r="L9141" s="410"/>
      <c r="M9141" s="682"/>
    </row>
    <row r="9142" spans="5:13" x14ac:dyDescent="0.2">
      <c r="E9142" s="502"/>
      <c r="F9142" s="503" t="s">
        <v>234</v>
      </c>
      <c r="G9142" s="504" t="s">
        <v>235</v>
      </c>
      <c r="H9142" s="403">
        <f>SUM(H9063:H9122)</f>
        <v>4520000</v>
      </c>
      <c r="I9142" s="403">
        <f>SUM(I9140)</f>
        <v>3933274.19</v>
      </c>
      <c r="J9142" s="750">
        <f t="shared" si="125"/>
        <v>87.019340486725667</v>
      </c>
      <c r="K9142" s="404"/>
      <c r="L9142" s="404"/>
      <c r="M9142" s="682"/>
    </row>
    <row r="9143" spans="5:13" hidden="1" x14ac:dyDescent="0.2">
      <c r="F9143" s="503" t="s">
        <v>236</v>
      </c>
      <c r="G9143" s="504" t="s">
        <v>237</v>
      </c>
      <c r="H9143" s="397"/>
      <c r="I9143" s="397"/>
      <c r="J9143" s="750" t="e">
        <f t="shared" si="125"/>
        <v>#DIV/0!</v>
      </c>
      <c r="K9143" s="398"/>
      <c r="L9143" s="404"/>
      <c r="M9143" s="682"/>
    </row>
    <row r="9144" spans="5:13" hidden="1" x14ac:dyDescent="0.2">
      <c r="F9144" s="503" t="s">
        <v>238</v>
      </c>
      <c r="G9144" s="504" t="s">
        <v>239</v>
      </c>
      <c r="H9144" s="397"/>
      <c r="I9144" s="397"/>
      <c r="J9144" s="750" t="e">
        <f t="shared" si="125"/>
        <v>#DIV/0!</v>
      </c>
      <c r="K9144" s="398"/>
      <c r="L9144" s="404"/>
      <c r="M9144" s="682"/>
    </row>
    <row r="9145" spans="5:13" hidden="1" x14ac:dyDescent="0.2">
      <c r="F9145" s="503" t="s">
        <v>240</v>
      </c>
      <c r="G9145" s="504" t="s">
        <v>241</v>
      </c>
      <c r="H9145" s="397"/>
      <c r="I9145" s="397"/>
      <c r="J9145" s="750" t="e">
        <f t="shared" si="125"/>
        <v>#DIV/0!</v>
      </c>
      <c r="K9145" s="398"/>
      <c r="L9145" s="404"/>
      <c r="M9145" s="682"/>
    </row>
    <row r="9146" spans="5:13" hidden="1" x14ac:dyDescent="0.2">
      <c r="F9146" s="503" t="s">
        <v>242</v>
      </c>
      <c r="G9146" s="504" t="s">
        <v>243</v>
      </c>
      <c r="H9146" s="397"/>
      <c r="I9146" s="397"/>
      <c r="J9146" s="750" t="e">
        <f t="shared" si="125"/>
        <v>#DIV/0!</v>
      </c>
      <c r="K9146" s="398"/>
      <c r="L9146" s="404"/>
      <c r="M9146" s="682"/>
    </row>
    <row r="9147" spans="5:13" hidden="1" x14ac:dyDescent="0.2">
      <c r="F9147" s="503" t="s">
        <v>244</v>
      </c>
      <c r="G9147" s="504" t="s">
        <v>245</v>
      </c>
      <c r="H9147" s="397"/>
      <c r="I9147" s="397"/>
      <c r="J9147" s="750" t="e">
        <f t="shared" si="125"/>
        <v>#DIV/0!</v>
      </c>
      <c r="K9147" s="398"/>
      <c r="L9147" s="404"/>
      <c r="M9147" s="682"/>
    </row>
    <row r="9148" spans="5:13" hidden="1" x14ac:dyDescent="0.2">
      <c r="F9148" s="503" t="s">
        <v>246</v>
      </c>
      <c r="G9148" s="504" t="s">
        <v>247</v>
      </c>
      <c r="H9148" s="397"/>
      <c r="I9148" s="397"/>
      <c r="J9148" s="750" t="e">
        <f t="shared" si="125"/>
        <v>#DIV/0!</v>
      </c>
      <c r="K9148" s="398"/>
      <c r="L9148" s="404"/>
      <c r="M9148" s="682"/>
    </row>
    <row r="9149" spans="5:13" ht="25.5" hidden="1" x14ac:dyDescent="0.2">
      <c r="F9149" s="503" t="s">
        <v>248</v>
      </c>
      <c r="G9149" s="504" t="s">
        <v>249</v>
      </c>
      <c r="H9149" s="397"/>
      <c r="I9149" s="397"/>
      <c r="J9149" s="750" t="e">
        <f t="shared" si="125"/>
        <v>#DIV/0!</v>
      </c>
      <c r="K9149" s="398"/>
      <c r="L9149" s="404"/>
      <c r="M9149" s="682"/>
    </row>
    <row r="9150" spans="5:13" hidden="1" x14ac:dyDescent="0.2">
      <c r="F9150" s="503" t="s">
        <v>250</v>
      </c>
      <c r="G9150" s="504" t="s">
        <v>57</v>
      </c>
      <c r="H9150" s="397"/>
      <c r="I9150" s="397"/>
      <c r="J9150" s="750" t="e">
        <f t="shared" si="125"/>
        <v>#DIV/0!</v>
      </c>
      <c r="K9150" s="398"/>
      <c r="L9150" s="404"/>
      <c r="M9150" s="682"/>
    </row>
    <row r="9151" spans="5:13" hidden="1" x14ac:dyDescent="0.2">
      <c r="F9151" s="503" t="s">
        <v>251</v>
      </c>
      <c r="G9151" s="504" t="s">
        <v>252</v>
      </c>
      <c r="H9151" s="397"/>
      <c r="I9151" s="397"/>
      <c r="J9151" s="750" t="e">
        <f t="shared" si="125"/>
        <v>#DIV/0!</v>
      </c>
      <c r="K9151" s="398"/>
      <c r="L9151" s="404"/>
      <c r="M9151" s="682"/>
    </row>
    <row r="9152" spans="5:13" hidden="1" x14ac:dyDescent="0.2">
      <c r="F9152" s="503" t="s">
        <v>253</v>
      </c>
      <c r="G9152" s="504" t="s">
        <v>254</v>
      </c>
      <c r="H9152" s="397"/>
      <c r="I9152" s="397"/>
      <c r="J9152" s="750" t="e">
        <f t="shared" si="125"/>
        <v>#DIV/0!</v>
      </c>
      <c r="K9152" s="398"/>
      <c r="L9152" s="404"/>
      <c r="M9152" s="682"/>
    </row>
    <row r="9153" spans="3:13" ht="25.5" hidden="1" x14ac:dyDescent="0.2">
      <c r="F9153" s="503" t="s">
        <v>255</v>
      </c>
      <c r="G9153" s="504" t="s">
        <v>256</v>
      </c>
      <c r="H9153" s="397"/>
      <c r="I9153" s="397"/>
      <c r="J9153" s="750" t="e">
        <f t="shared" si="125"/>
        <v>#DIV/0!</v>
      </c>
      <c r="K9153" s="398"/>
      <c r="L9153" s="404"/>
      <c r="M9153" s="682"/>
    </row>
    <row r="9154" spans="3:13" ht="25.5" hidden="1" x14ac:dyDescent="0.2">
      <c r="F9154" s="503" t="s">
        <v>257</v>
      </c>
      <c r="G9154" s="504" t="s">
        <v>258</v>
      </c>
      <c r="H9154" s="397"/>
      <c r="I9154" s="397"/>
      <c r="J9154" s="750" t="e">
        <f t="shared" si="125"/>
        <v>#DIV/0!</v>
      </c>
      <c r="K9154" s="398"/>
      <c r="L9154" s="404"/>
      <c r="M9154" s="682"/>
    </row>
    <row r="9155" spans="3:13" ht="25.5" hidden="1" x14ac:dyDescent="0.2">
      <c r="F9155" s="503" t="s">
        <v>259</v>
      </c>
      <c r="G9155" s="504" t="s">
        <v>260</v>
      </c>
      <c r="H9155" s="397"/>
      <c r="I9155" s="397"/>
      <c r="J9155" s="750" t="e">
        <f t="shared" si="125"/>
        <v>#DIV/0!</v>
      </c>
      <c r="K9155" s="398"/>
      <c r="L9155" s="404"/>
      <c r="M9155" s="682"/>
    </row>
    <row r="9156" spans="3:13" ht="25.5" hidden="1" x14ac:dyDescent="0.2">
      <c r="F9156" s="503" t="s">
        <v>261</v>
      </c>
      <c r="G9156" s="504" t="s">
        <v>262</v>
      </c>
      <c r="H9156" s="397"/>
      <c r="I9156" s="397"/>
      <c r="J9156" s="750" t="e">
        <f t="shared" si="125"/>
        <v>#DIV/0!</v>
      </c>
      <c r="K9156" s="398"/>
      <c r="L9156" s="404"/>
      <c r="M9156" s="682"/>
    </row>
    <row r="9157" spans="3:13" ht="13.5" customHeight="1" thickBot="1" x14ac:dyDescent="0.25">
      <c r="F9157" s="549" t="s">
        <v>246</v>
      </c>
      <c r="G9157" s="504" t="s">
        <v>5395</v>
      </c>
      <c r="H9157" s="403"/>
      <c r="I9157" s="403"/>
      <c r="J9157" s="750"/>
      <c r="K9157" s="404"/>
      <c r="L9157" s="404">
        <f>SUM(L9140)</f>
        <v>1976655.7</v>
      </c>
      <c r="M9157" s="682"/>
    </row>
    <row r="9158" spans="3:13" ht="14.25" customHeight="1" thickBot="1" x14ac:dyDescent="0.25">
      <c r="G9158" s="505" t="s">
        <v>5005</v>
      </c>
      <c r="H9158" s="405">
        <f>SUM(H9142:H9157)</f>
        <v>4520000</v>
      </c>
      <c r="I9158" s="405">
        <f>SUM(I9140)</f>
        <v>3933274.19</v>
      </c>
      <c r="J9158" s="750">
        <f t="shared" si="125"/>
        <v>87.019340486725667</v>
      </c>
      <c r="K9158" s="406">
        <f>SUM(K9143:K9157)</f>
        <v>0</v>
      </c>
      <c r="L9158" s="406">
        <f>SUM(L9157)</f>
        <v>1976655.7</v>
      </c>
      <c r="M9158" s="682"/>
    </row>
    <row r="9159" spans="3:13" hidden="1" x14ac:dyDescent="0.2">
      <c r="H9159" s="397"/>
      <c r="I9159" s="397"/>
      <c r="J9159" s="750" t="e">
        <f t="shared" si="125"/>
        <v>#DIV/0!</v>
      </c>
      <c r="K9159" s="398"/>
      <c r="L9159" s="398"/>
      <c r="M9159" s="682"/>
    </row>
    <row r="9160" spans="3:13" hidden="1" x14ac:dyDescent="0.2">
      <c r="C9160" s="489" t="s">
        <v>4579</v>
      </c>
      <c r="D9160" s="490"/>
      <c r="G9160" s="508" t="s">
        <v>5076</v>
      </c>
      <c r="H9160" s="397"/>
      <c r="I9160" s="397"/>
      <c r="J9160" s="750" t="e">
        <f t="shared" si="125"/>
        <v>#DIV/0!</v>
      </c>
      <c r="K9160" s="398"/>
      <c r="L9160" s="398"/>
      <c r="M9160" s="682"/>
    </row>
    <row r="9161" spans="3:13" hidden="1" x14ac:dyDescent="0.2">
      <c r="C9161" s="489"/>
      <c r="D9161" s="492">
        <v>473</v>
      </c>
      <c r="E9161" s="492"/>
      <c r="F9161" s="492"/>
      <c r="G9161" s="551" t="s">
        <v>162</v>
      </c>
      <c r="H9161" s="397"/>
      <c r="I9161" s="397"/>
      <c r="J9161" s="750" t="e">
        <f t="shared" si="125"/>
        <v>#DIV/0!</v>
      </c>
      <c r="K9161" s="398"/>
      <c r="L9161" s="398"/>
      <c r="M9161" s="682"/>
    </row>
    <row r="9162" spans="3:13" hidden="1" x14ac:dyDescent="0.2">
      <c r="F9162" s="494">
        <v>411</v>
      </c>
      <c r="G9162" s="495" t="s">
        <v>4167</v>
      </c>
      <c r="H9162" s="397"/>
      <c r="I9162" s="397"/>
      <c r="J9162" s="750" t="e">
        <f t="shared" si="125"/>
        <v>#DIV/0!</v>
      </c>
      <c r="K9162" s="398"/>
      <c r="L9162" s="398"/>
      <c r="M9162" s="682"/>
    </row>
    <row r="9163" spans="3:13" hidden="1" x14ac:dyDescent="0.2">
      <c r="F9163" s="494">
        <v>412</v>
      </c>
      <c r="G9163" s="496" t="s">
        <v>3764</v>
      </c>
      <c r="H9163" s="397"/>
      <c r="I9163" s="397"/>
      <c r="J9163" s="750" t="e">
        <f t="shared" si="125"/>
        <v>#DIV/0!</v>
      </c>
      <c r="K9163" s="398"/>
      <c r="L9163" s="398"/>
      <c r="M9163" s="682"/>
    </row>
    <row r="9164" spans="3:13" hidden="1" x14ac:dyDescent="0.2">
      <c r="F9164" s="494">
        <v>413</v>
      </c>
      <c r="G9164" s="495" t="s">
        <v>4168</v>
      </c>
      <c r="H9164" s="397"/>
      <c r="I9164" s="397"/>
      <c r="J9164" s="750" t="e">
        <f t="shared" si="125"/>
        <v>#DIV/0!</v>
      </c>
      <c r="K9164" s="398"/>
      <c r="L9164" s="398"/>
      <c r="M9164" s="682"/>
    </row>
    <row r="9165" spans="3:13" hidden="1" x14ac:dyDescent="0.2">
      <c r="F9165" s="494">
        <v>414</v>
      </c>
      <c r="G9165" s="495" t="s">
        <v>3767</v>
      </c>
      <c r="H9165" s="397"/>
      <c r="I9165" s="397"/>
      <c r="J9165" s="750" t="e">
        <f t="shared" si="125"/>
        <v>#DIV/0!</v>
      </c>
      <c r="K9165" s="398"/>
      <c r="L9165" s="398"/>
      <c r="M9165" s="682"/>
    </row>
    <row r="9166" spans="3:13" hidden="1" x14ac:dyDescent="0.2">
      <c r="F9166" s="494">
        <v>415</v>
      </c>
      <c r="G9166" s="495" t="s">
        <v>4177</v>
      </c>
      <c r="H9166" s="397"/>
      <c r="I9166" s="397"/>
      <c r="J9166" s="750" t="e">
        <f t="shared" ref="J9166:J9229" si="126">SUM(I9166/H9166)*100</f>
        <v>#DIV/0!</v>
      </c>
      <c r="K9166" s="398"/>
      <c r="L9166" s="398"/>
      <c r="M9166" s="682"/>
    </row>
    <row r="9167" spans="3:13" ht="25.5" hidden="1" x14ac:dyDescent="0.2">
      <c r="F9167" s="494">
        <v>416</v>
      </c>
      <c r="G9167" s="495" t="s">
        <v>4178</v>
      </c>
      <c r="H9167" s="397"/>
      <c r="I9167" s="397"/>
      <c r="J9167" s="750" t="e">
        <f t="shared" si="126"/>
        <v>#DIV/0!</v>
      </c>
      <c r="K9167" s="398"/>
      <c r="L9167" s="398"/>
      <c r="M9167" s="682"/>
    </row>
    <row r="9168" spans="3:13" hidden="1" x14ac:dyDescent="0.2">
      <c r="F9168" s="494">
        <v>417</v>
      </c>
      <c r="G9168" s="495" t="s">
        <v>4179</v>
      </c>
      <c r="H9168" s="397"/>
      <c r="I9168" s="397"/>
      <c r="J9168" s="750" t="e">
        <f t="shared" si="126"/>
        <v>#DIV/0!</v>
      </c>
      <c r="K9168" s="398"/>
      <c r="L9168" s="398"/>
      <c r="M9168" s="682"/>
    </row>
    <row r="9169" spans="6:13" hidden="1" x14ac:dyDescent="0.2">
      <c r="F9169" s="494">
        <v>418</v>
      </c>
      <c r="G9169" s="495" t="s">
        <v>3773</v>
      </c>
      <c r="H9169" s="397"/>
      <c r="I9169" s="397"/>
      <c r="J9169" s="750" t="e">
        <f t="shared" si="126"/>
        <v>#DIV/0!</v>
      </c>
      <c r="K9169" s="398"/>
      <c r="L9169" s="398"/>
      <c r="M9169" s="682"/>
    </row>
    <row r="9170" spans="6:13" hidden="1" x14ac:dyDescent="0.2">
      <c r="F9170" s="494">
        <v>421</v>
      </c>
      <c r="G9170" s="495" t="s">
        <v>3777</v>
      </c>
      <c r="H9170" s="397"/>
      <c r="I9170" s="397"/>
      <c r="J9170" s="750" t="e">
        <f t="shared" si="126"/>
        <v>#DIV/0!</v>
      </c>
      <c r="K9170" s="398"/>
      <c r="L9170" s="398"/>
      <c r="M9170" s="682"/>
    </row>
    <row r="9171" spans="6:13" hidden="1" x14ac:dyDescent="0.2">
      <c r="F9171" s="494">
        <v>422</v>
      </c>
      <c r="G9171" s="495" t="s">
        <v>3778</v>
      </c>
      <c r="H9171" s="397"/>
      <c r="I9171" s="397"/>
      <c r="J9171" s="750" t="e">
        <f t="shared" si="126"/>
        <v>#DIV/0!</v>
      </c>
      <c r="K9171" s="398"/>
      <c r="L9171" s="398"/>
      <c r="M9171" s="682"/>
    </row>
    <row r="9172" spans="6:13" hidden="1" x14ac:dyDescent="0.2">
      <c r="F9172" s="494">
        <v>423</v>
      </c>
      <c r="G9172" s="495" t="s">
        <v>3779</v>
      </c>
      <c r="H9172" s="397"/>
      <c r="I9172" s="397"/>
      <c r="J9172" s="750" t="e">
        <f t="shared" si="126"/>
        <v>#DIV/0!</v>
      </c>
      <c r="K9172" s="398"/>
      <c r="L9172" s="398"/>
      <c r="M9172" s="682"/>
    </row>
    <row r="9173" spans="6:13" hidden="1" x14ac:dyDescent="0.2">
      <c r="F9173" s="494">
        <v>424</v>
      </c>
      <c r="G9173" s="495" t="s">
        <v>3781</v>
      </c>
      <c r="H9173" s="397"/>
      <c r="I9173" s="397"/>
      <c r="J9173" s="750" t="e">
        <f t="shared" si="126"/>
        <v>#DIV/0!</v>
      </c>
      <c r="K9173" s="398"/>
      <c r="L9173" s="398"/>
      <c r="M9173" s="682"/>
    </row>
    <row r="9174" spans="6:13" hidden="1" x14ac:dyDescent="0.2">
      <c r="F9174" s="494">
        <v>425</v>
      </c>
      <c r="G9174" s="495" t="s">
        <v>4180</v>
      </c>
      <c r="H9174" s="397"/>
      <c r="I9174" s="397"/>
      <c r="J9174" s="750" t="e">
        <f t="shared" si="126"/>
        <v>#DIV/0!</v>
      </c>
      <c r="K9174" s="398"/>
      <c r="L9174" s="398"/>
      <c r="M9174" s="682"/>
    </row>
    <row r="9175" spans="6:13" hidden="1" x14ac:dyDescent="0.2">
      <c r="F9175" s="494">
        <v>426</v>
      </c>
      <c r="G9175" s="495" t="s">
        <v>3785</v>
      </c>
      <c r="H9175" s="397"/>
      <c r="I9175" s="397"/>
      <c r="J9175" s="750" t="e">
        <f t="shared" si="126"/>
        <v>#DIV/0!</v>
      </c>
      <c r="K9175" s="398"/>
      <c r="L9175" s="398"/>
      <c r="M9175" s="682"/>
    </row>
    <row r="9176" spans="6:13" hidden="1" x14ac:dyDescent="0.2">
      <c r="F9176" s="494">
        <v>431</v>
      </c>
      <c r="G9176" s="495" t="s">
        <v>4181</v>
      </c>
      <c r="H9176" s="397"/>
      <c r="I9176" s="397"/>
      <c r="J9176" s="750" t="e">
        <f t="shared" si="126"/>
        <v>#DIV/0!</v>
      </c>
      <c r="K9176" s="398"/>
      <c r="L9176" s="398"/>
      <c r="M9176" s="682"/>
    </row>
    <row r="9177" spans="6:13" hidden="1" x14ac:dyDescent="0.2">
      <c r="F9177" s="494">
        <v>432</v>
      </c>
      <c r="G9177" s="495" t="s">
        <v>4182</v>
      </c>
      <c r="H9177" s="397"/>
      <c r="I9177" s="397"/>
      <c r="J9177" s="750" t="e">
        <f t="shared" si="126"/>
        <v>#DIV/0!</v>
      </c>
      <c r="K9177" s="398"/>
      <c r="L9177" s="398"/>
      <c r="M9177" s="682"/>
    </row>
    <row r="9178" spans="6:13" hidden="1" x14ac:dyDescent="0.2">
      <c r="F9178" s="494">
        <v>433</v>
      </c>
      <c r="G9178" s="495" t="s">
        <v>4183</v>
      </c>
      <c r="H9178" s="397"/>
      <c r="I9178" s="397"/>
      <c r="J9178" s="750" t="e">
        <f t="shared" si="126"/>
        <v>#DIV/0!</v>
      </c>
      <c r="K9178" s="398"/>
      <c r="L9178" s="398"/>
      <c r="M9178" s="682"/>
    </row>
    <row r="9179" spans="6:13" hidden="1" x14ac:dyDescent="0.2">
      <c r="F9179" s="494">
        <v>434</v>
      </c>
      <c r="G9179" s="495" t="s">
        <v>4184</v>
      </c>
      <c r="H9179" s="397"/>
      <c r="I9179" s="397"/>
      <c r="J9179" s="750" t="e">
        <f t="shared" si="126"/>
        <v>#DIV/0!</v>
      </c>
      <c r="K9179" s="398"/>
      <c r="L9179" s="398"/>
      <c r="M9179" s="682"/>
    </row>
    <row r="9180" spans="6:13" hidden="1" x14ac:dyDescent="0.2">
      <c r="F9180" s="494">
        <v>435</v>
      </c>
      <c r="G9180" s="495" t="s">
        <v>3792</v>
      </c>
      <c r="H9180" s="397"/>
      <c r="I9180" s="397"/>
      <c r="J9180" s="750" t="e">
        <f t="shared" si="126"/>
        <v>#DIV/0!</v>
      </c>
      <c r="K9180" s="398"/>
      <c r="L9180" s="398"/>
      <c r="M9180" s="682"/>
    </row>
    <row r="9181" spans="6:13" hidden="1" x14ac:dyDescent="0.2">
      <c r="F9181" s="494">
        <v>441</v>
      </c>
      <c r="G9181" s="495" t="s">
        <v>4185</v>
      </c>
      <c r="H9181" s="397"/>
      <c r="I9181" s="397"/>
      <c r="J9181" s="750" t="e">
        <f t="shared" si="126"/>
        <v>#DIV/0!</v>
      </c>
      <c r="K9181" s="398"/>
      <c r="L9181" s="398"/>
      <c r="M9181" s="682"/>
    </row>
    <row r="9182" spans="6:13" hidden="1" x14ac:dyDescent="0.2">
      <c r="F9182" s="494">
        <v>442</v>
      </c>
      <c r="G9182" s="495" t="s">
        <v>4186</v>
      </c>
      <c r="H9182" s="397"/>
      <c r="I9182" s="397"/>
      <c r="J9182" s="750" t="e">
        <f t="shared" si="126"/>
        <v>#DIV/0!</v>
      </c>
      <c r="K9182" s="398"/>
      <c r="L9182" s="398"/>
      <c r="M9182" s="682"/>
    </row>
    <row r="9183" spans="6:13" hidden="1" x14ac:dyDescent="0.2">
      <c r="F9183" s="494">
        <v>443</v>
      </c>
      <c r="G9183" s="495" t="s">
        <v>3797</v>
      </c>
      <c r="H9183" s="397"/>
      <c r="I9183" s="397"/>
      <c r="J9183" s="750" t="e">
        <f t="shared" si="126"/>
        <v>#DIV/0!</v>
      </c>
      <c r="K9183" s="398"/>
      <c r="L9183" s="398"/>
      <c r="M9183" s="682"/>
    </row>
    <row r="9184" spans="6:13" hidden="1" x14ac:dyDescent="0.2">
      <c r="F9184" s="494">
        <v>444</v>
      </c>
      <c r="G9184" s="495" t="s">
        <v>3798</v>
      </c>
      <c r="H9184" s="397"/>
      <c r="I9184" s="397"/>
      <c r="J9184" s="750" t="e">
        <f t="shared" si="126"/>
        <v>#DIV/0!</v>
      </c>
      <c r="K9184" s="398"/>
      <c r="L9184" s="398"/>
      <c r="M9184" s="682"/>
    </row>
    <row r="9185" spans="6:13" ht="25.5" hidden="1" x14ac:dyDescent="0.2">
      <c r="F9185" s="494">
        <v>4511</v>
      </c>
      <c r="G9185" s="466" t="s">
        <v>1692</v>
      </c>
      <c r="H9185" s="397"/>
      <c r="I9185" s="397"/>
      <c r="J9185" s="750" t="e">
        <f t="shared" si="126"/>
        <v>#DIV/0!</v>
      </c>
      <c r="K9185" s="398"/>
      <c r="L9185" s="398"/>
      <c r="M9185" s="682"/>
    </row>
    <row r="9186" spans="6:13" ht="25.5" hidden="1" x14ac:dyDescent="0.2">
      <c r="F9186" s="494">
        <v>4512</v>
      </c>
      <c r="G9186" s="466" t="s">
        <v>1701</v>
      </c>
      <c r="H9186" s="397"/>
      <c r="I9186" s="397"/>
      <c r="J9186" s="750" t="e">
        <f t="shared" si="126"/>
        <v>#DIV/0!</v>
      </c>
      <c r="K9186" s="398"/>
      <c r="L9186" s="398"/>
      <c r="M9186" s="682"/>
    </row>
    <row r="9187" spans="6:13" ht="25.5" hidden="1" x14ac:dyDescent="0.2">
      <c r="F9187" s="494">
        <v>452</v>
      </c>
      <c r="G9187" s="495" t="s">
        <v>4187</v>
      </c>
      <c r="H9187" s="397"/>
      <c r="I9187" s="397"/>
      <c r="J9187" s="750" t="e">
        <f t="shared" si="126"/>
        <v>#DIV/0!</v>
      </c>
      <c r="K9187" s="398"/>
      <c r="L9187" s="398"/>
      <c r="M9187" s="682"/>
    </row>
    <row r="9188" spans="6:13" ht="25.5" hidden="1" x14ac:dyDescent="0.2">
      <c r="F9188" s="494">
        <v>453</v>
      </c>
      <c r="G9188" s="495" t="s">
        <v>4188</v>
      </c>
      <c r="H9188" s="397"/>
      <c r="I9188" s="397"/>
      <c r="J9188" s="750" t="e">
        <f t="shared" si="126"/>
        <v>#DIV/0!</v>
      </c>
      <c r="K9188" s="398"/>
      <c r="L9188" s="398"/>
      <c r="M9188" s="682"/>
    </row>
    <row r="9189" spans="6:13" hidden="1" x14ac:dyDescent="0.2">
      <c r="F9189" s="494">
        <v>454</v>
      </c>
      <c r="G9189" s="495" t="s">
        <v>3803</v>
      </c>
      <c r="H9189" s="397"/>
      <c r="I9189" s="397"/>
      <c r="J9189" s="750" t="e">
        <f t="shared" si="126"/>
        <v>#DIV/0!</v>
      </c>
      <c r="K9189" s="398"/>
      <c r="L9189" s="398"/>
      <c r="M9189" s="682"/>
    </row>
    <row r="9190" spans="6:13" hidden="1" x14ac:dyDescent="0.2">
      <c r="F9190" s="494">
        <v>461</v>
      </c>
      <c r="G9190" s="495" t="s">
        <v>4169</v>
      </c>
      <c r="H9190" s="397"/>
      <c r="I9190" s="397"/>
      <c r="J9190" s="750" t="e">
        <f t="shared" si="126"/>
        <v>#DIV/0!</v>
      </c>
      <c r="K9190" s="398"/>
      <c r="L9190" s="398"/>
      <c r="M9190" s="682"/>
    </row>
    <row r="9191" spans="6:13" ht="25.5" hidden="1" x14ac:dyDescent="0.2">
      <c r="F9191" s="494">
        <v>462</v>
      </c>
      <c r="G9191" s="495" t="s">
        <v>3806</v>
      </c>
      <c r="H9191" s="397"/>
      <c r="I9191" s="397"/>
      <c r="J9191" s="750" t="e">
        <f t="shared" si="126"/>
        <v>#DIV/0!</v>
      </c>
      <c r="K9191" s="398"/>
      <c r="L9191" s="398"/>
      <c r="M9191" s="682"/>
    </row>
    <row r="9192" spans="6:13" hidden="1" x14ac:dyDescent="0.2">
      <c r="F9192" s="494">
        <v>4631</v>
      </c>
      <c r="G9192" s="495" t="s">
        <v>3807</v>
      </c>
      <c r="H9192" s="397"/>
      <c r="I9192" s="397"/>
      <c r="J9192" s="750" t="e">
        <f t="shared" si="126"/>
        <v>#DIV/0!</v>
      </c>
      <c r="K9192" s="398"/>
      <c r="L9192" s="398"/>
      <c r="M9192" s="682"/>
    </row>
    <row r="9193" spans="6:13" hidden="1" x14ac:dyDescent="0.2">
      <c r="F9193" s="494">
        <v>4632</v>
      </c>
      <c r="G9193" s="495" t="s">
        <v>3808</v>
      </c>
      <c r="H9193" s="397"/>
      <c r="I9193" s="397"/>
      <c r="J9193" s="750" t="e">
        <f t="shared" si="126"/>
        <v>#DIV/0!</v>
      </c>
      <c r="K9193" s="398"/>
      <c r="L9193" s="398"/>
      <c r="M9193" s="682"/>
    </row>
    <row r="9194" spans="6:13" ht="25.5" hidden="1" x14ac:dyDescent="0.2">
      <c r="F9194" s="494">
        <v>464</v>
      </c>
      <c r="G9194" s="495" t="s">
        <v>3809</v>
      </c>
      <c r="H9194" s="397"/>
      <c r="I9194" s="397"/>
      <c r="J9194" s="750" t="e">
        <f t="shared" si="126"/>
        <v>#DIV/0!</v>
      </c>
      <c r="K9194" s="398"/>
      <c r="L9194" s="398"/>
      <c r="M9194" s="682"/>
    </row>
    <row r="9195" spans="6:13" hidden="1" x14ac:dyDescent="0.2">
      <c r="F9195" s="494">
        <v>465</v>
      </c>
      <c r="G9195" s="495" t="s">
        <v>4170</v>
      </c>
      <c r="H9195" s="397"/>
      <c r="I9195" s="397"/>
      <c r="J9195" s="750" t="e">
        <f t="shared" si="126"/>
        <v>#DIV/0!</v>
      </c>
      <c r="K9195" s="398"/>
      <c r="L9195" s="398"/>
      <c r="M9195" s="682"/>
    </row>
    <row r="9196" spans="6:13" hidden="1" x14ac:dyDescent="0.2">
      <c r="F9196" s="494">
        <v>472</v>
      </c>
      <c r="G9196" s="495" t="s">
        <v>3813</v>
      </c>
      <c r="H9196" s="397"/>
      <c r="I9196" s="397"/>
      <c r="J9196" s="750" t="e">
        <f t="shared" si="126"/>
        <v>#DIV/0!</v>
      </c>
      <c r="K9196" s="398"/>
      <c r="L9196" s="398"/>
      <c r="M9196" s="682"/>
    </row>
    <row r="9197" spans="6:13" hidden="1" x14ac:dyDescent="0.2">
      <c r="F9197" s="494">
        <v>481</v>
      </c>
      <c r="G9197" s="495" t="s">
        <v>4189</v>
      </c>
      <c r="H9197" s="397"/>
      <c r="I9197" s="397"/>
      <c r="J9197" s="750" t="e">
        <f t="shared" si="126"/>
        <v>#DIV/0!</v>
      </c>
      <c r="K9197" s="398"/>
      <c r="L9197" s="398"/>
      <c r="M9197" s="682"/>
    </row>
    <row r="9198" spans="6:13" hidden="1" x14ac:dyDescent="0.2">
      <c r="F9198" s="494">
        <v>482</v>
      </c>
      <c r="G9198" s="495" t="s">
        <v>4190</v>
      </c>
      <c r="H9198" s="397"/>
      <c r="I9198" s="397"/>
      <c r="J9198" s="750" t="e">
        <f t="shared" si="126"/>
        <v>#DIV/0!</v>
      </c>
      <c r="K9198" s="398"/>
      <c r="L9198" s="398"/>
      <c r="M9198" s="682"/>
    </row>
    <row r="9199" spans="6:13" hidden="1" x14ac:dyDescent="0.2">
      <c r="F9199" s="494">
        <v>483</v>
      </c>
      <c r="G9199" s="497" t="s">
        <v>4191</v>
      </c>
      <c r="H9199" s="397"/>
      <c r="I9199" s="397"/>
      <c r="J9199" s="750" t="e">
        <f t="shared" si="126"/>
        <v>#DIV/0!</v>
      </c>
      <c r="K9199" s="398"/>
      <c r="L9199" s="398"/>
      <c r="M9199" s="682"/>
    </row>
    <row r="9200" spans="6:13" ht="38.25" hidden="1" x14ac:dyDescent="0.2">
      <c r="F9200" s="494">
        <v>484</v>
      </c>
      <c r="G9200" s="495" t="s">
        <v>4192</v>
      </c>
      <c r="H9200" s="397"/>
      <c r="I9200" s="397"/>
      <c r="J9200" s="750" t="e">
        <f t="shared" si="126"/>
        <v>#DIV/0!</v>
      </c>
      <c r="K9200" s="398"/>
      <c r="L9200" s="398"/>
      <c r="M9200" s="682"/>
    </row>
    <row r="9201" spans="6:13" ht="25.5" hidden="1" x14ac:dyDescent="0.2">
      <c r="F9201" s="494">
        <v>485</v>
      </c>
      <c r="G9201" s="495" t="s">
        <v>4193</v>
      </c>
      <c r="H9201" s="397"/>
      <c r="I9201" s="397"/>
      <c r="J9201" s="750" t="e">
        <f t="shared" si="126"/>
        <v>#DIV/0!</v>
      </c>
      <c r="K9201" s="398"/>
      <c r="L9201" s="398"/>
      <c r="M9201" s="682"/>
    </row>
    <row r="9202" spans="6:13" ht="25.5" hidden="1" x14ac:dyDescent="0.2">
      <c r="F9202" s="494">
        <v>489</v>
      </c>
      <c r="G9202" s="495" t="s">
        <v>3821</v>
      </c>
      <c r="H9202" s="397"/>
      <c r="I9202" s="397"/>
      <c r="J9202" s="750" t="e">
        <f t="shared" si="126"/>
        <v>#DIV/0!</v>
      </c>
      <c r="K9202" s="398"/>
      <c r="L9202" s="398"/>
      <c r="M9202" s="682"/>
    </row>
    <row r="9203" spans="6:13" ht="25.5" hidden="1" x14ac:dyDescent="0.2">
      <c r="F9203" s="494">
        <v>494</v>
      </c>
      <c r="G9203" s="495" t="s">
        <v>4171</v>
      </c>
      <c r="H9203" s="397"/>
      <c r="I9203" s="397"/>
      <c r="J9203" s="750" t="e">
        <f t="shared" si="126"/>
        <v>#DIV/0!</v>
      </c>
      <c r="K9203" s="398"/>
      <c r="L9203" s="398"/>
      <c r="M9203" s="682"/>
    </row>
    <row r="9204" spans="6:13" ht="25.5" hidden="1" x14ac:dyDescent="0.2">
      <c r="F9204" s="494">
        <v>495</v>
      </c>
      <c r="G9204" s="495" t="s">
        <v>4172</v>
      </c>
      <c r="H9204" s="397"/>
      <c r="I9204" s="397"/>
      <c r="J9204" s="750" t="e">
        <f t="shared" si="126"/>
        <v>#DIV/0!</v>
      </c>
      <c r="K9204" s="398"/>
      <c r="L9204" s="398"/>
      <c r="M9204" s="682"/>
    </row>
    <row r="9205" spans="6:13" ht="38.25" hidden="1" x14ac:dyDescent="0.2">
      <c r="F9205" s="494">
        <v>496</v>
      </c>
      <c r="G9205" s="495" t="s">
        <v>4173</v>
      </c>
      <c r="H9205" s="397"/>
      <c r="I9205" s="397"/>
      <c r="J9205" s="750" t="e">
        <f t="shared" si="126"/>
        <v>#DIV/0!</v>
      </c>
      <c r="K9205" s="398"/>
      <c r="L9205" s="398"/>
      <c r="M9205" s="682"/>
    </row>
    <row r="9206" spans="6:13" ht="25.5" hidden="1" x14ac:dyDescent="0.2">
      <c r="F9206" s="494">
        <v>499</v>
      </c>
      <c r="G9206" s="495" t="s">
        <v>4174</v>
      </c>
      <c r="H9206" s="397"/>
      <c r="I9206" s="397"/>
      <c r="J9206" s="750" t="e">
        <f t="shared" si="126"/>
        <v>#DIV/0!</v>
      </c>
      <c r="K9206" s="398"/>
      <c r="L9206" s="398"/>
      <c r="M9206" s="682"/>
    </row>
    <row r="9207" spans="6:13" hidden="1" x14ac:dyDescent="0.2">
      <c r="F9207" s="494">
        <v>511</v>
      </c>
      <c r="G9207" s="497" t="s">
        <v>4194</v>
      </c>
      <c r="H9207" s="397"/>
      <c r="I9207" s="397"/>
      <c r="J9207" s="750" t="e">
        <f t="shared" si="126"/>
        <v>#DIV/0!</v>
      </c>
      <c r="K9207" s="398"/>
      <c r="L9207" s="398"/>
      <c r="M9207" s="682"/>
    </row>
    <row r="9208" spans="6:13" hidden="1" x14ac:dyDescent="0.2">
      <c r="F9208" s="494">
        <v>512</v>
      </c>
      <c r="G9208" s="497" t="s">
        <v>4195</v>
      </c>
      <c r="H9208" s="397"/>
      <c r="I9208" s="397"/>
      <c r="J9208" s="750" t="e">
        <f t="shared" si="126"/>
        <v>#DIV/0!</v>
      </c>
      <c r="K9208" s="398"/>
      <c r="L9208" s="398"/>
      <c r="M9208" s="682"/>
    </row>
    <row r="9209" spans="6:13" hidden="1" x14ac:dyDescent="0.2">
      <c r="F9209" s="494">
        <v>513</v>
      </c>
      <c r="G9209" s="497" t="s">
        <v>4196</v>
      </c>
      <c r="H9209" s="397"/>
      <c r="I9209" s="397"/>
      <c r="J9209" s="750" t="e">
        <f t="shared" si="126"/>
        <v>#DIV/0!</v>
      </c>
      <c r="K9209" s="398"/>
      <c r="L9209" s="398"/>
      <c r="M9209" s="682"/>
    </row>
    <row r="9210" spans="6:13" hidden="1" x14ac:dyDescent="0.2">
      <c r="F9210" s="494">
        <v>514</v>
      </c>
      <c r="G9210" s="495" t="s">
        <v>4197</v>
      </c>
      <c r="H9210" s="397"/>
      <c r="I9210" s="397"/>
      <c r="J9210" s="750" t="e">
        <f t="shared" si="126"/>
        <v>#DIV/0!</v>
      </c>
      <c r="K9210" s="398"/>
      <c r="L9210" s="398"/>
      <c r="M9210" s="682"/>
    </row>
    <row r="9211" spans="6:13" hidden="1" x14ac:dyDescent="0.2">
      <c r="F9211" s="494">
        <v>515</v>
      </c>
      <c r="G9211" s="495" t="s">
        <v>3832</v>
      </c>
      <c r="H9211" s="397"/>
      <c r="I9211" s="397"/>
      <c r="J9211" s="750" t="e">
        <f t="shared" si="126"/>
        <v>#DIV/0!</v>
      </c>
      <c r="K9211" s="398"/>
      <c r="L9211" s="398"/>
      <c r="M9211" s="682"/>
    </row>
    <row r="9212" spans="6:13" hidden="1" x14ac:dyDescent="0.2">
      <c r="F9212" s="494">
        <v>521</v>
      </c>
      <c r="G9212" s="495" t="s">
        <v>4198</v>
      </c>
      <c r="H9212" s="397"/>
      <c r="I9212" s="397"/>
      <c r="J9212" s="750" t="e">
        <f t="shared" si="126"/>
        <v>#DIV/0!</v>
      </c>
      <c r="K9212" s="398"/>
      <c r="L9212" s="398"/>
      <c r="M9212" s="682"/>
    </row>
    <row r="9213" spans="6:13" hidden="1" x14ac:dyDescent="0.2">
      <c r="F9213" s="494">
        <v>522</v>
      </c>
      <c r="G9213" s="495" t="s">
        <v>4199</v>
      </c>
      <c r="H9213" s="397"/>
      <c r="I9213" s="397"/>
      <c r="J9213" s="750" t="e">
        <f t="shared" si="126"/>
        <v>#DIV/0!</v>
      </c>
      <c r="K9213" s="398"/>
      <c r="L9213" s="398"/>
      <c r="M9213" s="682"/>
    </row>
    <row r="9214" spans="6:13" hidden="1" x14ac:dyDescent="0.2">
      <c r="F9214" s="494">
        <v>523</v>
      </c>
      <c r="G9214" s="495" t="s">
        <v>3837</v>
      </c>
      <c r="H9214" s="397"/>
      <c r="I9214" s="397"/>
      <c r="J9214" s="750" t="e">
        <f t="shared" si="126"/>
        <v>#DIV/0!</v>
      </c>
      <c r="K9214" s="398"/>
      <c r="L9214" s="398"/>
      <c r="M9214" s="682"/>
    </row>
    <row r="9215" spans="6:13" hidden="1" x14ac:dyDescent="0.2">
      <c r="F9215" s="494">
        <v>531</v>
      </c>
      <c r="G9215" s="496" t="s">
        <v>4175</v>
      </c>
      <c r="H9215" s="397"/>
      <c r="I9215" s="397"/>
      <c r="J9215" s="750" t="e">
        <f t="shared" si="126"/>
        <v>#DIV/0!</v>
      </c>
      <c r="K9215" s="398"/>
      <c r="L9215" s="398"/>
      <c r="M9215" s="682"/>
    </row>
    <row r="9216" spans="6:13" hidden="1" x14ac:dyDescent="0.2">
      <c r="F9216" s="494">
        <v>541</v>
      </c>
      <c r="G9216" s="495" t="s">
        <v>4200</v>
      </c>
      <c r="H9216" s="397"/>
      <c r="I9216" s="397"/>
      <c r="J9216" s="750" t="e">
        <f t="shared" si="126"/>
        <v>#DIV/0!</v>
      </c>
      <c r="K9216" s="398"/>
      <c r="L9216" s="398"/>
      <c r="M9216" s="682"/>
    </row>
    <row r="9217" spans="5:13" hidden="1" x14ac:dyDescent="0.2">
      <c r="F9217" s="494">
        <v>542</v>
      </c>
      <c r="G9217" s="495" t="s">
        <v>4201</v>
      </c>
      <c r="H9217" s="397"/>
      <c r="I9217" s="397"/>
      <c r="J9217" s="750" t="e">
        <f t="shared" si="126"/>
        <v>#DIV/0!</v>
      </c>
      <c r="K9217" s="398"/>
      <c r="L9217" s="398"/>
      <c r="M9217" s="682"/>
    </row>
    <row r="9218" spans="5:13" hidden="1" x14ac:dyDescent="0.2">
      <c r="F9218" s="494">
        <v>543</v>
      </c>
      <c r="G9218" s="495" t="s">
        <v>3842</v>
      </c>
      <c r="H9218" s="397"/>
      <c r="I9218" s="397"/>
      <c r="J9218" s="750" t="e">
        <f t="shared" si="126"/>
        <v>#DIV/0!</v>
      </c>
      <c r="K9218" s="398"/>
      <c r="L9218" s="398"/>
      <c r="M9218" s="682"/>
    </row>
    <row r="9219" spans="5:13" ht="38.25" hidden="1" x14ac:dyDescent="0.2">
      <c r="F9219" s="494">
        <v>551</v>
      </c>
      <c r="G9219" s="495" t="s">
        <v>4176</v>
      </c>
      <c r="H9219" s="397"/>
      <c r="I9219" s="397"/>
      <c r="J9219" s="750" t="e">
        <f t="shared" si="126"/>
        <v>#DIV/0!</v>
      </c>
      <c r="K9219" s="398"/>
      <c r="L9219" s="398"/>
      <c r="M9219" s="682"/>
    </row>
    <row r="9220" spans="5:13" hidden="1" x14ac:dyDescent="0.2">
      <c r="F9220" s="498">
        <v>611</v>
      </c>
      <c r="G9220" s="499" t="s">
        <v>3848</v>
      </c>
      <c r="H9220" s="397"/>
      <c r="I9220" s="397"/>
      <c r="J9220" s="750" t="e">
        <f t="shared" si="126"/>
        <v>#DIV/0!</v>
      </c>
      <c r="K9220" s="398"/>
      <c r="L9220" s="398"/>
      <c r="M9220" s="682"/>
    </row>
    <row r="9221" spans="5:13" hidden="1" x14ac:dyDescent="0.2">
      <c r="F9221" s="498">
        <v>620</v>
      </c>
      <c r="G9221" s="499" t="s">
        <v>88</v>
      </c>
      <c r="H9221" s="397"/>
      <c r="I9221" s="397"/>
      <c r="J9221" s="750" t="e">
        <f t="shared" si="126"/>
        <v>#DIV/0!</v>
      </c>
      <c r="K9221" s="398"/>
      <c r="L9221" s="398"/>
      <c r="M9221" s="682"/>
    </row>
    <row r="9222" spans="5:13" hidden="1" x14ac:dyDescent="0.2">
      <c r="E9222" s="500"/>
      <c r="F9222" s="498"/>
      <c r="G9222" s="501" t="s">
        <v>4392</v>
      </c>
      <c r="H9222" s="400"/>
      <c r="I9222" s="400"/>
      <c r="J9222" s="750" t="e">
        <f t="shared" si="126"/>
        <v>#DIV/0!</v>
      </c>
      <c r="K9222" s="401"/>
      <c r="L9222" s="402"/>
      <c r="M9222" s="682"/>
    </row>
    <row r="9223" spans="5:13" hidden="1" x14ac:dyDescent="0.2">
      <c r="E9223" s="502"/>
      <c r="F9223" s="503" t="s">
        <v>234</v>
      </c>
      <c r="G9223" s="504" t="s">
        <v>235</v>
      </c>
      <c r="H9223" s="403">
        <f>SUM(H9162:H9221)</f>
        <v>0</v>
      </c>
      <c r="I9223" s="403"/>
      <c r="J9223" s="750" t="e">
        <f t="shared" si="126"/>
        <v>#DIV/0!</v>
      </c>
      <c r="K9223" s="404"/>
      <c r="L9223" s="404"/>
      <c r="M9223" s="682"/>
    </row>
    <row r="9224" spans="5:13" hidden="1" x14ac:dyDescent="0.2">
      <c r="F9224" s="503" t="s">
        <v>236</v>
      </c>
      <c r="G9224" s="504" t="s">
        <v>237</v>
      </c>
      <c r="H9224" s="397"/>
      <c r="I9224" s="397"/>
      <c r="J9224" s="750" t="e">
        <f t="shared" si="126"/>
        <v>#DIV/0!</v>
      </c>
      <c r="K9224" s="398"/>
      <c r="L9224" s="404"/>
      <c r="M9224" s="682"/>
    </row>
    <row r="9225" spans="5:13" hidden="1" x14ac:dyDescent="0.2">
      <c r="F9225" s="503" t="s">
        <v>238</v>
      </c>
      <c r="G9225" s="504" t="s">
        <v>239</v>
      </c>
      <c r="H9225" s="397"/>
      <c r="I9225" s="397"/>
      <c r="J9225" s="750" t="e">
        <f t="shared" si="126"/>
        <v>#DIV/0!</v>
      </c>
      <c r="K9225" s="398"/>
      <c r="L9225" s="404"/>
      <c r="M9225" s="682"/>
    </row>
    <row r="9226" spans="5:13" hidden="1" x14ac:dyDescent="0.2">
      <c r="F9226" s="503" t="s">
        <v>240</v>
      </c>
      <c r="G9226" s="504" t="s">
        <v>241</v>
      </c>
      <c r="H9226" s="397"/>
      <c r="I9226" s="397"/>
      <c r="J9226" s="750" t="e">
        <f t="shared" si="126"/>
        <v>#DIV/0!</v>
      </c>
      <c r="K9226" s="398"/>
      <c r="L9226" s="404"/>
      <c r="M9226" s="682"/>
    </row>
    <row r="9227" spans="5:13" hidden="1" x14ac:dyDescent="0.2">
      <c r="F9227" s="503" t="s">
        <v>242</v>
      </c>
      <c r="G9227" s="504" t="s">
        <v>243</v>
      </c>
      <c r="H9227" s="397"/>
      <c r="I9227" s="397"/>
      <c r="J9227" s="750" t="e">
        <f t="shared" si="126"/>
        <v>#DIV/0!</v>
      </c>
      <c r="K9227" s="398"/>
      <c r="L9227" s="404"/>
      <c r="M9227" s="682"/>
    </row>
    <row r="9228" spans="5:13" hidden="1" x14ac:dyDescent="0.2">
      <c r="F9228" s="503" t="s">
        <v>244</v>
      </c>
      <c r="G9228" s="504" t="s">
        <v>245</v>
      </c>
      <c r="H9228" s="397"/>
      <c r="I9228" s="397"/>
      <c r="J9228" s="750" t="e">
        <f t="shared" si="126"/>
        <v>#DIV/0!</v>
      </c>
      <c r="K9228" s="398"/>
      <c r="L9228" s="404"/>
      <c r="M9228" s="682"/>
    </row>
    <row r="9229" spans="5:13" hidden="1" x14ac:dyDescent="0.2">
      <c r="F9229" s="503" t="s">
        <v>246</v>
      </c>
      <c r="G9229" s="504" t="s">
        <v>247</v>
      </c>
      <c r="H9229" s="397"/>
      <c r="I9229" s="397"/>
      <c r="J9229" s="750" t="e">
        <f t="shared" si="126"/>
        <v>#DIV/0!</v>
      </c>
      <c r="K9229" s="398"/>
      <c r="L9229" s="404"/>
      <c r="M9229" s="682"/>
    </row>
    <row r="9230" spans="5:13" ht="25.5" hidden="1" x14ac:dyDescent="0.2">
      <c r="F9230" s="503" t="s">
        <v>248</v>
      </c>
      <c r="G9230" s="504" t="s">
        <v>249</v>
      </c>
      <c r="H9230" s="397"/>
      <c r="I9230" s="397"/>
      <c r="J9230" s="750" t="e">
        <f t="shared" ref="J9230:J9293" si="127">SUM(I9230/H9230)*100</f>
        <v>#DIV/0!</v>
      </c>
      <c r="K9230" s="398"/>
      <c r="L9230" s="404"/>
      <c r="M9230" s="682"/>
    </row>
    <row r="9231" spans="5:13" hidden="1" x14ac:dyDescent="0.2">
      <c r="F9231" s="503" t="s">
        <v>250</v>
      </c>
      <c r="G9231" s="504" t="s">
        <v>57</v>
      </c>
      <c r="H9231" s="397"/>
      <c r="I9231" s="397"/>
      <c r="J9231" s="750" t="e">
        <f t="shared" si="127"/>
        <v>#DIV/0!</v>
      </c>
      <c r="K9231" s="398"/>
      <c r="L9231" s="404"/>
      <c r="M9231" s="682"/>
    </row>
    <row r="9232" spans="5:13" hidden="1" x14ac:dyDescent="0.2">
      <c r="F9232" s="503" t="s">
        <v>251</v>
      </c>
      <c r="G9232" s="504" t="s">
        <v>252</v>
      </c>
      <c r="H9232" s="397"/>
      <c r="I9232" s="397"/>
      <c r="J9232" s="750" t="e">
        <f t="shared" si="127"/>
        <v>#DIV/0!</v>
      </c>
      <c r="K9232" s="398"/>
      <c r="L9232" s="404"/>
      <c r="M9232" s="682"/>
    </row>
    <row r="9233" spans="5:13" hidden="1" x14ac:dyDescent="0.2">
      <c r="F9233" s="503" t="s">
        <v>253</v>
      </c>
      <c r="G9233" s="504" t="s">
        <v>254</v>
      </c>
      <c r="H9233" s="397"/>
      <c r="I9233" s="397"/>
      <c r="J9233" s="750" t="e">
        <f t="shared" si="127"/>
        <v>#DIV/0!</v>
      </c>
      <c r="K9233" s="398"/>
      <c r="L9233" s="404"/>
      <c r="M9233" s="682"/>
    </row>
    <row r="9234" spans="5:13" ht="25.5" hidden="1" x14ac:dyDescent="0.2">
      <c r="F9234" s="503" t="s">
        <v>255</v>
      </c>
      <c r="G9234" s="504" t="s">
        <v>256</v>
      </c>
      <c r="H9234" s="397"/>
      <c r="I9234" s="397"/>
      <c r="J9234" s="750" t="e">
        <f t="shared" si="127"/>
        <v>#DIV/0!</v>
      </c>
      <c r="K9234" s="398"/>
      <c r="L9234" s="404"/>
      <c r="M9234" s="682"/>
    </row>
    <row r="9235" spans="5:13" ht="25.5" hidden="1" x14ac:dyDescent="0.2">
      <c r="F9235" s="503" t="s">
        <v>257</v>
      </c>
      <c r="G9235" s="504" t="s">
        <v>258</v>
      </c>
      <c r="H9235" s="397"/>
      <c r="I9235" s="397"/>
      <c r="J9235" s="750" t="e">
        <f t="shared" si="127"/>
        <v>#DIV/0!</v>
      </c>
      <c r="K9235" s="398"/>
      <c r="L9235" s="404"/>
      <c r="M9235" s="682"/>
    </row>
    <row r="9236" spans="5:13" ht="25.5" hidden="1" x14ac:dyDescent="0.2">
      <c r="F9236" s="503" t="s">
        <v>259</v>
      </c>
      <c r="G9236" s="504" t="s">
        <v>260</v>
      </c>
      <c r="H9236" s="397"/>
      <c r="I9236" s="397"/>
      <c r="J9236" s="750" t="e">
        <f t="shared" si="127"/>
        <v>#DIV/0!</v>
      </c>
      <c r="K9236" s="398"/>
      <c r="L9236" s="404"/>
      <c r="M9236" s="682"/>
    </row>
    <row r="9237" spans="5:13" ht="25.5" hidden="1" x14ac:dyDescent="0.2">
      <c r="F9237" s="503" t="s">
        <v>261</v>
      </c>
      <c r="G9237" s="504" t="s">
        <v>262</v>
      </c>
      <c r="H9237" s="397"/>
      <c r="I9237" s="397"/>
      <c r="J9237" s="750" t="e">
        <f t="shared" si="127"/>
        <v>#DIV/0!</v>
      </c>
      <c r="K9237" s="398"/>
      <c r="L9237" s="404"/>
      <c r="M9237" s="682"/>
    </row>
    <row r="9238" spans="5:13" hidden="1" x14ac:dyDescent="0.2">
      <c r="F9238" s="503" t="s">
        <v>263</v>
      </c>
      <c r="G9238" s="504" t="s">
        <v>264</v>
      </c>
      <c r="H9238" s="403"/>
      <c r="I9238" s="403"/>
      <c r="J9238" s="750" t="e">
        <f t="shared" si="127"/>
        <v>#DIV/0!</v>
      </c>
      <c r="K9238" s="404"/>
      <c r="L9238" s="404"/>
      <c r="M9238" s="682"/>
    </row>
    <row r="9239" spans="5:13" ht="13.5" hidden="1" thickBot="1" x14ac:dyDescent="0.25">
      <c r="G9239" s="505" t="s">
        <v>4393</v>
      </c>
      <c r="H9239" s="405">
        <f>SUM(H9223:H9238)</f>
        <v>0</v>
      </c>
      <c r="I9239" s="405"/>
      <c r="J9239" s="750" t="e">
        <f t="shared" si="127"/>
        <v>#DIV/0!</v>
      </c>
      <c r="K9239" s="406">
        <f>SUM(K9224:K9238)</f>
        <v>0</v>
      </c>
      <c r="L9239" s="406"/>
      <c r="M9239" s="682"/>
    </row>
    <row r="9240" spans="5:13" hidden="1" x14ac:dyDescent="0.2">
      <c r="E9240" s="500"/>
      <c r="F9240" s="498"/>
      <c r="G9240" s="506" t="s">
        <v>5045</v>
      </c>
      <c r="H9240" s="407"/>
      <c r="I9240" s="408"/>
      <c r="J9240" s="750" t="e">
        <f t="shared" si="127"/>
        <v>#DIV/0!</v>
      </c>
      <c r="K9240" s="409"/>
      <c r="L9240" s="410"/>
      <c r="M9240" s="682"/>
    </row>
    <row r="9241" spans="5:13" hidden="1" x14ac:dyDescent="0.2">
      <c r="E9241" s="502"/>
      <c r="F9241" s="503" t="s">
        <v>234</v>
      </c>
      <c r="G9241" s="504" t="s">
        <v>235</v>
      </c>
      <c r="H9241" s="403">
        <f>SUM(H9162:H9221)</f>
        <v>0</v>
      </c>
      <c r="I9241" s="403"/>
      <c r="J9241" s="750" t="e">
        <f t="shared" si="127"/>
        <v>#DIV/0!</v>
      </c>
      <c r="K9241" s="404"/>
      <c r="L9241" s="404"/>
      <c r="M9241" s="682"/>
    </row>
    <row r="9242" spans="5:13" hidden="1" x14ac:dyDescent="0.2">
      <c r="F9242" s="503" t="s">
        <v>236</v>
      </c>
      <c r="G9242" s="504" t="s">
        <v>237</v>
      </c>
      <c r="H9242" s="397"/>
      <c r="I9242" s="397"/>
      <c r="J9242" s="750" t="e">
        <f t="shared" si="127"/>
        <v>#DIV/0!</v>
      </c>
      <c r="K9242" s="398"/>
      <c r="L9242" s="404"/>
      <c r="M9242" s="682"/>
    </row>
    <row r="9243" spans="5:13" hidden="1" x14ac:dyDescent="0.2">
      <c r="F9243" s="503" t="s">
        <v>238</v>
      </c>
      <c r="G9243" s="504" t="s">
        <v>239</v>
      </c>
      <c r="H9243" s="397"/>
      <c r="I9243" s="397"/>
      <c r="J9243" s="750" t="e">
        <f t="shared" si="127"/>
        <v>#DIV/0!</v>
      </c>
      <c r="K9243" s="398"/>
      <c r="L9243" s="404"/>
      <c r="M9243" s="682"/>
    </row>
    <row r="9244" spans="5:13" hidden="1" x14ac:dyDescent="0.2">
      <c r="F9244" s="503" t="s">
        <v>240</v>
      </c>
      <c r="G9244" s="504" t="s">
        <v>241</v>
      </c>
      <c r="H9244" s="397"/>
      <c r="I9244" s="397"/>
      <c r="J9244" s="750" t="e">
        <f t="shared" si="127"/>
        <v>#DIV/0!</v>
      </c>
      <c r="K9244" s="398"/>
      <c r="L9244" s="404"/>
      <c r="M9244" s="682"/>
    </row>
    <row r="9245" spans="5:13" hidden="1" x14ac:dyDescent="0.2">
      <c r="F9245" s="503" t="s">
        <v>242</v>
      </c>
      <c r="G9245" s="504" t="s">
        <v>243</v>
      </c>
      <c r="H9245" s="397"/>
      <c r="I9245" s="397"/>
      <c r="J9245" s="750" t="e">
        <f t="shared" si="127"/>
        <v>#DIV/0!</v>
      </c>
      <c r="K9245" s="398"/>
      <c r="L9245" s="404"/>
      <c r="M9245" s="682"/>
    </row>
    <row r="9246" spans="5:13" hidden="1" x14ac:dyDescent="0.2">
      <c r="F9246" s="503" t="s">
        <v>244</v>
      </c>
      <c r="G9246" s="504" t="s">
        <v>245</v>
      </c>
      <c r="H9246" s="397"/>
      <c r="I9246" s="397"/>
      <c r="J9246" s="750" t="e">
        <f t="shared" si="127"/>
        <v>#DIV/0!</v>
      </c>
      <c r="K9246" s="398"/>
      <c r="L9246" s="404"/>
      <c r="M9246" s="682"/>
    </row>
    <row r="9247" spans="5:13" hidden="1" x14ac:dyDescent="0.2">
      <c r="F9247" s="503" t="s">
        <v>246</v>
      </c>
      <c r="G9247" s="504" t="s">
        <v>247</v>
      </c>
      <c r="H9247" s="397"/>
      <c r="I9247" s="397"/>
      <c r="J9247" s="750" t="e">
        <f t="shared" si="127"/>
        <v>#DIV/0!</v>
      </c>
      <c r="K9247" s="398"/>
      <c r="L9247" s="404"/>
      <c r="M9247" s="682"/>
    </row>
    <row r="9248" spans="5:13" ht="25.5" hidden="1" x14ac:dyDescent="0.2">
      <c r="F9248" s="503" t="s">
        <v>248</v>
      </c>
      <c r="G9248" s="504" t="s">
        <v>249</v>
      </c>
      <c r="H9248" s="397"/>
      <c r="I9248" s="397"/>
      <c r="J9248" s="750" t="e">
        <f t="shared" si="127"/>
        <v>#DIV/0!</v>
      </c>
      <c r="K9248" s="398"/>
      <c r="L9248" s="404"/>
      <c r="M9248" s="682"/>
    </row>
    <row r="9249" spans="3:13" hidden="1" x14ac:dyDescent="0.2">
      <c r="F9249" s="503" t="s">
        <v>250</v>
      </c>
      <c r="G9249" s="504" t="s">
        <v>57</v>
      </c>
      <c r="H9249" s="397"/>
      <c r="I9249" s="397"/>
      <c r="J9249" s="750" t="e">
        <f t="shared" si="127"/>
        <v>#DIV/0!</v>
      </c>
      <c r="K9249" s="398"/>
      <c r="L9249" s="404"/>
      <c r="M9249" s="682"/>
    </row>
    <row r="9250" spans="3:13" hidden="1" x14ac:dyDescent="0.2">
      <c r="F9250" s="503" t="s">
        <v>251</v>
      </c>
      <c r="G9250" s="504" t="s">
        <v>252</v>
      </c>
      <c r="H9250" s="397"/>
      <c r="I9250" s="397"/>
      <c r="J9250" s="750" t="e">
        <f t="shared" si="127"/>
        <v>#DIV/0!</v>
      </c>
      <c r="K9250" s="398"/>
      <c r="L9250" s="404"/>
      <c r="M9250" s="682"/>
    </row>
    <row r="9251" spans="3:13" hidden="1" x14ac:dyDescent="0.2">
      <c r="F9251" s="503" t="s">
        <v>253</v>
      </c>
      <c r="G9251" s="504" t="s">
        <v>254</v>
      </c>
      <c r="H9251" s="397"/>
      <c r="I9251" s="397"/>
      <c r="J9251" s="750" t="e">
        <f t="shared" si="127"/>
        <v>#DIV/0!</v>
      </c>
      <c r="K9251" s="398"/>
      <c r="L9251" s="404"/>
      <c r="M9251" s="682"/>
    </row>
    <row r="9252" spans="3:13" ht="25.5" hidden="1" x14ac:dyDescent="0.2">
      <c r="F9252" s="503" t="s">
        <v>255</v>
      </c>
      <c r="G9252" s="504" t="s">
        <v>256</v>
      </c>
      <c r="H9252" s="397"/>
      <c r="I9252" s="397"/>
      <c r="J9252" s="750" t="e">
        <f t="shared" si="127"/>
        <v>#DIV/0!</v>
      </c>
      <c r="K9252" s="398"/>
      <c r="L9252" s="404"/>
      <c r="M9252" s="682"/>
    </row>
    <row r="9253" spans="3:13" ht="25.5" hidden="1" x14ac:dyDescent="0.2">
      <c r="F9253" s="503" t="s">
        <v>257</v>
      </c>
      <c r="G9253" s="504" t="s">
        <v>258</v>
      </c>
      <c r="H9253" s="397"/>
      <c r="I9253" s="397"/>
      <c r="J9253" s="750" t="e">
        <f t="shared" si="127"/>
        <v>#DIV/0!</v>
      </c>
      <c r="K9253" s="398"/>
      <c r="L9253" s="404"/>
      <c r="M9253" s="682"/>
    </row>
    <row r="9254" spans="3:13" ht="25.5" hidden="1" x14ac:dyDescent="0.2">
      <c r="F9254" s="503" t="s">
        <v>259</v>
      </c>
      <c r="G9254" s="504" t="s">
        <v>260</v>
      </c>
      <c r="H9254" s="397"/>
      <c r="I9254" s="397"/>
      <c r="J9254" s="750" t="e">
        <f t="shared" si="127"/>
        <v>#DIV/0!</v>
      </c>
      <c r="K9254" s="398"/>
      <c r="L9254" s="404"/>
      <c r="M9254" s="682"/>
    </row>
    <row r="9255" spans="3:13" ht="25.5" hidden="1" x14ac:dyDescent="0.2">
      <c r="F9255" s="503" t="s">
        <v>261</v>
      </c>
      <c r="G9255" s="504" t="s">
        <v>262</v>
      </c>
      <c r="H9255" s="397"/>
      <c r="I9255" s="397"/>
      <c r="J9255" s="750" t="e">
        <f t="shared" si="127"/>
        <v>#DIV/0!</v>
      </c>
      <c r="K9255" s="398"/>
      <c r="L9255" s="404"/>
      <c r="M9255" s="682"/>
    </row>
    <row r="9256" spans="3:13" hidden="1" x14ac:dyDescent="0.2">
      <c r="F9256" s="503" t="s">
        <v>263</v>
      </c>
      <c r="G9256" s="504" t="s">
        <v>264</v>
      </c>
      <c r="H9256" s="403"/>
      <c r="I9256" s="403"/>
      <c r="J9256" s="750" t="e">
        <f t="shared" si="127"/>
        <v>#DIV/0!</v>
      </c>
      <c r="K9256" s="404"/>
      <c r="L9256" s="404"/>
      <c r="M9256" s="682"/>
    </row>
    <row r="9257" spans="3:13" ht="13.5" hidden="1" thickBot="1" x14ac:dyDescent="0.25">
      <c r="G9257" s="505" t="s">
        <v>5006</v>
      </c>
      <c r="H9257" s="405">
        <f>SUM(H9241:H9256)</f>
        <v>0</v>
      </c>
      <c r="I9257" s="405"/>
      <c r="J9257" s="750" t="e">
        <f t="shared" si="127"/>
        <v>#DIV/0!</v>
      </c>
      <c r="K9257" s="406">
        <f>SUM(K9242:K9256)</f>
        <v>0</v>
      </c>
      <c r="L9257" s="406"/>
      <c r="M9257" s="682"/>
    </row>
    <row r="9258" spans="3:13" hidden="1" x14ac:dyDescent="0.2">
      <c r="H9258" s="397"/>
      <c r="I9258" s="397"/>
      <c r="J9258" s="750" t="e">
        <f t="shared" si="127"/>
        <v>#DIV/0!</v>
      </c>
      <c r="K9258" s="398"/>
      <c r="L9258" s="398"/>
      <c r="M9258" s="682"/>
    </row>
    <row r="9259" spans="3:13" hidden="1" x14ac:dyDescent="0.2">
      <c r="C9259" s="489" t="s">
        <v>4580</v>
      </c>
      <c r="D9259" s="490"/>
      <c r="G9259" s="508" t="s">
        <v>5077</v>
      </c>
      <c r="H9259" s="397"/>
      <c r="I9259" s="397"/>
      <c r="J9259" s="750" t="e">
        <f t="shared" si="127"/>
        <v>#DIV/0!</v>
      </c>
      <c r="K9259" s="398"/>
      <c r="L9259" s="398"/>
      <c r="M9259" s="682"/>
    </row>
    <row r="9260" spans="3:13" hidden="1" x14ac:dyDescent="0.2">
      <c r="C9260" s="489"/>
      <c r="D9260" s="492">
        <v>473</v>
      </c>
      <c r="E9260" s="492"/>
      <c r="F9260" s="492"/>
      <c r="G9260" s="551" t="s">
        <v>162</v>
      </c>
      <c r="H9260" s="397"/>
      <c r="I9260" s="397"/>
      <c r="J9260" s="750" t="e">
        <f t="shared" si="127"/>
        <v>#DIV/0!</v>
      </c>
      <c r="K9260" s="398"/>
      <c r="L9260" s="398"/>
      <c r="M9260" s="682"/>
    </row>
    <row r="9261" spans="3:13" hidden="1" x14ac:dyDescent="0.2">
      <c r="F9261" s="494">
        <v>411</v>
      </c>
      <c r="G9261" s="495" t="s">
        <v>4167</v>
      </c>
      <c r="H9261" s="397"/>
      <c r="I9261" s="397"/>
      <c r="J9261" s="750" t="e">
        <f t="shared" si="127"/>
        <v>#DIV/0!</v>
      </c>
      <c r="K9261" s="398"/>
      <c r="L9261" s="398"/>
      <c r="M9261" s="682"/>
    </row>
    <row r="9262" spans="3:13" hidden="1" x14ac:dyDescent="0.2">
      <c r="F9262" s="494">
        <v>412</v>
      </c>
      <c r="G9262" s="496" t="s">
        <v>3764</v>
      </c>
      <c r="H9262" s="397"/>
      <c r="I9262" s="397"/>
      <c r="J9262" s="750" t="e">
        <f t="shared" si="127"/>
        <v>#DIV/0!</v>
      </c>
      <c r="K9262" s="398"/>
      <c r="L9262" s="398"/>
      <c r="M9262" s="682"/>
    </row>
    <row r="9263" spans="3:13" hidden="1" x14ac:dyDescent="0.2">
      <c r="F9263" s="494">
        <v>413</v>
      </c>
      <c r="G9263" s="495" t="s">
        <v>4168</v>
      </c>
      <c r="H9263" s="397"/>
      <c r="I9263" s="397"/>
      <c r="J9263" s="750" t="e">
        <f t="shared" si="127"/>
        <v>#DIV/0!</v>
      </c>
      <c r="K9263" s="398"/>
      <c r="L9263" s="398"/>
      <c r="M9263" s="682"/>
    </row>
    <row r="9264" spans="3:13" hidden="1" x14ac:dyDescent="0.2">
      <c r="F9264" s="494">
        <v>414</v>
      </c>
      <c r="G9264" s="495" t="s">
        <v>3767</v>
      </c>
      <c r="H9264" s="397"/>
      <c r="I9264" s="397"/>
      <c r="J9264" s="750" t="e">
        <f t="shared" si="127"/>
        <v>#DIV/0!</v>
      </c>
      <c r="K9264" s="398"/>
      <c r="L9264" s="398"/>
      <c r="M9264" s="682"/>
    </row>
    <row r="9265" spans="6:13" hidden="1" x14ac:dyDescent="0.2">
      <c r="F9265" s="494">
        <v>415</v>
      </c>
      <c r="G9265" s="495" t="s">
        <v>4177</v>
      </c>
      <c r="H9265" s="397"/>
      <c r="I9265" s="397"/>
      <c r="J9265" s="750" t="e">
        <f t="shared" si="127"/>
        <v>#DIV/0!</v>
      </c>
      <c r="K9265" s="398"/>
      <c r="L9265" s="398"/>
      <c r="M9265" s="682"/>
    </row>
    <row r="9266" spans="6:13" ht="25.5" hidden="1" x14ac:dyDescent="0.2">
      <c r="F9266" s="494">
        <v>416</v>
      </c>
      <c r="G9266" s="495" t="s">
        <v>4178</v>
      </c>
      <c r="H9266" s="397"/>
      <c r="I9266" s="397"/>
      <c r="J9266" s="750" t="e">
        <f t="shared" si="127"/>
        <v>#DIV/0!</v>
      </c>
      <c r="K9266" s="398"/>
      <c r="L9266" s="398"/>
      <c r="M9266" s="682"/>
    </row>
    <row r="9267" spans="6:13" hidden="1" x14ac:dyDescent="0.2">
      <c r="F9267" s="494">
        <v>417</v>
      </c>
      <c r="G9267" s="495" t="s">
        <v>4179</v>
      </c>
      <c r="H9267" s="397"/>
      <c r="I9267" s="397"/>
      <c r="J9267" s="750" t="e">
        <f t="shared" si="127"/>
        <v>#DIV/0!</v>
      </c>
      <c r="K9267" s="398"/>
      <c r="L9267" s="398"/>
      <c r="M9267" s="682"/>
    </row>
    <row r="9268" spans="6:13" hidden="1" x14ac:dyDescent="0.2">
      <c r="F9268" s="494">
        <v>418</v>
      </c>
      <c r="G9268" s="495" t="s">
        <v>3773</v>
      </c>
      <c r="H9268" s="397"/>
      <c r="I9268" s="397"/>
      <c r="J9268" s="750" t="e">
        <f t="shared" si="127"/>
        <v>#DIV/0!</v>
      </c>
      <c r="K9268" s="398"/>
      <c r="L9268" s="398"/>
      <c r="M9268" s="682"/>
    </row>
    <row r="9269" spans="6:13" hidden="1" x14ac:dyDescent="0.2">
      <c r="F9269" s="494">
        <v>421</v>
      </c>
      <c r="G9269" s="495" t="s">
        <v>3777</v>
      </c>
      <c r="H9269" s="397"/>
      <c r="I9269" s="397"/>
      <c r="J9269" s="750" t="e">
        <f t="shared" si="127"/>
        <v>#DIV/0!</v>
      </c>
      <c r="K9269" s="398"/>
      <c r="L9269" s="398"/>
      <c r="M9269" s="682"/>
    </row>
    <row r="9270" spans="6:13" hidden="1" x14ac:dyDescent="0.2">
      <c r="F9270" s="494">
        <v>422</v>
      </c>
      <c r="G9270" s="495" t="s">
        <v>3778</v>
      </c>
      <c r="H9270" s="397"/>
      <c r="I9270" s="397"/>
      <c r="J9270" s="750" t="e">
        <f t="shared" si="127"/>
        <v>#DIV/0!</v>
      </c>
      <c r="K9270" s="398"/>
      <c r="L9270" s="398"/>
      <c r="M9270" s="682"/>
    </row>
    <row r="9271" spans="6:13" hidden="1" x14ac:dyDescent="0.2">
      <c r="F9271" s="494">
        <v>423</v>
      </c>
      <c r="G9271" s="495" t="s">
        <v>3779</v>
      </c>
      <c r="H9271" s="397"/>
      <c r="I9271" s="397"/>
      <c r="J9271" s="750" t="e">
        <f t="shared" si="127"/>
        <v>#DIV/0!</v>
      </c>
      <c r="K9271" s="398"/>
      <c r="L9271" s="398"/>
      <c r="M9271" s="682"/>
    </row>
    <row r="9272" spans="6:13" hidden="1" x14ac:dyDescent="0.2">
      <c r="F9272" s="494">
        <v>424</v>
      </c>
      <c r="G9272" s="495" t="s">
        <v>3781</v>
      </c>
      <c r="H9272" s="397"/>
      <c r="I9272" s="397"/>
      <c r="J9272" s="750" t="e">
        <f t="shared" si="127"/>
        <v>#DIV/0!</v>
      </c>
      <c r="K9272" s="398"/>
      <c r="L9272" s="398"/>
      <c r="M9272" s="682"/>
    </row>
    <row r="9273" spans="6:13" hidden="1" x14ac:dyDescent="0.2">
      <c r="F9273" s="494">
        <v>425</v>
      </c>
      <c r="G9273" s="495" t="s">
        <v>4180</v>
      </c>
      <c r="H9273" s="397"/>
      <c r="I9273" s="397"/>
      <c r="J9273" s="750" t="e">
        <f t="shared" si="127"/>
        <v>#DIV/0!</v>
      </c>
      <c r="K9273" s="398"/>
      <c r="L9273" s="398"/>
      <c r="M9273" s="682"/>
    </row>
    <row r="9274" spans="6:13" hidden="1" x14ac:dyDescent="0.2">
      <c r="F9274" s="494">
        <v>426</v>
      </c>
      <c r="G9274" s="495" t="s">
        <v>3785</v>
      </c>
      <c r="H9274" s="397"/>
      <c r="I9274" s="397"/>
      <c r="J9274" s="750" t="e">
        <f t="shared" si="127"/>
        <v>#DIV/0!</v>
      </c>
      <c r="K9274" s="398"/>
      <c r="L9274" s="398"/>
      <c r="M9274" s="682"/>
    </row>
    <row r="9275" spans="6:13" hidden="1" x14ac:dyDescent="0.2">
      <c r="F9275" s="494">
        <v>431</v>
      </c>
      <c r="G9275" s="495" t="s">
        <v>4181</v>
      </c>
      <c r="H9275" s="397"/>
      <c r="I9275" s="397"/>
      <c r="J9275" s="750" t="e">
        <f t="shared" si="127"/>
        <v>#DIV/0!</v>
      </c>
      <c r="K9275" s="398"/>
      <c r="L9275" s="398"/>
      <c r="M9275" s="682"/>
    </row>
    <row r="9276" spans="6:13" hidden="1" x14ac:dyDescent="0.2">
      <c r="F9276" s="494">
        <v>432</v>
      </c>
      <c r="G9276" s="495" t="s">
        <v>4182</v>
      </c>
      <c r="H9276" s="397"/>
      <c r="I9276" s="397"/>
      <c r="J9276" s="750" t="e">
        <f t="shared" si="127"/>
        <v>#DIV/0!</v>
      </c>
      <c r="K9276" s="398"/>
      <c r="L9276" s="398"/>
      <c r="M9276" s="682"/>
    </row>
    <row r="9277" spans="6:13" hidden="1" x14ac:dyDescent="0.2">
      <c r="F9277" s="494">
        <v>433</v>
      </c>
      <c r="G9277" s="495" t="s">
        <v>4183</v>
      </c>
      <c r="H9277" s="397"/>
      <c r="I9277" s="397"/>
      <c r="J9277" s="750" t="e">
        <f t="shared" si="127"/>
        <v>#DIV/0!</v>
      </c>
      <c r="K9277" s="398"/>
      <c r="L9277" s="398"/>
      <c r="M9277" s="682"/>
    </row>
    <row r="9278" spans="6:13" hidden="1" x14ac:dyDescent="0.2">
      <c r="F9278" s="494">
        <v>434</v>
      </c>
      <c r="G9278" s="495" t="s">
        <v>4184</v>
      </c>
      <c r="H9278" s="397"/>
      <c r="I9278" s="397"/>
      <c r="J9278" s="750" t="e">
        <f t="shared" si="127"/>
        <v>#DIV/0!</v>
      </c>
      <c r="K9278" s="398"/>
      <c r="L9278" s="398"/>
      <c r="M9278" s="682"/>
    </row>
    <row r="9279" spans="6:13" hidden="1" x14ac:dyDescent="0.2">
      <c r="F9279" s="494">
        <v>435</v>
      </c>
      <c r="G9279" s="495" t="s">
        <v>3792</v>
      </c>
      <c r="H9279" s="397"/>
      <c r="I9279" s="397"/>
      <c r="J9279" s="750" t="e">
        <f t="shared" si="127"/>
        <v>#DIV/0!</v>
      </c>
      <c r="K9279" s="398"/>
      <c r="L9279" s="398"/>
      <c r="M9279" s="682"/>
    </row>
    <row r="9280" spans="6:13" hidden="1" x14ac:dyDescent="0.2">
      <c r="F9280" s="494">
        <v>441</v>
      </c>
      <c r="G9280" s="495" t="s">
        <v>4185</v>
      </c>
      <c r="H9280" s="397"/>
      <c r="I9280" s="397"/>
      <c r="J9280" s="750" t="e">
        <f t="shared" si="127"/>
        <v>#DIV/0!</v>
      </c>
      <c r="K9280" s="398"/>
      <c r="L9280" s="398"/>
      <c r="M9280" s="682"/>
    </row>
    <row r="9281" spans="6:13" hidden="1" x14ac:dyDescent="0.2">
      <c r="F9281" s="494">
        <v>442</v>
      </c>
      <c r="G9281" s="495" t="s">
        <v>4186</v>
      </c>
      <c r="H9281" s="397"/>
      <c r="I9281" s="397"/>
      <c r="J9281" s="750" t="e">
        <f t="shared" si="127"/>
        <v>#DIV/0!</v>
      </c>
      <c r="K9281" s="398"/>
      <c r="L9281" s="398"/>
      <c r="M9281" s="682"/>
    </row>
    <row r="9282" spans="6:13" hidden="1" x14ac:dyDescent="0.2">
      <c r="F9282" s="494">
        <v>443</v>
      </c>
      <c r="G9282" s="495" t="s">
        <v>3797</v>
      </c>
      <c r="H9282" s="397"/>
      <c r="I9282" s="397"/>
      <c r="J9282" s="750" t="e">
        <f t="shared" si="127"/>
        <v>#DIV/0!</v>
      </c>
      <c r="K9282" s="398"/>
      <c r="L9282" s="398"/>
      <c r="M9282" s="682"/>
    </row>
    <row r="9283" spans="6:13" hidden="1" x14ac:dyDescent="0.2">
      <c r="F9283" s="494">
        <v>444</v>
      </c>
      <c r="G9283" s="495" t="s">
        <v>3798</v>
      </c>
      <c r="H9283" s="397"/>
      <c r="I9283" s="397"/>
      <c r="J9283" s="750" t="e">
        <f t="shared" si="127"/>
        <v>#DIV/0!</v>
      </c>
      <c r="K9283" s="398"/>
      <c r="L9283" s="398"/>
      <c r="M9283" s="682"/>
    </row>
    <row r="9284" spans="6:13" ht="25.5" hidden="1" x14ac:dyDescent="0.2">
      <c r="F9284" s="494">
        <v>4511</v>
      </c>
      <c r="G9284" s="466" t="s">
        <v>1692</v>
      </c>
      <c r="H9284" s="397"/>
      <c r="I9284" s="397"/>
      <c r="J9284" s="750" t="e">
        <f t="shared" si="127"/>
        <v>#DIV/0!</v>
      </c>
      <c r="K9284" s="398"/>
      <c r="L9284" s="398"/>
      <c r="M9284" s="682"/>
    </row>
    <row r="9285" spans="6:13" ht="25.5" hidden="1" x14ac:dyDescent="0.2">
      <c r="F9285" s="494">
        <v>4512</v>
      </c>
      <c r="G9285" s="466" t="s">
        <v>1701</v>
      </c>
      <c r="H9285" s="397"/>
      <c r="I9285" s="397"/>
      <c r="J9285" s="750" t="e">
        <f t="shared" si="127"/>
        <v>#DIV/0!</v>
      </c>
      <c r="K9285" s="398"/>
      <c r="L9285" s="398"/>
      <c r="M9285" s="682"/>
    </row>
    <row r="9286" spans="6:13" ht="25.5" hidden="1" x14ac:dyDescent="0.2">
      <c r="F9286" s="494">
        <v>452</v>
      </c>
      <c r="G9286" s="495" t="s">
        <v>4187</v>
      </c>
      <c r="H9286" s="397"/>
      <c r="I9286" s="397"/>
      <c r="J9286" s="750" t="e">
        <f t="shared" si="127"/>
        <v>#DIV/0!</v>
      </c>
      <c r="K9286" s="398"/>
      <c r="L9286" s="398"/>
      <c r="M9286" s="682"/>
    </row>
    <row r="9287" spans="6:13" ht="25.5" hidden="1" x14ac:dyDescent="0.2">
      <c r="F9287" s="494">
        <v>453</v>
      </c>
      <c r="G9287" s="495" t="s">
        <v>4188</v>
      </c>
      <c r="H9287" s="397"/>
      <c r="I9287" s="397"/>
      <c r="J9287" s="750" t="e">
        <f t="shared" si="127"/>
        <v>#DIV/0!</v>
      </c>
      <c r="K9287" s="398"/>
      <c r="L9287" s="398"/>
      <c r="M9287" s="682"/>
    </row>
    <row r="9288" spans="6:13" hidden="1" x14ac:dyDescent="0.2">
      <c r="F9288" s="494">
        <v>454</v>
      </c>
      <c r="G9288" s="495" t="s">
        <v>3803</v>
      </c>
      <c r="H9288" s="397"/>
      <c r="I9288" s="397"/>
      <c r="J9288" s="750" t="e">
        <f t="shared" si="127"/>
        <v>#DIV/0!</v>
      </c>
      <c r="K9288" s="398"/>
      <c r="L9288" s="398"/>
      <c r="M9288" s="682"/>
    </row>
    <row r="9289" spans="6:13" hidden="1" x14ac:dyDescent="0.2">
      <c r="F9289" s="494">
        <v>461</v>
      </c>
      <c r="G9289" s="495" t="s">
        <v>4169</v>
      </c>
      <c r="H9289" s="397"/>
      <c r="I9289" s="397"/>
      <c r="J9289" s="750" t="e">
        <f t="shared" si="127"/>
        <v>#DIV/0!</v>
      </c>
      <c r="K9289" s="398"/>
      <c r="L9289" s="398"/>
      <c r="M9289" s="682"/>
    </row>
    <row r="9290" spans="6:13" ht="25.5" hidden="1" x14ac:dyDescent="0.2">
      <c r="F9290" s="494">
        <v>462</v>
      </c>
      <c r="G9290" s="495" t="s">
        <v>3806</v>
      </c>
      <c r="H9290" s="397"/>
      <c r="I9290" s="397"/>
      <c r="J9290" s="750" t="e">
        <f t="shared" si="127"/>
        <v>#DIV/0!</v>
      </c>
      <c r="K9290" s="398"/>
      <c r="L9290" s="398"/>
      <c r="M9290" s="682"/>
    </row>
    <row r="9291" spans="6:13" hidden="1" x14ac:dyDescent="0.2">
      <c r="F9291" s="494">
        <v>4631</v>
      </c>
      <c r="G9291" s="495" t="s">
        <v>3807</v>
      </c>
      <c r="H9291" s="397"/>
      <c r="I9291" s="397"/>
      <c r="J9291" s="750" t="e">
        <f t="shared" si="127"/>
        <v>#DIV/0!</v>
      </c>
      <c r="K9291" s="398"/>
      <c r="L9291" s="398"/>
      <c r="M9291" s="682"/>
    </row>
    <row r="9292" spans="6:13" hidden="1" x14ac:dyDescent="0.2">
      <c r="F9292" s="494">
        <v>4632</v>
      </c>
      <c r="G9292" s="495" t="s">
        <v>3808</v>
      </c>
      <c r="H9292" s="397"/>
      <c r="I9292" s="397"/>
      <c r="J9292" s="750" t="e">
        <f t="shared" si="127"/>
        <v>#DIV/0!</v>
      </c>
      <c r="K9292" s="398"/>
      <c r="L9292" s="398"/>
      <c r="M9292" s="682"/>
    </row>
    <row r="9293" spans="6:13" ht="25.5" hidden="1" x14ac:dyDescent="0.2">
      <c r="F9293" s="494">
        <v>464</v>
      </c>
      <c r="G9293" s="495" t="s">
        <v>3809</v>
      </c>
      <c r="H9293" s="397"/>
      <c r="I9293" s="397"/>
      <c r="J9293" s="750" t="e">
        <f t="shared" si="127"/>
        <v>#DIV/0!</v>
      </c>
      <c r="K9293" s="398"/>
      <c r="L9293" s="398"/>
      <c r="M9293" s="682"/>
    </row>
    <row r="9294" spans="6:13" hidden="1" x14ac:dyDescent="0.2">
      <c r="F9294" s="494">
        <v>465</v>
      </c>
      <c r="G9294" s="495" t="s">
        <v>4170</v>
      </c>
      <c r="H9294" s="397"/>
      <c r="I9294" s="397"/>
      <c r="J9294" s="750" t="e">
        <f t="shared" ref="J9294:J9357" si="128">SUM(I9294/H9294)*100</f>
        <v>#DIV/0!</v>
      </c>
      <c r="K9294" s="398"/>
      <c r="L9294" s="398"/>
      <c r="M9294" s="682"/>
    </row>
    <row r="9295" spans="6:13" hidden="1" x14ac:dyDescent="0.2">
      <c r="F9295" s="494">
        <v>472</v>
      </c>
      <c r="G9295" s="495" t="s">
        <v>3813</v>
      </c>
      <c r="H9295" s="397"/>
      <c r="I9295" s="397"/>
      <c r="J9295" s="750" t="e">
        <f t="shared" si="128"/>
        <v>#DIV/0!</v>
      </c>
      <c r="K9295" s="398"/>
      <c r="L9295" s="398"/>
      <c r="M9295" s="682"/>
    </row>
    <row r="9296" spans="6:13" hidden="1" x14ac:dyDescent="0.2">
      <c r="F9296" s="494">
        <v>481</v>
      </c>
      <c r="G9296" s="495" t="s">
        <v>4189</v>
      </c>
      <c r="H9296" s="397"/>
      <c r="I9296" s="397"/>
      <c r="J9296" s="750" t="e">
        <f t="shared" si="128"/>
        <v>#DIV/0!</v>
      </c>
      <c r="K9296" s="398"/>
      <c r="L9296" s="398"/>
      <c r="M9296" s="682"/>
    </row>
    <row r="9297" spans="6:13" hidden="1" x14ac:dyDescent="0.2">
      <c r="F9297" s="494">
        <v>482</v>
      </c>
      <c r="G9297" s="495" t="s">
        <v>4190</v>
      </c>
      <c r="H9297" s="397"/>
      <c r="I9297" s="397"/>
      <c r="J9297" s="750" t="e">
        <f t="shared" si="128"/>
        <v>#DIV/0!</v>
      </c>
      <c r="K9297" s="398"/>
      <c r="L9297" s="398"/>
      <c r="M9297" s="682"/>
    </row>
    <row r="9298" spans="6:13" hidden="1" x14ac:dyDescent="0.2">
      <c r="F9298" s="494">
        <v>483</v>
      </c>
      <c r="G9298" s="497" t="s">
        <v>4191</v>
      </c>
      <c r="H9298" s="397"/>
      <c r="I9298" s="397"/>
      <c r="J9298" s="750" t="e">
        <f t="shared" si="128"/>
        <v>#DIV/0!</v>
      </c>
      <c r="K9298" s="398"/>
      <c r="L9298" s="398"/>
      <c r="M9298" s="682"/>
    </row>
    <row r="9299" spans="6:13" ht="38.25" hidden="1" x14ac:dyDescent="0.2">
      <c r="F9299" s="494">
        <v>484</v>
      </c>
      <c r="G9299" s="495" t="s">
        <v>4192</v>
      </c>
      <c r="H9299" s="397"/>
      <c r="I9299" s="397"/>
      <c r="J9299" s="750" t="e">
        <f t="shared" si="128"/>
        <v>#DIV/0!</v>
      </c>
      <c r="K9299" s="398"/>
      <c r="L9299" s="398"/>
      <c r="M9299" s="682"/>
    </row>
    <row r="9300" spans="6:13" ht="25.5" hidden="1" x14ac:dyDescent="0.2">
      <c r="F9300" s="494">
        <v>485</v>
      </c>
      <c r="G9300" s="495" t="s">
        <v>4193</v>
      </c>
      <c r="H9300" s="397"/>
      <c r="I9300" s="397"/>
      <c r="J9300" s="750" t="e">
        <f t="shared" si="128"/>
        <v>#DIV/0!</v>
      </c>
      <c r="K9300" s="398"/>
      <c r="L9300" s="398"/>
      <c r="M9300" s="682"/>
    </row>
    <row r="9301" spans="6:13" ht="25.5" hidden="1" x14ac:dyDescent="0.2">
      <c r="F9301" s="494">
        <v>489</v>
      </c>
      <c r="G9301" s="495" t="s">
        <v>3821</v>
      </c>
      <c r="H9301" s="397"/>
      <c r="I9301" s="397"/>
      <c r="J9301" s="750" t="e">
        <f t="shared" si="128"/>
        <v>#DIV/0!</v>
      </c>
      <c r="K9301" s="398"/>
      <c r="L9301" s="398"/>
      <c r="M9301" s="682"/>
    </row>
    <row r="9302" spans="6:13" ht="25.5" hidden="1" x14ac:dyDescent="0.2">
      <c r="F9302" s="494">
        <v>494</v>
      </c>
      <c r="G9302" s="495" t="s">
        <v>4171</v>
      </c>
      <c r="H9302" s="397"/>
      <c r="I9302" s="397"/>
      <c r="J9302" s="750" t="e">
        <f t="shared" si="128"/>
        <v>#DIV/0!</v>
      </c>
      <c r="K9302" s="398"/>
      <c r="L9302" s="398"/>
      <c r="M9302" s="682"/>
    </row>
    <row r="9303" spans="6:13" ht="25.5" hidden="1" x14ac:dyDescent="0.2">
      <c r="F9303" s="494">
        <v>495</v>
      </c>
      <c r="G9303" s="495" t="s">
        <v>4172</v>
      </c>
      <c r="H9303" s="397"/>
      <c r="I9303" s="397"/>
      <c r="J9303" s="750" t="e">
        <f t="shared" si="128"/>
        <v>#DIV/0!</v>
      </c>
      <c r="K9303" s="398"/>
      <c r="L9303" s="398"/>
      <c r="M9303" s="682"/>
    </row>
    <row r="9304" spans="6:13" ht="38.25" hidden="1" x14ac:dyDescent="0.2">
      <c r="F9304" s="494">
        <v>496</v>
      </c>
      <c r="G9304" s="495" t="s">
        <v>4173</v>
      </c>
      <c r="H9304" s="397"/>
      <c r="I9304" s="397"/>
      <c r="J9304" s="750" t="e">
        <f t="shared" si="128"/>
        <v>#DIV/0!</v>
      </c>
      <c r="K9304" s="398"/>
      <c r="L9304" s="398"/>
      <c r="M9304" s="682"/>
    </row>
    <row r="9305" spans="6:13" ht="25.5" hidden="1" x14ac:dyDescent="0.2">
      <c r="F9305" s="494">
        <v>499</v>
      </c>
      <c r="G9305" s="495" t="s">
        <v>4174</v>
      </c>
      <c r="H9305" s="397"/>
      <c r="I9305" s="397"/>
      <c r="J9305" s="750" t="e">
        <f t="shared" si="128"/>
        <v>#DIV/0!</v>
      </c>
      <c r="K9305" s="398"/>
      <c r="L9305" s="398"/>
      <c r="M9305" s="682"/>
    </row>
    <row r="9306" spans="6:13" hidden="1" x14ac:dyDescent="0.2">
      <c r="F9306" s="494">
        <v>511</v>
      </c>
      <c r="G9306" s="497" t="s">
        <v>4194</v>
      </c>
      <c r="H9306" s="397"/>
      <c r="I9306" s="397"/>
      <c r="J9306" s="750" t="e">
        <f t="shared" si="128"/>
        <v>#DIV/0!</v>
      </c>
      <c r="K9306" s="398"/>
      <c r="L9306" s="398"/>
      <c r="M9306" s="682"/>
    </row>
    <row r="9307" spans="6:13" hidden="1" x14ac:dyDescent="0.2">
      <c r="F9307" s="494">
        <v>512</v>
      </c>
      <c r="G9307" s="497" t="s">
        <v>4195</v>
      </c>
      <c r="H9307" s="397"/>
      <c r="I9307" s="397"/>
      <c r="J9307" s="750" t="e">
        <f t="shared" si="128"/>
        <v>#DIV/0!</v>
      </c>
      <c r="K9307" s="398"/>
      <c r="L9307" s="398"/>
      <c r="M9307" s="682"/>
    </row>
    <row r="9308" spans="6:13" hidden="1" x14ac:dyDescent="0.2">
      <c r="F9308" s="494">
        <v>513</v>
      </c>
      <c r="G9308" s="497" t="s">
        <v>4196</v>
      </c>
      <c r="H9308" s="397"/>
      <c r="I9308" s="397"/>
      <c r="J9308" s="750" t="e">
        <f t="shared" si="128"/>
        <v>#DIV/0!</v>
      </c>
      <c r="K9308" s="398"/>
      <c r="L9308" s="398"/>
      <c r="M9308" s="682"/>
    </row>
    <row r="9309" spans="6:13" hidden="1" x14ac:dyDescent="0.2">
      <c r="F9309" s="494">
        <v>514</v>
      </c>
      <c r="G9309" s="495" t="s">
        <v>4197</v>
      </c>
      <c r="H9309" s="397"/>
      <c r="I9309" s="397"/>
      <c r="J9309" s="750" t="e">
        <f t="shared" si="128"/>
        <v>#DIV/0!</v>
      </c>
      <c r="K9309" s="398"/>
      <c r="L9309" s="398"/>
      <c r="M9309" s="682"/>
    </row>
    <row r="9310" spans="6:13" hidden="1" x14ac:dyDescent="0.2">
      <c r="F9310" s="494">
        <v>515</v>
      </c>
      <c r="G9310" s="495" t="s">
        <v>3832</v>
      </c>
      <c r="H9310" s="397"/>
      <c r="I9310" s="397"/>
      <c r="J9310" s="750" t="e">
        <f t="shared" si="128"/>
        <v>#DIV/0!</v>
      </c>
      <c r="K9310" s="398"/>
      <c r="L9310" s="398"/>
      <c r="M9310" s="682"/>
    </row>
    <row r="9311" spans="6:13" hidden="1" x14ac:dyDescent="0.2">
      <c r="F9311" s="494">
        <v>521</v>
      </c>
      <c r="G9311" s="495" t="s">
        <v>4198</v>
      </c>
      <c r="H9311" s="397"/>
      <c r="I9311" s="397"/>
      <c r="J9311" s="750" t="e">
        <f t="shared" si="128"/>
        <v>#DIV/0!</v>
      </c>
      <c r="K9311" s="398"/>
      <c r="L9311" s="398"/>
      <c r="M9311" s="682"/>
    </row>
    <row r="9312" spans="6:13" hidden="1" x14ac:dyDescent="0.2">
      <c r="F9312" s="494">
        <v>522</v>
      </c>
      <c r="G9312" s="495" t="s">
        <v>4199</v>
      </c>
      <c r="H9312" s="397"/>
      <c r="I9312" s="397"/>
      <c r="J9312" s="750" t="e">
        <f t="shared" si="128"/>
        <v>#DIV/0!</v>
      </c>
      <c r="K9312" s="398"/>
      <c r="L9312" s="398"/>
      <c r="M9312" s="682"/>
    </row>
    <row r="9313" spans="5:13" hidden="1" x14ac:dyDescent="0.2">
      <c r="F9313" s="494">
        <v>523</v>
      </c>
      <c r="G9313" s="495" t="s">
        <v>3837</v>
      </c>
      <c r="H9313" s="397"/>
      <c r="I9313" s="397"/>
      <c r="J9313" s="750" t="e">
        <f t="shared" si="128"/>
        <v>#DIV/0!</v>
      </c>
      <c r="K9313" s="398"/>
      <c r="L9313" s="398"/>
      <c r="M9313" s="682"/>
    </row>
    <row r="9314" spans="5:13" hidden="1" x14ac:dyDescent="0.2">
      <c r="F9314" s="494">
        <v>531</v>
      </c>
      <c r="G9314" s="496" t="s">
        <v>4175</v>
      </c>
      <c r="H9314" s="397"/>
      <c r="I9314" s="397"/>
      <c r="J9314" s="750" t="e">
        <f t="shared" si="128"/>
        <v>#DIV/0!</v>
      </c>
      <c r="K9314" s="398"/>
      <c r="L9314" s="398"/>
      <c r="M9314" s="682"/>
    </row>
    <row r="9315" spans="5:13" hidden="1" x14ac:dyDescent="0.2">
      <c r="F9315" s="494">
        <v>541</v>
      </c>
      <c r="G9315" s="495" t="s">
        <v>4200</v>
      </c>
      <c r="H9315" s="397"/>
      <c r="I9315" s="397"/>
      <c r="J9315" s="750" t="e">
        <f t="shared" si="128"/>
        <v>#DIV/0!</v>
      </c>
      <c r="K9315" s="398"/>
      <c r="L9315" s="398"/>
      <c r="M9315" s="682"/>
    </row>
    <row r="9316" spans="5:13" hidden="1" x14ac:dyDescent="0.2">
      <c r="F9316" s="494">
        <v>542</v>
      </c>
      <c r="G9316" s="495" t="s">
        <v>4201</v>
      </c>
      <c r="H9316" s="397"/>
      <c r="I9316" s="397"/>
      <c r="J9316" s="750" t="e">
        <f t="shared" si="128"/>
        <v>#DIV/0!</v>
      </c>
      <c r="K9316" s="398"/>
      <c r="L9316" s="398"/>
      <c r="M9316" s="682"/>
    </row>
    <row r="9317" spans="5:13" hidden="1" x14ac:dyDescent="0.2">
      <c r="F9317" s="494">
        <v>543</v>
      </c>
      <c r="G9317" s="495" t="s">
        <v>3842</v>
      </c>
      <c r="H9317" s="397"/>
      <c r="I9317" s="397"/>
      <c r="J9317" s="750" t="e">
        <f t="shared" si="128"/>
        <v>#DIV/0!</v>
      </c>
      <c r="K9317" s="398"/>
      <c r="L9317" s="398"/>
      <c r="M9317" s="682"/>
    </row>
    <row r="9318" spans="5:13" ht="38.25" hidden="1" x14ac:dyDescent="0.2">
      <c r="F9318" s="494">
        <v>551</v>
      </c>
      <c r="G9318" s="495" t="s">
        <v>4176</v>
      </c>
      <c r="H9318" s="397"/>
      <c r="I9318" s="397"/>
      <c r="J9318" s="750" t="e">
        <f t="shared" si="128"/>
        <v>#DIV/0!</v>
      </c>
      <c r="K9318" s="398"/>
      <c r="L9318" s="398"/>
      <c r="M9318" s="682"/>
    </row>
    <row r="9319" spans="5:13" hidden="1" x14ac:dyDescent="0.2">
      <c r="F9319" s="498">
        <v>611</v>
      </c>
      <c r="G9319" s="499" t="s">
        <v>3848</v>
      </c>
      <c r="H9319" s="397"/>
      <c r="I9319" s="397"/>
      <c r="J9319" s="750" t="e">
        <f t="shared" si="128"/>
        <v>#DIV/0!</v>
      </c>
      <c r="K9319" s="398"/>
      <c r="L9319" s="398"/>
      <c r="M9319" s="682"/>
    </row>
    <row r="9320" spans="5:13" hidden="1" x14ac:dyDescent="0.2">
      <c r="F9320" s="498">
        <v>620</v>
      </c>
      <c r="G9320" s="499" t="s">
        <v>88</v>
      </c>
      <c r="H9320" s="397"/>
      <c r="I9320" s="397"/>
      <c r="J9320" s="750" t="e">
        <f t="shared" si="128"/>
        <v>#DIV/0!</v>
      </c>
      <c r="K9320" s="398"/>
      <c r="L9320" s="398"/>
      <c r="M9320" s="682"/>
    </row>
    <row r="9321" spans="5:13" hidden="1" x14ac:dyDescent="0.2">
      <c r="E9321" s="500"/>
      <c r="F9321" s="498"/>
      <c r="G9321" s="501" t="s">
        <v>4392</v>
      </c>
      <c r="H9321" s="400"/>
      <c r="I9321" s="400"/>
      <c r="J9321" s="750" t="e">
        <f t="shared" si="128"/>
        <v>#DIV/0!</v>
      </c>
      <c r="K9321" s="401"/>
      <c r="L9321" s="402"/>
      <c r="M9321" s="682"/>
    </row>
    <row r="9322" spans="5:13" hidden="1" x14ac:dyDescent="0.2">
      <c r="E9322" s="502"/>
      <c r="F9322" s="503" t="s">
        <v>234</v>
      </c>
      <c r="G9322" s="504" t="s">
        <v>235</v>
      </c>
      <c r="H9322" s="403">
        <f>SUM(H9261:H9320)</f>
        <v>0</v>
      </c>
      <c r="I9322" s="403"/>
      <c r="J9322" s="750" t="e">
        <f t="shared" si="128"/>
        <v>#DIV/0!</v>
      </c>
      <c r="K9322" s="404"/>
      <c r="L9322" s="404"/>
      <c r="M9322" s="682"/>
    </row>
    <row r="9323" spans="5:13" hidden="1" x14ac:dyDescent="0.2">
      <c r="F9323" s="503" t="s">
        <v>236</v>
      </c>
      <c r="G9323" s="504" t="s">
        <v>237</v>
      </c>
      <c r="H9323" s="397"/>
      <c r="I9323" s="397"/>
      <c r="J9323" s="750" t="e">
        <f t="shared" si="128"/>
        <v>#DIV/0!</v>
      </c>
      <c r="K9323" s="398"/>
      <c r="L9323" s="404"/>
      <c r="M9323" s="682"/>
    </row>
    <row r="9324" spans="5:13" hidden="1" x14ac:dyDescent="0.2">
      <c r="F9324" s="503" t="s">
        <v>238</v>
      </c>
      <c r="G9324" s="504" t="s">
        <v>239</v>
      </c>
      <c r="H9324" s="397"/>
      <c r="I9324" s="397"/>
      <c r="J9324" s="750" t="e">
        <f t="shared" si="128"/>
        <v>#DIV/0!</v>
      </c>
      <c r="K9324" s="398"/>
      <c r="L9324" s="404"/>
      <c r="M9324" s="682"/>
    </row>
    <row r="9325" spans="5:13" hidden="1" x14ac:dyDescent="0.2">
      <c r="F9325" s="503" t="s">
        <v>240</v>
      </c>
      <c r="G9325" s="504" t="s">
        <v>241</v>
      </c>
      <c r="H9325" s="397"/>
      <c r="I9325" s="397"/>
      <c r="J9325" s="750" t="e">
        <f t="shared" si="128"/>
        <v>#DIV/0!</v>
      </c>
      <c r="K9325" s="398"/>
      <c r="L9325" s="404"/>
      <c r="M9325" s="682"/>
    </row>
    <row r="9326" spans="5:13" hidden="1" x14ac:dyDescent="0.2">
      <c r="F9326" s="503" t="s">
        <v>242</v>
      </c>
      <c r="G9326" s="504" t="s">
        <v>243</v>
      </c>
      <c r="H9326" s="397"/>
      <c r="I9326" s="397"/>
      <c r="J9326" s="750" t="e">
        <f t="shared" si="128"/>
        <v>#DIV/0!</v>
      </c>
      <c r="K9326" s="398"/>
      <c r="L9326" s="404"/>
      <c r="M9326" s="682"/>
    </row>
    <row r="9327" spans="5:13" hidden="1" x14ac:dyDescent="0.2">
      <c r="F9327" s="503" t="s">
        <v>244</v>
      </c>
      <c r="G9327" s="504" t="s">
        <v>245</v>
      </c>
      <c r="H9327" s="397"/>
      <c r="I9327" s="397"/>
      <c r="J9327" s="750" t="e">
        <f t="shared" si="128"/>
        <v>#DIV/0!</v>
      </c>
      <c r="K9327" s="398"/>
      <c r="L9327" s="404"/>
      <c r="M9327" s="682"/>
    </row>
    <row r="9328" spans="5:13" hidden="1" x14ac:dyDescent="0.2">
      <c r="F9328" s="503" t="s">
        <v>246</v>
      </c>
      <c r="G9328" s="504" t="s">
        <v>247</v>
      </c>
      <c r="H9328" s="397"/>
      <c r="I9328" s="397"/>
      <c r="J9328" s="750" t="e">
        <f t="shared" si="128"/>
        <v>#DIV/0!</v>
      </c>
      <c r="K9328" s="398"/>
      <c r="L9328" s="404"/>
      <c r="M9328" s="682"/>
    </row>
    <row r="9329" spans="5:13" ht="25.5" hidden="1" x14ac:dyDescent="0.2">
      <c r="F9329" s="503" t="s">
        <v>248</v>
      </c>
      <c r="G9329" s="504" t="s">
        <v>249</v>
      </c>
      <c r="H9329" s="397"/>
      <c r="I9329" s="397"/>
      <c r="J9329" s="750" t="e">
        <f t="shared" si="128"/>
        <v>#DIV/0!</v>
      </c>
      <c r="K9329" s="398"/>
      <c r="L9329" s="404"/>
      <c r="M9329" s="682"/>
    </row>
    <row r="9330" spans="5:13" hidden="1" x14ac:dyDescent="0.2">
      <c r="F9330" s="503" t="s">
        <v>250</v>
      </c>
      <c r="G9330" s="504" t="s">
        <v>57</v>
      </c>
      <c r="H9330" s="397"/>
      <c r="I9330" s="397"/>
      <c r="J9330" s="750" t="e">
        <f t="shared" si="128"/>
        <v>#DIV/0!</v>
      </c>
      <c r="K9330" s="398"/>
      <c r="L9330" s="404"/>
      <c r="M9330" s="682"/>
    </row>
    <row r="9331" spans="5:13" hidden="1" x14ac:dyDescent="0.2">
      <c r="F9331" s="503" t="s">
        <v>251</v>
      </c>
      <c r="G9331" s="504" t="s">
        <v>252</v>
      </c>
      <c r="H9331" s="397"/>
      <c r="I9331" s="397"/>
      <c r="J9331" s="750" t="e">
        <f t="shared" si="128"/>
        <v>#DIV/0!</v>
      </c>
      <c r="K9331" s="398"/>
      <c r="L9331" s="404"/>
      <c r="M9331" s="682"/>
    </row>
    <row r="9332" spans="5:13" hidden="1" x14ac:dyDescent="0.2">
      <c r="F9332" s="503" t="s">
        <v>253</v>
      </c>
      <c r="G9332" s="504" t="s">
        <v>254</v>
      </c>
      <c r="H9332" s="397"/>
      <c r="I9332" s="397"/>
      <c r="J9332" s="750" t="e">
        <f t="shared" si="128"/>
        <v>#DIV/0!</v>
      </c>
      <c r="K9332" s="398"/>
      <c r="L9332" s="404"/>
      <c r="M9332" s="682"/>
    </row>
    <row r="9333" spans="5:13" ht="25.5" hidden="1" x14ac:dyDescent="0.2">
      <c r="F9333" s="503" t="s">
        <v>255</v>
      </c>
      <c r="G9333" s="504" t="s">
        <v>256</v>
      </c>
      <c r="H9333" s="397"/>
      <c r="I9333" s="397"/>
      <c r="J9333" s="750" t="e">
        <f t="shared" si="128"/>
        <v>#DIV/0!</v>
      </c>
      <c r="K9333" s="398"/>
      <c r="L9333" s="404"/>
      <c r="M9333" s="682"/>
    </row>
    <row r="9334" spans="5:13" ht="25.5" hidden="1" x14ac:dyDescent="0.2">
      <c r="F9334" s="503" t="s">
        <v>257</v>
      </c>
      <c r="G9334" s="504" t="s">
        <v>258</v>
      </c>
      <c r="H9334" s="397"/>
      <c r="I9334" s="397"/>
      <c r="J9334" s="750" t="e">
        <f t="shared" si="128"/>
        <v>#DIV/0!</v>
      </c>
      <c r="K9334" s="398"/>
      <c r="L9334" s="404"/>
      <c r="M9334" s="682"/>
    </row>
    <row r="9335" spans="5:13" ht="25.5" hidden="1" x14ac:dyDescent="0.2">
      <c r="F9335" s="503" t="s">
        <v>259</v>
      </c>
      <c r="G9335" s="504" t="s">
        <v>260</v>
      </c>
      <c r="H9335" s="397"/>
      <c r="I9335" s="397"/>
      <c r="J9335" s="750" t="e">
        <f t="shared" si="128"/>
        <v>#DIV/0!</v>
      </c>
      <c r="K9335" s="398"/>
      <c r="L9335" s="404"/>
      <c r="M9335" s="682"/>
    </row>
    <row r="9336" spans="5:13" ht="25.5" hidden="1" x14ac:dyDescent="0.2">
      <c r="F9336" s="503" t="s">
        <v>261</v>
      </c>
      <c r="G9336" s="504" t="s">
        <v>262</v>
      </c>
      <c r="H9336" s="397"/>
      <c r="I9336" s="397"/>
      <c r="J9336" s="750" t="e">
        <f t="shared" si="128"/>
        <v>#DIV/0!</v>
      </c>
      <c r="K9336" s="398"/>
      <c r="L9336" s="404"/>
      <c r="M9336" s="682"/>
    </row>
    <row r="9337" spans="5:13" hidden="1" x14ac:dyDescent="0.2">
      <c r="F9337" s="503" t="s">
        <v>263</v>
      </c>
      <c r="G9337" s="504" t="s">
        <v>264</v>
      </c>
      <c r="H9337" s="403"/>
      <c r="I9337" s="403"/>
      <c r="J9337" s="750" t="e">
        <f t="shared" si="128"/>
        <v>#DIV/0!</v>
      </c>
      <c r="K9337" s="404"/>
      <c r="L9337" s="404"/>
      <c r="M9337" s="682"/>
    </row>
    <row r="9338" spans="5:13" ht="13.5" hidden="1" thickBot="1" x14ac:dyDescent="0.25">
      <c r="G9338" s="505" t="s">
        <v>4393</v>
      </c>
      <c r="H9338" s="405">
        <f>SUM(H9322:H9337)</f>
        <v>0</v>
      </c>
      <c r="I9338" s="405"/>
      <c r="J9338" s="750" t="e">
        <f t="shared" si="128"/>
        <v>#DIV/0!</v>
      </c>
      <c r="K9338" s="406">
        <f>SUM(K9323:K9337)</f>
        <v>0</v>
      </c>
      <c r="L9338" s="406"/>
      <c r="M9338" s="682"/>
    </row>
    <row r="9339" spans="5:13" hidden="1" x14ac:dyDescent="0.2">
      <c r="E9339" s="500"/>
      <c r="F9339" s="498"/>
      <c r="G9339" s="506" t="s">
        <v>5046</v>
      </c>
      <c r="H9339" s="407"/>
      <c r="I9339" s="408"/>
      <c r="J9339" s="750" t="e">
        <f t="shared" si="128"/>
        <v>#DIV/0!</v>
      </c>
      <c r="K9339" s="409"/>
      <c r="L9339" s="410"/>
      <c r="M9339" s="682"/>
    </row>
    <row r="9340" spans="5:13" hidden="1" x14ac:dyDescent="0.2">
      <c r="E9340" s="502"/>
      <c r="F9340" s="503" t="s">
        <v>234</v>
      </c>
      <c r="G9340" s="504" t="s">
        <v>235</v>
      </c>
      <c r="H9340" s="403">
        <f>SUM(H9261:H9320)</f>
        <v>0</v>
      </c>
      <c r="I9340" s="403"/>
      <c r="J9340" s="750" t="e">
        <f t="shared" si="128"/>
        <v>#DIV/0!</v>
      </c>
      <c r="K9340" s="404"/>
      <c r="L9340" s="404"/>
      <c r="M9340" s="682"/>
    </row>
    <row r="9341" spans="5:13" hidden="1" x14ac:dyDescent="0.2">
      <c r="F9341" s="503" t="s">
        <v>236</v>
      </c>
      <c r="G9341" s="504" t="s">
        <v>237</v>
      </c>
      <c r="H9341" s="397"/>
      <c r="I9341" s="397"/>
      <c r="J9341" s="750" t="e">
        <f t="shared" si="128"/>
        <v>#DIV/0!</v>
      </c>
      <c r="K9341" s="398"/>
      <c r="L9341" s="404"/>
      <c r="M9341" s="682"/>
    </row>
    <row r="9342" spans="5:13" hidden="1" x14ac:dyDescent="0.2">
      <c r="F9342" s="503" t="s">
        <v>238</v>
      </c>
      <c r="G9342" s="504" t="s">
        <v>239</v>
      </c>
      <c r="H9342" s="397"/>
      <c r="I9342" s="397"/>
      <c r="J9342" s="750" t="e">
        <f t="shared" si="128"/>
        <v>#DIV/0!</v>
      </c>
      <c r="K9342" s="398"/>
      <c r="L9342" s="404"/>
      <c r="M9342" s="682"/>
    </row>
    <row r="9343" spans="5:13" hidden="1" x14ac:dyDescent="0.2">
      <c r="F9343" s="503" t="s">
        <v>240</v>
      </c>
      <c r="G9343" s="504" t="s">
        <v>241</v>
      </c>
      <c r="H9343" s="397"/>
      <c r="I9343" s="397"/>
      <c r="J9343" s="750" t="e">
        <f t="shared" si="128"/>
        <v>#DIV/0!</v>
      </c>
      <c r="K9343" s="398"/>
      <c r="L9343" s="404"/>
      <c r="M9343" s="682"/>
    </row>
    <row r="9344" spans="5:13" hidden="1" x14ac:dyDescent="0.2">
      <c r="F9344" s="503" t="s">
        <v>242</v>
      </c>
      <c r="G9344" s="504" t="s">
        <v>243</v>
      </c>
      <c r="H9344" s="397"/>
      <c r="I9344" s="397"/>
      <c r="J9344" s="750" t="e">
        <f t="shared" si="128"/>
        <v>#DIV/0!</v>
      </c>
      <c r="K9344" s="398"/>
      <c r="L9344" s="404"/>
      <c r="M9344" s="682"/>
    </row>
    <row r="9345" spans="3:13" hidden="1" x14ac:dyDescent="0.2">
      <c r="F9345" s="503" t="s">
        <v>244</v>
      </c>
      <c r="G9345" s="504" t="s">
        <v>245</v>
      </c>
      <c r="H9345" s="397"/>
      <c r="I9345" s="397"/>
      <c r="J9345" s="750" t="e">
        <f t="shared" si="128"/>
        <v>#DIV/0!</v>
      </c>
      <c r="K9345" s="398"/>
      <c r="L9345" s="404"/>
      <c r="M9345" s="682"/>
    </row>
    <row r="9346" spans="3:13" hidden="1" x14ac:dyDescent="0.2">
      <c r="F9346" s="503" t="s">
        <v>246</v>
      </c>
      <c r="G9346" s="504" t="s">
        <v>247</v>
      </c>
      <c r="H9346" s="397"/>
      <c r="I9346" s="397"/>
      <c r="J9346" s="750" t="e">
        <f t="shared" si="128"/>
        <v>#DIV/0!</v>
      </c>
      <c r="K9346" s="398"/>
      <c r="L9346" s="404"/>
      <c r="M9346" s="682"/>
    </row>
    <row r="9347" spans="3:13" ht="25.5" hidden="1" x14ac:dyDescent="0.2">
      <c r="F9347" s="503" t="s">
        <v>248</v>
      </c>
      <c r="G9347" s="504" t="s">
        <v>249</v>
      </c>
      <c r="H9347" s="397"/>
      <c r="I9347" s="397"/>
      <c r="J9347" s="750" t="e">
        <f t="shared" si="128"/>
        <v>#DIV/0!</v>
      </c>
      <c r="K9347" s="398"/>
      <c r="L9347" s="404"/>
      <c r="M9347" s="682"/>
    </row>
    <row r="9348" spans="3:13" hidden="1" x14ac:dyDescent="0.2">
      <c r="F9348" s="503" t="s">
        <v>250</v>
      </c>
      <c r="G9348" s="504" t="s">
        <v>57</v>
      </c>
      <c r="H9348" s="397"/>
      <c r="I9348" s="397"/>
      <c r="J9348" s="750" t="e">
        <f t="shared" si="128"/>
        <v>#DIV/0!</v>
      </c>
      <c r="K9348" s="398"/>
      <c r="L9348" s="404"/>
      <c r="M9348" s="682"/>
    </row>
    <row r="9349" spans="3:13" hidden="1" x14ac:dyDescent="0.2">
      <c r="F9349" s="503" t="s">
        <v>251</v>
      </c>
      <c r="G9349" s="504" t="s">
        <v>252</v>
      </c>
      <c r="H9349" s="397"/>
      <c r="I9349" s="397"/>
      <c r="J9349" s="750" t="e">
        <f t="shared" si="128"/>
        <v>#DIV/0!</v>
      </c>
      <c r="K9349" s="398"/>
      <c r="L9349" s="404"/>
      <c r="M9349" s="682"/>
    </row>
    <row r="9350" spans="3:13" hidden="1" x14ac:dyDescent="0.2">
      <c r="F9350" s="503" t="s">
        <v>253</v>
      </c>
      <c r="G9350" s="504" t="s">
        <v>254</v>
      </c>
      <c r="H9350" s="397"/>
      <c r="I9350" s="397"/>
      <c r="J9350" s="750" t="e">
        <f t="shared" si="128"/>
        <v>#DIV/0!</v>
      </c>
      <c r="K9350" s="398"/>
      <c r="L9350" s="404"/>
      <c r="M9350" s="682"/>
    </row>
    <row r="9351" spans="3:13" ht="25.5" hidden="1" x14ac:dyDescent="0.2">
      <c r="F9351" s="503" t="s">
        <v>255</v>
      </c>
      <c r="G9351" s="504" t="s">
        <v>256</v>
      </c>
      <c r="H9351" s="397"/>
      <c r="I9351" s="397"/>
      <c r="J9351" s="750" t="e">
        <f t="shared" si="128"/>
        <v>#DIV/0!</v>
      </c>
      <c r="K9351" s="398"/>
      <c r="L9351" s="404"/>
      <c r="M9351" s="682"/>
    </row>
    <row r="9352" spans="3:13" ht="25.5" hidden="1" x14ac:dyDescent="0.2">
      <c r="F9352" s="503" t="s">
        <v>257</v>
      </c>
      <c r="G9352" s="504" t="s">
        <v>258</v>
      </c>
      <c r="H9352" s="397"/>
      <c r="I9352" s="397"/>
      <c r="J9352" s="750" t="e">
        <f t="shared" si="128"/>
        <v>#DIV/0!</v>
      </c>
      <c r="K9352" s="398"/>
      <c r="L9352" s="404"/>
      <c r="M9352" s="682"/>
    </row>
    <row r="9353" spans="3:13" ht="25.5" hidden="1" x14ac:dyDescent="0.2">
      <c r="F9353" s="503" t="s">
        <v>259</v>
      </c>
      <c r="G9353" s="504" t="s">
        <v>260</v>
      </c>
      <c r="H9353" s="397"/>
      <c r="I9353" s="397"/>
      <c r="J9353" s="750" t="e">
        <f t="shared" si="128"/>
        <v>#DIV/0!</v>
      </c>
      <c r="K9353" s="398"/>
      <c r="L9353" s="404"/>
      <c r="M9353" s="682"/>
    </row>
    <row r="9354" spans="3:13" ht="25.5" hidden="1" x14ac:dyDescent="0.2">
      <c r="F9354" s="503" t="s">
        <v>261</v>
      </c>
      <c r="G9354" s="504" t="s">
        <v>262</v>
      </c>
      <c r="H9354" s="397"/>
      <c r="I9354" s="397"/>
      <c r="J9354" s="750" t="e">
        <f t="shared" si="128"/>
        <v>#DIV/0!</v>
      </c>
      <c r="K9354" s="398"/>
      <c r="L9354" s="404"/>
      <c r="M9354" s="682"/>
    </row>
    <row r="9355" spans="3:13" hidden="1" x14ac:dyDescent="0.2">
      <c r="F9355" s="503" t="s">
        <v>263</v>
      </c>
      <c r="G9355" s="504" t="s">
        <v>264</v>
      </c>
      <c r="H9355" s="403"/>
      <c r="I9355" s="403"/>
      <c r="J9355" s="750" t="e">
        <f t="shared" si="128"/>
        <v>#DIV/0!</v>
      </c>
      <c r="K9355" s="404"/>
      <c r="L9355" s="404"/>
      <c r="M9355" s="682"/>
    </row>
    <row r="9356" spans="3:13" ht="13.5" hidden="1" thickBot="1" x14ac:dyDescent="0.25">
      <c r="G9356" s="505" t="s">
        <v>5007</v>
      </c>
      <c r="H9356" s="405">
        <f>SUM(H9340:H9355)</f>
        <v>0</v>
      </c>
      <c r="I9356" s="405"/>
      <c r="J9356" s="750" t="e">
        <f t="shared" si="128"/>
        <v>#DIV/0!</v>
      </c>
      <c r="K9356" s="406">
        <f>SUM(K9341:K9355)</f>
        <v>0</v>
      </c>
      <c r="L9356" s="406"/>
      <c r="M9356" s="682"/>
    </row>
    <row r="9357" spans="3:13" hidden="1" x14ac:dyDescent="0.2">
      <c r="G9357" s="510"/>
      <c r="H9357" s="411"/>
      <c r="I9357" s="411"/>
      <c r="J9357" s="750" t="e">
        <f t="shared" si="128"/>
        <v>#DIV/0!</v>
      </c>
      <c r="K9357" s="412"/>
      <c r="L9357" s="412"/>
      <c r="M9357" s="682"/>
    </row>
    <row r="9358" spans="3:13" hidden="1" x14ac:dyDescent="0.2">
      <c r="C9358" s="489" t="s">
        <v>4581</v>
      </c>
      <c r="D9358" s="490"/>
      <c r="G9358" s="508" t="s">
        <v>5078</v>
      </c>
      <c r="H9358" s="397"/>
      <c r="I9358" s="397"/>
      <c r="J9358" s="750" t="e">
        <f t="shared" ref="J9358:J9421" si="129">SUM(I9358/H9358)*100</f>
        <v>#DIV/0!</v>
      </c>
      <c r="K9358" s="398"/>
      <c r="L9358" s="398"/>
      <c r="M9358" s="682"/>
    </row>
    <row r="9359" spans="3:13" hidden="1" x14ac:dyDescent="0.2">
      <c r="C9359" s="489"/>
      <c r="D9359" s="492">
        <v>473</v>
      </c>
      <c r="E9359" s="492"/>
      <c r="F9359" s="492"/>
      <c r="G9359" s="551" t="s">
        <v>162</v>
      </c>
      <c r="H9359" s="397"/>
      <c r="I9359" s="397"/>
      <c r="J9359" s="750" t="e">
        <f t="shared" si="129"/>
        <v>#DIV/0!</v>
      </c>
      <c r="K9359" s="398"/>
      <c r="L9359" s="398"/>
      <c r="M9359" s="682"/>
    </row>
    <row r="9360" spans="3:13" hidden="1" x14ac:dyDescent="0.2">
      <c r="F9360" s="494">
        <v>411</v>
      </c>
      <c r="G9360" s="495" t="s">
        <v>4167</v>
      </c>
      <c r="H9360" s="397"/>
      <c r="I9360" s="397"/>
      <c r="J9360" s="750" t="e">
        <f t="shared" si="129"/>
        <v>#DIV/0!</v>
      </c>
      <c r="K9360" s="398"/>
      <c r="L9360" s="398"/>
      <c r="M9360" s="682"/>
    </row>
    <row r="9361" spans="6:13" hidden="1" x14ac:dyDescent="0.2">
      <c r="F9361" s="494">
        <v>412</v>
      </c>
      <c r="G9361" s="496" t="s">
        <v>3764</v>
      </c>
      <c r="H9361" s="397"/>
      <c r="I9361" s="397"/>
      <c r="J9361" s="750" t="e">
        <f t="shared" si="129"/>
        <v>#DIV/0!</v>
      </c>
      <c r="K9361" s="398"/>
      <c r="L9361" s="398"/>
      <c r="M9361" s="682"/>
    </row>
    <row r="9362" spans="6:13" hidden="1" x14ac:dyDescent="0.2">
      <c r="F9362" s="494">
        <v>413</v>
      </c>
      <c r="G9362" s="495" t="s">
        <v>4168</v>
      </c>
      <c r="H9362" s="397"/>
      <c r="I9362" s="397"/>
      <c r="J9362" s="750" t="e">
        <f t="shared" si="129"/>
        <v>#DIV/0!</v>
      </c>
      <c r="K9362" s="398"/>
      <c r="L9362" s="398"/>
      <c r="M9362" s="682"/>
    </row>
    <row r="9363" spans="6:13" hidden="1" x14ac:dyDescent="0.2">
      <c r="F9363" s="494">
        <v>414</v>
      </c>
      <c r="G9363" s="495" t="s">
        <v>3767</v>
      </c>
      <c r="H9363" s="397"/>
      <c r="I9363" s="397"/>
      <c r="J9363" s="750" t="e">
        <f t="shared" si="129"/>
        <v>#DIV/0!</v>
      </c>
      <c r="K9363" s="398"/>
      <c r="L9363" s="398"/>
      <c r="M9363" s="682"/>
    </row>
    <row r="9364" spans="6:13" hidden="1" x14ac:dyDescent="0.2">
      <c r="F9364" s="494">
        <v>415</v>
      </c>
      <c r="G9364" s="495" t="s">
        <v>4177</v>
      </c>
      <c r="H9364" s="397"/>
      <c r="I9364" s="397"/>
      <c r="J9364" s="750" t="e">
        <f t="shared" si="129"/>
        <v>#DIV/0!</v>
      </c>
      <c r="K9364" s="398"/>
      <c r="L9364" s="398"/>
      <c r="M9364" s="682"/>
    </row>
    <row r="9365" spans="6:13" ht="25.5" hidden="1" x14ac:dyDescent="0.2">
      <c r="F9365" s="494">
        <v>416</v>
      </c>
      <c r="G9365" s="495" t="s">
        <v>4178</v>
      </c>
      <c r="H9365" s="397"/>
      <c r="I9365" s="397"/>
      <c r="J9365" s="750" t="e">
        <f t="shared" si="129"/>
        <v>#DIV/0!</v>
      </c>
      <c r="K9365" s="398"/>
      <c r="L9365" s="398"/>
      <c r="M9365" s="682"/>
    </row>
    <row r="9366" spans="6:13" hidden="1" x14ac:dyDescent="0.2">
      <c r="F9366" s="494">
        <v>417</v>
      </c>
      <c r="G9366" s="495" t="s">
        <v>4179</v>
      </c>
      <c r="H9366" s="397"/>
      <c r="I9366" s="397"/>
      <c r="J9366" s="750" t="e">
        <f t="shared" si="129"/>
        <v>#DIV/0!</v>
      </c>
      <c r="K9366" s="398"/>
      <c r="L9366" s="398"/>
      <c r="M9366" s="682"/>
    </row>
    <row r="9367" spans="6:13" hidden="1" x14ac:dyDescent="0.2">
      <c r="F9367" s="494">
        <v>418</v>
      </c>
      <c r="G9367" s="495" t="s">
        <v>3773</v>
      </c>
      <c r="H9367" s="397"/>
      <c r="I9367" s="397"/>
      <c r="J9367" s="750" t="e">
        <f t="shared" si="129"/>
        <v>#DIV/0!</v>
      </c>
      <c r="K9367" s="398"/>
      <c r="L9367" s="398"/>
      <c r="M9367" s="682"/>
    </row>
    <row r="9368" spans="6:13" hidden="1" x14ac:dyDescent="0.2">
      <c r="F9368" s="494">
        <v>421</v>
      </c>
      <c r="G9368" s="495" t="s">
        <v>3777</v>
      </c>
      <c r="H9368" s="397"/>
      <c r="I9368" s="397"/>
      <c r="J9368" s="750" t="e">
        <f t="shared" si="129"/>
        <v>#DIV/0!</v>
      </c>
      <c r="K9368" s="398"/>
      <c r="L9368" s="398"/>
      <c r="M9368" s="682"/>
    </row>
    <row r="9369" spans="6:13" hidden="1" x14ac:dyDescent="0.2">
      <c r="F9369" s="494">
        <v>422</v>
      </c>
      <c r="G9369" s="495" t="s">
        <v>3778</v>
      </c>
      <c r="H9369" s="397"/>
      <c r="I9369" s="397"/>
      <c r="J9369" s="750" t="e">
        <f t="shared" si="129"/>
        <v>#DIV/0!</v>
      </c>
      <c r="K9369" s="398"/>
      <c r="L9369" s="398"/>
      <c r="M9369" s="682"/>
    </row>
    <row r="9370" spans="6:13" hidden="1" x14ac:dyDescent="0.2">
      <c r="F9370" s="494">
        <v>423</v>
      </c>
      <c r="G9370" s="495" t="s">
        <v>3779</v>
      </c>
      <c r="H9370" s="397"/>
      <c r="I9370" s="397"/>
      <c r="J9370" s="750" t="e">
        <f t="shared" si="129"/>
        <v>#DIV/0!</v>
      </c>
      <c r="K9370" s="398"/>
      <c r="L9370" s="398"/>
      <c r="M9370" s="682"/>
    </row>
    <row r="9371" spans="6:13" hidden="1" x14ac:dyDescent="0.2">
      <c r="F9371" s="494">
        <v>424</v>
      </c>
      <c r="G9371" s="495" t="s">
        <v>3781</v>
      </c>
      <c r="H9371" s="397"/>
      <c r="I9371" s="397"/>
      <c r="J9371" s="750" t="e">
        <f t="shared" si="129"/>
        <v>#DIV/0!</v>
      </c>
      <c r="K9371" s="398"/>
      <c r="L9371" s="398"/>
      <c r="M9371" s="682"/>
    </row>
    <row r="9372" spans="6:13" hidden="1" x14ac:dyDescent="0.2">
      <c r="F9372" s="494">
        <v>425</v>
      </c>
      <c r="G9372" s="495" t="s">
        <v>4180</v>
      </c>
      <c r="H9372" s="397"/>
      <c r="I9372" s="397"/>
      <c r="J9372" s="750" t="e">
        <f t="shared" si="129"/>
        <v>#DIV/0!</v>
      </c>
      <c r="K9372" s="398"/>
      <c r="L9372" s="398"/>
      <c r="M9372" s="682"/>
    </row>
    <row r="9373" spans="6:13" hidden="1" x14ac:dyDescent="0.2">
      <c r="F9373" s="494">
        <v>426</v>
      </c>
      <c r="G9373" s="495" t="s">
        <v>3785</v>
      </c>
      <c r="H9373" s="397"/>
      <c r="I9373" s="397"/>
      <c r="J9373" s="750" t="e">
        <f t="shared" si="129"/>
        <v>#DIV/0!</v>
      </c>
      <c r="K9373" s="398"/>
      <c r="L9373" s="398"/>
      <c r="M9373" s="682"/>
    </row>
    <row r="9374" spans="6:13" hidden="1" x14ac:dyDescent="0.2">
      <c r="F9374" s="494">
        <v>431</v>
      </c>
      <c r="G9374" s="495" t="s">
        <v>4181</v>
      </c>
      <c r="H9374" s="397"/>
      <c r="I9374" s="397"/>
      <c r="J9374" s="750" t="e">
        <f t="shared" si="129"/>
        <v>#DIV/0!</v>
      </c>
      <c r="K9374" s="398"/>
      <c r="L9374" s="398"/>
      <c r="M9374" s="682"/>
    </row>
    <row r="9375" spans="6:13" hidden="1" x14ac:dyDescent="0.2">
      <c r="F9375" s="494">
        <v>432</v>
      </c>
      <c r="G9375" s="495" t="s">
        <v>4182</v>
      </c>
      <c r="H9375" s="397"/>
      <c r="I9375" s="397"/>
      <c r="J9375" s="750" t="e">
        <f t="shared" si="129"/>
        <v>#DIV/0!</v>
      </c>
      <c r="K9375" s="398"/>
      <c r="L9375" s="398"/>
      <c r="M9375" s="682"/>
    </row>
    <row r="9376" spans="6:13" hidden="1" x14ac:dyDescent="0.2">
      <c r="F9376" s="494">
        <v>433</v>
      </c>
      <c r="G9376" s="495" t="s">
        <v>4183</v>
      </c>
      <c r="H9376" s="397"/>
      <c r="I9376" s="397"/>
      <c r="J9376" s="750" t="e">
        <f t="shared" si="129"/>
        <v>#DIV/0!</v>
      </c>
      <c r="K9376" s="398"/>
      <c r="L9376" s="398"/>
      <c r="M9376" s="682"/>
    </row>
    <row r="9377" spans="6:13" hidden="1" x14ac:dyDescent="0.2">
      <c r="F9377" s="494">
        <v>434</v>
      </c>
      <c r="G9377" s="495" t="s">
        <v>4184</v>
      </c>
      <c r="H9377" s="397"/>
      <c r="I9377" s="397"/>
      <c r="J9377" s="750" t="e">
        <f t="shared" si="129"/>
        <v>#DIV/0!</v>
      </c>
      <c r="K9377" s="398"/>
      <c r="L9377" s="398"/>
      <c r="M9377" s="682"/>
    </row>
    <row r="9378" spans="6:13" hidden="1" x14ac:dyDescent="0.2">
      <c r="F9378" s="494">
        <v>435</v>
      </c>
      <c r="G9378" s="495" t="s">
        <v>3792</v>
      </c>
      <c r="H9378" s="397"/>
      <c r="I9378" s="397"/>
      <c r="J9378" s="750" t="e">
        <f t="shared" si="129"/>
        <v>#DIV/0!</v>
      </c>
      <c r="K9378" s="398"/>
      <c r="L9378" s="398"/>
      <c r="M9378" s="682"/>
    </row>
    <row r="9379" spans="6:13" hidden="1" x14ac:dyDescent="0.2">
      <c r="F9379" s="494">
        <v>441</v>
      </c>
      <c r="G9379" s="495" t="s">
        <v>4185</v>
      </c>
      <c r="H9379" s="397"/>
      <c r="I9379" s="397"/>
      <c r="J9379" s="750" t="e">
        <f t="shared" si="129"/>
        <v>#DIV/0!</v>
      </c>
      <c r="K9379" s="398"/>
      <c r="L9379" s="398"/>
      <c r="M9379" s="682"/>
    </row>
    <row r="9380" spans="6:13" hidden="1" x14ac:dyDescent="0.2">
      <c r="F9380" s="494">
        <v>442</v>
      </c>
      <c r="G9380" s="495" t="s">
        <v>4186</v>
      </c>
      <c r="H9380" s="397"/>
      <c r="I9380" s="397"/>
      <c r="J9380" s="750" t="e">
        <f t="shared" si="129"/>
        <v>#DIV/0!</v>
      </c>
      <c r="K9380" s="398"/>
      <c r="L9380" s="398"/>
      <c r="M9380" s="682"/>
    </row>
    <row r="9381" spans="6:13" hidden="1" x14ac:dyDescent="0.2">
      <c r="F9381" s="494">
        <v>443</v>
      </c>
      <c r="G9381" s="495" t="s">
        <v>3797</v>
      </c>
      <c r="H9381" s="397"/>
      <c r="I9381" s="397"/>
      <c r="J9381" s="750" t="e">
        <f t="shared" si="129"/>
        <v>#DIV/0!</v>
      </c>
      <c r="K9381" s="398"/>
      <c r="L9381" s="398"/>
      <c r="M9381" s="682"/>
    </row>
    <row r="9382" spans="6:13" hidden="1" x14ac:dyDescent="0.2">
      <c r="F9382" s="494">
        <v>444</v>
      </c>
      <c r="G9382" s="495" t="s">
        <v>3798</v>
      </c>
      <c r="H9382" s="397"/>
      <c r="I9382" s="397"/>
      <c r="J9382" s="750" t="e">
        <f t="shared" si="129"/>
        <v>#DIV/0!</v>
      </c>
      <c r="K9382" s="398"/>
      <c r="L9382" s="398"/>
      <c r="M9382" s="682"/>
    </row>
    <row r="9383" spans="6:13" ht="25.5" hidden="1" x14ac:dyDescent="0.2">
      <c r="F9383" s="494">
        <v>4511</v>
      </c>
      <c r="G9383" s="466" t="s">
        <v>1692</v>
      </c>
      <c r="H9383" s="397"/>
      <c r="I9383" s="397"/>
      <c r="J9383" s="750" t="e">
        <f t="shared" si="129"/>
        <v>#DIV/0!</v>
      </c>
      <c r="K9383" s="398"/>
      <c r="L9383" s="398"/>
      <c r="M9383" s="682"/>
    </row>
    <row r="9384" spans="6:13" ht="25.5" hidden="1" x14ac:dyDescent="0.2">
      <c r="F9384" s="494">
        <v>4512</v>
      </c>
      <c r="G9384" s="466" t="s">
        <v>1701</v>
      </c>
      <c r="H9384" s="397"/>
      <c r="I9384" s="397"/>
      <c r="J9384" s="750" t="e">
        <f t="shared" si="129"/>
        <v>#DIV/0!</v>
      </c>
      <c r="K9384" s="398"/>
      <c r="L9384" s="398"/>
      <c r="M9384" s="682"/>
    </row>
    <row r="9385" spans="6:13" ht="25.5" hidden="1" x14ac:dyDescent="0.2">
      <c r="F9385" s="494">
        <v>452</v>
      </c>
      <c r="G9385" s="495" t="s">
        <v>4187</v>
      </c>
      <c r="H9385" s="397"/>
      <c r="I9385" s="397"/>
      <c r="J9385" s="750" t="e">
        <f t="shared" si="129"/>
        <v>#DIV/0!</v>
      </c>
      <c r="K9385" s="398"/>
      <c r="L9385" s="398"/>
      <c r="M9385" s="682"/>
    </row>
    <row r="9386" spans="6:13" ht="25.5" hidden="1" x14ac:dyDescent="0.2">
      <c r="F9386" s="494">
        <v>453</v>
      </c>
      <c r="G9386" s="495" t="s">
        <v>4188</v>
      </c>
      <c r="H9386" s="397"/>
      <c r="I9386" s="397"/>
      <c r="J9386" s="750" t="e">
        <f t="shared" si="129"/>
        <v>#DIV/0!</v>
      </c>
      <c r="K9386" s="398"/>
      <c r="L9386" s="398"/>
      <c r="M9386" s="682"/>
    </row>
    <row r="9387" spans="6:13" hidden="1" x14ac:dyDescent="0.2">
      <c r="F9387" s="494">
        <v>454</v>
      </c>
      <c r="G9387" s="495" t="s">
        <v>3803</v>
      </c>
      <c r="H9387" s="397"/>
      <c r="I9387" s="397"/>
      <c r="J9387" s="750" t="e">
        <f t="shared" si="129"/>
        <v>#DIV/0!</v>
      </c>
      <c r="K9387" s="398"/>
      <c r="L9387" s="398"/>
      <c r="M9387" s="682"/>
    </row>
    <row r="9388" spans="6:13" hidden="1" x14ac:dyDescent="0.2">
      <c r="F9388" s="494">
        <v>461</v>
      </c>
      <c r="G9388" s="495" t="s">
        <v>4169</v>
      </c>
      <c r="H9388" s="397"/>
      <c r="I9388" s="397"/>
      <c r="J9388" s="750" t="e">
        <f t="shared" si="129"/>
        <v>#DIV/0!</v>
      </c>
      <c r="K9388" s="398"/>
      <c r="L9388" s="398"/>
      <c r="M9388" s="682"/>
    </row>
    <row r="9389" spans="6:13" ht="25.5" hidden="1" x14ac:dyDescent="0.2">
      <c r="F9389" s="494">
        <v>462</v>
      </c>
      <c r="G9389" s="495" t="s">
        <v>3806</v>
      </c>
      <c r="H9389" s="397"/>
      <c r="I9389" s="397"/>
      <c r="J9389" s="750" t="e">
        <f t="shared" si="129"/>
        <v>#DIV/0!</v>
      </c>
      <c r="K9389" s="398"/>
      <c r="L9389" s="398"/>
      <c r="M9389" s="682"/>
    </row>
    <row r="9390" spans="6:13" hidden="1" x14ac:dyDescent="0.2">
      <c r="F9390" s="494">
        <v>4631</v>
      </c>
      <c r="G9390" s="495" t="s">
        <v>3807</v>
      </c>
      <c r="H9390" s="397"/>
      <c r="I9390" s="397"/>
      <c r="J9390" s="750" t="e">
        <f t="shared" si="129"/>
        <v>#DIV/0!</v>
      </c>
      <c r="K9390" s="398"/>
      <c r="L9390" s="398"/>
      <c r="M9390" s="682"/>
    </row>
    <row r="9391" spans="6:13" hidden="1" x14ac:dyDescent="0.2">
      <c r="F9391" s="494">
        <v>4632</v>
      </c>
      <c r="G9391" s="495" t="s">
        <v>3808</v>
      </c>
      <c r="H9391" s="397"/>
      <c r="I9391" s="397"/>
      <c r="J9391" s="750" t="e">
        <f t="shared" si="129"/>
        <v>#DIV/0!</v>
      </c>
      <c r="K9391" s="398"/>
      <c r="L9391" s="398"/>
      <c r="M9391" s="682"/>
    </row>
    <row r="9392" spans="6:13" ht="25.5" hidden="1" x14ac:dyDescent="0.2">
      <c r="F9392" s="494">
        <v>464</v>
      </c>
      <c r="G9392" s="495" t="s">
        <v>3809</v>
      </c>
      <c r="H9392" s="397"/>
      <c r="I9392" s="397"/>
      <c r="J9392" s="750" t="e">
        <f t="shared" si="129"/>
        <v>#DIV/0!</v>
      </c>
      <c r="K9392" s="398"/>
      <c r="L9392" s="398"/>
      <c r="M9392" s="682"/>
    </row>
    <row r="9393" spans="6:13" hidden="1" x14ac:dyDescent="0.2">
      <c r="F9393" s="494">
        <v>465</v>
      </c>
      <c r="G9393" s="495" t="s">
        <v>4170</v>
      </c>
      <c r="H9393" s="397"/>
      <c r="I9393" s="397"/>
      <c r="J9393" s="750" t="e">
        <f t="shared" si="129"/>
        <v>#DIV/0!</v>
      </c>
      <c r="K9393" s="398"/>
      <c r="L9393" s="398"/>
      <c r="M9393" s="682"/>
    </row>
    <row r="9394" spans="6:13" hidden="1" x14ac:dyDescent="0.2">
      <c r="F9394" s="494">
        <v>472</v>
      </c>
      <c r="G9394" s="495" t="s">
        <v>3813</v>
      </c>
      <c r="H9394" s="397"/>
      <c r="I9394" s="397"/>
      <c r="J9394" s="750" t="e">
        <f t="shared" si="129"/>
        <v>#DIV/0!</v>
      </c>
      <c r="K9394" s="398"/>
      <c r="L9394" s="398"/>
      <c r="M9394" s="682"/>
    </row>
    <row r="9395" spans="6:13" hidden="1" x14ac:dyDescent="0.2">
      <c r="F9395" s="494">
        <v>481</v>
      </c>
      <c r="G9395" s="495" t="s">
        <v>4189</v>
      </c>
      <c r="H9395" s="397"/>
      <c r="I9395" s="397"/>
      <c r="J9395" s="750" t="e">
        <f t="shared" si="129"/>
        <v>#DIV/0!</v>
      </c>
      <c r="K9395" s="398"/>
      <c r="L9395" s="398"/>
      <c r="M9395" s="682"/>
    </row>
    <row r="9396" spans="6:13" hidden="1" x14ac:dyDescent="0.2">
      <c r="F9396" s="494">
        <v>482</v>
      </c>
      <c r="G9396" s="495" t="s">
        <v>4190</v>
      </c>
      <c r="H9396" s="397"/>
      <c r="I9396" s="397"/>
      <c r="J9396" s="750" t="e">
        <f t="shared" si="129"/>
        <v>#DIV/0!</v>
      </c>
      <c r="K9396" s="398"/>
      <c r="L9396" s="398"/>
      <c r="M9396" s="682"/>
    </row>
    <row r="9397" spans="6:13" hidden="1" x14ac:dyDescent="0.2">
      <c r="F9397" s="494">
        <v>483</v>
      </c>
      <c r="G9397" s="497" t="s">
        <v>4191</v>
      </c>
      <c r="H9397" s="397"/>
      <c r="I9397" s="397"/>
      <c r="J9397" s="750" t="e">
        <f t="shared" si="129"/>
        <v>#DIV/0!</v>
      </c>
      <c r="K9397" s="398"/>
      <c r="L9397" s="398"/>
      <c r="M9397" s="682"/>
    </row>
    <row r="9398" spans="6:13" ht="38.25" hidden="1" x14ac:dyDescent="0.2">
      <c r="F9398" s="494">
        <v>484</v>
      </c>
      <c r="G9398" s="495" t="s">
        <v>4192</v>
      </c>
      <c r="H9398" s="397"/>
      <c r="I9398" s="397"/>
      <c r="J9398" s="750" t="e">
        <f t="shared" si="129"/>
        <v>#DIV/0!</v>
      </c>
      <c r="K9398" s="398"/>
      <c r="L9398" s="398"/>
      <c r="M9398" s="682"/>
    </row>
    <row r="9399" spans="6:13" ht="25.5" hidden="1" x14ac:dyDescent="0.2">
      <c r="F9399" s="494">
        <v>485</v>
      </c>
      <c r="G9399" s="495" t="s">
        <v>4193</v>
      </c>
      <c r="H9399" s="397"/>
      <c r="I9399" s="397"/>
      <c r="J9399" s="750" t="e">
        <f t="shared" si="129"/>
        <v>#DIV/0!</v>
      </c>
      <c r="K9399" s="398"/>
      <c r="L9399" s="398"/>
      <c r="M9399" s="682"/>
    </row>
    <row r="9400" spans="6:13" ht="25.5" hidden="1" x14ac:dyDescent="0.2">
      <c r="F9400" s="494">
        <v>489</v>
      </c>
      <c r="G9400" s="495" t="s">
        <v>3821</v>
      </c>
      <c r="H9400" s="397"/>
      <c r="I9400" s="397"/>
      <c r="J9400" s="750" t="e">
        <f t="shared" si="129"/>
        <v>#DIV/0!</v>
      </c>
      <c r="K9400" s="398"/>
      <c r="L9400" s="398"/>
      <c r="M9400" s="682"/>
    </row>
    <row r="9401" spans="6:13" ht="25.5" hidden="1" x14ac:dyDescent="0.2">
      <c r="F9401" s="494">
        <v>494</v>
      </c>
      <c r="G9401" s="495" t="s">
        <v>4171</v>
      </c>
      <c r="H9401" s="397"/>
      <c r="I9401" s="397"/>
      <c r="J9401" s="750" t="e">
        <f t="shared" si="129"/>
        <v>#DIV/0!</v>
      </c>
      <c r="K9401" s="398"/>
      <c r="L9401" s="398"/>
      <c r="M9401" s="682"/>
    </row>
    <row r="9402" spans="6:13" ht="25.5" hidden="1" x14ac:dyDescent="0.2">
      <c r="F9402" s="494">
        <v>495</v>
      </c>
      <c r="G9402" s="495" t="s">
        <v>4172</v>
      </c>
      <c r="H9402" s="397"/>
      <c r="I9402" s="397"/>
      <c r="J9402" s="750" t="e">
        <f t="shared" si="129"/>
        <v>#DIV/0!</v>
      </c>
      <c r="K9402" s="398"/>
      <c r="L9402" s="398"/>
      <c r="M9402" s="682"/>
    </row>
    <row r="9403" spans="6:13" ht="38.25" hidden="1" x14ac:dyDescent="0.2">
      <c r="F9403" s="494">
        <v>496</v>
      </c>
      <c r="G9403" s="495" t="s">
        <v>4173</v>
      </c>
      <c r="H9403" s="397"/>
      <c r="I9403" s="397"/>
      <c r="J9403" s="750" t="e">
        <f t="shared" si="129"/>
        <v>#DIV/0!</v>
      </c>
      <c r="K9403" s="398"/>
      <c r="L9403" s="398"/>
      <c r="M9403" s="682"/>
    </row>
    <row r="9404" spans="6:13" ht="25.5" hidden="1" x14ac:dyDescent="0.2">
      <c r="F9404" s="494">
        <v>499</v>
      </c>
      <c r="G9404" s="495" t="s">
        <v>4174</v>
      </c>
      <c r="H9404" s="397"/>
      <c r="I9404" s="397"/>
      <c r="J9404" s="750" t="e">
        <f t="shared" si="129"/>
        <v>#DIV/0!</v>
      </c>
      <c r="K9404" s="398"/>
      <c r="L9404" s="398"/>
      <c r="M9404" s="682"/>
    </row>
    <row r="9405" spans="6:13" hidden="1" x14ac:dyDescent="0.2">
      <c r="F9405" s="494">
        <v>511</v>
      </c>
      <c r="G9405" s="497" t="s">
        <v>4194</v>
      </c>
      <c r="H9405" s="397"/>
      <c r="I9405" s="397"/>
      <c r="J9405" s="750" t="e">
        <f t="shared" si="129"/>
        <v>#DIV/0!</v>
      </c>
      <c r="K9405" s="398"/>
      <c r="L9405" s="398"/>
      <c r="M9405" s="682"/>
    </row>
    <row r="9406" spans="6:13" hidden="1" x14ac:dyDescent="0.2">
      <c r="F9406" s="494">
        <v>512</v>
      </c>
      <c r="G9406" s="497" t="s">
        <v>4195</v>
      </c>
      <c r="H9406" s="397"/>
      <c r="I9406" s="397"/>
      <c r="J9406" s="750" t="e">
        <f t="shared" si="129"/>
        <v>#DIV/0!</v>
      </c>
      <c r="K9406" s="398"/>
      <c r="L9406" s="398"/>
      <c r="M9406" s="682"/>
    </row>
    <row r="9407" spans="6:13" hidden="1" x14ac:dyDescent="0.2">
      <c r="F9407" s="494">
        <v>513</v>
      </c>
      <c r="G9407" s="497" t="s">
        <v>4196</v>
      </c>
      <c r="H9407" s="397"/>
      <c r="I9407" s="397"/>
      <c r="J9407" s="750" t="e">
        <f t="shared" si="129"/>
        <v>#DIV/0!</v>
      </c>
      <c r="K9407" s="398"/>
      <c r="L9407" s="398"/>
      <c r="M9407" s="682"/>
    </row>
    <row r="9408" spans="6:13" hidden="1" x14ac:dyDescent="0.2">
      <c r="F9408" s="494">
        <v>514</v>
      </c>
      <c r="G9408" s="495" t="s">
        <v>4197</v>
      </c>
      <c r="H9408" s="397"/>
      <c r="I9408" s="397"/>
      <c r="J9408" s="750" t="e">
        <f t="shared" si="129"/>
        <v>#DIV/0!</v>
      </c>
      <c r="K9408" s="398"/>
      <c r="L9408" s="398"/>
      <c r="M9408" s="682"/>
    </row>
    <row r="9409" spans="5:13" hidden="1" x14ac:dyDescent="0.2">
      <c r="F9409" s="494">
        <v>515</v>
      </c>
      <c r="G9409" s="495" t="s">
        <v>3832</v>
      </c>
      <c r="H9409" s="397"/>
      <c r="I9409" s="397"/>
      <c r="J9409" s="750" t="e">
        <f t="shared" si="129"/>
        <v>#DIV/0!</v>
      </c>
      <c r="K9409" s="398"/>
      <c r="L9409" s="398"/>
      <c r="M9409" s="682"/>
    </row>
    <row r="9410" spans="5:13" hidden="1" x14ac:dyDescent="0.2">
      <c r="F9410" s="494">
        <v>521</v>
      </c>
      <c r="G9410" s="495" t="s">
        <v>4198</v>
      </c>
      <c r="H9410" s="397"/>
      <c r="I9410" s="397"/>
      <c r="J9410" s="750" t="e">
        <f t="shared" si="129"/>
        <v>#DIV/0!</v>
      </c>
      <c r="K9410" s="398"/>
      <c r="L9410" s="398"/>
      <c r="M9410" s="682"/>
    </row>
    <row r="9411" spans="5:13" hidden="1" x14ac:dyDescent="0.2">
      <c r="F9411" s="494">
        <v>522</v>
      </c>
      <c r="G9411" s="495" t="s">
        <v>4199</v>
      </c>
      <c r="H9411" s="397"/>
      <c r="I9411" s="397"/>
      <c r="J9411" s="750" t="e">
        <f t="shared" si="129"/>
        <v>#DIV/0!</v>
      </c>
      <c r="K9411" s="398"/>
      <c r="L9411" s="398"/>
      <c r="M9411" s="682"/>
    </row>
    <row r="9412" spans="5:13" hidden="1" x14ac:dyDescent="0.2">
      <c r="F9412" s="494">
        <v>523</v>
      </c>
      <c r="G9412" s="495" t="s">
        <v>3837</v>
      </c>
      <c r="H9412" s="397"/>
      <c r="I9412" s="397"/>
      <c r="J9412" s="750" t="e">
        <f t="shared" si="129"/>
        <v>#DIV/0!</v>
      </c>
      <c r="K9412" s="398"/>
      <c r="L9412" s="398"/>
      <c r="M9412" s="682"/>
    </row>
    <row r="9413" spans="5:13" hidden="1" x14ac:dyDescent="0.2">
      <c r="F9413" s="494">
        <v>531</v>
      </c>
      <c r="G9413" s="496" t="s">
        <v>4175</v>
      </c>
      <c r="H9413" s="397"/>
      <c r="I9413" s="397"/>
      <c r="J9413" s="750" t="e">
        <f t="shared" si="129"/>
        <v>#DIV/0!</v>
      </c>
      <c r="K9413" s="398"/>
      <c r="L9413" s="398"/>
      <c r="M9413" s="682"/>
    </row>
    <row r="9414" spans="5:13" hidden="1" x14ac:dyDescent="0.2">
      <c r="F9414" s="494">
        <v>541</v>
      </c>
      <c r="G9414" s="495" t="s">
        <v>4200</v>
      </c>
      <c r="H9414" s="397"/>
      <c r="I9414" s="397"/>
      <c r="J9414" s="750" t="e">
        <f t="shared" si="129"/>
        <v>#DIV/0!</v>
      </c>
      <c r="K9414" s="398"/>
      <c r="L9414" s="398"/>
      <c r="M9414" s="682"/>
    </row>
    <row r="9415" spans="5:13" hidden="1" x14ac:dyDescent="0.2">
      <c r="F9415" s="494">
        <v>542</v>
      </c>
      <c r="G9415" s="495" t="s">
        <v>4201</v>
      </c>
      <c r="H9415" s="397"/>
      <c r="I9415" s="397"/>
      <c r="J9415" s="750" t="e">
        <f t="shared" si="129"/>
        <v>#DIV/0!</v>
      </c>
      <c r="K9415" s="398"/>
      <c r="L9415" s="398"/>
      <c r="M9415" s="682"/>
    </row>
    <row r="9416" spans="5:13" hidden="1" x14ac:dyDescent="0.2">
      <c r="F9416" s="494">
        <v>543</v>
      </c>
      <c r="G9416" s="495" t="s">
        <v>3842</v>
      </c>
      <c r="H9416" s="397"/>
      <c r="I9416" s="397"/>
      <c r="J9416" s="750" t="e">
        <f t="shared" si="129"/>
        <v>#DIV/0!</v>
      </c>
      <c r="K9416" s="398"/>
      <c r="L9416" s="398"/>
      <c r="M9416" s="682"/>
    </row>
    <row r="9417" spans="5:13" ht="38.25" hidden="1" x14ac:dyDescent="0.2">
      <c r="F9417" s="494">
        <v>551</v>
      </c>
      <c r="G9417" s="495" t="s">
        <v>4176</v>
      </c>
      <c r="H9417" s="397"/>
      <c r="I9417" s="397"/>
      <c r="J9417" s="750" t="e">
        <f t="shared" si="129"/>
        <v>#DIV/0!</v>
      </c>
      <c r="K9417" s="398"/>
      <c r="L9417" s="398"/>
      <c r="M9417" s="682"/>
    </row>
    <row r="9418" spans="5:13" hidden="1" x14ac:dyDescent="0.2">
      <c r="F9418" s="498">
        <v>611</v>
      </c>
      <c r="G9418" s="499" t="s">
        <v>3848</v>
      </c>
      <c r="H9418" s="397"/>
      <c r="I9418" s="397"/>
      <c r="J9418" s="750" t="e">
        <f t="shared" si="129"/>
        <v>#DIV/0!</v>
      </c>
      <c r="K9418" s="398"/>
      <c r="L9418" s="398"/>
      <c r="M9418" s="682"/>
    </row>
    <row r="9419" spans="5:13" hidden="1" x14ac:dyDescent="0.2">
      <c r="F9419" s="498">
        <v>620</v>
      </c>
      <c r="G9419" s="499" t="s">
        <v>88</v>
      </c>
      <c r="H9419" s="397"/>
      <c r="I9419" s="397"/>
      <c r="J9419" s="750" t="e">
        <f t="shared" si="129"/>
        <v>#DIV/0!</v>
      </c>
      <c r="K9419" s="398"/>
      <c r="L9419" s="398"/>
      <c r="M9419" s="682"/>
    </row>
    <row r="9420" spans="5:13" hidden="1" x14ac:dyDescent="0.2">
      <c r="E9420" s="500"/>
      <c r="F9420" s="498"/>
      <c r="G9420" s="501" t="s">
        <v>4392</v>
      </c>
      <c r="H9420" s="400"/>
      <c r="I9420" s="400"/>
      <c r="J9420" s="750" t="e">
        <f t="shared" si="129"/>
        <v>#DIV/0!</v>
      </c>
      <c r="K9420" s="401"/>
      <c r="L9420" s="402"/>
      <c r="M9420" s="682"/>
    </row>
    <row r="9421" spans="5:13" hidden="1" x14ac:dyDescent="0.2">
      <c r="E9421" s="502"/>
      <c r="F9421" s="503" t="s">
        <v>234</v>
      </c>
      <c r="G9421" s="504" t="s">
        <v>235</v>
      </c>
      <c r="H9421" s="403">
        <f>SUM(H9360:H9419)</f>
        <v>0</v>
      </c>
      <c r="I9421" s="403"/>
      <c r="J9421" s="750" t="e">
        <f t="shared" si="129"/>
        <v>#DIV/0!</v>
      </c>
      <c r="K9421" s="404"/>
      <c r="L9421" s="404"/>
      <c r="M9421" s="682"/>
    </row>
    <row r="9422" spans="5:13" hidden="1" x14ac:dyDescent="0.2">
      <c r="F9422" s="503" t="s">
        <v>236</v>
      </c>
      <c r="G9422" s="504" t="s">
        <v>237</v>
      </c>
      <c r="H9422" s="397"/>
      <c r="I9422" s="397"/>
      <c r="J9422" s="750" t="e">
        <f t="shared" ref="J9422:J9485" si="130">SUM(I9422/H9422)*100</f>
        <v>#DIV/0!</v>
      </c>
      <c r="K9422" s="398"/>
      <c r="L9422" s="404"/>
      <c r="M9422" s="682"/>
    </row>
    <row r="9423" spans="5:13" hidden="1" x14ac:dyDescent="0.2">
      <c r="F9423" s="503" t="s">
        <v>238</v>
      </c>
      <c r="G9423" s="504" t="s">
        <v>239</v>
      </c>
      <c r="H9423" s="397"/>
      <c r="I9423" s="397"/>
      <c r="J9423" s="750" t="e">
        <f t="shared" si="130"/>
        <v>#DIV/0!</v>
      </c>
      <c r="K9423" s="398"/>
      <c r="L9423" s="404"/>
      <c r="M9423" s="682"/>
    </row>
    <row r="9424" spans="5:13" hidden="1" x14ac:dyDescent="0.2">
      <c r="F9424" s="503" t="s">
        <v>240</v>
      </c>
      <c r="G9424" s="504" t="s">
        <v>241</v>
      </c>
      <c r="H9424" s="397"/>
      <c r="I9424" s="397"/>
      <c r="J9424" s="750" t="e">
        <f t="shared" si="130"/>
        <v>#DIV/0!</v>
      </c>
      <c r="K9424" s="398"/>
      <c r="L9424" s="404"/>
      <c r="M9424" s="682"/>
    </row>
    <row r="9425" spans="5:13" hidden="1" x14ac:dyDescent="0.2">
      <c r="F9425" s="503" t="s">
        <v>242</v>
      </c>
      <c r="G9425" s="504" t="s">
        <v>243</v>
      </c>
      <c r="H9425" s="397"/>
      <c r="I9425" s="397"/>
      <c r="J9425" s="750" t="e">
        <f t="shared" si="130"/>
        <v>#DIV/0!</v>
      </c>
      <c r="K9425" s="398"/>
      <c r="L9425" s="404"/>
      <c r="M9425" s="682"/>
    </row>
    <row r="9426" spans="5:13" hidden="1" x14ac:dyDescent="0.2">
      <c r="F9426" s="503" t="s">
        <v>244</v>
      </c>
      <c r="G9426" s="504" t="s">
        <v>245</v>
      </c>
      <c r="H9426" s="397"/>
      <c r="I9426" s="397"/>
      <c r="J9426" s="750" t="e">
        <f t="shared" si="130"/>
        <v>#DIV/0!</v>
      </c>
      <c r="K9426" s="398"/>
      <c r="L9426" s="404"/>
      <c r="M9426" s="682"/>
    </row>
    <row r="9427" spans="5:13" hidden="1" x14ac:dyDescent="0.2">
      <c r="F9427" s="503" t="s">
        <v>246</v>
      </c>
      <c r="G9427" s="504" t="s">
        <v>247</v>
      </c>
      <c r="H9427" s="397"/>
      <c r="I9427" s="397"/>
      <c r="J9427" s="750" t="e">
        <f t="shared" si="130"/>
        <v>#DIV/0!</v>
      </c>
      <c r="K9427" s="398"/>
      <c r="L9427" s="404"/>
      <c r="M9427" s="682"/>
    </row>
    <row r="9428" spans="5:13" ht="25.5" hidden="1" x14ac:dyDescent="0.2">
      <c r="F9428" s="503" t="s">
        <v>248</v>
      </c>
      <c r="G9428" s="504" t="s">
        <v>249</v>
      </c>
      <c r="H9428" s="397"/>
      <c r="I9428" s="397"/>
      <c r="J9428" s="750" t="e">
        <f t="shared" si="130"/>
        <v>#DIV/0!</v>
      </c>
      <c r="K9428" s="398"/>
      <c r="L9428" s="404"/>
      <c r="M9428" s="682"/>
    </row>
    <row r="9429" spans="5:13" hidden="1" x14ac:dyDescent="0.2">
      <c r="F9429" s="503" t="s">
        <v>250</v>
      </c>
      <c r="G9429" s="504" t="s">
        <v>57</v>
      </c>
      <c r="H9429" s="397"/>
      <c r="I9429" s="397"/>
      <c r="J9429" s="750" t="e">
        <f t="shared" si="130"/>
        <v>#DIV/0!</v>
      </c>
      <c r="K9429" s="398"/>
      <c r="L9429" s="404"/>
      <c r="M9429" s="682"/>
    </row>
    <row r="9430" spans="5:13" hidden="1" x14ac:dyDescent="0.2">
      <c r="F9430" s="503" t="s">
        <v>251</v>
      </c>
      <c r="G9430" s="504" t="s">
        <v>252</v>
      </c>
      <c r="H9430" s="397"/>
      <c r="I9430" s="397"/>
      <c r="J9430" s="750" t="e">
        <f t="shared" si="130"/>
        <v>#DIV/0!</v>
      </c>
      <c r="K9430" s="398"/>
      <c r="L9430" s="404"/>
      <c r="M9430" s="682"/>
    </row>
    <row r="9431" spans="5:13" hidden="1" x14ac:dyDescent="0.2">
      <c r="F9431" s="503" t="s">
        <v>253</v>
      </c>
      <c r="G9431" s="504" t="s">
        <v>254</v>
      </c>
      <c r="H9431" s="397"/>
      <c r="I9431" s="397"/>
      <c r="J9431" s="750" t="e">
        <f t="shared" si="130"/>
        <v>#DIV/0!</v>
      </c>
      <c r="K9431" s="398"/>
      <c r="L9431" s="404"/>
      <c r="M9431" s="682"/>
    </row>
    <row r="9432" spans="5:13" ht="25.5" hidden="1" x14ac:dyDescent="0.2">
      <c r="F9432" s="503" t="s">
        <v>255</v>
      </c>
      <c r="G9432" s="504" t="s">
        <v>256</v>
      </c>
      <c r="H9432" s="397"/>
      <c r="I9432" s="397"/>
      <c r="J9432" s="750" t="e">
        <f t="shared" si="130"/>
        <v>#DIV/0!</v>
      </c>
      <c r="K9432" s="398"/>
      <c r="L9432" s="404"/>
      <c r="M9432" s="682"/>
    </row>
    <row r="9433" spans="5:13" ht="25.5" hidden="1" x14ac:dyDescent="0.2">
      <c r="F9433" s="503" t="s">
        <v>257</v>
      </c>
      <c r="G9433" s="504" t="s">
        <v>258</v>
      </c>
      <c r="H9433" s="397"/>
      <c r="I9433" s="397"/>
      <c r="J9433" s="750" t="e">
        <f t="shared" si="130"/>
        <v>#DIV/0!</v>
      </c>
      <c r="K9433" s="398"/>
      <c r="L9433" s="404"/>
      <c r="M9433" s="682"/>
    </row>
    <row r="9434" spans="5:13" ht="25.5" hidden="1" x14ac:dyDescent="0.2">
      <c r="F9434" s="503" t="s">
        <v>259</v>
      </c>
      <c r="G9434" s="504" t="s">
        <v>260</v>
      </c>
      <c r="H9434" s="397"/>
      <c r="I9434" s="397"/>
      <c r="J9434" s="750" t="e">
        <f t="shared" si="130"/>
        <v>#DIV/0!</v>
      </c>
      <c r="K9434" s="398"/>
      <c r="L9434" s="404"/>
      <c r="M9434" s="682"/>
    </row>
    <row r="9435" spans="5:13" ht="25.5" hidden="1" x14ac:dyDescent="0.2">
      <c r="F9435" s="503" t="s">
        <v>261</v>
      </c>
      <c r="G9435" s="504" t="s">
        <v>262</v>
      </c>
      <c r="H9435" s="397"/>
      <c r="I9435" s="397"/>
      <c r="J9435" s="750" t="e">
        <f t="shared" si="130"/>
        <v>#DIV/0!</v>
      </c>
      <c r="K9435" s="398"/>
      <c r="L9435" s="404"/>
      <c r="M9435" s="682"/>
    </row>
    <row r="9436" spans="5:13" hidden="1" x14ac:dyDescent="0.2">
      <c r="F9436" s="503" t="s">
        <v>263</v>
      </c>
      <c r="G9436" s="504" t="s">
        <v>264</v>
      </c>
      <c r="H9436" s="403"/>
      <c r="I9436" s="403"/>
      <c r="J9436" s="750" t="e">
        <f t="shared" si="130"/>
        <v>#DIV/0!</v>
      </c>
      <c r="K9436" s="404"/>
      <c r="L9436" s="404"/>
      <c r="M9436" s="682"/>
    </row>
    <row r="9437" spans="5:13" ht="13.5" hidden="1" thickBot="1" x14ac:dyDescent="0.25">
      <c r="G9437" s="505" t="s">
        <v>4393</v>
      </c>
      <c r="H9437" s="405">
        <f>SUM(H9421:H9436)</f>
        <v>0</v>
      </c>
      <c r="I9437" s="405"/>
      <c r="J9437" s="750" t="e">
        <f t="shared" si="130"/>
        <v>#DIV/0!</v>
      </c>
      <c r="K9437" s="406">
        <f>SUM(K9422:K9436)</f>
        <v>0</v>
      </c>
      <c r="L9437" s="406"/>
      <c r="M9437" s="682"/>
    </row>
    <row r="9438" spans="5:13" hidden="1" x14ac:dyDescent="0.2">
      <c r="E9438" s="500"/>
      <c r="F9438" s="498"/>
      <c r="G9438" s="506" t="s">
        <v>5047</v>
      </c>
      <c r="H9438" s="407"/>
      <c r="I9438" s="408"/>
      <c r="J9438" s="750" t="e">
        <f t="shared" si="130"/>
        <v>#DIV/0!</v>
      </c>
      <c r="K9438" s="409"/>
      <c r="L9438" s="410"/>
      <c r="M9438" s="682"/>
    </row>
    <row r="9439" spans="5:13" hidden="1" x14ac:dyDescent="0.2">
      <c r="E9439" s="502"/>
      <c r="F9439" s="503" t="s">
        <v>234</v>
      </c>
      <c r="G9439" s="504" t="s">
        <v>235</v>
      </c>
      <c r="H9439" s="403">
        <f>SUM(H9360:H9419)</f>
        <v>0</v>
      </c>
      <c r="I9439" s="403"/>
      <c r="J9439" s="750" t="e">
        <f t="shared" si="130"/>
        <v>#DIV/0!</v>
      </c>
      <c r="K9439" s="404"/>
      <c r="L9439" s="404"/>
      <c r="M9439" s="682"/>
    </row>
    <row r="9440" spans="5:13" hidden="1" x14ac:dyDescent="0.2">
      <c r="F9440" s="503" t="s">
        <v>236</v>
      </c>
      <c r="G9440" s="504" t="s">
        <v>237</v>
      </c>
      <c r="H9440" s="397"/>
      <c r="I9440" s="397"/>
      <c r="J9440" s="750" t="e">
        <f t="shared" si="130"/>
        <v>#DIV/0!</v>
      </c>
      <c r="K9440" s="398"/>
      <c r="L9440" s="404"/>
      <c r="M9440" s="682"/>
    </row>
    <row r="9441" spans="6:13" hidden="1" x14ac:dyDescent="0.2">
      <c r="F9441" s="503" t="s">
        <v>238</v>
      </c>
      <c r="G9441" s="504" t="s">
        <v>239</v>
      </c>
      <c r="H9441" s="397"/>
      <c r="I9441" s="397"/>
      <c r="J9441" s="750" t="e">
        <f t="shared" si="130"/>
        <v>#DIV/0!</v>
      </c>
      <c r="K9441" s="398"/>
      <c r="L9441" s="404"/>
      <c r="M9441" s="682"/>
    </row>
    <row r="9442" spans="6:13" hidden="1" x14ac:dyDescent="0.2">
      <c r="F9442" s="503" t="s">
        <v>240</v>
      </c>
      <c r="G9442" s="504" t="s">
        <v>241</v>
      </c>
      <c r="H9442" s="397"/>
      <c r="I9442" s="397"/>
      <c r="J9442" s="750" t="e">
        <f t="shared" si="130"/>
        <v>#DIV/0!</v>
      </c>
      <c r="K9442" s="398"/>
      <c r="L9442" s="404"/>
      <c r="M9442" s="682"/>
    </row>
    <row r="9443" spans="6:13" hidden="1" x14ac:dyDescent="0.2">
      <c r="F9443" s="503" t="s">
        <v>242</v>
      </c>
      <c r="G9443" s="504" t="s">
        <v>243</v>
      </c>
      <c r="H9443" s="397"/>
      <c r="I9443" s="397"/>
      <c r="J9443" s="750" t="e">
        <f t="shared" si="130"/>
        <v>#DIV/0!</v>
      </c>
      <c r="K9443" s="398"/>
      <c r="L9443" s="404"/>
      <c r="M9443" s="682"/>
    </row>
    <row r="9444" spans="6:13" hidden="1" x14ac:dyDescent="0.2">
      <c r="F9444" s="503" t="s">
        <v>244</v>
      </c>
      <c r="G9444" s="504" t="s">
        <v>245</v>
      </c>
      <c r="H9444" s="397"/>
      <c r="I9444" s="397"/>
      <c r="J9444" s="750" t="e">
        <f t="shared" si="130"/>
        <v>#DIV/0!</v>
      </c>
      <c r="K9444" s="398"/>
      <c r="L9444" s="404"/>
      <c r="M9444" s="682"/>
    </row>
    <row r="9445" spans="6:13" hidden="1" x14ac:dyDescent="0.2">
      <c r="F9445" s="503" t="s">
        <v>246</v>
      </c>
      <c r="G9445" s="504" t="s">
        <v>247</v>
      </c>
      <c r="H9445" s="397"/>
      <c r="I9445" s="397"/>
      <c r="J9445" s="750" t="e">
        <f t="shared" si="130"/>
        <v>#DIV/0!</v>
      </c>
      <c r="K9445" s="398"/>
      <c r="L9445" s="404"/>
      <c r="M9445" s="682"/>
    </row>
    <row r="9446" spans="6:13" ht="25.5" hidden="1" x14ac:dyDescent="0.2">
      <c r="F9446" s="503" t="s">
        <v>248</v>
      </c>
      <c r="G9446" s="504" t="s">
        <v>249</v>
      </c>
      <c r="H9446" s="397"/>
      <c r="I9446" s="397"/>
      <c r="J9446" s="750" t="e">
        <f t="shared" si="130"/>
        <v>#DIV/0!</v>
      </c>
      <c r="K9446" s="398"/>
      <c r="L9446" s="404"/>
      <c r="M9446" s="682"/>
    </row>
    <row r="9447" spans="6:13" hidden="1" x14ac:dyDescent="0.2">
      <c r="F9447" s="503" t="s">
        <v>250</v>
      </c>
      <c r="G9447" s="504" t="s">
        <v>57</v>
      </c>
      <c r="H9447" s="397"/>
      <c r="I9447" s="397"/>
      <c r="J9447" s="750" t="e">
        <f t="shared" si="130"/>
        <v>#DIV/0!</v>
      </c>
      <c r="K9447" s="398"/>
      <c r="L9447" s="404"/>
      <c r="M9447" s="682"/>
    </row>
    <row r="9448" spans="6:13" hidden="1" x14ac:dyDescent="0.2">
      <c r="F9448" s="503" t="s">
        <v>251</v>
      </c>
      <c r="G9448" s="504" t="s">
        <v>252</v>
      </c>
      <c r="H9448" s="397"/>
      <c r="I9448" s="397"/>
      <c r="J9448" s="750" t="e">
        <f t="shared" si="130"/>
        <v>#DIV/0!</v>
      </c>
      <c r="K9448" s="398"/>
      <c r="L9448" s="404"/>
      <c r="M9448" s="682"/>
    </row>
    <row r="9449" spans="6:13" hidden="1" x14ac:dyDescent="0.2">
      <c r="F9449" s="503" t="s">
        <v>253</v>
      </c>
      <c r="G9449" s="504" t="s">
        <v>254</v>
      </c>
      <c r="H9449" s="397"/>
      <c r="I9449" s="397"/>
      <c r="J9449" s="750" t="e">
        <f t="shared" si="130"/>
        <v>#DIV/0!</v>
      </c>
      <c r="K9449" s="398"/>
      <c r="L9449" s="404"/>
      <c r="M9449" s="682"/>
    </row>
    <row r="9450" spans="6:13" ht="25.5" hidden="1" x14ac:dyDescent="0.2">
      <c r="F9450" s="503" t="s">
        <v>255</v>
      </c>
      <c r="G9450" s="504" t="s">
        <v>256</v>
      </c>
      <c r="H9450" s="397"/>
      <c r="I9450" s="397"/>
      <c r="J9450" s="750" t="e">
        <f t="shared" si="130"/>
        <v>#DIV/0!</v>
      </c>
      <c r="K9450" s="398"/>
      <c r="L9450" s="404"/>
      <c r="M9450" s="682"/>
    </row>
    <row r="9451" spans="6:13" ht="25.5" hidden="1" x14ac:dyDescent="0.2">
      <c r="F9451" s="503" t="s">
        <v>257</v>
      </c>
      <c r="G9451" s="504" t="s">
        <v>258</v>
      </c>
      <c r="H9451" s="397"/>
      <c r="I9451" s="397"/>
      <c r="J9451" s="750" t="e">
        <f t="shared" si="130"/>
        <v>#DIV/0!</v>
      </c>
      <c r="K9451" s="398"/>
      <c r="L9451" s="404"/>
      <c r="M9451" s="682"/>
    </row>
    <row r="9452" spans="6:13" ht="25.5" hidden="1" x14ac:dyDescent="0.2">
      <c r="F9452" s="503" t="s">
        <v>259</v>
      </c>
      <c r="G9452" s="504" t="s">
        <v>260</v>
      </c>
      <c r="H9452" s="397"/>
      <c r="I9452" s="397"/>
      <c r="J9452" s="750" t="e">
        <f t="shared" si="130"/>
        <v>#DIV/0!</v>
      </c>
      <c r="K9452" s="398"/>
      <c r="L9452" s="404"/>
      <c r="M9452" s="682"/>
    </row>
    <row r="9453" spans="6:13" ht="25.5" hidden="1" x14ac:dyDescent="0.2">
      <c r="F9453" s="503" t="s">
        <v>261</v>
      </c>
      <c r="G9453" s="504" t="s">
        <v>262</v>
      </c>
      <c r="H9453" s="397"/>
      <c r="I9453" s="397"/>
      <c r="J9453" s="750" t="e">
        <f t="shared" si="130"/>
        <v>#DIV/0!</v>
      </c>
      <c r="K9453" s="398"/>
      <c r="L9453" s="404"/>
      <c r="M9453" s="682"/>
    </row>
    <row r="9454" spans="6:13" hidden="1" x14ac:dyDescent="0.2">
      <c r="F9454" s="503" t="s">
        <v>263</v>
      </c>
      <c r="G9454" s="504" t="s">
        <v>264</v>
      </c>
      <c r="H9454" s="403"/>
      <c r="I9454" s="403"/>
      <c r="J9454" s="750" t="e">
        <f t="shared" si="130"/>
        <v>#DIV/0!</v>
      </c>
      <c r="K9454" s="404"/>
      <c r="L9454" s="404"/>
      <c r="M9454" s="682"/>
    </row>
    <row r="9455" spans="6:13" ht="13.5" hidden="1" thickBot="1" x14ac:dyDescent="0.25">
      <c r="G9455" s="505" t="s">
        <v>5008</v>
      </c>
      <c r="H9455" s="405">
        <f>SUM(H9439:H9454)</f>
        <v>0</v>
      </c>
      <c r="I9455" s="405"/>
      <c r="J9455" s="750" t="e">
        <f t="shared" si="130"/>
        <v>#DIV/0!</v>
      </c>
      <c r="K9455" s="406">
        <f>SUM(K9440:K9454)</f>
        <v>0</v>
      </c>
      <c r="L9455" s="406"/>
      <c r="M9455" s="682"/>
    </row>
    <row r="9456" spans="6:13" hidden="1" x14ac:dyDescent="0.2">
      <c r="G9456" s="510"/>
      <c r="H9456" s="411"/>
      <c r="I9456" s="411"/>
      <c r="J9456" s="750" t="e">
        <f t="shared" si="130"/>
        <v>#DIV/0!</v>
      </c>
      <c r="K9456" s="412"/>
      <c r="L9456" s="412"/>
      <c r="M9456" s="682"/>
    </row>
    <row r="9457" spans="3:13" hidden="1" x14ac:dyDescent="0.2">
      <c r="C9457" s="489" t="s">
        <v>4582</v>
      </c>
      <c r="D9457" s="490"/>
      <c r="G9457" s="508" t="s">
        <v>5079</v>
      </c>
      <c r="H9457" s="397"/>
      <c r="I9457" s="397"/>
      <c r="J9457" s="750" t="e">
        <f t="shared" si="130"/>
        <v>#DIV/0!</v>
      </c>
      <c r="K9457" s="398"/>
      <c r="L9457" s="398"/>
      <c r="M9457" s="682"/>
    </row>
    <row r="9458" spans="3:13" hidden="1" x14ac:dyDescent="0.2">
      <c r="C9458" s="489"/>
      <c r="D9458" s="492">
        <v>473</v>
      </c>
      <c r="E9458" s="492"/>
      <c r="F9458" s="492"/>
      <c r="G9458" s="551" t="s">
        <v>162</v>
      </c>
      <c r="H9458" s="397"/>
      <c r="I9458" s="397"/>
      <c r="J9458" s="750" t="e">
        <f t="shared" si="130"/>
        <v>#DIV/0!</v>
      </c>
      <c r="K9458" s="398"/>
      <c r="L9458" s="398"/>
      <c r="M9458" s="682"/>
    </row>
    <row r="9459" spans="3:13" hidden="1" x14ac:dyDescent="0.2">
      <c r="F9459" s="494">
        <v>411</v>
      </c>
      <c r="G9459" s="495" t="s">
        <v>4167</v>
      </c>
      <c r="H9459" s="397"/>
      <c r="I9459" s="397"/>
      <c r="J9459" s="750" t="e">
        <f t="shared" si="130"/>
        <v>#DIV/0!</v>
      </c>
      <c r="K9459" s="398"/>
      <c r="L9459" s="398"/>
      <c r="M9459" s="682"/>
    </row>
    <row r="9460" spans="3:13" hidden="1" x14ac:dyDescent="0.2">
      <c r="F9460" s="494">
        <v>412</v>
      </c>
      <c r="G9460" s="496" t="s">
        <v>3764</v>
      </c>
      <c r="H9460" s="397"/>
      <c r="I9460" s="397"/>
      <c r="J9460" s="750" t="e">
        <f t="shared" si="130"/>
        <v>#DIV/0!</v>
      </c>
      <c r="K9460" s="398"/>
      <c r="L9460" s="398"/>
      <c r="M9460" s="682"/>
    </row>
    <row r="9461" spans="3:13" hidden="1" x14ac:dyDescent="0.2">
      <c r="F9461" s="494">
        <v>413</v>
      </c>
      <c r="G9461" s="495" t="s">
        <v>4168</v>
      </c>
      <c r="H9461" s="397"/>
      <c r="I9461" s="397"/>
      <c r="J9461" s="750" t="e">
        <f t="shared" si="130"/>
        <v>#DIV/0!</v>
      </c>
      <c r="K9461" s="398"/>
      <c r="L9461" s="398"/>
      <c r="M9461" s="682"/>
    </row>
    <row r="9462" spans="3:13" hidden="1" x14ac:dyDescent="0.2">
      <c r="F9462" s="494">
        <v>414</v>
      </c>
      <c r="G9462" s="495" t="s">
        <v>3767</v>
      </c>
      <c r="H9462" s="397"/>
      <c r="I9462" s="397"/>
      <c r="J9462" s="750" t="e">
        <f t="shared" si="130"/>
        <v>#DIV/0!</v>
      </c>
      <c r="K9462" s="398"/>
      <c r="L9462" s="398"/>
      <c r="M9462" s="682"/>
    </row>
    <row r="9463" spans="3:13" hidden="1" x14ac:dyDescent="0.2">
      <c r="F9463" s="494">
        <v>415</v>
      </c>
      <c r="G9463" s="495" t="s">
        <v>4177</v>
      </c>
      <c r="H9463" s="397"/>
      <c r="I9463" s="397"/>
      <c r="J9463" s="750" t="e">
        <f t="shared" si="130"/>
        <v>#DIV/0!</v>
      </c>
      <c r="K9463" s="398"/>
      <c r="L9463" s="398"/>
      <c r="M9463" s="682"/>
    </row>
    <row r="9464" spans="3:13" ht="25.5" hidden="1" x14ac:dyDescent="0.2">
      <c r="F9464" s="494">
        <v>416</v>
      </c>
      <c r="G9464" s="495" t="s">
        <v>4178</v>
      </c>
      <c r="H9464" s="397"/>
      <c r="I9464" s="397"/>
      <c r="J9464" s="750" t="e">
        <f t="shared" si="130"/>
        <v>#DIV/0!</v>
      </c>
      <c r="K9464" s="398"/>
      <c r="L9464" s="398"/>
      <c r="M9464" s="682"/>
    </row>
    <row r="9465" spans="3:13" hidden="1" x14ac:dyDescent="0.2">
      <c r="F9465" s="494">
        <v>417</v>
      </c>
      <c r="G9465" s="495" t="s">
        <v>4179</v>
      </c>
      <c r="H9465" s="397"/>
      <c r="I9465" s="397"/>
      <c r="J9465" s="750" t="e">
        <f t="shared" si="130"/>
        <v>#DIV/0!</v>
      </c>
      <c r="K9465" s="398"/>
      <c r="L9465" s="398"/>
      <c r="M9465" s="682"/>
    </row>
    <row r="9466" spans="3:13" hidden="1" x14ac:dyDescent="0.2">
      <c r="F9466" s="494">
        <v>418</v>
      </c>
      <c r="G9466" s="495" t="s">
        <v>3773</v>
      </c>
      <c r="H9466" s="397"/>
      <c r="I9466" s="397"/>
      <c r="J9466" s="750" t="e">
        <f t="shared" si="130"/>
        <v>#DIV/0!</v>
      </c>
      <c r="K9466" s="398"/>
      <c r="L9466" s="398"/>
      <c r="M9466" s="682"/>
    </row>
    <row r="9467" spans="3:13" hidden="1" x14ac:dyDescent="0.2">
      <c r="F9467" s="494">
        <v>421</v>
      </c>
      <c r="G9467" s="495" t="s">
        <v>3777</v>
      </c>
      <c r="H9467" s="397"/>
      <c r="I9467" s="397"/>
      <c r="J9467" s="750" t="e">
        <f t="shared" si="130"/>
        <v>#DIV/0!</v>
      </c>
      <c r="K9467" s="398"/>
      <c r="L9467" s="398"/>
      <c r="M9467" s="682"/>
    </row>
    <row r="9468" spans="3:13" hidden="1" x14ac:dyDescent="0.2">
      <c r="F9468" s="494">
        <v>422</v>
      </c>
      <c r="G9468" s="495" t="s">
        <v>3778</v>
      </c>
      <c r="H9468" s="397"/>
      <c r="I9468" s="397"/>
      <c r="J9468" s="750" t="e">
        <f t="shared" si="130"/>
        <v>#DIV/0!</v>
      </c>
      <c r="K9468" s="398"/>
      <c r="L9468" s="398"/>
      <c r="M9468" s="682"/>
    </row>
    <row r="9469" spans="3:13" hidden="1" x14ac:dyDescent="0.2">
      <c r="F9469" s="494">
        <v>423</v>
      </c>
      <c r="G9469" s="495" t="s">
        <v>3779</v>
      </c>
      <c r="H9469" s="397"/>
      <c r="I9469" s="397"/>
      <c r="J9469" s="750" t="e">
        <f t="shared" si="130"/>
        <v>#DIV/0!</v>
      </c>
      <c r="K9469" s="398"/>
      <c r="L9469" s="398"/>
      <c r="M9469" s="682"/>
    </row>
    <row r="9470" spans="3:13" hidden="1" x14ac:dyDescent="0.2">
      <c r="F9470" s="494">
        <v>424</v>
      </c>
      <c r="G9470" s="495" t="s">
        <v>3781</v>
      </c>
      <c r="H9470" s="397"/>
      <c r="I9470" s="397"/>
      <c r="J9470" s="750" t="e">
        <f t="shared" si="130"/>
        <v>#DIV/0!</v>
      </c>
      <c r="K9470" s="398"/>
      <c r="L9470" s="398"/>
      <c r="M9470" s="682"/>
    </row>
    <row r="9471" spans="3:13" hidden="1" x14ac:dyDescent="0.2">
      <c r="F9471" s="494">
        <v>425</v>
      </c>
      <c r="G9471" s="495" t="s">
        <v>4180</v>
      </c>
      <c r="H9471" s="397"/>
      <c r="I9471" s="397"/>
      <c r="J9471" s="750" t="e">
        <f t="shared" si="130"/>
        <v>#DIV/0!</v>
      </c>
      <c r="K9471" s="398"/>
      <c r="L9471" s="398"/>
      <c r="M9471" s="682"/>
    </row>
    <row r="9472" spans="3:13" hidden="1" x14ac:dyDescent="0.2">
      <c r="F9472" s="494">
        <v>426</v>
      </c>
      <c r="G9472" s="495" t="s">
        <v>3785</v>
      </c>
      <c r="H9472" s="397"/>
      <c r="I9472" s="397"/>
      <c r="J9472" s="750" t="e">
        <f t="shared" si="130"/>
        <v>#DIV/0!</v>
      </c>
      <c r="K9472" s="398"/>
      <c r="L9472" s="398"/>
      <c r="M9472" s="682"/>
    </row>
    <row r="9473" spans="6:13" hidden="1" x14ac:dyDescent="0.2">
      <c r="F9473" s="494">
        <v>431</v>
      </c>
      <c r="G9473" s="495" t="s">
        <v>4181</v>
      </c>
      <c r="H9473" s="397"/>
      <c r="I9473" s="397"/>
      <c r="J9473" s="750" t="e">
        <f t="shared" si="130"/>
        <v>#DIV/0!</v>
      </c>
      <c r="K9473" s="398"/>
      <c r="L9473" s="398"/>
      <c r="M9473" s="682"/>
    </row>
    <row r="9474" spans="6:13" hidden="1" x14ac:dyDescent="0.2">
      <c r="F9474" s="494">
        <v>432</v>
      </c>
      <c r="G9474" s="495" t="s">
        <v>4182</v>
      </c>
      <c r="H9474" s="397"/>
      <c r="I9474" s="397"/>
      <c r="J9474" s="750" t="e">
        <f t="shared" si="130"/>
        <v>#DIV/0!</v>
      </c>
      <c r="K9474" s="398"/>
      <c r="L9474" s="398"/>
      <c r="M9474" s="682"/>
    </row>
    <row r="9475" spans="6:13" hidden="1" x14ac:dyDescent="0.2">
      <c r="F9475" s="494">
        <v>433</v>
      </c>
      <c r="G9475" s="495" t="s">
        <v>4183</v>
      </c>
      <c r="H9475" s="397"/>
      <c r="I9475" s="397"/>
      <c r="J9475" s="750" t="e">
        <f t="shared" si="130"/>
        <v>#DIV/0!</v>
      </c>
      <c r="K9475" s="398"/>
      <c r="L9475" s="398"/>
      <c r="M9475" s="682"/>
    </row>
    <row r="9476" spans="6:13" hidden="1" x14ac:dyDescent="0.2">
      <c r="F9476" s="494">
        <v>434</v>
      </c>
      <c r="G9476" s="495" t="s">
        <v>4184</v>
      </c>
      <c r="H9476" s="397"/>
      <c r="I9476" s="397"/>
      <c r="J9476" s="750" t="e">
        <f t="shared" si="130"/>
        <v>#DIV/0!</v>
      </c>
      <c r="K9476" s="398"/>
      <c r="L9476" s="398"/>
      <c r="M9476" s="682"/>
    </row>
    <row r="9477" spans="6:13" hidden="1" x14ac:dyDescent="0.2">
      <c r="F9477" s="494">
        <v>435</v>
      </c>
      <c r="G9477" s="495" t="s">
        <v>3792</v>
      </c>
      <c r="H9477" s="397"/>
      <c r="I9477" s="397"/>
      <c r="J9477" s="750" t="e">
        <f t="shared" si="130"/>
        <v>#DIV/0!</v>
      </c>
      <c r="K9477" s="398"/>
      <c r="L9477" s="398"/>
      <c r="M9477" s="682"/>
    </row>
    <row r="9478" spans="6:13" hidden="1" x14ac:dyDescent="0.2">
      <c r="F9478" s="494">
        <v>441</v>
      </c>
      <c r="G9478" s="495" t="s">
        <v>4185</v>
      </c>
      <c r="H9478" s="397"/>
      <c r="I9478" s="397"/>
      <c r="J9478" s="750" t="e">
        <f t="shared" si="130"/>
        <v>#DIV/0!</v>
      </c>
      <c r="K9478" s="398"/>
      <c r="L9478" s="398"/>
      <c r="M9478" s="682"/>
    </row>
    <row r="9479" spans="6:13" hidden="1" x14ac:dyDescent="0.2">
      <c r="F9479" s="494">
        <v>442</v>
      </c>
      <c r="G9479" s="495" t="s">
        <v>4186</v>
      </c>
      <c r="H9479" s="397"/>
      <c r="I9479" s="397"/>
      <c r="J9479" s="750" t="e">
        <f t="shared" si="130"/>
        <v>#DIV/0!</v>
      </c>
      <c r="K9479" s="398"/>
      <c r="L9479" s="398"/>
      <c r="M9479" s="682"/>
    </row>
    <row r="9480" spans="6:13" hidden="1" x14ac:dyDescent="0.2">
      <c r="F9480" s="494">
        <v>443</v>
      </c>
      <c r="G9480" s="495" t="s">
        <v>3797</v>
      </c>
      <c r="H9480" s="397"/>
      <c r="I9480" s="397"/>
      <c r="J9480" s="750" t="e">
        <f t="shared" si="130"/>
        <v>#DIV/0!</v>
      </c>
      <c r="K9480" s="398"/>
      <c r="L9480" s="398"/>
      <c r="M9480" s="682"/>
    </row>
    <row r="9481" spans="6:13" hidden="1" x14ac:dyDescent="0.2">
      <c r="F9481" s="494">
        <v>444</v>
      </c>
      <c r="G9481" s="495" t="s">
        <v>3798</v>
      </c>
      <c r="H9481" s="397"/>
      <c r="I9481" s="397"/>
      <c r="J9481" s="750" t="e">
        <f t="shared" si="130"/>
        <v>#DIV/0!</v>
      </c>
      <c r="K9481" s="398"/>
      <c r="L9481" s="398"/>
      <c r="M9481" s="682"/>
    </row>
    <row r="9482" spans="6:13" ht="25.5" hidden="1" x14ac:dyDescent="0.2">
      <c r="F9482" s="494">
        <v>4511</v>
      </c>
      <c r="G9482" s="466" t="s">
        <v>1692</v>
      </c>
      <c r="H9482" s="397"/>
      <c r="I9482" s="397"/>
      <c r="J9482" s="750" t="e">
        <f t="shared" si="130"/>
        <v>#DIV/0!</v>
      </c>
      <c r="K9482" s="398"/>
      <c r="L9482" s="398"/>
      <c r="M9482" s="682"/>
    </row>
    <row r="9483" spans="6:13" ht="25.5" hidden="1" x14ac:dyDescent="0.2">
      <c r="F9483" s="494">
        <v>4512</v>
      </c>
      <c r="G9483" s="466" t="s">
        <v>1701</v>
      </c>
      <c r="H9483" s="397"/>
      <c r="I9483" s="397"/>
      <c r="J9483" s="750" t="e">
        <f t="shared" si="130"/>
        <v>#DIV/0!</v>
      </c>
      <c r="K9483" s="398"/>
      <c r="L9483" s="398"/>
      <c r="M9483" s="682"/>
    </row>
    <row r="9484" spans="6:13" ht="25.5" hidden="1" x14ac:dyDescent="0.2">
      <c r="F9484" s="494">
        <v>452</v>
      </c>
      <c r="G9484" s="495" t="s">
        <v>4187</v>
      </c>
      <c r="H9484" s="397"/>
      <c r="I9484" s="397"/>
      <c r="J9484" s="750" t="e">
        <f t="shared" si="130"/>
        <v>#DIV/0!</v>
      </c>
      <c r="K9484" s="398"/>
      <c r="L9484" s="398"/>
      <c r="M9484" s="682"/>
    </row>
    <row r="9485" spans="6:13" ht="25.5" hidden="1" x14ac:dyDescent="0.2">
      <c r="F9485" s="494">
        <v>453</v>
      </c>
      <c r="G9485" s="495" t="s">
        <v>4188</v>
      </c>
      <c r="H9485" s="397"/>
      <c r="I9485" s="397"/>
      <c r="J9485" s="750" t="e">
        <f t="shared" si="130"/>
        <v>#DIV/0!</v>
      </c>
      <c r="K9485" s="398"/>
      <c r="L9485" s="398"/>
      <c r="M9485" s="682"/>
    </row>
    <row r="9486" spans="6:13" hidden="1" x14ac:dyDescent="0.2">
      <c r="F9486" s="494">
        <v>454</v>
      </c>
      <c r="G9486" s="495" t="s">
        <v>3803</v>
      </c>
      <c r="H9486" s="397"/>
      <c r="I9486" s="397"/>
      <c r="J9486" s="750" t="e">
        <f t="shared" ref="J9486:J9549" si="131">SUM(I9486/H9486)*100</f>
        <v>#DIV/0!</v>
      </c>
      <c r="K9486" s="398"/>
      <c r="L9486" s="398"/>
      <c r="M9486" s="682"/>
    </row>
    <row r="9487" spans="6:13" hidden="1" x14ac:dyDescent="0.2">
      <c r="F9487" s="494">
        <v>461</v>
      </c>
      <c r="G9487" s="495" t="s">
        <v>4169</v>
      </c>
      <c r="H9487" s="397"/>
      <c r="I9487" s="397"/>
      <c r="J9487" s="750" t="e">
        <f t="shared" si="131"/>
        <v>#DIV/0!</v>
      </c>
      <c r="K9487" s="398"/>
      <c r="L9487" s="398"/>
      <c r="M9487" s="682"/>
    </row>
    <row r="9488" spans="6:13" ht="25.5" hidden="1" x14ac:dyDescent="0.2">
      <c r="F9488" s="494">
        <v>462</v>
      </c>
      <c r="G9488" s="495" t="s">
        <v>3806</v>
      </c>
      <c r="H9488" s="397"/>
      <c r="I9488" s="397"/>
      <c r="J9488" s="750" t="e">
        <f t="shared" si="131"/>
        <v>#DIV/0!</v>
      </c>
      <c r="K9488" s="398"/>
      <c r="L9488" s="398"/>
      <c r="M9488" s="682"/>
    </row>
    <row r="9489" spans="6:13" hidden="1" x14ac:dyDescent="0.2">
      <c r="F9489" s="494">
        <v>4631</v>
      </c>
      <c r="G9489" s="495" t="s">
        <v>3807</v>
      </c>
      <c r="H9489" s="397"/>
      <c r="I9489" s="397"/>
      <c r="J9489" s="750" t="e">
        <f t="shared" si="131"/>
        <v>#DIV/0!</v>
      </c>
      <c r="K9489" s="398"/>
      <c r="L9489" s="398"/>
      <c r="M9489" s="682"/>
    </row>
    <row r="9490" spans="6:13" hidden="1" x14ac:dyDescent="0.2">
      <c r="F9490" s="494">
        <v>4632</v>
      </c>
      <c r="G9490" s="495" t="s">
        <v>3808</v>
      </c>
      <c r="H9490" s="397"/>
      <c r="I9490" s="397"/>
      <c r="J9490" s="750" t="e">
        <f t="shared" si="131"/>
        <v>#DIV/0!</v>
      </c>
      <c r="K9490" s="398"/>
      <c r="L9490" s="398"/>
      <c r="M9490" s="682"/>
    </row>
    <row r="9491" spans="6:13" ht="25.5" hidden="1" x14ac:dyDescent="0.2">
      <c r="F9491" s="494">
        <v>464</v>
      </c>
      <c r="G9491" s="495" t="s">
        <v>3809</v>
      </c>
      <c r="H9491" s="397"/>
      <c r="I9491" s="397"/>
      <c r="J9491" s="750" t="e">
        <f t="shared" si="131"/>
        <v>#DIV/0!</v>
      </c>
      <c r="K9491" s="398"/>
      <c r="L9491" s="398"/>
      <c r="M9491" s="682"/>
    </row>
    <row r="9492" spans="6:13" hidden="1" x14ac:dyDescent="0.2">
      <c r="F9492" s="494">
        <v>465</v>
      </c>
      <c r="G9492" s="495" t="s">
        <v>4170</v>
      </c>
      <c r="H9492" s="397"/>
      <c r="I9492" s="397"/>
      <c r="J9492" s="750" t="e">
        <f t="shared" si="131"/>
        <v>#DIV/0!</v>
      </c>
      <c r="K9492" s="398"/>
      <c r="L9492" s="398"/>
      <c r="M9492" s="682"/>
    </row>
    <row r="9493" spans="6:13" hidden="1" x14ac:dyDescent="0.2">
      <c r="F9493" s="494">
        <v>472</v>
      </c>
      <c r="G9493" s="495" t="s">
        <v>3813</v>
      </c>
      <c r="H9493" s="397"/>
      <c r="I9493" s="397"/>
      <c r="J9493" s="750" t="e">
        <f t="shared" si="131"/>
        <v>#DIV/0!</v>
      </c>
      <c r="K9493" s="398"/>
      <c r="L9493" s="398"/>
      <c r="M9493" s="682"/>
    </row>
    <row r="9494" spans="6:13" hidden="1" x14ac:dyDescent="0.2">
      <c r="F9494" s="494">
        <v>481</v>
      </c>
      <c r="G9494" s="495" t="s">
        <v>4189</v>
      </c>
      <c r="H9494" s="397"/>
      <c r="I9494" s="397"/>
      <c r="J9494" s="750" t="e">
        <f t="shared" si="131"/>
        <v>#DIV/0!</v>
      </c>
      <c r="K9494" s="398"/>
      <c r="L9494" s="398"/>
      <c r="M9494" s="682"/>
    </row>
    <row r="9495" spans="6:13" hidden="1" x14ac:dyDescent="0.2">
      <c r="F9495" s="494">
        <v>482</v>
      </c>
      <c r="G9495" s="495" t="s">
        <v>4190</v>
      </c>
      <c r="H9495" s="397"/>
      <c r="I9495" s="397"/>
      <c r="J9495" s="750" t="e">
        <f t="shared" si="131"/>
        <v>#DIV/0!</v>
      </c>
      <c r="K9495" s="398"/>
      <c r="L9495" s="398"/>
      <c r="M9495" s="682"/>
    </row>
    <row r="9496" spans="6:13" hidden="1" x14ac:dyDescent="0.2">
      <c r="F9496" s="494">
        <v>483</v>
      </c>
      <c r="G9496" s="497" t="s">
        <v>4191</v>
      </c>
      <c r="H9496" s="397"/>
      <c r="I9496" s="397"/>
      <c r="J9496" s="750" t="e">
        <f t="shared" si="131"/>
        <v>#DIV/0!</v>
      </c>
      <c r="K9496" s="398"/>
      <c r="L9496" s="398"/>
      <c r="M9496" s="682"/>
    </row>
    <row r="9497" spans="6:13" ht="38.25" hidden="1" x14ac:dyDescent="0.2">
      <c r="F9497" s="494">
        <v>484</v>
      </c>
      <c r="G9497" s="495" t="s">
        <v>4192</v>
      </c>
      <c r="H9497" s="397"/>
      <c r="I9497" s="397"/>
      <c r="J9497" s="750" t="e">
        <f t="shared" si="131"/>
        <v>#DIV/0!</v>
      </c>
      <c r="K9497" s="398"/>
      <c r="L9497" s="398"/>
      <c r="M9497" s="682"/>
    </row>
    <row r="9498" spans="6:13" ht="25.5" hidden="1" x14ac:dyDescent="0.2">
      <c r="F9498" s="494">
        <v>485</v>
      </c>
      <c r="G9498" s="495" t="s">
        <v>4193</v>
      </c>
      <c r="H9498" s="397"/>
      <c r="I9498" s="397"/>
      <c r="J9498" s="750" t="e">
        <f t="shared" si="131"/>
        <v>#DIV/0!</v>
      </c>
      <c r="K9498" s="398"/>
      <c r="L9498" s="398"/>
      <c r="M9498" s="682"/>
    </row>
    <row r="9499" spans="6:13" ht="25.5" hidden="1" x14ac:dyDescent="0.2">
      <c r="F9499" s="494">
        <v>489</v>
      </c>
      <c r="G9499" s="495" t="s">
        <v>3821</v>
      </c>
      <c r="H9499" s="397"/>
      <c r="I9499" s="397"/>
      <c r="J9499" s="750" t="e">
        <f t="shared" si="131"/>
        <v>#DIV/0!</v>
      </c>
      <c r="K9499" s="398"/>
      <c r="L9499" s="398"/>
      <c r="M9499" s="682"/>
    </row>
    <row r="9500" spans="6:13" ht="25.5" hidden="1" x14ac:dyDescent="0.2">
      <c r="F9500" s="494">
        <v>494</v>
      </c>
      <c r="G9500" s="495" t="s">
        <v>4171</v>
      </c>
      <c r="H9500" s="397"/>
      <c r="I9500" s="397"/>
      <c r="J9500" s="750" t="e">
        <f t="shared" si="131"/>
        <v>#DIV/0!</v>
      </c>
      <c r="K9500" s="398"/>
      <c r="L9500" s="398"/>
      <c r="M9500" s="682"/>
    </row>
    <row r="9501" spans="6:13" ht="25.5" hidden="1" x14ac:dyDescent="0.2">
      <c r="F9501" s="494">
        <v>495</v>
      </c>
      <c r="G9501" s="495" t="s">
        <v>4172</v>
      </c>
      <c r="H9501" s="397"/>
      <c r="I9501" s="397"/>
      <c r="J9501" s="750" t="e">
        <f t="shared" si="131"/>
        <v>#DIV/0!</v>
      </c>
      <c r="K9501" s="398"/>
      <c r="L9501" s="398"/>
      <c r="M9501" s="682"/>
    </row>
    <row r="9502" spans="6:13" ht="38.25" hidden="1" x14ac:dyDescent="0.2">
      <c r="F9502" s="494">
        <v>496</v>
      </c>
      <c r="G9502" s="495" t="s">
        <v>4173</v>
      </c>
      <c r="H9502" s="397"/>
      <c r="I9502" s="397"/>
      <c r="J9502" s="750" t="e">
        <f t="shared" si="131"/>
        <v>#DIV/0!</v>
      </c>
      <c r="K9502" s="398"/>
      <c r="L9502" s="398"/>
      <c r="M9502" s="682"/>
    </row>
    <row r="9503" spans="6:13" ht="25.5" hidden="1" x14ac:dyDescent="0.2">
      <c r="F9503" s="494">
        <v>499</v>
      </c>
      <c r="G9503" s="495" t="s">
        <v>4174</v>
      </c>
      <c r="H9503" s="397"/>
      <c r="I9503" s="397"/>
      <c r="J9503" s="750" t="e">
        <f t="shared" si="131"/>
        <v>#DIV/0!</v>
      </c>
      <c r="K9503" s="398"/>
      <c r="L9503" s="398"/>
      <c r="M9503" s="682"/>
    </row>
    <row r="9504" spans="6:13" hidden="1" x14ac:dyDescent="0.2">
      <c r="F9504" s="494">
        <v>511</v>
      </c>
      <c r="G9504" s="497" t="s">
        <v>4194</v>
      </c>
      <c r="H9504" s="397"/>
      <c r="I9504" s="397"/>
      <c r="J9504" s="750" t="e">
        <f t="shared" si="131"/>
        <v>#DIV/0!</v>
      </c>
      <c r="K9504" s="398"/>
      <c r="L9504" s="398"/>
      <c r="M9504" s="682"/>
    </row>
    <row r="9505" spans="5:13" hidden="1" x14ac:dyDescent="0.2">
      <c r="F9505" s="494">
        <v>512</v>
      </c>
      <c r="G9505" s="497" t="s">
        <v>4195</v>
      </c>
      <c r="H9505" s="397"/>
      <c r="I9505" s="397"/>
      <c r="J9505" s="750" t="e">
        <f t="shared" si="131"/>
        <v>#DIV/0!</v>
      </c>
      <c r="K9505" s="398"/>
      <c r="L9505" s="398"/>
      <c r="M9505" s="682"/>
    </row>
    <row r="9506" spans="5:13" hidden="1" x14ac:dyDescent="0.2">
      <c r="F9506" s="494">
        <v>513</v>
      </c>
      <c r="G9506" s="497" t="s">
        <v>4196</v>
      </c>
      <c r="H9506" s="397"/>
      <c r="I9506" s="397"/>
      <c r="J9506" s="750" t="e">
        <f t="shared" si="131"/>
        <v>#DIV/0!</v>
      </c>
      <c r="K9506" s="398"/>
      <c r="L9506" s="398"/>
      <c r="M9506" s="682"/>
    </row>
    <row r="9507" spans="5:13" hidden="1" x14ac:dyDescent="0.2">
      <c r="F9507" s="494">
        <v>514</v>
      </c>
      <c r="G9507" s="495" t="s">
        <v>4197</v>
      </c>
      <c r="H9507" s="397"/>
      <c r="I9507" s="397"/>
      <c r="J9507" s="750" t="e">
        <f t="shared" si="131"/>
        <v>#DIV/0!</v>
      </c>
      <c r="K9507" s="398"/>
      <c r="L9507" s="398"/>
      <c r="M9507" s="682"/>
    </row>
    <row r="9508" spans="5:13" hidden="1" x14ac:dyDescent="0.2">
      <c r="F9508" s="494">
        <v>515</v>
      </c>
      <c r="G9508" s="495" t="s">
        <v>3832</v>
      </c>
      <c r="H9508" s="397"/>
      <c r="I9508" s="397"/>
      <c r="J9508" s="750" t="e">
        <f t="shared" si="131"/>
        <v>#DIV/0!</v>
      </c>
      <c r="K9508" s="398"/>
      <c r="L9508" s="398"/>
      <c r="M9508" s="682"/>
    </row>
    <row r="9509" spans="5:13" hidden="1" x14ac:dyDescent="0.2">
      <c r="F9509" s="494">
        <v>521</v>
      </c>
      <c r="G9509" s="495" t="s">
        <v>4198</v>
      </c>
      <c r="H9509" s="397"/>
      <c r="I9509" s="397"/>
      <c r="J9509" s="750" t="e">
        <f t="shared" si="131"/>
        <v>#DIV/0!</v>
      </c>
      <c r="K9509" s="398"/>
      <c r="L9509" s="398"/>
      <c r="M9509" s="682"/>
    </row>
    <row r="9510" spans="5:13" hidden="1" x14ac:dyDescent="0.2">
      <c r="F9510" s="494">
        <v>522</v>
      </c>
      <c r="G9510" s="495" t="s">
        <v>4199</v>
      </c>
      <c r="H9510" s="397"/>
      <c r="I9510" s="397"/>
      <c r="J9510" s="750" t="e">
        <f t="shared" si="131"/>
        <v>#DIV/0!</v>
      </c>
      <c r="K9510" s="398"/>
      <c r="L9510" s="398"/>
      <c r="M9510" s="682"/>
    </row>
    <row r="9511" spans="5:13" hidden="1" x14ac:dyDescent="0.2">
      <c r="F9511" s="494">
        <v>523</v>
      </c>
      <c r="G9511" s="495" t="s">
        <v>3837</v>
      </c>
      <c r="H9511" s="397"/>
      <c r="I9511" s="397"/>
      <c r="J9511" s="750" t="e">
        <f t="shared" si="131"/>
        <v>#DIV/0!</v>
      </c>
      <c r="K9511" s="398"/>
      <c r="L9511" s="398"/>
      <c r="M9511" s="682"/>
    </row>
    <row r="9512" spans="5:13" hidden="1" x14ac:dyDescent="0.2">
      <c r="F9512" s="494">
        <v>531</v>
      </c>
      <c r="G9512" s="496" t="s">
        <v>4175</v>
      </c>
      <c r="H9512" s="397"/>
      <c r="I9512" s="397"/>
      <c r="J9512" s="750" t="e">
        <f t="shared" si="131"/>
        <v>#DIV/0!</v>
      </c>
      <c r="K9512" s="398"/>
      <c r="L9512" s="398"/>
      <c r="M9512" s="682"/>
    </row>
    <row r="9513" spans="5:13" hidden="1" x14ac:dyDescent="0.2">
      <c r="F9513" s="494">
        <v>541</v>
      </c>
      <c r="G9513" s="495" t="s">
        <v>4200</v>
      </c>
      <c r="H9513" s="397"/>
      <c r="I9513" s="397"/>
      <c r="J9513" s="750" t="e">
        <f t="shared" si="131"/>
        <v>#DIV/0!</v>
      </c>
      <c r="K9513" s="398"/>
      <c r="L9513" s="398"/>
      <c r="M9513" s="682"/>
    </row>
    <row r="9514" spans="5:13" hidden="1" x14ac:dyDescent="0.2">
      <c r="F9514" s="494">
        <v>542</v>
      </c>
      <c r="G9514" s="495" t="s">
        <v>4201</v>
      </c>
      <c r="H9514" s="397"/>
      <c r="I9514" s="397"/>
      <c r="J9514" s="750" t="e">
        <f t="shared" si="131"/>
        <v>#DIV/0!</v>
      </c>
      <c r="K9514" s="398"/>
      <c r="L9514" s="398"/>
      <c r="M9514" s="682"/>
    </row>
    <row r="9515" spans="5:13" hidden="1" x14ac:dyDescent="0.2">
      <c r="F9515" s="494">
        <v>543</v>
      </c>
      <c r="G9515" s="495" t="s">
        <v>3842</v>
      </c>
      <c r="H9515" s="397"/>
      <c r="I9515" s="397"/>
      <c r="J9515" s="750" t="e">
        <f t="shared" si="131"/>
        <v>#DIV/0!</v>
      </c>
      <c r="K9515" s="398"/>
      <c r="L9515" s="398"/>
      <c r="M9515" s="682"/>
    </row>
    <row r="9516" spans="5:13" ht="38.25" hidden="1" x14ac:dyDescent="0.2">
      <c r="F9516" s="494">
        <v>551</v>
      </c>
      <c r="G9516" s="495" t="s">
        <v>4176</v>
      </c>
      <c r="H9516" s="397"/>
      <c r="I9516" s="397"/>
      <c r="J9516" s="750" t="e">
        <f t="shared" si="131"/>
        <v>#DIV/0!</v>
      </c>
      <c r="K9516" s="398"/>
      <c r="L9516" s="398"/>
      <c r="M9516" s="682"/>
    </row>
    <row r="9517" spans="5:13" hidden="1" x14ac:dyDescent="0.2">
      <c r="F9517" s="498">
        <v>611</v>
      </c>
      <c r="G9517" s="499" t="s">
        <v>3848</v>
      </c>
      <c r="H9517" s="397"/>
      <c r="I9517" s="397"/>
      <c r="J9517" s="750" t="e">
        <f t="shared" si="131"/>
        <v>#DIV/0!</v>
      </c>
      <c r="K9517" s="398"/>
      <c r="L9517" s="398"/>
      <c r="M9517" s="682"/>
    </row>
    <row r="9518" spans="5:13" hidden="1" x14ac:dyDescent="0.2">
      <c r="F9518" s="498">
        <v>620</v>
      </c>
      <c r="G9518" s="499" t="s">
        <v>88</v>
      </c>
      <c r="H9518" s="397"/>
      <c r="I9518" s="397"/>
      <c r="J9518" s="750" t="e">
        <f t="shared" si="131"/>
        <v>#DIV/0!</v>
      </c>
      <c r="K9518" s="398"/>
      <c r="L9518" s="398"/>
      <c r="M9518" s="682"/>
    </row>
    <row r="9519" spans="5:13" hidden="1" x14ac:dyDescent="0.2">
      <c r="E9519" s="500"/>
      <c r="F9519" s="498"/>
      <c r="G9519" s="501" t="s">
        <v>4392</v>
      </c>
      <c r="H9519" s="400"/>
      <c r="I9519" s="400"/>
      <c r="J9519" s="750" t="e">
        <f t="shared" si="131"/>
        <v>#DIV/0!</v>
      </c>
      <c r="K9519" s="401"/>
      <c r="L9519" s="402"/>
      <c r="M9519" s="682"/>
    </row>
    <row r="9520" spans="5:13" hidden="1" x14ac:dyDescent="0.2">
      <c r="E9520" s="502"/>
      <c r="F9520" s="503" t="s">
        <v>234</v>
      </c>
      <c r="G9520" s="504" t="s">
        <v>235</v>
      </c>
      <c r="H9520" s="403">
        <f>SUM(H9459:H9518)</f>
        <v>0</v>
      </c>
      <c r="I9520" s="403"/>
      <c r="J9520" s="750" t="e">
        <f t="shared" si="131"/>
        <v>#DIV/0!</v>
      </c>
      <c r="K9520" s="404"/>
      <c r="L9520" s="404"/>
      <c r="M9520" s="682"/>
    </row>
    <row r="9521" spans="6:13" hidden="1" x14ac:dyDescent="0.2">
      <c r="F9521" s="503" t="s">
        <v>236</v>
      </c>
      <c r="G9521" s="504" t="s">
        <v>237</v>
      </c>
      <c r="H9521" s="397"/>
      <c r="I9521" s="397"/>
      <c r="J9521" s="750" t="e">
        <f t="shared" si="131"/>
        <v>#DIV/0!</v>
      </c>
      <c r="K9521" s="398"/>
      <c r="L9521" s="404"/>
      <c r="M9521" s="682"/>
    </row>
    <row r="9522" spans="6:13" hidden="1" x14ac:dyDescent="0.2">
      <c r="F9522" s="503" t="s">
        <v>238</v>
      </c>
      <c r="G9522" s="504" t="s">
        <v>239</v>
      </c>
      <c r="H9522" s="397"/>
      <c r="I9522" s="397"/>
      <c r="J9522" s="750" t="e">
        <f t="shared" si="131"/>
        <v>#DIV/0!</v>
      </c>
      <c r="K9522" s="398"/>
      <c r="L9522" s="404"/>
      <c r="M9522" s="682"/>
    </row>
    <row r="9523" spans="6:13" hidden="1" x14ac:dyDescent="0.2">
      <c r="F9523" s="503" t="s">
        <v>240</v>
      </c>
      <c r="G9523" s="504" t="s">
        <v>241</v>
      </c>
      <c r="H9523" s="397"/>
      <c r="I9523" s="397"/>
      <c r="J9523" s="750" t="e">
        <f t="shared" si="131"/>
        <v>#DIV/0!</v>
      </c>
      <c r="K9523" s="398"/>
      <c r="L9523" s="404"/>
      <c r="M9523" s="682"/>
    </row>
    <row r="9524" spans="6:13" hidden="1" x14ac:dyDescent="0.2">
      <c r="F9524" s="503" t="s">
        <v>242</v>
      </c>
      <c r="G9524" s="504" t="s">
        <v>243</v>
      </c>
      <c r="H9524" s="397"/>
      <c r="I9524" s="397"/>
      <c r="J9524" s="750" t="e">
        <f t="shared" si="131"/>
        <v>#DIV/0!</v>
      </c>
      <c r="K9524" s="398"/>
      <c r="L9524" s="404"/>
      <c r="M9524" s="682"/>
    </row>
    <row r="9525" spans="6:13" hidden="1" x14ac:dyDescent="0.2">
      <c r="F9525" s="503" t="s">
        <v>244</v>
      </c>
      <c r="G9525" s="504" t="s">
        <v>245</v>
      </c>
      <c r="H9525" s="397"/>
      <c r="I9525" s="397"/>
      <c r="J9525" s="750" t="e">
        <f t="shared" si="131"/>
        <v>#DIV/0!</v>
      </c>
      <c r="K9525" s="398"/>
      <c r="L9525" s="404"/>
      <c r="M9525" s="682"/>
    </row>
    <row r="9526" spans="6:13" hidden="1" x14ac:dyDescent="0.2">
      <c r="F9526" s="503" t="s">
        <v>246</v>
      </c>
      <c r="G9526" s="504" t="s">
        <v>247</v>
      </c>
      <c r="H9526" s="397"/>
      <c r="I9526" s="397"/>
      <c r="J9526" s="750" t="e">
        <f t="shared" si="131"/>
        <v>#DIV/0!</v>
      </c>
      <c r="K9526" s="398"/>
      <c r="L9526" s="404"/>
      <c r="M9526" s="682"/>
    </row>
    <row r="9527" spans="6:13" ht="25.5" hidden="1" x14ac:dyDescent="0.2">
      <c r="F9527" s="503" t="s">
        <v>248</v>
      </c>
      <c r="G9527" s="504" t="s">
        <v>249</v>
      </c>
      <c r="H9527" s="397"/>
      <c r="I9527" s="397"/>
      <c r="J9527" s="750" t="e">
        <f t="shared" si="131"/>
        <v>#DIV/0!</v>
      </c>
      <c r="K9527" s="398"/>
      <c r="L9527" s="404"/>
      <c r="M9527" s="682"/>
    </row>
    <row r="9528" spans="6:13" hidden="1" x14ac:dyDescent="0.2">
      <c r="F9528" s="503" t="s">
        <v>250</v>
      </c>
      <c r="G9528" s="504" t="s">
        <v>57</v>
      </c>
      <c r="H9528" s="397"/>
      <c r="I9528" s="397"/>
      <c r="J9528" s="750" t="e">
        <f t="shared" si="131"/>
        <v>#DIV/0!</v>
      </c>
      <c r="K9528" s="398"/>
      <c r="L9528" s="404"/>
      <c r="M9528" s="682"/>
    </row>
    <row r="9529" spans="6:13" hidden="1" x14ac:dyDescent="0.2">
      <c r="F9529" s="503" t="s">
        <v>251</v>
      </c>
      <c r="G9529" s="504" t="s">
        <v>252</v>
      </c>
      <c r="H9529" s="397"/>
      <c r="I9529" s="397"/>
      <c r="J9529" s="750" t="e">
        <f t="shared" si="131"/>
        <v>#DIV/0!</v>
      </c>
      <c r="K9529" s="398"/>
      <c r="L9529" s="404"/>
      <c r="M9529" s="682"/>
    </row>
    <row r="9530" spans="6:13" hidden="1" x14ac:dyDescent="0.2">
      <c r="F9530" s="503" t="s">
        <v>253</v>
      </c>
      <c r="G9530" s="504" t="s">
        <v>254</v>
      </c>
      <c r="H9530" s="397"/>
      <c r="I9530" s="397"/>
      <c r="J9530" s="750" t="e">
        <f t="shared" si="131"/>
        <v>#DIV/0!</v>
      </c>
      <c r="K9530" s="398"/>
      <c r="L9530" s="404"/>
      <c r="M9530" s="682"/>
    </row>
    <row r="9531" spans="6:13" ht="25.5" hidden="1" x14ac:dyDescent="0.2">
      <c r="F9531" s="503" t="s">
        <v>255</v>
      </c>
      <c r="G9531" s="504" t="s">
        <v>256</v>
      </c>
      <c r="H9531" s="397"/>
      <c r="I9531" s="397"/>
      <c r="J9531" s="750" t="e">
        <f t="shared" si="131"/>
        <v>#DIV/0!</v>
      </c>
      <c r="K9531" s="398"/>
      <c r="L9531" s="404"/>
      <c r="M9531" s="682"/>
    </row>
    <row r="9532" spans="6:13" ht="25.5" hidden="1" x14ac:dyDescent="0.2">
      <c r="F9532" s="503" t="s">
        <v>257</v>
      </c>
      <c r="G9532" s="504" t="s">
        <v>258</v>
      </c>
      <c r="H9532" s="397"/>
      <c r="I9532" s="397"/>
      <c r="J9532" s="750" t="e">
        <f t="shared" si="131"/>
        <v>#DIV/0!</v>
      </c>
      <c r="K9532" s="398"/>
      <c r="L9532" s="404"/>
      <c r="M9532" s="682"/>
    </row>
    <row r="9533" spans="6:13" ht="25.5" hidden="1" x14ac:dyDescent="0.2">
      <c r="F9533" s="503" t="s">
        <v>259</v>
      </c>
      <c r="G9533" s="504" t="s">
        <v>260</v>
      </c>
      <c r="H9533" s="397"/>
      <c r="I9533" s="397"/>
      <c r="J9533" s="750" t="e">
        <f t="shared" si="131"/>
        <v>#DIV/0!</v>
      </c>
      <c r="K9533" s="398"/>
      <c r="L9533" s="404"/>
      <c r="M9533" s="682"/>
    </row>
    <row r="9534" spans="6:13" ht="25.5" hidden="1" x14ac:dyDescent="0.2">
      <c r="F9534" s="503" t="s">
        <v>261</v>
      </c>
      <c r="G9534" s="504" t="s">
        <v>262</v>
      </c>
      <c r="H9534" s="397"/>
      <c r="I9534" s="397"/>
      <c r="J9534" s="750" t="e">
        <f t="shared" si="131"/>
        <v>#DIV/0!</v>
      </c>
      <c r="K9534" s="398"/>
      <c r="L9534" s="404"/>
      <c r="M9534" s="682"/>
    </row>
    <row r="9535" spans="6:13" hidden="1" x14ac:dyDescent="0.2">
      <c r="F9535" s="503" t="s">
        <v>263</v>
      </c>
      <c r="G9535" s="504" t="s">
        <v>264</v>
      </c>
      <c r="H9535" s="403"/>
      <c r="I9535" s="403"/>
      <c r="J9535" s="750" t="e">
        <f t="shared" si="131"/>
        <v>#DIV/0!</v>
      </c>
      <c r="K9535" s="404"/>
      <c r="L9535" s="404"/>
      <c r="M9535" s="682"/>
    </row>
    <row r="9536" spans="6:13" ht="13.5" hidden="1" thickBot="1" x14ac:dyDescent="0.25">
      <c r="G9536" s="505" t="s">
        <v>4393</v>
      </c>
      <c r="H9536" s="405">
        <f>SUM(H9520:H9535)</f>
        <v>0</v>
      </c>
      <c r="I9536" s="405"/>
      <c r="J9536" s="750" t="e">
        <f t="shared" si="131"/>
        <v>#DIV/0!</v>
      </c>
      <c r="K9536" s="406">
        <f>SUM(K9521:K9535)</f>
        <v>0</v>
      </c>
      <c r="L9536" s="406"/>
      <c r="M9536" s="682"/>
    </row>
    <row r="9537" spans="5:13" hidden="1" x14ac:dyDescent="0.2">
      <c r="E9537" s="500"/>
      <c r="F9537" s="498"/>
      <c r="G9537" s="506" t="s">
        <v>5080</v>
      </c>
      <c r="H9537" s="407"/>
      <c r="I9537" s="408"/>
      <c r="J9537" s="750" t="e">
        <f t="shared" si="131"/>
        <v>#DIV/0!</v>
      </c>
      <c r="K9537" s="409"/>
      <c r="L9537" s="410"/>
      <c r="M9537" s="682"/>
    </row>
    <row r="9538" spans="5:13" hidden="1" x14ac:dyDescent="0.2">
      <c r="E9538" s="502"/>
      <c r="F9538" s="503" t="s">
        <v>234</v>
      </c>
      <c r="G9538" s="504" t="s">
        <v>235</v>
      </c>
      <c r="H9538" s="403">
        <f>SUM(H9459:H9518)</f>
        <v>0</v>
      </c>
      <c r="I9538" s="403"/>
      <c r="J9538" s="750" t="e">
        <f t="shared" si="131"/>
        <v>#DIV/0!</v>
      </c>
      <c r="K9538" s="404"/>
      <c r="L9538" s="404"/>
      <c r="M9538" s="682"/>
    </row>
    <row r="9539" spans="5:13" hidden="1" x14ac:dyDescent="0.2">
      <c r="F9539" s="503" t="s">
        <v>236</v>
      </c>
      <c r="G9539" s="504" t="s">
        <v>237</v>
      </c>
      <c r="H9539" s="397"/>
      <c r="I9539" s="397"/>
      <c r="J9539" s="750" t="e">
        <f t="shared" si="131"/>
        <v>#DIV/0!</v>
      </c>
      <c r="K9539" s="398"/>
      <c r="L9539" s="404"/>
      <c r="M9539" s="682"/>
    </row>
    <row r="9540" spans="5:13" hidden="1" x14ac:dyDescent="0.2">
      <c r="F9540" s="503" t="s">
        <v>238</v>
      </c>
      <c r="G9540" s="504" t="s">
        <v>239</v>
      </c>
      <c r="H9540" s="397"/>
      <c r="I9540" s="397"/>
      <c r="J9540" s="750" t="e">
        <f t="shared" si="131"/>
        <v>#DIV/0!</v>
      </c>
      <c r="K9540" s="398"/>
      <c r="L9540" s="404"/>
      <c r="M9540" s="682"/>
    </row>
    <row r="9541" spans="5:13" hidden="1" x14ac:dyDescent="0.2">
      <c r="F9541" s="503" t="s">
        <v>240</v>
      </c>
      <c r="G9541" s="504" t="s">
        <v>241</v>
      </c>
      <c r="H9541" s="397"/>
      <c r="I9541" s="397"/>
      <c r="J9541" s="750" t="e">
        <f t="shared" si="131"/>
        <v>#DIV/0!</v>
      </c>
      <c r="K9541" s="398"/>
      <c r="L9541" s="404"/>
      <c r="M9541" s="682"/>
    </row>
    <row r="9542" spans="5:13" hidden="1" x14ac:dyDescent="0.2">
      <c r="F9542" s="503" t="s">
        <v>242</v>
      </c>
      <c r="G9542" s="504" t="s">
        <v>243</v>
      </c>
      <c r="H9542" s="397"/>
      <c r="I9542" s="397"/>
      <c r="J9542" s="750" t="e">
        <f t="shared" si="131"/>
        <v>#DIV/0!</v>
      </c>
      <c r="K9542" s="398"/>
      <c r="L9542" s="404"/>
      <c r="M9542" s="682"/>
    </row>
    <row r="9543" spans="5:13" hidden="1" x14ac:dyDescent="0.2">
      <c r="F9543" s="503" t="s">
        <v>244</v>
      </c>
      <c r="G9543" s="504" t="s">
        <v>245</v>
      </c>
      <c r="H9543" s="397"/>
      <c r="I9543" s="397"/>
      <c r="J9543" s="750" t="e">
        <f t="shared" si="131"/>
        <v>#DIV/0!</v>
      </c>
      <c r="K9543" s="398"/>
      <c r="L9543" s="404"/>
      <c r="M9543" s="682"/>
    </row>
    <row r="9544" spans="5:13" hidden="1" x14ac:dyDescent="0.2">
      <c r="F9544" s="503" t="s">
        <v>246</v>
      </c>
      <c r="G9544" s="504" t="s">
        <v>247</v>
      </c>
      <c r="H9544" s="397"/>
      <c r="I9544" s="397"/>
      <c r="J9544" s="750" t="e">
        <f t="shared" si="131"/>
        <v>#DIV/0!</v>
      </c>
      <c r="K9544" s="398"/>
      <c r="L9544" s="404"/>
      <c r="M9544" s="682"/>
    </row>
    <row r="9545" spans="5:13" ht="25.5" hidden="1" x14ac:dyDescent="0.2">
      <c r="F9545" s="503" t="s">
        <v>248</v>
      </c>
      <c r="G9545" s="504" t="s">
        <v>249</v>
      </c>
      <c r="H9545" s="397"/>
      <c r="I9545" s="397"/>
      <c r="J9545" s="750" t="e">
        <f t="shared" si="131"/>
        <v>#DIV/0!</v>
      </c>
      <c r="K9545" s="398"/>
      <c r="L9545" s="404"/>
      <c r="M9545" s="682"/>
    </row>
    <row r="9546" spans="5:13" hidden="1" x14ac:dyDescent="0.2">
      <c r="F9546" s="503" t="s">
        <v>250</v>
      </c>
      <c r="G9546" s="504" t="s">
        <v>57</v>
      </c>
      <c r="H9546" s="397"/>
      <c r="I9546" s="397"/>
      <c r="J9546" s="750" t="e">
        <f t="shared" si="131"/>
        <v>#DIV/0!</v>
      </c>
      <c r="K9546" s="398"/>
      <c r="L9546" s="404"/>
      <c r="M9546" s="682"/>
    </row>
    <row r="9547" spans="5:13" hidden="1" x14ac:dyDescent="0.2">
      <c r="F9547" s="503" t="s">
        <v>251</v>
      </c>
      <c r="G9547" s="504" t="s">
        <v>252</v>
      </c>
      <c r="H9547" s="397"/>
      <c r="I9547" s="397"/>
      <c r="J9547" s="750" t="e">
        <f t="shared" si="131"/>
        <v>#DIV/0!</v>
      </c>
      <c r="K9547" s="398"/>
      <c r="L9547" s="404"/>
      <c r="M9547" s="682"/>
    </row>
    <row r="9548" spans="5:13" hidden="1" x14ac:dyDescent="0.2">
      <c r="F9548" s="503" t="s">
        <v>253</v>
      </c>
      <c r="G9548" s="504" t="s">
        <v>254</v>
      </c>
      <c r="H9548" s="397"/>
      <c r="I9548" s="397"/>
      <c r="J9548" s="750" t="e">
        <f t="shared" si="131"/>
        <v>#DIV/0!</v>
      </c>
      <c r="K9548" s="398"/>
      <c r="L9548" s="404"/>
      <c r="M9548" s="682"/>
    </row>
    <row r="9549" spans="5:13" ht="25.5" hidden="1" x14ac:dyDescent="0.2">
      <c r="F9549" s="503" t="s">
        <v>255</v>
      </c>
      <c r="G9549" s="504" t="s">
        <v>256</v>
      </c>
      <c r="H9549" s="397"/>
      <c r="I9549" s="397"/>
      <c r="J9549" s="750" t="e">
        <f t="shared" si="131"/>
        <v>#DIV/0!</v>
      </c>
      <c r="K9549" s="398"/>
      <c r="L9549" s="404"/>
      <c r="M9549" s="682"/>
    </row>
    <row r="9550" spans="5:13" ht="25.5" hidden="1" x14ac:dyDescent="0.2">
      <c r="F9550" s="503" t="s">
        <v>257</v>
      </c>
      <c r="G9550" s="504" t="s">
        <v>258</v>
      </c>
      <c r="H9550" s="397"/>
      <c r="I9550" s="397"/>
      <c r="J9550" s="750" t="e">
        <f t="shared" ref="J9550:J9613" si="132">SUM(I9550/H9550)*100</f>
        <v>#DIV/0!</v>
      </c>
      <c r="K9550" s="398"/>
      <c r="L9550" s="404"/>
      <c r="M9550" s="682"/>
    </row>
    <row r="9551" spans="5:13" ht="25.5" hidden="1" x14ac:dyDescent="0.2">
      <c r="F9551" s="503" t="s">
        <v>259</v>
      </c>
      <c r="G9551" s="504" t="s">
        <v>260</v>
      </c>
      <c r="H9551" s="397"/>
      <c r="I9551" s="397"/>
      <c r="J9551" s="750" t="e">
        <f t="shared" si="132"/>
        <v>#DIV/0!</v>
      </c>
      <c r="K9551" s="398"/>
      <c r="L9551" s="404"/>
      <c r="M9551" s="682"/>
    </row>
    <row r="9552" spans="5:13" ht="25.5" hidden="1" x14ac:dyDescent="0.2">
      <c r="F9552" s="503" t="s">
        <v>261</v>
      </c>
      <c r="G9552" s="504" t="s">
        <v>262</v>
      </c>
      <c r="H9552" s="397"/>
      <c r="I9552" s="397"/>
      <c r="J9552" s="750" t="e">
        <f t="shared" si="132"/>
        <v>#DIV/0!</v>
      </c>
      <c r="K9552" s="398"/>
      <c r="L9552" s="404"/>
      <c r="M9552" s="682"/>
    </row>
    <row r="9553" spans="5:13" hidden="1" x14ac:dyDescent="0.2">
      <c r="F9553" s="503" t="s">
        <v>263</v>
      </c>
      <c r="G9553" s="504" t="s">
        <v>264</v>
      </c>
      <c r="H9553" s="403"/>
      <c r="I9553" s="403"/>
      <c r="J9553" s="750" t="e">
        <f t="shared" si="132"/>
        <v>#DIV/0!</v>
      </c>
      <c r="K9553" s="404"/>
      <c r="L9553" s="404"/>
      <c r="M9553" s="682"/>
    </row>
    <row r="9554" spans="5:13" ht="13.5" hidden="1" thickBot="1" x14ac:dyDescent="0.25">
      <c r="G9554" s="505" t="s">
        <v>5081</v>
      </c>
      <c r="H9554" s="405">
        <f>SUM(H9538:H9553)</f>
        <v>0</v>
      </c>
      <c r="I9554" s="405"/>
      <c r="J9554" s="750" t="e">
        <f t="shared" si="132"/>
        <v>#DIV/0!</v>
      </c>
      <c r="K9554" s="406">
        <f>SUM(K9539:K9553)</f>
        <v>0</v>
      </c>
      <c r="L9554" s="406"/>
      <c r="M9554" s="682"/>
    </row>
    <row r="9555" spans="5:13" hidden="1" x14ac:dyDescent="0.2">
      <c r="G9555" s="510"/>
      <c r="H9555" s="411"/>
      <c r="I9555" s="411"/>
      <c r="J9555" s="750" t="e">
        <f t="shared" si="132"/>
        <v>#DIV/0!</v>
      </c>
      <c r="K9555" s="412"/>
      <c r="L9555" s="412"/>
      <c r="M9555" s="682"/>
    </row>
    <row r="9556" spans="5:13" x14ac:dyDescent="0.2">
      <c r="E9556" s="500"/>
      <c r="F9556" s="498"/>
      <c r="G9556" s="511" t="s">
        <v>4297</v>
      </c>
      <c r="H9556" s="413"/>
      <c r="I9556" s="413"/>
      <c r="J9556" s="750"/>
      <c r="K9556" s="414"/>
      <c r="L9556" s="415"/>
      <c r="M9556" s="682"/>
    </row>
    <row r="9557" spans="5:13" x14ac:dyDescent="0.2">
      <c r="E9557" s="502"/>
      <c r="F9557" s="503" t="s">
        <v>234</v>
      </c>
      <c r="G9557" s="504" t="s">
        <v>235</v>
      </c>
      <c r="H9557" s="403">
        <f>SUM(H9340,H9241,H9142,H9043,H8944,H9538,H9439)</f>
        <v>9093015</v>
      </c>
      <c r="I9557" s="403">
        <f>SUM(I9142,I9043,I8944)</f>
        <v>7003241.6399999997</v>
      </c>
      <c r="J9557" s="750">
        <f t="shared" si="132"/>
        <v>77.017816862723748</v>
      </c>
      <c r="K9557" s="404"/>
      <c r="L9557" s="404"/>
      <c r="M9557" s="682"/>
    </row>
    <row r="9558" spans="5:13" hidden="1" x14ac:dyDescent="0.2">
      <c r="F9558" s="503" t="s">
        <v>236</v>
      </c>
      <c r="G9558" s="504" t="s">
        <v>237</v>
      </c>
      <c r="H9558" s="397"/>
      <c r="I9558" s="397"/>
      <c r="J9558" s="750" t="e">
        <f t="shared" si="132"/>
        <v>#DIV/0!</v>
      </c>
      <c r="K9558" s="398"/>
      <c r="L9558" s="404"/>
      <c r="M9558" s="682"/>
    </row>
    <row r="9559" spans="5:13" hidden="1" x14ac:dyDescent="0.2">
      <c r="F9559" s="503" t="s">
        <v>238</v>
      </c>
      <c r="G9559" s="504" t="s">
        <v>239</v>
      </c>
      <c r="H9559" s="397"/>
      <c r="I9559" s="397"/>
      <c r="J9559" s="750" t="e">
        <f t="shared" si="132"/>
        <v>#DIV/0!</v>
      </c>
      <c r="K9559" s="398"/>
      <c r="L9559" s="404"/>
      <c r="M9559" s="682"/>
    </row>
    <row r="9560" spans="5:13" x14ac:dyDescent="0.2">
      <c r="F9560" s="503" t="s">
        <v>240</v>
      </c>
      <c r="G9560" s="504" t="s">
        <v>241</v>
      </c>
      <c r="H9560" s="397"/>
      <c r="I9560" s="397"/>
      <c r="J9560" s="750"/>
      <c r="K9560" s="398">
        <v>500000</v>
      </c>
      <c r="L9560" s="404">
        <f>SUM(L9046,L8958)</f>
        <v>1148717.58</v>
      </c>
      <c r="M9560" s="682"/>
    </row>
    <row r="9561" spans="5:13" hidden="1" x14ac:dyDescent="0.2">
      <c r="F9561" s="503" t="s">
        <v>242</v>
      </c>
      <c r="G9561" s="504" t="s">
        <v>243</v>
      </c>
      <c r="H9561" s="397"/>
      <c r="I9561" s="397"/>
      <c r="J9561" s="750" t="e">
        <f t="shared" si="132"/>
        <v>#DIV/0!</v>
      </c>
      <c r="K9561" s="398"/>
      <c r="L9561" s="404"/>
      <c r="M9561" s="682"/>
    </row>
    <row r="9562" spans="5:13" hidden="1" x14ac:dyDescent="0.2">
      <c r="F9562" s="503" t="s">
        <v>244</v>
      </c>
      <c r="G9562" s="504" t="s">
        <v>245</v>
      </c>
      <c r="H9562" s="397"/>
      <c r="I9562" s="397"/>
      <c r="J9562" s="750" t="e">
        <f t="shared" si="132"/>
        <v>#DIV/0!</v>
      </c>
      <c r="K9562" s="398"/>
      <c r="L9562" s="404"/>
      <c r="M9562" s="682"/>
    </row>
    <row r="9563" spans="5:13" hidden="1" x14ac:dyDescent="0.2">
      <c r="F9563" s="503" t="s">
        <v>246</v>
      </c>
      <c r="G9563" s="504" t="s">
        <v>247</v>
      </c>
      <c r="H9563" s="397"/>
      <c r="I9563" s="397"/>
      <c r="J9563" s="750" t="e">
        <f t="shared" si="132"/>
        <v>#DIV/0!</v>
      </c>
      <c r="K9563" s="398"/>
      <c r="L9563" s="404"/>
      <c r="M9563" s="682"/>
    </row>
    <row r="9564" spans="5:13" ht="25.5" hidden="1" x14ac:dyDescent="0.2">
      <c r="F9564" s="503" t="s">
        <v>248</v>
      </c>
      <c r="G9564" s="504" t="s">
        <v>249</v>
      </c>
      <c r="H9564" s="397"/>
      <c r="I9564" s="397"/>
      <c r="J9564" s="750" t="e">
        <f t="shared" si="132"/>
        <v>#DIV/0!</v>
      </c>
      <c r="K9564" s="398"/>
      <c r="L9564" s="404"/>
      <c r="M9564" s="682"/>
    </row>
    <row r="9565" spans="5:13" hidden="1" x14ac:dyDescent="0.2">
      <c r="F9565" s="503" t="s">
        <v>250</v>
      </c>
      <c r="G9565" s="504" t="s">
        <v>57</v>
      </c>
      <c r="H9565" s="397"/>
      <c r="I9565" s="397"/>
      <c r="J9565" s="750" t="e">
        <f t="shared" si="132"/>
        <v>#DIV/0!</v>
      </c>
      <c r="K9565" s="398"/>
      <c r="L9565" s="404"/>
      <c r="M9565" s="682"/>
    </row>
    <row r="9566" spans="5:13" hidden="1" x14ac:dyDescent="0.2">
      <c r="F9566" s="503" t="s">
        <v>251</v>
      </c>
      <c r="G9566" s="504" t="s">
        <v>252</v>
      </c>
      <c r="H9566" s="397"/>
      <c r="I9566" s="397"/>
      <c r="J9566" s="750" t="e">
        <f t="shared" si="132"/>
        <v>#DIV/0!</v>
      </c>
      <c r="K9566" s="398"/>
      <c r="L9566" s="404"/>
      <c r="M9566" s="682"/>
    </row>
    <row r="9567" spans="5:13" hidden="1" x14ac:dyDescent="0.2">
      <c r="F9567" s="503" t="s">
        <v>253</v>
      </c>
      <c r="G9567" s="504" t="s">
        <v>254</v>
      </c>
      <c r="H9567" s="397"/>
      <c r="I9567" s="397"/>
      <c r="J9567" s="750" t="e">
        <f t="shared" si="132"/>
        <v>#DIV/0!</v>
      </c>
      <c r="K9567" s="398"/>
      <c r="L9567" s="404"/>
      <c r="M9567" s="682"/>
    </row>
    <row r="9568" spans="5:13" ht="25.5" hidden="1" x14ac:dyDescent="0.2">
      <c r="F9568" s="503" t="s">
        <v>255</v>
      </c>
      <c r="G9568" s="504" t="s">
        <v>256</v>
      </c>
      <c r="H9568" s="397"/>
      <c r="I9568" s="397"/>
      <c r="J9568" s="750" t="e">
        <f t="shared" si="132"/>
        <v>#DIV/0!</v>
      </c>
      <c r="K9568" s="398"/>
      <c r="L9568" s="404"/>
      <c r="M9568" s="682"/>
    </row>
    <row r="9569" spans="1:27" ht="25.5" hidden="1" x14ac:dyDescent="0.2">
      <c r="F9569" s="503" t="s">
        <v>257</v>
      </c>
      <c r="G9569" s="504" t="s">
        <v>258</v>
      </c>
      <c r="H9569" s="397"/>
      <c r="I9569" s="397"/>
      <c r="J9569" s="750" t="e">
        <f t="shared" si="132"/>
        <v>#DIV/0!</v>
      </c>
      <c r="K9569" s="398"/>
      <c r="L9569" s="404"/>
      <c r="M9569" s="682"/>
    </row>
    <row r="9570" spans="1:27" ht="25.5" hidden="1" x14ac:dyDescent="0.2">
      <c r="F9570" s="503" t="s">
        <v>259</v>
      </c>
      <c r="G9570" s="504" t="s">
        <v>260</v>
      </c>
      <c r="H9570" s="397"/>
      <c r="I9570" s="397"/>
      <c r="J9570" s="750" t="e">
        <f t="shared" si="132"/>
        <v>#DIV/0!</v>
      </c>
      <c r="K9570" s="398"/>
      <c r="L9570" s="404"/>
      <c r="M9570" s="682"/>
    </row>
    <row r="9571" spans="1:27" ht="25.5" hidden="1" x14ac:dyDescent="0.2">
      <c r="F9571" s="503" t="s">
        <v>261</v>
      </c>
      <c r="G9571" s="504" t="s">
        <v>262</v>
      </c>
      <c r="H9571" s="397"/>
      <c r="I9571" s="397"/>
      <c r="J9571" s="750" t="e">
        <f t="shared" si="132"/>
        <v>#DIV/0!</v>
      </c>
      <c r="K9571" s="398"/>
      <c r="L9571" s="404"/>
      <c r="M9571" s="682"/>
    </row>
    <row r="9572" spans="1:27" ht="13.5" customHeight="1" thickBot="1" x14ac:dyDescent="0.25">
      <c r="F9572" s="549" t="s">
        <v>246</v>
      </c>
      <c r="G9572" s="504" t="s">
        <v>5395</v>
      </c>
      <c r="H9572" s="403"/>
      <c r="I9572" s="403"/>
      <c r="J9572" s="750"/>
      <c r="K9572" s="404"/>
      <c r="L9572" s="404">
        <f>SUM(L9157,L9058,L8959)</f>
        <v>2000000</v>
      </c>
      <c r="M9572" s="682"/>
    </row>
    <row r="9573" spans="1:27" ht="12" customHeight="1" thickBot="1" x14ac:dyDescent="0.25">
      <c r="G9573" s="505" t="s">
        <v>4298</v>
      </c>
      <c r="H9573" s="405">
        <f>SUM(H9557:H9572)</f>
        <v>9093015</v>
      </c>
      <c r="I9573" s="405">
        <f>SUM(I9557)</f>
        <v>7003241.6399999997</v>
      </c>
      <c r="J9573" s="750">
        <f t="shared" si="132"/>
        <v>77.017816862723748</v>
      </c>
      <c r="K9573" s="406">
        <f>SUM(K9558:K9572)</f>
        <v>500000</v>
      </c>
      <c r="L9573" s="406">
        <f>SUM(L9560:L9572)</f>
        <v>3148717.58</v>
      </c>
      <c r="M9573" s="682"/>
    </row>
    <row r="9574" spans="1:27" ht="0.75" hidden="1" customHeight="1" x14ac:dyDescent="0.2">
      <c r="G9574" s="510"/>
      <c r="H9574" s="411"/>
      <c r="I9574" s="411"/>
      <c r="J9574" s="750" t="e">
        <f t="shared" si="132"/>
        <v>#DIV/0!</v>
      </c>
      <c r="K9574" s="412"/>
      <c r="L9574" s="412"/>
      <c r="M9574" s="682"/>
    </row>
    <row r="9575" spans="1:27" s="530" customFormat="1" x14ac:dyDescent="0.2">
      <c r="A9575" s="526"/>
      <c r="B9575" s="527"/>
      <c r="C9575" s="534"/>
      <c r="D9575" s="535"/>
      <c r="E9575" s="535"/>
      <c r="F9575" s="498"/>
      <c r="G9575" s="511" t="s">
        <v>5142</v>
      </c>
      <c r="H9575" s="413"/>
      <c r="I9575" s="413"/>
      <c r="J9575" s="750"/>
      <c r="K9575" s="414"/>
      <c r="L9575" s="415"/>
      <c r="M9575" s="682"/>
      <c r="N9575" s="171"/>
      <c r="O9575" s="171"/>
      <c r="P9575" s="171"/>
      <c r="Q9575" s="171"/>
      <c r="R9575" s="171"/>
      <c r="S9575" s="171"/>
      <c r="T9575" s="171"/>
      <c r="U9575" s="171"/>
      <c r="V9575" s="171"/>
      <c r="W9575" s="171"/>
      <c r="X9575" s="171"/>
      <c r="Y9575" s="171"/>
      <c r="Z9575" s="171"/>
      <c r="AA9575" s="171"/>
    </row>
    <row r="9576" spans="1:27" s="530" customFormat="1" x14ac:dyDescent="0.2">
      <c r="A9576" s="526"/>
      <c r="B9576" s="527"/>
      <c r="C9576" s="534"/>
      <c r="D9576" s="535"/>
      <c r="E9576" s="535"/>
      <c r="F9576" s="503" t="s">
        <v>234</v>
      </c>
      <c r="G9576" s="504" t="s">
        <v>235</v>
      </c>
      <c r="H9576" s="403">
        <f>SUM(H9557)</f>
        <v>9093015</v>
      </c>
      <c r="I9576" s="403">
        <f>SUM(I9573)</f>
        <v>7003241.6399999997</v>
      </c>
      <c r="J9576" s="750">
        <f t="shared" si="132"/>
        <v>77.017816862723748</v>
      </c>
      <c r="K9576" s="404"/>
      <c r="L9576" s="404"/>
      <c r="M9576" s="682"/>
      <c r="N9576" s="171"/>
      <c r="O9576" s="171"/>
      <c r="P9576" s="171"/>
      <c r="Q9576" s="171"/>
      <c r="R9576" s="171"/>
      <c r="S9576" s="171"/>
      <c r="T9576" s="171"/>
      <c r="U9576" s="171"/>
      <c r="V9576" s="171"/>
      <c r="W9576" s="171"/>
      <c r="X9576" s="171"/>
      <c r="Y9576" s="171"/>
      <c r="Z9576" s="171"/>
      <c r="AA9576" s="171"/>
    </row>
    <row r="9577" spans="1:27" s="530" customFormat="1" hidden="1" x14ac:dyDescent="0.2">
      <c r="A9577" s="526"/>
      <c r="B9577" s="527"/>
      <c r="C9577" s="534"/>
      <c r="D9577" s="535"/>
      <c r="E9577" s="535"/>
      <c r="F9577" s="503" t="s">
        <v>236</v>
      </c>
      <c r="G9577" s="504" t="s">
        <v>237</v>
      </c>
      <c r="H9577" s="397"/>
      <c r="I9577" s="397"/>
      <c r="J9577" s="750" t="e">
        <f t="shared" si="132"/>
        <v>#DIV/0!</v>
      </c>
      <c r="K9577" s="398"/>
      <c r="L9577" s="404"/>
      <c r="M9577" s="682"/>
      <c r="N9577" s="171"/>
      <c r="O9577" s="171"/>
      <c r="P9577" s="171"/>
      <c r="Q9577" s="171"/>
      <c r="R9577" s="171"/>
      <c r="S9577" s="171"/>
      <c r="T9577" s="171"/>
      <c r="U9577" s="171"/>
      <c r="V9577" s="171"/>
      <c r="W9577" s="171"/>
      <c r="X9577" s="171"/>
      <c r="Y9577" s="171"/>
      <c r="Z9577" s="171"/>
      <c r="AA9577" s="171"/>
    </row>
    <row r="9578" spans="1:27" s="530" customFormat="1" hidden="1" x14ac:dyDescent="0.2">
      <c r="A9578" s="526"/>
      <c r="B9578" s="527"/>
      <c r="C9578" s="534"/>
      <c r="D9578" s="535"/>
      <c r="E9578" s="535"/>
      <c r="F9578" s="503" t="s">
        <v>238</v>
      </c>
      <c r="G9578" s="504" t="s">
        <v>239</v>
      </c>
      <c r="H9578" s="397"/>
      <c r="I9578" s="397"/>
      <c r="J9578" s="750" t="e">
        <f t="shared" si="132"/>
        <v>#DIV/0!</v>
      </c>
      <c r="K9578" s="398"/>
      <c r="L9578" s="404"/>
      <c r="M9578" s="682"/>
      <c r="N9578" s="171"/>
      <c r="O9578" s="171"/>
      <c r="P9578" s="171"/>
      <c r="Q9578" s="171"/>
      <c r="R9578" s="171"/>
      <c r="S9578" s="171"/>
      <c r="T9578" s="171"/>
      <c r="U9578" s="171"/>
      <c r="V9578" s="171"/>
      <c r="W9578" s="171"/>
      <c r="X9578" s="171"/>
      <c r="Y9578" s="171"/>
      <c r="Z9578" s="171"/>
      <c r="AA9578" s="171"/>
    </row>
    <row r="9579" spans="1:27" s="530" customFormat="1" x14ac:dyDescent="0.2">
      <c r="A9579" s="526"/>
      <c r="B9579" s="527"/>
      <c r="C9579" s="534"/>
      <c r="D9579" s="535"/>
      <c r="E9579" s="535"/>
      <c r="F9579" s="503" t="s">
        <v>240</v>
      </c>
      <c r="G9579" s="504" t="s">
        <v>241</v>
      </c>
      <c r="H9579" s="397"/>
      <c r="I9579" s="397"/>
      <c r="J9579" s="750"/>
      <c r="K9579" s="398">
        <v>500000</v>
      </c>
      <c r="L9579" s="404">
        <v>1148717.58</v>
      </c>
      <c r="M9579" s="682"/>
      <c r="N9579" s="171"/>
      <c r="O9579" s="171"/>
      <c r="P9579" s="171"/>
      <c r="Q9579" s="171"/>
      <c r="R9579" s="171"/>
      <c r="S9579" s="171"/>
      <c r="T9579" s="171"/>
      <c r="U9579" s="171"/>
      <c r="V9579" s="171"/>
      <c r="W9579" s="171"/>
      <c r="X9579" s="171"/>
      <c r="Y9579" s="171"/>
      <c r="Z9579" s="171"/>
      <c r="AA9579" s="171"/>
    </row>
    <row r="9580" spans="1:27" s="530" customFormat="1" hidden="1" x14ac:dyDescent="0.2">
      <c r="A9580" s="526"/>
      <c r="B9580" s="527"/>
      <c r="C9580" s="534"/>
      <c r="D9580" s="535"/>
      <c r="E9580" s="535"/>
      <c r="F9580" s="503" t="s">
        <v>242</v>
      </c>
      <c r="G9580" s="504" t="s">
        <v>243</v>
      </c>
      <c r="H9580" s="397"/>
      <c r="I9580" s="397"/>
      <c r="J9580" s="750" t="e">
        <f t="shared" si="132"/>
        <v>#DIV/0!</v>
      </c>
      <c r="K9580" s="398"/>
      <c r="L9580" s="404"/>
      <c r="M9580" s="682"/>
      <c r="N9580" s="171"/>
      <c r="O9580" s="171"/>
      <c r="P9580" s="171"/>
      <c r="Q9580" s="171"/>
      <c r="R9580" s="171"/>
      <c r="S9580" s="171"/>
      <c r="T9580" s="171"/>
      <c r="U9580" s="171"/>
      <c r="V9580" s="171"/>
      <c r="W9580" s="171"/>
      <c r="X9580" s="171"/>
      <c r="Y9580" s="171"/>
      <c r="Z9580" s="171"/>
      <c r="AA9580" s="171"/>
    </row>
    <row r="9581" spans="1:27" s="530" customFormat="1" hidden="1" x14ac:dyDescent="0.2">
      <c r="A9581" s="526"/>
      <c r="B9581" s="527"/>
      <c r="C9581" s="534"/>
      <c r="D9581" s="535"/>
      <c r="E9581" s="535"/>
      <c r="F9581" s="503" t="s">
        <v>244</v>
      </c>
      <c r="G9581" s="504" t="s">
        <v>245</v>
      </c>
      <c r="H9581" s="397"/>
      <c r="I9581" s="397"/>
      <c r="J9581" s="750" t="e">
        <f t="shared" si="132"/>
        <v>#DIV/0!</v>
      </c>
      <c r="K9581" s="398"/>
      <c r="L9581" s="404"/>
      <c r="M9581" s="682"/>
      <c r="N9581" s="171"/>
      <c r="O9581" s="171"/>
      <c r="P9581" s="171"/>
      <c r="Q9581" s="171"/>
      <c r="R9581" s="171"/>
      <c r="S9581" s="171"/>
      <c r="T9581" s="171"/>
      <c r="U9581" s="171"/>
      <c r="V9581" s="171"/>
      <c r="W9581" s="171"/>
      <c r="X9581" s="171"/>
      <c r="Y9581" s="171"/>
      <c r="Z9581" s="171"/>
      <c r="AA9581" s="171"/>
    </row>
    <row r="9582" spans="1:27" s="530" customFormat="1" hidden="1" x14ac:dyDescent="0.2">
      <c r="A9582" s="526"/>
      <c r="B9582" s="527"/>
      <c r="C9582" s="534"/>
      <c r="D9582" s="535"/>
      <c r="E9582" s="535"/>
      <c r="F9582" s="503" t="s">
        <v>246</v>
      </c>
      <c r="G9582" s="504" t="s">
        <v>247</v>
      </c>
      <c r="H9582" s="397"/>
      <c r="I9582" s="397"/>
      <c r="J9582" s="750" t="e">
        <f t="shared" si="132"/>
        <v>#DIV/0!</v>
      </c>
      <c r="K9582" s="398"/>
      <c r="L9582" s="404"/>
      <c r="M9582" s="682"/>
      <c r="N9582" s="171"/>
      <c r="O9582" s="171"/>
      <c r="P9582" s="171"/>
      <c r="Q9582" s="171"/>
      <c r="R9582" s="171"/>
      <c r="S9582" s="171"/>
      <c r="T9582" s="171"/>
      <c r="U9582" s="171"/>
      <c r="V9582" s="171"/>
      <c r="W9582" s="171"/>
      <c r="X9582" s="171"/>
      <c r="Y9582" s="171"/>
      <c r="Z9582" s="171"/>
      <c r="AA9582" s="171"/>
    </row>
    <row r="9583" spans="1:27" s="530" customFormat="1" ht="25.5" hidden="1" x14ac:dyDescent="0.2">
      <c r="A9583" s="526"/>
      <c r="B9583" s="527"/>
      <c r="C9583" s="534"/>
      <c r="D9583" s="535"/>
      <c r="E9583" s="535"/>
      <c r="F9583" s="503" t="s">
        <v>248</v>
      </c>
      <c r="G9583" s="504" t="s">
        <v>249</v>
      </c>
      <c r="H9583" s="397"/>
      <c r="I9583" s="397"/>
      <c r="J9583" s="750" t="e">
        <f t="shared" si="132"/>
        <v>#DIV/0!</v>
      </c>
      <c r="K9583" s="398"/>
      <c r="L9583" s="404"/>
      <c r="M9583" s="682"/>
      <c r="N9583" s="171"/>
      <c r="O9583" s="171"/>
      <c r="P9583" s="171"/>
      <c r="Q9583" s="171"/>
      <c r="R9583" s="171"/>
      <c r="S9583" s="171"/>
      <c r="T9583" s="171"/>
      <c r="U9583" s="171"/>
      <c r="V9583" s="171"/>
      <c r="W9583" s="171"/>
      <c r="X9583" s="171"/>
      <c r="Y9583" s="171"/>
      <c r="Z9583" s="171"/>
      <c r="AA9583" s="171"/>
    </row>
    <row r="9584" spans="1:27" s="530" customFormat="1" hidden="1" x14ac:dyDescent="0.2">
      <c r="A9584" s="526"/>
      <c r="B9584" s="527"/>
      <c r="C9584" s="534"/>
      <c r="D9584" s="535"/>
      <c r="E9584" s="535"/>
      <c r="F9584" s="503" t="s">
        <v>250</v>
      </c>
      <c r="G9584" s="504" t="s">
        <v>57</v>
      </c>
      <c r="H9584" s="397"/>
      <c r="I9584" s="397"/>
      <c r="J9584" s="750" t="e">
        <f t="shared" si="132"/>
        <v>#DIV/0!</v>
      </c>
      <c r="K9584" s="398"/>
      <c r="L9584" s="404"/>
      <c r="M9584" s="682"/>
      <c r="N9584" s="171"/>
      <c r="O9584" s="171"/>
      <c r="P9584" s="171"/>
      <c r="Q9584" s="171"/>
      <c r="R9584" s="171"/>
      <c r="S9584" s="171"/>
      <c r="T9584" s="171"/>
      <c r="U9584" s="171"/>
      <c r="V9584" s="171"/>
      <c r="W9584" s="171"/>
      <c r="X9584" s="171"/>
      <c r="Y9584" s="171"/>
      <c r="Z9584" s="171"/>
      <c r="AA9584" s="171"/>
    </row>
    <row r="9585" spans="1:27" s="530" customFormat="1" hidden="1" x14ac:dyDescent="0.2">
      <c r="A9585" s="526"/>
      <c r="B9585" s="527"/>
      <c r="C9585" s="534"/>
      <c r="D9585" s="535"/>
      <c r="E9585" s="535"/>
      <c r="F9585" s="503" t="s">
        <v>251</v>
      </c>
      <c r="G9585" s="504" t="s">
        <v>252</v>
      </c>
      <c r="H9585" s="397"/>
      <c r="I9585" s="397"/>
      <c r="J9585" s="750" t="e">
        <f t="shared" si="132"/>
        <v>#DIV/0!</v>
      </c>
      <c r="K9585" s="398"/>
      <c r="L9585" s="404"/>
      <c r="M9585" s="682"/>
      <c r="N9585" s="171"/>
      <c r="O9585" s="171"/>
      <c r="P9585" s="171"/>
      <c r="Q9585" s="171"/>
      <c r="R9585" s="171"/>
      <c r="S9585" s="171"/>
      <c r="T9585" s="171"/>
      <c r="U9585" s="171"/>
      <c r="V9585" s="171"/>
      <c r="W9585" s="171"/>
      <c r="X9585" s="171"/>
      <c r="Y9585" s="171"/>
      <c r="Z9585" s="171"/>
      <c r="AA9585" s="171"/>
    </row>
    <row r="9586" spans="1:27" s="530" customFormat="1" hidden="1" x14ac:dyDescent="0.2">
      <c r="A9586" s="526"/>
      <c r="B9586" s="527"/>
      <c r="C9586" s="534"/>
      <c r="D9586" s="535"/>
      <c r="E9586" s="535"/>
      <c r="F9586" s="503" t="s">
        <v>253</v>
      </c>
      <c r="G9586" s="504" t="s">
        <v>254</v>
      </c>
      <c r="H9586" s="397"/>
      <c r="I9586" s="397"/>
      <c r="J9586" s="750" t="e">
        <f t="shared" si="132"/>
        <v>#DIV/0!</v>
      </c>
      <c r="K9586" s="398"/>
      <c r="L9586" s="404"/>
      <c r="M9586" s="682"/>
      <c r="N9586" s="171"/>
      <c r="O9586" s="171"/>
      <c r="P9586" s="171"/>
      <c r="Q9586" s="171"/>
      <c r="R9586" s="171"/>
      <c r="S9586" s="171"/>
      <c r="T9586" s="171"/>
      <c r="U9586" s="171"/>
      <c r="V9586" s="171"/>
      <c r="W9586" s="171"/>
      <c r="X9586" s="171"/>
      <c r="Y9586" s="171"/>
      <c r="Z9586" s="171"/>
      <c r="AA9586" s="171"/>
    </row>
    <row r="9587" spans="1:27" s="530" customFormat="1" ht="25.5" hidden="1" x14ac:dyDescent="0.2">
      <c r="A9587" s="526"/>
      <c r="B9587" s="527"/>
      <c r="C9587" s="534"/>
      <c r="D9587" s="535"/>
      <c r="E9587" s="535"/>
      <c r="F9587" s="503" t="s">
        <v>255</v>
      </c>
      <c r="G9587" s="504" t="s">
        <v>256</v>
      </c>
      <c r="H9587" s="397"/>
      <c r="I9587" s="397"/>
      <c r="J9587" s="750" t="e">
        <f t="shared" si="132"/>
        <v>#DIV/0!</v>
      </c>
      <c r="K9587" s="398"/>
      <c r="L9587" s="404"/>
      <c r="M9587" s="682"/>
      <c r="N9587" s="171"/>
      <c r="O9587" s="171"/>
      <c r="P9587" s="171"/>
      <c r="Q9587" s="171"/>
      <c r="R9587" s="171"/>
      <c r="S9587" s="171"/>
      <c r="T9587" s="171"/>
      <c r="U9587" s="171"/>
      <c r="V9587" s="171"/>
      <c r="W9587" s="171"/>
      <c r="X9587" s="171"/>
      <c r="Y9587" s="171"/>
      <c r="Z9587" s="171"/>
      <c r="AA9587" s="171"/>
    </row>
    <row r="9588" spans="1:27" s="530" customFormat="1" ht="25.5" hidden="1" x14ac:dyDescent="0.2">
      <c r="A9588" s="526"/>
      <c r="B9588" s="527"/>
      <c r="C9588" s="534"/>
      <c r="D9588" s="535"/>
      <c r="E9588" s="535"/>
      <c r="F9588" s="503" t="s">
        <v>257</v>
      </c>
      <c r="G9588" s="504" t="s">
        <v>258</v>
      </c>
      <c r="H9588" s="397"/>
      <c r="I9588" s="397"/>
      <c r="J9588" s="750" t="e">
        <f t="shared" si="132"/>
        <v>#DIV/0!</v>
      </c>
      <c r="K9588" s="398"/>
      <c r="L9588" s="404"/>
      <c r="M9588" s="682"/>
      <c r="N9588" s="171"/>
      <c r="O9588" s="171"/>
      <c r="P9588" s="171"/>
      <c r="Q9588" s="171"/>
      <c r="R9588" s="171"/>
      <c r="S9588" s="171"/>
      <c r="T9588" s="171"/>
      <c r="U9588" s="171"/>
      <c r="V9588" s="171"/>
      <c r="W9588" s="171"/>
      <c r="X9588" s="171"/>
      <c r="Y9588" s="171"/>
      <c r="Z9588" s="171"/>
      <c r="AA9588" s="171"/>
    </row>
    <row r="9589" spans="1:27" s="530" customFormat="1" ht="25.5" hidden="1" x14ac:dyDescent="0.2">
      <c r="A9589" s="526"/>
      <c r="B9589" s="527"/>
      <c r="C9589" s="534"/>
      <c r="D9589" s="535"/>
      <c r="E9589" s="535"/>
      <c r="F9589" s="503" t="s">
        <v>259</v>
      </c>
      <c r="G9589" s="504" t="s">
        <v>260</v>
      </c>
      <c r="H9589" s="397"/>
      <c r="I9589" s="397"/>
      <c r="J9589" s="750" t="e">
        <f t="shared" si="132"/>
        <v>#DIV/0!</v>
      </c>
      <c r="K9589" s="398"/>
      <c r="L9589" s="404"/>
      <c r="M9589" s="682"/>
      <c r="N9589" s="171"/>
      <c r="O9589" s="171"/>
      <c r="P9589" s="171"/>
      <c r="Q9589" s="171"/>
      <c r="R9589" s="171"/>
      <c r="S9589" s="171"/>
      <c r="T9589" s="171"/>
      <c r="U9589" s="171"/>
      <c r="V9589" s="171"/>
      <c r="W9589" s="171"/>
      <c r="X9589" s="171"/>
      <c r="Y9589" s="171"/>
      <c r="Z9589" s="171"/>
      <c r="AA9589" s="171"/>
    </row>
    <row r="9590" spans="1:27" s="530" customFormat="1" ht="25.5" hidden="1" x14ac:dyDescent="0.2">
      <c r="A9590" s="526"/>
      <c r="B9590" s="527"/>
      <c r="C9590" s="534"/>
      <c r="D9590" s="535"/>
      <c r="E9590" s="535"/>
      <c r="F9590" s="503" t="s">
        <v>261</v>
      </c>
      <c r="G9590" s="504" t="s">
        <v>262</v>
      </c>
      <c r="H9590" s="397"/>
      <c r="I9590" s="397"/>
      <c r="J9590" s="750" t="e">
        <f t="shared" si="132"/>
        <v>#DIV/0!</v>
      </c>
      <c r="K9590" s="398"/>
      <c r="L9590" s="404"/>
      <c r="M9590" s="682"/>
      <c r="N9590" s="171"/>
      <c r="O9590" s="171"/>
      <c r="P9590" s="171"/>
      <c r="Q9590" s="171"/>
      <c r="R9590" s="171"/>
      <c r="S9590" s="171"/>
      <c r="T9590" s="171"/>
      <c r="U9590" s="171"/>
      <c r="V9590" s="171"/>
      <c r="W9590" s="171"/>
      <c r="X9590" s="171"/>
      <c r="Y9590" s="171"/>
      <c r="Z9590" s="171"/>
      <c r="AA9590" s="171"/>
    </row>
    <row r="9591" spans="1:27" s="530" customFormat="1" ht="18" customHeight="1" thickBot="1" x14ac:dyDescent="0.25">
      <c r="A9591" s="526"/>
      <c r="B9591" s="527"/>
      <c r="C9591" s="534"/>
      <c r="D9591" s="535"/>
      <c r="E9591" s="535"/>
      <c r="F9591" s="549" t="s">
        <v>246</v>
      </c>
      <c r="G9591" s="504" t="s">
        <v>5395</v>
      </c>
      <c r="H9591" s="403"/>
      <c r="I9591" s="403"/>
      <c r="J9591" s="750"/>
      <c r="K9591" s="404"/>
      <c r="L9591" s="404">
        <v>2000000</v>
      </c>
      <c r="M9591" s="682"/>
      <c r="N9591" s="171"/>
      <c r="O9591" s="171"/>
      <c r="P9591" s="171"/>
      <c r="Q9591" s="171"/>
      <c r="R9591" s="171"/>
      <c r="S9591" s="171"/>
      <c r="T9591" s="171"/>
      <c r="U9591" s="171"/>
      <c r="V9591" s="171"/>
      <c r="W9591" s="171"/>
      <c r="X9591" s="171"/>
      <c r="Y9591" s="171"/>
      <c r="Z9591" s="171"/>
      <c r="AA9591" s="171"/>
    </row>
    <row r="9592" spans="1:27" s="530" customFormat="1" ht="13.5" thickBot="1" x14ac:dyDescent="0.25">
      <c r="A9592" s="526"/>
      <c r="B9592" s="527"/>
      <c r="C9592" s="534"/>
      <c r="D9592" s="535"/>
      <c r="E9592" s="535"/>
      <c r="F9592" s="464"/>
      <c r="G9592" s="505" t="s">
        <v>5143</v>
      </c>
      <c r="H9592" s="405">
        <f>SUM(H9576:H9591)</f>
        <v>9093015</v>
      </c>
      <c r="I9592" s="405">
        <f>SUM(I9576)</f>
        <v>7003241.6399999997</v>
      </c>
      <c r="J9592" s="750">
        <f t="shared" si="132"/>
        <v>77.017816862723748</v>
      </c>
      <c r="K9592" s="406">
        <f>SUM(K9577:K9591)</f>
        <v>500000</v>
      </c>
      <c r="L9592" s="406">
        <f>SUM(L9579:L9591)</f>
        <v>3148717.58</v>
      </c>
      <c r="M9592" s="682"/>
      <c r="N9592" s="171"/>
      <c r="O9592" s="171"/>
      <c r="P9592" s="171"/>
      <c r="Q9592" s="171"/>
      <c r="R9592" s="171"/>
      <c r="S9592" s="171"/>
      <c r="T9592" s="171"/>
      <c r="U9592" s="171"/>
      <c r="V9592" s="171"/>
      <c r="W9592" s="171"/>
      <c r="X9592" s="171"/>
      <c r="Y9592" s="171"/>
      <c r="Z9592" s="171"/>
      <c r="AA9592" s="171"/>
    </row>
    <row r="9593" spans="1:27" ht="0.75" customHeight="1" x14ac:dyDescent="0.2">
      <c r="H9593" s="397"/>
      <c r="I9593" s="397"/>
      <c r="J9593" s="750" t="e">
        <f t="shared" si="132"/>
        <v>#DIV/0!</v>
      </c>
      <c r="K9593" s="398"/>
      <c r="L9593" s="398"/>
      <c r="M9593" s="682"/>
    </row>
    <row r="9594" spans="1:27" hidden="1" x14ac:dyDescent="0.2">
      <c r="H9594" s="397"/>
      <c r="I9594" s="397"/>
      <c r="J9594" s="750" t="e">
        <f t="shared" si="132"/>
        <v>#DIV/0!</v>
      </c>
      <c r="K9594" s="398"/>
      <c r="L9594" s="398"/>
      <c r="M9594" s="682"/>
      <c r="N9594" s="502"/>
      <c r="O9594" s="502"/>
      <c r="P9594" s="620"/>
    </row>
    <row r="9595" spans="1:27" hidden="1" x14ac:dyDescent="0.2">
      <c r="A9595" s="521"/>
      <c r="B9595" s="641"/>
      <c r="C9595" s="521"/>
      <c r="D9595" s="184"/>
      <c r="E9595" s="184"/>
      <c r="F9595" s="184"/>
      <c r="G9595" s="642" t="s">
        <v>4294</v>
      </c>
      <c r="H9595" s="420"/>
      <c r="I9595" s="420"/>
      <c r="J9595" s="750" t="e">
        <f t="shared" si="132"/>
        <v>#DIV/0!</v>
      </c>
      <c r="K9595" s="449"/>
      <c r="L9595" s="447"/>
      <c r="M9595" s="682"/>
      <c r="N9595" s="502"/>
      <c r="O9595" s="502"/>
      <c r="P9595" s="620"/>
    </row>
    <row r="9596" spans="1:27" hidden="1" x14ac:dyDescent="0.2">
      <c r="C9596" s="489" t="s">
        <v>3567</v>
      </c>
      <c r="G9596" s="513" t="s">
        <v>4279</v>
      </c>
      <c r="H9596" s="397"/>
      <c r="I9596" s="397"/>
      <c r="J9596" s="750" t="e">
        <f t="shared" si="132"/>
        <v>#DIV/0!</v>
      </c>
      <c r="K9596" s="398"/>
      <c r="L9596" s="398"/>
      <c r="M9596" s="682"/>
    </row>
    <row r="9597" spans="1:27" hidden="1" x14ac:dyDescent="0.2">
      <c r="C9597" s="542" t="s">
        <v>4109</v>
      </c>
      <c r="D9597" s="173"/>
      <c r="E9597" s="173"/>
      <c r="F9597" s="502"/>
      <c r="G9597" s="550" t="s">
        <v>4293</v>
      </c>
      <c r="H9597" s="397"/>
      <c r="I9597" s="397"/>
      <c r="J9597" s="750" t="e">
        <f t="shared" si="132"/>
        <v>#DIV/0!</v>
      </c>
      <c r="K9597" s="398"/>
      <c r="L9597" s="398"/>
      <c r="M9597" s="682"/>
      <c r="N9597" s="189"/>
    </row>
    <row r="9598" spans="1:27" hidden="1" x14ac:dyDescent="0.2">
      <c r="C9598" s="633"/>
      <c r="D9598" s="492">
        <v>473</v>
      </c>
      <c r="E9598" s="492"/>
      <c r="F9598" s="492"/>
      <c r="G9598" s="551" t="s">
        <v>162</v>
      </c>
      <c r="H9598" s="397"/>
      <c r="I9598" s="397"/>
      <c r="J9598" s="750" t="e">
        <f t="shared" si="132"/>
        <v>#DIV/0!</v>
      </c>
      <c r="K9598" s="398"/>
      <c r="L9598" s="398"/>
      <c r="M9598" s="682"/>
      <c r="N9598" s="189"/>
    </row>
    <row r="9599" spans="1:27" hidden="1" x14ac:dyDescent="0.2">
      <c r="F9599" s="494">
        <v>411</v>
      </c>
      <c r="G9599" s="495" t="s">
        <v>4167</v>
      </c>
      <c r="H9599" s="397"/>
      <c r="I9599" s="397"/>
      <c r="J9599" s="750" t="e">
        <f t="shared" si="132"/>
        <v>#DIV/0!</v>
      </c>
      <c r="K9599" s="398"/>
      <c r="L9599" s="398"/>
      <c r="M9599" s="682"/>
    </row>
    <row r="9600" spans="1:27" hidden="1" x14ac:dyDescent="0.2">
      <c r="F9600" s="494">
        <v>412</v>
      </c>
      <c r="G9600" s="496" t="s">
        <v>3764</v>
      </c>
      <c r="H9600" s="397"/>
      <c r="I9600" s="397"/>
      <c r="J9600" s="750" t="e">
        <f t="shared" si="132"/>
        <v>#DIV/0!</v>
      </c>
      <c r="K9600" s="398"/>
      <c r="L9600" s="398"/>
      <c r="M9600" s="682"/>
    </row>
    <row r="9601" spans="6:13" hidden="1" x14ac:dyDescent="0.2">
      <c r="F9601" s="494">
        <v>413</v>
      </c>
      <c r="G9601" s="495" t="s">
        <v>4168</v>
      </c>
      <c r="H9601" s="397"/>
      <c r="I9601" s="397"/>
      <c r="J9601" s="750" t="e">
        <f t="shared" si="132"/>
        <v>#DIV/0!</v>
      </c>
      <c r="K9601" s="398"/>
      <c r="L9601" s="398"/>
      <c r="M9601" s="682"/>
    </row>
    <row r="9602" spans="6:13" hidden="1" x14ac:dyDescent="0.2">
      <c r="F9602" s="494">
        <v>414</v>
      </c>
      <c r="G9602" s="495" t="s">
        <v>3767</v>
      </c>
      <c r="H9602" s="397"/>
      <c r="I9602" s="397"/>
      <c r="J9602" s="750" t="e">
        <f t="shared" si="132"/>
        <v>#DIV/0!</v>
      </c>
      <c r="K9602" s="398"/>
      <c r="L9602" s="398"/>
      <c r="M9602" s="682"/>
    </row>
    <row r="9603" spans="6:13" hidden="1" x14ac:dyDescent="0.2">
      <c r="F9603" s="494">
        <v>415</v>
      </c>
      <c r="G9603" s="495" t="s">
        <v>4177</v>
      </c>
      <c r="H9603" s="397"/>
      <c r="I9603" s="397"/>
      <c r="J9603" s="750" t="e">
        <f t="shared" si="132"/>
        <v>#DIV/0!</v>
      </c>
      <c r="K9603" s="398"/>
      <c r="L9603" s="398"/>
      <c r="M9603" s="682"/>
    </row>
    <row r="9604" spans="6:13" ht="25.5" hidden="1" x14ac:dyDescent="0.2">
      <c r="F9604" s="494">
        <v>416</v>
      </c>
      <c r="G9604" s="495" t="s">
        <v>4178</v>
      </c>
      <c r="H9604" s="397"/>
      <c r="I9604" s="397"/>
      <c r="J9604" s="750" t="e">
        <f t="shared" si="132"/>
        <v>#DIV/0!</v>
      </c>
      <c r="K9604" s="398"/>
      <c r="L9604" s="398"/>
      <c r="M9604" s="682"/>
    </row>
    <row r="9605" spans="6:13" hidden="1" x14ac:dyDescent="0.2">
      <c r="F9605" s="494">
        <v>417</v>
      </c>
      <c r="G9605" s="495" t="s">
        <v>4179</v>
      </c>
      <c r="H9605" s="397"/>
      <c r="I9605" s="397"/>
      <c r="J9605" s="750" t="e">
        <f t="shared" si="132"/>
        <v>#DIV/0!</v>
      </c>
      <c r="K9605" s="398"/>
      <c r="L9605" s="398"/>
      <c r="M9605" s="682"/>
    </row>
    <row r="9606" spans="6:13" hidden="1" x14ac:dyDescent="0.2">
      <c r="F9606" s="494">
        <v>418</v>
      </c>
      <c r="G9606" s="495" t="s">
        <v>3773</v>
      </c>
      <c r="H9606" s="397"/>
      <c r="I9606" s="397"/>
      <c r="J9606" s="750" t="e">
        <f t="shared" si="132"/>
        <v>#DIV/0!</v>
      </c>
      <c r="K9606" s="398"/>
      <c r="L9606" s="398"/>
      <c r="M9606" s="682"/>
    </row>
    <row r="9607" spans="6:13" hidden="1" x14ac:dyDescent="0.2">
      <c r="F9607" s="494">
        <v>421</v>
      </c>
      <c r="G9607" s="495" t="s">
        <v>3777</v>
      </c>
      <c r="H9607" s="397"/>
      <c r="I9607" s="397"/>
      <c r="J9607" s="750" t="e">
        <f t="shared" si="132"/>
        <v>#DIV/0!</v>
      </c>
      <c r="K9607" s="398"/>
      <c r="L9607" s="398"/>
      <c r="M9607" s="682"/>
    </row>
    <row r="9608" spans="6:13" hidden="1" x14ac:dyDescent="0.2">
      <c r="F9608" s="494">
        <v>422</v>
      </c>
      <c r="G9608" s="495" t="s">
        <v>3778</v>
      </c>
      <c r="H9608" s="397"/>
      <c r="I9608" s="397"/>
      <c r="J9608" s="750" t="e">
        <f t="shared" si="132"/>
        <v>#DIV/0!</v>
      </c>
      <c r="K9608" s="398"/>
      <c r="L9608" s="398"/>
      <c r="M9608" s="682"/>
    </row>
    <row r="9609" spans="6:13" hidden="1" x14ac:dyDescent="0.2">
      <c r="F9609" s="494">
        <v>423</v>
      </c>
      <c r="G9609" s="495" t="s">
        <v>3779</v>
      </c>
      <c r="H9609" s="397"/>
      <c r="I9609" s="397"/>
      <c r="J9609" s="750" t="e">
        <f t="shared" si="132"/>
        <v>#DIV/0!</v>
      </c>
      <c r="K9609" s="398"/>
      <c r="L9609" s="398"/>
      <c r="M9609" s="682"/>
    </row>
    <row r="9610" spans="6:13" hidden="1" x14ac:dyDescent="0.2">
      <c r="F9610" s="494">
        <v>424</v>
      </c>
      <c r="G9610" s="495" t="s">
        <v>3781</v>
      </c>
      <c r="H9610" s="397"/>
      <c r="I9610" s="397"/>
      <c r="J9610" s="750" t="e">
        <f t="shared" si="132"/>
        <v>#DIV/0!</v>
      </c>
      <c r="K9610" s="398"/>
      <c r="L9610" s="398"/>
      <c r="M9610" s="682"/>
    </row>
    <row r="9611" spans="6:13" hidden="1" x14ac:dyDescent="0.2">
      <c r="F9611" s="494">
        <v>425</v>
      </c>
      <c r="G9611" s="495" t="s">
        <v>4180</v>
      </c>
      <c r="H9611" s="397"/>
      <c r="I9611" s="397"/>
      <c r="J9611" s="750" t="e">
        <f t="shared" si="132"/>
        <v>#DIV/0!</v>
      </c>
      <c r="K9611" s="398"/>
      <c r="L9611" s="398"/>
      <c r="M9611" s="682"/>
    </row>
    <row r="9612" spans="6:13" hidden="1" x14ac:dyDescent="0.2">
      <c r="F9612" s="494">
        <v>426</v>
      </c>
      <c r="G9612" s="495" t="s">
        <v>3785</v>
      </c>
      <c r="H9612" s="397"/>
      <c r="I9612" s="397"/>
      <c r="J9612" s="750" t="e">
        <f t="shared" si="132"/>
        <v>#DIV/0!</v>
      </c>
      <c r="K9612" s="398"/>
      <c r="L9612" s="398"/>
      <c r="M9612" s="682"/>
    </row>
    <row r="9613" spans="6:13" ht="8.25" hidden="1" customHeight="1" x14ac:dyDescent="0.2">
      <c r="F9613" s="494">
        <v>431</v>
      </c>
      <c r="G9613" s="495" t="s">
        <v>4181</v>
      </c>
      <c r="H9613" s="397"/>
      <c r="I9613" s="397"/>
      <c r="J9613" s="750" t="e">
        <f t="shared" si="132"/>
        <v>#DIV/0!</v>
      </c>
      <c r="K9613" s="398"/>
      <c r="L9613" s="398"/>
      <c r="M9613" s="682"/>
    </row>
    <row r="9614" spans="6:13" hidden="1" x14ac:dyDescent="0.2">
      <c r="F9614" s="494">
        <v>432</v>
      </c>
      <c r="G9614" s="495" t="s">
        <v>4182</v>
      </c>
      <c r="H9614" s="397"/>
      <c r="I9614" s="397"/>
      <c r="J9614" s="750" t="e">
        <f t="shared" ref="J9614:J9677" si="133">SUM(I9614/H9614)*100</f>
        <v>#DIV/0!</v>
      </c>
      <c r="K9614" s="398"/>
      <c r="L9614" s="398"/>
      <c r="M9614" s="682"/>
    </row>
    <row r="9615" spans="6:13" hidden="1" x14ac:dyDescent="0.2">
      <c r="F9615" s="494">
        <v>433</v>
      </c>
      <c r="G9615" s="495" t="s">
        <v>4183</v>
      </c>
      <c r="H9615" s="397"/>
      <c r="I9615" s="397"/>
      <c r="J9615" s="750" t="e">
        <f t="shared" si="133"/>
        <v>#DIV/0!</v>
      </c>
      <c r="K9615" s="398"/>
      <c r="L9615" s="398"/>
      <c r="M9615" s="682"/>
    </row>
    <row r="9616" spans="6:13" hidden="1" x14ac:dyDescent="0.2">
      <c r="F9616" s="494">
        <v>434</v>
      </c>
      <c r="G9616" s="495" t="s">
        <v>4184</v>
      </c>
      <c r="H9616" s="397"/>
      <c r="I9616" s="397"/>
      <c r="J9616" s="750" t="e">
        <f t="shared" si="133"/>
        <v>#DIV/0!</v>
      </c>
      <c r="K9616" s="398"/>
      <c r="L9616" s="398"/>
      <c r="M9616" s="682"/>
    </row>
    <row r="9617" spans="6:13" hidden="1" x14ac:dyDescent="0.2">
      <c r="F9617" s="494">
        <v>435</v>
      </c>
      <c r="G9617" s="495" t="s">
        <v>3792</v>
      </c>
      <c r="H9617" s="397"/>
      <c r="I9617" s="397"/>
      <c r="J9617" s="750" t="e">
        <f t="shared" si="133"/>
        <v>#DIV/0!</v>
      </c>
      <c r="K9617" s="398"/>
      <c r="L9617" s="398"/>
      <c r="M9617" s="682"/>
    </row>
    <row r="9618" spans="6:13" hidden="1" x14ac:dyDescent="0.2">
      <c r="F9618" s="494">
        <v>441</v>
      </c>
      <c r="G9618" s="495" t="s">
        <v>4185</v>
      </c>
      <c r="H9618" s="397"/>
      <c r="I9618" s="397"/>
      <c r="J9618" s="750" t="e">
        <f t="shared" si="133"/>
        <v>#DIV/0!</v>
      </c>
      <c r="K9618" s="398"/>
      <c r="L9618" s="398"/>
      <c r="M9618" s="682"/>
    </row>
    <row r="9619" spans="6:13" hidden="1" x14ac:dyDescent="0.2">
      <c r="F9619" s="494">
        <v>442</v>
      </c>
      <c r="G9619" s="495" t="s">
        <v>4186</v>
      </c>
      <c r="H9619" s="397"/>
      <c r="I9619" s="397"/>
      <c r="J9619" s="750" t="e">
        <f t="shared" si="133"/>
        <v>#DIV/0!</v>
      </c>
      <c r="K9619" s="398"/>
      <c r="L9619" s="398"/>
      <c r="M9619" s="682"/>
    </row>
    <row r="9620" spans="6:13" hidden="1" x14ac:dyDescent="0.2">
      <c r="F9620" s="494">
        <v>443</v>
      </c>
      <c r="G9620" s="495" t="s">
        <v>3797</v>
      </c>
      <c r="H9620" s="397"/>
      <c r="I9620" s="397"/>
      <c r="J9620" s="750" t="e">
        <f t="shared" si="133"/>
        <v>#DIV/0!</v>
      </c>
      <c r="K9620" s="398"/>
      <c r="L9620" s="398"/>
      <c r="M9620" s="682"/>
    </row>
    <row r="9621" spans="6:13" hidden="1" x14ac:dyDescent="0.2">
      <c r="F9621" s="494">
        <v>444</v>
      </c>
      <c r="G9621" s="495" t="s">
        <v>3798</v>
      </c>
      <c r="H9621" s="397"/>
      <c r="I9621" s="397"/>
      <c r="J9621" s="750" t="e">
        <f t="shared" si="133"/>
        <v>#DIV/0!</v>
      </c>
      <c r="K9621" s="398"/>
      <c r="L9621" s="398"/>
      <c r="M9621" s="682"/>
    </row>
    <row r="9622" spans="6:13" ht="25.5" hidden="1" x14ac:dyDescent="0.2">
      <c r="F9622" s="494">
        <v>4511</v>
      </c>
      <c r="G9622" s="466" t="s">
        <v>1692</v>
      </c>
      <c r="H9622" s="397"/>
      <c r="I9622" s="397"/>
      <c r="J9622" s="750" t="e">
        <f t="shared" si="133"/>
        <v>#DIV/0!</v>
      </c>
      <c r="K9622" s="398"/>
      <c r="L9622" s="398"/>
      <c r="M9622" s="682"/>
    </row>
    <row r="9623" spans="6:13" ht="25.5" hidden="1" x14ac:dyDescent="0.2">
      <c r="F9623" s="494">
        <v>4512</v>
      </c>
      <c r="G9623" s="466" t="s">
        <v>1701</v>
      </c>
      <c r="H9623" s="397"/>
      <c r="I9623" s="397"/>
      <c r="J9623" s="750" t="e">
        <f t="shared" si="133"/>
        <v>#DIV/0!</v>
      </c>
      <c r="K9623" s="398"/>
      <c r="L9623" s="398"/>
      <c r="M9623" s="682"/>
    </row>
    <row r="9624" spans="6:13" ht="25.5" hidden="1" x14ac:dyDescent="0.2">
      <c r="F9624" s="494">
        <v>452</v>
      </c>
      <c r="G9624" s="495" t="s">
        <v>4187</v>
      </c>
      <c r="H9624" s="397"/>
      <c r="I9624" s="397"/>
      <c r="J9624" s="750" t="e">
        <f t="shared" si="133"/>
        <v>#DIV/0!</v>
      </c>
      <c r="K9624" s="398"/>
      <c r="L9624" s="398"/>
      <c r="M9624" s="682"/>
    </row>
    <row r="9625" spans="6:13" ht="25.5" hidden="1" x14ac:dyDescent="0.2">
      <c r="F9625" s="494">
        <v>453</v>
      </c>
      <c r="G9625" s="495" t="s">
        <v>4188</v>
      </c>
      <c r="H9625" s="397"/>
      <c r="I9625" s="397"/>
      <c r="J9625" s="750" t="e">
        <f t="shared" si="133"/>
        <v>#DIV/0!</v>
      </c>
      <c r="K9625" s="398"/>
      <c r="L9625" s="398"/>
      <c r="M9625" s="682"/>
    </row>
    <row r="9626" spans="6:13" hidden="1" x14ac:dyDescent="0.2">
      <c r="F9626" s="494">
        <v>454</v>
      </c>
      <c r="G9626" s="495" t="s">
        <v>3803</v>
      </c>
      <c r="H9626" s="397"/>
      <c r="I9626" s="397"/>
      <c r="J9626" s="750" t="e">
        <f t="shared" si="133"/>
        <v>#DIV/0!</v>
      </c>
      <c r="K9626" s="398"/>
      <c r="L9626" s="398"/>
      <c r="M9626" s="682"/>
    </row>
    <row r="9627" spans="6:13" hidden="1" x14ac:dyDescent="0.2">
      <c r="F9627" s="494">
        <v>461</v>
      </c>
      <c r="G9627" s="495" t="s">
        <v>4169</v>
      </c>
      <c r="H9627" s="397"/>
      <c r="I9627" s="397"/>
      <c r="J9627" s="750" t="e">
        <f t="shared" si="133"/>
        <v>#DIV/0!</v>
      </c>
      <c r="K9627" s="398"/>
      <c r="L9627" s="398"/>
      <c r="M9627" s="682"/>
    </row>
    <row r="9628" spans="6:13" ht="25.5" hidden="1" x14ac:dyDescent="0.2">
      <c r="F9628" s="494">
        <v>462</v>
      </c>
      <c r="G9628" s="495" t="s">
        <v>3806</v>
      </c>
      <c r="H9628" s="397"/>
      <c r="I9628" s="397"/>
      <c r="J9628" s="750" t="e">
        <f t="shared" si="133"/>
        <v>#DIV/0!</v>
      </c>
      <c r="K9628" s="398"/>
      <c r="L9628" s="398"/>
      <c r="M9628" s="682"/>
    </row>
    <row r="9629" spans="6:13" hidden="1" x14ac:dyDescent="0.2">
      <c r="F9629" s="494">
        <v>4631</v>
      </c>
      <c r="G9629" s="495" t="s">
        <v>3807</v>
      </c>
      <c r="H9629" s="397"/>
      <c r="I9629" s="397"/>
      <c r="J9629" s="750" t="e">
        <f t="shared" si="133"/>
        <v>#DIV/0!</v>
      </c>
      <c r="K9629" s="398"/>
      <c r="L9629" s="398"/>
      <c r="M9629" s="682"/>
    </row>
    <row r="9630" spans="6:13" hidden="1" x14ac:dyDescent="0.2">
      <c r="F9630" s="494">
        <v>4632</v>
      </c>
      <c r="G9630" s="495" t="s">
        <v>3808</v>
      </c>
      <c r="H9630" s="397"/>
      <c r="I9630" s="397"/>
      <c r="J9630" s="750" t="e">
        <f t="shared" si="133"/>
        <v>#DIV/0!</v>
      </c>
      <c r="K9630" s="398"/>
      <c r="L9630" s="398"/>
      <c r="M9630" s="682"/>
    </row>
    <row r="9631" spans="6:13" ht="25.5" hidden="1" x14ac:dyDescent="0.2">
      <c r="F9631" s="494">
        <v>464</v>
      </c>
      <c r="G9631" s="495" t="s">
        <v>3809</v>
      </c>
      <c r="H9631" s="397"/>
      <c r="I9631" s="397"/>
      <c r="J9631" s="750" t="e">
        <f t="shared" si="133"/>
        <v>#DIV/0!</v>
      </c>
      <c r="K9631" s="398"/>
      <c r="L9631" s="398"/>
      <c r="M9631" s="682"/>
    </row>
    <row r="9632" spans="6:13" hidden="1" x14ac:dyDescent="0.2">
      <c r="F9632" s="494">
        <v>465</v>
      </c>
      <c r="G9632" s="495" t="s">
        <v>4170</v>
      </c>
      <c r="H9632" s="397"/>
      <c r="I9632" s="397"/>
      <c r="J9632" s="750" t="e">
        <f t="shared" si="133"/>
        <v>#DIV/0!</v>
      </c>
      <c r="K9632" s="398"/>
      <c r="L9632" s="398"/>
      <c r="M9632" s="682"/>
    </row>
    <row r="9633" spans="6:13" hidden="1" x14ac:dyDescent="0.2">
      <c r="F9633" s="494">
        <v>472</v>
      </c>
      <c r="G9633" s="495" t="s">
        <v>3813</v>
      </c>
      <c r="H9633" s="397"/>
      <c r="I9633" s="397"/>
      <c r="J9633" s="750" t="e">
        <f t="shared" si="133"/>
        <v>#DIV/0!</v>
      </c>
      <c r="K9633" s="398"/>
      <c r="L9633" s="398"/>
      <c r="M9633" s="682"/>
    </row>
    <row r="9634" spans="6:13" hidden="1" x14ac:dyDescent="0.2">
      <c r="F9634" s="494">
        <v>481</v>
      </c>
      <c r="G9634" s="495" t="s">
        <v>4189</v>
      </c>
      <c r="H9634" s="397"/>
      <c r="I9634" s="397"/>
      <c r="J9634" s="750" t="e">
        <f t="shared" si="133"/>
        <v>#DIV/0!</v>
      </c>
      <c r="K9634" s="398"/>
      <c r="L9634" s="398"/>
      <c r="M9634" s="682"/>
    </row>
    <row r="9635" spans="6:13" hidden="1" x14ac:dyDescent="0.2">
      <c r="F9635" s="494">
        <v>482</v>
      </c>
      <c r="G9635" s="495" t="s">
        <v>4190</v>
      </c>
      <c r="H9635" s="397"/>
      <c r="I9635" s="397"/>
      <c r="J9635" s="750" t="e">
        <f t="shared" si="133"/>
        <v>#DIV/0!</v>
      </c>
      <c r="K9635" s="398"/>
      <c r="L9635" s="398"/>
      <c r="M9635" s="682"/>
    </row>
    <row r="9636" spans="6:13" hidden="1" x14ac:dyDescent="0.2">
      <c r="F9636" s="494">
        <v>483</v>
      </c>
      <c r="G9636" s="497" t="s">
        <v>4191</v>
      </c>
      <c r="H9636" s="397"/>
      <c r="I9636" s="397"/>
      <c r="J9636" s="750" t="e">
        <f t="shared" si="133"/>
        <v>#DIV/0!</v>
      </c>
      <c r="K9636" s="398"/>
      <c r="L9636" s="398"/>
      <c r="M9636" s="682"/>
    </row>
    <row r="9637" spans="6:13" ht="38.25" hidden="1" x14ac:dyDescent="0.2">
      <c r="F9637" s="494">
        <v>484</v>
      </c>
      <c r="G9637" s="495" t="s">
        <v>4192</v>
      </c>
      <c r="H9637" s="397"/>
      <c r="I9637" s="397"/>
      <c r="J9637" s="750" t="e">
        <f t="shared" si="133"/>
        <v>#DIV/0!</v>
      </c>
      <c r="K9637" s="398"/>
      <c r="L9637" s="398"/>
      <c r="M9637" s="682"/>
    </row>
    <row r="9638" spans="6:13" ht="25.5" hidden="1" x14ac:dyDescent="0.2">
      <c r="F9638" s="494">
        <v>485</v>
      </c>
      <c r="G9638" s="495" t="s">
        <v>4193</v>
      </c>
      <c r="H9638" s="397"/>
      <c r="I9638" s="397"/>
      <c r="J9638" s="750" t="e">
        <f t="shared" si="133"/>
        <v>#DIV/0!</v>
      </c>
      <c r="K9638" s="398"/>
      <c r="L9638" s="398"/>
      <c r="M9638" s="682"/>
    </row>
    <row r="9639" spans="6:13" ht="25.5" hidden="1" x14ac:dyDescent="0.2">
      <c r="F9639" s="494">
        <v>489</v>
      </c>
      <c r="G9639" s="495" t="s">
        <v>3821</v>
      </c>
      <c r="H9639" s="397"/>
      <c r="I9639" s="397"/>
      <c r="J9639" s="750" t="e">
        <f t="shared" si="133"/>
        <v>#DIV/0!</v>
      </c>
      <c r="K9639" s="398"/>
      <c r="L9639" s="398"/>
      <c r="M9639" s="682"/>
    </row>
    <row r="9640" spans="6:13" ht="25.5" hidden="1" x14ac:dyDescent="0.2">
      <c r="F9640" s="494">
        <v>494</v>
      </c>
      <c r="G9640" s="495" t="s">
        <v>4171</v>
      </c>
      <c r="H9640" s="397"/>
      <c r="I9640" s="397"/>
      <c r="J9640" s="750" t="e">
        <f t="shared" si="133"/>
        <v>#DIV/0!</v>
      </c>
      <c r="K9640" s="398"/>
      <c r="L9640" s="398"/>
      <c r="M9640" s="682"/>
    </row>
    <row r="9641" spans="6:13" ht="25.5" hidden="1" x14ac:dyDescent="0.2">
      <c r="F9641" s="494">
        <v>495</v>
      </c>
      <c r="G9641" s="495" t="s">
        <v>4172</v>
      </c>
      <c r="H9641" s="397"/>
      <c r="I9641" s="397"/>
      <c r="J9641" s="750" t="e">
        <f t="shared" si="133"/>
        <v>#DIV/0!</v>
      </c>
      <c r="K9641" s="398"/>
      <c r="L9641" s="398"/>
      <c r="M9641" s="682"/>
    </row>
    <row r="9642" spans="6:13" ht="38.25" hidden="1" x14ac:dyDescent="0.2">
      <c r="F9642" s="494">
        <v>496</v>
      </c>
      <c r="G9642" s="495" t="s">
        <v>4173</v>
      </c>
      <c r="H9642" s="397"/>
      <c r="I9642" s="397"/>
      <c r="J9642" s="750" t="e">
        <f t="shared" si="133"/>
        <v>#DIV/0!</v>
      </c>
      <c r="K9642" s="398"/>
      <c r="L9642" s="398"/>
      <c r="M9642" s="682"/>
    </row>
    <row r="9643" spans="6:13" ht="25.5" hidden="1" x14ac:dyDescent="0.2">
      <c r="F9643" s="494">
        <v>499</v>
      </c>
      <c r="G9643" s="495" t="s">
        <v>4174</v>
      </c>
      <c r="H9643" s="397"/>
      <c r="I9643" s="397"/>
      <c r="J9643" s="750" t="e">
        <f t="shared" si="133"/>
        <v>#DIV/0!</v>
      </c>
      <c r="K9643" s="398"/>
      <c r="L9643" s="398"/>
      <c r="M9643" s="682"/>
    </row>
    <row r="9644" spans="6:13" hidden="1" x14ac:dyDescent="0.2">
      <c r="F9644" s="494">
        <v>511</v>
      </c>
      <c r="G9644" s="497" t="s">
        <v>4194</v>
      </c>
      <c r="H9644" s="397"/>
      <c r="I9644" s="397"/>
      <c r="J9644" s="750" t="e">
        <f t="shared" si="133"/>
        <v>#DIV/0!</v>
      </c>
      <c r="K9644" s="398"/>
      <c r="L9644" s="398"/>
      <c r="M9644" s="682"/>
    </row>
    <row r="9645" spans="6:13" hidden="1" x14ac:dyDescent="0.2">
      <c r="F9645" s="494">
        <v>512</v>
      </c>
      <c r="G9645" s="497" t="s">
        <v>4195</v>
      </c>
      <c r="H9645" s="397"/>
      <c r="I9645" s="397"/>
      <c r="J9645" s="750" t="e">
        <f t="shared" si="133"/>
        <v>#DIV/0!</v>
      </c>
      <c r="K9645" s="398"/>
      <c r="L9645" s="398"/>
      <c r="M9645" s="682"/>
    </row>
    <row r="9646" spans="6:13" hidden="1" x14ac:dyDescent="0.2">
      <c r="F9646" s="494">
        <v>513</v>
      </c>
      <c r="G9646" s="497" t="s">
        <v>4196</v>
      </c>
      <c r="H9646" s="397"/>
      <c r="I9646" s="397"/>
      <c r="J9646" s="750" t="e">
        <f t="shared" si="133"/>
        <v>#DIV/0!</v>
      </c>
      <c r="K9646" s="398"/>
      <c r="L9646" s="398"/>
      <c r="M9646" s="682"/>
    </row>
    <row r="9647" spans="6:13" hidden="1" x14ac:dyDescent="0.2">
      <c r="F9647" s="494">
        <v>514</v>
      </c>
      <c r="G9647" s="495" t="s">
        <v>4197</v>
      </c>
      <c r="H9647" s="397"/>
      <c r="I9647" s="397"/>
      <c r="J9647" s="750" t="e">
        <f t="shared" si="133"/>
        <v>#DIV/0!</v>
      </c>
      <c r="K9647" s="398"/>
      <c r="L9647" s="398"/>
      <c r="M9647" s="682"/>
    </row>
    <row r="9648" spans="6:13" hidden="1" x14ac:dyDescent="0.2">
      <c r="F9648" s="494">
        <v>515</v>
      </c>
      <c r="G9648" s="495" t="s">
        <v>3832</v>
      </c>
      <c r="H9648" s="397"/>
      <c r="I9648" s="397"/>
      <c r="J9648" s="750" t="e">
        <f t="shared" si="133"/>
        <v>#DIV/0!</v>
      </c>
      <c r="K9648" s="398"/>
      <c r="L9648" s="398"/>
      <c r="M9648" s="682"/>
    </row>
    <row r="9649" spans="5:13" hidden="1" x14ac:dyDescent="0.2">
      <c r="F9649" s="494">
        <v>521</v>
      </c>
      <c r="G9649" s="495" t="s">
        <v>4198</v>
      </c>
      <c r="H9649" s="397"/>
      <c r="I9649" s="397"/>
      <c r="J9649" s="750" t="e">
        <f t="shared" si="133"/>
        <v>#DIV/0!</v>
      </c>
      <c r="K9649" s="398"/>
      <c r="L9649" s="398"/>
      <c r="M9649" s="682"/>
    </row>
    <row r="9650" spans="5:13" hidden="1" x14ac:dyDescent="0.2">
      <c r="F9650" s="494">
        <v>522</v>
      </c>
      <c r="G9650" s="495" t="s">
        <v>4199</v>
      </c>
      <c r="H9650" s="397"/>
      <c r="I9650" s="397"/>
      <c r="J9650" s="750" t="e">
        <f t="shared" si="133"/>
        <v>#DIV/0!</v>
      </c>
      <c r="K9650" s="398"/>
      <c r="L9650" s="398"/>
      <c r="M9650" s="682"/>
    </row>
    <row r="9651" spans="5:13" hidden="1" x14ac:dyDescent="0.2">
      <c r="F9651" s="494">
        <v>523</v>
      </c>
      <c r="G9651" s="495" t="s">
        <v>3837</v>
      </c>
      <c r="H9651" s="397"/>
      <c r="I9651" s="397"/>
      <c r="J9651" s="750" t="e">
        <f t="shared" si="133"/>
        <v>#DIV/0!</v>
      </c>
      <c r="K9651" s="398"/>
      <c r="L9651" s="398"/>
      <c r="M9651" s="682"/>
    </row>
    <row r="9652" spans="5:13" hidden="1" x14ac:dyDescent="0.2">
      <c r="F9652" s="494">
        <v>531</v>
      </c>
      <c r="G9652" s="496" t="s">
        <v>4175</v>
      </c>
      <c r="H9652" s="397"/>
      <c r="I9652" s="397"/>
      <c r="J9652" s="750" t="e">
        <f t="shared" si="133"/>
        <v>#DIV/0!</v>
      </c>
      <c r="K9652" s="398"/>
      <c r="L9652" s="398"/>
      <c r="M9652" s="682"/>
    </row>
    <row r="9653" spans="5:13" hidden="1" x14ac:dyDescent="0.2">
      <c r="F9653" s="494">
        <v>541</v>
      </c>
      <c r="G9653" s="495" t="s">
        <v>4200</v>
      </c>
      <c r="H9653" s="397"/>
      <c r="I9653" s="397"/>
      <c r="J9653" s="750" t="e">
        <f t="shared" si="133"/>
        <v>#DIV/0!</v>
      </c>
      <c r="K9653" s="398"/>
      <c r="L9653" s="398"/>
      <c r="M9653" s="682"/>
    </row>
    <row r="9654" spans="5:13" hidden="1" x14ac:dyDescent="0.2">
      <c r="F9654" s="494">
        <v>542</v>
      </c>
      <c r="G9654" s="495" t="s">
        <v>4201</v>
      </c>
      <c r="H9654" s="397"/>
      <c r="I9654" s="397"/>
      <c r="J9654" s="750" t="e">
        <f t="shared" si="133"/>
        <v>#DIV/0!</v>
      </c>
      <c r="K9654" s="398"/>
      <c r="L9654" s="398"/>
      <c r="M9654" s="682"/>
    </row>
    <row r="9655" spans="5:13" hidden="1" x14ac:dyDescent="0.2">
      <c r="F9655" s="494">
        <v>543</v>
      </c>
      <c r="G9655" s="495" t="s">
        <v>3842</v>
      </c>
      <c r="H9655" s="397"/>
      <c r="I9655" s="397"/>
      <c r="J9655" s="750" t="e">
        <f t="shared" si="133"/>
        <v>#DIV/0!</v>
      </c>
      <c r="K9655" s="398"/>
      <c r="L9655" s="398"/>
      <c r="M9655" s="682"/>
    </row>
    <row r="9656" spans="5:13" ht="38.25" hidden="1" x14ac:dyDescent="0.2">
      <c r="F9656" s="494">
        <v>551</v>
      </c>
      <c r="G9656" s="495" t="s">
        <v>4176</v>
      </c>
      <c r="H9656" s="397"/>
      <c r="I9656" s="397"/>
      <c r="J9656" s="750" t="e">
        <f t="shared" si="133"/>
        <v>#DIV/0!</v>
      </c>
      <c r="K9656" s="398"/>
      <c r="L9656" s="398"/>
      <c r="M9656" s="682"/>
    </row>
    <row r="9657" spans="5:13" hidden="1" x14ac:dyDescent="0.2">
      <c r="F9657" s="498">
        <v>611</v>
      </c>
      <c r="G9657" s="499" t="s">
        <v>3848</v>
      </c>
      <c r="H9657" s="397"/>
      <c r="I9657" s="397"/>
      <c r="J9657" s="750" t="e">
        <f t="shared" si="133"/>
        <v>#DIV/0!</v>
      </c>
      <c r="K9657" s="398"/>
      <c r="L9657" s="398"/>
      <c r="M9657" s="682"/>
    </row>
    <row r="9658" spans="5:13" hidden="1" x14ac:dyDescent="0.2">
      <c r="F9658" s="498">
        <v>620</v>
      </c>
      <c r="G9658" s="499" t="s">
        <v>88</v>
      </c>
      <c r="H9658" s="397"/>
      <c r="I9658" s="397"/>
      <c r="J9658" s="750" t="e">
        <f t="shared" si="133"/>
        <v>#DIV/0!</v>
      </c>
      <c r="K9658" s="398"/>
      <c r="L9658" s="398"/>
      <c r="M9658" s="682"/>
    </row>
    <row r="9659" spans="5:13" hidden="1" x14ac:dyDescent="0.2">
      <c r="E9659" s="500"/>
      <c r="F9659" s="498"/>
      <c r="G9659" s="501" t="s">
        <v>4392</v>
      </c>
      <c r="H9659" s="400"/>
      <c r="I9659" s="400"/>
      <c r="J9659" s="750" t="e">
        <f t="shared" si="133"/>
        <v>#DIV/0!</v>
      </c>
      <c r="K9659" s="401"/>
      <c r="L9659" s="402"/>
      <c r="M9659" s="682"/>
    </row>
    <row r="9660" spans="5:13" hidden="1" x14ac:dyDescent="0.2">
      <c r="E9660" s="502"/>
      <c r="F9660" s="503" t="s">
        <v>234</v>
      </c>
      <c r="G9660" s="504" t="s">
        <v>235</v>
      </c>
      <c r="H9660" s="403">
        <f>SUM(H9599:H9658)</f>
        <v>0</v>
      </c>
      <c r="I9660" s="403"/>
      <c r="J9660" s="750" t="e">
        <f t="shared" si="133"/>
        <v>#DIV/0!</v>
      </c>
      <c r="K9660" s="404"/>
      <c r="L9660" s="404"/>
      <c r="M9660" s="682"/>
    </row>
    <row r="9661" spans="5:13" hidden="1" x14ac:dyDescent="0.2">
      <c r="F9661" s="503" t="s">
        <v>236</v>
      </c>
      <c r="G9661" s="504" t="s">
        <v>237</v>
      </c>
      <c r="H9661" s="397"/>
      <c r="I9661" s="397"/>
      <c r="J9661" s="750" t="e">
        <f t="shared" si="133"/>
        <v>#DIV/0!</v>
      </c>
      <c r="K9661" s="398"/>
      <c r="L9661" s="404"/>
      <c r="M9661" s="682"/>
    </row>
    <row r="9662" spans="5:13" hidden="1" x14ac:dyDescent="0.2">
      <c r="F9662" s="503" t="s">
        <v>238</v>
      </c>
      <c r="G9662" s="504" t="s">
        <v>239</v>
      </c>
      <c r="H9662" s="397"/>
      <c r="I9662" s="397"/>
      <c r="J9662" s="750" t="e">
        <f t="shared" si="133"/>
        <v>#DIV/0!</v>
      </c>
      <c r="K9662" s="398"/>
      <c r="L9662" s="404"/>
      <c r="M9662" s="682"/>
    </row>
    <row r="9663" spans="5:13" hidden="1" x14ac:dyDescent="0.2">
      <c r="F9663" s="503" t="s">
        <v>240</v>
      </c>
      <c r="G9663" s="504" t="s">
        <v>241</v>
      </c>
      <c r="H9663" s="397"/>
      <c r="I9663" s="397"/>
      <c r="J9663" s="750" t="e">
        <f t="shared" si="133"/>
        <v>#DIV/0!</v>
      </c>
      <c r="K9663" s="398"/>
      <c r="L9663" s="404"/>
      <c r="M9663" s="682"/>
    </row>
    <row r="9664" spans="5:13" hidden="1" x14ac:dyDescent="0.2">
      <c r="F9664" s="503" t="s">
        <v>242</v>
      </c>
      <c r="G9664" s="504" t="s">
        <v>243</v>
      </c>
      <c r="H9664" s="397"/>
      <c r="I9664" s="397"/>
      <c r="J9664" s="750" t="e">
        <f t="shared" si="133"/>
        <v>#DIV/0!</v>
      </c>
      <c r="K9664" s="398"/>
      <c r="L9664" s="404"/>
      <c r="M9664" s="682"/>
    </row>
    <row r="9665" spans="5:13" hidden="1" x14ac:dyDescent="0.2">
      <c r="F9665" s="503" t="s">
        <v>244</v>
      </c>
      <c r="G9665" s="504" t="s">
        <v>245</v>
      </c>
      <c r="H9665" s="397"/>
      <c r="I9665" s="397"/>
      <c r="J9665" s="750" t="e">
        <f t="shared" si="133"/>
        <v>#DIV/0!</v>
      </c>
      <c r="K9665" s="398"/>
      <c r="L9665" s="404"/>
      <c r="M9665" s="682"/>
    </row>
    <row r="9666" spans="5:13" hidden="1" x14ac:dyDescent="0.2">
      <c r="F9666" s="503" t="s">
        <v>246</v>
      </c>
      <c r="G9666" s="504" t="s">
        <v>247</v>
      </c>
      <c r="H9666" s="397"/>
      <c r="I9666" s="397"/>
      <c r="J9666" s="750" t="e">
        <f t="shared" si="133"/>
        <v>#DIV/0!</v>
      </c>
      <c r="K9666" s="398"/>
      <c r="L9666" s="404"/>
      <c r="M9666" s="682"/>
    </row>
    <row r="9667" spans="5:13" ht="25.5" hidden="1" x14ac:dyDescent="0.2">
      <c r="F9667" s="503" t="s">
        <v>248</v>
      </c>
      <c r="G9667" s="504" t="s">
        <v>249</v>
      </c>
      <c r="H9667" s="397"/>
      <c r="I9667" s="397"/>
      <c r="J9667" s="750" t="e">
        <f t="shared" si="133"/>
        <v>#DIV/0!</v>
      </c>
      <c r="K9667" s="398"/>
      <c r="L9667" s="404"/>
      <c r="M9667" s="682"/>
    </row>
    <row r="9668" spans="5:13" hidden="1" x14ac:dyDescent="0.2">
      <c r="F9668" s="503" t="s">
        <v>250</v>
      </c>
      <c r="G9668" s="504" t="s">
        <v>57</v>
      </c>
      <c r="H9668" s="397"/>
      <c r="I9668" s="397"/>
      <c r="J9668" s="750" t="e">
        <f t="shared" si="133"/>
        <v>#DIV/0!</v>
      </c>
      <c r="K9668" s="398"/>
      <c r="L9668" s="404"/>
      <c r="M9668" s="682"/>
    </row>
    <row r="9669" spans="5:13" hidden="1" x14ac:dyDescent="0.2">
      <c r="F9669" s="503" t="s">
        <v>251</v>
      </c>
      <c r="G9669" s="504" t="s">
        <v>252</v>
      </c>
      <c r="H9669" s="397"/>
      <c r="I9669" s="397"/>
      <c r="J9669" s="750" t="e">
        <f t="shared" si="133"/>
        <v>#DIV/0!</v>
      </c>
      <c r="K9669" s="398"/>
      <c r="L9669" s="404"/>
      <c r="M9669" s="682"/>
    </row>
    <row r="9670" spans="5:13" hidden="1" x14ac:dyDescent="0.2">
      <c r="F9670" s="503" t="s">
        <v>253</v>
      </c>
      <c r="G9670" s="504" t="s">
        <v>254</v>
      </c>
      <c r="H9670" s="397"/>
      <c r="I9670" s="397"/>
      <c r="J9670" s="750" t="e">
        <f t="shared" si="133"/>
        <v>#DIV/0!</v>
      </c>
      <c r="K9670" s="398"/>
      <c r="L9670" s="404"/>
      <c r="M9670" s="682"/>
    </row>
    <row r="9671" spans="5:13" ht="25.5" hidden="1" x14ac:dyDescent="0.2">
      <c r="F9671" s="503" t="s">
        <v>255</v>
      </c>
      <c r="G9671" s="504" t="s">
        <v>256</v>
      </c>
      <c r="H9671" s="397"/>
      <c r="I9671" s="397"/>
      <c r="J9671" s="750" t="e">
        <f t="shared" si="133"/>
        <v>#DIV/0!</v>
      </c>
      <c r="K9671" s="398"/>
      <c r="L9671" s="404"/>
      <c r="M9671" s="682"/>
    </row>
    <row r="9672" spans="5:13" ht="25.5" hidden="1" x14ac:dyDescent="0.2">
      <c r="F9672" s="503" t="s">
        <v>257</v>
      </c>
      <c r="G9672" s="504" t="s">
        <v>258</v>
      </c>
      <c r="H9672" s="397"/>
      <c r="I9672" s="397"/>
      <c r="J9672" s="750" t="e">
        <f t="shared" si="133"/>
        <v>#DIV/0!</v>
      </c>
      <c r="K9672" s="398"/>
      <c r="L9672" s="404"/>
      <c r="M9672" s="682"/>
    </row>
    <row r="9673" spans="5:13" ht="25.5" hidden="1" x14ac:dyDescent="0.2">
      <c r="F9673" s="503" t="s">
        <v>259</v>
      </c>
      <c r="G9673" s="504" t="s">
        <v>260</v>
      </c>
      <c r="H9673" s="397"/>
      <c r="I9673" s="397"/>
      <c r="J9673" s="750" t="e">
        <f t="shared" si="133"/>
        <v>#DIV/0!</v>
      </c>
      <c r="K9673" s="398"/>
      <c r="L9673" s="404"/>
      <c r="M9673" s="682"/>
    </row>
    <row r="9674" spans="5:13" ht="25.5" hidden="1" x14ac:dyDescent="0.2">
      <c r="F9674" s="503" t="s">
        <v>261</v>
      </c>
      <c r="G9674" s="504" t="s">
        <v>262</v>
      </c>
      <c r="H9674" s="397"/>
      <c r="I9674" s="397"/>
      <c r="J9674" s="750" t="e">
        <f t="shared" si="133"/>
        <v>#DIV/0!</v>
      </c>
      <c r="K9674" s="398"/>
      <c r="L9674" s="404"/>
      <c r="M9674" s="682"/>
    </row>
    <row r="9675" spans="5:13" hidden="1" x14ac:dyDescent="0.2">
      <c r="F9675" s="503" t="s">
        <v>263</v>
      </c>
      <c r="G9675" s="504" t="s">
        <v>264</v>
      </c>
      <c r="H9675" s="403"/>
      <c r="I9675" s="403"/>
      <c r="J9675" s="750" t="e">
        <f t="shared" si="133"/>
        <v>#DIV/0!</v>
      </c>
      <c r="K9675" s="404"/>
      <c r="L9675" s="404"/>
      <c r="M9675" s="682"/>
    </row>
    <row r="9676" spans="5:13" ht="13.5" hidden="1" thickBot="1" x14ac:dyDescent="0.25">
      <c r="G9676" s="505" t="s">
        <v>4393</v>
      </c>
      <c r="H9676" s="405">
        <f>SUM(H9660:H9675)</f>
        <v>0</v>
      </c>
      <c r="I9676" s="405"/>
      <c r="J9676" s="750" t="e">
        <f t="shared" si="133"/>
        <v>#DIV/0!</v>
      </c>
      <c r="K9676" s="406">
        <f>SUM(K9661:K9675)</f>
        <v>0</v>
      </c>
      <c r="L9676" s="406"/>
      <c r="M9676" s="682"/>
    </row>
    <row r="9677" spans="5:13" ht="25.5" hidden="1" collapsed="1" x14ac:dyDescent="0.2">
      <c r="E9677" s="500"/>
      <c r="F9677" s="498"/>
      <c r="G9677" s="506" t="s">
        <v>4280</v>
      </c>
      <c r="H9677" s="407"/>
      <c r="I9677" s="408"/>
      <c r="J9677" s="750" t="e">
        <f t="shared" si="133"/>
        <v>#DIV/0!</v>
      </c>
      <c r="K9677" s="409"/>
      <c r="L9677" s="410"/>
      <c r="M9677" s="682"/>
    </row>
    <row r="9678" spans="5:13" hidden="1" x14ac:dyDescent="0.2">
      <c r="E9678" s="502"/>
      <c r="F9678" s="503" t="s">
        <v>234</v>
      </c>
      <c r="G9678" s="504" t="s">
        <v>235</v>
      </c>
      <c r="H9678" s="403">
        <f>SUM(H9599:H9658)</f>
        <v>0</v>
      </c>
      <c r="I9678" s="403"/>
      <c r="J9678" s="750" t="e">
        <f t="shared" ref="J9678:J9741" si="134">SUM(I9678/H9678)*100</f>
        <v>#DIV/0!</v>
      </c>
      <c r="K9678" s="404"/>
      <c r="L9678" s="404"/>
      <c r="M9678" s="682"/>
    </row>
    <row r="9679" spans="5:13" hidden="1" x14ac:dyDescent="0.2">
      <c r="F9679" s="503" t="s">
        <v>236</v>
      </c>
      <c r="G9679" s="504" t="s">
        <v>237</v>
      </c>
      <c r="H9679" s="397"/>
      <c r="I9679" s="397"/>
      <c r="J9679" s="750" t="e">
        <f t="shared" si="134"/>
        <v>#DIV/0!</v>
      </c>
      <c r="K9679" s="398"/>
      <c r="L9679" s="404"/>
      <c r="M9679" s="682"/>
    </row>
    <row r="9680" spans="5:13" hidden="1" x14ac:dyDescent="0.2">
      <c r="F9680" s="503" t="s">
        <v>238</v>
      </c>
      <c r="G9680" s="504" t="s">
        <v>239</v>
      </c>
      <c r="H9680" s="397"/>
      <c r="I9680" s="397"/>
      <c r="J9680" s="750" t="e">
        <f t="shared" si="134"/>
        <v>#DIV/0!</v>
      </c>
      <c r="K9680" s="398"/>
      <c r="L9680" s="404"/>
      <c r="M9680" s="682"/>
    </row>
    <row r="9681" spans="3:14" hidden="1" x14ac:dyDescent="0.2">
      <c r="F9681" s="503" t="s">
        <v>240</v>
      </c>
      <c r="G9681" s="504" t="s">
        <v>241</v>
      </c>
      <c r="H9681" s="397"/>
      <c r="I9681" s="397"/>
      <c r="J9681" s="750" t="e">
        <f t="shared" si="134"/>
        <v>#DIV/0!</v>
      </c>
      <c r="K9681" s="398"/>
      <c r="L9681" s="404"/>
      <c r="M9681" s="682"/>
    </row>
    <row r="9682" spans="3:14" hidden="1" x14ac:dyDescent="0.2">
      <c r="F9682" s="503" t="s">
        <v>242</v>
      </c>
      <c r="G9682" s="504" t="s">
        <v>243</v>
      </c>
      <c r="H9682" s="397"/>
      <c r="I9682" s="397"/>
      <c r="J9682" s="750" t="e">
        <f t="shared" si="134"/>
        <v>#DIV/0!</v>
      </c>
      <c r="K9682" s="398"/>
      <c r="L9682" s="404"/>
      <c r="M9682" s="682"/>
    </row>
    <row r="9683" spans="3:14" hidden="1" x14ac:dyDescent="0.2">
      <c r="F9683" s="503" t="s">
        <v>244</v>
      </c>
      <c r="G9683" s="504" t="s">
        <v>245</v>
      </c>
      <c r="H9683" s="397"/>
      <c r="I9683" s="397"/>
      <c r="J9683" s="750" t="e">
        <f t="shared" si="134"/>
        <v>#DIV/0!</v>
      </c>
      <c r="K9683" s="398"/>
      <c r="L9683" s="404"/>
      <c r="M9683" s="682"/>
    </row>
    <row r="9684" spans="3:14" hidden="1" x14ac:dyDescent="0.2">
      <c r="F9684" s="503" t="s">
        <v>246</v>
      </c>
      <c r="G9684" s="504" t="s">
        <v>247</v>
      </c>
      <c r="H9684" s="397"/>
      <c r="I9684" s="397"/>
      <c r="J9684" s="750" t="e">
        <f t="shared" si="134"/>
        <v>#DIV/0!</v>
      </c>
      <c r="K9684" s="398"/>
      <c r="L9684" s="404"/>
      <c r="M9684" s="682"/>
    </row>
    <row r="9685" spans="3:14" ht="25.5" hidden="1" x14ac:dyDescent="0.2">
      <c r="F9685" s="503" t="s">
        <v>248</v>
      </c>
      <c r="G9685" s="504" t="s">
        <v>249</v>
      </c>
      <c r="H9685" s="397"/>
      <c r="I9685" s="397"/>
      <c r="J9685" s="750" t="e">
        <f t="shared" si="134"/>
        <v>#DIV/0!</v>
      </c>
      <c r="K9685" s="398"/>
      <c r="L9685" s="404"/>
      <c r="M9685" s="682"/>
    </row>
    <row r="9686" spans="3:14" hidden="1" x14ac:dyDescent="0.2">
      <c r="F9686" s="503" t="s">
        <v>250</v>
      </c>
      <c r="G9686" s="504" t="s">
        <v>57</v>
      </c>
      <c r="H9686" s="397"/>
      <c r="I9686" s="397"/>
      <c r="J9686" s="750" t="e">
        <f t="shared" si="134"/>
        <v>#DIV/0!</v>
      </c>
      <c r="K9686" s="398"/>
      <c r="L9686" s="404"/>
      <c r="M9686" s="682"/>
    </row>
    <row r="9687" spans="3:14" hidden="1" x14ac:dyDescent="0.2">
      <c r="F9687" s="503" t="s">
        <v>251</v>
      </c>
      <c r="G9687" s="504" t="s">
        <v>252</v>
      </c>
      <c r="H9687" s="397"/>
      <c r="I9687" s="397"/>
      <c r="J9687" s="750" t="e">
        <f t="shared" si="134"/>
        <v>#DIV/0!</v>
      </c>
      <c r="K9687" s="398"/>
      <c r="L9687" s="404"/>
      <c r="M9687" s="682"/>
    </row>
    <row r="9688" spans="3:14" hidden="1" x14ac:dyDescent="0.2">
      <c r="F9688" s="503" t="s">
        <v>253</v>
      </c>
      <c r="G9688" s="504" t="s">
        <v>254</v>
      </c>
      <c r="H9688" s="397"/>
      <c r="I9688" s="397"/>
      <c r="J9688" s="750" t="e">
        <f t="shared" si="134"/>
        <v>#DIV/0!</v>
      </c>
      <c r="K9688" s="398"/>
      <c r="L9688" s="404"/>
      <c r="M9688" s="682"/>
    </row>
    <row r="9689" spans="3:14" ht="25.5" hidden="1" x14ac:dyDescent="0.2">
      <c r="F9689" s="503" t="s">
        <v>255</v>
      </c>
      <c r="G9689" s="504" t="s">
        <v>256</v>
      </c>
      <c r="H9689" s="397"/>
      <c r="I9689" s="397"/>
      <c r="J9689" s="750" t="e">
        <f t="shared" si="134"/>
        <v>#DIV/0!</v>
      </c>
      <c r="K9689" s="398"/>
      <c r="L9689" s="404"/>
      <c r="M9689" s="682"/>
    </row>
    <row r="9690" spans="3:14" ht="25.5" hidden="1" x14ac:dyDescent="0.2">
      <c r="F9690" s="503" t="s">
        <v>257</v>
      </c>
      <c r="G9690" s="504" t="s">
        <v>258</v>
      </c>
      <c r="H9690" s="397"/>
      <c r="I9690" s="397"/>
      <c r="J9690" s="750" t="e">
        <f t="shared" si="134"/>
        <v>#DIV/0!</v>
      </c>
      <c r="K9690" s="398"/>
      <c r="L9690" s="404"/>
      <c r="M9690" s="682"/>
    </row>
    <row r="9691" spans="3:14" ht="25.5" hidden="1" x14ac:dyDescent="0.2">
      <c r="F9691" s="503" t="s">
        <v>259</v>
      </c>
      <c r="G9691" s="504" t="s">
        <v>260</v>
      </c>
      <c r="H9691" s="397"/>
      <c r="I9691" s="397"/>
      <c r="J9691" s="750" t="e">
        <f t="shared" si="134"/>
        <v>#DIV/0!</v>
      </c>
      <c r="K9691" s="398"/>
      <c r="L9691" s="404"/>
      <c r="M9691" s="682"/>
    </row>
    <row r="9692" spans="3:14" ht="25.5" hidden="1" x14ac:dyDescent="0.2">
      <c r="F9692" s="503" t="s">
        <v>261</v>
      </c>
      <c r="G9692" s="504" t="s">
        <v>262</v>
      </c>
      <c r="H9692" s="397"/>
      <c r="I9692" s="397"/>
      <c r="J9692" s="750" t="e">
        <f t="shared" si="134"/>
        <v>#DIV/0!</v>
      </c>
      <c r="K9692" s="398"/>
      <c r="L9692" s="404"/>
      <c r="M9692" s="682"/>
    </row>
    <row r="9693" spans="3:14" hidden="1" x14ac:dyDescent="0.2">
      <c r="F9693" s="503" t="s">
        <v>263</v>
      </c>
      <c r="G9693" s="504" t="s">
        <v>264</v>
      </c>
      <c r="H9693" s="403"/>
      <c r="I9693" s="403"/>
      <c r="J9693" s="750" t="e">
        <f t="shared" si="134"/>
        <v>#DIV/0!</v>
      </c>
      <c r="K9693" s="404"/>
      <c r="L9693" s="404"/>
      <c r="M9693" s="682"/>
    </row>
    <row r="9694" spans="3:14" ht="13.5" hidden="1" collapsed="1" thickBot="1" x14ac:dyDescent="0.25">
      <c r="G9694" s="505" t="s">
        <v>4395</v>
      </c>
      <c r="H9694" s="405">
        <f>SUM(H9678:H9693)</f>
        <v>0</v>
      </c>
      <c r="I9694" s="405"/>
      <c r="J9694" s="750" t="e">
        <f t="shared" si="134"/>
        <v>#DIV/0!</v>
      </c>
      <c r="K9694" s="406">
        <f>SUM(K9679:K9693)</f>
        <v>0</v>
      </c>
      <c r="L9694" s="406"/>
      <c r="M9694" s="682"/>
    </row>
    <row r="9695" spans="3:14" hidden="1" x14ac:dyDescent="0.2">
      <c r="H9695" s="397"/>
      <c r="I9695" s="397"/>
      <c r="J9695" s="750" t="e">
        <f t="shared" si="134"/>
        <v>#DIV/0!</v>
      </c>
      <c r="K9695" s="398"/>
      <c r="L9695" s="398"/>
      <c r="M9695" s="682"/>
    </row>
    <row r="9696" spans="3:14" hidden="1" x14ac:dyDescent="0.2">
      <c r="C9696" s="542" t="s">
        <v>4295</v>
      </c>
      <c r="D9696" s="173"/>
      <c r="E9696" s="173"/>
      <c r="F9696" s="502"/>
      <c r="G9696" s="550" t="s">
        <v>4092</v>
      </c>
      <c r="H9696" s="397"/>
      <c r="I9696" s="397"/>
      <c r="J9696" s="750" t="e">
        <f t="shared" si="134"/>
        <v>#DIV/0!</v>
      </c>
      <c r="K9696" s="398"/>
      <c r="L9696" s="398"/>
      <c r="M9696" s="682"/>
      <c r="N9696" s="189"/>
    </row>
    <row r="9697" spans="3:14" hidden="1" x14ac:dyDescent="0.2">
      <c r="C9697" s="633"/>
      <c r="D9697" s="492">
        <v>473</v>
      </c>
      <c r="E9697" s="492"/>
      <c r="F9697" s="492"/>
      <c r="G9697" s="551" t="s">
        <v>162</v>
      </c>
      <c r="H9697" s="397"/>
      <c r="I9697" s="397"/>
      <c r="J9697" s="750" t="e">
        <f t="shared" si="134"/>
        <v>#DIV/0!</v>
      </c>
      <c r="K9697" s="398"/>
      <c r="L9697" s="398"/>
      <c r="M9697" s="682"/>
      <c r="N9697" s="189"/>
    </row>
    <row r="9698" spans="3:14" hidden="1" x14ac:dyDescent="0.2">
      <c r="F9698" s="494">
        <v>411</v>
      </c>
      <c r="G9698" s="495" t="s">
        <v>4167</v>
      </c>
      <c r="H9698" s="397"/>
      <c r="I9698" s="397"/>
      <c r="J9698" s="750" t="e">
        <f t="shared" si="134"/>
        <v>#DIV/0!</v>
      </c>
      <c r="K9698" s="398"/>
      <c r="L9698" s="398"/>
      <c r="M9698" s="682"/>
    </row>
    <row r="9699" spans="3:14" hidden="1" x14ac:dyDescent="0.2">
      <c r="F9699" s="494">
        <v>412</v>
      </c>
      <c r="G9699" s="496" t="s">
        <v>3764</v>
      </c>
      <c r="H9699" s="397"/>
      <c r="I9699" s="397"/>
      <c r="J9699" s="750" t="e">
        <f t="shared" si="134"/>
        <v>#DIV/0!</v>
      </c>
      <c r="K9699" s="398"/>
      <c r="L9699" s="398"/>
      <c r="M9699" s="682"/>
    </row>
    <row r="9700" spans="3:14" hidden="1" x14ac:dyDescent="0.2">
      <c r="F9700" s="494">
        <v>413</v>
      </c>
      <c r="G9700" s="495" t="s">
        <v>4168</v>
      </c>
      <c r="H9700" s="397"/>
      <c r="I9700" s="397"/>
      <c r="J9700" s="750" t="e">
        <f t="shared" si="134"/>
        <v>#DIV/0!</v>
      </c>
      <c r="K9700" s="398"/>
      <c r="L9700" s="398"/>
      <c r="M9700" s="682"/>
    </row>
    <row r="9701" spans="3:14" hidden="1" x14ac:dyDescent="0.2">
      <c r="F9701" s="494">
        <v>414</v>
      </c>
      <c r="G9701" s="495" t="s">
        <v>3767</v>
      </c>
      <c r="H9701" s="397"/>
      <c r="I9701" s="397"/>
      <c r="J9701" s="750" t="e">
        <f t="shared" si="134"/>
        <v>#DIV/0!</v>
      </c>
      <c r="K9701" s="398"/>
      <c r="L9701" s="398"/>
      <c r="M9701" s="682"/>
    </row>
    <row r="9702" spans="3:14" hidden="1" x14ac:dyDescent="0.2">
      <c r="F9702" s="494">
        <v>415</v>
      </c>
      <c r="G9702" s="495" t="s">
        <v>4177</v>
      </c>
      <c r="H9702" s="397"/>
      <c r="I9702" s="397"/>
      <c r="J9702" s="750" t="e">
        <f t="shared" si="134"/>
        <v>#DIV/0!</v>
      </c>
      <c r="K9702" s="398"/>
      <c r="L9702" s="398"/>
      <c r="M9702" s="682"/>
    </row>
    <row r="9703" spans="3:14" ht="25.5" hidden="1" x14ac:dyDescent="0.2">
      <c r="F9703" s="494">
        <v>416</v>
      </c>
      <c r="G9703" s="495" t="s">
        <v>4178</v>
      </c>
      <c r="H9703" s="397"/>
      <c r="I9703" s="397"/>
      <c r="J9703" s="750" t="e">
        <f t="shared" si="134"/>
        <v>#DIV/0!</v>
      </c>
      <c r="K9703" s="398"/>
      <c r="L9703" s="398"/>
      <c r="M9703" s="682"/>
    </row>
    <row r="9704" spans="3:14" hidden="1" x14ac:dyDescent="0.2">
      <c r="F9704" s="494">
        <v>417</v>
      </c>
      <c r="G9704" s="495" t="s">
        <v>4179</v>
      </c>
      <c r="H9704" s="397"/>
      <c r="I9704" s="397"/>
      <c r="J9704" s="750" t="e">
        <f t="shared" si="134"/>
        <v>#DIV/0!</v>
      </c>
      <c r="K9704" s="398"/>
      <c r="L9704" s="398"/>
      <c r="M9704" s="682"/>
    </row>
    <row r="9705" spans="3:14" hidden="1" x14ac:dyDescent="0.2">
      <c r="F9705" s="494">
        <v>418</v>
      </c>
      <c r="G9705" s="495" t="s">
        <v>3773</v>
      </c>
      <c r="H9705" s="397"/>
      <c r="I9705" s="397"/>
      <c r="J9705" s="750" t="e">
        <f t="shared" si="134"/>
        <v>#DIV/0!</v>
      </c>
      <c r="K9705" s="398"/>
      <c r="L9705" s="398"/>
      <c r="M9705" s="682"/>
    </row>
    <row r="9706" spans="3:14" hidden="1" x14ac:dyDescent="0.2">
      <c r="F9706" s="494">
        <v>421</v>
      </c>
      <c r="G9706" s="495" t="s">
        <v>3777</v>
      </c>
      <c r="H9706" s="397"/>
      <c r="I9706" s="397"/>
      <c r="J9706" s="750" t="e">
        <f t="shared" si="134"/>
        <v>#DIV/0!</v>
      </c>
      <c r="K9706" s="398"/>
      <c r="L9706" s="398"/>
      <c r="M9706" s="682"/>
    </row>
    <row r="9707" spans="3:14" hidden="1" x14ac:dyDescent="0.2">
      <c r="F9707" s="494">
        <v>422</v>
      </c>
      <c r="G9707" s="495" t="s">
        <v>3778</v>
      </c>
      <c r="H9707" s="397"/>
      <c r="I9707" s="397"/>
      <c r="J9707" s="750" t="e">
        <f t="shared" si="134"/>
        <v>#DIV/0!</v>
      </c>
      <c r="K9707" s="398"/>
      <c r="L9707" s="398"/>
      <c r="M9707" s="682"/>
    </row>
    <row r="9708" spans="3:14" hidden="1" x14ac:dyDescent="0.2">
      <c r="F9708" s="494">
        <v>423</v>
      </c>
      <c r="G9708" s="495" t="s">
        <v>3779</v>
      </c>
      <c r="H9708" s="397"/>
      <c r="I9708" s="397"/>
      <c r="J9708" s="750" t="e">
        <f t="shared" si="134"/>
        <v>#DIV/0!</v>
      </c>
      <c r="K9708" s="398"/>
      <c r="L9708" s="398"/>
      <c r="M9708" s="682"/>
    </row>
    <row r="9709" spans="3:14" hidden="1" x14ac:dyDescent="0.2">
      <c r="F9709" s="494">
        <v>424</v>
      </c>
      <c r="G9709" s="495" t="s">
        <v>3781</v>
      </c>
      <c r="H9709" s="397"/>
      <c r="I9709" s="397"/>
      <c r="J9709" s="750" t="e">
        <f t="shared" si="134"/>
        <v>#DIV/0!</v>
      </c>
      <c r="K9709" s="398"/>
      <c r="L9709" s="398"/>
      <c r="M9709" s="682"/>
    </row>
    <row r="9710" spans="3:14" hidden="1" x14ac:dyDescent="0.2">
      <c r="F9710" s="494">
        <v>425</v>
      </c>
      <c r="G9710" s="495" t="s">
        <v>4180</v>
      </c>
      <c r="H9710" s="397"/>
      <c r="I9710" s="397"/>
      <c r="J9710" s="750" t="e">
        <f t="shared" si="134"/>
        <v>#DIV/0!</v>
      </c>
      <c r="K9710" s="398"/>
      <c r="L9710" s="398"/>
      <c r="M9710" s="682"/>
    </row>
    <row r="9711" spans="3:14" hidden="1" x14ac:dyDescent="0.2">
      <c r="F9711" s="494">
        <v>426</v>
      </c>
      <c r="G9711" s="495" t="s">
        <v>3785</v>
      </c>
      <c r="H9711" s="397"/>
      <c r="I9711" s="397"/>
      <c r="J9711" s="750" t="e">
        <f t="shared" si="134"/>
        <v>#DIV/0!</v>
      </c>
      <c r="K9711" s="398"/>
      <c r="L9711" s="398"/>
      <c r="M9711" s="682"/>
    </row>
    <row r="9712" spans="3:14" hidden="1" x14ac:dyDescent="0.2">
      <c r="F9712" s="494">
        <v>431</v>
      </c>
      <c r="G9712" s="495" t="s">
        <v>4181</v>
      </c>
      <c r="H9712" s="397"/>
      <c r="I9712" s="397"/>
      <c r="J9712" s="750" t="e">
        <f t="shared" si="134"/>
        <v>#DIV/0!</v>
      </c>
      <c r="K9712" s="398"/>
      <c r="L9712" s="398"/>
      <c r="M9712" s="682"/>
    </row>
    <row r="9713" spans="6:13" hidden="1" x14ac:dyDescent="0.2">
      <c r="F9713" s="494">
        <v>432</v>
      </c>
      <c r="G9713" s="495" t="s">
        <v>4182</v>
      </c>
      <c r="H9713" s="397"/>
      <c r="I9713" s="397"/>
      <c r="J9713" s="750" t="e">
        <f t="shared" si="134"/>
        <v>#DIV/0!</v>
      </c>
      <c r="K9713" s="398"/>
      <c r="L9713" s="398"/>
      <c r="M9713" s="682"/>
    </row>
    <row r="9714" spans="6:13" hidden="1" x14ac:dyDescent="0.2">
      <c r="F9714" s="494">
        <v>433</v>
      </c>
      <c r="G9714" s="495" t="s">
        <v>4183</v>
      </c>
      <c r="H9714" s="397"/>
      <c r="I9714" s="397"/>
      <c r="J9714" s="750" t="e">
        <f t="shared" si="134"/>
        <v>#DIV/0!</v>
      </c>
      <c r="K9714" s="398"/>
      <c r="L9714" s="398"/>
      <c r="M9714" s="682"/>
    </row>
    <row r="9715" spans="6:13" hidden="1" x14ac:dyDescent="0.2">
      <c r="F9715" s="494">
        <v>434</v>
      </c>
      <c r="G9715" s="495" t="s">
        <v>4184</v>
      </c>
      <c r="H9715" s="397"/>
      <c r="I9715" s="397"/>
      <c r="J9715" s="750" t="e">
        <f t="shared" si="134"/>
        <v>#DIV/0!</v>
      </c>
      <c r="K9715" s="398"/>
      <c r="L9715" s="398"/>
      <c r="M9715" s="682"/>
    </row>
    <row r="9716" spans="6:13" hidden="1" x14ac:dyDescent="0.2">
      <c r="F9716" s="494">
        <v>435</v>
      </c>
      <c r="G9716" s="495" t="s">
        <v>3792</v>
      </c>
      <c r="H9716" s="397"/>
      <c r="I9716" s="397"/>
      <c r="J9716" s="750" t="e">
        <f t="shared" si="134"/>
        <v>#DIV/0!</v>
      </c>
      <c r="K9716" s="398"/>
      <c r="L9716" s="398"/>
      <c r="M9716" s="682"/>
    </row>
    <row r="9717" spans="6:13" hidden="1" x14ac:dyDescent="0.2">
      <c r="F9717" s="494">
        <v>441</v>
      </c>
      <c r="G9717" s="495" t="s">
        <v>4185</v>
      </c>
      <c r="H9717" s="397"/>
      <c r="I9717" s="397"/>
      <c r="J9717" s="750" t="e">
        <f t="shared" si="134"/>
        <v>#DIV/0!</v>
      </c>
      <c r="K9717" s="398"/>
      <c r="L9717" s="398"/>
      <c r="M9717" s="682"/>
    </row>
    <row r="9718" spans="6:13" hidden="1" x14ac:dyDescent="0.2">
      <c r="F9718" s="494">
        <v>442</v>
      </c>
      <c r="G9718" s="495" t="s">
        <v>4186</v>
      </c>
      <c r="H9718" s="397"/>
      <c r="I9718" s="397"/>
      <c r="J9718" s="750" t="e">
        <f t="shared" si="134"/>
        <v>#DIV/0!</v>
      </c>
      <c r="K9718" s="398"/>
      <c r="L9718" s="398"/>
      <c r="M9718" s="682"/>
    </row>
    <row r="9719" spans="6:13" hidden="1" x14ac:dyDescent="0.2">
      <c r="F9719" s="494">
        <v>443</v>
      </c>
      <c r="G9719" s="495" t="s">
        <v>3797</v>
      </c>
      <c r="H9719" s="397"/>
      <c r="I9719" s="397"/>
      <c r="J9719" s="750" t="e">
        <f t="shared" si="134"/>
        <v>#DIV/0!</v>
      </c>
      <c r="K9719" s="398"/>
      <c r="L9719" s="398"/>
      <c r="M9719" s="682"/>
    </row>
    <row r="9720" spans="6:13" hidden="1" x14ac:dyDescent="0.2">
      <c r="F9720" s="494">
        <v>444</v>
      </c>
      <c r="G9720" s="495" t="s">
        <v>3798</v>
      </c>
      <c r="H9720" s="397"/>
      <c r="I9720" s="397"/>
      <c r="J9720" s="750" t="e">
        <f t="shared" si="134"/>
        <v>#DIV/0!</v>
      </c>
      <c r="K9720" s="398"/>
      <c r="L9720" s="398"/>
      <c r="M9720" s="682"/>
    </row>
    <row r="9721" spans="6:13" ht="25.5" hidden="1" x14ac:dyDescent="0.2">
      <c r="F9721" s="494">
        <v>4511</v>
      </c>
      <c r="G9721" s="466" t="s">
        <v>1692</v>
      </c>
      <c r="H9721" s="397"/>
      <c r="I9721" s="397"/>
      <c r="J9721" s="750" t="e">
        <f t="shared" si="134"/>
        <v>#DIV/0!</v>
      </c>
      <c r="K9721" s="398"/>
      <c r="L9721" s="398"/>
      <c r="M9721" s="682"/>
    </row>
    <row r="9722" spans="6:13" ht="25.5" hidden="1" x14ac:dyDescent="0.2">
      <c r="F9722" s="494">
        <v>4512</v>
      </c>
      <c r="G9722" s="466" t="s">
        <v>1701</v>
      </c>
      <c r="H9722" s="397"/>
      <c r="I9722" s="397"/>
      <c r="J9722" s="750" t="e">
        <f t="shared" si="134"/>
        <v>#DIV/0!</v>
      </c>
      <c r="K9722" s="398"/>
      <c r="L9722" s="398"/>
      <c r="M9722" s="682"/>
    </row>
    <row r="9723" spans="6:13" ht="25.5" hidden="1" x14ac:dyDescent="0.2">
      <c r="F9723" s="494">
        <v>452</v>
      </c>
      <c r="G9723" s="495" t="s">
        <v>4187</v>
      </c>
      <c r="H9723" s="397"/>
      <c r="I9723" s="397"/>
      <c r="J9723" s="750" t="e">
        <f t="shared" si="134"/>
        <v>#DIV/0!</v>
      </c>
      <c r="K9723" s="398"/>
      <c r="L9723" s="398"/>
      <c r="M9723" s="682"/>
    </row>
    <row r="9724" spans="6:13" ht="25.5" hidden="1" x14ac:dyDescent="0.2">
      <c r="F9724" s="494">
        <v>453</v>
      </c>
      <c r="G9724" s="495" t="s">
        <v>4188</v>
      </c>
      <c r="H9724" s="397"/>
      <c r="I9724" s="397"/>
      <c r="J9724" s="750" t="e">
        <f t="shared" si="134"/>
        <v>#DIV/0!</v>
      </c>
      <c r="K9724" s="398"/>
      <c r="L9724" s="398"/>
      <c r="M9724" s="682"/>
    </row>
    <row r="9725" spans="6:13" hidden="1" x14ac:dyDescent="0.2">
      <c r="F9725" s="494">
        <v>454</v>
      </c>
      <c r="G9725" s="495" t="s">
        <v>3803</v>
      </c>
      <c r="H9725" s="397"/>
      <c r="I9725" s="397"/>
      <c r="J9725" s="750" t="e">
        <f t="shared" si="134"/>
        <v>#DIV/0!</v>
      </c>
      <c r="K9725" s="398"/>
      <c r="L9725" s="398"/>
      <c r="M9725" s="682"/>
    </row>
    <row r="9726" spans="6:13" hidden="1" x14ac:dyDescent="0.2">
      <c r="F9726" s="494">
        <v>461</v>
      </c>
      <c r="G9726" s="495" t="s">
        <v>4169</v>
      </c>
      <c r="H9726" s="397"/>
      <c r="I9726" s="397"/>
      <c r="J9726" s="750" t="e">
        <f t="shared" si="134"/>
        <v>#DIV/0!</v>
      </c>
      <c r="K9726" s="398"/>
      <c r="L9726" s="398"/>
      <c r="M9726" s="682"/>
    </row>
    <row r="9727" spans="6:13" ht="25.5" hidden="1" x14ac:dyDescent="0.2">
      <c r="F9727" s="494">
        <v>462</v>
      </c>
      <c r="G9727" s="495" t="s">
        <v>3806</v>
      </c>
      <c r="H9727" s="397"/>
      <c r="I9727" s="397"/>
      <c r="J9727" s="750" t="e">
        <f t="shared" si="134"/>
        <v>#DIV/0!</v>
      </c>
      <c r="K9727" s="398"/>
      <c r="L9727" s="398"/>
      <c r="M9727" s="682"/>
    </row>
    <row r="9728" spans="6:13" hidden="1" x14ac:dyDescent="0.2">
      <c r="F9728" s="494">
        <v>4631</v>
      </c>
      <c r="G9728" s="495" t="s">
        <v>3807</v>
      </c>
      <c r="H9728" s="397"/>
      <c r="I9728" s="397"/>
      <c r="J9728" s="750" t="e">
        <f t="shared" si="134"/>
        <v>#DIV/0!</v>
      </c>
      <c r="K9728" s="398"/>
      <c r="L9728" s="398"/>
      <c r="M9728" s="682"/>
    </row>
    <row r="9729" spans="6:13" hidden="1" x14ac:dyDescent="0.2">
      <c r="F9729" s="494">
        <v>4632</v>
      </c>
      <c r="G9729" s="495" t="s">
        <v>3808</v>
      </c>
      <c r="H9729" s="397"/>
      <c r="I9729" s="397"/>
      <c r="J9729" s="750" t="e">
        <f t="shared" si="134"/>
        <v>#DIV/0!</v>
      </c>
      <c r="K9729" s="398"/>
      <c r="L9729" s="398"/>
      <c r="M9729" s="682"/>
    </row>
    <row r="9730" spans="6:13" ht="25.5" hidden="1" x14ac:dyDescent="0.2">
      <c r="F9730" s="494">
        <v>464</v>
      </c>
      <c r="G9730" s="495" t="s">
        <v>3809</v>
      </c>
      <c r="H9730" s="397"/>
      <c r="I9730" s="397"/>
      <c r="J9730" s="750" t="e">
        <f t="shared" si="134"/>
        <v>#DIV/0!</v>
      </c>
      <c r="K9730" s="398"/>
      <c r="L9730" s="398"/>
      <c r="M9730" s="682"/>
    </row>
    <row r="9731" spans="6:13" hidden="1" x14ac:dyDescent="0.2">
      <c r="F9731" s="494">
        <v>465</v>
      </c>
      <c r="G9731" s="495" t="s">
        <v>4170</v>
      </c>
      <c r="H9731" s="397"/>
      <c r="I9731" s="397"/>
      <c r="J9731" s="750" t="e">
        <f t="shared" si="134"/>
        <v>#DIV/0!</v>
      </c>
      <c r="K9731" s="398"/>
      <c r="L9731" s="398"/>
      <c r="M9731" s="682"/>
    </row>
    <row r="9732" spans="6:13" hidden="1" x14ac:dyDescent="0.2">
      <c r="F9732" s="494">
        <v>472</v>
      </c>
      <c r="G9732" s="495" t="s">
        <v>3813</v>
      </c>
      <c r="H9732" s="397"/>
      <c r="I9732" s="397"/>
      <c r="J9732" s="750" t="e">
        <f t="shared" si="134"/>
        <v>#DIV/0!</v>
      </c>
      <c r="K9732" s="398"/>
      <c r="L9732" s="398"/>
      <c r="M9732" s="682"/>
    </row>
    <row r="9733" spans="6:13" hidden="1" x14ac:dyDescent="0.2">
      <c r="F9733" s="494">
        <v>481</v>
      </c>
      <c r="G9733" s="495" t="s">
        <v>4189</v>
      </c>
      <c r="H9733" s="397"/>
      <c r="I9733" s="397"/>
      <c r="J9733" s="750" t="e">
        <f t="shared" si="134"/>
        <v>#DIV/0!</v>
      </c>
      <c r="K9733" s="398"/>
      <c r="L9733" s="398"/>
      <c r="M9733" s="682"/>
    </row>
    <row r="9734" spans="6:13" hidden="1" x14ac:dyDescent="0.2">
      <c r="F9734" s="494">
        <v>482</v>
      </c>
      <c r="G9734" s="495" t="s">
        <v>4190</v>
      </c>
      <c r="H9734" s="397"/>
      <c r="I9734" s="397"/>
      <c r="J9734" s="750" t="e">
        <f t="shared" si="134"/>
        <v>#DIV/0!</v>
      </c>
      <c r="K9734" s="398"/>
      <c r="L9734" s="398"/>
      <c r="M9734" s="682"/>
    </row>
    <row r="9735" spans="6:13" hidden="1" x14ac:dyDescent="0.2">
      <c r="F9735" s="494">
        <v>483</v>
      </c>
      <c r="G9735" s="497" t="s">
        <v>4191</v>
      </c>
      <c r="H9735" s="397"/>
      <c r="I9735" s="397"/>
      <c r="J9735" s="750" t="e">
        <f t="shared" si="134"/>
        <v>#DIV/0!</v>
      </c>
      <c r="K9735" s="398"/>
      <c r="L9735" s="398"/>
      <c r="M9735" s="682"/>
    </row>
    <row r="9736" spans="6:13" ht="38.25" hidden="1" x14ac:dyDescent="0.2">
      <c r="F9736" s="494">
        <v>484</v>
      </c>
      <c r="G9736" s="495" t="s">
        <v>4192</v>
      </c>
      <c r="H9736" s="397"/>
      <c r="I9736" s="397"/>
      <c r="J9736" s="750" t="e">
        <f t="shared" si="134"/>
        <v>#DIV/0!</v>
      </c>
      <c r="K9736" s="398"/>
      <c r="L9736" s="398"/>
      <c r="M9736" s="682"/>
    </row>
    <row r="9737" spans="6:13" ht="25.5" hidden="1" x14ac:dyDescent="0.2">
      <c r="F9737" s="494">
        <v>485</v>
      </c>
      <c r="G9737" s="495" t="s">
        <v>4193</v>
      </c>
      <c r="H9737" s="397"/>
      <c r="I9737" s="397"/>
      <c r="J9737" s="750" t="e">
        <f t="shared" si="134"/>
        <v>#DIV/0!</v>
      </c>
      <c r="K9737" s="398"/>
      <c r="L9737" s="398"/>
      <c r="M9737" s="682"/>
    </row>
    <row r="9738" spans="6:13" ht="25.5" hidden="1" x14ac:dyDescent="0.2">
      <c r="F9738" s="494">
        <v>489</v>
      </c>
      <c r="G9738" s="495" t="s">
        <v>3821</v>
      </c>
      <c r="H9738" s="397"/>
      <c r="I9738" s="397"/>
      <c r="J9738" s="750" t="e">
        <f t="shared" si="134"/>
        <v>#DIV/0!</v>
      </c>
      <c r="K9738" s="398"/>
      <c r="L9738" s="398"/>
      <c r="M9738" s="682"/>
    </row>
    <row r="9739" spans="6:13" ht="25.5" hidden="1" x14ac:dyDescent="0.2">
      <c r="F9739" s="494">
        <v>494</v>
      </c>
      <c r="G9739" s="495" t="s">
        <v>4171</v>
      </c>
      <c r="H9739" s="397"/>
      <c r="I9739" s="397"/>
      <c r="J9739" s="750" t="e">
        <f t="shared" si="134"/>
        <v>#DIV/0!</v>
      </c>
      <c r="K9739" s="398"/>
      <c r="L9739" s="398"/>
      <c r="M9739" s="682"/>
    </row>
    <row r="9740" spans="6:13" ht="25.5" hidden="1" x14ac:dyDescent="0.2">
      <c r="F9740" s="494">
        <v>495</v>
      </c>
      <c r="G9740" s="495" t="s">
        <v>4172</v>
      </c>
      <c r="H9740" s="397"/>
      <c r="I9740" s="397"/>
      <c r="J9740" s="750" t="e">
        <f t="shared" si="134"/>
        <v>#DIV/0!</v>
      </c>
      <c r="K9740" s="398"/>
      <c r="L9740" s="398"/>
      <c r="M9740" s="682"/>
    </row>
    <row r="9741" spans="6:13" ht="38.25" hidden="1" x14ac:dyDescent="0.2">
      <c r="F9741" s="494">
        <v>496</v>
      </c>
      <c r="G9741" s="495" t="s">
        <v>4173</v>
      </c>
      <c r="H9741" s="397"/>
      <c r="I9741" s="397"/>
      <c r="J9741" s="750" t="e">
        <f t="shared" si="134"/>
        <v>#DIV/0!</v>
      </c>
      <c r="K9741" s="398"/>
      <c r="L9741" s="398"/>
      <c r="M9741" s="682"/>
    </row>
    <row r="9742" spans="6:13" ht="25.5" hidden="1" x14ac:dyDescent="0.2">
      <c r="F9742" s="494">
        <v>499</v>
      </c>
      <c r="G9742" s="495" t="s">
        <v>4174</v>
      </c>
      <c r="H9742" s="397"/>
      <c r="I9742" s="397"/>
      <c r="J9742" s="750" t="e">
        <f t="shared" ref="J9742:J9805" si="135">SUM(I9742/H9742)*100</f>
        <v>#DIV/0!</v>
      </c>
      <c r="K9742" s="398"/>
      <c r="L9742" s="398"/>
      <c r="M9742" s="682"/>
    </row>
    <row r="9743" spans="6:13" hidden="1" x14ac:dyDescent="0.2">
      <c r="F9743" s="494">
        <v>511</v>
      </c>
      <c r="G9743" s="497" t="s">
        <v>4194</v>
      </c>
      <c r="H9743" s="397"/>
      <c r="I9743" s="397"/>
      <c r="J9743" s="750" t="e">
        <f t="shared" si="135"/>
        <v>#DIV/0!</v>
      </c>
      <c r="K9743" s="398"/>
      <c r="L9743" s="398"/>
      <c r="M9743" s="682"/>
    </row>
    <row r="9744" spans="6:13" hidden="1" x14ac:dyDescent="0.2">
      <c r="F9744" s="494">
        <v>512</v>
      </c>
      <c r="G9744" s="497" t="s">
        <v>4195</v>
      </c>
      <c r="H9744" s="397"/>
      <c r="I9744" s="397"/>
      <c r="J9744" s="750" t="e">
        <f t="shared" si="135"/>
        <v>#DIV/0!</v>
      </c>
      <c r="K9744" s="398"/>
      <c r="L9744" s="398"/>
      <c r="M9744" s="682"/>
    </row>
    <row r="9745" spans="5:13" hidden="1" x14ac:dyDescent="0.2">
      <c r="F9745" s="494">
        <v>513</v>
      </c>
      <c r="G9745" s="497" t="s">
        <v>4196</v>
      </c>
      <c r="H9745" s="397"/>
      <c r="I9745" s="397"/>
      <c r="J9745" s="750" t="e">
        <f t="shared" si="135"/>
        <v>#DIV/0!</v>
      </c>
      <c r="K9745" s="398"/>
      <c r="L9745" s="398"/>
      <c r="M9745" s="682"/>
    </row>
    <row r="9746" spans="5:13" hidden="1" x14ac:dyDescent="0.2">
      <c r="F9746" s="494">
        <v>514</v>
      </c>
      <c r="G9746" s="495" t="s">
        <v>4197</v>
      </c>
      <c r="H9746" s="397"/>
      <c r="I9746" s="397"/>
      <c r="J9746" s="750" t="e">
        <f t="shared" si="135"/>
        <v>#DIV/0!</v>
      </c>
      <c r="K9746" s="398"/>
      <c r="L9746" s="398"/>
      <c r="M9746" s="682"/>
    </row>
    <row r="9747" spans="5:13" hidden="1" x14ac:dyDescent="0.2">
      <c r="F9747" s="494">
        <v>515</v>
      </c>
      <c r="G9747" s="495" t="s">
        <v>3832</v>
      </c>
      <c r="H9747" s="397"/>
      <c r="I9747" s="397"/>
      <c r="J9747" s="750" t="e">
        <f t="shared" si="135"/>
        <v>#DIV/0!</v>
      </c>
      <c r="K9747" s="398"/>
      <c r="L9747" s="398"/>
      <c r="M9747" s="682"/>
    </row>
    <row r="9748" spans="5:13" hidden="1" x14ac:dyDescent="0.2">
      <c r="F9748" s="494">
        <v>521</v>
      </c>
      <c r="G9748" s="495" t="s">
        <v>4198</v>
      </c>
      <c r="H9748" s="397"/>
      <c r="I9748" s="397"/>
      <c r="J9748" s="750" t="e">
        <f t="shared" si="135"/>
        <v>#DIV/0!</v>
      </c>
      <c r="K9748" s="398"/>
      <c r="L9748" s="398"/>
      <c r="M9748" s="682"/>
    </row>
    <row r="9749" spans="5:13" hidden="1" x14ac:dyDescent="0.2">
      <c r="F9749" s="494">
        <v>522</v>
      </c>
      <c r="G9749" s="495" t="s">
        <v>4199</v>
      </c>
      <c r="H9749" s="397"/>
      <c r="I9749" s="397"/>
      <c r="J9749" s="750" t="e">
        <f t="shared" si="135"/>
        <v>#DIV/0!</v>
      </c>
      <c r="K9749" s="398"/>
      <c r="L9749" s="398"/>
      <c r="M9749" s="682"/>
    </row>
    <row r="9750" spans="5:13" hidden="1" x14ac:dyDescent="0.2">
      <c r="F9750" s="494">
        <v>523</v>
      </c>
      <c r="G9750" s="495" t="s">
        <v>3837</v>
      </c>
      <c r="H9750" s="397"/>
      <c r="I9750" s="397"/>
      <c r="J9750" s="750" t="e">
        <f t="shared" si="135"/>
        <v>#DIV/0!</v>
      </c>
      <c r="K9750" s="398"/>
      <c r="L9750" s="398"/>
      <c r="M9750" s="682"/>
    </row>
    <row r="9751" spans="5:13" hidden="1" x14ac:dyDescent="0.2">
      <c r="F9751" s="494">
        <v>531</v>
      </c>
      <c r="G9751" s="496" t="s">
        <v>4175</v>
      </c>
      <c r="H9751" s="397"/>
      <c r="I9751" s="397"/>
      <c r="J9751" s="750" t="e">
        <f t="shared" si="135"/>
        <v>#DIV/0!</v>
      </c>
      <c r="K9751" s="398"/>
      <c r="L9751" s="398"/>
      <c r="M9751" s="682"/>
    </row>
    <row r="9752" spans="5:13" hidden="1" x14ac:dyDescent="0.2">
      <c r="F9752" s="494">
        <v>541</v>
      </c>
      <c r="G9752" s="495" t="s">
        <v>4200</v>
      </c>
      <c r="H9752" s="397"/>
      <c r="I9752" s="397"/>
      <c r="J9752" s="750" t="e">
        <f t="shared" si="135"/>
        <v>#DIV/0!</v>
      </c>
      <c r="K9752" s="398"/>
      <c r="L9752" s="398"/>
      <c r="M9752" s="682"/>
    </row>
    <row r="9753" spans="5:13" hidden="1" x14ac:dyDescent="0.2">
      <c r="F9753" s="494">
        <v>542</v>
      </c>
      <c r="G9753" s="495" t="s">
        <v>4201</v>
      </c>
      <c r="H9753" s="397"/>
      <c r="I9753" s="397"/>
      <c r="J9753" s="750" t="e">
        <f t="shared" si="135"/>
        <v>#DIV/0!</v>
      </c>
      <c r="K9753" s="398"/>
      <c r="L9753" s="398"/>
      <c r="M9753" s="682"/>
    </row>
    <row r="9754" spans="5:13" hidden="1" x14ac:dyDescent="0.2">
      <c r="F9754" s="494">
        <v>543</v>
      </c>
      <c r="G9754" s="495" t="s">
        <v>3842</v>
      </c>
      <c r="H9754" s="397"/>
      <c r="I9754" s="397"/>
      <c r="J9754" s="750" t="e">
        <f t="shared" si="135"/>
        <v>#DIV/0!</v>
      </c>
      <c r="K9754" s="398"/>
      <c r="L9754" s="398"/>
      <c r="M9754" s="682"/>
    </row>
    <row r="9755" spans="5:13" ht="38.25" hidden="1" x14ac:dyDescent="0.2">
      <c r="F9755" s="494">
        <v>551</v>
      </c>
      <c r="G9755" s="495" t="s">
        <v>4176</v>
      </c>
      <c r="H9755" s="397"/>
      <c r="I9755" s="397"/>
      <c r="J9755" s="750" t="e">
        <f t="shared" si="135"/>
        <v>#DIV/0!</v>
      </c>
      <c r="K9755" s="398"/>
      <c r="L9755" s="398"/>
      <c r="M9755" s="682"/>
    </row>
    <row r="9756" spans="5:13" hidden="1" x14ac:dyDescent="0.2">
      <c r="F9756" s="498">
        <v>611</v>
      </c>
      <c r="G9756" s="499" t="s">
        <v>3848</v>
      </c>
      <c r="H9756" s="397"/>
      <c r="I9756" s="397"/>
      <c r="J9756" s="750" t="e">
        <f t="shared" si="135"/>
        <v>#DIV/0!</v>
      </c>
      <c r="K9756" s="398"/>
      <c r="L9756" s="398"/>
      <c r="M9756" s="682"/>
    </row>
    <row r="9757" spans="5:13" hidden="1" x14ac:dyDescent="0.2">
      <c r="F9757" s="498">
        <v>620</v>
      </c>
      <c r="G9757" s="499" t="s">
        <v>88</v>
      </c>
      <c r="H9757" s="397"/>
      <c r="I9757" s="397"/>
      <c r="J9757" s="750" t="e">
        <f t="shared" si="135"/>
        <v>#DIV/0!</v>
      </c>
      <c r="K9757" s="398"/>
      <c r="L9757" s="398"/>
      <c r="M9757" s="682"/>
    </row>
    <row r="9758" spans="5:13" hidden="1" x14ac:dyDescent="0.2">
      <c r="E9758" s="500"/>
      <c r="F9758" s="498"/>
      <c r="G9758" s="501" t="s">
        <v>4392</v>
      </c>
      <c r="H9758" s="400"/>
      <c r="I9758" s="400"/>
      <c r="J9758" s="750" t="e">
        <f t="shared" si="135"/>
        <v>#DIV/0!</v>
      </c>
      <c r="K9758" s="401"/>
      <c r="L9758" s="402"/>
      <c r="M9758" s="682"/>
    </row>
    <row r="9759" spans="5:13" hidden="1" x14ac:dyDescent="0.2">
      <c r="E9759" s="502"/>
      <c r="F9759" s="503" t="s">
        <v>234</v>
      </c>
      <c r="G9759" s="504" t="s">
        <v>235</v>
      </c>
      <c r="H9759" s="403">
        <f>SUM(H9698:H9757)</f>
        <v>0</v>
      </c>
      <c r="I9759" s="403"/>
      <c r="J9759" s="750" t="e">
        <f t="shared" si="135"/>
        <v>#DIV/0!</v>
      </c>
      <c r="K9759" s="404"/>
      <c r="L9759" s="404"/>
      <c r="M9759" s="682"/>
    </row>
    <row r="9760" spans="5:13" hidden="1" x14ac:dyDescent="0.2">
      <c r="F9760" s="503" t="s">
        <v>236</v>
      </c>
      <c r="G9760" s="504" t="s">
        <v>237</v>
      </c>
      <c r="H9760" s="397"/>
      <c r="I9760" s="397"/>
      <c r="J9760" s="750" t="e">
        <f t="shared" si="135"/>
        <v>#DIV/0!</v>
      </c>
      <c r="K9760" s="398"/>
      <c r="L9760" s="404"/>
      <c r="M9760" s="682"/>
    </row>
    <row r="9761" spans="5:13" hidden="1" x14ac:dyDescent="0.2">
      <c r="F9761" s="503" t="s">
        <v>238</v>
      </c>
      <c r="G9761" s="504" t="s">
        <v>239</v>
      </c>
      <c r="H9761" s="397"/>
      <c r="I9761" s="397"/>
      <c r="J9761" s="750" t="e">
        <f t="shared" si="135"/>
        <v>#DIV/0!</v>
      </c>
      <c r="K9761" s="398"/>
      <c r="L9761" s="404"/>
      <c r="M9761" s="682"/>
    </row>
    <row r="9762" spans="5:13" hidden="1" x14ac:dyDescent="0.2">
      <c r="F9762" s="503" t="s">
        <v>240</v>
      </c>
      <c r="G9762" s="504" t="s">
        <v>241</v>
      </c>
      <c r="H9762" s="397"/>
      <c r="I9762" s="397"/>
      <c r="J9762" s="750" t="e">
        <f t="shared" si="135"/>
        <v>#DIV/0!</v>
      </c>
      <c r="K9762" s="398"/>
      <c r="L9762" s="404"/>
      <c r="M9762" s="682"/>
    </row>
    <row r="9763" spans="5:13" hidden="1" x14ac:dyDescent="0.2">
      <c r="F9763" s="503" t="s">
        <v>242</v>
      </c>
      <c r="G9763" s="504" t="s">
        <v>243</v>
      </c>
      <c r="H9763" s="397"/>
      <c r="I9763" s="397"/>
      <c r="J9763" s="750" t="e">
        <f t="shared" si="135"/>
        <v>#DIV/0!</v>
      </c>
      <c r="K9763" s="398"/>
      <c r="L9763" s="404"/>
      <c r="M9763" s="682"/>
    </row>
    <row r="9764" spans="5:13" hidden="1" x14ac:dyDescent="0.2">
      <c r="F9764" s="503" t="s">
        <v>244</v>
      </c>
      <c r="G9764" s="504" t="s">
        <v>245</v>
      </c>
      <c r="H9764" s="397"/>
      <c r="I9764" s="397"/>
      <c r="J9764" s="750" t="e">
        <f t="shared" si="135"/>
        <v>#DIV/0!</v>
      </c>
      <c r="K9764" s="398"/>
      <c r="L9764" s="404"/>
      <c r="M9764" s="682"/>
    </row>
    <row r="9765" spans="5:13" hidden="1" x14ac:dyDescent="0.2">
      <c r="F9765" s="503" t="s">
        <v>246</v>
      </c>
      <c r="G9765" s="504" t="s">
        <v>247</v>
      </c>
      <c r="H9765" s="397"/>
      <c r="I9765" s="397"/>
      <c r="J9765" s="750" t="e">
        <f t="shared" si="135"/>
        <v>#DIV/0!</v>
      </c>
      <c r="K9765" s="398"/>
      <c r="L9765" s="404"/>
      <c r="M9765" s="682"/>
    </row>
    <row r="9766" spans="5:13" ht="25.5" hidden="1" x14ac:dyDescent="0.2">
      <c r="F9766" s="503" t="s">
        <v>248</v>
      </c>
      <c r="G9766" s="504" t="s">
        <v>249</v>
      </c>
      <c r="H9766" s="397"/>
      <c r="I9766" s="397"/>
      <c r="J9766" s="750" t="e">
        <f t="shared" si="135"/>
        <v>#DIV/0!</v>
      </c>
      <c r="K9766" s="398"/>
      <c r="L9766" s="404"/>
      <c r="M9766" s="682"/>
    </row>
    <row r="9767" spans="5:13" hidden="1" x14ac:dyDescent="0.2">
      <c r="F9767" s="503" t="s">
        <v>250</v>
      </c>
      <c r="G9767" s="504" t="s">
        <v>57</v>
      </c>
      <c r="H9767" s="397"/>
      <c r="I9767" s="397"/>
      <c r="J9767" s="750" t="e">
        <f t="shared" si="135"/>
        <v>#DIV/0!</v>
      </c>
      <c r="K9767" s="398"/>
      <c r="L9767" s="404"/>
      <c r="M9767" s="682"/>
    </row>
    <row r="9768" spans="5:13" hidden="1" x14ac:dyDescent="0.2">
      <c r="F9768" s="503" t="s">
        <v>251</v>
      </c>
      <c r="G9768" s="504" t="s">
        <v>252</v>
      </c>
      <c r="H9768" s="397"/>
      <c r="I9768" s="397"/>
      <c r="J9768" s="750" t="e">
        <f t="shared" si="135"/>
        <v>#DIV/0!</v>
      </c>
      <c r="K9768" s="398"/>
      <c r="L9768" s="404"/>
      <c r="M9768" s="682"/>
    </row>
    <row r="9769" spans="5:13" hidden="1" x14ac:dyDescent="0.2">
      <c r="F9769" s="503" t="s">
        <v>253</v>
      </c>
      <c r="G9769" s="504" t="s">
        <v>254</v>
      </c>
      <c r="H9769" s="397"/>
      <c r="I9769" s="397"/>
      <c r="J9769" s="750" t="e">
        <f t="shared" si="135"/>
        <v>#DIV/0!</v>
      </c>
      <c r="K9769" s="398"/>
      <c r="L9769" s="404"/>
      <c r="M9769" s="682"/>
    </row>
    <row r="9770" spans="5:13" ht="25.5" hidden="1" x14ac:dyDescent="0.2">
      <c r="F9770" s="503" t="s">
        <v>255</v>
      </c>
      <c r="G9770" s="504" t="s">
        <v>256</v>
      </c>
      <c r="H9770" s="397"/>
      <c r="I9770" s="397"/>
      <c r="J9770" s="750" t="e">
        <f t="shared" si="135"/>
        <v>#DIV/0!</v>
      </c>
      <c r="K9770" s="398"/>
      <c r="L9770" s="404"/>
      <c r="M9770" s="682"/>
    </row>
    <row r="9771" spans="5:13" ht="25.5" hidden="1" x14ac:dyDescent="0.2">
      <c r="F9771" s="503" t="s">
        <v>257</v>
      </c>
      <c r="G9771" s="504" t="s">
        <v>258</v>
      </c>
      <c r="H9771" s="397"/>
      <c r="I9771" s="397"/>
      <c r="J9771" s="750" t="e">
        <f t="shared" si="135"/>
        <v>#DIV/0!</v>
      </c>
      <c r="K9771" s="398"/>
      <c r="L9771" s="404"/>
      <c r="M9771" s="682"/>
    </row>
    <row r="9772" spans="5:13" ht="25.5" hidden="1" x14ac:dyDescent="0.2">
      <c r="F9772" s="503" t="s">
        <v>259</v>
      </c>
      <c r="G9772" s="504" t="s">
        <v>260</v>
      </c>
      <c r="H9772" s="397"/>
      <c r="I9772" s="397"/>
      <c r="J9772" s="750" t="e">
        <f t="shared" si="135"/>
        <v>#DIV/0!</v>
      </c>
      <c r="K9772" s="398"/>
      <c r="L9772" s="404"/>
      <c r="M9772" s="682"/>
    </row>
    <row r="9773" spans="5:13" ht="25.5" hidden="1" x14ac:dyDescent="0.2">
      <c r="F9773" s="503" t="s">
        <v>261</v>
      </c>
      <c r="G9773" s="504" t="s">
        <v>262</v>
      </c>
      <c r="H9773" s="397"/>
      <c r="I9773" s="397"/>
      <c r="J9773" s="750" t="e">
        <f t="shared" si="135"/>
        <v>#DIV/0!</v>
      </c>
      <c r="K9773" s="398"/>
      <c r="L9773" s="404"/>
      <c r="M9773" s="682"/>
    </row>
    <row r="9774" spans="5:13" hidden="1" x14ac:dyDescent="0.2">
      <c r="F9774" s="503" t="s">
        <v>263</v>
      </c>
      <c r="G9774" s="504" t="s">
        <v>264</v>
      </c>
      <c r="H9774" s="403"/>
      <c r="I9774" s="403"/>
      <c r="J9774" s="750" t="e">
        <f t="shared" si="135"/>
        <v>#DIV/0!</v>
      </c>
      <c r="K9774" s="404"/>
      <c r="L9774" s="404"/>
      <c r="M9774" s="682"/>
    </row>
    <row r="9775" spans="5:13" ht="13.5" hidden="1" thickBot="1" x14ac:dyDescent="0.25">
      <c r="G9775" s="505" t="s">
        <v>4393</v>
      </c>
      <c r="H9775" s="405">
        <f>SUM(H9759:H9774)</f>
        <v>0</v>
      </c>
      <c r="I9775" s="405"/>
      <c r="J9775" s="750" t="e">
        <f t="shared" si="135"/>
        <v>#DIV/0!</v>
      </c>
      <c r="K9775" s="406">
        <f>SUM(K9760:K9774)</f>
        <v>0</v>
      </c>
      <c r="L9775" s="406"/>
      <c r="M9775" s="682"/>
    </row>
    <row r="9776" spans="5:13" ht="25.5" hidden="1" collapsed="1" x14ac:dyDescent="0.2">
      <c r="E9776" s="500"/>
      <c r="F9776" s="498"/>
      <c r="G9776" s="506" t="s">
        <v>4296</v>
      </c>
      <c r="H9776" s="407"/>
      <c r="I9776" s="408"/>
      <c r="J9776" s="750" t="e">
        <f t="shared" si="135"/>
        <v>#DIV/0!</v>
      </c>
      <c r="K9776" s="409"/>
      <c r="L9776" s="410"/>
      <c r="M9776" s="682"/>
    </row>
    <row r="9777" spans="5:13" hidden="1" x14ac:dyDescent="0.2">
      <c r="E9777" s="502"/>
      <c r="F9777" s="503" t="s">
        <v>234</v>
      </c>
      <c r="G9777" s="504" t="s">
        <v>235</v>
      </c>
      <c r="H9777" s="403">
        <f>SUM(H9698:H9757)</f>
        <v>0</v>
      </c>
      <c r="I9777" s="403"/>
      <c r="J9777" s="750" t="e">
        <f t="shared" si="135"/>
        <v>#DIV/0!</v>
      </c>
      <c r="K9777" s="404"/>
      <c r="L9777" s="404"/>
      <c r="M9777" s="682"/>
    </row>
    <row r="9778" spans="5:13" hidden="1" x14ac:dyDescent="0.2">
      <c r="F9778" s="503" t="s">
        <v>236</v>
      </c>
      <c r="G9778" s="504" t="s">
        <v>237</v>
      </c>
      <c r="H9778" s="397"/>
      <c r="I9778" s="397"/>
      <c r="J9778" s="750" t="e">
        <f t="shared" si="135"/>
        <v>#DIV/0!</v>
      </c>
      <c r="K9778" s="398"/>
      <c r="L9778" s="404"/>
      <c r="M9778" s="682"/>
    </row>
    <row r="9779" spans="5:13" hidden="1" x14ac:dyDescent="0.2">
      <c r="F9779" s="503" t="s">
        <v>238</v>
      </c>
      <c r="G9779" s="504" t="s">
        <v>239</v>
      </c>
      <c r="H9779" s="397"/>
      <c r="I9779" s="397"/>
      <c r="J9779" s="750" t="e">
        <f t="shared" si="135"/>
        <v>#DIV/0!</v>
      </c>
      <c r="K9779" s="398"/>
      <c r="L9779" s="404"/>
      <c r="M9779" s="682"/>
    </row>
    <row r="9780" spans="5:13" hidden="1" x14ac:dyDescent="0.2">
      <c r="F9780" s="503" t="s">
        <v>240</v>
      </c>
      <c r="G9780" s="504" t="s">
        <v>241</v>
      </c>
      <c r="H9780" s="397"/>
      <c r="I9780" s="397"/>
      <c r="J9780" s="750" t="e">
        <f t="shared" si="135"/>
        <v>#DIV/0!</v>
      </c>
      <c r="K9780" s="398"/>
      <c r="L9780" s="404"/>
      <c r="M9780" s="682"/>
    </row>
    <row r="9781" spans="5:13" hidden="1" x14ac:dyDescent="0.2">
      <c r="F9781" s="503" t="s">
        <v>242</v>
      </c>
      <c r="G9781" s="504" t="s">
        <v>243</v>
      </c>
      <c r="H9781" s="397"/>
      <c r="I9781" s="397"/>
      <c r="J9781" s="750" t="e">
        <f t="shared" si="135"/>
        <v>#DIV/0!</v>
      </c>
      <c r="K9781" s="398"/>
      <c r="L9781" s="404"/>
      <c r="M9781" s="682"/>
    </row>
    <row r="9782" spans="5:13" hidden="1" x14ac:dyDescent="0.2">
      <c r="F9782" s="503" t="s">
        <v>244</v>
      </c>
      <c r="G9782" s="504" t="s">
        <v>245</v>
      </c>
      <c r="H9782" s="397"/>
      <c r="I9782" s="397"/>
      <c r="J9782" s="750" t="e">
        <f t="shared" si="135"/>
        <v>#DIV/0!</v>
      </c>
      <c r="K9782" s="398"/>
      <c r="L9782" s="404"/>
      <c r="M9782" s="682"/>
    </row>
    <row r="9783" spans="5:13" hidden="1" x14ac:dyDescent="0.2">
      <c r="F9783" s="503" t="s">
        <v>246</v>
      </c>
      <c r="G9783" s="504" t="s">
        <v>247</v>
      </c>
      <c r="H9783" s="397"/>
      <c r="I9783" s="397"/>
      <c r="J9783" s="750" t="e">
        <f t="shared" si="135"/>
        <v>#DIV/0!</v>
      </c>
      <c r="K9783" s="398"/>
      <c r="L9783" s="404"/>
      <c r="M9783" s="682"/>
    </row>
    <row r="9784" spans="5:13" ht="25.5" hidden="1" x14ac:dyDescent="0.2">
      <c r="F9784" s="503" t="s">
        <v>248</v>
      </c>
      <c r="G9784" s="504" t="s">
        <v>249</v>
      </c>
      <c r="H9784" s="397"/>
      <c r="I9784" s="397"/>
      <c r="J9784" s="750" t="e">
        <f t="shared" si="135"/>
        <v>#DIV/0!</v>
      </c>
      <c r="K9784" s="398"/>
      <c r="L9784" s="404"/>
      <c r="M9784" s="682"/>
    </row>
    <row r="9785" spans="5:13" hidden="1" x14ac:dyDescent="0.2">
      <c r="F9785" s="503" t="s">
        <v>250</v>
      </c>
      <c r="G9785" s="504" t="s">
        <v>57</v>
      </c>
      <c r="H9785" s="397"/>
      <c r="I9785" s="397"/>
      <c r="J9785" s="750" t="e">
        <f t="shared" si="135"/>
        <v>#DIV/0!</v>
      </c>
      <c r="K9785" s="398"/>
      <c r="L9785" s="404"/>
      <c r="M9785" s="682"/>
    </row>
    <row r="9786" spans="5:13" hidden="1" x14ac:dyDescent="0.2">
      <c r="F9786" s="503" t="s">
        <v>251</v>
      </c>
      <c r="G9786" s="504" t="s">
        <v>252</v>
      </c>
      <c r="H9786" s="397"/>
      <c r="I9786" s="397"/>
      <c r="J9786" s="750" t="e">
        <f t="shared" si="135"/>
        <v>#DIV/0!</v>
      </c>
      <c r="K9786" s="398"/>
      <c r="L9786" s="404"/>
      <c r="M9786" s="682"/>
    </row>
    <row r="9787" spans="5:13" hidden="1" x14ac:dyDescent="0.2">
      <c r="F9787" s="503" t="s">
        <v>253</v>
      </c>
      <c r="G9787" s="504" t="s">
        <v>254</v>
      </c>
      <c r="H9787" s="397"/>
      <c r="I9787" s="397"/>
      <c r="J9787" s="750" t="e">
        <f t="shared" si="135"/>
        <v>#DIV/0!</v>
      </c>
      <c r="K9787" s="398"/>
      <c r="L9787" s="404"/>
      <c r="M9787" s="682"/>
    </row>
    <row r="9788" spans="5:13" ht="25.5" hidden="1" x14ac:dyDescent="0.2">
      <c r="F9788" s="503" t="s">
        <v>255</v>
      </c>
      <c r="G9788" s="504" t="s">
        <v>256</v>
      </c>
      <c r="H9788" s="397"/>
      <c r="I9788" s="397"/>
      <c r="J9788" s="750" t="e">
        <f t="shared" si="135"/>
        <v>#DIV/0!</v>
      </c>
      <c r="K9788" s="398"/>
      <c r="L9788" s="404"/>
      <c r="M9788" s="682"/>
    </row>
    <row r="9789" spans="5:13" ht="25.5" hidden="1" x14ac:dyDescent="0.2">
      <c r="F9789" s="503" t="s">
        <v>257</v>
      </c>
      <c r="G9789" s="504" t="s">
        <v>258</v>
      </c>
      <c r="H9789" s="397"/>
      <c r="I9789" s="397"/>
      <c r="J9789" s="750" t="e">
        <f t="shared" si="135"/>
        <v>#DIV/0!</v>
      </c>
      <c r="K9789" s="398"/>
      <c r="L9789" s="404"/>
      <c r="M9789" s="682"/>
    </row>
    <row r="9790" spans="5:13" ht="25.5" hidden="1" x14ac:dyDescent="0.2">
      <c r="F9790" s="503" t="s">
        <v>259</v>
      </c>
      <c r="G9790" s="504" t="s">
        <v>260</v>
      </c>
      <c r="H9790" s="397"/>
      <c r="I9790" s="397"/>
      <c r="J9790" s="750" t="e">
        <f t="shared" si="135"/>
        <v>#DIV/0!</v>
      </c>
      <c r="K9790" s="398"/>
      <c r="L9790" s="404"/>
      <c r="M9790" s="682"/>
    </row>
    <row r="9791" spans="5:13" ht="25.5" hidden="1" x14ac:dyDescent="0.2">
      <c r="F9791" s="503" t="s">
        <v>261</v>
      </c>
      <c r="G9791" s="504" t="s">
        <v>262</v>
      </c>
      <c r="H9791" s="397"/>
      <c r="I9791" s="397"/>
      <c r="J9791" s="750" t="e">
        <f t="shared" si="135"/>
        <v>#DIV/0!</v>
      </c>
      <c r="K9791" s="398"/>
      <c r="L9791" s="404"/>
      <c r="M9791" s="682"/>
    </row>
    <row r="9792" spans="5:13" hidden="1" x14ac:dyDescent="0.2">
      <c r="F9792" s="503" t="s">
        <v>263</v>
      </c>
      <c r="G9792" s="504" t="s">
        <v>264</v>
      </c>
      <c r="H9792" s="403"/>
      <c r="I9792" s="403"/>
      <c r="J9792" s="750" t="e">
        <f t="shared" si="135"/>
        <v>#DIV/0!</v>
      </c>
      <c r="K9792" s="404"/>
      <c r="L9792" s="404"/>
      <c r="M9792" s="682"/>
    </row>
    <row r="9793" spans="3:13" ht="13.5" hidden="1" collapsed="1" thickBot="1" x14ac:dyDescent="0.25">
      <c r="G9793" s="505" t="s">
        <v>4394</v>
      </c>
      <c r="H9793" s="405">
        <f>SUM(H9777:H9792)</f>
        <v>0</v>
      </c>
      <c r="I9793" s="405"/>
      <c r="J9793" s="750" t="e">
        <f t="shared" si="135"/>
        <v>#DIV/0!</v>
      </c>
      <c r="K9793" s="406">
        <f>SUM(K9778:K9792)</f>
        <v>0</v>
      </c>
      <c r="L9793" s="406"/>
      <c r="M9793" s="682"/>
    </row>
    <row r="9794" spans="3:13" hidden="1" x14ac:dyDescent="0.2">
      <c r="H9794" s="397"/>
      <c r="I9794" s="397"/>
      <c r="J9794" s="750" t="e">
        <f t="shared" si="135"/>
        <v>#DIV/0!</v>
      </c>
      <c r="K9794" s="398"/>
      <c r="L9794" s="398"/>
      <c r="M9794" s="682"/>
    </row>
    <row r="9795" spans="3:13" hidden="1" x14ac:dyDescent="0.2">
      <c r="C9795" s="489" t="s">
        <v>4583</v>
      </c>
      <c r="D9795" s="490"/>
      <c r="G9795" s="508" t="s">
        <v>5082</v>
      </c>
      <c r="H9795" s="397"/>
      <c r="I9795" s="397"/>
      <c r="J9795" s="750" t="e">
        <f t="shared" si="135"/>
        <v>#DIV/0!</v>
      </c>
      <c r="K9795" s="398"/>
      <c r="L9795" s="398"/>
      <c r="M9795" s="682"/>
    </row>
    <row r="9796" spans="3:13" hidden="1" x14ac:dyDescent="0.2">
      <c r="C9796" s="489"/>
      <c r="D9796" s="492">
        <v>473</v>
      </c>
      <c r="E9796" s="492"/>
      <c r="F9796" s="492"/>
      <c r="G9796" s="551" t="s">
        <v>162</v>
      </c>
      <c r="H9796" s="397"/>
      <c r="I9796" s="397"/>
      <c r="J9796" s="750" t="e">
        <f t="shared" si="135"/>
        <v>#DIV/0!</v>
      </c>
      <c r="K9796" s="398"/>
      <c r="L9796" s="398"/>
      <c r="M9796" s="682"/>
    </row>
    <row r="9797" spans="3:13" hidden="1" x14ac:dyDescent="0.2">
      <c r="F9797" s="494">
        <v>411</v>
      </c>
      <c r="G9797" s="495" t="s">
        <v>4167</v>
      </c>
      <c r="H9797" s="397"/>
      <c r="I9797" s="397"/>
      <c r="J9797" s="750" t="e">
        <f t="shared" si="135"/>
        <v>#DIV/0!</v>
      </c>
      <c r="K9797" s="398"/>
      <c r="L9797" s="398"/>
      <c r="M9797" s="682"/>
    </row>
    <row r="9798" spans="3:13" hidden="1" x14ac:dyDescent="0.2">
      <c r="F9798" s="494">
        <v>412</v>
      </c>
      <c r="G9798" s="496" t="s">
        <v>3764</v>
      </c>
      <c r="H9798" s="397"/>
      <c r="I9798" s="397"/>
      <c r="J9798" s="750" t="e">
        <f t="shared" si="135"/>
        <v>#DIV/0!</v>
      </c>
      <c r="K9798" s="398"/>
      <c r="L9798" s="398"/>
      <c r="M9798" s="682"/>
    </row>
    <row r="9799" spans="3:13" hidden="1" x14ac:dyDescent="0.2">
      <c r="F9799" s="494">
        <v>413</v>
      </c>
      <c r="G9799" s="495" t="s">
        <v>4168</v>
      </c>
      <c r="H9799" s="397"/>
      <c r="I9799" s="397"/>
      <c r="J9799" s="750" t="e">
        <f t="shared" si="135"/>
        <v>#DIV/0!</v>
      </c>
      <c r="K9799" s="398"/>
      <c r="L9799" s="398"/>
      <c r="M9799" s="682"/>
    </row>
    <row r="9800" spans="3:13" hidden="1" x14ac:dyDescent="0.2">
      <c r="F9800" s="494">
        <v>414</v>
      </c>
      <c r="G9800" s="495" t="s">
        <v>3767</v>
      </c>
      <c r="H9800" s="397"/>
      <c r="I9800" s="397"/>
      <c r="J9800" s="750" t="e">
        <f t="shared" si="135"/>
        <v>#DIV/0!</v>
      </c>
      <c r="K9800" s="398"/>
      <c r="L9800" s="398"/>
      <c r="M9800" s="682"/>
    </row>
    <row r="9801" spans="3:13" hidden="1" x14ac:dyDescent="0.2">
      <c r="F9801" s="494">
        <v>415</v>
      </c>
      <c r="G9801" s="495" t="s">
        <v>4177</v>
      </c>
      <c r="H9801" s="397"/>
      <c r="I9801" s="397"/>
      <c r="J9801" s="750" t="e">
        <f t="shared" si="135"/>
        <v>#DIV/0!</v>
      </c>
      <c r="K9801" s="398"/>
      <c r="L9801" s="398"/>
      <c r="M9801" s="682"/>
    </row>
    <row r="9802" spans="3:13" ht="25.5" hidden="1" x14ac:dyDescent="0.2">
      <c r="F9802" s="494">
        <v>416</v>
      </c>
      <c r="G9802" s="495" t="s">
        <v>4178</v>
      </c>
      <c r="H9802" s="397"/>
      <c r="I9802" s="397"/>
      <c r="J9802" s="750" t="e">
        <f t="shared" si="135"/>
        <v>#DIV/0!</v>
      </c>
      <c r="K9802" s="398"/>
      <c r="L9802" s="398"/>
      <c r="M9802" s="682"/>
    </row>
    <row r="9803" spans="3:13" hidden="1" x14ac:dyDescent="0.2">
      <c r="F9803" s="494">
        <v>417</v>
      </c>
      <c r="G9803" s="495" t="s">
        <v>4179</v>
      </c>
      <c r="H9803" s="397"/>
      <c r="I9803" s="397"/>
      <c r="J9803" s="750" t="e">
        <f t="shared" si="135"/>
        <v>#DIV/0!</v>
      </c>
      <c r="K9803" s="398"/>
      <c r="L9803" s="398"/>
      <c r="M9803" s="682"/>
    </row>
    <row r="9804" spans="3:13" hidden="1" x14ac:dyDescent="0.2">
      <c r="F9804" s="494">
        <v>418</v>
      </c>
      <c r="G9804" s="495" t="s">
        <v>3773</v>
      </c>
      <c r="H9804" s="397"/>
      <c r="I9804" s="397"/>
      <c r="J9804" s="750" t="e">
        <f t="shared" si="135"/>
        <v>#DIV/0!</v>
      </c>
      <c r="K9804" s="398"/>
      <c r="L9804" s="398"/>
      <c r="M9804" s="682"/>
    </row>
    <row r="9805" spans="3:13" hidden="1" x14ac:dyDescent="0.2">
      <c r="F9805" s="494">
        <v>421</v>
      </c>
      <c r="G9805" s="495" t="s">
        <v>3777</v>
      </c>
      <c r="H9805" s="397"/>
      <c r="I9805" s="397"/>
      <c r="J9805" s="750" t="e">
        <f t="shared" si="135"/>
        <v>#DIV/0!</v>
      </c>
      <c r="K9805" s="398"/>
      <c r="L9805" s="398"/>
      <c r="M9805" s="682"/>
    </row>
    <row r="9806" spans="3:13" hidden="1" x14ac:dyDescent="0.2">
      <c r="F9806" s="494">
        <v>422</v>
      </c>
      <c r="G9806" s="495" t="s">
        <v>3778</v>
      </c>
      <c r="H9806" s="397"/>
      <c r="I9806" s="397"/>
      <c r="J9806" s="750" t="e">
        <f t="shared" ref="J9806:J9869" si="136">SUM(I9806/H9806)*100</f>
        <v>#DIV/0!</v>
      </c>
      <c r="K9806" s="398"/>
      <c r="L9806" s="398"/>
      <c r="M9806" s="682"/>
    </row>
    <row r="9807" spans="3:13" hidden="1" x14ac:dyDescent="0.2">
      <c r="F9807" s="494">
        <v>423</v>
      </c>
      <c r="G9807" s="495" t="s">
        <v>3779</v>
      </c>
      <c r="H9807" s="397"/>
      <c r="I9807" s="397"/>
      <c r="J9807" s="750" t="e">
        <f t="shared" si="136"/>
        <v>#DIV/0!</v>
      </c>
      <c r="K9807" s="398"/>
      <c r="L9807" s="398"/>
      <c r="M9807" s="682"/>
    </row>
    <row r="9808" spans="3:13" hidden="1" x14ac:dyDescent="0.2">
      <c r="F9808" s="494">
        <v>424</v>
      </c>
      <c r="G9808" s="495" t="s">
        <v>3781</v>
      </c>
      <c r="H9808" s="397"/>
      <c r="I9808" s="397"/>
      <c r="J9808" s="750" t="e">
        <f t="shared" si="136"/>
        <v>#DIV/0!</v>
      </c>
      <c r="K9808" s="398"/>
      <c r="L9808" s="398"/>
      <c r="M9808" s="682"/>
    </row>
    <row r="9809" spans="6:13" hidden="1" x14ac:dyDescent="0.2">
      <c r="F9809" s="494">
        <v>425</v>
      </c>
      <c r="G9809" s="495" t="s">
        <v>4180</v>
      </c>
      <c r="H9809" s="397"/>
      <c r="I9809" s="397"/>
      <c r="J9809" s="750" t="e">
        <f t="shared" si="136"/>
        <v>#DIV/0!</v>
      </c>
      <c r="K9809" s="398"/>
      <c r="L9809" s="398"/>
      <c r="M9809" s="682"/>
    </row>
    <row r="9810" spans="6:13" hidden="1" x14ac:dyDescent="0.2">
      <c r="F9810" s="494">
        <v>426</v>
      </c>
      <c r="G9810" s="495" t="s">
        <v>3785</v>
      </c>
      <c r="H9810" s="397"/>
      <c r="I9810" s="397"/>
      <c r="J9810" s="750" t="e">
        <f t="shared" si="136"/>
        <v>#DIV/0!</v>
      </c>
      <c r="K9810" s="398"/>
      <c r="L9810" s="398"/>
      <c r="M9810" s="682"/>
    </row>
    <row r="9811" spans="6:13" hidden="1" x14ac:dyDescent="0.2">
      <c r="F9811" s="494">
        <v>431</v>
      </c>
      <c r="G9811" s="495" t="s">
        <v>4181</v>
      </c>
      <c r="H9811" s="397"/>
      <c r="I9811" s="397"/>
      <c r="J9811" s="750" t="e">
        <f t="shared" si="136"/>
        <v>#DIV/0!</v>
      </c>
      <c r="K9811" s="398"/>
      <c r="L9811" s="398"/>
      <c r="M9811" s="682"/>
    </row>
    <row r="9812" spans="6:13" hidden="1" x14ac:dyDescent="0.2">
      <c r="F9812" s="494">
        <v>432</v>
      </c>
      <c r="G9812" s="495" t="s">
        <v>4182</v>
      </c>
      <c r="H9812" s="397"/>
      <c r="I9812" s="397"/>
      <c r="J9812" s="750" t="e">
        <f t="shared" si="136"/>
        <v>#DIV/0!</v>
      </c>
      <c r="K9812" s="398"/>
      <c r="L9812" s="398"/>
      <c r="M9812" s="682"/>
    </row>
    <row r="9813" spans="6:13" hidden="1" x14ac:dyDescent="0.2">
      <c r="F9813" s="494">
        <v>433</v>
      </c>
      <c r="G9813" s="495" t="s">
        <v>4183</v>
      </c>
      <c r="H9813" s="397"/>
      <c r="I9813" s="397"/>
      <c r="J9813" s="750" t="e">
        <f t="shared" si="136"/>
        <v>#DIV/0!</v>
      </c>
      <c r="K9813" s="398"/>
      <c r="L9813" s="398"/>
      <c r="M9813" s="682"/>
    </row>
    <row r="9814" spans="6:13" hidden="1" x14ac:dyDescent="0.2">
      <c r="F9814" s="494">
        <v>434</v>
      </c>
      <c r="G9814" s="495" t="s">
        <v>4184</v>
      </c>
      <c r="H9814" s="397"/>
      <c r="I9814" s="397"/>
      <c r="J9814" s="750" t="e">
        <f t="shared" si="136"/>
        <v>#DIV/0!</v>
      </c>
      <c r="K9814" s="398"/>
      <c r="L9814" s="398"/>
      <c r="M9814" s="682"/>
    </row>
    <row r="9815" spans="6:13" hidden="1" x14ac:dyDescent="0.2">
      <c r="F9815" s="494">
        <v>435</v>
      </c>
      <c r="G9815" s="495" t="s">
        <v>3792</v>
      </c>
      <c r="H9815" s="397"/>
      <c r="I9815" s="397"/>
      <c r="J9815" s="750" t="e">
        <f t="shared" si="136"/>
        <v>#DIV/0!</v>
      </c>
      <c r="K9815" s="398"/>
      <c r="L9815" s="398"/>
      <c r="M9815" s="682"/>
    </row>
    <row r="9816" spans="6:13" hidden="1" x14ac:dyDescent="0.2">
      <c r="F9816" s="494">
        <v>441</v>
      </c>
      <c r="G9816" s="495" t="s">
        <v>4185</v>
      </c>
      <c r="H9816" s="397"/>
      <c r="I9816" s="397"/>
      <c r="J9816" s="750" t="e">
        <f t="shared" si="136"/>
        <v>#DIV/0!</v>
      </c>
      <c r="K9816" s="398"/>
      <c r="L9816" s="398"/>
      <c r="M9816" s="682"/>
    </row>
    <row r="9817" spans="6:13" hidden="1" x14ac:dyDescent="0.2">
      <c r="F9817" s="494">
        <v>442</v>
      </c>
      <c r="G9817" s="495" t="s">
        <v>4186</v>
      </c>
      <c r="H9817" s="397"/>
      <c r="I9817" s="397"/>
      <c r="J9817" s="750" t="e">
        <f t="shared" si="136"/>
        <v>#DIV/0!</v>
      </c>
      <c r="K9817" s="398"/>
      <c r="L9817" s="398"/>
      <c r="M9817" s="682"/>
    </row>
    <row r="9818" spans="6:13" hidden="1" x14ac:dyDescent="0.2">
      <c r="F9818" s="494">
        <v>443</v>
      </c>
      <c r="G9818" s="495" t="s">
        <v>3797</v>
      </c>
      <c r="H9818" s="397"/>
      <c r="I9818" s="397"/>
      <c r="J9818" s="750" t="e">
        <f t="shared" si="136"/>
        <v>#DIV/0!</v>
      </c>
      <c r="K9818" s="398"/>
      <c r="L9818" s="398"/>
      <c r="M9818" s="682"/>
    </row>
    <row r="9819" spans="6:13" hidden="1" x14ac:dyDescent="0.2">
      <c r="F9819" s="494">
        <v>444</v>
      </c>
      <c r="G9819" s="495" t="s">
        <v>3798</v>
      </c>
      <c r="H9819" s="397"/>
      <c r="I9819" s="397"/>
      <c r="J9819" s="750" t="e">
        <f t="shared" si="136"/>
        <v>#DIV/0!</v>
      </c>
      <c r="K9819" s="398"/>
      <c r="L9819" s="398"/>
      <c r="M9819" s="682"/>
    </row>
    <row r="9820" spans="6:13" ht="25.5" hidden="1" x14ac:dyDescent="0.2">
      <c r="F9820" s="494">
        <v>4511</v>
      </c>
      <c r="G9820" s="466" t="s">
        <v>1692</v>
      </c>
      <c r="H9820" s="397"/>
      <c r="I9820" s="397"/>
      <c r="J9820" s="750" t="e">
        <f t="shared" si="136"/>
        <v>#DIV/0!</v>
      </c>
      <c r="K9820" s="398"/>
      <c r="L9820" s="398"/>
      <c r="M9820" s="682"/>
    </row>
    <row r="9821" spans="6:13" ht="25.5" hidden="1" x14ac:dyDescent="0.2">
      <c r="F9821" s="494">
        <v>4512</v>
      </c>
      <c r="G9821" s="466" t="s">
        <v>1701</v>
      </c>
      <c r="H9821" s="397"/>
      <c r="I9821" s="397"/>
      <c r="J9821" s="750" t="e">
        <f t="shared" si="136"/>
        <v>#DIV/0!</v>
      </c>
      <c r="K9821" s="398"/>
      <c r="L9821" s="398"/>
      <c r="M9821" s="682"/>
    </row>
    <row r="9822" spans="6:13" ht="25.5" hidden="1" x14ac:dyDescent="0.2">
      <c r="F9822" s="494">
        <v>452</v>
      </c>
      <c r="G9822" s="495" t="s">
        <v>4187</v>
      </c>
      <c r="H9822" s="397"/>
      <c r="I9822" s="397"/>
      <c r="J9822" s="750" t="e">
        <f t="shared" si="136"/>
        <v>#DIV/0!</v>
      </c>
      <c r="K9822" s="398"/>
      <c r="L9822" s="398"/>
      <c r="M9822" s="682"/>
    </row>
    <row r="9823" spans="6:13" ht="25.5" hidden="1" x14ac:dyDescent="0.2">
      <c r="F9823" s="494">
        <v>453</v>
      </c>
      <c r="G9823" s="495" t="s">
        <v>4188</v>
      </c>
      <c r="H9823" s="397"/>
      <c r="I9823" s="397"/>
      <c r="J9823" s="750" t="e">
        <f t="shared" si="136"/>
        <v>#DIV/0!</v>
      </c>
      <c r="K9823" s="398"/>
      <c r="L9823" s="398"/>
      <c r="M9823" s="682"/>
    </row>
    <row r="9824" spans="6:13" hidden="1" x14ac:dyDescent="0.2">
      <c r="F9824" s="494">
        <v>454</v>
      </c>
      <c r="G9824" s="495" t="s">
        <v>3803</v>
      </c>
      <c r="H9824" s="397"/>
      <c r="I9824" s="397"/>
      <c r="J9824" s="750" t="e">
        <f t="shared" si="136"/>
        <v>#DIV/0!</v>
      </c>
      <c r="K9824" s="398"/>
      <c r="L9824" s="398"/>
      <c r="M9824" s="682"/>
    </row>
    <row r="9825" spans="6:13" hidden="1" x14ac:dyDescent="0.2">
      <c r="F9825" s="494">
        <v>461</v>
      </c>
      <c r="G9825" s="495" t="s">
        <v>4169</v>
      </c>
      <c r="H9825" s="397"/>
      <c r="I9825" s="397"/>
      <c r="J9825" s="750" t="e">
        <f t="shared" si="136"/>
        <v>#DIV/0!</v>
      </c>
      <c r="K9825" s="398"/>
      <c r="L9825" s="398"/>
      <c r="M9825" s="682"/>
    </row>
    <row r="9826" spans="6:13" ht="25.5" hidden="1" x14ac:dyDescent="0.2">
      <c r="F9826" s="494">
        <v>462</v>
      </c>
      <c r="G9826" s="495" t="s">
        <v>3806</v>
      </c>
      <c r="H9826" s="397"/>
      <c r="I9826" s="397"/>
      <c r="J9826" s="750" t="e">
        <f t="shared" si="136"/>
        <v>#DIV/0!</v>
      </c>
      <c r="K9826" s="398"/>
      <c r="L9826" s="398"/>
      <c r="M9826" s="682"/>
    </row>
    <row r="9827" spans="6:13" hidden="1" x14ac:dyDescent="0.2">
      <c r="F9827" s="494">
        <v>4631</v>
      </c>
      <c r="G9827" s="495" t="s">
        <v>3807</v>
      </c>
      <c r="H9827" s="397"/>
      <c r="I9827" s="397"/>
      <c r="J9827" s="750" t="e">
        <f t="shared" si="136"/>
        <v>#DIV/0!</v>
      </c>
      <c r="K9827" s="398"/>
      <c r="L9827" s="398"/>
      <c r="M9827" s="682"/>
    </row>
    <row r="9828" spans="6:13" hidden="1" x14ac:dyDescent="0.2">
      <c r="F9828" s="494">
        <v>4632</v>
      </c>
      <c r="G9828" s="495" t="s">
        <v>3808</v>
      </c>
      <c r="H9828" s="397"/>
      <c r="I9828" s="397"/>
      <c r="J9828" s="750" t="e">
        <f t="shared" si="136"/>
        <v>#DIV/0!</v>
      </c>
      <c r="K9828" s="398"/>
      <c r="L9828" s="398"/>
      <c r="M9828" s="682"/>
    </row>
    <row r="9829" spans="6:13" ht="25.5" hidden="1" x14ac:dyDescent="0.2">
      <c r="F9829" s="494">
        <v>464</v>
      </c>
      <c r="G9829" s="495" t="s">
        <v>3809</v>
      </c>
      <c r="H9829" s="397"/>
      <c r="I9829" s="397"/>
      <c r="J9829" s="750" t="e">
        <f t="shared" si="136"/>
        <v>#DIV/0!</v>
      </c>
      <c r="K9829" s="398"/>
      <c r="L9829" s="398"/>
      <c r="M9829" s="682"/>
    </row>
    <row r="9830" spans="6:13" hidden="1" x14ac:dyDescent="0.2">
      <c r="F9830" s="494">
        <v>465</v>
      </c>
      <c r="G9830" s="495" t="s">
        <v>4170</v>
      </c>
      <c r="H9830" s="397"/>
      <c r="I9830" s="397"/>
      <c r="J9830" s="750" t="e">
        <f t="shared" si="136"/>
        <v>#DIV/0!</v>
      </c>
      <c r="K9830" s="398"/>
      <c r="L9830" s="398"/>
      <c r="M9830" s="682"/>
    </row>
    <row r="9831" spans="6:13" hidden="1" x14ac:dyDescent="0.2">
      <c r="F9831" s="494">
        <v>472</v>
      </c>
      <c r="G9831" s="495" t="s">
        <v>3813</v>
      </c>
      <c r="H9831" s="397"/>
      <c r="I9831" s="397"/>
      <c r="J9831" s="750" t="e">
        <f t="shared" si="136"/>
        <v>#DIV/0!</v>
      </c>
      <c r="K9831" s="398"/>
      <c r="L9831" s="398"/>
      <c r="M9831" s="682"/>
    </row>
    <row r="9832" spans="6:13" hidden="1" x14ac:dyDescent="0.2">
      <c r="F9832" s="494">
        <v>481</v>
      </c>
      <c r="G9832" s="495" t="s">
        <v>4189</v>
      </c>
      <c r="H9832" s="397"/>
      <c r="I9832" s="397"/>
      <c r="J9832" s="750" t="e">
        <f t="shared" si="136"/>
        <v>#DIV/0!</v>
      </c>
      <c r="K9832" s="398"/>
      <c r="L9832" s="398"/>
      <c r="M9832" s="682"/>
    </row>
    <row r="9833" spans="6:13" hidden="1" x14ac:dyDescent="0.2">
      <c r="F9833" s="494">
        <v>482</v>
      </c>
      <c r="G9833" s="495" t="s">
        <v>4190</v>
      </c>
      <c r="H9833" s="397"/>
      <c r="I9833" s="397"/>
      <c r="J9833" s="750" t="e">
        <f t="shared" si="136"/>
        <v>#DIV/0!</v>
      </c>
      <c r="K9833" s="398"/>
      <c r="L9833" s="398"/>
      <c r="M9833" s="682"/>
    </row>
    <row r="9834" spans="6:13" hidden="1" x14ac:dyDescent="0.2">
      <c r="F9834" s="494">
        <v>483</v>
      </c>
      <c r="G9834" s="497" t="s">
        <v>4191</v>
      </c>
      <c r="H9834" s="397"/>
      <c r="I9834" s="397"/>
      <c r="J9834" s="750" t="e">
        <f t="shared" si="136"/>
        <v>#DIV/0!</v>
      </c>
      <c r="K9834" s="398"/>
      <c r="L9834" s="398"/>
      <c r="M9834" s="682"/>
    </row>
    <row r="9835" spans="6:13" ht="38.25" hidden="1" x14ac:dyDescent="0.2">
      <c r="F9835" s="494">
        <v>484</v>
      </c>
      <c r="G9835" s="495" t="s">
        <v>4192</v>
      </c>
      <c r="H9835" s="397"/>
      <c r="I9835" s="397"/>
      <c r="J9835" s="750" t="e">
        <f t="shared" si="136"/>
        <v>#DIV/0!</v>
      </c>
      <c r="K9835" s="398"/>
      <c r="L9835" s="398"/>
      <c r="M9835" s="682"/>
    </row>
    <row r="9836" spans="6:13" ht="25.5" hidden="1" x14ac:dyDescent="0.2">
      <c r="F9836" s="494">
        <v>485</v>
      </c>
      <c r="G9836" s="495" t="s">
        <v>4193</v>
      </c>
      <c r="H9836" s="397"/>
      <c r="I9836" s="397"/>
      <c r="J9836" s="750" t="e">
        <f t="shared" si="136"/>
        <v>#DIV/0!</v>
      </c>
      <c r="K9836" s="398"/>
      <c r="L9836" s="398"/>
      <c r="M9836" s="682"/>
    </row>
    <row r="9837" spans="6:13" ht="25.5" hidden="1" x14ac:dyDescent="0.2">
      <c r="F9837" s="494">
        <v>489</v>
      </c>
      <c r="G9837" s="495" t="s">
        <v>3821</v>
      </c>
      <c r="H9837" s="397"/>
      <c r="I9837" s="397"/>
      <c r="J9837" s="750" t="e">
        <f t="shared" si="136"/>
        <v>#DIV/0!</v>
      </c>
      <c r="K9837" s="398"/>
      <c r="L9837" s="398"/>
      <c r="M9837" s="682"/>
    </row>
    <row r="9838" spans="6:13" ht="25.5" hidden="1" x14ac:dyDescent="0.2">
      <c r="F9838" s="494">
        <v>494</v>
      </c>
      <c r="G9838" s="495" t="s">
        <v>4171</v>
      </c>
      <c r="H9838" s="397"/>
      <c r="I9838" s="397"/>
      <c r="J9838" s="750" t="e">
        <f t="shared" si="136"/>
        <v>#DIV/0!</v>
      </c>
      <c r="K9838" s="398"/>
      <c r="L9838" s="398"/>
      <c r="M9838" s="682"/>
    </row>
    <row r="9839" spans="6:13" ht="25.5" hidden="1" x14ac:dyDescent="0.2">
      <c r="F9839" s="494">
        <v>495</v>
      </c>
      <c r="G9839" s="495" t="s">
        <v>4172</v>
      </c>
      <c r="H9839" s="397"/>
      <c r="I9839" s="397"/>
      <c r="J9839" s="750" t="e">
        <f t="shared" si="136"/>
        <v>#DIV/0!</v>
      </c>
      <c r="K9839" s="398"/>
      <c r="L9839" s="398"/>
      <c r="M9839" s="682"/>
    </row>
    <row r="9840" spans="6:13" ht="38.25" hidden="1" x14ac:dyDescent="0.2">
      <c r="F9840" s="494">
        <v>496</v>
      </c>
      <c r="G9840" s="495" t="s">
        <v>4173</v>
      </c>
      <c r="H9840" s="397"/>
      <c r="I9840" s="397"/>
      <c r="J9840" s="750" t="e">
        <f t="shared" si="136"/>
        <v>#DIV/0!</v>
      </c>
      <c r="K9840" s="398"/>
      <c r="L9840" s="398"/>
      <c r="M9840" s="682"/>
    </row>
    <row r="9841" spans="6:13" ht="25.5" hidden="1" x14ac:dyDescent="0.2">
      <c r="F9841" s="494">
        <v>499</v>
      </c>
      <c r="G9841" s="495" t="s">
        <v>4174</v>
      </c>
      <c r="H9841" s="397"/>
      <c r="I9841" s="397"/>
      <c r="J9841" s="750" t="e">
        <f t="shared" si="136"/>
        <v>#DIV/0!</v>
      </c>
      <c r="K9841" s="398"/>
      <c r="L9841" s="398"/>
      <c r="M9841" s="682"/>
    </row>
    <row r="9842" spans="6:13" hidden="1" x14ac:dyDescent="0.2">
      <c r="F9842" s="494">
        <v>511</v>
      </c>
      <c r="G9842" s="497" t="s">
        <v>4194</v>
      </c>
      <c r="H9842" s="397"/>
      <c r="I9842" s="397"/>
      <c r="J9842" s="750" t="e">
        <f t="shared" si="136"/>
        <v>#DIV/0!</v>
      </c>
      <c r="K9842" s="398"/>
      <c r="L9842" s="398"/>
      <c r="M9842" s="682"/>
    </row>
    <row r="9843" spans="6:13" hidden="1" x14ac:dyDescent="0.2">
      <c r="F9843" s="494">
        <v>512</v>
      </c>
      <c r="G9843" s="497" t="s">
        <v>4195</v>
      </c>
      <c r="H9843" s="397"/>
      <c r="I9843" s="397"/>
      <c r="J9843" s="750" t="e">
        <f t="shared" si="136"/>
        <v>#DIV/0!</v>
      </c>
      <c r="K9843" s="398"/>
      <c r="L9843" s="398"/>
      <c r="M9843" s="682"/>
    </row>
    <row r="9844" spans="6:13" hidden="1" x14ac:dyDescent="0.2">
      <c r="F9844" s="494">
        <v>513</v>
      </c>
      <c r="G9844" s="497" t="s">
        <v>4196</v>
      </c>
      <c r="H9844" s="397"/>
      <c r="I9844" s="397"/>
      <c r="J9844" s="750" t="e">
        <f t="shared" si="136"/>
        <v>#DIV/0!</v>
      </c>
      <c r="K9844" s="398"/>
      <c r="L9844" s="398"/>
      <c r="M9844" s="682"/>
    </row>
    <row r="9845" spans="6:13" hidden="1" x14ac:dyDescent="0.2">
      <c r="F9845" s="494">
        <v>514</v>
      </c>
      <c r="G9845" s="495" t="s">
        <v>4197</v>
      </c>
      <c r="H9845" s="397"/>
      <c r="I9845" s="397"/>
      <c r="J9845" s="750" t="e">
        <f t="shared" si="136"/>
        <v>#DIV/0!</v>
      </c>
      <c r="K9845" s="398"/>
      <c r="L9845" s="398"/>
      <c r="M9845" s="682"/>
    </row>
    <row r="9846" spans="6:13" hidden="1" x14ac:dyDescent="0.2">
      <c r="F9846" s="494">
        <v>515</v>
      </c>
      <c r="G9846" s="495" t="s">
        <v>3832</v>
      </c>
      <c r="H9846" s="397"/>
      <c r="I9846" s="397"/>
      <c r="J9846" s="750" t="e">
        <f t="shared" si="136"/>
        <v>#DIV/0!</v>
      </c>
      <c r="K9846" s="398"/>
      <c r="L9846" s="398"/>
      <c r="M9846" s="682"/>
    </row>
    <row r="9847" spans="6:13" hidden="1" x14ac:dyDescent="0.2">
      <c r="F9847" s="494">
        <v>521</v>
      </c>
      <c r="G9847" s="495" t="s">
        <v>4198</v>
      </c>
      <c r="H9847" s="397"/>
      <c r="I9847" s="397"/>
      <c r="J9847" s="750" t="e">
        <f t="shared" si="136"/>
        <v>#DIV/0!</v>
      </c>
      <c r="K9847" s="398"/>
      <c r="L9847" s="398"/>
      <c r="M9847" s="682"/>
    </row>
    <row r="9848" spans="6:13" hidden="1" x14ac:dyDescent="0.2">
      <c r="F9848" s="494">
        <v>522</v>
      </c>
      <c r="G9848" s="495" t="s">
        <v>4199</v>
      </c>
      <c r="H9848" s="397"/>
      <c r="I9848" s="397"/>
      <c r="J9848" s="750" t="e">
        <f t="shared" si="136"/>
        <v>#DIV/0!</v>
      </c>
      <c r="K9848" s="398"/>
      <c r="L9848" s="398"/>
      <c r="M9848" s="682"/>
    </row>
    <row r="9849" spans="6:13" hidden="1" x14ac:dyDescent="0.2">
      <c r="F9849" s="494">
        <v>523</v>
      </c>
      <c r="G9849" s="495" t="s">
        <v>3837</v>
      </c>
      <c r="H9849" s="397"/>
      <c r="I9849" s="397"/>
      <c r="J9849" s="750" t="e">
        <f t="shared" si="136"/>
        <v>#DIV/0!</v>
      </c>
      <c r="K9849" s="398"/>
      <c r="L9849" s="398"/>
      <c r="M9849" s="682"/>
    </row>
    <row r="9850" spans="6:13" hidden="1" x14ac:dyDescent="0.2">
      <c r="F9850" s="494">
        <v>531</v>
      </c>
      <c r="G9850" s="496" t="s">
        <v>4175</v>
      </c>
      <c r="H9850" s="397"/>
      <c r="I9850" s="397"/>
      <c r="J9850" s="750" t="e">
        <f t="shared" si="136"/>
        <v>#DIV/0!</v>
      </c>
      <c r="K9850" s="398"/>
      <c r="L9850" s="398"/>
      <c r="M9850" s="682"/>
    </row>
    <row r="9851" spans="6:13" hidden="1" x14ac:dyDescent="0.2">
      <c r="F9851" s="494">
        <v>541</v>
      </c>
      <c r="G9851" s="495" t="s">
        <v>4200</v>
      </c>
      <c r="H9851" s="397"/>
      <c r="I9851" s="397"/>
      <c r="J9851" s="750" t="e">
        <f t="shared" si="136"/>
        <v>#DIV/0!</v>
      </c>
      <c r="K9851" s="398"/>
      <c r="L9851" s="398"/>
      <c r="M9851" s="682"/>
    </row>
    <row r="9852" spans="6:13" hidden="1" x14ac:dyDescent="0.2">
      <c r="F9852" s="494">
        <v>542</v>
      </c>
      <c r="G9852" s="495" t="s">
        <v>4201</v>
      </c>
      <c r="H9852" s="397"/>
      <c r="I9852" s="397"/>
      <c r="J9852" s="750" t="e">
        <f t="shared" si="136"/>
        <v>#DIV/0!</v>
      </c>
      <c r="K9852" s="398"/>
      <c r="L9852" s="398"/>
      <c r="M9852" s="682"/>
    </row>
    <row r="9853" spans="6:13" hidden="1" x14ac:dyDescent="0.2">
      <c r="F9853" s="494">
        <v>543</v>
      </c>
      <c r="G9853" s="495" t="s">
        <v>3842</v>
      </c>
      <c r="H9853" s="397"/>
      <c r="I9853" s="397"/>
      <c r="J9853" s="750" t="e">
        <f t="shared" si="136"/>
        <v>#DIV/0!</v>
      </c>
      <c r="K9853" s="398"/>
      <c r="L9853" s="398"/>
      <c r="M9853" s="682"/>
    </row>
    <row r="9854" spans="6:13" ht="38.25" hidden="1" x14ac:dyDescent="0.2">
      <c r="F9854" s="494">
        <v>551</v>
      </c>
      <c r="G9854" s="495" t="s">
        <v>4176</v>
      </c>
      <c r="H9854" s="397"/>
      <c r="I9854" s="397"/>
      <c r="J9854" s="750" t="e">
        <f t="shared" si="136"/>
        <v>#DIV/0!</v>
      </c>
      <c r="K9854" s="398"/>
      <c r="L9854" s="398"/>
      <c r="M9854" s="682"/>
    </row>
    <row r="9855" spans="6:13" hidden="1" x14ac:dyDescent="0.2">
      <c r="F9855" s="498">
        <v>611</v>
      </c>
      <c r="G9855" s="499" t="s">
        <v>3848</v>
      </c>
      <c r="H9855" s="397"/>
      <c r="I9855" s="397"/>
      <c r="J9855" s="750" t="e">
        <f t="shared" si="136"/>
        <v>#DIV/0!</v>
      </c>
      <c r="K9855" s="398"/>
      <c r="L9855" s="398"/>
      <c r="M9855" s="682"/>
    </row>
    <row r="9856" spans="6:13" hidden="1" x14ac:dyDescent="0.2">
      <c r="F9856" s="498">
        <v>620</v>
      </c>
      <c r="G9856" s="499" t="s">
        <v>88</v>
      </c>
      <c r="H9856" s="397"/>
      <c r="I9856" s="397"/>
      <c r="J9856" s="750" t="e">
        <f t="shared" si="136"/>
        <v>#DIV/0!</v>
      </c>
      <c r="K9856" s="398"/>
      <c r="L9856" s="398"/>
      <c r="M9856" s="682"/>
    </row>
    <row r="9857" spans="5:13" hidden="1" x14ac:dyDescent="0.2">
      <c r="E9857" s="500"/>
      <c r="F9857" s="498"/>
      <c r="G9857" s="501" t="s">
        <v>4392</v>
      </c>
      <c r="H9857" s="400"/>
      <c r="I9857" s="400"/>
      <c r="J9857" s="750" t="e">
        <f t="shared" si="136"/>
        <v>#DIV/0!</v>
      </c>
      <c r="K9857" s="401"/>
      <c r="L9857" s="402"/>
      <c r="M9857" s="682"/>
    </row>
    <row r="9858" spans="5:13" hidden="1" x14ac:dyDescent="0.2">
      <c r="E9858" s="502"/>
      <c r="F9858" s="503" t="s">
        <v>234</v>
      </c>
      <c r="G9858" s="504" t="s">
        <v>235</v>
      </c>
      <c r="H9858" s="403">
        <f>SUM(H9797:H9856)</f>
        <v>0</v>
      </c>
      <c r="I9858" s="403"/>
      <c r="J9858" s="750" t="e">
        <f t="shared" si="136"/>
        <v>#DIV/0!</v>
      </c>
      <c r="K9858" s="404"/>
      <c r="L9858" s="404"/>
      <c r="M9858" s="682"/>
    </row>
    <row r="9859" spans="5:13" hidden="1" x14ac:dyDescent="0.2">
      <c r="F9859" s="503" t="s">
        <v>236</v>
      </c>
      <c r="G9859" s="504" t="s">
        <v>237</v>
      </c>
      <c r="H9859" s="397"/>
      <c r="I9859" s="397"/>
      <c r="J9859" s="750" t="e">
        <f t="shared" si="136"/>
        <v>#DIV/0!</v>
      </c>
      <c r="K9859" s="398"/>
      <c r="L9859" s="404"/>
      <c r="M9859" s="682"/>
    </row>
    <row r="9860" spans="5:13" hidden="1" x14ac:dyDescent="0.2">
      <c r="F9860" s="503" t="s">
        <v>238</v>
      </c>
      <c r="G9860" s="504" t="s">
        <v>239</v>
      </c>
      <c r="H9860" s="397"/>
      <c r="I9860" s="397"/>
      <c r="J9860" s="750" t="e">
        <f t="shared" si="136"/>
        <v>#DIV/0!</v>
      </c>
      <c r="K9860" s="398"/>
      <c r="L9860" s="404"/>
      <c r="M9860" s="682"/>
    </row>
    <row r="9861" spans="5:13" hidden="1" x14ac:dyDescent="0.2">
      <c r="F9861" s="503" t="s">
        <v>240</v>
      </c>
      <c r="G9861" s="504" t="s">
        <v>241</v>
      </c>
      <c r="H9861" s="397"/>
      <c r="I9861" s="397"/>
      <c r="J9861" s="750" t="e">
        <f t="shared" si="136"/>
        <v>#DIV/0!</v>
      </c>
      <c r="K9861" s="398"/>
      <c r="L9861" s="404"/>
      <c r="M9861" s="682"/>
    </row>
    <row r="9862" spans="5:13" hidden="1" x14ac:dyDescent="0.2">
      <c r="F9862" s="503" t="s">
        <v>242</v>
      </c>
      <c r="G9862" s="504" t="s">
        <v>243</v>
      </c>
      <c r="H9862" s="397"/>
      <c r="I9862" s="397"/>
      <c r="J9862" s="750" t="e">
        <f t="shared" si="136"/>
        <v>#DIV/0!</v>
      </c>
      <c r="K9862" s="398"/>
      <c r="L9862" s="404"/>
      <c r="M9862" s="682"/>
    </row>
    <row r="9863" spans="5:13" hidden="1" x14ac:dyDescent="0.2">
      <c r="F9863" s="503" t="s">
        <v>244</v>
      </c>
      <c r="G9863" s="504" t="s">
        <v>245</v>
      </c>
      <c r="H9863" s="397"/>
      <c r="I9863" s="397"/>
      <c r="J9863" s="750" t="e">
        <f t="shared" si="136"/>
        <v>#DIV/0!</v>
      </c>
      <c r="K9863" s="398"/>
      <c r="L9863" s="404"/>
      <c r="M9863" s="682"/>
    </row>
    <row r="9864" spans="5:13" hidden="1" x14ac:dyDescent="0.2">
      <c r="F9864" s="503" t="s">
        <v>246</v>
      </c>
      <c r="G9864" s="504" t="s">
        <v>247</v>
      </c>
      <c r="H9864" s="397"/>
      <c r="I9864" s="397"/>
      <c r="J9864" s="750" t="e">
        <f t="shared" si="136"/>
        <v>#DIV/0!</v>
      </c>
      <c r="K9864" s="398"/>
      <c r="L9864" s="404"/>
      <c r="M9864" s="682"/>
    </row>
    <row r="9865" spans="5:13" ht="25.5" hidden="1" x14ac:dyDescent="0.2">
      <c r="F9865" s="503" t="s">
        <v>248</v>
      </c>
      <c r="G9865" s="504" t="s">
        <v>249</v>
      </c>
      <c r="H9865" s="397"/>
      <c r="I9865" s="397"/>
      <c r="J9865" s="750" t="e">
        <f t="shared" si="136"/>
        <v>#DIV/0!</v>
      </c>
      <c r="K9865" s="398"/>
      <c r="L9865" s="404"/>
      <c r="M9865" s="682"/>
    </row>
    <row r="9866" spans="5:13" hidden="1" x14ac:dyDescent="0.2">
      <c r="F9866" s="503" t="s">
        <v>250</v>
      </c>
      <c r="G9866" s="504" t="s">
        <v>57</v>
      </c>
      <c r="H9866" s="397"/>
      <c r="I9866" s="397"/>
      <c r="J9866" s="750" t="e">
        <f t="shared" si="136"/>
        <v>#DIV/0!</v>
      </c>
      <c r="K9866" s="398"/>
      <c r="L9866" s="404"/>
      <c r="M9866" s="682"/>
    </row>
    <row r="9867" spans="5:13" hidden="1" x14ac:dyDescent="0.2">
      <c r="F9867" s="503" t="s">
        <v>251</v>
      </c>
      <c r="G9867" s="504" t="s">
        <v>252</v>
      </c>
      <c r="H9867" s="397"/>
      <c r="I9867" s="397"/>
      <c r="J9867" s="750" t="e">
        <f t="shared" si="136"/>
        <v>#DIV/0!</v>
      </c>
      <c r="K9867" s="398"/>
      <c r="L9867" s="404"/>
      <c r="M9867" s="682"/>
    </row>
    <row r="9868" spans="5:13" hidden="1" x14ac:dyDescent="0.2">
      <c r="F9868" s="503" t="s">
        <v>253</v>
      </c>
      <c r="G9868" s="504" t="s">
        <v>254</v>
      </c>
      <c r="H9868" s="397"/>
      <c r="I9868" s="397"/>
      <c r="J9868" s="750" t="e">
        <f t="shared" si="136"/>
        <v>#DIV/0!</v>
      </c>
      <c r="K9868" s="398"/>
      <c r="L9868" s="404"/>
      <c r="M9868" s="682"/>
    </row>
    <row r="9869" spans="5:13" ht="25.5" hidden="1" x14ac:dyDescent="0.2">
      <c r="F9869" s="503" t="s">
        <v>255</v>
      </c>
      <c r="G9869" s="504" t="s">
        <v>256</v>
      </c>
      <c r="H9869" s="397"/>
      <c r="I9869" s="397"/>
      <c r="J9869" s="750" t="e">
        <f t="shared" si="136"/>
        <v>#DIV/0!</v>
      </c>
      <c r="K9869" s="398"/>
      <c r="L9869" s="404"/>
      <c r="M9869" s="682"/>
    </row>
    <row r="9870" spans="5:13" ht="25.5" hidden="1" x14ac:dyDescent="0.2">
      <c r="F9870" s="503" t="s">
        <v>257</v>
      </c>
      <c r="G9870" s="504" t="s">
        <v>258</v>
      </c>
      <c r="H9870" s="397"/>
      <c r="I9870" s="397"/>
      <c r="J9870" s="750" t="e">
        <f t="shared" ref="J9870:J9931" si="137">SUM(I9870/H9870)*100</f>
        <v>#DIV/0!</v>
      </c>
      <c r="K9870" s="398"/>
      <c r="L9870" s="404"/>
      <c r="M9870" s="682"/>
    </row>
    <row r="9871" spans="5:13" ht="25.5" hidden="1" x14ac:dyDescent="0.2">
      <c r="F9871" s="503" t="s">
        <v>259</v>
      </c>
      <c r="G9871" s="504" t="s">
        <v>260</v>
      </c>
      <c r="H9871" s="397"/>
      <c r="I9871" s="397"/>
      <c r="J9871" s="750" t="e">
        <f t="shared" si="137"/>
        <v>#DIV/0!</v>
      </c>
      <c r="K9871" s="398"/>
      <c r="L9871" s="404"/>
      <c r="M9871" s="682"/>
    </row>
    <row r="9872" spans="5:13" ht="25.5" hidden="1" x14ac:dyDescent="0.2">
      <c r="F9872" s="503" t="s">
        <v>261</v>
      </c>
      <c r="G9872" s="504" t="s">
        <v>262</v>
      </c>
      <c r="H9872" s="397"/>
      <c r="I9872" s="397"/>
      <c r="J9872" s="750" t="e">
        <f t="shared" si="137"/>
        <v>#DIV/0!</v>
      </c>
      <c r="K9872" s="398"/>
      <c r="L9872" s="404"/>
      <c r="M9872" s="682"/>
    </row>
    <row r="9873" spans="5:13" hidden="1" x14ac:dyDescent="0.2">
      <c r="F9873" s="503" t="s">
        <v>263</v>
      </c>
      <c r="G9873" s="504" t="s">
        <v>264</v>
      </c>
      <c r="H9873" s="403"/>
      <c r="I9873" s="403"/>
      <c r="J9873" s="750" t="e">
        <f t="shared" si="137"/>
        <v>#DIV/0!</v>
      </c>
      <c r="K9873" s="404"/>
      <c r="L9873" s="404"/>
      <c r="M9873" s="682"/>
    </row>
    <row r="9874" spans="5:13" ht="13.5" hidden="1" thickBot="1" x14ac:dyDescent="0.25">
      <c r="G9874" s="505" t="s">
        <v>4393</v>
      </c>
      <c r="H9874" s="405">
        <f>SUM(H9858:H9873)</f>
        <v>0</v>
      </c>
      <c r="I9874" s="405"/>
      <c r="J9874" s="750" t="e">
        <f t="shared" si="137"/>
        <v>#DIV/0!</v>
      </c>
      <c r="K9874" s="406">
        <f>SUM(K9859:K9873)</f>
        <v>0</v>
      </c>
      <c r="L9874" s="406"/>
      <c r="M9874" s="682"/>
    </row>
    <row r="9875" spans="5:13" hidden="1" x14ac:dyDescent="0.2">
      <c r="E9875" s="500"/>
      <c r="F9875" s="498"/>
      <c r="G9875" s="506" t="s">
        <v>5047</v>
      </c>
      <c r="H9875" s="407"/>
      <c r="I9875" s="408"/>
      <c r="J9875" s="750" t="e">
        <f t="shared" si="137"/>
        <v>#DIV/0!</v>
      </c>
      <c r="K9875" s="409"/>
      <c r="L9875" s="410"/>
      <c r="M9875" s="682"/>
    </row>
    <row r="9876" spans="5:13" hidden="1" x14ac:dyDescent="0.2">
      <c r="E9876" s="502"/>
      <c r="F9876" s="503" t="s">
        <v>234</v>
      </c>
      <c r="G9876" s="504" t="s">
        <v>235</v>
      </c>
      <c r="H9876" s="403">
        <f>SUM(H9797:H9856)</f>
        <v>0</v>
      </c>
      <c r="I9876" s="403"/>
      <c r="J9876" s="750" t="e">
        <f t="shared" si="137"/>
        <v>#DIV/0!</v>
      </c>
      <c r="K9876" s="404"/>
      <c r="L9876" s="404"/>
      <c r="M9876" s="682"/>
    </row>
    <row r="9877" spans="5:13" hidden="1" x14ac:dyDescent="0.2">
      <c r="F9877" s="503" t="s">
        <v>236</v>
      </c>
      <c r="G9877" s="504" t="s">
        <v>237</v>
      </c>
      <c r="H9877" s="397"/>
      <c r="I9877" s="397"/>
      <c r="J9877" s="750" t="e">
        <f t="shared" si="137"/>
        <v>#DIV/0!</v>
      </c>
      <c r="K9877" s="398"/>
      <c r="L9877" s="404"/>
      <c r="M9877" s="682"/>
    </row>
    <row r="9878" spans="5:13" hidden="1" x14ac:dyDescent="0.2">
      <c r="F9878" s="503" t="s">
        <v>238</v>
      </c>
      <c r="G9878" s="504" t="s">
        <v>239</v>
      </c>
      <c r="H9878" s="397"/>
      <c r="I9878" s="397"/>
      <c r="J9878" s="750" t="e">
        <f t="shared" si="137"/>
        <v>#DIV/0!</v>
      </c>
      <c r="K9878" s="398"/>
      <c r="L9878" s="404"/>
      <c r="M9878" s="682"/>
    </row>
    <row r="9879" spans="5:13" hidden="1" x14ac:dyDescent="0.2">
      <c r="F9879" s="503" t="s">
        <v>240</v>
      </c>
      <c r="G9879" s="504" t="s">
        <v>241</v>
      </c>
      <c r="H9879" s="397"/>
      <c r="I9879" s="397"/>
      <c r="J9879" s="750" t="e">
        <f t="shared" si="137"/>
        <v>#DIV/0!</v>
      </c>
      <c r="K9879" s="398"/>
      <c r="L9879" s="404"/>
      <c r="M9879" s="682"/>
    </row>
    <row r="9880" spans="5:13" hidden="1" x14ac:dyDescent="0.2">
      <c r="F9880" s="503" t="s">
        <v>242</v>
      </c>
      <c r="G9880" s="504" t="s">
        <v>243</v>
      </c>
      <c r="H9880" s="397"/>
      <c r="I9880" s="397"/>
      <c r="J9880" s="750" t="e">
        <f t="shared" si="137"/>
        <v>#DIV/0!</v>
      </c>
      <c r="K9880" s="398"/>
      <c r="L9880" s="404"/>
      <c r="M9880" s="682"/>
    </row>
    <row r="9881" spans="5:13" hidden="1" x14ac:dyDescent="0.2">
      <c r="F9881" s="503" t="s">
        <v>244</v>
      </c>
      <c r="G9881" s="504" t="s">
        <v>245</v>
      </c>
      <c r="H9881" s="397"/>
      <c r="I9881" s="397"/>
      <c r="J9881" s="750" t="e">
        <f t="shared" si="137"/>
        <v>#DIV/0!</v>
      </c>
      <c r="K9881" s="398"/>
      <c r="L9881" s="404"/>
      <c r="M9881" s="682"/>
    </row>
    <row r="9882" spans="5:13" hidden="1" x14ac:dyDescent="0.2">
      <c r="F9882" s="503" t="s">
        <v>246</v>
      </c>
      <c r="G9882" s="504" t="s">
        <v>247</v>
      </c>
      <c r="H9882" s="397"/>
      <c r="I9882" s="397"/>
      <c r="J9882" s="750" t="e">
        <f t="shared" si="137"/>
        <v>#DIV/0!</v>
      </c>
      <c r="K9882" s="398"/>
      <c r="L9882" s="404"/>
      <c r="M9882" s="682"/>
    </row>
    <row r="9883" spans="5:13" ht="25.5" hidden="1" x14ac:dyDescent="0.2">
      <c r="F9883" s="503" t="s">
        <v>248</v>
      </c>
      <c r="G9883" s="504" t="s">
        <v>249</v>
      </c>
      <c r="H9883" s="397"/>
      <c r="I9883" s="397"/>
      <c r="J9883" s="750" t="e">
        <f t="shared" si="137"/>
        <v>#DIV/0!</v>
      </c>
      <c r="K9883" s="398"/>
      <c r="L9883" s="404"/>
      <c r="M9883" s="682"/>
    </row>
    <row r="9884" spans="5:13" hidden="1" x14ac:dyDescent="0.2">
      <c r="F9884" s="503" t="s">
        <v>250</v>
      </c>
      <c r="G9884" s="504" t="s">
        <v>57</v>
      </c>
      <c r="H9884" s="397"/>
      <c r="I9884" s="397"/>
      <c r="J9884" s="750" t="e">
        <f t="shared" si="137"/>
        <v>#DIV/0!</v>
      </c>
      <c r="K9884" s="398"/>
      <c r="L9884" s="404"/>
      <c r="M9884" s="682"/>
    </row>
    <row r="9885" spans="5:13" hidden="1" x14ac:dyDescent="0.2">
      <c r="F9885" s="503" t="s">
        <v>251</v>
      </c>
      <c r="G9885" s="504" t="s">
        <v>252</v>
      </c>
      <c r="H9885" s="397"/>
      <c r="I9885" s="397"/>
      <c r="J9885" s="750" t="e">
        <f t="shared" si="137"/>
        <v>#DIV/0!</v>
      </c>
      <c r="K9885" s="398"/>
      <c r="L9885" s="404"/>
      <c r="M9885" s="682"/>
    </row>
    <row r="9886" spans="5:13" hidden="1" x14ac:dyDescent="0.2">
      <c r="F9886" s="503" t="s">
        <v>253</v>
      </c>
      <c r="G9886" s="504" t="s">
        <v>254</v>
      </c>
      <c r="H9886" s="397"/>
      <c r="I9886" s="397"/>
      <c r="J9886" s="750" t="e">
        <f t="shared" si="137"/>
        <v>#DIV/0!</v>
      </c>
      <c r="K9886" s="398"/>
      <c r="L9886" s="404"/>
      <c r="M9886" s="682"/>
    </row>
    <row r="9887" spans="5:13" ht="25.5" hidden="1" x14ac:dyDescent="0.2">
      <c r="F9887" s="503" t="s">
        <v>255</v>
      </c>
      <c r="G9887" s="504" t="s">
        <v>256</v>
      </c>
      <c r="H9887" s="397"/>
      <c r="I9887" s="397"/>
      <c r="J9887" s="750" t="e">
        <f t="shared" si="137"/>
        <v>#DIV/0!</v>
      </c>
      <c r="K9887" s="398"/>
      <c r="L9887" s="404"/>
      <c r="M9887" s="682"/>
    </row>
    <row r="9888" spans="5:13" ht="25.5" hidden="1" x14ac:dyDescent="0.2">
      <c r="F9888" s="503" t="s">
        <v>257</v>
      </c>
      <c r="G9888" s="504" t="s">
        <v>258</v>
      </c>
      <c r="H9888" s="397"/>
      <c r="I9888" s="397"/>
      <c r="J9888" s="750" t="e">
        <f t="shared" si="137"/>
        <v>#DIV/0!</v>
      </c>
      <c r="K9888" s="398"/>
      <c r="L9888" s="404"/>
      <c r="M9888" s="682"/>
    </row>
    <row r="9889" spans="5:13" ht="25.5" hidden="1" x14ac:dyDescent="0.2">
      <c r="F9889" s="503" t="s">
        <v>259</v>
      </c>
      <c r="G9889" s="504" t="s">
        <v>260</v>
      </c>
      <c r="H9889" s="397"/>
      <c r="I9889" s="397"/>
      <c r="J9889" s="750" t="e">
        <f t="shared" si="137"/>
        <v>#DIV/0!</v>
      </c>
      <c r="K9889" s="398"/>
      <c r="L9889" s="404"/>
      <c r="M9889" s="682"/>
    </row>
    <row r="9890" spans="5:13" ht="25.5" hidden="1" x14ac:dyDescent="0.2">
      <c r="F9890" s="503" t="s">
        <v>261</v>
      </c>
      <c r="G9890" s="504" t="s">
        <v>262</v>
      </c>
      <c r="H9890" s="397"/>
      <c r="I9890" s="397"/>
      <c r="J9890" s="750" t="e">
        <f t="shared" si="137"/>
        <v>#DIV/0!</v>
      </c>
      <c r="K9890" s="398"/>
      <c r="L9890" s="404"/>
      <c r="M9890" s="682"/>
    </row>
    <row r="9891" spans="5:13" hidden="1" x14ac:dyDescent="0.2">
      <c r="F9891" s="503" t="s">
        <v>263</v>
      </c>
      <c r="G9891" s="504" t="s">
        <v>264</v>
      </c>
      <c r="H9891" s="403"/>
      <c r="I9891" s="403"/>
      <c r="J9891" s="750" t="e">
        <f t="shared" si="137"/>
        <v>#DIV/0!</v>
      </c>
      <c r="K9891" s="404"/>
      <c r="L9891" s="404"/>
      <c r="M9891" s="682"/>
    </row>
    <row r="9892" spans="5:13" ht="13.5" hidden="1" thickBot="1" x14ac:dyDescent="0.25">
      <c r="G9892" s="505" t="s">
        <v>5008</v>
      </c>
      <c r="H9892" s="405">
        <f>SUM(H9876:H9891)</f>
        <v>0</v>
      </c>
      <c r="I9892" s="405"/>
      <c r="J9892" s="750" t="e">
        <f t="shared" si="137"/>
        <v>#DIV/0!</v>
      </c>
      <c r="K9892" s="406">
        <f>SUM(K9877:K9891)</f>
        <v>0</v>
      </c>
      <c r="L9892" s="406"/>
      <c r="M9892" s="682"/>
    </row>
    <row r="9893" spans="5:13" hidden="1" x14ac:dyDescent="0.2">
      <c r="H9893" s="397"/>
      <c r="I9893" s="397"/>
      <c r="J9893" s="750" t="e">
        <f t="shared" si="137"/>
        <v>#DIV/0!</v>
      </c>
      <c r="K9893" s="398"/>
      <c r="L9893" s="398"/>
      <c r="M9893" s="682"/>
    </row>
    <row r="9894" spans="5:13" hidden="1" x14ac:dyDescent="0.2">
      <c r="E9894" s="500"/>
      <c r="F9894" s="498"/>
      <c r="G9894" s="511" t="s">
        <v>4297</v>
      </c>
      <c r="H9894" s="413"/>
      <c r="I9894" s="413"/>
      <c r="J9894" s="750" t="e">
        <f t="shared" si="137"/>
        <v>#DIV/0!</v>
      </c>
      <c r="K9894" s="414"/>
      <c r="L9894" s="415"/>
      <c r="M9894" s="682"/>
    </row>
    <row r="9895" spans="5:13" hidden="1" x14ac:dyDescent="0.2">
      <c r="E9895" s="502"/>
      <c r="F9895" s="503" t="s">
        <v>234</v>
      </c>
      <c r="G9895" s="504" t="s">
        <v>235</v>
      </c>
      <c r="H9895" s="403">
        <f>SUM(H9876,H9777,H9678)</f>
        <v>0</v>
      </c>
      <c r="I9895" s="403"/>
      <c r="J9895" s="750" t="e">
        <f t="shared" si="137"/>
        <v>#DIV/0!</v>
      </c>
      <c r="K9895" s="404"/>
      <c r="L9895" s="404"/>
      <c r="M9895" s="682"/>
    </row>
    <row r="9896" spans="5:13" hidden="1" x14ac:dyDescent="0.2">
      <c r="F9896" s="503" t="s">
        <v>236</v>
      </c>
      <c r="G9896" s="504" t="s">
        <v>237</v>
      </c>
      <c r="H9896" s="397"/>
      <c r="I9896" s="397"/>
      <c r="J9896" s="750" t="e">
        <f t="shared" si="137"/>
        <v>#DIV/0!</v>
      </c>
      <c r="K9896" s="398"/>
      <c r="L9896" s="404"/>
      <c r="M9896" s="682"/>
    </row>
    <row r="9897" spans="5:13" hidden="1" x14ac:dyDescent="0.2">
      <c r="F9897" s="503" t="s">
        <v>238</v>
      </c>
      <c r="G9897" s="504" t="s">
        <v>239</v>
      </c>
      <c r="H9897" s="397"/>
      <c r="I9897" s="397"/>
      <c r="J9897" s="750" t="e">
        <f t="shared" si="137"/>
        <v>#DIV/0!</v>
      </c>
      <c r="K9897" s="398"/>
      <c r="L9897" s="404"/>
      <c r="M9897" s="682"/>
    </row>
    <row r="9898" spans="5:13" hidden="1" x14ac:dyDescent="0.2">
      <c r="F9898" s="503" t="s">
        <v>240</v>
      </c>
      <c r="G9898" s="504" t="s">
        <v>241</v>
      </c>
      <c r="H9898" s="397"/>
      <c r="I9898" s="397"/>
      <c r="J9898" s="750" t="e">
        <f t="shared" si="137"/>
        <v>#DIV/0!</v>
      </c>
      <c r="K9898" s="398"/>
      <c r="L9898" s="404"/>
      <c r="M9898" s="682"/>
    </row>
    <row r="9899" spans="5:13" hidden="1" x14ac:dyDescent="0.2">
      <c r="F9899" s="503" t="s">
        <v>242</v>
      </c>
      <c r="G9899" s="504" t="s">
        <v>243</v>
      </c>
      <c r="H9899" s="397"/>
      <c r="I9899" s="397"/>
      <c r="J9899" s="750" t="e">
        <f t="shared" si="137"/>
        <v>#DIV/0!</v>
      </c>
      <c r="K9899" s="398"/>
      <c r="L9899" s="404"/>
      <c r="M9899" s="682"/>
    </row>
    <row r="9900" spans="5:13" hidden="1" x14ac:dyDescent="0.2">
      <c r="F9900" s="503" t="s">
        <v>244</v>
      </c>
      <c r="G9900" s="504" t="s">
        <v>245</v>
      </c>
      <c r="H9900" s="397"/>
      <c r="I9900" s="397"/>
      <c r="J9900" s="750" t="e">
        <f t="shared" si="137"/>
        <v>#DIV/0!</v>
      </c>
      <c r="K9900" s="398"/>
      <c r="L9900" s="404"/>
      <c r="M9900" s="682"/>
    </row>
    <row r="9901" spans="5:13" hidden="1" x14ac:dyDescent="0.2">
      <c r="F9901" s="503" t="s">
        <v>246</v>
      </c>
      <c r="G9901" s="504" t="s">
        <v>247</v>
      </c>
      <c r="H9901" s="397"/>
      <c r="I9901" s="397"/>
      <c r="J9901" s="750" t="e">
        <f t="shared" si="137"/>
        <v>#DIV/0!</v>
      </c>
      <c r="K9901" s="398"/>
      <c r="L9901" s="404"/>
      <c r="M9901" s="682"/>
    </row>
    <row r="9902" spans="5:13" ht="25.5" hidden="1" x14ac:dyDescent="0.2">
      <c r="F9902" s="503" t="s">
        <v>248</v>
      </c>
      <c r="G9902" s="504" t="s">
        <v>249</v>
      </c>
      <c r="H9902" s="397"/>
      <c r="I9902" s="397"/>
      <c r="J9902" s="750" t="e">
        <f t="shared" si="137"/>
        <v>#DIV/0!</v>
      </c>
      <c r="K9902" s="398"/>
      <c r="L9902" s="404"/>
      <c r="M9902" s="682"/>
    </row>
    <row r="9903" spans="5:13" hidden="1" x14ac:dyDescent="0.2">
      <c r="F9903" s="503" t="s">
        <v>250</v>
      </c>
      <c r="G9903" s="504" t="s">
        <v>57</v>
      </c>
      <c r="H9903" s="397"/>
      <c r="I9903" s="397"/>
      <c r="J9903" s="750" t="e">
        <f t="shared" si="137"/>
        <v>#DIV/0!</v>
      </c>
      <c r="K9903" s="398"/>
      <c r="L9903" s="404"/>
      <c r="M9903" s="682"/>
    </row>
    <row r="9904" spans="5:13" hidden="1" x14ac:dyDescent="0.2">
      <c r="F9904" s="503" t="s">
        <v>251</v>
      </c>
      <c r="G9904" s="504" t="s">
        <v>252</v>
      </c>
      <c r="H9904" s="397"/>
      <c r="I9904" s="397"/>
      <c r="J9904" s="750" t="e">
        <f t="shared" si="137"/>
        <v>#DIV/0!</v>
      </c>
      <c r="K9904" s="398"/>
      <c r="L9904" s="404"/>
      <c r="M9904" s="682"/>
    </row>
    <row r="9905" spans="1:27" hidden="1" x14ac:dyDescent="0.2">
      <c r="F9905" s="503" t="s">
        <v>253</v>
      </c>
      <c r="G9905" s="504" t="s">
        <v>254</v>
      </c>
      <c r="H9905" s="397"/>
      <c r="I9905" s="397"/>
      <c r="J9905" s="750" t="e">
        <f t="shared" si="137"/>
        <v>#DIV/0!</v>
      </c>
      <c r="K9905" s="398"/>
      <c r="L9905" s="404"/>
      <c r="M9905" s="682"/>
    </row>
    <row r="9906" spans="1:27" ht="25.5" hidden="1" x14ac:dyDescent="0.2">
      <c r="F9906" s="503" t="s">
        <v>255</v>
      </c>
      <c r="G9906" s="504" t="s">
        <v>256</v>
      </c>
      <c r="H9906" s="397"/>
      <c r="I9906" s="397"/>
      <c r="J9906" s="750" t="e">
        <f t="shared" si="137"/>
        <v>#DIV/0!</v>
      </c>
      <c r="K9906" s="398"/>
      <c r="L9906" s="404"/>
      <c r="M9906" s="682"/>
    </row>
    <row r="9907" spans="1:27" ht="25.5" hidden="1" x14ac:dyDescent="0.2">
      <c r="F9907" s="503" t="s">
        <v>257</v>
      </c>
      <c r="G9907" s="504" t="s">
        <v>258</v>
      </c>
      <c r="H9907" s="397"/>
      <c r="I9907" s="397"/>
      <c r="J9907" s="750" t="e">
        <f t="shared" si="137"/>
        <v>#DIV/0!</v>
      </c>
      <c r="K9907" s="398"/>
      <c r="L9907" s="404"/>
      <c r="M9907" s="682"/>
    </row>
    <row r="9908" spans="1:27" ht="25.5" hidden="1" x14ac:dyDescent="0.2">
      <c r="F9908" s="503" t="s">
        <v>259</v>
      </c>
      <c r="G9908" s="504" t="s">
        <v>260</v>
      </c>
      <c r="H9908" s="397"/>
      <c r="I9908" s="397"/>
      <c r="J9908" s="750" t="e">
        <f t="shared" si="137"/>
        <v>#DIV/0!</v>
      </c>
      <c r="K9908" s="398"/>
      <c r="L9908" s="404"/>
      <c r="M9908" s="682"/>
    </row>
    <row r="9909" spans="1:27" ht="25.5" hidden="1" x14ac:dyDescent="0.2">
      <c r="F9909" s="503" t="s">
        <v>261</v>
      </c>
      <c r="G9909" s="504" t="s">
        <v>262</v>
      </c>
      <c r="H9909" s="397"/>
      <c r="I9909" s="397"/>
      <c r="J9909" s="750" t="e">
        <f t="shared" si="137"/>
        <v>#DIV/0!</v>
      </c>
      <c r="K9909" s="398"/>
      <c r="L9909" s="404"/>
      <c r="M9909" s="682"/>
    </row>
    <row r="9910" spans="1:27" hidden="1" x14ac:dyDescent="0.2">
      <c r="F9910" s="503" t="s">
        <v>263</v>
      </c>
      <c r="G9910" s="504" t="s">
        <v>264</v>
      </c>
      <c r="H9910" s="403"/>
      <c r="I9910" s="403"/>
      <c r="J9910" s="750" t="e">
        <f t="shared" si="137"/>
        <v>#DIV/0!</v>
      </c>
      <c r="K9910" s="404"/>
      <c r="L9910" s="404"/>
      <c r="M9910" s="682"/>
    </row>
    <row r="9911" spans="1:27" ht="13.5" hidden="1" thickBot="1" x14ac:dyDescent="0.25">
      <c r="G9911" s="505" t="s">
        <v>4298</v>
      </c>
      <c r="H9911" s="405">
        <f>SUM(H9895:H9910)</f>
        <v>0</v>
      </c>
      <c r="I9911" s="405"/>
      <c r="J9911" s="750" t="e">
        <f t="shared" si="137"/>
        <v>#DIV/0!</v>
      </c>
      <c r="K9911" s="406">
        <f>SUM(K9896:K9910)</f>
        <v>0</v>
      </c>
      <c r="L9911" s="406"/>
      <c r="M9911" s="682"/>
    </row>
    <row r="9912" spans="1:27" hidden="1" x14ac:dyDescent="0.2">
      <c r="G9912" s="510"/>
      <c r="H9912" s="411"/>
      <c r="I9912" s="411"/>
      <c r="J9912" s="750" t="e">
        <f t="shared" si="137"/>
        <v>#DIV/0!</v>
      </c>
      <c r="K9912" s="412"/>
      <c r="L9912" s="412"/>
      <c r="M9912" s="682"/>
    </row>
    <row r="9913" spans="1:27" s="530" customFormat="1" hidden="1" x14ac:dyDescent="0.2">
      <c r="A9913" s="526"/>
      <c r="B9913" s="527"/>
      <c r="C9913" s="534"/>
      <c r="D9913" s="535"/>
      <c r="E9913" s="535"/>
      <c r="F9913" s="498"/>
      <c r="G9913" s="511" t="s">
        <v>4309</v>
      </c>
      <c r="H9913" s="413"/>
      <c r="I9913" s="413"/>
      <c r="J9913" s="750" t="e">
        <f t="shared" si="137"/>
        <v>#DIV/0!</v>
      </c>
      <c r="K9913" s="414"/>
      <c r="L9913" s="415"/>
      <c r="M9913" s="682"/>
      <c r="N9913" s="171"/>
      <c r="O9913" s="171"/>
      <c r="P9913" s="171"/>
      <c r="Q9913" s="171"/>
      <c r="R9913" s="171"/>
      <c r="S9913" s="171"/>
      <c r="T9913" s="171"/>
      <c r="U9913" s="171"/>
      <c r="V9913" s="171"/>
      <c r="W9913" s="171"/>
      <c r="X9913" s="171"/>
      <c r="Y9913" s="171"/>
      <c r="Z9913" s="171"/>
      <c r="AA9913" s="171"/>
    </row>
    <row r="9914" spans="1:27" s="530" customFormat="1" hidden="1" x14ac:dyDescent="0.2">
      <c r="A9914" s="526"/>
      <c r="B9914" s="527"/>
      <c r="C9914" s="534"/>
      <c r="D9914" s="535"/>
      <c r="E9914" s="535"/>
      <c r="F9914" s="503" t="s">
        <v>234</v>
      </c>
      <c r="G9914" s="504" t="s">
        <v>235</v>
      </c>
      <c r="H9914" s="403">
        <f>SUM(H9895)</f>
        <v>0</v>
      </c>
      <c r="I9914" s="403"/>
      <c r="J9914" s="750" t="e">
        <f t="shared" si="137"/>
        <v>#DIV/0!</v>
      </c>
      <c r="K9914" s="404"/>
      <c r="L9914" s="404"/>
      <c r="M9914" s="682"/>
      <c r="N9914" s="171"/>
      <c r="O9914" s="171"/>
      <c r="P9914" s="171"/>
      <c r="Q9914" s="171"/>
      <c r="R9914" s="171"/>
      <c r="S9914" s="171"/>
      <c r="T9914" s="171"/>
      <c r="U9914" s="171"/>
      <c r="V9914" s="171"/>
      <c r="W9914" s="171"/>
      <c r="X9914" s="171"/>
      <c r="Y9914" s="171"/>
      <c r="Z9914" s="171"/>
      <c r="AA9914" s="171"/>
    </row>
    <row r="9915" spans="1:27" s="530" customFormat="1" hidden="1" x14ac:dyDescent="0.2">
      <c r="A9915" s="526"/>
      <c r="B9915" s="527"/>
      <c r="C9915" s="534"/>
      <c r="D9915" s="535"/>
      <c r="E9915" s="535"/>
      <c r="F9915" s="503" t="s">
        <v>236</v>
      </c>
      <c r="G9915" s="504" t="s">
        <v>237</v>
      </c>
      <c r="H9915" s="397"/>
      <c r="I9915" s="397"/>
      <c r="J9915" s="750" t="e">
        <f t="shared" si="137"/>
        <v>#DIV/0!</v>
      </c>
      <c r="K9915" s="398"/>
      <c r="L9915" s="404"/>
      <c r="M9915" s="682"/>
      <c r="N9915" s="171"/>
      <c r="O9915" s="171"/>
      <c r="P9915" s="171"/>
      <c r="Q9915" s="171"/>
      <c r="R9915" s="171"/>
      <c r="S9915" s="171"/>
      <c r="T9915" s="171"/>
      <c r="U9915" s="171"/>
      <c r="V9915" s="171"/>
      <c r="W9915" s="171"/>
      <c r="X9915" s="171"/>
      <c r="Y9915" s="171"/>
      <c r="Z9915" s="171"/>
      <c r="AA9915" s="171"/>
    </row>
    <row r="9916" spans="1:27" s="530" customFormat="1" hidden="1" x14ac:dyDescent="0.2">
      <c r="A9916" s="526"/>
      <c r="B9916" s="527"/>
      <c r="C9916" s="534"/>
      <c r="D9916" s="535"/>
      <c r="E9916" s="535"/>
      <c r="F9916" s="503" t="s">
        <v>238</v>
      </c>
      <c r="G9916" s="504" t="s">
        <v>239</v>
      </c>
      <c r="H9916" s="397"/>
      <c r="I9916" s="397"/>
      <c r="J9916" s="750" t="e">
        <f t="shared" si="137"/>
        <v>#DIV/0!</v>
      </c>
      <c r="K9916" s="398"/>
      <c r="L9916" s="404"/>
      <c r="M9916" s="682"/>
      <c r="N9916" s="171"/>
      <c r="O9916" s="171"/>
      <c r="P9916" s="171"/>
      <c r="Q9916" s="171"/>
      <c r="R9916" s="171"/>
      <c r="S9916" s="171"/>
      <c r="T9916" s="171"/>
      <c r="U9916" s="171"/>
      <c r="V9916" s="171"/>
      <c r="W9916" s="171"/>
      <c r="X9916" s="171"/>
      <c r="Y9916" s="171"/>
      <c r="Z9916" s="171"/>
      <c r="AA9916" s="171"/>
    </row>
    <row r="9917" spans="1:27" s="530" customFormat="1" hidden="1" x14ac:dyDescent="0.2">
      <c r="A9917" s="526"/>
      <c r="B9917" s="527"/>
      <c r="C9917" s="534"/>
      <c r="D9917" s="535"/>
      <c r="E9917" s="535"/>
      <c r="F9917" s="503" t="s">
        <v>240</v>
      </c>
      <c r="G9917" s="504" t="s">
        <v>241</v>
      </c>
      <c r="H9917" s="397"/>
      <c r="I9917" s="397"/>
      <c r="J9917" s="750" t="e">
        <f t="shared" si="137"/>
        <v>#DIV/0!</v>
      </c>
      <c r="K9917" s="398"/>
      <c r="L9917" s="404"/>
      <c r="M9917" s="682"/>
      <c r="N9917" s="171"/>
      <c r="O9917" s="171"/>
      <c r="P9917" s="171"/>
      <c r="Q9917" s="171"/>
      <c r="R9917" s="171"/>
      <c r="S9917" s="171"/>
      <c r="T9917" s="171"/>
      <c r="U9917" s="171"/>
      <c r="V9917" s="171"/>
      <c r="W9917" s="171"/>
      <c r="X9917" s="171"/>
      <c r="Y9917" s="171"/>
      <c r="Z9917" s="171"/>
      <c r="AA9917" s="171"/>
    </row>
    <row r="9918" spans="1:27" s="530" customFormat="1" hidden="1" x14ac:dyDescent="0.2">
      <c r="A9918" s="526"/>
      <c r="B9918" s="527"/>
      <c r="C9918" s="534"/>
      <c r="D9918" s="535"/>
      <c r="E9918" s="535"/>
      <c r="F9918" s="503" t="s">
        <v>242</v>
      </c>
      <c r="G9918" s="504" t="s">
        <v>243</v>
      </c>
      <c r="H9918" s="397"/>
      <c r="I9918" s="397"/>
      <c r="J9918" s="750" t="e">
        <f t="shared" si="137"/>
        <v>#DIV/0!</v>
      </c>
      <c r="K9918" s="398"/>
      <c r="L9918" s="404"/>
      <c r="M9918" s="682"/>
      <c r="N9918" s="171"/>
      <c r="O9918" s="171"/>
      <c r="P9918" s="171"/>
      <c r="Q9918" s="171"/>
      <c r="R9918" s="171"/>
      <c r="S9918" s="171"/>
      <c r="T9918" s="171"/>
      <c r="U9918" s="171"/>
      <c r="V9918" s="171"/>
      <c r="W9918" s="171"/>
      <c r="X9918" s="171"/>
      <c r="Y9918" s="171"/>
      <c r="Z9918" s="171"/>
      <c r="AA9918" s="171"/>
    </row>
    <row r="9919" spans="1:27" s="530" customFormat="1" hidden="1" x14ac:dyDescent="0.2">
      <c r="A9919" s="526"/>
      <c r="B9919" s="527"/>
      <c r="C9919" s="534"/>
      <c r="D9919" s="535"/>
      <c r="E9919" s="535"/>
      <c r="F9919" s="503" t="s">
        <v>244</v>
      </c>
      <c r="G9919" s="504" t="s">
        <v>245</v>
      </c>
      <c r="H9919" s="397"/>
      <c r="I9919" s="397"/>
      <c r="J9919" s="750" t="e">
        <f t="shared" si="137"/>
        <v>#DIV/0!</v>
      </c>
      <c r="K9919" s="398"/>
      <c r="L9919" s="404"/>
      <c r="M9919" s="682"/>
      <c r="N9919" s="171"/>
      <c r="O9919" s="171"/>
      <c r="P9919" s="171"/>
      <c r="Q9919" s="171"/>
      <c r="R9919" s="171"/>
      <c r="S9919" s="171"/>
      <c r="T9919" s="171"/>
      <c r="U9919" s="171"/>
      <c r="V9919" s="171"/>
      <c r="W9919" s="171"/>
      <c r="X9919" s="171"/>
      <c r="Y9919" s="171"/>
      <c r="Z9919" s="171"/>
      <c r="AA9919" s="171"/>
    </row>
    <row r="9920" spans="1:27" s="530" customFormat="1" hidden="1" x14ac:dyDescent="0.2">
      <c r="A9920" s="526"/>
      <c r="B9920" s="527"/>
      <c r="C9920" s="534"/>
      <c r="D9920" s="535"/>
      <c r="E9920" s="535"/>
      <c r="F9920" s="503" t="s">
        <v>246</v>
      </c>
      <c r="G9920" s="504" t="s">
        <v>247</v>
      </c>
      <c r="H9920" s="397"/>
      <c r="I9920" s="397"/>
      <c r="J9920" s="750" t="e">
        <f t="shared" si="137"/>
        <v>#DIV/0!</v>
      </c>
      <c r="K9920" s="398"/>
      <c r="L9920" s="404"/>
      <c r="M9920" s="682"/>
      <c r="N9920" s="171"/>
      <c r="O9920" s="171"/>
      <c r="P9920" s="171"/>
      <c r="Q9920" s="171"/>
      <c r="R9920" s="171"/>
      <c r="S9920" s="171"/>
      <c r="T9920" s="171"/>
      <c r="U9920" s="171"/>
      <c r="V9920" s="171"/>
      <c r="W9920" s="171"/>
      <c r="X9920" s="171"/>
      <c r="Y9920" s="171"/>
      <c r="Z9920" s="171"/>
      <c r="AA9920" s="171"/>
    </row>
    <row r="9921" spans="1:27" s="530" customFormat="1" ht="25.5" hidden="1" x14ac:dyDescent="0.2">
      <c r="A9921" s="526"/>
      <c r="B9921" s="527"/>
      <c r="C9921" s="534"/>
      <c r="D9921" s="535"/>
      <c r="E9921" s="535"/>
      <c r="F9921" s="503" t="s">
        <v>248</v>
      </c>
      <c r="G9921" s="504" t="s">
        <v>249</v>
      </c>
      <c r="H9921" s="397"/>
      <c r="I9921" s="397"/>
      <c r="J9921" s="750" t="e">
        <f t="shared" si="137"/>
        <v>#DIV/0!</v>
      </c>
      <c r="K9921" s="398"/>
      <c r="L9921" s="404"/>
      <c r="M9921" s="682"/>
      <c r="N9921" s="171"/>
      <c r="O9921" s="171"/>
      <c r="P9921" s="171"/>
      <c r="Q9921" s="171"/>
      <c r="R9921" s="171"/>
      <c r="S9921" s="171"/>
      <c r="T9921" s="171"/>
      <c r="U9921" s="171"/>
      <c r="V9921" s="171"/>
      <c r="W9921" s="171"/>
      <c r="X9921" s="171"/>
      <c r="Y9921" s="171"/>
      <c r="Z9921" s="171"/>
      <c r="AA9921" s="171"/>
    </row>
    <row r="9922" spans="1:27" s="530" customFormat="1" hidden="1" x14ac:dyDescent="0.2">
      <c r="A9922" s="526"/>
      <c r="B9922" s="527"/>
      <c r="C9922" s="534"/>
      <c r="D9922" s="535"/>
      <c r="E9922" s="535"/>
      <c r="F9922" s="503" t="s">
        <v>250</v>
      </c>
      <c r="G9922" s="504" t="s">
        <v>57</v>
      </c>
      <c r="H9922" s="397"/>
      <c r="I9922" s="397"/>
      <c r="J9922" s="750" t="e">
        <f t="shared" si="137"/>
        <v>#DIV/0!</v>
      </c>
      <c r="K9922" s="398"/>
      <c r="L9922" s="404"/>
      <c r="M9922" s="682"/>
      <c r="N9922" s="171"/>
      <c r="O9922" s="171"/>
      <c r="P9922" s="171"/>
      <c r="Q9922" s="171"/>
      <c r="R9922" s="171"/>
      <c r="S9922" s="171"/>
      <c r="T9922" s="171"/>
      <c r="U9922" s="171"/>
      <c r="V9922" s="171"/>
      <c r="W9922" s="171"/>
      <c r="X9922" s="171"/>
      <c r="Y9922" s="171"/>
      <c r="Z9922" s="171"/>
      <c r="AA9922" s="171"/>
    </row>
    <row r="9923" spans="1:27" s="530" customFormat="1" hidden="1" x14ac:dyDescent="0.2">
      <c r="A9923" s="526"/>
      <c r="B9923" s="527"/>
      <c r="C9923" s="534"/>
      <c r="D9923" s="535"/>
      <c r="E9923" s="535"/>
      <c r="F9923" s="503" t="s">
        <v>251</v>
      </c>
      <c r="G9923" s="504" t="s">
        <v>252</v>
      </c>
      <c r="H9923" s="397"/>
      <c r="I9923" s="397"/>
      <c r="J9923" s="750" t="e">
        <f t="shared" si="137"/>
        <v>#DIV/0!</v>
      </c>
      <c r="K9923" s="398"/>
      <c r="L9923" s="404"/>
      <c r="M9923" s="682"/>
      <c r="N9923" s="171"/>
      <c r="O9923" s="171"/>
      <c r="P9923" s="171"/>
      <c r="Q9923" s="171"/>
      <c r="R9923" s="171"/>
      <c r="S9923" s="171"/>
      <c r="T9923" s="171"/>
      <c r="U9923" s="171"/>
      <c r="V9923" s="171"/>
      <c r="W9923" s="171"/>
      <c r="X9923" s="171"/>
      <c r="Y9923" s="171"/>
      <c r="Z9923" s="171"/>
      <c r="AA9923" s="171"/>
    </row>
    <row r="9924" spans="1:27" s="530" customFormat="1" hidden="1" x14ac:dyDescent="0.2">
      <c r="A9924" s="526"/>
      <c r="B9924" s="527"/>
      <c r="C9924" s="534"/>
      <c r="D9924" s="535"/>
      <c r="E9924" s="535"/>
      <c r="F9924" s="503" t="s">
        <v>253</v>
      </c>
      <c r="G9924" s="504" t="s">
        <v>254</v>
      </c>
      <c r="H9924" s="397"/>
      <c r="I9924" s="397"/>
      <c r="J9924" s="750" t="e">
        <f t="shared" si="137"/>
        <v>#DIV/0!</v>
      </c>
      <c r="K9924" s="398"/>
      <c r="L9924" s="404"/>
      <c r="M9924" s="682"/>
      <c r="N9924" s="171"/>
      <c r="O9924" s="171"/>
      <c r="P9924" s="171"/>
      <c r="Q9924" s="171"/>
      <c r="R9924" s="171"/>
      <c r="S9924" s="171"/>
      <c r="T9924" s="171"/>
      <c r="U9924" s="171"/>
      <c r="V9924" s="171"/>
      <c r="W9924" s="171"/>
      <c r="X9924" s="171"/>
      <c r="Y9924" s="171"/>
      <c r="Z9924" s="171"/>
      <c r="AA9924" s="171"/>
    </row>
    <row r="9925" spans="1:27" s="530" customFormat="1" ht="25.5" hidden="1" x14ac:dyDescent="0.2">
      <c r="A9925" s="526"/>
      <c r="B9925" s="527"/>
      <c r="C9925" s="534"/>
      <c r="D9925" s="535"/>
      <c r="E9925" s="535"/>
      <c r="F9925" s="503" t="s">
        <v>255</v>
      </c>
      <c r="G9925" s="504" t="s">
        <v>256</v>
      </c>
      <c r="H9925" s="397"/>
      <c r="I9925" s="397"/>
      <c r="J9925" s="750" t="e">
        <f t="shared" si="137"/>
        <v>#DIV/0!</v>
      </c>
      <c r="K9925" s="398"/>
      <c r="L9925" s="404"/>
      <c r="M9925" s="682"/>
      <c r="N9925" s="171"/>
      <c r="O9925" s="171"/>
      <c r="P9925" s="171"/>
      <c r="Q9925" s="171"/>
      <c r="R9925" s="171"/>
      <c r="S9925" s="171"/>
      <c r="T9925" s="171"/>
      <c r="U9925" s="171"/>
      <c r="V9925" s="171"/>
      <c r="W9925" s="171"/>
      <c r="X9925" s="171"/>
      <c r="Y9925" s="171"/>
      <c r="Z9925" s="171"/>
      <c r="AA9925" s="171"/>
    </row>
    <row r="9926" spans="1:27" s="530" customFormat="1" ht="25.5" hidden="1" x14ac:dyDescent="0.2">
      <c r="A9926" s="526"/>
      <c r="B9926" s="527"/>
      <c r="C9926" s="534"/>
      <c r="D9926" s="535"/>
      <c r="E9926" s="535"/>
      <c r="F9926" s="503" t="s">
        <v>257</v>
      </c>
      <c r="G9926" s="504" t="s">
        <v>258</v>
      </c>
      <c r="H9926" s="397"/>
      <c r="I9926" s="397"/>
      <c r="J9926" s="750" t="e">
        <f t="shared" si="137"/>
        <v>#DIV/0!</v>
      </c>
      <c r="K9926" s="398"/>
      <c r="L9926" s="404"/>
      <c r="M9926" s="682"/>
      <c r="N9926" s="171"/>
      <c r="O9926" s="171"/>
      <c r="P9926" s="171"/>
      <c r="Q9926" s="171"/>
      <c r="R9926" s="171"/>
      <c r="S9926" s="171"/>
      <c r="T9926" s="171"/>
      <c r="U9926" s="171"/>
      <c r="V9926" s="171"/>
      <c r="W9926" s="171"/>
      <c r="X9926" s="171"/>
      <c r="Y9926" s="171"/>
      <c r="Z9926" s="171"/>
      <c r="AA9926" s="171"/>
    </row>
    <row r="9927" spans="1:27" s="530" customFormat="1" ht="25.5" hidden="1" x14ac:dyDescent="0.2">
      <c r="A9927" s="526"/>
      <c r="B9927" s="527"/>
      <c r="C9927" s="534"/>
      <c r="D9927" s="535"/>
      <c r="E9927" s="535"/>
      <c r="F9927" s="503" t="s">
        <v>259</v>
      </c>
      <c r="G9927" s="504" t="s">
        <v>260</v>
      </c>
      <c r="H9927" s="397"/>
      <c r="I9927" s="397"/>
      <c r="J9927" s="750" t="e">
        <f t="shared" si="137"/>
        <v>#DIV/0!</v>
      </c>
      <c r="K9927" s="398"/>
      <c r="L9927" s="404"/>
      <c r="M9927" s="682"/>
      <c r="N9927" s="171"/>
      <c r="O9927" s="171"/>
      <c r="P9927" s="171"/>
      <c r="Q9927" s="171"/>
      <c r="R9927" s="171"/>
      <c r="S9927" s="171"/>
      <c r="T9927" s="171"/>
      <c r="U9927" s="171"/>
      <c r="V9927" s="171"/>
      <c r="W9927" s="171"/>
      <c r="X9927" s="171"/>
      <c r="Y9927" s="171"/>
      <c r="Z9927" s="171"/>
      <c r="AA9927" s="171"/>
    </row>
    <row r="9928" spans="1:27" s="530" customFormat="1" ht="25.5" hidden="1" x14ac:dyDescent="0.2">
      <c r="A9928" s="526"/>
      <c r="B9928" s="527"/>
      <c r="C9928" s="534"/>
      <c r="D9928" s="535"/>
      <c r="E9928" s="535"/>
      <c r="F9928" s="503" t="s">
        <v>261</v>
      </c>
      <c r="G9928" s="504" t="s">
        <v>262</v>
      </c>
      <c r="H9928" s="397"/>
      <c r="I9928" s="397"/>
      <c r="J9928" s="750" t="e">
        <f t="shared" si="137"/>
        <v>#DIV/0!</v>
      </c>
      <c r="K9928" s="398"/>
      <c r="L9928" s="404"/>
      <c r="M9928" s="682"/>
      <c r="N9928" s="171"/>
      <c r="O9928" s="171"/>
      <c r="P9928" s="171"/>
      <c r="Q9928" s="171"/>
      <c r="R9928" s="171"/>
      <c r="S9928" s="171"/>
      <c r="T9928" s="171"/>
      <c r="U9928" s="171"/>
      <c r="V9928" s="171"/>
      <c r="W9928" s="171"/>
      <c r="X9928" s="171"/>
      <c r="Y9928" s="171"/>
      <c r="Z9928" s="171"/>
      <c r="AA9928" s="171"/>
    </row>
    <row r="9929" spans="1:27" s="530" customFormat="1" hidden="1" x14ac:dyDescent="0.2">
      <c r="A9929" s="526"/>
      <c r="B9929" s="527"/>
      <c r="C9929" s="534"/>
      <c r="D9929" s="535"/>
      <c r="E9929" s="535"/>
      <c r="F9929" s="503" t="s">
        <v>263</v>
      </c>
      <c r="G9929" s="504" t="s">
        <v>264</v>
      </c>
      <c r="H9929" s="403"/>
      <c r="I9929" s="403"/>
      <c r="J9929" s="750" t="e">
        <f t="shared" si="137"/>
        <v>#DIV/0!</v>
      </c>
      <c r="K9929" s="404"/>
      <c r="L9929" s="404"/>
      <c r="M9929" s="682"/>
      <c r="N9929" s="171"/>
      <c r="O9929" s="171"/>
      <c r="P9929" s="171"/>
      <c r="Q9929" s="171"/>
      <c r="R9929" s="171"/>
      <c r="S9929" s="171"/>
      <c r="T9929" s="171"/>
      <c r="U9929" s="171"/>
      <c r="V9929" s="171"/>
      <c r="W9929" s="171"/>
      <c r="X9929" s="171"/>
      <c r="Y9929" s="171"/>
      <c r="Z9929" s="171"/>
      <c r="AA9929" s="171"/>
    </row>
    <row r="9930" spans="1:27" s="530" customFormat="1" ht="13.5" hidden="1" thickBot="1" x14ac:dyDescent="0.25">
      <c r="A9930" s="526"/>
      <c r="B9930" s="527"/>
      <c r="C9930" s="534"/>
      <c r="D9930" s="535"/>
      <c r="E9930" s="535"/>
      <c r="F9930" s="464"/>
      <c r="G9930" s="505" t="s">
        <v>4434</v>
      </c>
      <c r="H9930" s="405">
        <f>SUM(H9914:H9929)</f>
        <v>0</v>
      </c>
      <c r="I9930" s="405"/>
      <c r="J9930" s="750" t="e">
        <f t="shared" si="137"/>
        <v>#DIV/0!</v>
      </c>
      <c r="K9930" s="406">
        <f>SUM(K9915:K9929)</f>
        <v>0</v>
      </c>
      <c r="L9930" s="406"/>
      <c r="M9930" s="682"/>
      <c r="N9930" s="171"/>
      <c r="O9930" s="171"/>
      <c r="P9930" s="171"/>
      <c r="Q9930" s="171"/>
      <c r="R9930" s="171"/>
      <c r="S9930" s="171"/>
      <c r="T9930" s="171"/>
      <c r="U9930" s="171"/>
      <c r="V9930" s="171"/>
      <c r="W9930" s="171"/>
      <c r="X9930" s="171"/>
      <c r="Y9930" s="171"/>
      <c r="Z9930" s="171"/>
      <c r="AA9930" s="171"/>
    </row>
    <row r="9931" spans="1:27" s="530" customFormat="1" hidden="1" x14ac:dyDescent="0.2">
      <c r="A9931" s="526"/>
      <c r="B9931" s="527"/>
      <c r="C9931" s="534"/>
      <c r="D9931" s="535"/>
      <c r="E9931" s="535"/>
      <c r="F9931" s="464"/>
      <c r="G9931" s="510"/>
      <c r="H9931" s="411"/>
      <c r="I9931" s="411"/>
      <c r="J9931" s="750" t="e">
        <f t="shared" si="137"/>
        <v>#DIV/0!</v>
      </c>
      <c r="K9931" s="412"/>
      <c r="L9931" s="412"/>
      <c r="M9931" s="682"/>
      <c r="N9931" s="171"/>
      <c r="O9931" s="171"/>
      <c r="P9931" s="171"/>
      <c r="Q9931" s="171"/>
      <c r="R9931" s="171"/>
      <c r="S9931" s="171"/>
      <c r="T9931" s="171"/>
      <c r="U9931" s="171"/>
      <c r="V9931" s="171"/>
      <c r="W9931" s="171"/>
      <c r="X9931" s="171"/>
      <c r="Y9931" s="171"/>
      <c r="Z9931" s="171"/>
      <c r="AA9931" s="171"/>
    </row>
    <row r="9932" spans="1:27" ht="4.5" customHeight="1" x14ac:dyDescent="0.2">
      <c r="H9932" s="397"/>
      <c r="I9932" s="397"/>
      <c r="J9932" s="750"/>
      <c r="K9932" s="398"/>
      <c r="L9932" s="398"/>
      <c r="M9932" s="682"/>
    </row>
    <row r="9933" spans="1:27" x14ac:dyDescent="0.2">
      <c r="A9933" s="521"/>
      <c r="B9933" s="641">
        <v>9</v>
      </c>
      <c r="C9933" s="643">
        <v>70151</v>
      </c>
      <c r="D9933" s="184"/>
      <c r="E9933" s="184"/>
      <c r="F9933" s="184"/>
      <c r="G9933" s="642" t="s">
        <v>5144</v>
      </c>
      <c r="H9933" s="420"/>
      <c r="I9933" s="420"/>
      <c r="J9933" s="751"/>
      <c r="K9933" s="449"/>
      <c r="L9933" s="447"/>
      <c r="M9933" s="682"/>
    </row>
    <row r="9934" spans="1:27" s="530" customFormat="1" x14ac:dyDescent="0.2">
      <c r="A9934" s="526"/>
      <c r="B9934" s="527"/>
      <c r="C9934" s="528" t="s">
        <v>3561</v>
      </c>
      <c r="D9934" s="464"/>
      <c r="E9934" s="464"/>
      <c r="F9934" s="464"/>
      <c r="G9934" s="529" t="s">
        <v>5146</v>
      </c>
      <c r="H9934" s="422"/>
      <c r="I9934" s="422"/>
      <c r="J9934" s="750"/>
      <c r="K9934" s="423"/>
      <c r="L9934" s="424"/>
      <c r="M9934" s="682"/>
      <c r="N9934" s="171"/>
      <c r="O9934" s="171"/>
      <c r="P9934" s="171"/>
      <c r="Q9934" s="171"/>
      <c r="R9934" s="171"/>
      <c r="S9934" s="171"/>
      <c r="T9934" s="171"/>
      <c r="U9934" s="171"/>
      <c r="V9934" s="171"/>
      <c r="W9934" s="171"/>
      <c r="X9934" s="171"/>
      <c r="Y9934" s="171"/>
      <c r="Z9934" s="171"/>
      <c r="AA9934" s="171"/>
    </row>
    <row r="9935" spans="1:27" s="530" customFormat="1" hidden="1" x14ac:dyDescent="0.2">
      <c r="A9935" s="526"/>
      <c r="B9935" s="527"/>
      <c r="C9935" s="531" t="s">
        <v>4052</v>
      </c>
      <c r="D9935" s="490"/>
      <c r="E9935" s="490"/>
      <c r="F9935" s="532"/>
      <c r="G9935" s="178" t="s">
        <v>4054</v>
      </c>
      <c r="H9935" s="422"/>
      <c r="I9935" s="422"/>
      <c r="J9935" s="750"/>
      <c r="K9935" s="423"/>
      <c r="L9935" s="424"/>
      <c r="M9935" s="682"/>
      <c r="N9935" s="171"/>
      <c r="O9935" s="171"/>
      <c r="P9935" s="171"/>
      <c r="Q9935" s="171"/>
      <c r="R9935" s="171"/>
      <c r="S9935" s="171"/>
      <c r="T9935" s="171"/>
      <c r="U9935" s="171"/>
      <c r="V9935" s="171"/>
      <c r="W9935" s="171"/>
      <c r="X9935" s="171"/>
      <c r="Y9935" s="171"/>
      <c r="Z9935" s="171"/>
      <c r="AA9935" s="171"/>
    </row>
    <row r="9936" spans="1:27" hidden="1" x14ac:dyDescent="0.2">
      <c r="C9936" s="489"/>
      <c r="D9936" s="492">
        <v>620</v>
      </c>
      <c r="E9936" s="492"/>
      <c r="F9936" s="492"/>
      <c r="G9936" s="493" t="s">
        <v>182</v>
      </c>
      <c r="H9936" s="397"/>
      <c r="I9936" s="397"/>
      <c r="J9936" s="750"/>
      <c r="K9936" s="398"/>
      <c r="L9936" s="398"/>
      <c r="M9936" s="682"/>
    </row>
    <row r="9937" spans="6:13" hidden="1" x14ac:dyDescent="0.2">
      <c r="F9937" s="494">
        <v>411</v>
      </c>
      <c r="G9937" s="495" t="s">
        <v>4167</v>
      </c>
      <c r="H9937" s="397"/>
      <c r="I9937" s="397"/>
      <c r="J9937" s="750"/>
      <c r="K9937" s="398"/>
      <c r="L9937" s="398"/>
      <c r="M9937" s="682"/>
    </row>
    <row r="9938" spans="6:13" hidden="1" x14ac:dyDescent="0.2">
      <c r="F9938" s="494">
        <v>412</v>
      </c>
      <c r="G9938" s="496" t="s">
        <v>3764</v>
      </c>
      <c r="H9938" s="397"/>
      <c r="I9938" s="397"/>
      <c r="J9938" s="750"/>
      <c r="K9938" s="398"/>
      <c r="L9938" s="398"/>
      <c r="M9938" s="682"/>
    </row>
    <row r="9939" spans="6:13" hidden="1" x14ac:dyDescent="0.2">
      <c r="F9939" s="494">
        <v>413</v>
      </c>
      <c r="G9939" s="495" t="s">
        <v>4168</v>
      </c>
      <c r="H9939" s="397"/>
      <c r="I9939" s="397"/>
      <c r="J9939" s="750"/>
      <c r="K9939" s="398"/>
      <c r="L9939" s="398"/>
      <c r="M9939" s="682"/>
    </row>
    <row r="9940" spans="6:13" hidden="1" x14ac:dyDescent="0.2">
      <c r="F9940" s="494">
        <v>414</v>
      </c>
      <c r="G9940" s="495" t="s">
        <v>3767</v>
      </c>
      <c r="H9940" s="397"/>
      <c r="I9940" s="397"/>
      <c r="J9940" s="750"/>
      <c r="K9940" s="398"/>
      <c r="L9940" s="398"/>
      <c r="M9940" s="682"/>
    </row>
    <row r="9941" spans="6:13" hidden="1" x14ac:dyDescent="0.2">
      <c r="F9941" s="494">
        <v>415</v>
      </c>
      <c r="G9941" s="495" t="s">
        <v>4177</v>
      </c>
      <c r="H9941" s="397"/>
      <c r="I9941" s="397"/>
      <c r="J9941" s="750"/>
      <c r="K9941" s="398"/>
      <c r="L9941" s="398"/>
      <c r="M9941" s="682"/>
    </row>
    <row r="9942" spans="6:13" ht="25.5" hidden="1" x14ac:dyDescent="0.2">
      <c r="F9942" s="494">
        <v>416</v>
      </c>
      <c r="G9942" s="495" t="s">
        <v>4178</v>
      </c>
      <c r="H9942" s="397"/>
      <c r="I9942" s="397"/>
      <c r="J9942" s="750"/>
      <c r="K9942" s="398"/>
      <c r="L9942" s="398"/>
      <c r="M9942" s="682"/>
    </row>
    <row r="9943" spans="6:13" hidden="1" x14ac:dyDescent="0.2">
      <c r="F9943" s="494">
        <v>417</v>
      </c>
      <c r="G9943" s="495" t="s">
        <v>4179</v>
      </c>
      <c r="H9943" s="397"/>
      <c r="I9943" s="397"/>
      <c r="J9943" s="750"/>
      <c r="K9943" s="398"/>
      <c r="L9943" s="398"/>
      <c r="M9943" s="682"/>
    </row>
    <row r="9944" spans="6:13" hidden="1" x14ac:dyDescent="0.2">
      <c r="F9944" s="494">
        <v>418</v>
      </c>
      <c r="G9944" s="495" t="s">
        <v>3773</v>
      </c>
      <c r="H9944" s="397"/>
      <c r="I9944" s="397"/>
      <c r="J9944" s="750"/>
      <c r="K9944" s="398"/>
      <c r="L9944" s="398"/>
      <c r="M9944" s="682"/>
    </row>
    <row r="9945" spans="6:13" hidden="1" x14ac:dyDescent="0.2">
      <c r="F9945" s="494">
        <v>421</v>
      </c>
      <c r="G9945" s="495" t="s">
        <v>3777</v>
      </c>
      <c r="H9945" s="397"/>
      <c r="I9945" s="397"/>
      <c r="J9945" s="750"/>
      <c r="K9945" s="398"/>
      <c r="L9945" s="398"/>
      <c r="M9945" s="682"/>
    </row>
    <row r="9946" spans="6:13" hidden="1" x14ac:dyDescent="0.2">
      <c r="F9946" s="494">
        <v>422</v>
      </c>
      <c r="G9946" s="495" t="s">
        <v>3778</v>
      </c>
      <c r="H9946" s="397"/>
      <c r="I9946" s="397"/>
      <c r="J9946" s="750"/>
      <c r="K9946" s="398"/>
      <c r="L9946" s="398"/>
      <c r="M9946" s="682"/>
    </row>
    <row r="9947" spans="6:13" hidden="1" x14ac:dyDescent="0.2">
      <c r="F9947" s="494">
        <v>423</v>
      </c>
      <c r="G9947" s="495" t="s">
        <v>3779</v>
      </c>
      <c r="H9947" s="397"/>
      <c r="I9947" s="397"/>
      <c r="J9947" s="750"/>
      <c r="K9947" s="398"/>
      <c r="L9947" s="398"/>
      <c r="M9947" s="682"/>
    </row>
    <row r="9948" spans="6:13" hidden="1" x14ac:dyDescent="0.2">
      <c r="F9948" s="494">
        <v>424</v>
      </c>
      <c r="G9948" s="495" t="s">
        <v>3781</v>
      </c>
      <c r="H9948" s="397"/>
      <c r="I9948" s="397"/>
      <c r="J9948" s="750"/>
      <c r="K9948" s="398"/>
      <c r="L9948" s="398"/>
      <c r="M9948" s="682"/>
    </row>
    <row r="9949" spans="6:13" hidden="1" x14ac:dyDescent="0.2">
      <c r="F9949" s="494">
        <v>425</v>
      </c>
      <c r="G9949" s="495" t="s">
        <v>4180</v>
      </c>
      <c r="H9949" s="397"/>
      <c r="I9949" s="397"/>
      <c r="J9949" s="750"/>
      <c r="K9949" s="398"/>
      <c r="L9949" s="398"/>
      <c r="M9949" s="682"/>
    </row>
    <row r="9950" spans="6:13" hidden="1" x14ac:dyDescent="0.2">
      <c r="F9950" s="494">
        <v>426</v>
      </c>
      <c r="G9950" s="495" t="s">
        <v>3785</v>
      </c>
      <c r="H9950" s="397"/>
      <c r="I9950" s="397"/>
      <c r="J9950" s="750"/>
      <c r="K9950" s="398"/>
      <c r="L9950" s="398"/>
      <c r="M9950" s="682"/>
    </row>
    <row r="9951" spans="6:13" hidden="1" x14ac:dyDescent="0.2">
      <c r="F9951" s="494">
        <v>431</v>
      </c>
      <c r="G9951" s="495" t="s">
        <v>4181</v>
      </c>
      <c r="H9951" s="397"/>
      <c r="I9951" s="397"/>
      <c r="J9951" s="750"/>
      <c r="K9951" s="398"/>
      <c r="L9951" s="398"/>
      <c r="M9951" s="682"/>
    </row>
    <row r="9952" spans="6:13" hidden="1" x14ac:dyDescent="0.2">
      <c r="F9952" s="494">
        <v>432</v>
      </c>
      <c r="G9952" s="495" t="s">
        <v>4182</v>
      </c>
      <c r="H9952" s="397"/>
      <c r="I9952" s="397"/>
      <c r="J9952" s="750"/>
      <c r="K9952" s="398"/>
      <c r="L9952" s="398"/>
      <c r="M9952" s="682"/>
    </row>
    <row r="9953" spans="6:13" hidden="1" x14ac:dyDescent="0.2">
      <c r="F9953" s="494">
        <v>433</v>
      </c>
      <c r="G9953" s="495" t="s">
        <v>4183</v>
      </c>
      <c r="H9953" s="397"/>
      <c r="I9953" s="397"/>
      <c r="J9953" s="750"/>
      <c r="K9953" s="398"/>
      <c r="L9953" s="398"/>
      <c r="M9953" s="682"/>
    </row>
    <row r="9954" spans="6:13" hidden="1" x14ac:dyDescent="0.2">
      <c r="F9954" s="494">
        <v>434</v>
      </c>
      <c r="G9954" s="495" t="s">
        <v>4184</v>
      </c>
      <c r="H9954" s="397"/>
      <c r="I9954" s="397"/>
      <c r="J9954" s="750"/>
      <c r="K9954" s="398"/>
      <c r="L9954" s="398"/>
      <c r="M9954" s="682"/>
    </row>
    <row r="9955" spans="6:13" hidden="1" x14ac:dyDescent="0.2">
      <c r="F9955" s="494">
        <v>435</v>
      </c>
      <c r="G9955" s="495" t="s">
        <v>3792</v>
      </c>
      <c r="H9955" s="397"/>
      <c r="I9955" s="397"/>
      <c r="J9955" s="750"/>
      <c r="K9955" s="398"/>
      <c r="L9955" s="398"/>
      <c r="M9955" s="682"/>
    </row>
    <row r="9956" spans="6:13" hidden="1" x14ac:dyDescent="0.2">
      <c r="F9956" s="494">
        <v>441</v>
      </c>
      <c r="G9956" s="495" t="s">
        <v>4185</v>
      </c>
      <c r="H9956" s="397"/>
      <c r="I9956" s="397"/>
      <c r="J9956" s="750"/>
      <c r="K9956" s="398"/>
      <c r="L9956" s="398"/>
      <c r="M9956" s="682"/>
    </row>
    <row r="9957" spans="6:13" hidden="1" x14ac:dyDescent="0.2">
      <c r="F9957" s="494">
        <v>442</v>
      </c>
      <c r="G9957" s="495" t="s">
        <v>4186</v>
      </c>
      <c r="H9957" s="397"/>
      <c r="I9957" s="397"/>
      <c r="J9957" s="750"/>
      <c r="K9957" s="398"/>
      <c r="L9957" s="398"/>
      <c r="M9957" s="682"/>
    </row>
    <row r="9958" spans="6:13" hidden="1" x14ac:dyDescent="0.2">
      <c r="F9958" s="494">
        <v>443</v>
      </c>
      <c r="G9958" s="495" t="s">
        <v>3797</v>
      </c>
      <c r="H9958" s="397"/>
      <c r="I9958" s="397"/>
      <c r="J9958" s="750"/>
      <c r="K9958" s="398"/>
      <c r="L9958" s="398"/>
      <c r="M9958" s="682"/>
    </row>
    <row r="9959" spans="6:13" hidden="1" x14ac:dyDescent="0.2">
      <c r="F9959" s="494">
        <v>444</v>
      </c>
      <c r="G9959" s="495" t="s">
        <v>3798</v>
      </c>
      <c r="H9959" s="397"/>
      <c r="I9959" s="397"/>
      <c r="J9959" s="750"/>
      <c r="K9959" s="398"/>
      <c r="L9959" s="398"/>
      <c r="M9959" s="682"/>
    </row>
    <row r="9960" spans="6:13" ht="25.5" hidden="1" x14ac:dyDescent="0.2">
      <c r="F9960" s="494">
        <v>4511</v>
      </c>
      <c r="G9960" s="466" t="s">
        <v>1692</v>
      </c>
      <c r="H9960" s="397"/>
      <c r="I9960" s="397"/>
      <c r="J9960" s="750"/>
      <c r="K9960" s="398"/>
      <c r="L9960" s="398"/>
      <c r="M9960" s="682"/>
    </row>
    <row r="9961" spans="6:13" ht="19.5" hidden="1" customHeight="1" x14ac:dyDescent="0.2">
      <c r="F9961" s="494">
        <v>4512</v>
      </c>
      <c r="G9961" s="466" t="s">
        <v>1701</v>
      </c>
      <c r="H9961" s="397"/>
      <c r="I9961" s="397"/>
      <c r="J9961" s="750"/>
      <c r="K9961" s="398"/>
      <c r="L9961" s="398"/>
      <c r="M9961" s="682"/>
    </row>
    <row r="9962" spans="6:13" ht="25.5" hidden="1" x14ac:dyDescent="0.2">
      <c r="F9962" s="494">
        <v>452</v>
      </c>
      <c r="G9962" s="495" t="s">
        <v>4187</v>
      </c>
      <c r="H9962" s="397"/>
      <c r="I9962" s="397"/>
      <c r="J9962" s="750"/>
      <c r="K9962" s="398"/>
      <c r="L9962" s="398"/>
      <c r="M9962" s="682"/>
    </row>
    <row r="9963" spans="6:13" ht="25.5" hidden="1" x14ac:dyDescent="0.2">
      <c r="F9963" s="494">
        <v>453</v>
      </c>
      <c r="G9963" s="495" t="s">
        <v>4188</v>
      </c>
      <c r="H9963" s="397"/>
      <c r="I9963" s="397"/>
      <c r="J9963" s="750"/>
      <c r="K9963" s="398"/>
      <c r="L9963" s="398"/>
      <c r="M9963" s="682"/>
    </row>
    <row r="9964" spans="6:13" hidden="1" x14ac:dyDescent="0.2">
      <c r="F9964" s="494">
        <v>454</v>
      </c>
      <c r="G9964" s="495" t="s">
        <v>3803</v>
      </c>
      <c r="H9964" s="397"/>
      <c r="I9964" s="397"/>
      <c r="J9964" s="750"/>
      <c r="K9964" s="398"/>
      <c r="L9964" s="398"/>
      <c r="M9964" s="682"/>
    </row>
    <row r="9965" spans="6:13" hidden="1" x14ac:dyDescent="0.2">
      <c r="F9965" s="494">
        <v>461</v>
      </c>
      <c r="G9965" s="495" t="s">
        <v>4169</v>
      </c>
      <c r="H9965" s="397"/>
      <c r="I9965" s="397"/>
      <c r="J9965" s="750"/>
      <c r="K9965" s="398"/>
      <c r="L9965" s="398"/>
      <c r="M9965" s="682"/>
    </row>
    <row r="9966" spans="6:13" ht="25.5" hidden="1" x14ac:dyDescent="0.2">
      <c r="F9966" s="494">
        <v>462</v>
      </c>
      <c r="G9966" s="495" t="s">
        <v>3806</v>
      </c>
      <c r="H9966" s="397"/>
      <c r="I9966" s="397"/>
      <c r="J9966" s="750"/>
      <c r="K9966" s="398"/>
      <c r="L9966" s="398"/>
      <c r="M9966" s="682"/>
    </row>
    <row r="9967" spans="6:13" hidden="1" x14ac:dyDescent="0.2">
      <c r="F9967" s="494">
        <v>4631</v>
      </c>
      <c r="G9967" s="495" t="s">
        <v>3807</v>
      </c>
      <c r="H9967" s="397"/>
      <c r="I9967" s="397"/>
      <c r="J9967" s="750"/>
      <c r="K9967" s="398"/>
      <c r="L9967" s="398"/>
      <c r="M9967" s="682"/>
    </row>
    <row r="9968" spans="6:13" hidden="1" x14ac:dyDescent="0.2">
      <c r="F9968" s="494">
        <v>4632</v>
      </c>
      <c r="G9968" s="495" t="s">
        <v>3808</v>
      </c>
      <c r="H9968" s="397"/>
      <c r="I9968" s="397"/>
      <c r="J9968" s="750"/>
      <c r="K9968" s="398"/>
      <c r="L9968" s="398"/>
      <c r="M9968" s="682"/>
    </row>
    <row r="9969" spans="6:13" ht="25.5" hidden="1" x14ac:dyDescent="0.2">
      <c r="F9969" s="494">
        <v>464</v>
      </c>
      <c r="G9969" s="495" t="s">
        <v>3809</v>
      </c>
      <c r="H9969" s="397"/>
      <c r="I9969" s="397"/>
      <c r="J9969" s="750"/>
      <c r="K9969" s="398"/>
      <c r="L9969" s="398"/>
      <c r="M9969" s="682"/>
    </row>
    <row r="9970" spans="6:13" hidden="1" x14ac:dyDescent="0.2">
      <c r="F9970" s="494">
        <v>465</v>
      </c>
      <c r="G9970" s="495" t="s">
        <v>4170</v>
      </c>
      <c r="H9970" s="397"/>
      <c r="I9970" s="397"/>
      <c r="J9970" s="750"/>
      <c r="K9970" s="398"/>
      <c r="L9970" s="398"/>
      <c r="M9970" s="682"/>
    </row>
    <row r="9971" spans="6:13" hidden="1" x14ac:dyDescent="0.2">
      <c r="F9971" s="494">
        <v>472</v>
      </c>
      <c r="G9971" s="495" t="s">
        <v>3813</v>
      </c>
      <c r="H9971" s="397"/>
      <c r="I9971" s="397"/>
      <c r="J9971" s="750"/>
      <c r="K9971" s="398"/>
      <c r="L9971" s="398"/>
      <c r="M9971" s="682"/>
    </row>
    <row r="9972" spans="6:13" hidden="1" x14ac:dyDescent="0.2">
      <c r="F9972" s="494">
        <v>481</v>
      </c>
      <c r="G9972" s="495" t="s">
        <v>4189</v>
      </c>
      <c r="H9972" s="397"/>
      <c r="I9972" s="397"/>
      <c r="J9972" s="750"/>
      <c r="K9972" s="398"/>
      <c r="L9972" s="398"/>
      <c r="M9972" s="682"/>
    </row>
    <row r="9973" spans="6:13" hidden="1" x14ac:dyDescent="0.2">
      <c r="F9973" s="494">
        <v>482</v>
      </c>
      <c r="G9973" s="495" t="s">
        <v>4190</v>
      </c>
      <c r="H9973" s="397"/>
      <c r="I9973" s="397"/>
      <c r="J9973" s="750"/>
      <c r="K9973" s="398"/>
      <c r="L9973" s="398"/>
      <c r="M9973" s="682"/>
    </row>
    <row r="9974" spans="6:13" hidden="1" x14ac:dyDescent="0.2">
      <c r="F9974" s="494">
        <v>483</v>
      </c>
      <c r="G9974" s="497" t="s">
        <v>4191</v>
      </c>
      <c r="H9974" s="397"/>
      <c r="I9974" s="397"/>
      <c r="J9974" s="750"/>
      <c r="K9974" s="398"/>
      <c r="L9974" s="398"/>
      <c r="M9974" s="682"/>
    </row>
    <row r="9975" spans="6:13" ht="38.25" hidden="1" x14ac:dyDescent="0.2">
      <c r="F9975" s="494">
        <v>484</v>
      </c>
      <c r="G9975" s="495" t="s">
        <v>4192</v>
      </c>
      <c r="H9975" s="397"/>
      <c r="I9975" s="397"/>
      <c r="J9975" s="750"/>
      <c r="K9975" s="398"/>
      <c r="L9975" s="398"/>
      <c r="M9975" s="682"/>
    </row>
    <row r="9976" spans="6:13" ht="25.5" hidden="1" x14ac:dyDescent="0.2">
      <c r="F9976" s="494">
        <v>485</v>
      </c>
      <c r="G9976" s="495" t="s">
        <v>4193</v>
      </c>
      <c r="H9976" s="397"/>
      <c r="I9976" s="397"/>
      <c r="J9976" s="750"/>
      <c r="K9976" s="398"/>
      <c r="L9976" s="398"/>
      <c r="M9976" s="682"/>
    </row>
    <row r="9977" spans="6:13" ht="25.5" hidden="1" x14ac:dyDescent="0.2">
      <c r="F9977" s="494">
        <v>489</v>
      </c>
      <c r="G9977" s="495" t="s">
        <v>3821</v>
      </c>
      <c r="H9977" s="397"/>
      <c r="I9977" s="397"/>
      <c r="J9977" s="750"/>
      <c r="K9977" s="398"/>
      <c r="L9977" s="398"/>
      <c r="M9977" s="682"/>
    </row>
    <row r="9978" spans="6:13" ht="25.5" hidden="1" x14ac:dyDescent="0.2">
      <c r="F9978" s="494">
        <v>494</v>
      </c>
      <c r="G9978" s="495" t="s">
        <v>4171</v>
      </c>
      <c r="H9978" s="397"/>
      <c r="I9978" s="397"/>
      <c r="J9978" s="750"/>
      <c r="K9978" s="398"/>
      <c r="L9978" s="398"/>
      <c r="M9978" s="682"/>
    </row>
    <row r="9979" spans="6:13" ht="25.5" hidden="1" x14ac:dyDescent="0.2">
      <c r="F9979" s="494">
        <v>495</v>
      </c>
      <c r="G9979" s="495" t="s">
        <v>4172</v>
      </c>
      <c r="H9979" s="397"/>
      <c r="I9979" s="397"/>
      <c r="J9979" s="750"/>
      <c r="K9979" s="398"/>
      <c r="L9979" s="398"/>
      <c r="M9979" s="682"/>
    </row>
    <row r="9980" spans="6:13" ht="38.25" hidden="1" x14ac:dyDescent="0.2">
      <c r="F9980" s="494">
        <v>496</v>
      </c>
      <c r="G9980" s="495" t="s">
        <v>4173</v>
      </c>
      <c r="H9980" s="397"/>
      <c r="I9980" s="397"/>
      <c r="J9980" s="750"/>
      <c r="K9980" s="398"/>
      <c r="L9980" s="398"/>
      <c r="M9980" s="682"/>
    </row>
    <row r="9981" spans="6:13" ht="25.5" hidden="1" x14ac:dyDescent="0.2">
      <c r="F9981" s="494">
        <v>499</v>
      </c>
      <c r="G9981" s="495" t="s">
        <v>4174</v>
      </c>
      <c r="H9981" s="397"/>
      <c r="I9981" s="397"/>
      <c r="J9981" s="750"/>
      <c r="K9981" s="398"/>
      <c r="L9981" s="398"/>
      <c r="M9981" s="682"/>
    </row>
    <row r="9982" spans="6:13" hidden="1" x14ac:dyDescent="0.2">
      <c r="F9982" s="494">
        <v>511</v>
      </c>
      <c r="G9982" s="497" t="s">
        <v>4194</v>
      </c>
      <c r="H9982" s="397"/>
      <c r="I9982" s="397"/>
      <c r="J9982" s="750"/>
      <c r="K9982" s="398"/>
      <c r="L9982" s="398"/>
      <c r="M9982" s="682"/>
    </row>
    <row r="9983" spans="6:13" hidden="1" x14ac:dyDescent="0.2">
      <c r="F9983" s="494">
        <v>512</v>
      </c>
      <c r="G9983" s="497" t="s">
        <v>4195</v>
      </c>
      <c r="H9983" s="397"/>
      <c r="I9983" s="397"/>
      <c r="J9983" s="750"/>
      <c r="K9983" s="398"/>
      <c r="L9983" s="398"/>
      <c r="M9983" s="682"/>
    </row>
    <row r="9984" spans="6:13" hidden="1" x14ac:dyDescent="0.2">
      <c r="F9984" s="494">
        <v>513</v>
      </c>
      <c r="G9984" s="497" t="s">
        <v>4196</v>
      </c>
      <c r="H9984" s="397"/>
      <c r="I9984" s="397"/>
      <c r="J9984" s="750"/>
      <c r="K9984" s="398"/>
      <c r="L9984" s="398"/>
      <c r="M9984" s="682"/>
    </row>
    <row r="9985" spans="5:13" hidden="1" x14ac:dyDescent="0.2">
      <c r="F9985" s="494">
        <v>514</v>
      </c>
      <c r="G9985" s="495" t="s">
        <v>4197</v>
      </c>
      <c r="H9985" s="397"/>
      <c r="I9985" s="397"/>
      <c r="J9985" s="750"/>
      <c r="K9985" s="398"/>
      <c r="L9985" s="398"/>
      <c r="M9985" s="682"/>
    </row>
    <row r="9986" spans="5:13" hidden="1" x14ac:dyDescent="0.2">
      <c r="F9986" s="494">
        <v>515</v>
      </c>
      <c r="G9986" s="495" t="s">
        <v>3832</v>
      </c>
      <c r="H9986" s="397"/>
      <c r="I9986" s="397"/>
      <c r="J9986" s="750"/>
      <c r="K9986" s="398"/>
      <c r="L9986" s="398"/>
      <c r="M9986" s="682"/>
    </row>
    <row r="9987" spans="5:13" hidden="1" x14ac:dyDescent="0.2">
      <c r="F9987" s="494">
        <v>521</v>
      </c>
      <c r="G9987" s="495" t="s">
        <v>4198</v>
      </c>
      <c r="H9987" s="397"/>
      <c r="I9987" s="397"/>
      <c r="J9987" s="750"/>
      <c r="K9987" s="398"/>
      <c r="L9987" s="398"/>
      <c r="M9987" s="682"/>
    </row>
    <row r="9988" spans="5:13" hidden="1" x14ac:dyDescent="0.2">
      <c r="F9988" s="494">
        <v>522</v>
      </c>
      <c r="G9988" s="495" t="s">
        <v>4199</v>
      </c>
      <c r="H9988" s="397"/>
      <c r="I9988" s="397"/>
      <c r="J9988" s="750"/>
      <c r="K9988" s="398"/>
      <c r="L9988" s="398"/>
      <c r="M9988" s="682"/>
    </row>
    <row r="9989" spans="5:13" hidden="1" x14ac:dyDescent="0.2">
      <c r="F9989" s="494">
        <v>523</v>
      </c>
      <c r="G9989" s="495" t="s">
        <v>3837</v>
      </c>
      <c r="H9989" s="397"/>
      <c r="I9989" s="397"/>
      <c r="J9989" s="750"/>
      <c r="K9989" s="398"/>
      <c r="L9989" s="398"/>
      <c r="M9989" s="682"/>
    </row>
    <row r="9990" spans="5:13" hidden="1" x14ac:dyDescent="0.2">
      <c r="F9990" s="494">
        <v>531</v>
      </c>
      <c r="G9990" s="496" t="s">
        <v>4175</v>
      </c>
      <c r="H9990" s="397"/>
      <c r="I9990" s="397"/>
      <c r="J9990" s="750"/>
      <c r="K9990" s="398"/>
      <c r="L9990" s="398"/>
      <c r="M9990" s="682"/>
    </row>
    <row r="9991" spans="5:13" hidden="1" x14ac:dyDescent="0.2">
      <c r="F9991" s="494">
        <v>541</v>
      </c>
      <c r="G9991" s="495" t="s">
        <v>4200</v>
      </c>
      <c r="H9991" s="397"/>
      <c r="I9991" s="397"/>
      <c r="J9991" s="750"/>
      <c r="K9991" s="398"/>
      <c r="L9991" s="398"/>
      <c r="M9991" s="682"/>
    </row>
    <row r="9992" spans="5:13" hidden="1" x14ac:dyDescent="0.2">
      <c r="F9992" s="494">
        <v>542</v>
      </c>
      <c r="G9992" s="495" t="s">
        <v>4201</v>
      </c>
      <c r="H9992" s="397"/>
      <c r="I9992" s="397"/>
      <c r="J9992" s="750"/>
      <c r="K9992" s="398"/>
      <c r="L9992" s="398"/>
      <c r="M9992" s="682"/>
    </row>
    <row r="9993" spans="5:13" hidden="1" x14ac:dyDescent="0.2">
      <c r="F9993" s="494">
        <v>543</v>
      </c>
      <c r="G9993" s="495" t="s">
        <v>3842</v>
      </c>
      <c r="H9993" s="397"/>
      <c r="I9993" s="397"/>
      <c r="J9993" s="750"/>
      <c r="K9993" s="398"/>
      <c r="L9993" s="398"/>
      <c r="M9993" s="682"/>
    </row>
    <row r="9994" spans="5:13" ht="38.25" hidden="1" x14ac:dyDescent="0.2">
      <c r="F9994" s="494">
        <v>551</v>
      </c>
      <c r="G9994" s="495" t="s">
        <v>4176</v>
      </c>
      <c r="H9994" s="397"/>
      <c r="I9994" s="397"/>
      <c r="J9994" s="750"/>
      <c r="K9994" s="398"/>
      <c r="L9994" s="398"/>
      <c r="M9994" s="682"/>
    </row>
    <row r="9995" spans="5:13" hidden="1" x14ac:dyDescent="0.2">
      <c r="F9995" s="498">
        <v>611</v>
      </c>
      <c r="G9995" s="499" t="s">
        <v>3848</v>
      </c>
      <c r="H9995" s="397"/>
      <c r="I9995" s="397"/>
      <c r="J9995" s="750"/>
      <c r="K9995" s="398"/>
      <c r="L9995" s="398"/>
      <c r="M9995" s="682"/>
    </row>
    <row r="9996" spans="5:13" hidden="1" x14ac:dyDescent="0.2">
      <c r="F9996" s="498">
        <v>620</v>
      </c>
      <c r="G9996" s="499" t="s">
        <v>88</v>
      </c>
      <c r="H9996" s="397"/>
      <c r="I9996" s="397"/>
      <c r="J9996" s="750"/>
      <c r="K9996" s="398"/>
      <c r="L9996" s="398"/>
      <c r="M9996" s="682"/>
    </row>
    <row r="9997" spans="5:13" hidden="1" x14ac:dyDescent="0.2">
      <c r="E9997" s="500"/>
      <c r="F9997" s="498"/>
      <c r="G9997" s="501" t="s">
        <v>4344</v>
      </c>
      <c r="H9997" s="400"/>
      <c r="I9997" s="400"/>
      <c r="J9997" s="750"/>
      <c r="K9997" s="401"/>
      <c r="L9997" s="402"/>
      <c r="M9997" s="682"/>
    </row>
    <row r="9998" spans="5:13" hidden="1" x14ac:dyDescent="0.2">
      <c r="E9998" s="502"/>
      <c r="F9998" s="503" t="s">
        <v>234</v>
      </c>
      <c r="G9998" s="504" t="s">
        <v>235</v>
      </c>
      <c r="H9998" s="403">
        <f>SUM(H9937:H9996)</f>
        <v>0</v>
      </c>
      <c r="I9998" s="403"/>
      <c r="J9998" s="750"/>
      <c r="K9998" s="404"/>
      <c r="L9998" s="404"/>
      <c r="M9998" s="682"/>
    </row>
    <row r="9999" spans="5:13" hidden="1" x14ac:dyDescent="0.2">
      <c r="F9999" s="503" t="s">
        <v>236</v>
      </c>
      <c r="G9999" s="504" t="s">
        <v>237</v>
      </c>
      <c r="H9999" s="397"/>
      <c r="I9999" s="397"/>
      <c r="J9999" s="750"/>
      <c r="K9999" s="398"/>
      <c r="L9999" s="404"/>
      <c r="M9999" s="682"/>
    </row>
    <row r="10000" spans="5:13" hidden="1" x14ac:dyDescent="0.2">
      <c r="F10000" s="503" t="s">
        <v>238</v>
      </c>
      <c r="G10000" s="504" t="s">
        <v>239</v>
      </c>
      <c r="H10000" s="397"/>
      <c r="I10000" s="397"/>
      <c r="J10000" s="750"/>
      <c r="K10000" s="398"/>
      <c r="L10000" s="404"/>
      <c r="M10000" s="682"/>
    </row>
    <row r="10001" spans="5:13" hidden="1" x14ac:dyDescent="0.2">
      <c r="F10001" s="503" t="s">
        <v>240</v>
      </c>
      <c r="G10001" s="504" t="s">
        <v>241</v>
      </c>
      <c r="H10001" s="397"/>
      <c r="I10001" s="397"/>
      <c r="J10001" s="750"/>
      <c r="K10001" s="398"/>
      <c r="L10001" s="404"/>
      <c r="M10001" s="682"/>
    </row>
    <row r="10002" spans="5:13" hidden="1" x14ac:dyDescent="0.2">
      <c r="F10002" s="503" t="s">
        <v>242</v>
      </c>
      <c r="G10002" s="504" t="s">
        <v>243</v>
      </c>
      <c r="H10002" s="397"/>
      <c r="I10002" s="397"/>
      <c r="J10002" s="750"/>
      <c r="K10002" s="398"/>
      <c r="L10002" s="404"/>
      <c r="M10002" s="682"/>
    </row>
    <row r="10003" spans="5:13" hidden="1" x14ac:dyDescent="0.2">
      <c r="F10003" s="503" t="s">
        <v>244</v>
      </c>
      <c r="G10003" s="504" t="s">
        <v>245</v>
      </c>
      <c r="H10003" s="397"/>
      <c r="I10003" s="397"/>
      <c r="J10003" s="750"/>
      <c r="K10003" s="398"/>
      <c r="L10003" s="404"/>
      <c r="M10003" s="682"/>
    </row>
    <row r="10004" spans="5:13" hidden="1" x14ac:dyDescent="0.2">
      <c r="F10004" s="503" t="s">
        <v>246</v>
      </c>
      <c r="G10004" s="504" t="s">
        <v>247</v>
      </c>
      <c r="H10004" s="397"/>
      <c r="I10004" s="397"/>
      <c r="J10004" s="750"/>
      <c r="K10004" s="398"/>
      <c r="L10004" s="404"/>
      <c r="M10004" s="682"/>
    </row>
    <row r="10005" spans="5:13" ht="25.5" hidden="1" x14ac:dyDescent="0.2">
      <c r="F10005" s="503" t="s">
        <v>248</v>
      </c>
      <c r="G10005" s="504" t="s">
        <v>249</v>
      </c>
      <c r="H10005" s="397"/>
      <c r="I10005" s="397"/>
      <c r="J10005" s="750"/>
      <c r="K10005" s="398"/>
      <c r="L10005" s="404"/>
      <c r="M10005" s="682"/>
    </row>
    <row r="10006" spans="5:13" hidden="1" x14ac:dyDescent="0.2">
      <c r="F10006" s="503" t="s">
        <v>250</v>
      </c>
      <c r="G10006" s="504" t="s">
        <v>57</v>
      </c>
      <c r="H10006" s="397"/>
      <c r="I10006" s="397"/>
      <c r="J10006" s="750"/>
      <c r="K10006" s="398"/>
      <c r="L10006" s="404"/>
      <c r="M10006" s="682"/>
    </row>
    <row r="10007" spans="5:13" hidden="1" x14ac:dyDescent="0.2">
      <c r="F10007" s="503" t="s">
        <v>251</v>
      </c>
      <c r="G10007" s="504" t="s">
        <v>252</v>
      </c>
      <c r="H10007" s="397"/>
      <c r="I10007" s="397"/>
      <c r="J10007" s="750"/>
      <c r="K10007" s="398"/>
      <c r="L10007" s="404"/>
      <c r="M10007" s="682"/>
    </row>
    <row r="10008" spans="5:13" hidden="1" x14ac:dyDescent="0.2">
      <c r="F10008" s="503" t="s">
        <v>253</v>
      </c>
      <c r="G10008" s="504" t="s">
        <v>254</v>
      </c>
      <c r="H10008" s="397"/>
      <c r="I10008" s="397"/>
      <c r="J10008" s="750"/>
      <c r="K10008" s="398"/>
      <c r="L10008" s="404"/>
      <c r="M10008" s="682"/>
    </row>
    <row r="10009" spans="5:13" ht="25.5" hidden="1" x14ac:dyDescent="0.2">
      <c r="F10009" s="503" t="s">
        <v>255</v>
      </c>
      <c r="G10009" s="504" t="s">
        <v>256</v>
      </c>
      <c r="H10009" s="397"/>
      <c r="I10009" s="397"/>
      <c r="J10009" s="750"/>
      <c r="K10009" s="398"/>
      <c r="L10009" s="404"/>
      <c r="M10009" s="682"/>
    </row>
    <row r="10010" spans="5:13" ht="25.5" hidden="1" x14ac:dyDescent="0.2">
      <c r="F10010" s="503" t="s">
        <v>257</v>
      </c>
      <c r="G10010" s="504" t="s">
        <v>258</v>
      </c>
      <c r="H10010" s="397"/>
      <c r="I10010" s="397"/>
      <c r="J10010" s="750"/>
      <c r="K10010" s="398"/>
      <c r="L10010" s="404"/>
      <c r="M10010" s="682"/>
    </row>
    <row r="10011" spans="5:13" ht="25.5" hidden="1" x14ac:dyDescent="0.2">
      <c r="F10011" s="503" t="s">
        <v>259</v>
      </c>
      <c r="G10011" s="504" t="s">
        <v>260</v>
      </c>
      <c r="H10011" s="397"/>
      <c r="I10011" s="397"/>
      <c r="J10011" s="750"/>
      <c r="K10011" s="398"/>
      <c r="L10011" s="404"/>
      <c r="M10011" s="682"/>
    </row>
    <row r="10012" spans="5:13" ht="25.5" hidden="1" x14ac:dyDescent="0.2">
      <c r="F10012" s="503" t="s">
        <v>261</v>
      </c>
      <c r="G10012" s="504" t="s">
        <v>262</v>
      </c>
      <c r="H10012" s="397"/>
      <c r="I10012" s="397"/>
      <c r="J10012" s="750"/>
      <c r="K10012" s="398"/>
      <c r="L10012" s="404"/>
      <c r="M10012" s="682"/>
    </row>
    <row r="10013" spans="5:13" hidden="1" x14ac:dyDescent="0.2">
      <c r="F10013" s="503" t="s">
        <v>263</v>
      </c>
      <c r="G10013" s="504" t="s">
        <v>264</v>
      </c>
      <c r="H10013" s="403"/>
      <c r="I10013" s="403"/>
      <c r="J10013" s="750"/>
      <c r="K10013" s="404"/>
      <c r="L10013" s="404"/>
      <c r="M10013" s="682"/>
    </row>
    <row r="10014" spans="5:13" ht="13.5" hidden="1" thickBot="1" x14ac:dyDescent="0.25">
      <c r="G10014" s="505" t="s">
        <v>4345</v>
      </c>
      <c r="H10014" s="405">
        <f>SUM(H9998:H10013)</f>
        <v>0</v>
      </c>
      <c r="I10014" s="405"/>
      <c r="J10014" s="750"/>
      <c r="K10014" s="406">
        <f>SUM(K9999:K10013)</f>
        <v>0</v>
      </c>
      <c r="L10014" s="406"/>
      <c r="M10014" s="682"/>
    </row>
    <row r="10015" spans="5:13" ht="25.5" hidden="1" collapsed="1" x14ac:dyDescent="0.2">
      <c r="E10015" s="500"/>
      <c r="F10015" s="498"/>
      <c r="G10015" s="506" t="s">
        <v>4346</v>
      </c>
      <c r="H10015" s="407"/>
      <c r="I10015" s="408"/>
      <c r="J10015" s="750"/>
      <c r="K10015" s="409"/>
      <c r="L10015" s="410"/>
      <c r="M10015" s="682"/>
    </row>
    <row r="10016" spans="5:13" hidden="1" x14ac:dyDescent="0.2">
      <c r="E10016" s="502"/>
      <c r="F10016" s="503" t="s">
        <v>234</v>
      </c>
      <c r="G10016" s="504" t="s">
        <v>235</v>
      </c>
      <c r="H10016" s="403">
        <f>SUM(H9937:H9996)</f>
        <v>0</v>
      </c>
      <c r="I10016" s="403"/>
      <c r="J10016" s="750"/>
      <c r="K10016" s="404"/>
      <c r="L10016" s="404"/>
      <c r="M10016" s="682"/>
    </row>
    <row r="10017" spans="6:13" hidden="1" x14ac:dyDescent="0.2">
      <c r="F10017" s="503" t="s">
        <v>236</v>
      </c>
      <c r="G10017" s="504" t="s">
        <v>237</v>
      </c>
      <c r="H10017" s="397"/>
      <c r="I10017" s="397"/>
      <c r="J10017" s="750"/>
      <c r="K10017" s="398"/>
      <c r="L10017" s="404"/>
      <c r="M10017" s="682"/>
    </row>
    <row r="10018" spans="6:13" hidden="1" x14ac:dyDescent="0.2">
      <c r="F10018" s="503" t="s">
        <v>238</v>
      </c>
      <c r="G10018" s="504" t="s">
        <v>239</v>
      </c>
      <c r="H10018" s="397"/>
      <c r="I10018" s="397"/>
      <c r="J10018" s="750"/>
      <c r="K10018" s="398"/>
      <c r="L10018" s="404"/>
      <c r="M10018" s="682"/>
    </row>
    <row r="10019" spans="6:13" hidden="1" x14ac:dyDescent="0.2">
      <c r="F10019" s="503" t="s">
        <v>240</v>
      </c>
      <c r="G10019" s="504" t="s">
        <v>241</v>
      </c>
      <c r="H10019" s="397"/>
      <c r="I10019" s="397"/>
      <c r="J10019" s="750"/>
      <c r="K10019" s="398"/>
      <c r="L10019" s="404"/>
      <c r="M10019" s="682"/>
    </row>
    <row r="10020" spans="6:13" hidden="1" x14ac:dyDescent="0.2">
      <c r="F10020" s="503" t="s">
        <v>242</v>
      </c>
      <c r="G10020" s="504" t="s">
        <v>243</v>
      </c>
      <c r="H10020" s="397"/>
      <c r="I10020" s="397"/>
      <c r="J10020" s="750"/>
      <c r="K10020" s="398"/>
      <c r="L10020" s="404"/>
      <c r="M10020" s="682"/>
    </row>
    <row r="10021" spans="6:13" hidden="1" x14ac:dyDescent="0.2">
      <c r="F10021" s="503" t="s">
        <v>244</v>
      </c>
      <c r="G10021" s="504" t="s">
        <v>245</v>
      </c>
      <c r="H10021" s="397"/>
      <c r="I10021" s="397"/>
      <c r="J10021" s="750"/>
      <c r="K10021" s="398"/>
      <c r="L10021" s="404"/>
      <c r="M10021" s="682"/>
    </row>
    <row r="10022" spans="6:13" hidden="1" x14ac:dyDescent="0.2">
      <c r="F10022" s="503" t="s">
        <v>246</v>
      </c>
      <c r="G10022" s="504" t="s">
        <v>247</v>
      </c>
      <c r="H10022" s="397"/>
      <c r="I10022" s="397"/>
      <c r="J10022" s="750"/>
      <c r="K10022" s="398"/>
      <c r="L10022" s="404"/>
      <c r="M10022" s="682"/>
    </row>
    <row r="10023" spans="6:13" ht="25.5" hidden="1" x14ac:dyDescent="0.2">
      <c r="F10023" s="503" t="s">
        <v>248</v>
      </c>
      <c r="G10023" s="504" t="s">
        <v>249</v>
      </c>
      <c r="H10023" s="397"/>
      <c r="I10023" s="397"/>
      <c r="J10023" s="750"/>
      <c r="K10023" s="398"/>
      <c r="L10023" s="404"/>
      <c r="M10023" s="682"/>
    </row>
    <row r="10024" spans="6:13" hidden="1" x14ac:dyDescent="0.2">
      <c r="F10024" s="503" t="s">
        <v>250</v>
      </c>
      <c r="G10024" s="504" t="s">
        <v>57</v>
      </c>
      <c r="H10024" s="397"/>
      <c r="I10024" s="397"/>
      <c r="J10024" s="750"/>
      <c r="K10024" s="398"/>
      <c r="L10024" s="404"/>
      <c r="M10024" s="682"/>
    </row>
    <row r="10025" spans="6:13" hidden="1" x14ac:dyDescent="0.2">
      <c r="F10025" s="503" t="s">
        <v>251</v>
      </c>
      <c r="G10025" s="504" t="s">
        <v>252</v>
      </c>
      <c r="H10025" s="397"/>
      <c r="I10025" s="397"/>
      <c r="J10025" s="750"/>
      <c r="K10025" s="398"/>
      <c r="L10025" s="404"/>
      <c r="M10025" s="682"/>
    </row>
    <row r="10026" spans="6:13" hidden="1" x14ac:dyDescent="0.2">
      <c r="F10026" s="503" t="s">
        <v>253</v>
      </c>
      <c r="G10026" s="504" t="s">
        <v>254</v>
      </c>
      <c r="H10026" s="397"/>
      <c r="I10026" s="397"/>
      <c r="J10026" s="750"/>
      <c r="K10026" s="398"/>
      <c r="L10026" s="404"/>
      <c r="M10026" s="682"/>
    </row>
    <row r="10027" spans="6:13" ht="25.5" hidden="1" x14ac:dyDescent="0.2">
      <c r="F10027" s="503" t="s">
        <v>255</v>
      </c>
      <c r="G10027" s="504" t="s">
        <v>256</v>
      </c>
      <c r="H10027" s="397"/>
      <c r="I10027" s="397"/>
      <c r="J10027" s="750"/>
      <c r="K10027" s="398"/>
      <c r="L10027" s="404"/>
      <c r="M10027" s="682"/>
    </row>
    <row r="10028" spans="6:13" ht="25.5" hidden="1" x14ac:dyDescent="0.2">
      <c r="F10028" s="503" t="s">
        <v>257</v>
      </c>
      <c r="G10028" s="504" t="s">
        <v>258</v>
      </c>
      <c r="H10028" s="397"/>
      <c r="I10028" s="397"/>
      <c r="J10028" s="750"/>
      <c r="K10028" s="398"/>
      <c r="L10028" s="404"/>
      <c r="M10028" s="682"/>
    </row>
    <row r="10029" spans="6:13" ht="25.5" hidden="1" x14ac:dyDescent="0.2">
      <c r="F10029" s="503" t="s">
        <v>259</v>
      </c>
      <c r="G10029" s="504" t="s">
        <v>260</v>
      </c>
      <c r="H10029" s="397"/>
      <c r="I10029" s="397"/>
      <c r="J10029" s="750"/>
      <c r="K10029" s="398"/>
      <c r="L10029" s="404"/>
      <c r="M10029" s="682"/>
    </row>
    <row r="10030" spans="6:13" ht="25.5" hidden="1" x14ac:dyDescent="0.2">
      <c r="F10030" s="503" t="s">
        <v>261</v>
      </c>
      <c r="G10030" s="504" t="s">
        <v>262</v>
      </c>
      <c r="H10030" s="397"/>
      <c r="I10030" s="397"/>
      <c r="J10030" s="750"/>
      <c r="K10030" s="398"/>
      <c r="L10030" s="404"/>
      <c r="M10030" s="682"/>
    </row>
    <row r="10031" spans="6:13" hidden="1" x14ac:dyDescent="0.2">
      <c r="F10031" s="503" t="s">
        <v>263</v>
      </c>
      <c r="G10031" s="504" t="s">
        <v>264</v>
      </c>
      <c r="H10031" s="403"/>
      <c r="I10031" s="403"/>
      <c r="J10031" s="750"/>
      <c r="K10031" s="404"/>
      <c r="L10031" s="404"/>
      <c r="M10031" s="682"/>
    </row>
    <row r="10032" spans="6:13" ht="13.5" hidden="1" collapsed="1" thickBot="1" x14ac:dyDescent="0.25">
      <c r="G10032" s="505" t="s">
        <v>4347</v>
      </c>
      <c r="H10032" s="405">
        <f>SUM(H10016:H10031)</f>
        <v>0</v>
      </c>
      <c r="I10032" s="405"/>
      <c r="J10032" s="750"/>
      <c r="K10032" s="406">
        <f>SUM(K10017:K10031)</f>
        <v>0</v>
      </c>
      <c r="L10032" s="406"/>
      <c r="M10032" s="682"/>
    </row>
    <row r="10033" spans="1:27" hidden="1" x14ac:dyDescent="0.2">
      <c r="H10033" s="397"/>
      <c r="I10033" s="397"/>
      <c r="J10033" s="750"/>
      <c r="K10033" s="398"/>
      <c r="L10033" s="398"/>
      <c r="M10033" s="682"/>
    </row>
    <row r="10034" spans="1:27" s="530" customFormat="1" hidden="1" x14ac:dyDescent="0.2">
      <c r="A10034" s="526"/>
      <c r="B10034" s="527"/>
      <c r="C10034" s="531" t="s">
        <v>4302</v>
      </c>
      <c r="D10034" s="490"/>
      <c r="E10034" s="490"/>
      <c r="F10034" s="532"/>
      <c r="G10034" s="644" t="s">
        <v>4053</v>
      </c>
      <c r="H10034" s="422"/>
      <c r="I10034" s="422"/>
      <c r="J10034" s="750"/>
      <c r="K10034" s="423"/>
      <c r="L10034" s="424"/>
      <c r="M10034" s="682"/>
      <c r="N10034" s="171"/>
      <c r="O10034" s="171"/>
      <c r="P10034" s="171"/>
      <c r="Q10034" s="171"/>
      <c r="R10034" s="171"/>
      <c r="S10034" s="171"/>
      <c r="T10034" s="171"/>
      <c r="U10034" s="171"/>
      <c r="V10034" s="171"/>
      <c r="W10034" s="171"/>
      <c r="X10034" s="171"/>
      <c r="Y10034" s="171"/>
      <c r="Z10034" s="171"/>
      <c r="AA10034" s="171"/>
    </row>
    <row r="10035" spans="1:27" hidden="1" x14ac:dyDescent="0.2">
      <c r="C10035" s="489"/>
      <c r="D10035" s="492">
        <v>620</v>
      </c>
      <c r="E10035" s="492"/>
      <c r="F10035" s="492"/>
      <c r="G10035" s="493" t="s">
        <v>182</v>
      </c>
      <c r="H10035" s="397"/>
      <c r="I10035" s="397"/>
      <c r="J10035" s="750"/>
      <c r="K10035" s="398"/>
      <c r="L10035" s="398"/>
      <c r="M10035" s="682"/>
    </row>
    <row r="10036" spans="1:27" hidden="1" x14ac:dyDescent="0.2">
      <c r="F10036" s="494">
        <v>411</v>
      </c>
      <c r="G10036" s="495" t="s">
        <v>4167</v>
      </c>
      <c r="H10036" s="397"/>
      <c r="I10036" s="397"/>
      <c r="J10036" s="750"/>
      <c r="K10036" s="398"/>
      <c r="L10036" s="398"/>
      <c r="M10036" s="682"/>
    </row>
    <row r="10037" spans="1:27" hidden="1" x14ac:dyDescent="0.2">
      <c r="F10037" s="494">
        <v>412</v>
      </c>
      <c r="G10037" s="496" t="s">
        <v>3764</v>
      </c>
      <c r="H10037" s="397"/>
      <c r="I10037" s="397"/>
      <c r="J10037" s="750"/>
      <c r="K10037" s="398"/>
      <c r="L10037" s="398"/>
      <c r="M10037" s="682"/>
    </row>
    <row r="10038" spans="1:27" hidden="1" x14ac:dyDescent="0.2">
      <c r="F10038" s="494">
        <v>413</v>
      </c>
      <c r="G10038" s="495" t="s">
        <v>4168</v>
      </c>
      <c r="H10038" s="397"/>
      <c r="I10038" s="397"/>
      <c r="J10038" s="750"/>
      <c r="K10038" s="398"/>
      <c r="L10038" s="398"/>
      <c r="M10038" s="682"/>
    </row>
    <row r="10039" spans="1:27" hidden="1" x14ac:dyDescent="0.2">
      <c r="F10039" s="494">
        <v>414</v>
      </c>
      <c r="G10039" s="495" t="s">
        <v>3767</v>
      </c>
      <c r="H10039" s="397"/>
      <c r="I10039" s="397"/>
      <c r="J10039" s="750"/>
      <c r="K10039" s="398"/>
      <c r="L10039" s="398"/>
      <c r="M10039" s="682"/>
    </row>
    <row r="10040" spans="1:27" hidden="1" x14ac:dyDescent="0.2">
      <c r="F10040" s="494">
        <v>415</v>
      </c>
      <c r="G10040" s="495" t="s">
        <v>4177</v>
      </c>
      <c r="H10040" s="397"/>
      <c r="I10040" s="397"/>
      <c r="J10040" s="750"/>
      <c r="K10040" s="398"/>
      <c r="L10040" s="398"/>
      <c r="M10040" s="682"/>
    </row>
    <row r="10041" spans="1:27" ht="25.5" hidden="1" x14ac:dyDescent="0.2">
      <c r="F10041" s="494">
        <v>416</v>
      </c>
      <c r="G10041" s="495" t="s">
        <v>4178</v>
      </c>
      <c r="H10041" s="397"/>
      <c r="I10041" s="397"/>
      <c r="J10041" s="750"/>
      <c r="K10041" s="398"/>
      <c r="L10041" s="398"/>
      <c r="M10041" s="682"/>
    </row>
    <row r="10042" spans="1:27" hidden="1" x14ac:dyDescent="0.2">
      <c r="F10042" s="494">
        <v>417</v>
      </c>
      <c r="G10042" s="495" t="s">
        <v>4179</v>
      </c>
      <c r="H10042" s="397"/>
      <c r="I10042" s="397"/>
      <c r="J10042" s="750"/>
      <c r="K10042" s="398"/>
      <c r="L10042" s="398"/>
      <c r="M10042" s="682"/>
    </row>
    <row r="10043" spans="1:27" hidden="1" x14ac:dyDescent="0.2">
      <c r="F10043" s="494">
        <v>418</v>
      </c>
      <c r="G10043" s="495" t="s">
        <v>3773</v>
      </c>
      <c r="H10043" s="397"/>
      <c r="I10043" s="397"/>
      <c r="J10043" s="750"/>
      <c r="K10043" s="398"/>
      <c r="L10043" s="398"/>
      <c r="M10043" s="682"/>
    </row>
    <row r="10044" spans="1:27" hidden="1" x14ac:dyDescent="0.2">
      <c r="F10044" s="494">
        <v>421</v>
      </c>
      <c r="G10044" s="495" t="s">
        <v>3777</v>
      </c>
      <c r="H10044" s="397"/>
      <c r="I10044" s="397"/>
      <c r="J10044" s="750"/>
      <c r="K10044" s="398"/>
      <c r="L10044" s="398"/>
      <c r="M10044" s="682"/>
    </row>
    <row r="10045" spans="1:27" hidden="1" x14ac:dyDescent="0.2">
      <c r="F10045" s="494">
        <v>422</v>
      </c>
      <c r="G10045" s="495" t="s">
        <v>3778</v>
      </c>
      <c r="H10045" s="397"/>
      <c r="I10045" s="397"/>
      <c r="J10045" s="750"/>
      <c r="K10045" s="398"/>
      <c r="L10045" s="398"/>
      <c r="M10045" s="682"/>
    </row>
    <row r="10046" spans="1:27" hidden="1" x14ac:dyDescent="0.2">
      <c r="F10046" s="494">
        <v>423</v>
      </c>
      <c r="G10046" s="495" t="s">
        <v>3779</v>
      </c>
      <c r="H10046" s="397"/>
      <c r="I10046" s="397"/>
      <c r="J10046" s="750"/>
      <c r="K10046" s="398"/>
      <c r="L10046" s="398"/>
      <c r="M10046" s="682"/>
    </row>
    <row r="10047" spans="1:27" hidden="1" x14ac:dyDescent="0.2">
      <c r="F10047" s="494">
        <v>424</v>
      </c>
      <c r="G10047" s="495" t="s">
        <v>3781</v>
      </c>
      <c r="H10047" s="397"/>
      <c r="I10047" s="397"/>
      <c r="J10047" s="750"/>
      <c r="K10047" s="398"/>
      <c r="L10047" s="398"/>
      <c r="M10047" s="682"/>
    </row>
    <row r="10048" spans="1:27" hidden="1" x14ac:dyDescent="0.2">
      <c r="F10048" s="494">
        <v>425</v>
      </c>
      <c r="G10048" s="495" t="s">
        <v>4180</v>
      </c>
      <c r="H10048" s="397"/>
      <c r="I10048" s="397"/>
      <c r="J10048" s="750"/>
      <c r="K10048" s="398"/>
      <c r="L10048" s="398"/>
      <c r="M10048" s="682"/>
    </row>
    <row r="10049" spans="6:13" hidden="1" x14ac:dyDescent="0.2">
      <c r="F10049" s="494">
        <v>426</v>
      </c>
      <c r="G10049" s="495" t="s">
        <v>3785</v>
      </c>
      <c r="H10049" s="397"/>
      <c r="I10049" s="397"/>
      <c r="J10049" s="750"/>
      <c r="K10049" s="398"/>
      <c r="L10049" s="398"/>
      <c r="M10049" s="682"/>
    </row>
    <row r="10050" spans="6:13" hidden="1" x14ac:dyDescent="0.2">
      <c r="F10050" s="494">
        <v>431</v>
      </c>
      <c r="G10050" s="495" t="s">
        <v>4181</v>
      </c>
      <c r="H10050" s="397"/>
      <c r="I10050" s="397"/>
      <c r="J10050" s="750"/>
      <c r="K10050" s="398"/>
      <c r="L10050" s="398"/>
      <c r="M10050" s="682"/>
    </row>
    <row r="10051" spans="6:13" hidden="1" x14ac:dyDescent="0.2">
      <c r="F10051" s="494">
        <v>432</v>
      </c>
      <c r="G10051" s="495" t="s">
        <v>4182</v>
      </c>
      <c r="H10051" s="397"/>
      <c r="I10051" s="397"/>
      <c r="J10051" s="750"/>
      <c r="K10051" s="398"/>
      <c r="L10051" s="398"/>
      <c r="M10051" s="682"/>
    </row>
    <row r="10052" spans="6:13" hidden="1" x14ac:dyDescent="0.2">
      <c r="F10052" s="494">
        <v>433</v>
      </c>
      <c r="G10052" s="495" t="s">
        <v>4183</v>
      </c>
      <c r="H10052" s="397"/>
      <c r="I10052" s="397"/>
      <c r="J10052" s="750"/>
      <c r="K10052" s="398"/>
      <c r="L10052" s="398"/>
      <c r="M10052" s="682"/>
    </row>
    <row r="10053" spans="6:13" hidden="1" x14ac:dyDescent="0.2">
      <c r="F10053" s="494">
        <v>434</v>
      </c>
      <c r="G10053" s="495" t="s">
        <v>4184</v>
      </c>
      <c r="H10053" s="397"/>
      <c r="I10053" s="397"/>
      <c r="J10053" s="750"/>
      <c r="K10053" s="398"/>
      <c r="L10053" s="398"/>
      <c r="M10053" s="682"/>
    </row>
    <row r="10054" spans="6:13" hidden="1" x14ac:dyDescent="0.2">
      <c r="F10054" s="494">
        <v>435</v>
      </c>
      <c r="G10054" s="495" t="s">
        <v>3792</v>
      </c>
      <c r="H10054" s="397"/>
      <c r="I10054" s="397"/>
      <c r="J10054" s="750"/>
      <c r="K10054" s="398"/>
      <c r="L10054" s="398"/>
      <c r="M10054" s="682"/>
    </row>
    <row r="10055" spans="6:13" hidden="1" x14ac:dyDescent="0.2">
      <c r="F10055" s="494">
        <v>441</v>
      </c>
      <c r="G10055" s="495" t="s">
        <v>4185</v>
      </c>
      <c r="H10055" s="397"/>
      <c r="I10055" s="397"/>
      <c r="J10055" s="750"/>
      <c r="K10055" s="398"/>
      <c r="L10055" s="398"/>
      <c r="M10055" s="682"/>
    </row>
    <row r="10056" spans="6:13" hidden="1" x14ac:dyDescent="0.2">
      <c r="F10056" s="494">
        <v>442</v>
      </c>
      <c r="G10056" s="495" t="s">
        <v>4186</v>
      </c>
      <c r="H10056" s="397"/>
      <c r="I10056" s="397"/>
      <c r="J10056" s="750"/>
      <c r="K10056" s="398"/>
      <c r="L10056" s="398"/>
      <c r="M10056" s="682"/>
    </row>
    <row r="10057" spans="6:13" hidden="1" x14ac:dyDescent="0.2">
      <c r="F10057" s="494">
        <v>443</v>
      </c>
      <c r="G10057" s="495" t="s">
        <v>3797</v>
      </c>
      <c r="H10057" s="397"/>
      <c r="I10057" s="397"/>
      <c r="J10057" s="750"/>
      <c r="K10057" s="398"/>
      <c r="L10057" s="398"/>
      <c r="M10057" s="682"/>
    </row>
    <row r="10058" spans="6:13" hidden="1" x14ac:dyDescent="0.2">
      <c r="F10058" s="494">
        <v>444</v>
      </c>
      <c r="G10058" s="495" t="s">
        <v>3798</v>
      </c>
      <c r="H10058" s="397"/>
      <c r="I10058" s="397"/>
      <c r="J10058" s="750"/>
      <c r="K10058" s="398"/>
      <c r="L10058" s="398"/>
      <c r="M10058" s="682"/>
    </row>
    <row r="10059" spans="6:13" ht="25.5" hidden="1" x14ac:dyDescent="0.2">
      <c r="F10059" s="494">
        <v>4511</v>
      </c>
      <c r="G10059" s="466" t="s">
        <v>1692</v>
      </c>
      <c r="H10059" s="397"/>
      <c r="I10059" s="397"/>
      <c r="J10059" s="750"/>
      <c r="K10059" s="398"/>
      <c r="L10059" s="398"/>
      <c r="M10059" s="682"/>
    </row>
    <row r="10060" spans="6:13" ht="19.5" hidden="1" customHeight="1" x14ac:dyDescent="0.2">
      <c r="F10060" s="494">
        <v>4512</v>
      </c>
      <c r="G10060" s="466" t="s">
        <v>1701</v>
      </c>
      <c r="H10060" s="397"/>
      <c r="I10060" s="397"/>
      <c r="J10060" s="750"/>
      <c r="K10060" s="398"/>
      <c r="L10060" s="398"/>
      <c r="M10060" s="682"/>
    </row>
    <row r="10061" spans="6:13" ht="25.5" hidden="1" x14ac:dyDescent="0.2">
      <c r="F10061" s="494">
        <v>452</v>
      </c>
      <c r="G10061" s="495" t="s">
        <v>4187</v>
      </c>
      <c r="H10061" s="397"/>
      <c r="I10061" s="397"/>
      <c r="J10061" s="750"/>
      <c r="K10061" s="398"/>
      <c r="L10061" s="398"/>
      <c r="M10061" s="682"/>
    </row>
    <row r="10062" spans="6:13" ht="25.5" hidden="1" x14ac:dyDescent="0.2">
      <c r="F10062" s="494">
        <v>453</v>
      </c>
      <c r="G10062" s="495" t="s">
        <v>4188</v>
      </c>
      <c r="H10062" s="397"/>
      <c r="I10062" s="397"/>
      <c r="J10062" s="750"/>
      <c r="K10062" s="398"/>
      <c r="L10062" s="398"/>
      <c r="M10062" s="682"/>
    </row>
    <row r="10063" spans="6:13" hidden="1" x14ac:dyDescent="0.2">
      <c r="F10063" s="494">
        <v>454</v>
      </c>
      <c r="G10063" s="495" t="s">
        <v>3803</v>
      </c>
      <c r="H10063" s="397"/>
      <c r="I10063" s="397"/>
      <c r="J10063" s="750"/>
      <c r="K10063" s="398"/>
      <c r="L10063" s="398"/>
      <c r="M10063" s="682"/>
    </row>
    <row r="10064" spans="6:13" hidden="1" x14ac:dyDescent="0.2">
      <c r="F10064" s="494">
        <v>461</v>
      </c>
      <c r="G10064" s="495" t="s">
        <v>4169</v>
      </c>
      <c r="H10064" s="397"/>
      <c r="I10064" s="397"/>
      <c r="J10064" s="750"/>
      <c r="K10064" s="398"/>
      <c r="L10064" s="398"/>
      <c r="M10064" s="682"/>
    </row>
    <row r="10065" spans="6:13" ht="25.5" hidden="1" x14ac:dyDescent="0.2">
      <c r="F10065" s="494">
        <v>462</v>
      </c>
      <c r="G10065" s="495" t="s">
        <v>3806</v>
      </c>
      <c r="H10065" s="397"/>
      <c r="I10065" s="397"/>
      <c r="J10065" s="750"/>
      <c r="K10065" s="398"/>
      <c r="L10065" s="398"/>
      <c r="M10065" s="682"/>
    </row>
    <row r="10066" spans="6:13" hidden="1" x14ac:dyDescent="0.2">
      <c r="F10066" s="494">
        <v>4631</v>
      </c>
      <c r="G10066" s="495" t="s">
        <v>3807</v>
      </c>
      <c r="H10066" s="397"/>
      <c r="I10066" s="397"/>
      <c r="J10066" s="750"/>
      <c r="K10066" s="398"/>
      <c r="L10066" s="398"/>
      <c r="M10066" s="682"/>
    </row>
    <row r="10067" spans="6:13" hidden="1" x14ac:dyDescent="0.2">
      <c r="F10067" s="494">
        <v>4632</v>
      </c>
      <c r="G10067" s="495" t="s">
        <v>3808</v>
      </c>
      <c r="H10067" s="397"/>
      <c r="I10067" s="397"/>
      <c r="J10067" s="750"/>
      <c r="K10067" s="398"/>
      <c r="L10067" s="398"/>
      <c r="M10067" s="682"/>
    </row>
    <row r="10068" spans="6:13" ht="25.5" hidden="1" x14ac:dyDescent="0.2">
      <c r="F10068" s="494">
        <v>464</v>
      </c>
      <c r="G10068" s="495" t="s">
        <v>3809</v>
      </c>
      <c r="H10068" s="397"/>
      <c r="I10068" s="397"/>
      <c r="J10068" s="750"/>
      <c r="K10068" s="398"/>
      <c r="L10068" s="398"/>
      <c r="M10068" s="682"/>
    </row>
    <row r="10069" spans="6:13" hidden="1" x14ac:dyDescent="0.2">
      <c r="F10069" s="494">
        <v>465</v>
      </c>
      <c r="G10069" s="495" t="s">
        <v>4170</v>
      </c>
      <c r="H10069" s="397"/>
      <c r="I10069" s="397"/>
      <c r="J10069" s="750"/>
      <c r="K10069" s="398"/>
      <c r="L10069" s="398"/>
      <c r="M10069" s="682"/>
    </row>
    <row r="10070" spans="6:13" hidden="1" x14ac:dyDescent="0.2">
      <c r="F10070" s="494">
        <v>472</v>
      </c>
      <c r="G10070" s="495" t="s">
        <v>3813</v>
      </c>
      <c r="H10070" s="397"/>
      <c r="I10070" s="397"/>
      <c r="J10070" s="750"/>
      <c r="K10070" s="398"/>
      <c r="L10070" s="398"/>
      <c r="M10070" s="682"/>
    </row>
    <row r="10071" spans="6:13" hidden="1" x14ac:dyDescent="0.2">
      <c r="F10071" s="494">
        <v>481</v>
      </c>
      <c r="G10071" s="495" t="s">
        <v>4189</v>
      </c>
      <c r="H10071" s="397"/>
      <c r="I10071" s="397"/>
      <c r="J10071" s="750"/>
      <c r="K10071" s="398"/>
      <c r="L10071" s="398"/>
      <c r="M10071" s="682"/>
    </row>
    <row r="10072" spans="6:13" hidden="1" x14ac:dyDescent="0.2">
      <c r="F10072" s="494">
        <v>482</v>
      </c>
      <c r="G10072" s="495" t="s">
        <v>4190</v>
      </c>
      <c r="H10072" s="397"/>
      <c r="I10072" s="397"/>
      <c r="J10072" s="750"/>
      <c r="K10072" s="398"/>
      <c r="L10072" s="398"/>
      <c r="M10072" s="682"/>
    </row>
    <row r="10073" spans="6:13" hidden="1" x14ac:dyDescent="0.2">
      <c r="F10073" s="494">
        <v>483</v>
      </c>
      <c r="G10073" s="497" t="s">
        <v>4191</v>
      </c>
      <c r="H10073" s="397"/>
      <c r="I10073" s="397"/>
      <c r="J10073" s="750"/>
      <c r="K10073" s="398"/>
      <c r="L10073" s="398"/>
      <c r="M10073" s="682"/>
    </row>
    <row r="10074" spans="6:13" ht="38.25" hidden="1" x14ac:dyDescent="0.2">
      <c r="F10074" s="494">
        <v>484</v>
      </c>
      <c r="G10074" s="495" t="s">
        <v>4192</v>
      </c>
      <c r="H10074" s="397"/>
      <c r="I10074" s="397"/>
      <c r="J10074" s="750"/>
      <c r="K10074" s="398"/>
      <c r="L10074" s="398"/>
      <c r="M10074" s="682"/>
    </row>
    <row r="10075" spans="6:13" ht="25.5" hidden="1" x14ac:dyDescent="0.2">
      <c r="F10075" s="494">
        <v>485</v>
      </c>
      <c r="G10075" s="495" t="s">
        <v>4193</v>
      </c>
      <c r="H10075" s="397"/>
      <c r="I10075" s="397"/>
      <c r="J10075" s="750"/>
      <c r="K10075" s="398"/>
      <c r="L10075" s="398"/>
      <c r="M10075" s="682"/>
    </row>
    <row r="10076" spans="6:13" ht="25.5" hidden="1" x14ac:dyDescent="0.2">
      <c r="F10076" s="494">
        <v>489</v>
      </c>
      <c r="G10076" s="495" t="s">
        <v>3821</v>
      </c>
      <c r="H10076" s="397"/>
      <c r="I10076" s="397"/>
      <c r="J10076" s="750"/>
      <c r="K10076" s="398"/>
      <c r="L10076" s="398"/>
      <c r="M10076" s="682"/>
    </row>
    <row r="10077" spans="6:13" ht="25.5" hidden="1" x14ac:dyDescent="0.2">
      <c r="F10077" s="494">
        <v>494</v>
      </c>
      <c r="G10077" s="495" t="s">
        <v>4171</v>
      </c>
      <c r="H10077" s="397"/>
      <c r="I10077" s="397"/>
      <c r="J10077" s="750"/>
      <c r="K10077" s="398"/>
      <c r="L10077" s="398"/>
      <c r="M10077" s="682"/>
    </row>
    <row r="10078" spans="6:13" ht="25.5" hidden="1" x14ac:dyDescent="0.2">
      <c r="F10078" s="494">
        <v>495</v>
      </c>
      <c r="G10078" s="495" t="s">
        <v>4172</v>
      </c>
      <c r="H10078" s="397"/>
      <c r="I10078" s="397"/>
      <c r="J10078" s="750"/>
      <c r="K10078" s="398"/>
      <c r="L10078" s="398"/>
      <c r="M10078" s="682"/>
    </row>
    <row r="10079" spans="6:13" ht="38.25" hidden="1" x14ac:dyDescent="0.2">
      <c r="F10079" s="494">
        <v>496</v>
      </c>
      <c r="G10079" s="495" t="s">
        <v>4173</v>
      </c>
      <c r="H10079" s="397"/>
      <c r="I10079" s="397"/>
      <c r="J10079" s="750"/>
      <c r="K10079" s="398"/>
      <c r="L10079" s="398"/>
      <c r="M10079" s="682"/>
    </row>
    <row r="10080" spans="6:13" ht="25.5" hidden="1" x14ac:dyDescent="0.2">
      <c r="F10080" s="494">
        <v>499</v>
      </c>
      <c r="G10080" s="495" t="s">
        <v>4174</v>
      </c>
      <c r="H10080" s="397"/>
      <c r="I10080" s="397"/>
      <c r="J10080" s="750"/>
      <c r="K10080" s="398"/>
      <c r="L10080" s="398"/>
      <c r="M10080" s="682"/>
    </row>
    <row r="10081" spans="5:13" hidden="1" x14ac:dyDescent="0.2">
      <c r="F10081" s="494">
        <v>511</v>
      </c>
      <c r="G10081" s="497" t="s">
        <v>4194</v>
      </c>
      <c r="H10081" s="397"/>
      <c r="I10081" s="397"/>
      <c r="J10081" s="750"/>
      <c r="K10081" s="398"/>
      <c r="L10081" s="398"/>
      <c r="M10081" s="682"/>
    </row>
    <row r="10082" spans="5:13" hidden="1" x14ac:dyDescent="0.2">
      <c r="F10082" s="494">
        <v>512</v>
      </c>
      <c r="G10082" s="497" t="s">
        <v>4195</v>
      </c>
      <c r="H10082" s="397"/>
      <c r="I10082" s="397"/>
      <c r="J10082" s="750"/>
      <c r="K10082" s="398"/>
      <c r="L10082" s="398"/>
      <c r="M10082" s="682"/>
    </row>
    <row r="10083" spans="5:13" hidden="1" x14ac:dyDescent="0.2">
      <c r="F10083" s="494">
        <v>513</v>
      </c>
      <c r="G10083" s="497" t="s">
        <v>4196</v>
      </c>
      <c r="H10083" s="397"/>
      <c r="I10083" s="397"/>
      <c r="J10083" s="750"/>
      <c r="K10083" s="398"/>
      <c r="L10083" s="398"/>
      <c r="M10083" s="682"/>
    </row>
    <row r="10084" spans="5:13" hidden="1" x14ac:dyDescent="0.2">
      <c r="F10084" s="494">
        <v>514</v>
      </c>
      <c r="G10084" s="495" t="s">
        <v>4197</v>
      </c>
      <c r="H10084" s="397"/>
      <c r="I10084" s="397"/>
      <c r="J10084" s="750"/>
      <c r="K10084" s="398"/>
      <c r="L10084" s="398"/>
      <c r="M10084" s="682"/>
    </row>
    <row r="10085" spans="5:13" hidden="1" x14ac:dyDescent="0.2">
      <c r="F10085" s="494">
        <v>515</v>
      </c>
      <c r="G10085" s="495" t="s">
        <v>3832</v>
      </c>
      <c r="H10085" s="397"/>
      <c r="I10085" s="397"/>
      <c r="J10085" s="750"/>
      <c r="K10085" s="398"/>
      <c r="L10085" s="398"/>
      <c r="M10085" s="682"/>
    </row>
    <row r="10086" spans="5:13" hidden="1" x14ac:dyDescent="0.2">
      <c r="F10086" s="494">
        <v>521</v>
      </c>
      <c r="G10086" s="495" t="s">
        <v>4198</v>
      </c>
      <c r="H10086" s="397"/>
      <c r="I10086" s="397"/>
      <c r="J10086" s="750"/>
      <c r="K10086" s="398"/>
      <c r="L10086" s="398"/>
      <c r="M10086" s="682"/>
    </row>
    <row r="10087" spans="5:13" hidden="1" x14ac:dyDescent="0.2">
      <c r="F10087" s="494">
        <v>522</v>
      </c>
      <c r="G10087" s="495" t="s">
        <v>4199</v>
      </c>
      <c r="H10087" s="397"/>
      <c r="I10087" s="397"/>
      <c r="J10087" s="750"/>
      <c r="K10087" s="398"/>
      <c r="L10087" s="398"/>
      <c r="M10087" s="682"/>
    </row>
    <row r="10088" spans="5:13" hidden="1" x14ac:dyDescent="0.2">
      <c r="F10088" s="494">
        <v>523</v>
      </c>
      <c r="G10088" s="495" t="s">
        <v>3837</v>
      </c>
      <c r="H10088" s="397"/>
      <c r="I10088" s="397"/>
      <c r="J10088" s="750"/>
      <c r="K10088" s="398"/>
      <c r="L10088" s="398"/>
      <c r="M10088" s="682"/>
    </row>
    <row r="10089" spans="5:13" hidden="1" x14ac:dyDescent="0.2">
      <c r="F10089" s="494">
        <v>531</v>
      </c>
      <c r="G10089" s="496" t="s">
        <v>4175</v>
      </c>
      <c r="H10089" s="397"/>
      <c r="I10089" s="397"/>
      <c r="J10089" s="750"/>
      <c r="K10089" s="398"/>
      <c r="L10089" s="398"/>
      <c r="M10089" s="682"/>
    </row>
    <row r="10090" spans="5:13" hidden="1" x14ac:dyDescent="0.2">
      <c r="F10090" s="494">
        <v>541</v>
      </c>
      <c r="G10090" s="495" t="s">
        <v>4200</v>
      </c>
      <c r="H10090" s="397"/>
      <c r="I10090" s="397"/>
      <c r="J10090" s="750"/>
      <c r="K10090" s="398"/>
      <c r="L10090" s="398"/>
      <c r="M10090" s="682"/>
    </row>
    <row r="10091" spans="5:13" hidden="1" x14ac:dyDescent="0.2">
      <c r="F10091" s="494">
        <v>542</v>
      </c>
      <c r="G10091" s="495" t="s">
        <v>4201</v>
      </c>
      <c r="H10091" s="397"/>
      <c r="I10091" s="397"/>
      <c r="J10091" s="750"/>
      <c r="K10091" s="398"/>
      <c r="L10091" s="398"/>
      <c r="M10091" s="682"/>
    </row>
    <row r="10092" spans="5:13" hidden="1" x14ac:dyDescent="0.2">
      <c r="F10092" s="494">
        <v>543</v>
      </c>
      <c r="G10092" s="495" t="s">
        <v>3842</v>
      </c>
      <c r="H10092" s="397"/>
      <c r="I10092" s="397"/>
      <c r="J10092" s="750"/>
      <c r="K10092" s="398"/>
      <c r="L10092" s="398"/>
      <c r="M10092" s="682"/>
    </row>
    <row r="10093" spans="5:13" ht="38.25" hidden="1" x14ac:dyDescent="0.2">
      <c r="F10093" s="494">
        <v>551</v>
      </c>
      <c r="G10093" s="495" t="s">
        <v>4176</v>
      </c>
      <c r="H10093" s="397"/>
      <c r="I10093" s="397"/>
      <c r="J10093" s="750"/>
      <c r="K10093" s="398"/>
      <c r="L10093" s="398"/>
      <c r="M10093" s="682"/>
    </row>
    <row r="10094" spans="5:13" hidden="1" x14ac:dyDescent="0.2">
      <c r="F10094" s="498">
        <v>611</v>
      </c>
      <c r="G10094" s="499" t="s">
        <v>3848</v>
      </c>
      <c r="H10094" s="397"/>
      <c r="I10094" s="397"/>
      <c r="J10094" s="750"/>
      <c r="K10094" s="398"/>
      <c r="L10094" s="398"/>
      <c r="M10094" s="682"/>
    </row>
    <row r="10095" spans="5:13" hidden="1" x14ac:dyDescent="0.2">
      <c r="F10095" s="498">
        <v>620</v>
      </c>
      <c r="G10095" s="499" t="s">
        <v>88</v>
      </c>
      <c r="H10095" s="397"/>
      <c r="I10095" s="397"/>
      <c r="J10095" s="750"/>
      <c r="K10095" s="398"/>
      <c r="L10095" s="398"/>
      <c r="M10095" s="682"/>
    </row>
    <row r="10096" spans="5:13" hidden="1" x14ac:dyDescent="0.2">
      <c r="E10096" s="500"/>
      <c r="F10096" s="498"/>
      <c r="G10096" s="501" t="s">
        <v>4344</v>
      </c>
      <c r="H10096" s="400"/>
      <c r="I10096" s="400"/>
      <c r="J10096" s="750"/>
      <c r="K10096" s="401"/>
      <c r="L10096" s="402"/>
      <c r="M10096" s="682"/>
    </row>
    <row r="10097" spans="5:13" hidden="1" x14ac:dyDescent="0.2">
      <c r="E10097" s="502"/>
      <c r="F10097" s="503" t="s">
        <v>234</v>
      </c>
      <c r="G10097" s="504" t="s">
        <v>235</v>
      </c>
      <c r="H10097" s="403">
        <f>SUM(H10036:H10095)</f>
        <v>0</v>
      </c>
      <c r="I10097" s="403"/>
      <c r="J10097" s="750"/>
      <c r="K10097" s="404"/>
      <c r="L10097" s="404"/>
      <c r="M10097" s="682"/>
    </row>
    <row r="10098" spans="5:13" hidden="1" x14ac:dyDescent="0.2">
      <c r="F10098" s="503" t="s">
        <v>236</v>
      </c>
      <c r="G10098" s="504" t="s">
        <v>237</v>
      </c>
      <c r="H10098" s="397"/>
      <c r="I10098" s="397"/>
      <c r="J10098" s="750"/>
      <c r="K10098" s="398"/>
      <c r="L10098" s="404"/>
      <c r="M10098" s="682"/>
    </row>
    <row r="10099" spans="5:13" hidden="1" x14ac:dyDescent="0.2">
      <c r="F10099" s="503" t="s">
        <v>238</v>
      </c>
      <c r="G10099" s="504" t="s">
        <v>239</v>
      </c>
      <c r="H10099" s="397"/>
      <c r="I10099" s="397"/>
      <c r="J10099" s="750"/>
      <c r="K10099" s="398"/>
      <c r="L10099" s="404"/>
      <c r="M10099" s="682"/>
    </row>
    <row r="10100" spans="5:13" hidden="1" x14ac:dyDescent="0.2">
      <c r="F10100" s="503" t="s">
        <v>240</v>
      </c>
      <c r="G10100" s="504" t="s">
        <v>241</v>
      </c>
      <c r="H10100" s="397"/>
      <c r="I10100" s="397"/>
      <c r="J10100" s="750"/>
      <c r="K10100" s="398"/>
      <c r="L10100" s="404"/>
      <c r="M10100" s="682"/>
    </row>
    <row r="10101" spans="5:13" hidden="1" x14ac:dyDescent="0.2">
      <c r="F10101" s="503" t="s">
        <v>242</v>
      </c>
      <c r="G10101" s="504" t="s">
        <v>243</v>
      </c>
      <c r="H10101" s="397"/>
      <c r="I10101" s="397"/>
      <c r="J10101" s="750"/>
      <c r="K10101" s="398"/>
      <c r="L10101" s="404"/>
      <c r="M10101" s="682"/>
    </row>
    <row r="10102" spans="5:13" hidden="1" x14ac:dyDescent="0.2">
      <c r="F10102" s="503" t="s">
        <v>244</v>
      </c>
      <c r="G10102" s="504" t="s">
        <v>245</v>
      </c>
      <c r="H10102" s="397"/>
      <c r="I10102" s="397"/>
      <c r="J10102" s="750"/>
      <c r="K10102" s="398"/>
      <c r="L10102" s="404"/>
      <c r="M10102" s="682"/>
    </row>
    <row r="10103" spans="5:13" hidden="1" x14ac:dyDescent="0.2">
      <c r="F10103" s="503" t="s">
        <v>246</v>
      </c>
      <c r="G10103" s="504" t="s">
        <v>247</v>
      </c>
      <c r="H10103" s="397"/>
      <c r="I10103" s="397"/>
      <c r="J10103" s="750"/>
      <c r="K10103" s="398"/>
      <c r="L10103" s="404"/>
      <c r="M10103" s="682"/>
    </row>
    <row r="10104" spans="5:13" ht="25.5" hidden="1" x14ac:dyDescent="0.2">
      <c r="F10104" s="503" t="s">
        <v>248</v>
      </c>
      <c r="G10104" s="504" t="s">
        <v>249</v>
      </c>
      <c r="H10104" s="397"/>
      <c r="I10104" s="397"/>
      <c r="J10104" s="750"/>
      <c r="K10104" s="398"/>
      <c r="L10104" s="404"/>
      <c r="M10104" s="682"/>
    </row>
    <row r="10105" spans="5:13" hidden="1" x14ac:dyDescent="0.2">
      <c r="F10105" s="503" t="s">
        <v>250</v>
      </c>
      <c r="G10105" s="504" t="s">
        <v>57</v>
      </c>
      <c r="H10105" s="397"/>
      <c r="I10105" s="397"/>
      <c r="J10105" s="750"/>
      <c r="K10105" s="398"/>
      <c r="L10105" s="404"/>
      <c r="M10105" s="682"/>
    </row>
    <row r="10106" spans="5:13" hidden="1" x14ac:dyDescent="0.2">
      <c r="F10106" s="503" t="s">
        <v>251</v>
      </c>
      <c r="G10106" s="504" t="s">
        <v>252</v>
      </c>
      <c r="H10106" s="397"/>
      <c r="I10106" s="397"/>
      <c r="J10106" s="750"/>
      <c r="K10106" s="398"/>
      <c r="L10106" s="404"/>
      <c r="M10106" s="682"/>
    </row>
    <row r="10107" spans="5:13" hidden="1" x14ac:dyDescent="0.2">
      <c r="F10107" s="503" t="s">
        <v>253</v>
      </c>
      <c r="G10107" s="504" t="s">
        <v>254</v>
      </c>
      <c r="H10107" s="397"/>
      <c r="I10107" s="397"/>
      <c r="J10107" s="750"/>
      <c r="K10107" s="398"/>
      <c r="L10107" s="404"/>
      <c r="M10107" s="682"/>
    </row>
    <row r="10108" spans="5:13" ht="25.5" hidden="1" x14ac:dyDescent="0.2">
      <c r="F10108" s="503" t="s">
        <v>255</v>
      </c>
      <c r="G10108" s="504" t="s">
        <v>256</v>
      </c>
      <c r="H10108" s="397"/>
      <c r="I10108" s="397"/>
      <c r="J10108" s="750"/>
      <c r="K10108" s="398"/>
      <c r="L10108" s="404"/>
      <c r="M10108" s="682"/>
    </row>
    <row r="10109" spans="5:13" ht="25.5" hidden="1" x14ac:dyDescent="0.2">
      <c r="F10109" s="503" t="s">
        <v>257</v>
      </c>
      <c r="G10109" s="504" t="s">
        <v>258</v>
      </c>
      <c r="H10109" s="397"/>
      <c r="I10109" s="397"/>
      <c r="J10109" s="750"/>
      <c r="K10109" s="398"/>
      <c r="L10109" s="404"/>
      <c r="M10109" s="682"/>
    </row>
    <row r="10110" spans="5:13" ht="25.5" hidden="1" x14ac:dyDescent="0.2">
      <c r="F10110" s="503" t="s">
        <v>259</v>
      </c>
      <c r="G10110" s="504" t="s">
        <v>260</v>
      </c>
      <c r="H10110" s="397"/>
      <c r="I10110" s="397"/>
      <c r="J10110" s="750"/>
      <c r="K10110" s="398"/>
      <c r="L10110" s="404"/>
      <c r="M10110" s="682"/>
    </row>
    <row r="10111" spans="5:13" ht="25.5" hidden="1" x14ac:dyDescent="0.2">
      <c r="F10111" s="503" t="s">
        <v>261</v>
      </c>
      <c r="G10111" s="504" t="s">
        <v>262</v>
      </c>
      <c r="H10111" s="397"/>
      <c r="I10111" s="397"/>
      <c r="J10111" s="750"/>
      <c r="K10111" s="398"/>
      <c r="L10111" s="404"/>
      <c r="M10111" s="682"/>
    </row>
    <row r="10112" spans="5:13" hidden="1" x14ac:dyDescent="0.2">
      <c r="F10112" s="503" t="s">
        <v>263</v>
      </c>
      <c r="G10112" s="504" t="s">
        <v>264</v>
      </c>
      <c r="H10112" s="403"/>
      <c r="I10112" s="403"/>
      <c r="J10112" s="750"/>
      <c r="K10112" s="404"/>
      <c r="L10112" s="404"/>
      <c r="M10112" s="682"/>
    </row>
    <row r="10113" spans="5:13" ht="13.5" hidden="1" thickBot="1" x14ac:dyDescent="0.25">
      <c r="G10113" s="505" t="s">
        <v>4345</v>
      </c>
      <c r="H10113" s="405">
        <f>SUM(H10097:H10112)</f>
        <v>0</v>
      </c>
      <c r="I10113" s="405"/>
      <c r="J10113" s="750"/>
      <c r="K10113" s="406">
        <f>SUM(K10098:K10112)</f>
        <v>0</v>
      </c>
      <c r="L10113" s="406"/>
      <c r="M10113" s="682"/>
    </row>
    <row r="10114" spans="5:13" ht="25.5" hidden="1" collapsed="1" x14ac:dyDescent="0.2">
      <c r="E10114" s="500"/>
      <c r="F10114" s="498"/>
      <c r="G10114" s="506" t="s">
        <v>4396</v>
      </c>
      <c r="H10114" s="407"/>
      <c r="I10114" s="408"/>
      <c r="J10114" s="750"/>
      <c r="K10114" s="409"/>
      <c r="L10114" s="410"/>
      <c r="M10114" s="682"/>
    </row>
    <row r="10115" spans="5:13" hidden="1" x14ac:dyDescent="0.2">
      <c r="E10115" s="502"/>
      <c r="F10115" s="503" t="s">
        <v>234</v>
      </c>
      <c r="G10115" s="504" t="s">
        <v>235</v>
      </c>
      <c r="H10115" s="403">
        <f>SUM(H10036:H10095)</f>
        <v>0</v>
      </c>
      <c r="I10115" s="403"/>
      <c r="J10115" s="750"/>
      <c r="K10115" s="404"/>
      <c r="L10115" s="404"/>
      <c r="M10115" s="682"/>
    </row>
    <row r="10116" spans="5:13" hidden="1" x14ac:dyDescent="0.2">
      <c r="F10116" s="503" t="s">
        <v>236</v>
      </c>
      <c r="G10116" s="504" t="s">
        <v>237</v>
      </c>
      <c r="H10116" s="397"/>
      <c r="I10116" s="397"/>
      <c r="J10116" s="750"/>
      <c r="K10116" s="398"/>
      <c r="L10116" s="404"/>
      <c r="M10116" s="682"/>
    </row>
    <row r="10117" spans="5:13" hidden="1" x14ac:dyDescent="0.2">
      <c r="F10117" s="503" t="s">
        <v>238</v>
      </c>
      <c r="G10117" s="504" t="s">
        <v>239</v>
      </c>
      <c r="H10117" s="397"/>
      <c r="I10117" s="397"/>
      <c r="J10117" s="750"/>
      <c r="K10117" s="398"/>
      <c r="L10117" s="404"/>
      <c r="M10117" s="682"/>
    </row>
    <row r="10118" spans="5:13" hidden="1" x14ac:dyDescent="0.2">
      <c r="F10118" s="503" t="s">
        <v>240</v>
      </c>
      <c r="G10118" s="504" t="s">
        <v>241</v>
      </c>
      <c r="H10118" s="397"/>
      <c r="I10118" s="397"/>
      <c r="J10118" s="750"/>
      <c r="K10118" s="398"/>
      <c r="L10118" s="404"/>
      <c r="M10118" s="682"/>
    </row>
    <row r="10119" spans="5:13" hidden="1" x14ac:dyDescent="0.2">
      <c r="F10119" s="503" t="s">
        <v>242</v>
      </c>
      <c r="G10119" s="504" t="s">
        <v>243</v>
      </c>
      <c r="H10119" s="397"/>
      <c r="I10119" s="397"/>
      <c r="J10119" s="750"/>
      <c r="K10119" s="398"/>
      <c r="L10119" s="404"/>
      <c r="M10119" s="682"/>
    </row>
    <row r="10120" spans="5:13" hidden="1" x14ac:dyDescent="0.2">
      <c r="F10120" s="503" t="s">
        <v>244</v>
      </c>
      <c r="G10120" s="504" t="s">
        <v>245</v>
      </c>
      <c r="H10120" s="397"/>
      <c r="I10120" s="397"/>
      <c r="J10120" s="750"/>
      <c r="K10120" s="398"/>
      <c r="L10120" s="404"/>
      <c r="M10120" s="682"/>
    </row>
    <row r="10121" spans="5:13" hidden="1" x14ac:dyDescent="0.2">
      <c r="F10121" s="503" t="s">
        <v>246</v>
      </c>
      <c r="G10121" s="504" t="s">
        <v>247</v>
      </c>
      <c r="H10121" s="397"/>
      <c r="I10121" s="397"/>
      <c r="J10121" s="750"/>
      <c r="K10121" s="398"/>
      <c r="L10121" s="404"/>
      <c r="M10121" s="682"/>
    </row>
    <row r="10122" spans="5:13" ht="25.5" hidden="1" x14ac:dyDescent="0.2">
      <c r="F10122" s="503" t="s">
        <v>248</v>
      </c>
      <c r="G10122" s="504" t="s">
        <v>249</v>
      </c>
      <c r="H10122" s="397"/>
      <c r="I10122" s="397"/>
      <c r="J10122" s="750"/>
      <c r="K10122" s="398"/>
      <c r="L10122" s="404"/>
      <c r="M10122" s="682"/>
    </row>
    <row r="10123" spans="5:13" hidden="1" x14ac:dyDescent="0.2">
      <c r="F10123" s="503" t="s">
        <v>250</v>
      </c>
      <c r="G10123" s="504" t="s">
        <v>57</v>
      </c>
      <c r="H10123" s="397"/>
      <c r="I10123" s="397"/>
      <c r="J10123" s="750"/>
      <c r="K10123" s="398"/>
      <c r="L10123" s="404"/>
      <c r="M10123" s="682"/>
    </row>
    <row r="10124" spans="5:13" hidden="1" x14ac:dyDescent="0.2">
      <c r="F10124" s="503" t="s">
        <v>251</v>
      </c>
      <c r="G10124" s="504" t="s">
        <v>252</v>
      </c>
      <c r="H10124" s="397"/>
      <c r="I10124" s="397"/>
      <c r="J10124" s="750"/>
      <c r="K10124" s="398"/>
      <c r="L10124" s="404"/>
      <c r="M10124" s="682"/>
    </row>
    <row r="10125" spans="5:13" hidden="1" x14ac:dyDescent="0.2">
      <c r="F10125" s="503" t="s">
        <v>253</v>
      </c>
      <c r="G10125" s="504" t="s">
        <v>254</v>
      </c>
      <c r="H10125" s="397"/>
      <c r="I10125" s="397"/>
      <c r="J10125" s="750"/>
      <c r="K10125" s="398"/>
      <c r="L10125" s="404"/>
      <c r="M10125" s="682"/>
    </row>
    <row r="10126" spans="5:13" ht="25.5" hidden="1" x14ac:dyDescent="0.2">
      <c r="F10126" s="503" t="s">
        <v>255</v>
      </c>
      <c r="G10126" s="504" t="s">
        <v>256</v>
      </c>
      <c r="H10126" s="397"/>
      <c r="I10126" s="397"/>
      <c r="J10126" s="750"/>
      <c r="K10126" s="398"/>
      <c r="L10126" s="404"/>
      <c r="M10126" s="682"/>
    </row>
    <row r="10127" spans="5:13" ht="25.5" hidden="1" x14ac:dyDescent="0.2">
      <c r="F10127" s="503" t="s">
        <v>257</v>
      </c>
      <c r="G10127" s="504" t="s">
        <v>258</v>
      </c>
      <c r="H10127" s="397"/>
      <c r="I10127" s="397"/>
      <c r="J10127" s="750"/>
      <c r="K10127" s="398"/>
      <c r="L10127" s="404"/>
      <c r="M10127" s="682"/>
    </row>
    <row r="10128" spans="5:13" ht="25.5" hidden="1" x14ac:dyDescent="0.2">
      <c r="F10128" s="503" t="s">
        <v>259</v>
      </c>
      <c r="G10128" s="504" t="s">
        <v>260</v>
      </c>
      <c r="H10128" s="397"/>
      <c r="I10128" s="397"/>
      <c r="J10128" s="750"/>
      <c r="K10128" s="398"/>
      <c r="L10128" s="404"/>
      <c r="M10128" s="682"/>
    </row>
    <row r="10129" spans="5:13" ht="25.5" hidden="1" x14ac:dyDescent="0.2">
      <c r="F10129" s="503" t="s">
        <v>261</v>
      </c>
      <c r="G10129" s="504" t="s">
        <v>262</v>
      </c>
      <c r="H10129" s="397"/>
      <c r="I10129" s="397"/>
      <c r="J10129" s="750"/>
      <c r="K10129" s="398"/>
      <c r="L10129" s="404"/>
      <c r="M10129" s="682"/>
    </row>
    <row r="10130" spans="5:13" hidden="1" x14ac:dyDescent="0.2">
      <c r="F10130" s="503" t="s">
        <v>263</v>
      </c>
      <c r="G10130" s="504" t="s">
        <v>264</v>
      </c>
      <c r="H10130" s="403"/>
      <c r="I10130" s="403"/>
      <c r="J10130" s="750"/>
      <c r="K10130" s="404"/>
      <c r="L10130" s="404"/>
      <c r="M10130" s="682"/>
    </row>
    <row r="10131" spans="5:13" ht="13.5" hidden="1" collapsed="1" thickBot="1" x14ac:dyDescent="0.25">
      <c r="G10131" s="505" t="s">
        <v>4397</v>
      </c>
      <c r="H10131" s="405">
        <f>SUM(H10115:H10130)</f>
        <v>0</v>
      </c>
      <c r="I10131" s="405"/>
      <c r="J10131" s="750"/>
      <c r="K10131" s="406">
        <f>SUM(K10116:K10130)</f>
        <v>0</v>
      </c>
      <c r="L10131" s="406"/>
      <c r="M10131" s="682"/>
    </row>
    <row r="10132" spans="5:13" hidden="1" x14ac:dyDescent="0.2">
      <c r="G10132" s="510"/>
      <c r="H10132" s="411"/>
      <c r="I10132" s="411"/>
      <c r="J10132" s="750"/>
      <c r="K10132" s="412"/>
      <c r="L10132" s="412"/>
      <c r="M10132" s="682"/>
    </row>
    <row r="10133" spans="5:13" hidden="1" x14ac:dyDescent="0.2">
      <c r="E10133" s="500"/>
      <c r="F10133" s="498"/>
      <c r="G10133" s="511" t="s">
        <v>4227</v>
      </c>
      <c r="H10133" s="413"/>
      <c r="I10133" s="413"/>
      <c r="J10133" s="750"/>
      <c r="K10133" s="414"/>
      <c r="L10133" s="415"/>
      <c r="M10133" s="682"/>
    </row>
    <row r="10134" spans="5:13" hidden="1" x14ac:dyDescent="0.2">
      <c r="E10134" s="502"/>
      <c r="F10134" s="503" t="s">
        <v>234</v>
      </c>
      <c r="G10134" s="504" t="s">
        <v>235</v>
      </c>
      <c r="H10134" s="403">
        <f>SUM(H10115,H10016)</f>
        <v>0</v>
      </c>
      <c r="I10134" s="403"/>
      <c r="J10134" s="750"/>
      <c r="K10134" s="404"/>
      <c r="L10134" s="404"/>
      <c r="M10134" s="682"/>
    </row>
    <row r="10135" spans="5:13" hidden="1" x14ac:dyDescent="0.2">
      <c r="F10135" s="503" t="s">
        <v>236</v>
      </c>
      <c r="G10135" s="504" t="s">
        <v>237</v>
      </c>
      <c r="H10135" s="397"/>
      <c r="I10135" s="397"/>
      <c r="J10135" s="750"/>
      <c r="K10135" s="398"/>
      <c r="L10135" s="404"/>
      <c r="M10135" s="682"/>
    </row>
    <row r="10136" spans="5:13" hidden="1" x14ac:dyDescent="0.2">
      <c r="F10136" s="503" t="s">
        <v>238</v>
      </c>
      <c r="G10136" s="504" t="s">
        <v>239</v>
      </c>
      <c r="H10136" s="397"/>
      <c r="I10136" s="397"/>
      <c r="J10136" s="750"/>
      <c r="K10136" s="398"/>
      <c r="L10136" s="404"/>
      <c r="M10136" s="682"/>
    </row>
    <row r="10137" spans="5:13" hidden="1" x14ac:dyDescent="0.2">
      <c r="F10137" s="503" t="s">
        <v>240</v>
      </c>
      <c r="G10137" s="504" t="s">
        <v>241</v>
      </c>
      <c r="H10137" s="397"/>
      <c r="I10137" s="397"/>
      <c r="J10137" s="750"/>
      <c r="K10137" s="398"/>
      <c r="L10137" s="404"/>
      <c r="M10137" s="682"/>
    </row>
    <row r="10138" spans="5:13" hidden="1" x14ac:dyDescent="0.2">
      <c r="F10138" s="503" t="s">
        <v>242</v>
      </c>
      <c r="G10138" s="504" t="s">
        <v>243</v>
      </c>
      <c r="H10138" s="397"/>
      <c r="I10138" s="397"/>
      <c r="J10138" s="750"/>
      <c r="K10138" s="398"/>
      <c r="L10138" s="404"/>
      <c r="M10138" s="682"/>
    </row>
    <row r="10139" spans="5:13" hidden="1" x14ac:dyDescent="0.2">
      <c r="F10139" s="503" t="s">
        <v>244</v>
      </c>
      <c r="G10139" s="504" t="s">
        <v>245</v>
      </c>
      <c r="H10139" s="397"/>
      <c r="I10139" s="397"/>
      <c r="J10139" s="750"/>
      <c r="K10139" s="398"/>
      <c r="L10139" s="404"/>
      <c r="M10139" s="682"/>
    </row>
    <row r="10140" spans="5:13" hidden="1" x14ac:dyDescent="0.2">
      <c r="F10140" s="503" t="s">
        <v>246</v>
      </c>
      <c r="G10140" s="504" t="s">
        <v>247</v>
      </c>
      <c r="H10140" s="397"/>
      <c r="I10140" s="397"/>
      <c r="J10140" s="750"/>
      <c r="K10140" s="398"/>
      <c r="L10140" s="404"/>
      <c r="M10140" s="682"/>
    </row>
    <row r="10141" spans="5:13" ht="25.5" hidden="1" x14ac:dyDescent="0.2">
      <c r="F10141" s="503" t="s">
        <v>248</v>
      </c>
      <c r="G10141" s="504" t="s">
        <v>249</v>
      </c>
      <c r="H10141" s="397"/>
      <c r="I10141" s="397"/>
      <c r="J10141" s="750"/>
      <c r="K10141" s="398"/>
      <c r="L10141" s="404"/>
      <c r="M10141" s="682"/>
    </row>
    <row r="10142" spans="5:13" hidden="1" x14ac:dyDescent="0.2">
      <c r="F10142" s="503" t="s">
        <v>250</v>
      </c>
      <c r="G10142" s="504" t="s">
        <v>57</v>
      </c>
      <c r="H10142" s="397"/>
      <c r="I10142" s="397"/>
      <c r="J10142" s="750"/>
      <c r="K10142" s="398"/>
      <c r="L10142" s="404"/>
      <c r="M10142" s="682"/>
    </row>
    <row r="10143" spans="5:13" hidden="1" x14ac:dyDescent="0.2">
      <c r="F10143" s="503" t="s">
        <v>251</v>
      </c>
      <c r="G10143" s="504" t="s">
        <v>252</v>
      </c>
      <c r="H10143" s="397"/>
      <c r="I10143" s="397"/>
      <c r="J10143" s="750"/>
      <c r="K10143" s="398"/>
      <c r="L10143" s="404"/>
      <c r="M10143" s="682"/>
    </row>
    <row r="10144" spans="5:13" hidden="1" x14ac:dyDescent="0.2">
      <c r="F10144" s="503" t="s">
        <v>253</v>
      </c>
      <c r="G10144" s="504" t="s">
        <v>254</v>
      </c>
      <c r="H10144" s="397"/>
      <c r="I10144" s="397"/>
      <c r="J10144" s="750"/>
      <c r="K10144" s="398"/>
      <c r="L10144" s="404"/>
      <c r="M10144" s="682"/>
    </row>
    <row r="10145" spans="1:27" ht="25.5" hidden="1" x14ac:dyDescent="0.2">
      <c r="F10145" s="503" t="s">
        <v>255</v>
      </c>
      <c r="G10145" s="504" t="s">
        <v>256</v>
      </c>
      <c r="H10145" s="397"/>
      <c r="I10145" s="397"/>
      <c r="J10145" s="750"/>
      <c r="K10145" s="398"/>
      <c r="L10145" s="404"/>
      <c r="M10145" s="682"/>
    </row>
    <row r="10146" spans="1:27" ht="25.5" hidden="1" x14ac:dyDescent="0.2">
      <c r="F10146" s="503" t="s">
        <v>257</v>
      </c>
      <c r="G10146" s="504" t="s">
        <v>258</v>
      </c>
      <c r="H10146" s="397"/>
      <c r="I10146" s="397"/>
      <c r="J10146" s="750"/>
      <c r="K10146" s="398"/>
      <c r="L10146" s="404"/>
      <c r="M10146" s="682"/>
    </row>
    <row r="10147" spans="1:27" ht="25.5" hidden="1" x14ac:dyDescent="0.2">
      <c r="F10147" s="503" t="s">
        <v>259</v>
      </c>
      <c r="G10147" s="504" t="s">
        <v>260</v>
      </c>
      <c r="H10147" s="397"/>
      <c r="I10147" s="397"/>
      <c r="J10147" s="750"/>
      <c r="K10147" s="398"/>
      <c r="L10147" s="404"/>
      <c r="M10147" s="682"/>
    </row>
    <row r="10148" spans="1:27" ht="25.5" hidden="1" x14ac:dyDescent="0.2">
      <c r="F10148" s="503" t="s">
        <v>261</v>
      </c>
      <c r="G10148" s="504" t="s">
        <v>262</v>
      </c>
      <c r="H10148" s="397"/>
      <c r="I10148" s="397"/>
      <c r="J10148" s="750"/>
      <c r="K10148" s="398"/>
      <c r="L10148" s="404"/>
      <c r="M10148" s="682"/>
    </row>
    <row r="10149" spans="1:27" hidden="1" x14ac:dyDescent="0.2">
      <c r="F10149" s="503" t="s">
        <v>263</v>
      </c>
      <c r="G10149" s="504" t="s">
        <v>264</v>
      </c>
      <c r="H10149" s="403"/>
      <c r="I10149" s="403"/>
      <c r="J10149" s="750"/>
      <c r="K10149" s="404"/>
      <c r="L10149" s="404"/>
      <c r="M10149" s="682"/>
    </row>
    <row r="10150" spans="1:27" ht="13.5" hidden="1" thickBot="1" x14ac:dyDescent="0.25">
      <c r="G10150" s="505" t="s">
        <v>4228</v>
      </c>
      <c r="H10150" s="405">
        <f>SUM(H10134:H10149)</f>
        <v>0</v>
      </c>
      <c r="I10150" s="405"/>
      <c r="J10150" s="750"/>
      <c r="K10150" s="406">
        <f>SUM(K10135:K10149)</f>
        <v>0</v>
      </c>
      <c r="L10150" s="406"/>
      <c r="M10150" s="682"/>
    </row>
    <row r="10151" spans="1:27" hidden="1" x14ac:dyDescent="0.2">
      <c r="G10151" s="510"/>
      <c r="H10151" s="411"/>
      <c r="I10151" s="411"/>
      <c r="J10151" s="750"/>
      <c r="K10151" s="412"/>
      <c r="L10151" s="412"/>
      <c r="M10151" s="682"/>
    </row>
    <row r="10152" spans="1:27" hidden="1" x14ac:dyDescent="0.2">
      <c r="H10152" s="397"/>
      <c r="I10152" s="397"/>
      <c r="J10152" s="750"/>
      <c r="K10152" s="398"/>
      <c r="L10152" s="398"/>
      <c r="M10152" s="682"/>
    </row>
    <row r="10153" spans="1:27" hidden="1" x14ac:dyDescent="0.2">
      <c r="C10153" s="489" t="s">
        <v>3561</v>
      </c>
      <c r="G10153" s="645" t="s">
        <v>4303</v>
      </c>
      <c r="H10153" s="397"/>
      <c r="I10153" s="397"/>
      <c r="J10153" s="750"/>
      <c r="K10153" s="398"/>
      <c r="L10153" s="398"/>
      <c r="M10153" s="682"/>
    </row>
    <row r="10154" spans="1:27" s="530" customFormat="1" hidden="1" x14ac:dyDescent="0.2">
      <c r="A10154" s="526"/>
      <c r="B10154" s="527"/>
      <c r="C10154" s="531" t="s">
        <v>4407</v>
      </c>
      <c r="D10154" s="490"/>
      <c r="E10154" s="490"/>
      <c r="F10154" s="532"/>
      <c r="G10154" s="644" t="s">
        <v>183</v>
      </c>
      <c r="H10154" s="422"/>
      <c r="I10154" s="422"/>
      <c r="J10154" s="750"/>
      <c r="K10154" s="423"/>
      <c r="L10154" s="424"/>
      <c r="M10154" s="682"/>
      <c r="N10154" s="171"/>
      <c r="O10154" s="171"/>
      <c r="P10154" s="171"/>
      <c r="Q10154" s="171"/>
      <c r="R10154" s="171"/>
      <c r="S10154" s="171"/>
      <c r="T10154" s="171"/>
      <c r="U10154" s="171"/>
      <c r="V10154" s="171"/>
      <c r="W10154" s="171"/>
      <c r="X10154" s="171"/>
      <c r="Y10154" s="171"/>
      <c r="Z10154" s="171"/>
      <c r="AA10154" s="171"/>
    </row>
    <row r="10155" spans="1:27" hidden="1" x14ac:dyDescent="0.2">
      <c r="C10155" s="489"/>
      <c r="D10155" s="492">
        <v>630</v>
      </c>
      <c r="E10155" s="492"/>
      <c r="F10155" s="492"/>
      <c r="G10155" s="493" t="s">
        <v>183</v>
      </c>
      <c r="H10155" s="397"/>
      <c r="I10155" s="397"/>
      <c r="J10155" s="750"/>
      <c r="K10155" s="398"/>
      <c r="L10155" s="398"/>
      <c r="M10155" s="682"/>
    </row>
    <row r="10156" spans="1:27" hidden="1" x14ac:dyDescent="0.2">
      <c r="F10156" s="494">
        <v>411</v>
      </c>
      <c r="G10156" s="495" t="s">
        <v>4167</v>
      </c>
      <c r="H10156" s="397"/>
      <c r="I10156" s="397"/>
      <c r="J10156" s="750"/>
      <c r="K10156" s="398"/>
      <c r="L10156" s="398"/>
      <c r="M10156" s="682"/>
    </row>
    <row r="10157" spans="1:27" hidden="1" x14ac:dyDescent="0.2">
      <c r="F10157" s="494">
        <v>412</v>
      </c>
      <c r="G10157" s="496" t="s">
        <v>3764</v>
      </c>
      <c r="H10157" s="397"/>
      <c r="I10157" s="397"/>
      <c r="J10157" s="750"/>
      <c r="K10157" s="398"/>
      <c r="L10157" s="398"/>
      <c r="M10157" s="682"/>
    </row>
    <row r="10158" spans="1:27" hidden="1" x14ac:dyDescent="0.2">
      <c r="F10158" s="494">
        <v>413</v>
      </c>
      <c r="G10158" s="495" t="s">
        <v>4168</v>
      </c>
      <c r="H10158" s="397"/>
      <c r="I10158" s="397"/>
      <c r="J10158" s="750"/>
      <c r="K10158" s="398"/>
      <c r="L10158" s="398"/>
      <c r="M10158" s="682"/>
    </row>
    <row r="10159" spans="1:27" hidden="1" x14ac:dyDescent="0.2">
      <c r="F10159" s="494">
        <v>414</v>
      </c>
      <c r="G10159" s="495" t="s">
        <v>3767</v>
      </c>
      <c r="H10159" s="397"/>
      <c r="I10159" s="397"/>
      <c r="J10159" s="750"/>
      <c r="K10159" s="398"/>
      <c r="L10159" s="398"/>
      <c r="M10159" s="682"/>
    </row>
    <row r="10160" spans="1:27" hidden="1" x14ac:dyDescent="0.2">
      <c r="F10160" s="494">
        <v>415</v>
      </c>
      <c r="G10160" s="495" t="s">
        <v>4177</v>
      </c>
      <c r="H10160" s="397"/>
      <c r="I10160" s="397"/>
      <c r="J10160" s="750"/>
      <c r="K10160" s="398"/>
      <c r="L10160" s="398"/>
      <c r="M10160" s="682"/>
    </row>
    <row r="10161" spans="6:13" ht="25.5" hidden="1" x14ac:dyDescent="0.2">
      <c r="F10161" s="494">
        <v>416</v>
      </c>
      <c r="G10161" s="495" t="s">
        <v>4178</v>
      </c>
      <c r="H10161" s="397"/>
      <c r="I10161" s="397"/>
      <c r="J10161" s="750"/>
      <c r="K10161" s="398"/>
      <c r="L10161" s="398"/>
      <c r="M10161" s="682"/>
    </row>
    <row r="10162" spans="6:13" hidden="1" x14ac:dyDescent="0.2">
      <c r="F10162" s="494">
        <v>417</v>
      </c>
      <c r="G10162" s="495" t="s">
        <v>4179</v>
      </c>
      <c r="H10162" s="397"/>
      <c r="I10162" s="397"/>
      <c r="J10162" s="750"/>
      <c r="K10162" s="398"/>
      <c r="L10162" s="398"/>
      <c r="M10162" s="682"/>
    </row>
    <row r="10163" spans="6:13" hidden="1" x14ac:dyDescent="0.2">
      <c r="F10163" s="494">
        <v>418</v>
      </c>
      <c r="G10163" s="495" t="s">
        <v>3773</v>
      </c>
      <c r="H10163" s="397"/>
      <c r="I10163" s="397"/>
      <c r="J10163" s="750"/>
      <c r="K10163" s="398"/>
      <c r="L10163" s="398"/>
      <c r="M10163" s="682"/>
    </row>
    <row r="10164" spans="6:13" hidden="1" x14ac:dyDescent="0.2">
      <c r="F10164" s="494">
        <v>421</v>
      </c>
      <c r="G10164" s="495" t="s">
        <v>3777</v>
      </c>
      <c r="H10164" s="397"/>
      <c r="I10164" s="397"/>
      <c r="J10164" s="750"/>
      <c r="K10164" s="398"/>
      <c r="L10164" s="398"/>
      <c r="M10164" s="682"/>
    </row>
    <row r="10165" spans="6:13" hidden="1" x14ac:dyDescent="0.2">
      <c r="F10165" s="494">
        <v>422</v>
      </c>
      <c r="G10165" s="495" t="s">
        <v>3778</v>
      </c>
      <c r="H10165" s="397"/>
      <c r="I10165" s="397"/>
      <c r="J10165" s="750"/>
      <c r="K10165" s="398"/>
      <c r="L10165" s="398"/>
      <c r="M10165" s="682"/>
    </row>
    <row r="10166" spans="6:13" hidden="1" x14ac:dyDescent="0.2">
      <c r="F10166" s="494">
        <v>423</v>
      </c>
      <c r="G10166" s="495" t="s">
        <v>3779</v>
      </c>
      <c r="H10166" s="397"/>
      <c r="I10166" s="397"/>
      <c r="J10166" s="750"/>
      <c r="K10166" s="398"/>
      <c r="L10166" s="398"/>
      <c r="M10166" s="682"/>
    </row>
    <row r="10167" spans="6:13" hidden="1" x14ac:dyDescent="0.2">
      <c r="F10167" s="494">
        <v>424</v>
      </c>
      <c r="G10167" s="495" t="s">
        <v>3781</v>
      </c>
      <c r="H10167" s="397"/>
      <c r="I10167" s="397"/>
      <c r="J10167" s="750"/>
      <c r="K10167" s="398"/>
      <c r="L10167" s="398"/>
      <c r="M10167" s="682"/>
    </row>
    <row r="10168" spans="6:13" hidden="1" x14ac:dyDescent="0.2">
      <c r="F10168" s="494">
        <v>425</v>
      </c>
      <c r="G10168" s="495" t="s">
        <v>4180</v>
      </c>
      <c r="H10168" s="397"/>
      <c r="I10168" s="397"/>
      <c r="J10168" s="750"/>
      <c r="K10168" s="398"/>
      <c r="L10168" s="398"/>
      <c r="M10168" s="682"/>
    </row>
    <row r="10169" spans="6:13" hidden="1" x14ac:dyDescent="0.2">
      <c r="F10169" s="494">
        <v>426</v>
      </c>
      <c r="G10169" s="495" t="s">
        <v>3785</v>
      </c>
      <c r="H10169" s="397"/>
      <c r="I10169" s="397"/>
      <c r="J10169" s="750"/>
      <c r="K10169" s="398"/>
      <c r="L10169" s="398"/>
      <c r="M10169" s="682"/>
    </row>
    <row r="10170" spans="6:13" hidden="1" x14ac:dyDescent="0.2">
      <c r="F10170" s="494">
        <v>431</v>
      </c>
      <c r="G10170" s="495" t="s">
        <v>4181</v>
      </c>
      <c r="H10170" s="397"/>
      <c r="I10170" s="397"/>
      <c r="J10170" s="750"/>
      <c r="K10170" s="398"/>
      <c r="L10170" s="398"/>
      <c r="M10170" s="682"/>
    </row>
    <row r="10171" spans="6:13" hidden="1" x14ac:dyDescent="0.2">
      <c r="F10171" s="494">
        <v>432</v>
      </c>
      <c r="G10171" s="495" t="s">
        <v>4182</v>
      </c>
      <c r="H10171" s="397"/>
      <c r="I10171" s="397"/>
      <c r="J10171" s="750"/>
      <c r="K10171" s="398"/>
      <c r="L10171" s="398"/>
      <c r="M10171" s="682"/>
    </row>
    <row r="10172" spans="6:13" hidden="1" x14ac:dyDescent="0.2">
      <c r="F10172" s="494">
        <v>433</v>
      </c>
      <c r="G10172" s="495" t="s">
        <v>4183</v>
      </c>
      <c r="H10172" s="397"/>
      <c r="I10172" s="397"/>
      <c r="J10172" s="750"/>
      <c r="K10172" s="398"/>
      <c r="L10172" s="398"/>
      <c r="M10172" s="682"/>
    </row>
    <row r="10173" spans="6:13" hidden="1" x14ac:dyDescent="0.2">
      <c r="F10173" s="494">
        <v>434</v>
      </c>
      <c r="G10173" s="495" t="s">
        <v>4184</v>
      </c>
      <c r="H10173" s="397"/>
      <c r="I10173" s="397"/>
      <c r="J10173" s="750"/>
      <c r="K10173" s="398"/>
      <c r="L10173" s="398"/>
      <c r="M10173" s="682"/>
    </row>
    <row r="10174" spans="6:13" hidden="1" x14ac:dyDescent="0.2">
      <c r="F10174" s="494">
        <v>435</v>
      </c>
      <c r="G10174" s="495" t="s">
        <v>3792</v>
      </c>
      <c r="H10174" s="397"/>
      <c r="I10174" s="397"/>
      <c r="J10174" s="750"/>
      <c r="K10174" s="398"/>
      <c r="L10174" s="398"/>
      <c r="M10174" s="682"/>
    </row>
    <row r="10175" spans="6:13" hidden="1" x14ac:dyDescent="0.2">
      <c r="F10175" s="494">
        <v>441</v>
      </c>
      <c r="G10175" s="495" t="s">
        <v>4185</v>
      </c>
      <c r="H10175" s="397"/>
      <c r="I10175" s="397"/>
      <c r="J10175" s="750"/>
      <c r="K10175" s="398"/>
      <c r="L10175" s="398"/>
      <c r="M10175" s="682"/>
    </row>
    <row r="10176" spans="6:13" hidden="1" x14ac:dyDescent="0.2">
      <c r="F10176" s="494">
        <v>442</v>
      </c>
      <c r="G10176" s="495" t="s">
        <v>4186</v>
      </c>
      <c r="H10176" s="397"/>
      <c r="I10176" s="397"/>
      <c r="J10176" s="750"/>
      <c r="K10176" s="398"/>
      <c r="L10176" s="398"/>
      <c r="M10176" s="682"/>
    </row>
    <row r="10177" spans="6:13" hidden="1" x14ac:dyDescent="0.2">
      <c r="F10177" s="494">
        <v>443</v>
      </c>
      <c r="G10177" s="495" t="s">
        <v>3797</v>
      </c>
      <c r="H10177" s="397"/>
      <c r="I10177" s="397"/>
      <c r="J10177" s="750"/>
      <c r="K10177" s="398"/>
      <c r="L10177" s="398"/>
      <c r="M10177" s="682"/>
    </row>
    <row r="10178" spans="6:13" hidden="1" x14ac:dyDescent="0.2">
      <c r="F10178" s="494">
        <v>444</v>
      </c>
      <c r="G10178" s="495" t="s">
        <v>3798</v>
      </c>
      <c r="H10178" s="397"/>
      <c r="I10178" s="397"/>
      <c r="J10178" s="750"/>
      <c r="K10178" s="398"/>
      <c r="L10178" s="398"/>
      <c r="M10178" s="682"/>
    </row>
    <row r="10179" spans="6:13" ht="25.5" hidden="1" x14ac:dyDescent="0.2">
      <c r="F10179" s="494">
        <v>4511</v>
      </c>
      <c r="G10179" s="466" t="s">
        <v>1692</v>
      </c>
      <c r="H10179" s="397"/>
      <c r="I10179" s="397"/>
      <c r="J10179" s="750"/>
      <c r="K10179" s="398"/>
      <c r="L10179" s="398"/>
      <c r="M10179" s="682"/>
    </row>
    <row r="10180" spans="6:13" ht="19.5" hidden="1" customHeight="1" x14ac:dyDescent="0.2">
      <c r="F10180" s="494">
        <v>4512</v>
      </c>
      <c r="G10180" s="466" t="s">
        <v>1701</v>
      </c>
      <c r="H10180" s="397"/>
      <c r="I10180" s="397"/>
      <c r="J10180" s="750"/>
      <c r="K10180" s="398"/>
      <c r="L10180" s="398"/>
      <c r="M10180" s="682"/>
    </row>
    <row r="10181" spans="6:13" ht="25.5" hidden="1" x14ac:dyDescent="0.2">
      <c r="F10181" s="494">
        <v>452</v>
      </c>
      <c r="G10181" s="495" t="s">
        <v>4187</v>
      </c>
      <c r="H10181" s="397"/>
      <c r="I10181" s="397"/>
      <c r="J10181" s="750"/>
      <c r="K10181" s="398"/>
      <c r="L10181" s="398"/>
      <c r="M10181" s="682"/>
    </row>
    <row r="10182" spans="6:13" ht="25.5" hidden="1" x14ac:dyDescent="0.2">
      <c r="F10182" s="494">
        <v>453</v>
      </c>
      <c r="G10182" s="495" t="s">
        <v>4188</v>
      </c>
      <c r="H10182" s="397"/>
      <c r="I10182" s="397"/>
      <c r="J10182" s="750"/>
      <c r="K10182" s="398"/>
      <c r="L10182" s="398"/>
      <c r="M10182" s="682"/>
    </row>
    <row r="10183" spans="6:13" hidden="1" x14ac:dyDescent="0.2">
      <c r="F10183" s="494">
        <v>454</v>
      </c>
      <c r="G10183" s="495" t="s">
        <v>3803</v>
      </c>
      <c r="H10183" s="397"/>
      <c r="I10183" s="397"/>
      <c r="J10183" s="750"/>
      <c r="K10183" s="398"/>
      <c r="L10183" s="398"/>
      <c r="M10183" s="682"/>
    </row>
    <row r="10184" spans="6:13" hidden="1" x14ac:dyDescent="0.2">
      <c r="F10184" s="494">
        <v>461</v>
      </c>
      <c r="G10184" s="495" t="s">
        <v>4169</v>
      </c>
      <c r="H10184" s="397"/>
      <c r="I10184" s="397"/>
      <c r="J10184" s="750"/>
      <c r="K10184" s="398"/>
      <c r="L10184" s="398"/>
      <c r="M10184" s="682"/>
    </row>
    <row r="10185" spans="6:13" ht="25.5" hidden="1" x14ac:dyDescent="0.2">
      <c r="F10185" s="494">
        <v>462</v>
      </c>
      <c r="G10185" s="495" t="s">
        <v>3806</v>
      </c>
      <c r="H10185" s="397"/>
      <c r="I10185" s="397"/>
      <c r="J10185" s="750"/>
      <c r="K10185" s="398"/>
      <c r="L10185" s="398"/>
      <c r="M10185" s="682"/>
    </row>
    <row r="10186" spans="6:13" hidden="1" x14ac:dyDescent="0.2">
      <c r="F10186" s="494">
        <v>4631</v>
      </c>
      <c r="G10186" s="495" t="s">
        <v>3807</v>
      </c>
      <c r="H10186" s="397"/>
      <c r="I10186" s="397"/>
      <c r="J10186" s="750"/>
      <c r="K10186" s="398"/>
      <c r="L10186" s="398"/>
      <c r="M10186" s="682"/>
    </row>
    <row r="10187" spans="6:13" hidden="1" x14ac:dyDescent="0.2">
      <c r="F10187" s="494">
        <v>4632</v>
      </c>
      <c r="G10187" s="495" t="s">
        <v>3808</v>
      </c>
      <c r="H10187" s="397"/>
      <c r="I10187" s="397"/>
      <c r="J10187" s="750"/>
      <c r="K10187" s="398"/>
      <c r="L10187" s="398"/>
      <c r="M10187" s="682"/>
    </row>
    <row r="10188" spans="6:13" ht="25.5" hidden="1" x14ac:dyDescent="0.2">
      <c r="F10188" s="494">
        <v>464</v>
      </c>
      <c r="G10188" s="495" t="s">
        <v>3809</v>
      </c>
      <c r="H10188" s="397"/>
      <c r="I10188" s="397"/>
      <c r="J10188" s="750"/>
      <c r="K10188" s="398"/>
      <c r="L10188" s="398"/>
      <c r="M10188" s="682"/>
    </row>
    <row r="10189" spans="6:13" hidden="1" x14ac:dyDescent="0.2">
      <c r="F10189" s="494">
        <v>465</v>
      </c>
      <c r="G10189" s="495" t="s">
        <v>4170</v>
      </c>
      <c r="H10189" s="397"/>
      <c r="I10189" s="397"/>
      <c r="J10189" s="750"/>
      <c r="K10189" s="398"/>
      <c r="L10189" s="398"/>
      <c r="M10189" s="682"/>
    </row>
    <row r="10190" spans="6:13" hidden="1" x14ac:dyDescent="0.2">
      <c r="F10190" s="494">
        <v>472</v>
      </c>
      <c r="G10190" s="495" t="s">
        <v>3813</v>
      </c>
      <c r="H10190" s="397"/>
      <c r="I10190" s="397"/>
      <c r="J10190" s="750"/>
      <c r="K10190" s="398"/>
      <c r="L10190" s="398"/>
      <c r="M10190" s="682"/>
    </row>
    <row r="10191" spans="6:13" hidden="1" x14ac:dyDescent="0.2">
      <c r="F10191" s="494">
        <v>481</v>
      </c>
      <c r="G10191" s="495" t="s">
        <v>4189</v>
      </c>
      <c r="H10191" s="397"/>
      <c r="I10191" s="397"/>
      <c r="J10191" s="750"/>
      <c r="K10191" s="398"/>
      <c r="L10191" s="398"/>
      <c r="M10191" s="682"/>
    </row>
    <row r="10192" spans="6:13" hidden="1" x14ac:dyDescent="0.2">
      <c r="F10192" s="494">
        <v>482</v>
      </c>
      <c r="G10192" s="495" t="s">
        <v>4190</v>
      </c>
      <c r="H10192" s="397"/>
      <c r="I10192" s="397"/>
      <c r="J10192" s="750"/>
      <c r="K10192" s="398"/>
      <c r="L10192" s="398"/>
      <c r="M10192" s="682"/>
    </row>
    <row r="10193" spans="6:13" hidden="1" x14ac:dyDescent="0.2">
      <c r="F10193" s="494">
        <v>483</v>
      </c>
      <c r="G10193" s="497" t="s">
        <v>4191</v>
      </c>
      <c r="H10193" s="397"/>
      <c r="I10193" s="397"/>
      <c r="J10193" s="750"/>
      <c r="K10193" s="398"/>
      <c r="L10193" s="398"/>
      <c r="M10193" s="682"/>
    </row>
    <row r="10194" spans="6:13" ht="38.25" hidden="1" x14ac:dyDescent="0.2">
      <c r="F10194" s="494">
        <v>484</v>
      </c>
      <c r="G10194" s="495" t="s">
        <v>4192</v>
      </c>
      <c r="H10194" s="397"/>
      <c r="I10194" s="397"/>
      <c r="J10194" s="750"/>
      <c r="K10194" s="398"/>
      <c r="L10194" s="398"/>
      <c r="M10194" s="682"/>
    </row>
    <row r="10195" spans="6:13" ht="25.5" hidden="1" x14ac:dyDescent="0.2">
      <c r="F10195" s="494">
        <v>485</v>
      </c>
      <c r="G10195" s="495" t="s">
        <v>4193</v>
      </c>
      <c r="H10195" s="397"/>
      <c r="I10195" s="397"/>
      <c r="J10195" s="750"/>
      <c r="K10195" s="398"/>
      <c r="L10195" s="398"/>
      <c r="M10195" s="682"/>
    </row>
    <row r="10196" spans="6:13" ht="25.5" hidden="1" x14ac:dyDescent="0.2">
      <c r="F10196" s="494">
        <v>489</v>
      </c>
      <c r="G10196" s="495" t="s">
        <v>3821</v>
      </c>
      <c r="H10196" s="397"/>
      <c r="I10196" s="397"/>
      <c r="J10196" s="750"/>
      <c r="K10196" s="398"/>
      <c r="L10196" s="398"/>
      <c r="M10196" s="682"/>
    </row>
    <row r="10197" spans="6:13" ht="25.5" hidden="1" x14ac:dyDescent="0.2">
      <c r="F10197" s="494">
        <v>494</v>
      </c>
      <c r="G10197" s="495" t="s">
        <v>4171</v>
      </c>
      <c r="H10197" s="397"/>
      <c r="I10197" s="397"/>
      <c r="J10197" s="750"/>
      <c r="K10197" s="398"/>
      <c r="L10197" s="398"/>
      <c r="M10197" s="682"/>
    </row>
    <row r="10198" spans="6:13" ht="25.5" hidden="1" x14ac:dyDescent="0.2">
      <c r="F10198" s="494">
        <v>495</v>
      </c>
      <c r="G10198" s="495" t="s">
        <v>4172</v>
      </c>
      <c r="H10198" s="397"/>
      <c r="I10198" s="397"/>
      <c r="J10198" s="750"/>
      <c r="K10198" s="398"/>
      <c r="L10198" s="398"/>
      <c r="M10198" s="682"/>
    </row>
    <row r="10199" spans="6:13" ht="38.25" hidden="1" x14ac:dyDescent="0.2">
      <c r="F10199" s="494">
        <v>496</v>
      </c>
      <c r="G10199" s="495" t="s">
        <v>4173</v>
      </c>
      <c r="H10199" s="397"/>
      <c r="I10199" s="397"/>
      <c r="J10199" s="750"/>
      <c r="K10199" s="398"/>
      <c r="L10199" s="398"/>
      <c r="M10199" s="682"/>
    </row>
    <row r="10200" spans="6:13" ht="25.5" hidden="1" x14ac:dyDescent="0.2">
      <c r="F10200" s="494">
        <v>499</v>
      </c>
      <c r="G10200" s="495" t="s">
        <v>4174</v>
      </c>
      <c r="H10200" s="397"/>
      <c r="I10200" s="397"/>
      <c r="J10200" s="750"/>
      <c r="K10200" s="398"/>
      <c r="L10200" s="398"/>
      <c r="M10200" s="682"/>
    </row>
    <row r="10201" spans="6:13" hidden="1" x14ac:dyDescent="0.2">
      <c r="F10201" s="494">
        <v>511</v>
      </c>
      <c r="G10201" s="497" t="s">
        <v>4194</v>
      </c>
      <c r="H10201" s="397"/>
      <c r="I10201" s="397"/>
      <c r="J10201" s="750"/>
      <c r="K10201" s="398"/>
      <c r="L10201" s="398"/>
      <c r="M10201" s="682"/>
    </row>
    <row r="10202" spans="6:13" hidden="1" x14ac:dyDescent="0.2">
      <c r="F10202" s="494">
        <v>512</v>
      </c>
      <c r="G10202" s="497" t="s">
        <v>4195</v>
      </c>
      <c r="H10202" s="397"/>
      <c r="I10202" s="397"/>
      <c r="J10202" s="750"/>
      <c r="K10202" s="398"/>
      <c r="L10202" s="398"/>
      <c r="M10202" s="682"/>
    </row>
    <row r="10203" spans="6:13" hidden="1" x14ac:dyDescent="0.2">
      <c r="F10203" s="494">
        <v>513</v>
      </c>
      <c r="G10203" s="497" t="s">
        <v>4196</v>
      </c>
      <c r="H10203" s="397"/>
      <c r="I10203" s="397"/>
      <c r="J10203" s="750"/>
      <c r="K10203" s="398"/>
      <c r="L10203" s="398"/>
      <c r="M10203" s="682"/>
    </row>
    <row r="10204" spans="6:13" hidden="1" x14ac:dyDescent="0.2">
      <c r="F10204" s="494">
        <v>514</v>
      </c>
      <c r="G10204" s="495" t="s">
        <v>4197</v>
      </c>
      <c r="H10204" s="397"/>
      <c r="I10204" s="397"/>
      <c r="J10204" s="750"/>
      <c r="K10204" s="398"/>
      <c r="L10204" s="398"/>
      <c r="M10204" s="682"/>
    </row>
    <row r="10205" spans="6:13" hidden="1" x14ac:dyDescent="0.2">
      <c r="F10205" s="494">
        <v>515</v>
      </c>
      <c r="G10205" s="495" t="s">
        <v>3832</v>
      </c>
      <c r="H10205" s="397"/>
      <c r="I10205" s="397"/>
      <c r="J10205" s="750"/>
      <c r="K10205" s="398"/>
      <c r="L10205" s="398"/>
      <c r="M10205" s="682"/>
    </row>
    <row r="10206" spans="6:13" hidden="1" x14ac:dyDescent="0.2">
      <c r="F10206" s="494">
        <v>521</v>
      </c>
      <c r="G10206" s="495" t="s">
        <v>4198</v>
      </c>
      <c r="H10206" s="397"/>
      <c r="I10206" s="397"/>
      <c r="J10206" s="750"/>
      <c r="K10206" s="398"/>
      <c r="L10206" s="398"/>
      <c r="M10206" s="682"/>
    </row>
    <row r="10207" spans="6:13" hidden="1" x14ac:dyDescent="0.2">
      <c r="F10207" s="494">
        <v>522</v>
      </c>
      <c r="G10207" s="495" t="s">
        <v>4199</v>
      </c>
      <c r="H10207" s="397"/>
      <c r="I10207" s="397"/>
      <c r="J10207" s="750"/>
      <c r="K10207" s="398"/>
      <c r="L10207" s="398"/>
      <c r="M10207" s="682"/>
    </row>
    <row r="10208" spans="6:13" hidden="1" x14ac:dyDescent="0.2">
      <c r="F10208" s="494">
        <v>523</v>
      </c>
      <c r="G10208" s="495" t="s">
        <v>3837</v>
      </c>
      <c r="H10208" s="397"/>
      <c r="I10208" s="397"/>
      <c r="J10208" s="750"/>
      <c r="K10208" s="398"/>
      <c r="L10208" s="398"/>
      <c r="M10208" s="682"/>
    </row>
    <row r="10209" spans="5:13" hidden="1" x14ac:dyDescent="0.2">
      <c r="F10209" s="494">
        <v>531</v>
      </c>
      <c r="G10209" s="496" t="s">
        <v>4175</v>
      </c>
      <c r="H10209" s="397"/>
      <c r="I10209" s="397"/>
      <c r="J10209" s="750"/>
      <c r="K10209" s="398"/>
      <c r="L10209" s="398"/>
      <c r="M10209" s="682"/>
    </row>
    <row r="10210" spans="5:13" hidden="1" x14ac:dyDescent="0.2">
      <c r="F10210" s="494">
        <v>541</v>
      </c>
      <c r="G10210" s="495" t="s">
        <v>4200</v>
      </c>
      <c r="H10210" s="397"/>
      <c r="I10210" s="397"/>
      <c r="J10210" s="750"/>
      <c r="K10210" s="398"/>
      <c r="L10210" s="398"/>
      <c r="M10210" s="682"/>
    </row>
    <row r="10211" spans="5:13" hidden="1" x14ac:dyDescent="0.2">
      <c r="F10211" s="494">
        <v>542</v>
      </c>
      <c r="G10211" s="495" t="s">
        <v>4201</v>
      </c>
      <c r="H10211" s="397"/>
      <c r="I10211" s="397"/>
      <c r="J10211" s="750"/>
      <c r="K10211" s="398"/>
      <c r="L10211" s="398"/>
      <c r="M10211" s="682"/>
    </row>
    <row r="10212" spans="5:13" hidden="1" x14ac:dyDescent="0.2">
      <c r="F10212" s="494">
        <v>543</v>
      </c>
      <c r="G10212" s="495" t="s">
        <v>3842</v>
      </c>
      <c r="H10212" s="397"/>
      <c r="I10212" s="397"/>
      <c r="J10212" s="750"/>
      <c r="K10212" s="398"/>
      <c r="L10212" s="398"/>
      <c r="M10212" s="682"/>
    </row>
    <row r="10213" spans="5:13" ht="38.25" hidden="1" x14ac:dyDescent="0.2">
      <c r="F10213" s="494">
        <v>551</v>
      </c>
      <c r="G10213" s="495" t="s">
        <v>4176</v>
      </c>
      <c r="H10213" s="397"/>
      <c r="I10213" s="397"/>
      <c r="J10213" s="750"/>
      <c r="K10213" s="398"/>
      <c r="L10213" s="398"/>
      <c r="M10213" s="682"/>
    </row>
    <row r="10214" spans="5:13" hidden="1" x14ac:dyDescent="0.2">
      <c r="F10214" s="498">
        <v>611</v>
      </c>
      <c r="G10214" s="499" t="s">
        <v>3848</v>
      </c>
      <c r="H10214" s="397"/>
      <c r="I10214" s="397"/>
      <c r="J10214" s="750"/>
      <c r="K10214" s="398"/>
      <c r="L10214" s="398"/>
      <c r="M10214" s="682"/>
    </row>
    <row r="10215" spans="5:13" hidden="1" x14ac:dyDescent="0.2">
      <c r="F10215" s="498">
        <v>620</v>
      </c>
      <c r="G10215" s="499" t="s">
        <v>88</v>
      </c>
      <c r="H10215" s="397"/>
      <c r="I10215" s="397"/>
      <c r="J10215" s="750"/>
      <c r="K10215" s="398"/>
      <c r="L10215" s="398"/>
      <c r="M10215" s="682"/>
    </row>
    <row r="10216" spans="5:13" hidden="1" x14ac:dyDescent="0.2">
      <c r="E10216" s="500"/>
      <c r="F10216" s="498"/>
      <c r="G10216" s="501" t="s">
        <v>4398</v>
      </c>
      <c r="H10216" s="400"/>
      <c r="I10216" s="400"/>
      <c r="J10216" s="750"/>
      <c r="K10216" s="401"/>
      <c r="L10216" s="402"/>
      <c r="M10216" s="682"/>
    </row>
    <row r="10217" spans="5:13" hidden="1" x14ac:dyDescent="0.2">
      <c r="E10217" s="502"/>
      <c r="F10217" s="503" t="s">
        <v>234</v>
      </c>
      <c r="G10217" s="504" t="s">
        <v>235</v>
      </c>
      <c r="H10217" s="403">
        <f>SUM(H10156:H10215)</f>
        <v>0</v>
      </c>
      <c r="I10217" s="403"/>
      <c r="J10217" s="750"/>
      <c r="K10217" s="404"/>
      <c r="L10217" s="404"/>
      <c r="M10217" s="682"/>
    </row>
    <row r="10218" spans="5:13" hidden="1" x14ac:dyDescent="0.2">
      <c r="F10218" s="503" t="s">
        <v>236</v>
      </c>
      <c r="G10218" s="504" t="s">
        <v>237</v>
      </c>
      <c r="H10218" s="397"/>
      <c r="I10218" s="397"/>
      <c r="J10218" s="750"/>
      <c r="K10218" s="398"/>
      <c r="L10218" s="404"/>
      <c r="M10218" s="682"/>
    </row>
    <row r="10219" spans="5:13" hidden="1" x14ac:dyDescent="0.2">
      <c r="F10219" s="503" t="s">
        <v>238</v>
      </c>
      <c r="G10219" s="504" t="s">
        <v>239</v>
      </c>
      <c r="H10219" s="397"/>
      <c r="I10219" s="397"/>
      <c r="J10219" s="750"/>
      <c r="K10219" s="398"/>
      <c r="L10219" s="404"/>
      <c r="M10219" s="682"/>
    </row>
    <row r="10220" spans="5:13" hidden="1" x14ac:dyDescent="0.2">
      <c r="F10220" s="503" t="s">
        <v>240</v>
      </c>
      <c r="G10220" s="504" t="s">
        <v>241</v>
      </c>
      <c r="H10220" s="397"/>
      <c r="I10220" s="397"/>
      <c r="J10220" s="750"/>
      <c r="K10220" s="398"/>
      <c r="L10220" s="404"/>
      <c r="M10220" s="682"/>
    </row>
    <row r="10221" spans="5:13" hidden="1" x14ac:dyDescent="0.2">
      <c r="F10221" s="503" t="s">
        <v>242</v>
      </c>
      <c r="G10221" s="504" t="s">
        <v>243</v>
      </c>
      <c r="H10221" s="397"/>
      <c r="I10221" s="397"/>
      <c r="J10221" s="750"/>
      <c r="K10221" s="398"/>
      <c r="L10221" s="404"/>
      <c r="M10221" s="682"/>
    </row>
    <row r="10222" spans="5:13" hidden="1" x14ac:dyDescent="0.2">
      <c r="F10222" s="503" t="s">
        <v>244</v>
      </c>
      <c r="G10222" s="504" t="s">
        <v>245</v>
      </c>
      <c r="H10222" s="397"/>
      <c r="I10222" s="397"/>
      <c r="J10222" s="750"/>
      <c r="K10222" s="398"/>
      <c r="L10222" s="404"/>
      <c r="M10222" s="682"/>
    </row>
    <row r="10223" spans="5:13" hidden="1" x14ac:dyDescent="0.2">
      <c r="F10223" s="503" t="s">
        <v>246</v>
      </c>
      <c r="G10223" s="504" t="s">
        <v>247</v>
      </c>
      <c r="H10223" s="397"/>
      <c r="I10223" s="397"/>
      <c r="J10223" s="750"/>
      <c r="K10223" s="398"/>
      <c r="L10223" s="404"/>
      <c r="M10223" s="682"/>
    </row>
    <row r="10224" spans="5:13" ht="25.5" hidden="1" x14ac:dyDescent="0.2">
      <c r="F10224" s="503" t="s">
        <v>248</v>
      </c>
      <c r="G10224" s="504" t="s">
        <v>249</v>
      </c>
      <c r="H10224" s="397"/>
      <c r="I10224" s="397"/>
      <c r="J10224" s="750"/>
      <c r="K10224" s="398"/>
      <c r="L10224" s="404"/>
      <c r="M10224" s="682"/>
    </row>
    <row r="10225" spans="5:13" hidden="1" x14ac:dyDescent="0.2">
      <c r="F10225" s="503" t="s">
        <v>250</v>
      </c>
      <c r="G10225" s="504" t="s">
        <v>57</v>
      </c>
      <c r="H10225" s="397"/>
      <c r="I10225" s="397"/>
      <c r="J10225" s="750"/>
      <c r="K10225" s="398"/>
      <c r="L10225" s="404"/>
      <c r="M10225" s="682"/>
    </row>
    <row r="10226" spans="5:13" hidden="1" x14ac:dyDescent="0.2">
      <c r="F10226" s="503" t="s">
        <v>251</v>
      </c>
      <c r="G10226" s="504" t="s">
        <v>252</v>
      </c>
      <c r="H10226" s="397"/>
      <c r="I10226" s="397"/>
      <c r="J10226" s="750"/>
      <c r="K10226" s="398"/>
      <c r="L10226" s="404"/>
      <c r="M10226" s="682"/>
    </row>
    <row r="10227" spans="5:13" hidden="1" x14ac:dyDescent="0.2">
      <c r="F10227" s="503" t="s">
        <v>253</v>
      </c>
      <c r="G10227" s="504" t="s">
        <v>254</v>
      </c>
      <c r="H10227" s="397"/>
      <c r="I10227" s="397"/>
      <c r="J10227" s="750"/>
      <c r="K10227" s="398"/>
      <c r="L10227" s="404"/>
      <c r="M10227" s="682"/>
    </row>
    <row r="10228" spans="5:13" ht="25.5" hidden="1" x14ac:dyDescent="0.2">
      <c r="F10228" s="503" t="s">
        <v>255</v>
      </c>
      <c r="G10228" s="504" t="s">
        <v>256</v>
      </c>
      <c r="H10228" s="397"/>
      <c r="I10228" s="397"/>
      <c r="J10228" s="750"/>
      <c r="K10228" s="398"/>
      <c r="L10228" s="404"/>
      <c r="M10228" s="682"/>
    </row>
    <row r="10229" spans="5:13" ht="25.5" hidden="1" x14ac:dyDescent="0.2">
      <c r="F10229" s="503" t="s">
        <v>257</v>
      </c>
      <c r="G10229" s="504" t="s">
        <v>258</v>
      </c>
      <c r="H10229" s="397"/>
      <c r="I10229" s="397"/>
      <c r="J10229" s="750"/>
      <c r="K10229" s="398"/>
      <c r="L10229" s="404"/>
      <c r="M10229" s="682"/>
    </row>
    <row r="10230" spans="5:13" ht="25.5" hidden="1" x14ac:dyDescent="0.2">
      <c r="F10230" s="503" t="s">
        <v>259</v>
      </c>
      <c r="G10230" s="504" t="s">
        <v>260</v>
      </c>
      <c r="H10230" s="397"/>
      <c r="I10230" s="397"/>
      <c r="J10230" s="750"/>
      <c r="K10230" s="398"/>
      <c r="L10230" s="404"/>
      <c r="M10230" s="682"/>
    </row>
    <row r="10231" spans="5:13" ht="25.5" hidden="1" x14ac:dyDescent="0.2">
      <c r="F10231" s="503" t="s">
        <v>261</v>
      </c>
      <c r="G10231" s="504" t="s">
        <v>262</v>
      </c>
      <c r="H10231" s="397"/>
      <c r="I10231" s="397"/>
      <c r="J10231" s="750"/>
      <c r="K10231" s="398"/>
      <c r="L10231" s="404"/>
      <c r="M10231" s="682"/>
    </row>
    <row r="10232" spans="5:13" hidden="1" x14ac:dyDescent="0.2">
      <c r="F10232" s="503" t="s">
        <v>263</v>
      </c>
      <c r="G10232" s="504" t="s">
        <v>264</v>
      </c>
      <c r="H10232" s="403"/>
      <c r="I10232" s="403"/>
      <c r="J10232" s="750"/>
      <c r="K10232" s="404"/>
      <c r="L10232" s="404"/>
      <c r="M10232" s="682"/>
    </row>
    <row r="10233" spans="5:13" ht="13.5" hidden="1" thickBot="1" x14ac:dyDescent="0.25">
      <c r="G10233" s="505" t="s">
        <v>4399</v>
      </c>
      <c r="H10233" s="405">
        <f>SUM(H10217:H10232)</f>
        <v>0</v>
      </c>
      <c r="I10233" s="405"/>
      <c r="J10233" s="750"/>
      <c r="K10233" s="406">
        <f>SUM(K10218:K10232)</f>
        <v>0</v>
      </c>
      <c r="L10233" s="406"/>
      <c r="M10233" s="682"/>
    </row>
    <row r="10234" spans="5:13" ht="25.5" hidden="1" collapsed="1" x14ac:dyDescent="0.2">
      <c r="E10234" s="500"/>
      <c r="F10234" s="498"/>
      <c r="G10234" s="506" t="s">
        <v>4408</v>
      </c>
      <c r="H10234" s="407"/>
      <c r="I10234" s="408"/>
      <c r="J10234" s="750"/>
      <c r="K10234" s="409"/>
      <c r="L10234" s="410"/>
      <c r="M10234" s="682"/>
    </row>
    <row r="10235" spans="5:13" hidden="1" x14ac:dyDescent="0.2">
      <c r="E10235" s="502"/>
      <c r="F10235" s="503" t="s">
        <v>234</v>
      </c>
      <c r="G10235" s="504" t="s">
        <v>235</v>
      </c>
      <c r="H10235" s="403">
        <f>SUM(H10156:H10215)</f>
        <v>0</v>
      </c>
      <c r="I10235" s="403"/>
      <c r="J10235" s="750"/>
      <c r="K10235" s="404"/>
      <c r="L10235" s="404"/>
      <c r="M10235" s="682"/>
    </row>
    <row r="10236" spans="5:13" hidden="1" x14ac:dyDescent="0.2">
      <c r="F10236" s="503" t="s">
        <v>236</v>
      </c>
      <c r="G10236" s="504" t="s">
        <v>237</v>
      </c>
      <c r="H10236" s="397"/>
      <c r="I10236" s="397"/>
      <c r="J10236" s="750"/>
      <c r="K10236" s="398"/>
      <c r="L10236" s="404"/>
      <c r="M10236" s="682"/>
    </row>
    <row r="10237" spans="5:13" hidden="1" x14ac:dyDescent="0.2">
      <c r="F10237" s="503" t="s">
        <v>238</v>
      </c>
      <c r="G10237" s="504" t="s">
        <v>239</v>
      </c>
      <c r="H10237" s="397"/>
      <c r="I10237" s="397"/>
      <c r="J10237" s="750"/>
      <c r="K10237" s="398"/>
      <c r="L10237" s="404"/>
      <c r="M10237" s="682"/>
    </row>
    <row r="10238" spans="5:13" hidden="1" x14ac:dyDescent="0.2">
      <c r="F10238" s="503" t="s">
        <v>240</v>
      </c>
      <c r="G10238" s="504" t="s">
        <v>241</v>
      </c>
      <c r="H10238" s="397"/>
      <c r="I10238" s="397"/>
      <c r="J10238" s="750"/>
      <c r="K10238" s="398"/>
      <c r="L10238" s="404"/>
      <c r="M10238" s="682"/>
    </row>
    <row r="10239" spans="5:13" hidden="1" x14ac:dyDescent="0.2">
      <c r="F10239" s="503" t="s">
        <v>242</v>
      </c>
      <c r="G10239" s="504" t="s">
        <v>243</v>
      </c>
      <c r="H10239" s="397"/>
      <c r="I10239" s="397"/>
      <c r="J10239" s="750"/>
      <c r="K10239" s="398"/>
      <c r="L10239" s="404"/>
      <c r="M10239" s="682"/>
    </row>
    <row r="10240" spans="5:13" hidden="1" x14ac:dyDescent="0.2">
      <c r="F10240" s="503" t="s">
        <v>244</v>
      </c>
      <c r="G10240" s="504" t="s">
        <v>245</v>
      </c>
      <c r="H10240" s="397"/>
      <c r="I10240" s="397"/>
      <c r="J10240" s="750"/>
      <c r="K10240" s="398"/>
      <c r="L10240" s="404"/>
      <c r="M10240" s="682"/>
    </row>
    <row r="10241" spans="1:27" hidden="1" x14ac:dyDescent="0.2">
      <c r="F10241" s="503" t="s">
        <v>246</v>
      </c>
      <c r="G10241" s="504" t="s">
        <v>247</v>
      </c>
      <c r="H10241" s="397"/>
      <c r="I10241" s="397"/>
      <c r="J10241" s="750"/>
      <c r="K10241" s="398"/>
      <c r="L10241" s="404"/>
      <c r="M10241" s="682"/>
    </row>
    <row r="10242" spans="1:27" ht="25.5" hidden="1" x14ac:dyDescent="0.2">
      <c r="F10242" s="503" t="s">
        <v>248</v>
      </c>
      <c r="G10242" s="504" t="s">
        <v>249</v>
      </c>
      <c r="H10242" s="397"/>
      <c r="I10242" s="397"/>
      <c r="J10242" s="750"/>
      <c r="K10242" s="398"/>
      <c r="L10242" s="404"/>
      <c r="M10242" s="682"/>
    </row>
    <row r="10243" spans="1:27" hidden="1" x14ac:dyDescent="0.2">
      <c r="F10243" s="503" t="s">
        <v>250</v>
      </c>
      <c r="G10243" s="504" t="s">
        <v>57</v>
      </c>
      <c r="H10243" s="397"/>
      <c r="I10243" s="397"/>
      <c r="J10243" s="750"/>
      <c r="K10243" s="398"/>
      <c r="L10243" s="404"/>
      <c r="M10243" s="682"/>
    </row>
    <row r="10244" spans="1:27" hidden="1" x14ac:dyDescent="0.2">
      <c r="F10244" s="503" t="s">
        <v>251</v>
      </c>
      <c r="G10244" s="504" t="s">
        <v>252</v>
      </c>
      <c r="H10244" s="397"/>
      <c r="I10244" s="397"/>
      <c r="J10244" s="750"/>
      <c r="K10244" s="398"/>
      <c r="L10244" s="404"/>
      <c r="M10244" s="682"/>
    </row>
    <row r="10245" spans="1:27" hidden="1" x14ac:dyDescent="0.2">
      <c r="F10245" s="503" t="s">
        <v>253</v>
      </c>
      <c r="G10245" s="504" t="s">
        <v>254</v>
      </c>
      <c r="H10245" s="397"/>
      <c r="I10245" s="397"/>
      <c r="J10245" s="750"/>
      <c r="K10245" s="398"/>
      <c r="L10245" s="404"/>
      <c r="M10245" s="682"/>
    </row>
    <row r="10246" spans="1:27" ht="25.5" hidden="1" x14ac:dyDescent="0.2">
      <c r="F10246" s="503" t="s">
        <v>255</v>
      </c>
      <c r="G10246" s="504" t="s">
        <v>256</v>
      </c>
      <c r="H10246" s="397"/>
      <c r="I10246" s="397"/>
      <c r="J10246" s="750"/>
      <c r="K10246" s="398"/>
      <c r="L10246" s="404"/>
      <c r="M10246" s="682"/>
    </row>
    <row r="10247" spans="1:27" ht="25.5" hidden="1" x14ac:dyDescent="0.2">
      <c r="F10247" s="503" t="s">
        <v>257</v>
      </c>
      <c r="G10247" s="504" t="s">
        <v>258</v>
      </c>
      <c r="H10247" s="397"/>
      <c r="I10247" s="397"/>
      <c r="J10247" s="750"/>
      <c r="K10247" s="398"/>
      <c r="L10247" s="404"/>
      <c r="M10247" s="682"/>
    </row>
    <row r="10248" spans="1:27" ht="25.5" hidden="1" x14ac:dyDescent="0.2">
      <c r="F10248" s="503" t="s">
        <v>259</v>
      </c>
      <c r="G10248" s="504" t="s">
        <v>260</v>
      </c>
      <c r="H10248" s="397"/>
      <c r="I10248" s="397"/>
      <c r="J10248" s="750"/>
      <c r="K10248" s="398"/>
      <c r="L10248" s="404"/>
      <c r="M10248" s="682"/>
    </row>
    <row r="10249" spans="1:27" ht="25.5" hidden="1" x14ac:dyDescent="0.2">
      <c r="F10249" s="503" t="s">
        <v>261</v>
      </c>
      <c r="G10249" s="504" t="s">
        <v>262</v>
      </c>
      <c r="H10249" s="397"/>
      <c r="I10249" s="397"/>
      <c r="J10249" s="750"/>
      <c r="K10249" s="398"/>
      <c r="L10249" s="404"/>
      <c r="M10249" s="682"/>
    </row>
    <row r="10250" spans="1:27" hidden="1" x14ac:dyDescent="0.2">
      <c r="F10250" s="503" t="s">
        <v>263</v>
      </c>
      <c r="G10250" s="504" t="s">
        <v>264</v>
      </c>
      <c r="H10250" s="403"/>
      <c r="I10250" s="403"/>
      <c r="J10250" s="750"/>
      <c r="K10250" s="404"/>
      <c r="L10250" s="404"/>
      <c r="M10250" s="682"/>
    </row>
    <row r="10251" spans="1:27" ht="13.5" hidden="1" collapsed="1" thickBot="1" x14ac:dyDescent="0.25">
      <c r="G10251" s="505" t="s">
        <v>4409</v>
      </c>
      <c r="H10251" s="405">
        <f>SUM(H10235:H10250)</f>
        <v>0</v>
      </c>
      <c r="I10251" s="405"/>
      <c r="J10251" s="750"/>
      <c r="K10251" s="406">
        <f>SUM(K10236:K10250)</f>
        <v>0</v>
      </c>
      <c r="L10251" s="406"/>
      <c r="M10251" s="682"/>
    </row>
    <row r="10252" spans="1:27" hidden="1" x14ac:dyDescent="0.2">
      <c r="H10252" s="397"/>
      <c r="I10252" s="397"/>
      <c r="J10252" s="750"/>
      <c r="K10252" s="398"/>
      <c r="L10252" s="398"/>
      <c r="M10252" s="682"/>
    </row>
    <row r="10253" spans="1:27" s="530" customFormat="1" hidden="1" x14ac:dyDescent="0.2">
      <c r="A10253" s="526"/>
      <c r="B10253" s="527"/>
      <c r="C10253" s="531" t="s">
        <v>4406</v>
      </c>
      <c r="D10253" s="490"/>
      <c r="E10253" s="490"/>
      <c r="F10253" s="532"/>
      <c r="G10253" s="644" t="s">
        <v>175</v>
      </c>
      <c r="H10253" s="422"/>
      <c r="I10253" s="422"/>
      <c r="J10253" s="750"/>
      <c r="K10253" s="423"/>
      <c r="L10253" s="424"/>
      <c r="M10253" s="682"/>
      <c r="N10253" s="171"/>
      <c r="O10253" s="171"/>
      <c r="P10253" s="171"/>
      <c r="Q10253" s="171"/>
      <c r="R10253" s="171"/>
      <c r="S10253" s="171"/>
      <c r="T10253" s="171"/>
      <c r="U10253" s="171"/>
      <c r="V10253" s="171"/>
      <c r="W10253" s="171"/>
      <c r="X10253" s="171"/>
      <c r="Y10253" s="171"/>
      <c r="Z10253" s="171"/>
      <c r="AA10253" s="171"/>
    </row>
    <row r="10254" spans="1:27" hidden="1" x14ac:dyDescent="0.2">
      <c r="C10254" s="489"/>
      <c r="D10254" s="492">
        <v>510</v>
      </c>
      <c r="E10254" s="492"/>
      <c r="F10254" s="492"/>
      <c r="G10254" s="493" t="s">
        <v>175</v>
      </c>
      <c r="H10254" s="397"/>
      <c r="I10254" s="397"/>
      <c r="J10254" s="750"/>
      <c r="K10254" s="398"/>
      <c r="L10254" s="398"/>
      <c r="M10254" s="682"/>
    </row>
    <row r="10255" spans="1:27" hidden="1" x14ac:dyDescent="0.2">
      <c r="F10255" s="494">
        <v>411</v>
      </c>
      <c r="G10255" s="495" t="s">
        <v>4167</v>
      </c>
      <c r="H10255" s="397"/>
      <c r="I10255" s="397"/>
      <c r="J10255" s="750"/>
      <c r="K10255" s="398"/>
      <c r="L10255" s="398"/>
      <c r="M10255" s="682"/>
    </row>
    <row r="10256" spans="1:27" hidden="1" x14ac:dyDescent="0.2">
      <c r="F10256" s="494">
        <v>412</v>
      </c>
      <c r="G10256" s="496" t="s">
        <v>3764</v>
      </c>
      <c r="H10256" s="397"/>
      <c r="I10256" s="397"/>
      <c r="J10256" s="750"/>
      <c r="K10256" s="398"/>
      <c r="L10256" s="398"/>
      <c r="M10256" s="682"/>
    </row>
    <row r="10257" spans="6:13" hidden="1" x14ac:dyDescent="0.2">
      <c r="F10257" s="494">
        <v>413</v>
      </c>
      <c r="G10257" s="495" t="s">
        <v>4168</v>
      </c>
      <c r="H10257" s="397"/>
      <c r="I10257" s="397"/>
      <c r="J10257" s="750"/>
      <c r="K10257" s="398"/>
      <c r="L10257" s="398"/>
      <c r="M10257" s="682"/>
    </row>
    <row r="10258" spans="6:13" hidden="1" x14ac:dyDescent="0.2">
      <c r="F10258" s="494">
        <v>414</v>
      </c>
      <c r="G10258" s="495" t="s">
        <v>3767</v>
      </c>
      <c r="H10258" s="397"/>
      <c r="I10258" s="397"/>
      <c r="J10258" s="750"/>
      <c r="K10258" s="398"/>
      <c r="L10258" s="398"/>
      <c r="M10258" s="682"/>
    </row>
    <row r="10259" spans="6:13" hidden="1" x14ac:dyDescent="0.2">
      <c r="F10259" s="494">
        <v>415</v>
      </c>
      <c r="G10259" s="495" t="s">
        <v>4177</v>
      </c>
      <c r="H10259" s="397"/>
      <c r="I10259" s="397"/>
      <c r="J10259" s="750"/>
      <c r="K10259" s="398"/>
      <c r="L10259" s="398"/>
      <c r="M10259" s="682"/>
    </row>
    <row r="10260" spans="6:13" ht="25.5" hidden="1" x14ac:dyDescent="0.2">
      <c r="F10260" s="494">
        <v>416</v>
      </c>
      <c r="G10260" s="495" t="s">
        <v>4178</v>
      </c>
      <c r="H10260" s="397"/>
      <c r="I10260" s="397"/>
      <c r="J10260" s="750"/>
      <c r="K10260" s="398"/>
      <c r="L10260" s="398"/>
      <c r="M10260" s="682"/>
    </row>
    <row r="10261" spans="6:13" hidden="1" x14ac:dyDescent="0.2">
      <c r="F10261" s="494">
        <v>417</v>
      </c>
      <c r="G10261" s="495" t="s">
        <v>4179</v>
      </c>
      <c r="H10261" s="397"/>
      <c r="I10261" s="397"/>
      <c r="J10261" s="750"/>
      <c r="K10261" s="398"/>
      <c r="L10261" s="398"/>
      <c r="M10261" s="682"/>
    </row>
    <row r="10262" spans="6:13" hidden="1" x14ac:dyDescent="0.2">
      <c r="F10262" s="494">
        <v>418</v>
      </c>
      <c r="G10262" s="495" t="s">
        <v>3773</v>
      </c>
      <c r="H10262" s="397"/>
      <c r="I10262" s="397"/>
      <c r="J10262" s="750"/>
      <c r="K10262" s="398"/>
      <c r="L10262" s="398"/>
      <c r="M10262" s="682"/>
    </row>
    <row r="10263" spans="6:13" hidden="1" x14ac:dyDescent="0.2">
      <c r="F10263" s="494">
        <v>421</v>
      </c>
      <c r="G10263" s="495" t="s">
        <v>3777</v>
      </c>
      <c r="H10263" s="397"/>
      <c r="I10263" s="397"/>
      <c r="J10263" s="750"/>
      <c r="K10263" s="398"/>
      <c r="L10263" s="398"/>
      <c r="M10263" s="682"/>
    </row>
    <row r="10264" spans="6:13" hidden="1" x14ac:dyDescent="0.2">
      <c r="F10264" s="494">
        <v>422</v>
      </c>
      <c r="G10264" s="495" t="s">
        <v>3778</v>
      </c>
      <c r="H10264" s="397"/>
      <c r="I10264" s="397"/>
      <c r="J10264" s="750"/>
      <c r="K10264" s="398"/>
      <c r="L10264" s="398"/>
      <c r="M10264" s="682"/>
    </row>
    <row r="10265" spans="6:13" hidden="1" x14ac:dyDescent="0.2">
      <c r="F10265" s="494">
        <v>423</v>
      </c>
      <c r="G10265" s="495" t="s">
        <v>3779</v>
      </c>
      <c r="H10265" s="397"/>
      <c r="I10265" s="397"/>
      <c r="J10265" s="750"/>
      <c r="K10265" s="398"/>
      <c r="L10265" s="398"/>
      <c r="M10265" s="682"/>
    </row>
    <row r="10266" spans="6:13" hidden="1" x14ac:dyDescent="0.2">
      <c r="F10266" s="494">
        <v>424</v>
      </c>
      <c r="G10266" s="495" t="s">
        <v>3781</v>
      </c>
      <c r="H10266" s="397"/>
      <c r="I10266" s="397"/>
      <c r="J10266" s="750"/>
      <c r="K10266" s="398"/>
      <c r="L10266" s="398"/>
      <c r="M10266" s="682"/>
    </row>
    <row r="10267" spans="6:13" hidden="1" x14ac:dyDescent="0.2">
      <c r="F10267" s="494">
        <v>425</v>
      </c>
      <c r="G10267" s="495" t="s">
        <v>4180</v>
      </c>
      <c r="H10267" s="397"/>
      <c r="I10267" s="397"/>
      <c r="J10267" s="750"/>
      <c r="K10267" s="398"/>
      <c r="L10267" s="398"/>
      <c r="M10267" s="682"/>
    </row>
    <row r="10268" spans="6:13" hidden="1" x14ac:dyDescent="0.2">
      <c r="F10268" s="494">
        <v>426</v>
      </c>
      <c r="G10268" s="495" t="s">
        <v>3785</v>
      </c>
      <c r="H10268" s="397"/>
      <c r="I10268" s="397"/>
      <c r="J10268" s="750"/>
      <c r="K10268" s="398"/>
      <c r="L10268" s="398"/>
      <c r="M10268" s="682"/>
    </row>
    <row r="10269" spans="6:13" hidden="1" x14ac:dyDescent="0.2">
      <c r="F10269" s="494">
        <v>431</v>
      </c>
      <c r="G10269" s="495" t="s">
        <v>4181</v>
      </c>
      <c r="H10269" s="397"/>
      <c r="I10269" s="397"/>
      <c r="J10269" s="750"/>
      <c r="K10269" s="398"/>
      <c r="L10269" s="398"/>
      <c r="M10269" s="682"/>
    </row>
    <row r="10270" spans="6:13" hidden="1" x14ac:dyDescent="0.2">
      <c r="F10270" s="494">
        <v>432</v>
      </c>
      <c r="G10270" s="495" t="s">
        <v>4182</v>
      </c>
      <c r="H10270" s="397"/>
      <c r="I10270" s="397"/>
      <c r="J10270" s="750"/>
      <c r="K10270" s="398"/>
      <c r="L10270" s="398"/>
      <c r="M10270" s="682"/>
    </row>
    <row r="10271" spans="6:13" hidden="1" x14ac:dyDescent="0.2">
      <c r="F10271" s="494">
        <v>433</v>
      </c>
      <c r="G10271" s="495" t="s">
        <v>4183</v>
      </c>
      <c r="H10271" s="397"/>
      <c r="I10271" s="397"/>
      <c r="J10271" s="750"/>
      <c r="K10271" s="398"/>
      <c r="L10271" s="398"/>
      <c r="M10271" s="682"/>
    </row>
    <row r="10272" spans="6:13" hidden="1" x14ac:dyDescent="0.2">
      <c r="F10272" s="494">
        <v>434</v>
      </c>
      <c r="G10272" s="495" t="s">
        <v>4184</v>
      </c>
      <c r="H10272" s="397"/>
      <c r="I10272" s="397"/>
      <c r="J10272" s="750"/>
      <c r="K10272" s="398"/>
      <c r="L10272" s="398"/>
      <c r="M10272" s="682"/>
    </row>
    <row r="10273" spans="6:13" hidden="1" x14ac:dyDescent="0.2">
      <c r="F10273" s="494">
        <v>435</v>
      </c>
      <c r="G10273" s="495" t="s">
        <v>3792</v>
      </c>
      <c r="H10273" s="397"/>
      <c r="I10273" s="397"/>
      <c r="J10273" s="750"/>
      <c r="K10273" s="398"/>
      <c r="L10273" s="398"/>
      <c r="M10273" s="682"/>
    </row>
    <row r="10274" spans="6:13" hidden="1" x14ac:dyDescent="0.2">
      <c r="F10274" s="494">
        <v>441</v>
      </c>
      <c r="G10274" s="495" t="s">
        <v>4185</v>
      </c>
      <c r="H10274" s="397"/>
      <c r="I10274" s="397"/>
      <c r="J10274" s="750"/>
      <c r="K10274" s="398"/>
      <c r="L10274" s="398"/>
      <c r="M10274" s="682"/>
    </row>
    <row r="10275" spans="6:13" hidden="1" x14ac:dyDescent="0.2">
      <c r="F10275" s="494">
        <v>442</v>
      </c>
      <c r="G10275" s="495" t="s">
        <v>4186</v>
      </c>
      <c r="H10275" s="397"/>
      <c r="I10275" s="397"/>
      <c r="J10275" s="750"/>
      <c r="K10275" s="398"/>
      <c r="L10275" s="398"/>
      <c r="M10275" s="682"/>
    </row>
    <row r="10276" spans="6:13" hidden="1" x14ac:dyDescent="0.2">
      <c r="F10276" s="494">
        <v>443</v>
      </c>
      <c r="G10276" s="495" t="s">
        <v>3797</v>
      </c>
      <c r="H10276" s="397"/>
      <c r="I10276" s="397"/>
      <c r="J10276" s="750"/>
      <c r="K10276" s="398"/>
      <c r="L10276" s="398"/>
      <c r="M10276" s="682"/>
    </row>
    <row r="10277" spans="6:13" hidden="1" x14ac:dyDescent="0.2">
      <c r="F10277" s="494">
        <v>444</v>
      </c>
      <c r="G10277" s="495" t="s">
        <v>3798</v>
      </c>
      <c r="H10277" s="397"/>
      <c r="I10277" s="397"/>
      <c r="J10277" s="750"/>
      <c r="K10277" s="398"/>
      <c r="L10277" s="398"/>
      <c r="M10277" s="682"/>
    </row>
    <row r="10278" spans="6:13" ht="25.5" hidden="1" x14ac:dyDescent="0.2">
      <c r="F10278" s="494">
        <v>4511</v>
      </c>
      <c r="G10278" s="466" t="s">
        <v>1692</v>
      </c>
      <c r="H10278" s="397"/>
      <c r="I10278" s="397"/>
      <c r="J10278" s="750"/>
      <c r="K10278" s="398"/>
      <c r="L10278" s="398"/>
      <c r="M10278" s="682"/>
    </row>
    <row r="10279" spans="6:13" ht="19.5" hidden="1" customHeight="1" x14ac:dyDescent="0.2">
      <c r="F10279" s="494">
        <v>4512</v>
      </c>
      <c r="G10279" s="466" t="s">
        <v>1701</v>
      </c>
      <c r="H10279" s="397"/>
      <c r="I10279" s="397"/>
      <c r="J10279" s="750"/>
      <c r="K10279" s="398"/>
      <c r="L10279" s="398"/>
      <c r="M10279" s="682"/>
    </row>
    <row r="10280" spans="6:13" ht="25.5" hidden="1" x14ac:dyDescent="0.2">
      <c r="F10280" s="494">
        <v>452</v>
      </c>
      <c r="G10280" s="495" t="s">
        <v>4187</v>
      </c>
      <c r="H10280" s="397"/>
      <c r="I10280" s="397"/>
      <c r="J10280" s="750"/>
      <c r="K10280" s="398"/>
      <c r="L10280" s="398"/>
      <c r="M10280" s="682"/>
    </row>
    <row r="10281" spans="6:13" ht="25.5" hidden="1" x14ac:dyDescent="0.2">
      <c r="F10281" s="494">
        <v>453</v>
      </c>
      <c r="G10281" s="495" t="s">
        <v>4188</v>
      </c>
      <c r="H10281" s="397"/>
      <c r="I10281" s="397"/>
      <c r="J10281" s="750"/>
      <c r="K10281" s="398"/>
      <c r="L10281" s="398"/>
      <c r="M10281" s="682"/>
    </row>
    <row r="10282" spans="6:13" hidden="1" x14ac:dyDescent="0.2">
      <c r="F10282" s="494">
        <v>454</v>
      </c>
      <c r="G10282" s="495" t="s">
        <v>3803</v>
      </c>
      <c r="H10282" s="397"/>
      <c r="I10282" s="397"/>
      <c r="J10282" s="750"/>
      <c r="K10282" s="398"/>
      <c r="L10282" s="398"/>
      <c r="M10282" s="682"/>
    </row>
    <row r="10283" spans="6:13" hidden="1" x14ac:dyDescent="0.2">
      <c r="F10283" s="494">
        <v>461</v>
      </c>
      <c r="G10283" s="495" t="s">
        <v>4169</v>
      </c>
      <c r="H10283" s="397"/>
      <c r="I10283" s="397"/>
      <c r="J10283" s="750"/>
      <c r="K10283" s="398"/>
      <c r="L10283" s="398"/>
      <c r="M10283" s="682"/>
    </row>
    <row r="10284" spans="6:13" ht="25.5" hidden="1" x14ac:dyDescent="0.2">
      <c r="F10284" s="494">
        <v>462</v>
      </c>
      <c r="G10284" s="495" t="s">
        <v>3806</v>
      </c>
      <c r="H10284" s="397"/>
      <c r="I10284" s="397"/>
      <c r="J10284" s="750"/>
      <c r="K10284" s="398"/>
      <c r="L10284" s="398"/>
      <c r="M10284" s="682"/>
    </row>
    <row r="10285" spans="6:13" hidden="1" x14ac:dyDescent="0.2">
      <c r="F10285" s="494">
        <v>4631</v>
      </c>
      <c r="G10285" s="495" t="s">
        <v>3807</v>
      </c>
      <c r="H10285" s="397"/>
      <c r="I10285" s="397"/>
      <c r="J10285" s="750"/>
      <c r="K10285" s="398"/>
      <c r="L10285" s="398"/>
      <c r="M10285" s="682"/>
    </row>
    <row r="10286" spans="6:13" hidden="1" x14ac:dyDescent="0.2">
      <c r="F10286" s="494">
        <v>4632</v>
      </c>
      <c r="G10286" s="495" t="s">
        <v>3808</v>
      </c>
      <c r="H10286" s="397"/>
      <c r="I10286" s="397"/>
      <c r="J10286" s="750"/>
      <c r="K10286" s="398"/>
      <c r="L10286" s="398"/>
      <c r="M10286" s="682"/>
    </row>
    <row r="10287" spans="6:13" ht="25.5" hidden="1" x14ac:dyDescent="0.2">
      <c r="F10287" s="494">
        <v>464</v>
      </c>
      <c r="G10287" s="495" t="s">
        <v>3809</v>
      </c>
      <c r="H10287" s="397"/>
      <c r="I10287" s="397"/>
      <c r="J10287" s="750"/>
      <c r="K10287" s="398"/>
      <c r="L10287" s="398"/>
      <c r="M10287" s="682"/>
    </row>
    <row r="10288" spans="6:13" hidden="1" x14ac:dyDescent="0.2">
      <c r="F10288" s="494">
        <v>465</v>
      </c>
      <c r="G10288" s="495" t="s">
        <v>4170</v>
      </c>
      <c r="H10288" s="397"/>
      <c r="I10288" s="397"/>
      <c r="J10288" s="750"/>
      <c r="K10288" s="398"/>
      <c r="L10288" s="398"/>
      <c r="M10288" s="682"/>
    </row>
    <row r="10289" spans="6:13" hidden="1" x14ac:dyDescent="0.2">
      <c r="F10289" s="494">
        <v>472</v>
      </c>
      <c r="G10289" s="495" t="s">
        <v>3813</v>
      </c>
      <c r="H10289" s="397"/>
      <c r="I10289" s="397"/>
      <c r="J10289" s="750"/>
      <c r="K10289" s="398"/>
      <c r="L10289" s="398"/>
      <c r="M10289" s="682"/>
    </row>
    <row r="10290" spans="6:13" hidden="1" x14ac:dyDescent="0.2">
      <c r="F10290" s="494">
        <v>481</v>
      </c>
      <c r="G10290" s="495" t="s">
        <v>4189</v>
      </c>
      <c r="H10290" s="397"/>
      <c r="I10290" s="397"/>
      <c r="J10290" s="750"/>
      <c r="K10290" s="398"/>
      <c r="L10290" s="398"/>
      <c r="M10290" s="682"/>
    </row>
    <row r="10291" spans="6:13" hidden="1" x14ac:dyDescent="0.2">
      <c r="F10291" s="494">
        <v>482</v>
      </c>
      <c r="G10291" s="495" t="s">
        <v>4190</v>
      </c>
      <c r="H10291" s="397"/>
      <c r="I10291" s="397"/>
      <c r="J10291" s="750"/>
      <c r="K10291" s="398"/>
      <c r="L10291" s="398"/>
      <c r="M10291" s="682"/>
    </row>
    <row r="10292" spans="6:13" hidden="1" x14ac:dyDescent="0.2">
      <c r="F10292" s="494">
        <v>483</v>
      </c>
      <c r="G10292" s="497" t="s">
        <v>4191</v>
      </c>
      <c r="H10292" s="397"/>
      <c r="I10292" s="397"/>
      <c r="J10292" s="750"/>
      <c r="K10292" s="398"/>
      <c r="L10292" s="398"/>
      <c r="M10292" s="682"/>
    </row>
    <row r="10293" spans="6:13" ht="38.25" hidden="1" x14ac:dyDescent="0.2">
      <c r="F10293" s="494">
        <v>484</v>
      </c>
      <c r="G10293" s="495" t="s">
        <v>4192</v>
      </c>
      <c r="H10293" s="397"/>
      <c r="I10293" s="397"/>
      <c r="J10293" s="750"/>
      <c r="K10293" s="398"/>
      <c r="L10293" s="398"/>
      <c r="M10293" s="682"/>
    </row>
    <row r="10294" spans="6:13" ht="25.5" hidden="1" x14ac:dyDescent="0.2">
      <c r="F10294" s="494">
        <v>485</v>
      </c>
      <c r="G10294" s="495" t="s">
        <v>4193</v>
      </c>
      <c r="H10294" s="397"/>
      <c r="I10294" s="397"/>
      <c r="J10294" s="750"/>
      <c r="K10294" s="398"/>
      <c r="L10294" s="398"/>
      <c r="M10294" s="682"/>
    </row>
    <row r="10295" spans="6:13" ht="25.5" hidden="1" x14ac:dyDescent="0.2">
      <c r="F10295" s="494">
        <v>489</v>
      </c>
      <c r="G10295" s="495" t="s">
        <v>3821</v>
      </c>
      <c r="H10295" s="397"/>
      <c r="I10295" s="397"/>
      <c r="J10295" s="750"/>
      <c r="K10295" s="398"/>
      <c r="L10295" s="398"/>
      <c r="M10295" s="682"/>
    </row>
    <row r="10296" spans="6:13" ht="25.5" hidden="1" x14ac:dyDescent="0.2">
      <c r="F10296" s="494">
        <v>494</v>
      </c>
      <c r="G10296" s="495" t="s">
        <v>4171</v>
      </c>
      <c r="H10296" s="397"/>
      <c r="I10296" s="397"/>
      <c r="J10296" s="750"/>
      <c r="K10296" s="398"/>
      <c r="L10296" s="398"/>
      <c r="M10296" s="682"/>
    </row>
    <row r="10297" spans="6:13" ht="25.5" hidden="1" x14ac:dyDescent="0.2">
      <c r="F10297" s="494">
        <v>495</v>
      </c>
      <c r="G10297" s="495" t="s">
        <v>4172</v>
      </c>
      <c r="H10297" s="397"/>
      <c r="I10297" s="397"/>
      <c r="J10297" s="750"/>
      <c r="K10297" s="398"/>
      <c r="L10297" s="398"/>
      <c r="M10297" s="682"/>
    </row>
    <row r="10298" spans="6:13" ht="38.25" hidden="1" x14ac:dyDescent="0.2">
      <c r="F10298" s="494">
        <v>496</v>
      </c>
      <c r="G10298" s="495" t="s">
        <v>4173</v>
      </c>
      <c r="H10298" s="397"/>
      <c r="I10298" s="397"/>
      <c r="J10298" s="750"/>
      <c r="K10298" s="398"/>
      <c r="L10298" s="398"/>
      <c r="M10298" s="682"/>
    </row>
    <row r="10299" spans="6:13" ht="25.5" hidden="1" x14ac:dyDescent="0.2">
      <c r="F10299" s="494">
        <v>499</v>
      </c>
      <c r="G10299" s="495" t="s">
        <v>4174</v>
      </c>
      <c r="H10299" s="397"/>
      <c r="I10299" s="397"/>
      <c r="J10299" s="750"/>
      <c r="K10299" s="398"/>
      <c r="L10299" s="398"/>
      <c r="M10299" s="682"/>
    </row>
    <row r="10300" spans="6:13" hidden="1" x14ac:dyDescent="0.2">
      <c r="F10300" s="494">
        <v>511</v>
      </c>
      <c r="G10300" s="497" t="s">
        <v>4194</v>
      </c>
      <c r="H10300" s="397"/>
      <c r="I10300" s="397"/>
      <c r="J10300" s="750"/>
      <c r="K10300" s="398"/>
      <c r="L10300" s="398"/>
      <c r="M10300" s="682"/>
    </row>
    <row r="10301" spans="6:13" hidden="1" x14ac:dyDescent="0.2">
      <c r="F10301" s="494">
        <v>512</v>
      </c>
      <c r="G10301" s="497" t="s">
        <v>4195</v>
      </c>
      <c r="H10301" s="397"/>
      <c r="I10301" s="397"/>
      <c r="J10301" s="750"/>
      <c r="K10301" s="398"/>
      <c r="L10301" s="398"/>
      <c r="M10301" s="682"/>
    </row>
    <row r="10302" spans="6:13" hidden="1" x14ac:dyDescent="0.2">
      <c r="F10302" s="494">
        <v>513</v>
      </c>
      <c r="G10302" s="497" t="s">
        <v>4196</v>
      </c>
      <c r="H10302" s="397"/>
      <c r="I10302" s="397"/>
      <c r="J10302" s="750"/>
      <c r="K10302" s="398"/>
      <c r="L10302" s="398"/>
      <c r="M10302" s="682"/>
    </row>
    <row r="10303" spans="6:13" hidden="1" x14ac:dyDescent="0.2">
      <c r="F10303" s="494">
        <v>514</v>
      </c>
      <c r="G10303" s="495" t="s">
        <v>4197</v>
      </c>
      <c r="H10303" s="397"/>
      <c r="I10303" s="397"/>
      <c r="J10303" s="750"/>
      <c r="K10303" s="398"/>
      <c r="L10303" s="398"/>
      <c r="M10303" s="682"/>
    </row>
    <row r="10304" spans="6:13" hidden="1" x14ac:dyDescent="0.2">
      <c r="F10304" s="494">
        <v>515</v>
      </c>
      <c r="G10304" s="495" t="s">
        <v>3832</v>
      </c>
      <c r="H10304" s="397"/>
      <c r="I10304" s="397"/>
      <c r="J10304" s="750"/>
      <c r="K10304" s="398"/>
      <c r="L10304" s="398"/>
      <c r="M10304" s="682"/>
    </row>
    <row r="10305" spans="5:13" hidden="1" x14ac:dyDescent="0.2">
      <c r="F10305" s="494">
        <v>521</v>
      </c>
      <c r="G10305" s="495" t="s">
        <v>4198</v>
      </c>
      <c r="H10305" s="397"/>
      <c r="I10305" s="397"/>
      <c r="J10305" s="750"/>
      <c r="K10305" s="398"/>
      <c r="L10305" s="398"/>
      <c r="M10305" s="682"/>
    </row>
    <row r="10306" spans="5:13" hidden="1" x14ac:dyDescent="0.2">
      <c r="F10306" s="494">
        <v>522</v>
      </c>
      <c r="G10306" s="495" t="s">
        <v>4199</v>
      </c>
      <c r="H10306" s="397"/>
      <c r="I10306" s="397"/>
      <c r="J10306" s="750"/>
      <c r="K10306" s="398"/>
      <c r="L10306" s="398"/>
      <c r="M10306" s="682"/>
    </row>
    <row r="10307" spans="5:13" hidden="1" x14ac:dyDescent="0.2">
      <c r="F10307" s="494">
        <v>523</v>
      </c>
      <c r="G10307" s="495" t="s">
        <v>3837</v>
      </c>
      <c r="H10307" s="397"/>
      <c r="I10307" s="397"/>
      <c r="J10307" s="750"/>
      <c r="K10307" s="398"/>
      <c r="L10307" s="398"/>
      <c r="M10307" s="682"/>
    </row>
    <row r="10308" spans="5:13" hidden="1" x14ac:dyDescent="0.2">
      <c r="F10308" s="494">
        <v>531</v>
      </c>
      <c r="G10308" s="496" t="s">
        <v>4175</v>
      </c>
      <c r="H10308" s="397"/>
      <c r="I10308" s="397"/>
      <c r="J10308" s="750"/>
      <c r="K10308" s="398"/>
      <c r="L10308" s="398"/>
      <c r="M10308" s="682"/>
    </row>
    <row r="10309" spans="5:13" hidden="1" x14ac:dyDescent="0.2">
      <c r="F10309" s="494">
        <v>541</v>
      </c>
      <c r="G10309" s="495" t="s">
        <v>4200</v>
      </c>
      <c r="H10309" s="397"/>
      <c r="I10309" s="397"/>
      <c r="J10309" s="750"/>
      <c r="K10309" s="398"/>
      <c r="L10309" s="398"/>
      <c r="M10309" s="682"/>
    </row>
    <row r="10310" spans="5:13" hidden="1" x14ac:dyDescent="0.2">
      <c r="F10310" s="494">
        <v>542</v>
      </c>
      <c r="G10310" s="495" t="s">
        <v>4201</v>
      </c>
      <c r="H10310" s="397"/>
      <c r="I10310" s="397"/>
      <c r="J10310" s="750"/>
      <c r="K10310" s="398"/>
      <c r="L10310" s="398"/>
      <c r="M10310" s="682"/>
    </row>
    <row r="10311" spans="5:13" hidden="1" x14ac:dyDescent="0.2">
      <c r="F10311" s="494">
        <v>543</v>
      </c>
      <c r="G10311" s="495" t="s">
        <v>3842</v>
      </c>
      <c r="H10311" s="397"/>
      <c r="I10311" s="397"/>
      <c r="J10311" s="750"/>
      <c r="K10311" s="398"/>
      <c r="L10311" s="398"/>
      <c r="M10311" s="682"/>
    </row>
    <row r="10312" spans="5:13" ht="38.25" hidden="1" x14ac:dyDescent="0.2">
      <c r="F10312" s="494">
        <v>551</v>
      </c>
      <c r="G10312" s="495" t="s">
        <v>4176</v>
      </c>
      <c r="H10312" s="397"/>
      <c r="I10312" s="397"/>
      <c r="J10312" s="750"/>
      <c r="K10312" s="398"/>
      <c r="L10312" s="398"/>
      <c r="M10312" s="682"/>
    </row>
    <row r="10313" spans="5:13" hidden="1" x14ac:dyDescent="0.2">
      <c r="F10313" s="498">
        <v>611</v>
      </c>
      <c r="G10313" s="499" t="s">
        <v>3848</v>
      </c>
      <c r="H10313" s="397"/>
      <c r="I10313" s="397"/>
      <c r="J10313" s="750"/>
      <c r="K10313" s="398"/>
      <c r="L10313" s="398"/>
      <c r="M10313" s="682"/>
    </row>
    <row r="10314" spans="5:13" hidden="1" x14ac:dyDescent="0.2">
      <c r="F10314" s="498">
        <v>620</v>
      </c>
      <c r="G10314" s="499" t="s">
        <v>88</v>
      </c>
      <c r="H10314" s="397"/>
      <c r="I10314" s="397"/>
      <c r="J10314" s="750"/>
      <c r="K10314" s="398"/>
      <c r="L10314" s="398"/>
      <c r="M10314" s="682"/>
    </row>
    <row r="10315" spans="5:13" hidden="1" x14ac:dyDescent="0.2">
      <c r="E10315" s="500"/>
      <c r="F10315" s="498"/>
      <c r="G10315" s="501" t="s">
        <v>4400</v>
      </c>
      <c r="H10315" s="400"/>
      <c r="I10315" s="400"/>
      <c r="J10315" s="750"/>
      <c r="K10315" s="401"/>
      <c r="L10315" s="402"/>
      <c r="M10315" s="682"/>
    </row>
    <row r="10316" spans="5:13" hidden="1" x14ac:dyDescent="0.2">
      <c r="E10316" s="502"/>
      <c r="F10316" s="503" t="s">
        <v>234</v>
      </c>
      <c r="G10316" s="504" t="s">
        <v>235</v>
      </c>
      <c r="H10316" s="403">
        <f>SUM(H10255:H10314)</f>
        <v>0</v>
      </c>
      <c r="I10316" s="403"/>
      <c r="J10316" s="750"/>
      <c r="K10316" s="404"/>
      <c r="L10316" s="404"/>
      <c r="M10316" s="682"/>
    </row>
    <row r="10317" spans="5:13" hidden="1" x14ac:dyDescent="0.2">
      <c r="F10317" s="503" t="s">
        <v>236</v>
      </c>
      <c r="G10317" s="504" t="s">
        <v>237</v>
      </c>
      <c r="H10317" s="397"/>
      <c r="I10317" s="397"/>
      <c r="J10317" s="750"/>
      <c r="K10317" s="398"/>
      <c r="L10317" s="404"/>
      <c r="M10317" s="682"/>
    </row>
    <row r="10318" spans="5:13" hidden="1" x14ac:dyDescent="0.2">
      <c r="F10318" s="503" t="s">
        <v>238</v>
      </c>
      <c r="G10318" s="504" t="s">
        <v>239</v>
      </c>
      <c r="H10318" s="397"/>
      <c r="I10318" s="397"/>
      <c r="J10318" s="750"/>
      <c r="K10318" s="398"/>
      <c r="L10318" s="404"/>
      <c r="M10318" s="682"/>
    </row>
    <row r="10319" spans="5:13" hidden="1" x14ac:dyDescent="0.2">
      <c r="F10319" s="503" t="s">
        <v>240</v>
      </c>
      <c r="G10319" s="504" t="s">
        <v>241</v>
      </c>
      <c r="H10319" s="397"/>
      <c r="I10319" s="397"/>
      <c r="J10319" s="750"/>
      <c r="K10319" s="398"/>
      <c r="L10319" s="404"/>
      <c r="M10319" s="682"/>
    </row>
    <row r="10320" spans="5:13" hidden="1" x14ac:dyDescent="0.2">
      <c r="F10320" s="503" t="s">
        <v>242</v>
      </c>
      <c r="G10320" s="504" t="s">
        <v>243</v>
      </c>
      <c r="H10320" s="397"/>
      <c r="I10320" s="397"/>
      <c r="J10320" s="750"/>
      <c r="K10320" s="398"/>
      <c r="L10320" s="404"/>
      <c r="M10320" s="682"/>
    </row>
    <row r="10321" spans="5:13" hidden="1" x14ac:dyDescent="0.2">
      <c r="F10321" s="503" t="s">
        <v>244</v>
      </c>
      <c r="G10321" s="504" t="s">
        <v>245</v>
      </c>
      <c r="H10321" s="397"/>
      <c r="I10321" s="397"/>
      <c r="J10321" s="750"/>
      <c r="K10321" s="398"/>
      <c r="L10321" s="404"/>
      <c r="M10321" s="682"/>
    </row>
    <row r="10322" spans="5:13" hidden="1" x14ac:dyDescent="0.2">
      <c r="F10322" s="503" t="s">
        <v>246</v>
      </c>
      <c r="G10322" s="504" t="s">
        <v>247</v>
      </c>
      <c r="H10322" s="397"/>
      <c r="I10322" s="397"/>
      <c r="J10322" s="750"/>
      <c r="K10322" s="398"/>
      <c r="L10322" s="404"/>
      <c r="M10322" s="682"/>
    </row>
    <row r="10323" spans="5:13" ht="25.5" hidden="1" x14ac:dyDescent="0.2">
      <c r="F10323" s="503" t="s">
        <v>248</v>
      </c>
      <c r="G10323" s="504" t="s">
        <v>249</v>
      </c>
      <c r="H10323" s="397"/>
      <c r="I10323" s="397"/>
      <c r="J10323" s="750"/>
      <c r="K10323" s="398"/>
      <c r="L10323" s="404"/>
      <c r="M10323" s="682"/>
    </row>
    <row r="10324" spans="5:13" hidden="1" x14ac:dyDescent="0.2">
      <c r="F10324" s="503" t="s">
        <v>250</v>
      </c>
      <c r="G10324" s="504" t="s">
        <v>57</v>
      </c>
      <c r="H10324" s="397"/>
      <c r="I10324" s="397"/>
      <c r="J10324" s="750"/>
      <c r="K10324" s="398"/>
      <c r="L10324" s="404"/>
      <c r="M10324" s="682"/>
    </row>
    <row r="10325" spans="5:13" hidden="1" x14ac:dyDescent="0.2">
      <c r="F10325" s="503" t="s">
        <v>251</v>
      </c>
      <c r="G10325" s="504" t="s">
        <v>252</v>
      </c>
      <c r="H10325" s="397"/>
      <c r="I10325" s="397"/>
      <c r="J10325" s="750"/>
      <c r="K10325" s="398"/>
      <c r="L10325" s="404"/>
      <c r="M10325" s="682"/>
    </row>
    <row r="10326" spans="5:13" hidden="1" x14ac:dyDescent="0.2">
      <c r="F10326" s="503" t="s">
        <v>253</v>
      </c>
      <c r="G10326" s="504" t="s">
        <v>254</v>
      </c>
      <c r="H10326" s="397"/>
      <c r="I10326" s="397"/>
      <c r="J10326" s="750"/>
      <c r="K10326" s="398"/>
      <c r="L10326" s="404"/>
      <c r="M10326" s="682"/>
    </row>
    <row r="10327" spans="5:13" ht="25.5" hidden="1" x14ac:dyDescent="0.2">
      <c r="F10327" s="503" t="s">
        <v>255</v>
      </c>
      <c r="G10327" s="504" t="s">
        <v>256</v>
      </c>
      <c r="H10327" s="397"/>
      <c r="I10327" s="397"/>
      <c r="J10327" s="750"/>
      <c r="K10327" s="398"/>
      <c r="L10327" s="404"/>
      <c r="M10327" s="682"/>
    </row>
    <row r="10328" spans="5:13" ht="25.5" hidden="1" x14ac:dyDescent="0.2">
      <c r="F10328" s="503" t="s">
        <v>257</v>
      </c>
      <c r="G10328" s="504" t="s">
        <v>258</v>
      </c>
      <c r="H10328" s="397"/>
      <c r="I10328" s="397"/>
      <c r="J10328" s="750"/>
      <c r="K10328" s="398"/>
      <c r="L10328" s="404"/>
      <c r="M10328" s="682"/>
    </row>
    <row r="10329" spans="5:13" ht="25.5" hidden="1" x14ac:dyDescent="0.2">
      <c r="F10329" s="503" t="s">
        <v>259</v>
      </c>
      <c r="G10329" s="504" t="s">
        <v>260</v>
      </c>
      <c r="H10329" s="397"/>
      <c r="I10329" s="397"/>
      <c r="J10329" s="750"/>
      <c r="K10329" s="398"/>
      <c r="L10329" s="404"/>
      <c r="M10329" s="682"/>
    </row>
    <row r="10330" spans="5:13" ht="25.5" hidden="1" x14ac:dyDescent="0.2">
      <c r="F10330" s="503" t="s">
        <v>261</v>
      </c>
      <c r="G10330" s="504" t="s">
        <v>262</v>
      </c>
      <c r="H10330" s="397"/>
      <c r="I10330" s="397"/>
      <c r="J10330" s="750"/>
      <c r="K10330" s="398"/>
      <c r="L10330" s="404"/>
      <c r="M10330" s="682"/>
    </row>
    <row r="10331" spans="5:13" hidden="1" x14ac:dyDescent="0.2">
      <c r="F10331" s="503" t="s">
        <v>263</v>
      </c>
      <c r="G10331" s="504" t="s">
        <v>264</v>
      </c>
      <c r="H10331" s="403"/>
      <c r="I10331" s="403"/>
      <c r="J10331" s="750"/>
      <c r="K10331" s="404"/>
      <c r="L10331" s="404"/>
      <c r="M10331" s="682"/>
    </row>
    <row r="10332" spans="5:13" ht="13.5" hidden="1" thickBot="1" x14ac:dyDescent="0.25">
      <c r="G10332" s="505" t="s">
        <v>4401</v>
      </c>
      <c r="H10332" s="405">
        <f>SUM(H10316:H10331)</f>
        <v>0</v>
      </c>
      <c r="I10332" s="405"/>
      <c r="J10332" s="750"/>
      <c r="K10332" s="406">
        <f>SUM(K10317:K10331)</f>
        <v>0</v>
      </c>
      <c r="L10332" s="406"/>
      <c r="M10332" s="682"/>
    </row>
    <row r="10333" spans="5:13" ht="25.5" hidden="1" collapsed="1" x14ac:dyDescent="0.2">
      <c r="E10333" s="500"/>
      <c r="F10333" s="498"/>
      <c r="G10333" s="506" t="s">
        <v>4410</v>
      </c>
      <c r="H10333" s="407"/>
      <c r="I10333" s="408"/>
      <c r="J10333" s="750"/>
      <c r="K10333" s="409"/>
      <c r="L10333" s="410"/>
      <c r="M10333" s="682"/>
    </row>
    <row r="10334" spans="5:13" hidden="1" x14ac:dyDescent="0.2">
      <c r="E10334" s="502"/>
      <c r="F10334" s="503" t="s">
        <v>234</v>
      </c>
      <c r="G10334" s="504" t="s">
        <v>235</v>
      </c>
      <c r="H10334" s="403">
        <f>SUM(H10255:H10314)</f>
        <v>0</v>
      </c>
      <c r="I10334" s="403"/>
      <c r="J10334" s="750"/>
      <c r="K10334" s="404"/>
      <c r="L10334" s="404"/>
      <c r="M10334" s="682"/>
    </row>
    <row r="10335" spans="5:13" hidden="1" x14ac:dyDescent="0.2">
      <c r="F10335" s="503" t="s">
        <v>236</v>
      </c>
      <c r="G10335" s="504" t="s">
        <v>237</v>
      </c>
      <c r="H10335" s="397"/>
      <c r="I10335" s="397"/>
      <c r="J10335" s="750"/>
      <c r="K10335" s="398"/>
      <c r="L10335" s="404"/>
      <c r="M10335" s="682"/>
    </row>
    <row r="10336" spans="5:13" hidden="1" x14ac:dyDescent="0.2">
      <c r="F10336" s="503" t="s">
        <v>238</v>
      </c>
      <c r="G10336" s="504" t="s">
        <v>239</v>
      </c>
      <c r="H10336" s="397"/>
      <c r="I10336" s="397"/>
      <c r="J10336" s="750"/>
      <c r="K10336" s="398"/>
      <c r="L10336" s="404"/>
      <c r="M10336" s="682"/>
    </row>
    <row r="10337" spans="1:27" hidden="1" x14ac:dyDescent="0.2">
      <c r="F10337" s="503" t="s">
        <v>240</v>
      </c>
      <c r="G10337" s="504" t="s">
        <v>241</v>
      </c>
      <c r="H10337" s="397"/>
      <c r="I10337" s="397"/>
      <c r="J10337" s="750"/>
      <c r="K10337" s="398"/>
      <c r="L10337" s="404"/>
      <c r="M10337" s="682"/>
    </row>
    <row r="10338" spans="1:27" hidden="1" x14ac:dyDescent="0.2">
      <c r="F10338" s="503" t="s">
        <v>242</v>
      </c>
      <c r="G10338" s="504" t="s">
        <v>243</v>
      </c>
      <c r="H10338" s="397"/>
      <c r="I10338" s="397"/>
      <c r="J10338" s="750"/>
      <c r="K10338" s="398"/>
      <c r="L10338" s="404"/>
      <c r="M10338" s="682"/>
    </row>
    <row r="10339" spans="1:27" hidden="1" x14ac:dyDescent="0.2">
      <c r="F10339" s="503" t="s">
        <v>244</v>
      </c>
      <c r="G10339" s="504" t="s">
        <v>245</v>
      </c>
      <c r="H10339" s="397"/>
      <c r="I10339" s="397"/>
      <c r="J10339" s="750"/>
      <c r="K10339" s="398"/>
      <c r="L10339" s="404"/>
      <c r="M10339" s="682"/>
    </row>
    <row r="10340" spans="1:27" hidden="1" x14ac:dyDescent="0.2">
      <c r="F10340" s="503" t="s">
        <v>246</v>
      </c>
      <c r="G10340" s="504" t="s">
        <v>247</v>
      </c>
      <c r="H10340" s="397"/>
      <c r="I10340" s="397"/>
      <c r="J10340" s="750"/>
      <c r="K10340" s="398"/>
      <c r="L10340" s="404"/>
      <c r="M10340" s="682"/>
    </row>
    <row r="10341" spans="1:27" ht="25.5" hidden="1" x14ac:dyDescent="0.2">
      <c r="F10341" s="503" t="s">
        <v>248</v>
      </c>
      <c r="G10341" s="504" t="s">
        <v>249</v>
      </c>
      <c r="H10341" s="397"/>
      <c r="I10341" s="397"/>
      <c r="J10341" s="750"/>
      <c r="K10341" s="398"/>
      <c r="L10341" s="404"/>
      <c r="M10341" s="682"/>
    </row>
    <row r="10342" spans="1:27" hidden="1" x14ac:dyDescent="0.2">
      <c r="F10342" s="503" t="s">
        <v>250</v>
      </c>
      <c r="G10342" s="504" t="s">
        <v>57</v>
      </c>
      <c r="H10342" s="397"/>
      <c r="I10342" s="397"/>
      <c r="J10342" s="750"/>
      <c r="K10342" s="398"/>
      <c r="L10342" s="404"/>
      <c r="M10342" s="682"/>
    </row>
    <row r="10343" spans="1:27" hidden="1" x14ac:dyDescent="0.2">
      <c r="F10343" s="503" t="s">
        <v>251</v>
      </c>
      <c r="G10343" s="504" t="s">
        <v>252</v>
      </c>
      <c r="H10343" s="397"/>
      <c r="I10343" s="397"/>
      <c r="J10343" s="750"/>
      <c r="K10343" s="398"/>
      <c r="L10343" s="404"/>
      <c r="M10343" s="682"/>
    </row>
    <row r="10344" spans="1:27" hidden="1" x14ac:dyDescent="0.2">
      <c r="F10344" s="503" t="s">
        <v>253</v>
      </c>
      <c r="G10344" s="504" t="s">
        <v>254</v>
      </c>
      <c r="H10344" s="397"/>
      <c r="I10344" s="397"/>
      <c r="J10344" s="750"/>
      <c r="K10344" s="398"/>
      <c r="L10344" s="404"/>
      <c r="M10344" s="682"/>
    </row>
    <row r="10345" spans="1:27" ht="25.5" hidden="1" x14ac:dyDescent="0.2">
      <c r="F10345" s="503" t="s">
        <v>255</v>
      </c>
      <c r="G10345" s="504" t="s">
        <v>256</v>
      </c>
      <c r="H10345" s="397"/>
      <c r="I10345" s="397"/>
      <c r="J10345" s="750"/>
      <c r="K10345" s="398"/>
      <c r="L10345" s="404"/>
      <c r="M10345" s="682"/>
    </row>
    <row r="10346" spans="1:27" ht="25.5" hidden="1" x14ac:dyDescent="0.2">
      <c r="F10346" s="503" t="s">
        <v>257</v>
      </c>
      <c r="G10346" s="504" t="s">
        <v>258</v>
      </c>
      <c r="H10346" s="397"/>
      <c r="I10346" s="397"/>
      <c r="J10346" s="750"/>
      <c r="K10346" s="398"/>
      <c r="L10346" s="404"/>
      <c r="M10346" s="682"/>
    </row>
    <row r="10347" spans="1:27" ht="25.5" hidden="1" x14ac:dyDescent="0.2">
      <c r="F10347" s="503" t="s">
        <v>259</v>
      </c>
      <c r="G10347" s="504" t="s">
        <v>260</v>
      </c>
      <c r="H10347" s="397"/>
      <c r="I10347" s="397"/>
      <c r="J10347" s="750"/>
      <c r="K10347" s="398"/>
      <c r="L10347" s="404"/>
      <c r="M10347" s="682"/>
    </row>
    <row r="10348" spans="1:27" ht="25.5" hidden="1" x14ac:dyDescent="0.2">
      <c r="F10348" s="503" t="s">
        <v>261</v>
      </c>
      <c r="G10348" s="504" t="s">
        <v>262</v>
      </c>
      <c r="H10348" s="397"/>
      <c r="I10348" s="397"/>
      <c r="J10348" s="750"/>
      <c r="K10348" s="398"/>
      <c r="L10348" s="404"/>
      <c r="M10348" s="682"/>
    </row>
    <row r="10349" spans="1:27" hidden="1" x14ac:dyDescent="0.2">
      <c r="F10349" s="503" t="s">
        <v>263</v>
      </c>
      <c r="G10349" s="504" t="s">
        <v>264</v>
      </c>
      <c r="H10349" s="403"/>
      <c r="I10349" s="403"/>
      <c r="J10349" s="750"/>
      <c r="K10349" s="404"/>
      <c r="L10349" s="404"/>
      <c r="M10349" s="682"/>
    </row>
    <row r="10350" spans="1:27" ht="13.5" hidden="1" collapsed="1" thickBot="1" x14ac:dyDescent="0.25">
      <c r="G10350" s="505" t="s">
        <v>4411</v>
      </c>
      <c r="H10350" s="405">
        <f>SUM(H10334:H10349)</f>
        <v>0</v>
      </c>
      <c r="I10350" s="405"/>
      <c r="J10350" s="750"/>
      <c r="K10350" s="406">
        <f>SUM(K10335:K10349)</f>
        <v>0</v>
      </c>
      <c r="L10350" s="406"/>
      <c r="M10350" s="682"/>
    </row>
    <row r="10351" spans="1:27" hidden="1" x14ac:dyDescent="0.2">
      <c r="H10351" s="397"/>
      <c r="I10351" s="397"/>
      <c r="J10351" s="750"/>
      <c r="K10351" s="398"/>
      <c r="L10351" s="398"/>
      <c r="M10351" s="682"/>
    </row>
    <row r="10352" spans="1:27" s="530" customFormat="1" hidden="1" x14ac:dyDescent="0.2">
      <c r="A10352" s="526"/>
      <c r="B10352" s="527"/>
      <c r="C10352" s="531" t="s">
        <v>4412</v>
      </c>
      <c r="D10352" s="490"/>
      <c r="E10352" s="490"/>
      <c r="F10352" s="532"/>
      <c r="G10352" s="644" t="s">
        <v>4065</v>
      </c>
      <c r="H10352" s="422"/>
      <c r="I10352" s="422"/>
      <c r="J10352" s="750"/>
      <c r="K10352" s="423"/>
      <c r="L10352" s="424"/>
      <c r="M10352" s="682"/>
      <c r="N10352" s="171"/>
      <c r="O10352" s="171"/>
      <c r="P10352" s="171"/>
      <c r="Q10352" s="171"/>
      <c r="R10352" s="171"/>
      <c r="S10352" s="171"/>
      <c r="T10352" s="171"/>
      <c r="U10352" s="171"/>
      <c r="V10352" s="171"/>
      <c r="W10352" s="171"/>
      <c r="X10352" s="171"/>
      <c r="Y10352" s="171"/>
      <c r="Z10352" s="171"/>
      <c r="AA10352" s="171"/>
    </row>
    <row r="10353" spans="3:13" hidden="1" x14ac:dyDescent="0.2">
      <c r="C10353" s="489"/>
      <c r="D10353" s="492">
        <v>451</v>
      </c>
      <c r="E10353" s="492"/>
      <c r="F10353" s="492"/>
      <c r="G10353" s="493" t="s">
        <v>153</v>
      </c>
      <c r="H10353" s="397"/>
      <c r="I10353" s="397"/>
      <c r="J10353" s="750"/>
      <c r="K10353" s="398"/>
      <c r="L10353" s="398"/>
      <c r="M10353" s="682"/>
    </row>
    <row r="10354" spans="3:13" hidden="1" x14ac:dyDescent="0.2">
      <c r="F10354" s="494">
        <v>411</v>
      </c>
      <c r="G10354" s="495" t="s">
        <v>4167</v>
      </c>
      <c r="H10354" s="397"/>
      <c r="I10354" s="397"/>
      <c r="J10354" s="750"/>
      <c r="K10354" s="398"/>
      <c r="L10354" s="398"/>
      <c r="M10354" s="682"/>
    </row>
    <row r="10355" spans="3:13" hidden="1" x14ac:dyDescent="0.2">
      <c r="F10355" s="494">
        <v>412</v>
      </c>
      <c r="G10355" s="496" t="s">
        <v>3764</v>
      </c>
      <c r="H10355" s="397"/>
      <c r="I10355" s="397"/>
      <c r="J10355" s="750"/>
      <c r="K10355" s="398"/>
      <c r="L10355" s="398"/>
      <c r="M10355" s="682"/>
    </row>
    <row r="10356" spans="3:13" hidden="1" x14ac:dyDescent="0.2">
      <c r="F10356" s="494">
        <v>413</v>
      </c>
      <c r="G10356" s="495" t="s">
        <v>4168</v>
      </c>
      <c r="H10356" s="397"/>
      <c r="I10356" s="397"/>
      <c r="J10356" s="750"/>
      <c r="K10356" s="398"/>
      <c r="L10356" s="398"/>
      <c r="M10356" s="682"/>
    </row>
    <row r="10357" spans="3:13" hidden="1" x14ac:dyDescent="0.2">
      <c r="F10357" s="494">
        <v>414</v>
      </c>
      <c r="G10357" s="495" t="s">
        <v>3767</v>
      </c>
      <c r="H10357" s="397"/>
      <c r="I10357" s="397"/>
      <c r="J10357" s="750"/>
      <c r="K10357" s="398"/>
      <c r="L10357" s="398"/>
      <c r="M10357" s="682"/>
    </row>
    <row r="10358" spans="3:13" hidden="1" x14ac:dyDescent="0.2">
      <c r="F10358" s="494">
        <v>415</v>
      </c>
      <c r="G10358" s="495" t="s">
        <v>4177</v>
      </c>
      <c r="H10358" s="397"/>
      <c r="I10358" s="397"/>
      <c r="J10358" s="750"/>
      <c r="K10358" s="398"/>
      <c r="L10358" s="398"/>
      <c r="M10358" s="682"/>
    </row>
    <row r="10359" spans="3:13" ht="25.5" hidden="1" x14ac:dyDescent="0.2">
      <c r="F10359" s="494">
        <v>416</v>
      </c>
      <c r="G10359" s="495" t="s">
        <v>4178</v>
      </c>
      <c r="H10359" s="397"/>
      <c r="I10359" s="397"/>
      <c r="J10359" s="750"/>
      <c r="K10359" s="398"/>
      <c r="L10359" s="398"/>
      <c r="M10359" s="682"/>
    </row>
    <row r="10360" spans="3:13" hidden="1" x14ac:dyDescent="0.2">
      <c r="F10360" s="494">
        <v>417</v>
      </c>
      <c r="G10360" s="495" t="s">
        <v>4179</v>
      </c>
      <c r="H10360" s="397"/>
      <c r="I10360" s="397"/>
      <c r="J10360" s="750"/>
      <c r="K10360" s="398"/>
      <c r="L10360" s="398"/>
      <c r="M10360" s="682"/>
    </row>
    <row r="10361" spans="3:13" hidden="1" x14ac:dyDescent="0.2">
      <c r="F10361" s="494">
        <v>418</v>
      </c>
      <c r="G10361" s="495" t="s">
        <v>3773</v>
      </c>
      <c r="H10361" s="397"/>
      <c r="I10361" s="397"/>
      <c r="J10361" s="750"/>
      <c r="K10361" s="398"/>
      <c r="L10361" s="398"/>
      <c r="M10361" s="682"/>
    </row>
    <row r="10362" spans="3:13" hidden="1" x14ac:dyDescent="0.2">
      <c r="F10362" s="494">
        <v>421</v>
      </c>
      <c r="G10362" s="495" t="s">
        <v>3777</v>
      </c>
      <c r="H10362" s="397"/>
      <c r="I10362" s="397"/>
      <c r="J10362" s="750"/>
      <c r="K10362" s="398"/>
      <c r="L10362" s="398"/>
      <c r="M10362" s="682"/>
    </row>
    <row r="10363" spans="3:13" hidden="1" x14ac:dyDescent="0.2">
      <c r="F10363" s="494">
        <v>422</v>
      </c>
      <c r="G10363" s="495" t="s">
        <v>3778</v>
      </c>
      <c r="H10363" s="397"/>
      <c r="I10363" s="397"/>
      <c r="J10363" s="750"/>
      <c r="K10363" s="398"/>
      <c r="L10363" s="398"/>
      <c r="M10363" s="682"/>
    </row>
    <row r="10364" spans="3:13" hidden="1" x14ac:dyDescent="0.2">
      <c r="F10364" s="494">
        <v>423</v>
      </c>
      <c r="G10364" s="495" t="s">
        <v>3779</v>
      </c>
      <c r="H10364" s="397"/>
      <c r="I10364" s="397"/>
      <c r="J10364" s="750"/>
      <c r="K10364" s="398"/>
      <c r="L10364" s="398"/>
      <c r="M10364" s="682"/>
    </row>
    <row r="10365" spans="3:13" hidden="1" x14ac:dyDescent="0.2">
      <c r="F10365" s="494">
        <v>424</v>
      </c>
      <c r="G10365" s="495" t="s">
        <v>3781</v>
      </c>
      <c r="H10365" s="397"/>
      <c r="I10365" s="397"/>
      <c r="J10365" s="750"/>
      <c r="K10365" s="398"/>
      <c r="L10365" s="398"/>
      <c r="M10365" s="682"/>
    </row>
    <row r="10366" spans="3:13" hidden="1" x14ac:dyDescent="0.2">
      <c r="F10366" s="494">
        <v>425</v>
      </c>
      <c r="G10366" s="495" t="s">
        <v>4180</v>
      </c>
      <c r="H10366" s="397"/>
      <c r="I10366" s="397"/>
      <c r="J10366" s="750"/>
      <c r="K10366" s="398"/>
      <c r="L10366" s="398"/>
      <c r="M10366" s="682"/>
    </row>
    <row r="10367" spans="3:13" hidden="1" x14ac:dyDescent="0.2">
      <c r="F10367" s="494">
        <v>426</v>
      </c>
      <c r="G10367" s="495" t="s">
        <v>3785</v>
      </c>
      <c r="H10367" s="397"/>
      <c r="I10367" s="397"/>
      <c r="J10367" s="750"/>
      <c r="K10367" s="398"/>
      <c r="L10367" s="398"/>
      <c r="M10367" s="682"/>
    </row>
    <row r="10368" spans="3:13" hidden="1" x14ac:dyDescent="0.2">
      <c r="F10368" s="494">
        <v>431</v>
      </c>
      <c r="G10368" s="495" t="s">
        <v>4181</v>
      </c>
      <c r="H10368" s="397"/>
      <c r="I10368" s="397"/>
      <c r="J10368" s="750"/>
      <c r="K10368" s="398"/>
      <c r="L10368" s="398"/>
      <c r="M10368" s="682"/>
    </row>
    <row r="10369" spans="6:13" hidden="1" x14ac:dyDescent="0.2">
      <c r="F10369" s="494">
        <v>432</v>
      </c>
      <c r="G10369" s="495" t="s">
        <v>4182</v>
      </c>
      <c r="H10369" s="397"/>
      <c r="I10369" s="397"/>
      <c r="J10369" s="750"/>
      <c r="K10369" s="398"/>
      <c r="L10369" s="398"/>
      <c r="M10369" s="682"/>
    </row>
    <row r="10370" spans="6:13" hidden="1" x14ac:dyDescent="0.2">
      <c r="F10370" s="494">
        <v>433</v>
      </c>
      <c r="G10370" s="495" t="s">
        <v>4183</v>
      </c>
      <c r="H10370" s="397"/>
      <c r="I10370" s="397"/>
      <c r="J10370" s="750"/>
      <c r="K10370" s="398"/>
      <c r="L10370" s="398"/>
      <c r="M10370" s="682"/>
    </row>
    <row r="10371" spans="6:13" hidden="1" x14ac:dyDescent="0.2">
      <c r="F10371" s="494">
        <v>434</v>
      </c>
      <c r="G10371" s="495" t="s">
        <v>4184</v>
      </c>
      <c r="H10371" s="397"/>
      <c r="I10371" s="397"/>
      <c r="J10371" s="750"/>
      <c r="K10371" s="398"/>
      <c r="L10371" s="398"/>
      <c r="M10371" s="682"/>
    </row>
    <row r="10372" spans="6:13" hidden="1" x14ac:dyDescent="0.2">
      <c r="F10372" s="494">
        <v>435</v>
      </c>
      <c r="G10372" s="495" t="s">
        <v>3792</v>
      </c>
      <c r="H10372" s="397"/>
      <c r="I10372" s="397"/>
      <c r="J10372" s="750"/>
      <c r="K10372" s="398"/>
      <c r="L10372" s="398"/>
      <c r="M10372" s="682"/>
    </row>
    <row r="10373" spans="6:13" hidden="1" x14ac:dyDescent="0.2">
      <c r="F10373" s="494">
        <v>441</v>
      </c>
      <c r="G10373" s="495" t="s">
        <v>4185</v>
      </c>
      <c r="H10373" s="397"/>
      <c r="I10373" s="397"/>
      <c r="J10373" s="750"/>
      <c r="K10373" s="398"/>
      <c r="L10373" s="398"/>
      <c r="M10373" s="682"/>
    </row>
    <row r="10374" spans="6:13" hidden="1" x14ac:dyDescent="0.2">
      <c r="F10374" s="494">
        <v>442</v>
      </c>
      <c r="G10374" s="495" t="s">
        <v>4186</v>
      </c>
      <c r="H10374" s="397"/>
      <c r="I10374" s="397"/>
      <c r="J10374" s="750"/>
      <c r="K10374" s="398"/>
      <c r="L10374" s="398"/>
      <c r="M10374" s="682"/>
    </row>
    <row r="10375" spans="6:13" hidden="1" x14ac:dyDescent="0.2">
      <c r="F10375" s="494">
        <v>443</v>
      </c>
      <c r="G10375" s="495" t="s">
        <v>3797</v>
      </c>
      <c r="H10375" s="397"/>
      <c r="I10375" s="397"/>
      <c r="J10375" s="750"/>
      <c r="K10375" s="398"/>
      <c r="L10375" s="398"/>
      <c r="M10375" s="682"/>
    </row>
    <row r="10376" spans="6:13" hidden="1" x14ac:dyDescent="0.2">
      <c r="F10376" s="494">
        <v>444</v>
      </c>
      <c r="G10376" s="495" t="s">
        <v>3798</v>
      </c>
      <c r="H10376" s="397"/>
      <c r="I10376" s="397"/>
      <c r="J10376" s="750"/>
      <c r="K10376" s="398"/>
      <c r="L10376" s="398"/>
      <c r="M10376" s="682"/>
    </row>
    <row r="10377" spans="6:13" ht="25.5" hidden="1" x14ac:dyDescent="0.2">
      <c r="F10377" s="494">
        <v>4511</v>
      </c>
      <c r="G10377" s="466" t="s">
        <v>1692</v>
      </c>
      <c r="H10377" s="397"/>
      <c r="I10377" s="397"/>
      <c r="J10377" s="750"/>
      <c r="K10377" s="398"/>
      <c r="L10377" s="398"/>
      <c r="M10377" s="682"/>
    </row>
    <row r="10378" spans="6:13" ht="19.5" hidden="1" customHeight="1" x14ac:dyDescent="0.2">
      <c r="F10378" s="494">
        <v>4512</v>
      </c>
      <c r="G10378" s="466" t="s">
        <v>1701</v>
      </c>
      <c r="H10378" s="397"/>
      <c r="I10378" s="397"/>
      <c r="J10378" s="750"/>
      <c r="K10378" s="398"/>
      <c r="L10378" s="398"/>
      <c r="M10378" s="682"/>
    </row>
    <row r="10379" spans="6:13" ht="25.5" hidden="1" x14ac:dyDescent="0.2">
      <c r="F10379" s="494">
        <v>452</v>
      </c>
      <c r="G10379" s="495" t="s">
        <v>4187</v>
      </c>
      <c r="H10379" s="397"/>
      <c r="I10379" s="397"/>
      <c r="J10379" s="750"/>
      <c r="K10379" s="398"/>
      <c r="L10379" s="398"/>
      <c r="M10379" s="682"/>
    </row>
    <row r="10380" spans="6:13" ht="25.5" hidden="1" x14ac:dyDescent="0.2">
      <c r="F10380" s="494">
        <v>453</v>
      </c>
      <c r="G10380" s="495" t="s">
        <v>4188</v>
      </c>
      <c r="H10380" s="397"/>
      <c r="I10380" s="397"/>
      <c r="J10380" s="750"/>
      <c r="K10380" s="398"/>
      <c r="L10380" s="398"/>
      <c r="M10380" s="682"/>
    </row>
    <row r="10381" spans="6:13" hidden="1" x14ac:dyDescent="0.2">
      <c r="F10381" s="494">
        <v>454</v>
      </c>
      <c r="G10381" s="495" t="s">
        <v>3803</v>
      </c>
      <c r="H10381" s="397"/>
      <c r="I10381" s="397"/>
      <c r="J10381" s="750"/>
      <c r="K10381" s="398"/>
      <c r="L10381" s="398"/>
      <c r="M10381" s="682"/>
    </row>
    <row r="10382" spans="6:13" hidden="1" x14ac:dyDescent="0.2">
      <c r="F10382" s="494">
        <v>461</v>
      </c>
      <c r="G10382" s="495" t="s">
        <v>4169</v>
      </c>
      <c r="H10382" s="397"/>
      <c r="I10382" s="397"/>
      <c r="J10382" s="750"/>
      <c r="K10382" s="398"/>
      <c r="L10382" s="398"/>
      <c r="M10382" s="682"/>
    </row>
    <row r="10383" spans="6:13" ht="25.5" hidden="1" x14ac:dyDescent="0.2">
      <c r="F10383" s="494">
        <v>462</v>
      </c>
      <c r="G10383" s="495" t="s">
        <v>3806</v>
      </c>
      <c r="H10383" s="397"/>
      <c r="I10383" s="397"/>
      <c r="J10383" s="750"/>
      <c r="K10383" s="398"/>
      <c r="L10383" s="398"/>
      <c r="M10383" s="682"/>
    </row>
    <row r="10384" spans="6:13" hidden="1" x14ac:dyDescent="0.2">
      <c r="F10384" s="494">
        <v>4631</v>
      </c>
      <c r="G10384" s="495" t="s">
        <v>3807</v>
      </c>
      <c r="H10384" s="397"/>
      <c r="I10384" s="397"/>
      <c r="J10384" s="750"/>
      <c r="K10384" s="398"/>
      <c r="L10384" s="398"/>
      <c r="M10384" s="682"/>
    </row>
    <row r="10385" spans="6:13" hidden="1" x14ac:dyDescent="0.2">
      <c r="F10385" s="494">
        <v>4632</v>
      </c>
      <c r="G10385" s="495" t="s">
        <v>3808</v>
      </c>
      <c r="H10385" s="397"/>
      <c r="I10385" s="397"/>
      <c r="J10385" s="750"/>
      <c r="K10385" s="398"/>
      <c r="L10385" s="398"/>
      <c r="M10385" s="682"/>
    </row>
    <row r="10386" spans="6:13" ht="25.5" hidden="1" x14ac:dyDescent="0.2">
      <c r="F10386" s="494">
        <v>464</v>
      </c>
      <c r="G10386" s="495" t="s">
        <v>3809</v>
      </c>
      <c r="H10386" s="397"/>
      <c r="I10386" s="397"/>
      <c r="J10386" s="750"/>
      <c r="K10386" s="398"/>
      <c r="L10386" s="398"/>
      <c r="M10386" s="682"/>
    </row>
    <row r="10387" spans="6:13" hidden="1" x14ac:dyDescent="0.2">
      <c r="F10387" s="494">
        <v>465</v>
      </c>
      <c r="G10387" s="495" t="s">
        <v>4170</v>
      </c>
      <c r="H10387" s="397"/>
      <c r="I10387" s="397"/>
      <c r="J10387" s="750"/>
      <c r="K10387" s="398"/>
      <c r="L10387" s="398"/>
      <c r="M10387" s="682"/>
    </row>
    <row r="10388" spans="6:13" hidden="1" x14ac:dyDescent="0.2">
      <c r="F10388" s="494">
        <v>472</v>
      </c>
      <c r="G10388" s="495" t="s">
        <v>3813</v>
      </c>
      <c r="H10388" s="397"/>
      <c r="I10388" s="397"/>
      <c r="J10388" s="750"/>
      <c r="K10388" s="398"/>
      <c r="L10388" s="398"/>
      <c r="M10388" s="682"/>
    </row>
    <row r="10389" spans="6:13" hidden="1" x14ac:dyDescent="0.2">
      <c r="F10389" s="494">
        <v>481</v>
      </c>
      <c r="G10389" s="495" t="s">
        <v>4189</v>
      </c>
      <c r="H10389" s="397"/>
      <c r="I10389" s="397"/>
      <c r="J10389" s="750"/>
      <c r="K10389" s="398"/>
      <c r="L10389" s="398"/>
      <c r="M10389" s="682"/>
    </row>
    <row r="10390" spans="6:13" hidden="1" x14ac:dyDescent="0.2">
      <c r="F10390" s="494">
        <v>482</v>
      </c>
      <c r="G10390" s="495" t="s">
        <v>4190</v>
      </c>
      <c r="H10390" s="397"/>
      <c r="I10390" s="397"/>
      <c r="J10390" s="750"/>
      <c r="K10390" s="398"/>
      <c r="L10390" s="398"/>
      <c r="M10390" s="682"/>
    </row>
    <row r="10391" spans="6:13" hidden="1" x14ac:dyDescent="0.2">
      <c r="F10391" s="494">
        <v>483</v>
      </c>
      <c r="G10391" s="497" t="s">
        <v>4191</v>
      </c>
      <c r="H10391" s="397"/>
      <c r="I10391" s="397"/>
      <c r="J10391" s="750"/>
      <c r="K10391" s="398"/>
      <c r="L10391" s="398"/>
      <c r="M10391" s="682"/>
    </row>
    <row r="10392" spans="6:13" ht="38.25" hidden="1" x14ac:dyDescent="0.2">
      <c r="F10392" s="494">
        <v>484</v>
      </c>
      <c r="G10392" s="495" t="s">
        <v>4192</v>
      </c>
      <c r="H10392" s="397"/>
      <c r="I10392" s="397"/>
      <c r="J10392" s="750"/>
      <c r="K10392" s="398"/>
      <c r="L10392" s="398"/>
      <c r="M10392" s="682"/>
    </row>
    <row r="10393" spans="6:13" ht="25.5" hidden="1" x14ac:dyDescent="0.2">
      <c r="F10393" s="494">
        <v>485</v>
      </c>
      <c r="G10393" s="495" t="s">
        <v>4193</v>
      </c>
      <c r="H10393" s="397"/>
      <c r="I10393" s="397"/>
      <c r="J10393" s="750"/>
      <c r="K10393" s="398"/>
      <c r="L10393" s="398"/>
      <c r="M10393" s="682"/>
    </row>
    <row r="10394" spans="6:13" ht="25.5" hidden="1" x14ac:dyDescent="0.2">
      <c r="F10394" s="494">
        <v>489</v>
      </c>
      <c r="G10394" s="495" t="s">
        <v>3821</v>
      </c>
      <c r="H10394" s="397"/>
      <c r="I10394" s="397"/>
      <c r="J10394" s="750"/>
      <c r="K10394" s="398"/>
      <c r="L10394" s="398"/>
      <c r="M10394" s="682"/>
    </row>
    <row r="10395" spans="6:13" ht="25.5" hidden="1" x14ac:dyDescent="0.2">
      <c r="F10395" s="494">
        <v>494</v>
      </c>
      <c r="G10395" s="495" t="s">
        <v>4171</v>
      </c>
      <c r="H10395" s="397"/>
      <c r="I10395" s="397"/>
      <c r="J10395" s="750"/>
      <c r="K10395" s="398"/>
      <c r="L10395" s="398"/>
      <c r="M10395" s="682"/>
    </row>
    <row r="10396" spans="6:13" ht="25.5" hidden="1" x14ac:dyDescent="0.2">
      <c r="F10396" s="494">
        <v>495</v>
      </c>
      <c r="G10396" s="495" t="s">
        <v>4172</v>
      </c>
      <c r="H10396" s="397"/>
      <c r="I10396" s="397"/>
      <c r="J10396" s="750"/>
      <c r="K10396" s="398"/>
      <c r="L10396" s="398"/>
      <c r="M10396" s="682"/>
    </row>
    <row r="10397" spans="6:13" ht="38.25" hidden="1" x14ac:dyDescent="0.2">
      <c r="F10397" s="494">
        <v>496</v>
      </c>
      <c r="G10397" s="495" t="s">
        <v>4173</v>
      </c>
      <c r="H10397" s="397"/>
      <c r="I10397" s="397"/>
      <c r="J10397" s="750"/>
      <c r="K10397" s="398"/>
      <c r="L10397" s="398"/>
      <c r="M10397" s="682"/>
    </row>
    <row r="10398" spans="6:13" ht="25.5" hidden="1" x14ac:dyDescent="0.2">
      <c r="F10398" s="494">
        <v>499</v>
      </c>
      <c r="G10398" s="495" t="s">
        <v>4174</v>
      </c>
      <c r="H10398" s="397"/>
      <c r="I10398" s="397"/>
      <c r="J10398" s="750"/>
      <c r="K10398" s="398"/>
      <c r="L10398" s="398"/>
      <c r="M10398" s="682"/>
    </row>
    <row r="10399" spans="6:13" hidden="1" x14ac:dyDescent="0.2">
      <c r="F10399" s="494">
        <v>511</v>
      </c>
      <c r="G10399" s="497" t="s">
        <v>4194</v>
      </c>
      <c r="H10399" s="397"/>
      <c r="I10399" s="397"/>
      <c r="J10399" s="750"/>
      <c r="K10399" s="398"/>
      <c r="L10399" s="398"/>
      <c r="M10399" s="682"/>
    </row>
    <row r="10400" spans="6:13" hidden="1" x14ac:dyDescent="0.2">
      <c r="F10400" s="494">
        <v>512</v>
      </c>
      <c r="G10400" s="497" t="s">
        <v>4195</v>
      </c>
      <c r="H10400" s="397"/>
      <c r="I10400" s="397"/>
      <c r="J10400" s="750"/>
      <c r="K10400" s="398"/>
      <c r="L10400" s="398"/>
      <c r="M10400" s="682"/>
    </row>
    <row r="10401" spans="5:13" hidden="1" x14ac:dyDescent="0.2">
      <c r="F10401" s="494">
        <v>513</v>
      </c>
      <c r="G10401" s="497" t="s">
        <v>4196</v>
      </c>
      <c r="H10401" s="397"/>
      <c r="I10401" s="397"/>
      <c r="J10401" s="750"/>
      <c r="K10401" s="398"/>
      <c r="L10401" s="398"/>
      <c r="M10401" s="682"/>
    </row>
    <row r="10402" spans="5:13" hidden="1" x14ac:dyDescent="0.2">
      <c r="F10402" s="494">
        <v>514</v>
      </c>
      <c r="G10402" s="495" t="s">
        <v>4197</v>
      </c>
      <c r="H10402" s="397"/>
      <c r="I10402" s="397"/>
      <c r="J10402" s="750"/>
      <c r="K10402" s="398"/>
      <c r="L10402" s="398"/>
      <c r="M10402" s="682"/>
    </row>
    <row r="10403" spans="5:13" hidden="1" x14ac:dyDescent="0.2">
      <c r="F10403" s="494">
        <v>515</v>
      </c>
      <c r="G10403" s="495" t="s">
        <v>3832</v>
      </c>
      <c r="H10403" s="397"/>
      <c r="I10403" s="397"/>
      <c r="J10403" s="750"/>
      <c r="K10403" s="398"/>
      <c r="L10403" s="398"/>
      <c r="M10403" s="682"/>
    </row>
    <row r="10404" spans="5:13" hidden="1" x14ac:dyDescent="0.2">
      <c r="F10404" s="494">
        <v>521</v>
      </c>
      <c r="G10404" s="495" t="s">
        <v>4198</v>
      </c>
      <c r="H10404" s="397"/>
      <c r="I10404" s="397"/>
      <c r="J10404" s="750"/>
      <c r="K10404" s="398"/>
      <c r="L10404" s="398"/>
      <c r="M10404" s="682"/>
    </row>
    <row r="10405" spans="5:13" hidden="1" x14ac:dyDescent="0.2">
      <c r="F10405" s="494">
        <v>522</v>
      </c>
      <c r="G10405" s="495" t="s">
        <v>4199</v>
      </c>
      <c r="H10405" s="397"/>
      <c r="I10405" s="397"/>
      <c r="J10405" s="750"/>
      <c r="K10405" s="398"/>
      <c r="L10405" s="398"/>
      <c r="M10405" s="682"/>
    </row>
    <row r="10406" spans="5:13" hidden="1" x14ac:dyDescent="0.2">
      <c r="F10406" s="494">
        <v>523</v>
      </c>
      <c r="G10406" s="495" t="s">
        <v>3837</v>
      </c>
      <c r="H10406" s="397"/>
      <c r="I10406" s="397"/>
      <c r="J10406" s="750"/>
      <c r="K10406" s="398"/>
      <c r="L10406" s="398"/>
      <c r="M10406" s="682"/>
    </row>
    <row r="10407" spans="5:13" hidden="1" x14ac:dyDescent="0.2">
      <c r="F10407" s="494">
        <v>531</v>
      </c>
      <c r="G10407" s="496" t="s">
        <v>4175</v>
      </c>
      <c r="H10407" s="397"/>
      <c r="I10407" s="397"/>
      <c r="J10407" s="750"/>
      <c r="K10407" s="398"/>
      <c r="L10407" s="398"/>
      <c r="M10407" s="682"/>
    </row>
    <row r="10408" spans="5:13" hidden="1" x14ac:dyDescent="0.2">
      <c r="F10408" s="494">
        <v>541</v>
      </c>
      <c r="G10408" s="495" t="s">
        <v>4200</v>
      </c>
      <c r="H10408" s="397"/>
      <c r="I10408" s="397"/>
      <c r="J10408" s="750"/>
      <c r="K10408" s="398"/>
      <c r="L10408" s="398"/>
      <c r="M10408" s="682"/>
    </row>
    <row r="10409" spans="5:13" hidden="1" x14ac:dyDescent="0.2">
      <c r="F10409" s="494">
        <v>542</v>
      </c>
      <c r="G10409" s="495" t="s">
        <v>4201</v>
      </c>
      <c r="H10409" s="397"/>
      <c r="I10409" s="397"/>
      <c r="J10409" s="750"/>
      <c r="K10409" s="398"/>
      <c r="L10409" s="398"/>
      <c r="M10409" s="682"/>
    </row>
    <row r="10410" spans="5:13" hidden="1" x14ac:dyDescent="0.2">
      <c r="F10410" s="494">
        <v>543</v>
      </c>
      <c r="G10410" s="495" t="s">
        <v>3842</v>
      </c>
      <c r="H10410" s="397"/>
      <c r="I10410" s="397"/>
      <c r="J10410" s="750"/>
      <c r="K10410" s="398"/>
      <c r="L10410" s="398"/>
      <c r="M10410" s="682"/>
    </row>
    <row r="10411" spans="5:13" ht="38.25" hidden="1" x14ac:dyDescent="0.2">
      <c r="F10411" s="494">
        <v>551</v>
      </c>
      <c r="G10411" s="495" t="s">
        <v>4176</v>
      </c>
      <c r="H10411" s="397"/>
      <c r="I10411" s="397"/>
      <c r="J10411" s="750"/>
      <c r="K10411" s="398"/>
      <c r="L10411" s="398"/>
      <c r="M10411" s="682"/>
    </row>
    <row r="10412" spans="5:13" hidden="1" x14ac:dyDescent="0.2">
      <c r="F10412" s="498">
        <v>611</v>
      </c>
      <c r="G10412" s="499" t="s">
        <v>3848</v>
      </c>
      <c r="H10412" s="397"/>
      <c r="I10412" s="397"/>
      <c r="J10412" s="750"/>
      <c r="K10412" s="398"/>
      <c r="L10412" s="398"/>
      <c r="M10412" s="682"/>
    </row>
    <row r="10413" spans="5:13" hidden="1" x14ac:dyDescent="0.2">
      <c r="F10413" s="498">
        <v>620</v>
      </c>
      <c r="G10413" s="499" t="s">
        <v>88</v>
      </c>
      <c r="H10413" s="397"/>
      <c r="I10413" s="397"/>
      <c r="J10413" s="750"/>
      <c r="K10413" s="398"/>
      <c r="L10413" s="398"/>
      <c r="M10413" s="682"/>
    </row>
    <row r="10414" spans="5:13" hidden="1" x14ac:dyDescent="0.2">
      <c r="E10414" s="500"/>
      <c r="F10414" s="498"/>
      <c r="G10414" s="501" t="s">
        <v>4363</v>
      </c>
      <c r="H10414" s="400"/>
      <c r="I10414" s="400"/>
      <c r="J10414" s="750"/>
      <c r="K10414" s="401"/>
      <c r="L10414" s="402"/>
      <c r="M10414" s="682"/>
    </row>
    <row r="10415" spans="5:13" hidden="1" x14ac:dyDescent="0.2">
      <c r="E10415" s="502"/>
      <c r="F10415" s="503" t="s">
        <v>234</v>
      </c>
      <c r="G10415" s="504" t="s">
        <v>235</v>
      </c>
      <c r="H10415" s="403">
        <f>SUM(H10354:H10413)</f>
        <v>0</v>
      </c>
      <c r="I10415" s="403"/>
      <c r="J10415" s="750"/>
      <c r="K10415" s="404"/>
      <c r="L10415" s="404"/>
      <c r="M10415" s="682"/>
    </row>
    <row r="10416" spans="5:13" hidden="1" x14ac:dyDescent="0.2">
      <c r="F10416" s="503" t="s">
        <v>236</v>
      </c>
      <c r="G10416" s="504" t="s">
        <v>237</v>
      </c>
      <c r="H10416" s="397"/>
      <c r="I10416" s="397"/>
      <c r="J10416" s="750"/>
      <c r="K10416" s="398"/>
      <c r="L10416" s="404"/>
      <c r="M10416" s="682"/>
    </row>
    <row r="10417" spans="5:13" hidden="1" x14ac:dyDescent="0.2">
      <c r="F10417" s="503" t="s">
        <v>238</v>
      </c>
      <c r="G10417" s="504" t="s">
        <v>239</v>
      </c>
      <c r="H10417" s="397"/>
      <c r="I10417" s="397"/>
      <c r="J10417" s="750"/>
      <c r="K10417" s="398"/>
      <c r="L10417" s="404"/>
      <c r="M10417" s="682"/>
    </row>
    <row r="10418" spans="5:13" hidden="1" x14ac:dyDescent="0.2">
      <c r="F10418" s="503" t="s">
        <v>240</v>
      </c>
      <c r="G10418" s="504" t="s">
        <v>241</v>
      </c>
      <c r="H10418" s="397"/>
      <c r="I10418" s="397"/>
      <c r="J10418" s="750"/>
      <c r="K10418" s="398"/>
      <c r="L10418" s="404"/>
      <c r="M10418" s="682"/>
    </row>
    <row r="10419" spans="5:13" hidden="1" x14ac:dyDescent="0.2">
      <c r="F10419" s="503" t="s">
        <v>242</v>
      </c>
      <c r="G10419" s="504" t="s">
        <v>243</v>
      </c>
      <c r="H10419" s="397"/>
      <c r="I10419" s="397"/>
      <c r="J10419" s="750"/>
      <c r="K10419" s="398"/>
      <c r="L10419" s="404"/>
      <c r="M10419" s="682"/>
    </row>
    <row r="10420" spans="5:13" hidden="1" x14ac:dyDescent="0.2">
      <c r="F10420" s="503" t="s">
        <v>244</v>
      </c>
      <c r="G10420" s="504" t="s">
        <v>245</v>
      </c>
      <c r="H10420" s="397"/>
      <c r="I10420" s="397"/>
      <c r="J10420" s="750"/>
      <c r="K10420" s="398"/>
      <c r="L10420" s="404"/>
      <c r="M10420" s="682"/>
    </row>
    <row r="10421" spans="5:13" hidden="1" x14ac:dyDescent="0.2">
      <c r="F10421" s="503" t="s">
        <v>246</v>
      </c>
      <c r="G10421" s="504" t="s">
        <v>247</v>
      </c>
      <c r="H10421" s="397"/>
      <c r="I10421" s="397"/>
      <c r="J10421" s="750"/>
      <c r="K10421" s="398"/>
      <c r="L10421" s="404"/>
      <c r="M10421" s="682"/>
    </row>
    <row r="10422" spans="5:13" ht="25.5" hidden="1" x14ac:dyDescent="0.2">
      <c r="F10422" s="503" t="s">
        <v>248</v>
      </c>
      <c r="G10422" s="504" t="s">
        <v>249</v>
      </c>
      <c r="H10422" s="397"/>
      <c r="I10422" s="397"/>
      <c r="J10422" s="750"/>
      <c r="K10422" s="398"/>
      <c r="L10422" s="404"/>
      <c r="M10422" s="682"/>
    </row>
    <row r="10423" spans="5:13" hidden="1" x14ac:dyDescent="0.2">
      <c r="F10423" s="503" t="s">
        <v>250</v>
      </c>
      <c r="G10423" s="504" t="s">
        <v>57</v>
      </c>
      <c r="H10423" s="397"/>
      <c r="I10423" s="397"/>
      <c r="J10423" s="750"/>
      <c r="K10423" s="398"/>
      <c r="L10423" s="404"/>
      <c r="M10423" s="682"/>
    </row>
    <row r="10424" spans="5:13" hidden="1" x14ac:dyDescent="0.2">
      <c r="F10424" s="503" t="s">
        <v>251</v>
      </c>
      <c r="G10424" s="504" t="s">
        <v>252</v>
      </c>
      <c r="H10424" s="397"/>
      <c r="I10424" s="397"/>
      <c r="J10424" s="750"/>
      <c r="K10424" s="398"/>
      <c r="L10424" s="404"/>
      <c r="M10424" s="682"/>
    </row>
    <row r="10425" spans="5:13" hidden="1" x14ac:dyDescent="0.2">
      <c r="F10425" s="503" t="s">
        <v>253</v>
      </c>
      <c r="G10425" s="504" t="s">
        <v>254</v>
      </c>
      <c r="H10425" s="397"/>
      <c r="I10425" s="397"/>
      <c r="J10425" s="750"/>
      <c r="K10425" s="398"/>
      <c r="L10425" s="404"/>
      <c r="M10425" s="682"/>
    </row>
    <row r="10426" spans="5:13" ht="25.5" hidden="1" x14ac:dyDescent="0.2">
      <c r="F10426" s="503" t="s">
        <v>255</v>
      </c>
      <c r="G10426" s="504" t="s">
        <v>256</v>
      </c>
      <c r="H10426" s="397"/>
      <c r="I10426" s="397"/>
      <c r="J10426" s="750"/>
      <c r="K10426" s="398"/>
      <c r="L10426" s="404"/>
      <c r="M10426" s="682"/>
    </row>
    <row r="10427" spans="5:13" ht="25.5" hidden="1" x14ac:dyDescent="0.2">
      <c r="F10427" s="503" t="s">
        <v>257</v>
      </c>
      <c r="G10427" s="504" t="s">
        <v>258</v>
      </c>
      <c r="H10427" s="397"/>
      <c r="I10427" s="397"/>
      <c r="J10427" s="750"/>
      <c r="K10427" s="398"/>
      <c r="L10427" s="404"/>
      <c r="M10427" s="682"/>
    </row>
    <row r="10428" spans="5:13" ht="25.5" hidden="1" x14ac:dyDescent="0.2">
      <c r="F10428" s="503" t="s">
        <v>259</v>
      </c>
      <c r="G10428" s="504" t="s">
        <v>260</v>
      </c>
      <c r="H10428" s="397"/>
      <c r="I10428" s="397"/>
      <c r="J10428" s="750"/>
      <c r="K10428" s="398"/>
      <c r="L10428" s="404"/>
      <c r="M10428" s="682"/>
    </row>
    <row r="10429" spans="5:13" ht="25.5" hidden="1" x14ac:dyDescent="0.2">
      <c r="F10429" s="503" t="s">
        <v>261</v>
      </c>
      <c r="G10429" s="504" t="s">
        <v>262</v>
      </c>
      <c r="H10429" s="397"/>
      <c r="I10429" s="397"/>
      <c r="J10429" s="750"/>
      <c r="K10429" s="398"/>
      <c r="L10429" s="404"/>
      <c r="M10429" s="682"/>
    </row>
    <row r="10430" spans="5:13" hidden="1" x14ac:dyDescent="0.2">
      <c r="F10430" s="503" t="s">
        <v>263</v>
      </c>
      <c r="G10430" s="504" t="s">
        <v>264</v>
      </c>
      <c r="H10430" s="403"/>
      <c r="I10430" s="403"/>
      <c r="J10430" s="750"/>
      <c r="K10430" s="404"/>
      <c r="L10430" s="404"/>
      <c r="M10430" s="682"/>
    </row>
    <row r="10431" spans="5:13" ht="13.5" hidden="1" thickBot="1" x14ac:dyDescent="0.25">
      <c r="G10431" s="505" t="s">
        <v>4362</v>
      </c>
      <c r="H10431" s="405">
        <f>SUM(H10415:H10430)</f>
        <v>0</v>
      </c>
      <c r="I10431" s="405"/>
      <c r="J10431" s="750"/>
      <c r="K10431" s="406">
        <f>SUM(K10416:K10430)</f>
        <v>0</v>
      </c>
      <c r="L10431" s="406"/>
      <c r="M10431" s="682"/>
    </row>
    <row r="10432" spans="5:13" ht="25.5" hidden="1" collapsed="1" x14ac:dyDescent="0.2">
      <c r="E10432" s="500"/>
      <c r="F10432" s="498"/>
      <c r="G10432" s="506" t="s">
        <v>4413</v>
      </c>
      <c r="H10432" s="407"/>
      <c r="I10432" s="408"/>
      <c r="J10432" s="750"/>
      <c r="K10432" s="409"/>
      <c r="L10432" s="410"/>
      <c r="M10432" s="682"/>
    </row>
    <row r="10433" spans="5:13" hidden="1" x14ac:dyDescent="0.2">
      <c r="E10433" s="502"/>
      <c r="F10433" s="503" t="s">
        <v>234</v>
      </c>
      <c r="G10433" s="504" t="s">
        <v>235</v>
      </c>
      <c r="H10433" s="403">
        <f>SUM(H10354:H10413)</f>
        <v>0</v>
      </c>
      <c r="I10433" s="403"/>
      <c r="J10433" s="750"/>
      <c r="K10433" s="404"/>
      <c r="L10433" s="404"/>
      <c r="M10433" s="682"/>
    </row>
    <row r="10434" spans="5:13" hidden="1" x14ac:dyDescent="0.2">
      <c r="F10434" s="503" t="s">
        <v>236</v>
      </c>
      <c r="G10434" s="504" t="s">
        <v>237</v>
      </c>
      <c r="H10434" s="397"/>
      <c r="I10434" s="397"/>
      <c r="J10434" s="750"/>
      <c r="K10434" s="398"/>
      <c r="L10434" s="404"/>
      <c r="M10434" s="682"/>
    </row>
    <row r="10435" spans="5:13" hidden="1" x14ac:dyDescent="0.2">
      <c r="F10435" s="503" t="s">
        <v>238</v>
      </c>
      <c r="G10435" s="504" t="s">
        <v>239</v>
      </c>
      <c r="H10435" s="397"/>
      <c r="I10435" s="397"/>
      <c r="J10435" s="750"/>
      <c r="K10435" s="398"/>
      <c r="L10435" s="404"/>
      <c r="M10435" s="682"/>
    </row>
    <row r="10436" spans="5:13" hidden="1" x14ac:dyDescent="0.2">
      <c r="F10436" s="503" t="s">
        <v>240</v>
      </c>
      <c r="G10436" s="504" t="s">
        <v>241</v>
      </c>
      <c r="H10436" s="397"/>
      <c r="I10436" s="397"/>
      <c r="J10436" s="750"/>
      <c r="K10436" s="398"/>
      <c r="L10436" s="404"/>
      <c r="M10436" s="682"/>
    </row>
    <row r="10437" spans="5:13" hidden="1" x14ac:dyDescent="0.2">
      <c r="F10437" s="503" t="s">
        <v>242</v>
      </c>
      <c r="G10437" s="504" t="s">
        <v>243</v>
      </c>
      <c r="H10437" s="397"/>
      <c r="I10437" s="397"/>
      <c r="J10437" s="750"/>
      <c r="K10437" s="398"/>
      <c r="L10437" s="404"/>
      <c r="M10437" s="682"/>
    </row>
    <row r="10438" spans="5:13" hidden="1" x14ac:dyDescent="0.2">
      <c r="F10438" s="503" t="s">
        <v>244</v>
      </c>
      <c r="G10438" s="504" t="s">
        <v>245</v>
      </c>
      <c r="H10438" s="397"/>
      <c r="I10438" s="397"/>
      <c r="J10438" s="750"/>
      <c r="K10438" s="398"/>
      <c r="L10438" s="404"/>
      <c r="M10438" s="682"/>
    </row>
    <row r="10439" spans="5:13" hidden="1" x14ac:dyDescent="0.2">
      <c r="F10439" s="503" t="s">
        <v>246</v>
      </c>
      <c r="G10439" s="504" t="s">
        <v>247</v>
      </c>
      <c r="H10439" s="397"/>
      <c r="I10439" s="397"/>
      <c r="J10439" s="750"/>
      <c r="K10439" s="398"/>
      <c r="L10439" s="404"/>
      <c r="M10439" s="682"/>
    </row>
    <row r="10440" spans="5:13" ht="25.5" hidden="1" x14ac:dyDescent="0.2">
      <c r="F10440" s="503" t="s">
        <v>248</v>
      </c>
      <c r="G10440" s="504" t="s">
        <v>249</v>
      </c>
      <c r="H10440" s="397"/>
      <c r="I10440" s="397"/>
      <c r="J10440" s="750"/>
      <c r="K10440" s="398"/>
      <c r="L10440" s="404"/>
      <c r="M10440" s="682"/>
    </row>
    <row r="10441" spans="5:13" hidden="1" x14ac:dyDescent="0.2">
      <c r="F10441" s="503" t="s">
        <v>250</v>
      </c>
      <c r="G10441" s="504" t="s">
        <v>57</v>
      </c>
      <c r="H10441" s="397"/>
      <c r="I10441" s="397"/>
      <c r="J10441" s="750"/>
      <c r="K10441" s="398"/>
      <c r="L10441" s="404"/>
      <c r="M10441" s="682"/>
    </row>
    <row r="10442" spans="5:13" hidden="1" x14ac:dyDescent="0.2">
      <c r="F10442" s="503" t="s">
        <v>251</v>
      </c>
      <c r="G10442" s="504" t="s">
        <v>252</v>
      </c>
      <c r="H10442" s="397"/>
      <c r="I10442" s="397"/>
      <c r="J10442" s="750"/>
      <c r="K10442" s="398"/>
      <c r="L10442" s="404"/>
      <c r="M10442" s="682"/>
    </row>
    <row r="10443" spans="5:13" hidden="1" x14ac:dyDescent="0.2">
      <c r="F10443" s="503" t="s">
        <v>253</v>
      </c>
      <c r="G10443" s="504" t="s">
        <v>254</v>
      </c>
      <c r="H10443" s="397"/>
      <c r="I10443" s="397"/>
      <c r="J10443" s="750"/>
      <c r="K10443" s="398"/>
      <c r="L10443" s="404"/>
      <c r="M10443" s="682"/>
    </row>
    <row r="10444" spans="5:13" ht="25.5" hidden="1" x14ac:dyDescent="0.2">
      <c r="F10444" s="503" t="s">
        <v>255</v>
      </c>
      <c r="G10444" s="504" t="s">
        <v>256</v>
      </c>
      <c r="H10444" s="397"/>
      <c r="I10444" s="397"/>
      <c r="J10444" s="750"/>
      <c r="K10444" s="398"/>
      <c r="L10444" s="404"/>
      <c r="M10444" s="682"/>
    </row>
    <row r="10445" spans="5:13" ht="25.5" hidden="1" x14ac:dyDescent="0.2">
      <c r="F10445" s="503" t="s">
        <v>257</v>
      </c>
      <c r="G10445" s="504" t="s">
        <v>258</v>
      </c>
      <c r="H10445" s="397"/>
      <c r="I10445" s="397"/>
      <c r="J10445" s="750"/>
      <c r="K10445" s="398"/>
      <c r="L10445" s="404"/>
      <c r="M10445" s="682"/>
    </row>
    <row r="10446" spans="5:13" ht="25.5" hidden="1" x14ac:dyDescent="0.2">
      <c r="F10446" s="503" t="s">
        <v>259</v>
      </c>
      <c r="G10446" s="504" t="s">
        <v>260</v>
      </c>
      <c r="H10446" s="397"/>
      <c r="I10446" s="397"/>
      <c r="J10446" s="750"/>
      <c r="K10446" s="398"/>
      <c r="L10446" s="404"/>
      <c r="M10446" s="682"/>
    </row>
    <row r="10447" spans="5:13" ht="25.5" hidden="1" x14ac:dyDescent="0.2">
      <c r="F10447" s="503" t="s">
        <v>261</v>
      </c>
      <c r="G10447" s="504" t="s">
        <v>262</v>
      </c>
      <c r="H10447" s="397"/>
      <c r="I10447" s="397"/>
      <c r="J10447" s="750"/>
      <c r="K10447" s="398"/>
      <c r="L10447" s="404"/>
      <c r="M10447" s="682"/>
    </row>
    <row r="10448" spans="5:13" hidden="1" x14ac:dyDescent="0.2">
      <c r="F10448" s="503" t="s">
        <v>263</v>
      </c>
      <c r="G10448" s="504" t="s">
        <v>264</v>
      </c>
      <c r="H10448" s="403"/>
      <c r="I10448" s="403"/>
      <c r="J10448" s="750"/>
      <c r="K10448" s="404"/>
      <c r="L10448" s="404"/>
      <c r="M10448" s="682"/>
    </row>
    <row r="10449" spans="1:27" ht="13.5" hidden="1" collapsed="1" thickBot="1" x14ac:dyDescent="0.25">
      <c r="G10449" s="505" t="s">
        <v>4414</v>
      </c>
      <c r="H10449" s="405">
        <f>SUM(H10433:H10448)</f>
        <v>0</v>
      </c>
      <c r="I10449" s="405"/>
      <c r="J10449" s="750"/>
      <c r="K10449" s="406">
        <f>SUM(K10434:K10448)</f>
        <v>0</v>
      </c>
      <c r="L10449" s="406"/>
      <c r="M10449" s="682"/>
    </row>
    <row r="10450" spans="1:27" hidden="1" x14ac:dyDescent="0.2">
      <c r="H10450" s="397"/>
      <c r="I10450" s="397"/>
      <c r="J10450" s="750"/>
      <c r="K10450" s="398"/>
      <c r="L10450" s="398"/>
      <c r="M10450" s="682"/>
    </row>
    <row r="10451" spans="1:27" s="530" customFormat="1" hidden="1" x14ac:dyDescent="0.2">
      <c r="A10451" s="526"/>
      <c r="B10451" s="527"/>
      <c r="C10451" s="531" t="s">
        <v>4415</v>
      </c>
      <c r="D10451" s="490"/>
      <c r="E10451" s="490"/>
      <c r="F10451" s="532"/>
      <c r="G10451" s="644" t="s">
        <v>4304</v>
      </c>
      <c r="H10451" s="422"/>
      <c r="I10451" s="422"/>
      <c r="J10451" s="750"/>
      <c r="K10451" s="423"/>
      <c r="L10451" s="424"/>
      <c r="M10451" s="682"/>
      <c r="N10451" s="171"/>
      <c r="O10451" s="171"/>
      <c r="P10451" s="171"/>
      <c r="Q10451" s="171"/>
      <c r="R10451" s="171"/>
      <c r="S10451" s="171"/>
      <c r="T10451" s="171"/>
      <c r="U10451" s="171"/>
      <c r="V10451" s="171"/>
      <c r="W10451" s="171"/>
      <c r="X10451" s="171"/>
      <c r="Y10451" s="171"/>
      <c r="Z10451" s="171"/>
      <c r="AA10451" s="171"/>
    </row>
    <row r="10452" spans="1:27" ht="25.5" hidden="1" x14ac:dyDescent="0.2">
      <c r="C10452" s="489"/>
      <c r="D10452" s="492">
        <v>660</v>
      </c>
      <c r="E10452" s="492"/>
      <c r="F10452" s="492"/>
      <c r="G10452" s="493" t="s">
        <v>186</v>
      </c>
      <c r="H10452" s="397"/>
      <c r="I10452" s="397"/>
      <c r="J10452" s="750"/>
      <c r="K10452" s="398"/>
      <c r="L10452" s="398"/>
      <c r="M10452" s="682"/>
    </row>
    <row r="10453" spans="1:27" hidden="1" x14ac:dyDescent="0.2">
      <c r="F10453" s="494">
        <v>411</v>
      </c>
      <c r="G10453" s="495" t="s">
        <v>4167</v>
      </c>
      <c r="H10453" s="397"/>
      <c r="I10453" s="397"/>
      <c r="J10453" s="750"/>
      <c r="K10453" s="398"/>
      <c r="L10453" s="398"/>
      <c r="M10453" s="682"/>
    </row>
    <row r="10454" spans="1:27" hidden="1" x14ac:dyDescent="0.2">
      <c r="F10454" s="494">
        <v>412</v>
      </c>
      <c r="G10454" s="496" t="s">
        <v>3764</v>
      </c>
      <c r="H10454" s="397"/>
      <c r="I10454" s="397"/>
      <c r="J10454" s="750"/>
      <c r="K10454" s="398"/>
      <c r="L10454" s="398"/>
      <c r="M10454" s="682"/>
    </row>
    <row r="10455" spans="1:27" hidden="1" x14ac:dyDescent="0.2">
      <c r="F10455" s="494">
        <v>413</v>
      </c>
      <c r="G10455" s="495" t="s">
        <v>4168</v>
      </c>
      <c r="H10455" s="397"/>
      <c r="I10455" s="397"/>
      <c r="J10455" s="750"/>
      <c r="K10455" s="398"/>
      <c r="L10455" s="398"/>
      <c r="M10455" s="682"/>
    </row>
    <row r="10456" spans="1:27" hidden="1" x14ac:dyDescent="0.2">
      <c r="F10456" s="494">
        <v>414</v>
      </c>
      <c r="G10456" s="495" t="s">
        <v>3767</v>
      </c>
      <c r="H10456" s="397"/>
      <c r="I10456" s="397"/>
      <c r="J10456" s="750"/>
      <c r="K10456" s="398"/>
      <c r="L10456" s="398"/>
      <c r="M10456" s="682"/>
    </row>
    <row r="10457" spans="1:27" hidden="1" x14ac:dyDescent="0.2">
      <c r="F10457" s="494">
        <v>415</v>
      </c>
      <c r="G10457" s="495" t="s">
        <v>4177</v>
      </c>
      <c r="H10457" s="397"/>
      <c r="I10457" s="397"/>
      <c r="J10457" s="750"/>
      <c r="K10457" s="398"/>
      <c r="L10457" s="398"/>
      <c r="M10457" s="682"/>
    </row>
    <row r="10458" spans="1:27" ht="25.5" hidden="1" x14ac:dyDescent="0.2">
      <c r="F10458" s="494">
        <v>416</v>
      </c>
      <c r="G10458" s="495" t="s">
        <v>4178</v>
      </c>
      <c r="H10458" s="397"/>
      <c r="I10458" s="397"/>
      <c r="J10458" s="750"/>
      <c r="K10458" s="398"/>
      <c r="L10458" s="398"/>
      <c r="M10458" s="682"/>
    </row>
    <row r="10459" spans="1:27" hidden="1" x14ac:dyDescent="0.2">
      <c r="F10459" s="494">
        <v>417</v>
      </c>
      <c r="G10459" s="495" t="s">
        <v>4179</v>
      </c>
      <c r="H10459" s="397"/>
      <c r="I10459" s="397"/>
      <c r="J10459" s="750"/>
      <c r="K10459" s="398"/>
      <c r="L10459" s="398"/>
      <c r="M10459" s="682"/>
    </row>
    <row r="10460" spans="1:27" hidden="1" x14ac:dyDescent="0.2">
      <c r="F10460" s="494">
        <v>418</v>
      </c>
      <c r="G10460" s="495" t="s">
        <v>3773</v>
      </c>
      <c r="H10460" s="397"/>
      <c r="I10460" s="397"/>
      <c r="J10460" s="750"/>
      <c r="K10460" s="398"/>
      <c r="L10460" s="398"/>
      <c r="M10460" s="682"/>
    </row>
    <row r="10461" spans="1:27" hidden="1" x14ac:dyDescent="0.2">
      <c r="F10461" s="494">
        <v>421</v>
      </c>
      <c r="G10461" s="495" t="s">
        <v>3777</v>
      </c>
      <c r="H10461" s="397"/>
      <c r="I10461" s="397"/>
      <c r="J10461" s="750"/>
      <c r="K10461" s="398"/>
      <c r="L10461" s="398"/>
      <c r="M10461" s="682"/>
    </row>
    <row r="10462" spans="1:27" hidden="1" x14ac:dyDescent="0.2">
      <c r="F10462" s="494">
        <v>422</v>
      </c>
      <c r="G10462" s="495" t="s">
        <v>3778</v>
      </c>
      <c r="H10462" s="397"/>
      <c r="I10462" s="397"/>
      <c r="J10462" s="750"/>
      <c r="K10462" s="398"/>
      <c r="L10462" s="398"/>
      <c r="M10462" s="682"/>
    </row>
    <row r="10463" spans="1:27" hidden="1" x14ac:dyDescent="0.2">
      <c r="F10463" s="494">
        <v>423</v>
      </c>
      <c r="G10463" s="495" t="s">
        <v>3779</v>
      </c>
      <c r="H10463" s="397"/>
      <c r="I10463" s="397"/>
      <c r="J10463" s="750"/>
      <c r="K10463" s="398"/>
      <c r="L10463" s="398"/>
      <c r="M10463" s="682"/>
    </row>
    <row r="10464" spans="1:27" hidden="1" x14ac:dyDescent="0.2">
      <c r="F10464" s="494">
        <v>424</v>
      </c>
      <c r="G10464" s="495" t="s">
        <v>3781</v>
      </c>
      <c r="H10464" s="397"/>
      <c r="I10464" s="397"/>
      <c r="J10464" s="750"/>
      <c r="K10464" s="398"/>
      <c r="L10464" s="398"/>
      <c r="M10464" s="682"/>
    </row>
    <row r="10465" spans="6:13" hidden="1" x14ac:dyDescent="0.2">
      <c r="F10465" s="494">
        <v>425</v>
      </c>
      <c r="G10465" s="495" t="s">
        <v>4180</v>
      </c>
      <c r="H10465" s="397"/>
      <c r="I10465" s="397"/>
      <c r="J10465" s="750"/>
      <c r="K10465" s="398"/>
      <c r="L10465" s="398"/>
      <c r="M10465" s="682"/>
    </row>
    <row r="10466" spans="6:13" hidden="1" x14ac:dyDescent="0.2">
      <c r="F10466" s="494">
        <v>426</v>
      </c>
      <c r="G10466" s="495" t="s">
        <v>3785</v>
      </c>
      <c r="H10466" s="397"/>
      <c r="I10466" s="397"/>
      <c r="J10466" s="750"/>
      <c r="K10466" s="398"/>
      <c r="L10466" s="398"/>
      <c r="M10466" s="682"/>
    </row>
    <row r="10467" spans="6:13" hidden="1" x14ac:dyDescent="0.2">
      <c r="F10467" s="494">
        <v>431</v>
      </c>
      <c r="G10467" s="495" t="s">
        <v>4181</v>
      </c>
      <c r="H10467" s="397"/>
      <c r="I10467" s="397"/>
      <c r="J10467" s="750"/>
      <c r="K10467" s="398"/>
      <c r="L10467" s="398"/>
      <c r="M10467" s="682"/>
    </row>
    <row r="10468" spans="6:13" hidden="1" x14ac:dyDescent="0.2">
      <c r="F10468" s="494">
        <v>432</v>
      </c>
      <c r="G10468" s="495" t="s">
        <v>4182</v>
      </c>
      <c r="H10468" s="397"/>
      <c r="I10468" s="397"/>
      <c r="J10468" s="750"/>
      <c r="K10468" s="398"/>
      <c r="L10468" s="398"/>
      <c r="M10468" s="682"/>
    </row>
    <row r="10469" spans="6:13" hidden="1" x14ac:dyDescent="0.2">
      <c r="F10469" s="494">
        <v>433</v>
      </c>
      <c r="G10469" s="495" t="s">
        <v>4183</v>
      </c>
      <c r="H10469" s="397"/>
      <c r="I10469" s="397"/>
      <c r="J10469" s="750"/>
      <c r="K10469" s="398"/>
      <c r="L10469" s="398"/>
      <c r="M10469" s="682"/>
    </row>
    <row r="10470" spans="6:13" hidden="1" x14ac:dyDescent="0.2">
      <c r="F10470" s="494">
        <v>434</v>
      </c>
      <c r="G10470" s="495" t="s">
        <v>4184</v>
      </c>
      <c r="H10470" s="397"/>
      <c r="I10470" s="397"/>
      <c r="J10470" s="750"/>
      <c r="K10470" s="398"/>
      <c r="L10470" s="398"/>
      <c r="M10470" s="682"/>
    </row>
    <row r="10471" spans="6:13" hidden="1" x14ac:dyDescent="0.2">
      <c r="F10471" s="494">
        <v>435</v>
      </c>
      <c r="G10471" s="495" t="s">
        <v>3792</v>
      </c>
      <c r="H10471" s="397"/>
      <c r="I10471" s="397"/>
      <c r="J10471" s="750"/>
      <c r="K10471" s="398"/>
      <c r="L10471" s="398"/>
      <c r="M10471" s="682"/>
    </row>
    <row r="10472" spans="6:13" hidden="1" x14ac:dyDescent="0.2">
      <c r="F10472" s="494">
        <v>441</v>
      </c>
      <c r="G10472" s="495" t="s">
        <v>4185</v>
      </c>
      <c r="H10472" s="397"/>
      <c r="I10472" s="397"/>
      <c r="J10472" s="750"/>
      <c r="K10472" s="398"/>
      <c r="L10472" s="398"/>
      <c r="M10472" s="682"/>
    </row>
    <row r="10473" spans="6:13" hidden="1" x14ac:dyDescent="0.2">
      <c r="F10473" s="494">
        <v>442</v>
      </c>
      <c r="G10473" s="495" t="s">
        <v>4186</v>
      </c>
      <c r="H10473" s="397"/>
      <c r="I10473" s="397"/>
      <c r="J10473" s="750"/>
      <c r="K10473" s="398"/>
      <c r="L10473" s="398"/>
      <c r="M10473" s="682"/>
    </row>
    <row r="10474" spans="6:13" hidden="1" x14ac:dyDescent="0.2">
      <c r="F10474" s="494">
        <v>443</v>
      </c>
      <c r="G10474" s="495" t="s">
        <v>3797</v>
      </c>
      <c r="H10474" s="397"/>
      <c r="I10474" s="397"/>
      <c r="J10474" s="750"/>
      <c r="K10474" s="398"/>
      <c r="L10474" s="398"/>
      <c r="M10474" s="682"/>
    </row>
    <row r="10475" spans="6:13" hidden="1" x14ac:dyDescent="0.2">
      <c r="F10475" s="494">
        <v>444</v>
      </c>
      <c r="G10475" s="495" t="s">
        <v>3798</v>
      </c>
      <c r="H10475" s="397"/>
      <c r="I10475" s="397"/>
      <c r="J10475" s="750"/>
      <c r="K10475" s="398"/>
      <c r="L10475" s="398"/>
      <c r="M10475" s="682"/>
    </row>
    <row r="10476" spans="6:13" ht="25.5" hidden="1" x14ac:dyDescent="0.2">
      <c r="F10476" s="494">
        <v>4511</v>
      </c>
      <c r="G10476" s="466" t="s">
        <v>1692</v>
      </c>
      <c r="H10476" s="397"/>
      <c r="I10476" s="397"/>
      <c r="J10476" s="750"/>
      <c r="K10476" s="398"/>
      <c r="L10476" s="398"/>
      <c r="M10476" s="682"/>
    </row>
    <row r="10477" spans="6:13" ht="19.5" hidden="1" customHeight="1" x14ac:dyDescent="0.2">
      <c r="F10477" s="494">
        <v>4512</v>
      </c>
      <c r="G10477" s="466" t="s">
        <v>1701</v>
      </c>
      <c r="H10477" s="397"/>
      <c r="I10477" s="397"/>
      <c r="J10477" s="750"/>
      <c r="K10477" s="398"/>
      <c r="L10477" s="398"/>
      <c r="M10477" s="682"/>
    </row>
    <row r="10478" spans="6:13" ht="25.5" hidden="1" x14ac:dyDescent="0.2">
      <c r="F10478" s="494">
        <v>452</v>
      </c>
      <c r="G10478" s="495" t="s">
        <v>4187</v>
      </c>
      <c r="H10478" s="397"/>
      <c r="I10478" s="397"/>
      <c r="J10478" s="750"/>
      <c r="K10478" s="398"/>
      <c r="L10478" s="398"/>
      <c r="M10478" s="682"/>
    </row>
    <row r="10479" spans="6:13" ht="25.5" hidden="1" x14ac:dyDescent="0.2">
      <c r="F10479" s="494">
        <v>453</v>
      </c>
      <c r="G10479" s="495" t="s">
        <v>4188</v>
      </c>
      <c r="H10479" s="397"/>
      <c r="I10479" s="397"/>
      <c r="J10479" s="750"/>
      <c r="K10479" s="398"/>
      <c r="L10479" s="398"/>
      <c r="M10479" s="682"/>
    </row>
    <row r="10480" spans="6:13" hidden="1" x14ac:dyDescent="0.2">
      <c r="F10480" s="494">
        <v>454</v>
      </c>
      <c r="G10480" s="495" t="s">
        <v>3803</v>
      </c>
      <c r="H10480" s="397"/>
      <c r="I10480" s="397"/>
      <c r="J10480" s="750"/>
      <c r="K10480" s="398"/>
      <c r="L10480" s="398"/>
      <c r="M10480" s="682"/>
    </row>
    <row r="10481" spans="6:13" hidden="1" x14ac:dyDescent="0.2">
      <c r="F10481" s="494">
        <v>461</v>
      </c>
      <c r="G10481" s="495" t="s">
        <v>4169</v>
      </c>
      <c r="H10481" s="397"/>
      <c r="I10481" s="397"/>
      <c r="J10481" s="750"/>
      <c r="K10481" s="398"/>
      <c r="L10481" s="398"/>
      <c r="M10481" s="682"/>
    </row>
    <row r="10482" spans="6:13" ht="25.5" hidden="1" x14ac:dyDescent="0.2">
      <c r="F10482" s="494">
        <v>462</v>
      </c>
      <c r="G10482" s="495" t="s">
        <v>3806</v>
      </c>
      <c r="H10482" s="397"/>
      <c r="I10482" s="397"/>
      <c r="J10482" s="750"/>
      <c r="K10482" s="398"/>
      <c r="L10482" s="398"/>
      <c r="M10482" s="682"/>
    </row>
    <row r="10483" spans="6:13" hidden="1" x14ac:dyDescent="0.2">
      <c r="F10483" s="494">
        <v>4631</v>
      </c>
      <c r="G10483" s="495" t="s">
        <v>3807</v>
      </c>
      <c r="H10483" s="397"/>
      <c r="I10483" s="397"/>
      <c r="J10483" s="750"/>
      <c r="K10483" s="398"/>
      <c r="L10483" s="398"/>
      <c r="M10483" s="682"/>
    </row>
    <row r="10484" spans="6:13" hidden="1" x14ac:dyDescent="0.2">
      <c r="F10484" s="494">
        <v>4632</v>
      </c>
      <c r="G10484" s="495" t="s">
        <v>3808</v>
      </c>
      <c r="H10484" s="397"/>
      <c r="I10484" s="397"/>
      <c r="J10484" s="750"/>
      <c r="K10484" s="398"/>
      <c r="L10484" s="398"/>
      <c r="M10484" s="682"/>
    </row>
    <row r="10485" spans="6:13" ht="25.5" hidden="1" x14ac:dyDescent="0.2">
      <c r="F10485" s="494">
        <v>464</v>
      </c>
      <c r="G10485" s="495" t="s">
        <v>3809</v>
      </c>
      <c r="H10485" s="397"/>
      <c r="I10485" s="397"/>
      <c r="J10485" s="750"/>
      <c r="K10485" s="398"/>
      <c r="L10485" s="398"/>
      <c r="M10485" s="682"/>
    </row>
    <row r="10486" spans="6:13" hidden="1" x14ac:dyDescent="0.2">
      <c r="F10486" s="494">
        <v>465</v>
      </c>
      <c r="G10486" s="495" t="s">
        <v>4170</v>
      </c>
      <c r="H10486" s="397"/>
      <c r="I10486" s="397"/>
      <c r="J10486" s="750"/>
      <c r="K10486" s="398"/>
      <c r="L10486" s="398"/>
      <c r="M10486" s="682"/>
    </row>
    <row r="10487" spans="6:13" hidden="1" x14ac:dyDescent="0.2">
      <c r="F10487" s="494">
        <v>472</v>
      </c>
      <c r="G10487" s="495" t="s">
        <v>3813</v>
      </c>
      <c r="H10487" s="397"/>
      <c r="I10487" s="397"/>
      <c r="J10487" s="750"/>
      <c r="K10487" s="398"/>
      <c r="L10487" s="398"/>
      <c r="M10487" s="682"/>
    </row>
    <row r="10488" spans="6:13" hidden="1" x14ac:dyDescent="0.2">
      <c r="F10488" s="494">
        <v>481</v>
      </c>
      <c r="G10488" s="495" t="s">
        <v>4189</v>
      </c>
      <c r="H10488" s="397"/>
      <c r="I10488" s="397"/>
      <c r="J10488" s="750"/>
      <c r="K10488" s="398"/>
      <c r="L10488" s="398"/>
      <c r="M10488" s="682"/>
    </row>
    <row r="10489" spans="6:13" hidden="1" x14ac:dyDescent="0.2">
      <c r="F10489" s="494">
        <v>482</v>
      </c>
      <c r="G10489" s="495" t="s">
        <v>4190</v>
      </c>
      <c r="H10489" s="397"/>
      <c r="I10489" s="397"/>
      <c r="J10489" s="750"/>
      <c r="K10489" s="398"/>
      <c r="L10489" s="398"/>
      <c r="M10489" s="682"/>
    </row>
    <row r="10490" spans="6:13" hidden="1" x14ac:dyDescent="0.2">
      <c r="F10490" s="494">
        <v>483</v>
      </c>
      <c r="G10490" s="497" t="s">
        <v>4191</v>
      </c>
      <c r="H10490" s="397"/>
      <c r="I10490" s="397"/>
      <c r="J10490" s="750"/>
      <c r="K10490" s="398"/>
      <c r="L10490" s="398"/>
      <c r="M10490" s="682"/>
    </row>
    <row r="10491" spans="6:13" ht="38.25" hidden="1" x14ac:dyDescent="0.2">
      <c r="F10491" s="494">
        <v>484</v>
      </c>
      <c r="G10491" s="495" t="s">
        <v>4192</v>
      </c>
      <c r="H10491" s="397"/>
      <c r="I10491" s="397"/>
      <c r="J10491" s="750"/>
      <c r="K10491" s="398"/>
      <c r="L10491" s="398"/>
      <c r="M10491" s="682"/>
    </row>
    <row r="10492" spans="6:13" ht="25.5" hidden="1" x14ac:dyDescent="0.2">
      <c r="F10492" s="494">
        <v>485</v>
      </c>
      <c r="G10492" s="495" t="s">
        <v>4193</v>
      </c>
      <c r="H10492" s="397"/>
      <c r="I10492" s="397"/>
      <c r="J10492" s="750"/>
      <c r="K10492" s="398"/>
      <c r="L10492" s="398"/>
      <c r="M10492" s="682"/>
    </row>
    <row r="10493" spans="6:13" ht="25.5" hidden="1" x14ac:dyDescent="0.2">
      <c r="F10493" s="494">
        <v>489</v>
      </c>
      <c r="G10493" s="495" t="s">
        <v>3821</v>
      </c>
      <c r="H10493" s="397"/>
      <c r="I10493" s="397"/>
      <c r="J10493" s="750"/>
      <c r="K10493" s="398"/>
      <c r="L10493" s="398"/>
      <c r="M10493" s="682"/>
    </row>
    <row r="10494" spans="6:13" ht="25.5" hidden="1" x14ac:dyDescent="0.2">
      <c r="F10494" s="494">
        <v>494</v>
      </c>
      <c r="G10494" s="495" t="s">
        <v>4171</v>
      </c>
      <c r="H10494" s="397"/>
      <c r="I10494" s="397"/>
      <c r="J10494" s="750"/>
      <c r="K10494" s="398"/>
      <c r="L10494" s="398"/>
      <c r="M10494" s="682"/>
    </row>
    <row r="10495" spans="6:13" ht="25.5" hidden="1" x14ac:dyDescent="0.2">
      <c r="F10495" s="494">
        <v>495</v>
      </c>
      <c r="G10495" s="495" t="s">
        <v>4172</v>
      </c>
      <c r="H10495" s="397"/>
      <c r="I10495" s="397"/>
      <c r="J10495" s="750"/>
      <c r="K10495" s="398"/>
      <c r="L10495" s="398"/>
      <c r="M10495" s="682"/>
    </row>
    <row r="10496" spans="6:13" ht="38.25" hidden="1" x14ac:dyDescent="0.2">
      <c r="F10496" s="494">
        <v>496</v>
      </c>
      <c r="G10496" s="495" t="s">
        <v>4173</v>
      </c>
      <c r="H10496" s="397"/>
      <c r="I10496" s="397"/>
      <c r="J10496" s="750"/>
      <c r="K10496" s="398"/>
      <c r="L10496" s="398"/>
      <c r="M10496" s="682"/>
    </row>
    <row r="10497" spans="6:13" ht="25.5" hidden="1" x14ac:dyDescent="0.2">
      <c r="F10497" s="494">
        <v>499</v>
      </c>
      <c r="G10497" s="495" t="s">
        <v>4174</v>
      </c>
      <c r="H10497" s="397"/>
      <c r="I10497" s="397"/>
      <c r="J10497" s="750"/>
      <c r="K10497" s="398"/>
      <c r="L10497" s="398"/>
      <c r="M10497" s="682"/>
    </row>
    <row r="10498" spans="6:13" hidden="1" x14ac:dyDescent="0.2">
      <c r="F10498" s="494">
        <v>511</v>
      </c>
      <c r="G10498" s="497" t="s">
        <v>4194</v>
      </c>
      <c r="H10498" s="397"/>
      <c r="I10498" s="397"/>
      <c r="J10498" s="750"/>
      <c r="K10498" s="398"/>
      <c r="L10498" s="398"/>
      <c r="M10498" s="682"/>
    </row>
    <row r="10499" spans="6:13" hidden="1" x14ac:dyDescent="0.2">
      <c r="F10499" s="494">
        <v>512</v>
      </c>
      <c r="G10499" s="497" t="s">
        <v>4195</v>
      </c>
      <c r="H10499" s="397"/>
      <c r="I10499" s="397"/>
      <c r="J10499" s="750"/>
      <c r="K10499" s="398"/>
      <c r="L10499" s="398"/>
      <c r="M10499" s="682"/>
    </row>
    <row r="10500" spans="6:13" hidden="1" x14ac:dyDescent="0.2">
      <c r="F10500" s="494">
        <v>513</v>
      </c>
      <c r="G10500" s="497" t="s">
        <v>4196</v>
      </c>
      <c r="H10500" s="397"/>
      <c r="I10500" s="397"/>
      <c r="J10500" s="750"/>
      <c r="K10500" s="398"/>
      <c r="L10500" s="398"/>
      <c r="M10500" s="682"/>
    </row>
    <row r="10501" spans="6:13" hidden="1" x14ac:dyDescent="0.2">
      <c r="F10501" s="494">
        <v>514</v>
      </c>
      <c r="G10501" s="495" t="s">
        <v>4197</v>
      </c>
      <c r="H10501" s="397"/>
      <c r="I10501" s="397"/>
      <c r="J10501" s="750"/>
      <c r="K10501" s="398"/>
      <c r="L10501" s="398"/>
      <c r="M10501" s="682"/>
    </row>
    <row r="10502" spans="6:13" hidden="1" x14ac:dyDescent="0.2">
      <c r="F10502" s="494">
        <v>515</v>
      </c>
      <c r="G10502" s="495" t="s">
        <v>3832</v>
      </c>
      <c r="H10502" s="397"/>
      <c r="I10502" s="397"/>
      <c r="J10502" s="750"/>
      <c r="K10502" s="398"/>
      <c r="L10502" s="398"/>
      <c r="M10502" s="682"/>
    </row>
    <row r="10503" spans="6:13" hidden="1" x14ac:dyDescent="0.2">
      <c r="F10503" s="494">
        <v>521</v>
      </c>
      <c r="G10503" s="495" t="s">
        <v>4198</v>
      </c>
      <c r="H10503" s="397"/>
      <c r="I10503" s="397"/>
      <c r="J10503" s="750"/>
      <c r="K10503" s="398"/>
      <c r="L10503" s="398"/>
      <c r="M10503" s="682"/>
    </row>
    <row r="10504" spans="6:13" hidden="1" x14ac:dyDescent="0.2">
      <c r="F10504" s="494">
        <v>522</v>
      </c>
      <c r="G10504" s="495" t="s">
        <v>4199</v>
      </c>
      <c r="H10504" s="397"/>
      <c r="I10504" s="397"/>
      <c r="J10504" s="750"/>
      <c r="K10504" s="398"/>
      <c r="L10504" s="398"/>
      <c r="M10504" s="682"/>
    </row>
    <row r="10505" spans="6:13" hidden="1" x14ac:dyDescent="0.2">
      <c r="F10505" s="494">
        <v>523</v>
      </c>
      <c r="G10505" s="495" t="s">
        <v>3837</v>
      </c>
      <c r="H10505" s="397"/>
      <c r="I10505" s="397"/>
      <c r="J10505" s="750"/>
      <c r="K10505" s="398"/>
      <c r="L10505" s="398"/>
      <c r="M10505" s="682"/>
    </row>
    <row r="10506" spans="6:13" hidden="1" x14ac:dyDescent="0.2">
      <c r="F10506" s="494">
        <v>531</v>
      </c>
      <c r="G10506" s="496" t="s">
        <v>4175</v>
      </c>
      <c r="H10506" s="397"/>
      <c r="I10506" s="397"/>
      <c r="J10506" s="750"/>
      <c r="K10506" s="398"/>
      <c r="L10506" s="398"/>
      <c r="M10506" s="682"/>
    </row>
    <row r="10507" spans="6:13" hidden="1" x14ac:dyDescent="0.2">
      <c r="F10507" s="494">
        <v>541</v>
      </c>
      <c r="G10507" s="495" t="s">
        <v>4200</v>
      </c>
      <c r="H10507" s="397"/>
      <c r="I10507" s="397"/>
      <c r="J10507" s="750"/>
      <c r="K10507" s="398"/>
      <c r="L10507" s="398"/>
      <c r="M10507" s="682"/>
    </row>
    <row r="10508" spans="6:13" hidden="1" x14ac:dyDescent="0.2">
      <c r="F10508" s="494">
        <v>542</v>
      </c>
      <c r="G10508" s="495" t="s">
        <v>4201</v>
      </c>
      <c r="H10508" s="397"/>
      <c r="I10508" s="397"/>
      <c r="J10508" s="750"/>
      <c r="K10508" s="398"/>
      <c r="L10508" s="398"/>
      <c r="M10508" s="682"/>
    </row>
    <row r="10509" spans="6:13" hidden="1" x14ac:dyDescent="0.2">
      <c r="F10509" s="494">
        <v>543</v>
      </c>
      <c r="G10509" s="495" t="s">
        <v>3842</v>
      </c>
      <c r="H10509" s="397"/>
      <c r="I10509" s="397"/>
      <c r="J10509" s="750"/>
      <c r="K10509" s="398"/>
      <c r="L10509" s="398"/>
      <c r="M10509" s="682"/>
    </row>
    <row r="10510" spans="6:13" ht="38.25" hidden="1" x14ac:dyDescent="0.2">
      <c r="F10510" s="494">
        <v>551</v>
      </c>
      <c r="G10510" s="495" t="s">
        <v>4176</v>
      </c>
      <c r="H10510" s="397"/>
      <c r="I10510" s="397"/>
      <c r="J10510" s="750"/>
      <c r="K10510" s="398"/>
      <c r="L10510" s="398"/>
      <c r="M10510" s="682"/>
    </row>
    <row r="10511" spans="6:13" hidden="1" x14ac:dyDescent="0.2">
      <c r="F10511" s="498">
        <v>611</v>
      </c>
      <c r="G10511" s="499" t="s">
        <v>3848</v>
      </c>
      <c r="H10511" s="397"/>
      <c r="I10511" s="397"/>
      <c r="J10511" s="750"/>
      <c r="K10511" s="398"/>
      <c r="L10511" s="398"/>
      <c r="M10511" s="682"/>
    </row>
    <row r="10512" spans="6:13" hidden="1" x14ac:dyDescent="0.2">
      <c r="F10512" s="498">
        <v>620</v>
      </c>
      <c r="G10512" s="499" t="s">
        <v>88</v>
      </c>
      <c r="H10512" s="397"/>
      <c r="I10512" s="397"/>
      <c r="J10512" s="750"/>
      <c r="K10512" s="398"/>
      <c r="L10512" s="398"/>
      <c r="M10512" s="682"/>
    </row>
    <row r="10513" spans="5:13" hidden="1" x14ac:dyDescent="0.2">
      <c r="E10513" s="500"/>
      <c r="F10513" s="498"/>
      <c r="G10513" s="501" t="s">
        <v>4402</v>
      </c>
      <c r="H10513" s="400"/>
      <c r="I10513" s="400"/>
      <c r="J10513" s="750"/>
      <c r="K10513" s="401"/>
      <c r="L10513" s="402"/>
      <c r="M10513" s="682"/>
    </row>
    <row r="10514" spans="5:13" hidden="1" x14ac:dyDescent="0.2">
      <c r="E10514" s="502"/>
      <c r="F10514" s="503" t="s">
        <v>234</v>
      </c>
      <c r="G10514" s="504" t="s">
        <v>235</v>
      </c>
      <c r="H10514" s="403">
        <f>SUM(H10453:H10512)</f>
        <v>0</v>
      </c>
      <c r="I10514" s="403"/>
      <c r="J10514" s="750"/>
      <c r="K10514" s="404"/>
      <c r="L10514" s="404"/>
      <c r="M10514" s="682"/>
    </row>
    <row r="10515" spans="5:13" hidden="1" x14ac:dyDescent="0.2">
      <c r="F10515" s="503" t="s">
        <v>236</v>
      </c>
      <c r="G10515" s="504" t="s">
        <v>237</v>
      </c>
      <c r="H10515" s="397"/>
      <c r="I10515" s="397"/>
      <c r="J10515" s="750"/>
      <c r="K10515" s="398"/>
      <c r="L10515" s="404"/>
      <c r="M10515" s="682"/>
    </row>
    <row r="10516" spans="5:13" hidden="1" x14ac:dyDescent="0.2">
      <c r="F10516" s="503" t="s">
        <v>238</v>
      </c>
      <c r="G10516" s="504" t="s">
        <v>239</v>
      </c>
      <c r="H10516" s="397"/>
      <c r="I10516" s="397"/>
      <c r="J10516" s="750"/>
      <c r="K10516" s="398"/>
      <c r="L10516" s="404"/>
      <c r="M10516" s="682"/>
    </row>
    <row r="10517" spans="5:13" hidden="1" x14ac:dyDescent="0.2">
      <c r="F10517" s="503" t="s">
        <v>240</v>
      </c>
      <c r="G10517" s="504" t="s">
        <v>241</v>
      </c>
      <c r="H10517" s="397"/>
      <c r="I10517" s="397"/>
      <c r="J10517" s="750"/>
      <c r="K10517" s="398"/>
      <c r="L10517" s="404"/>
      <c r="M10517" s="682"/>
    </row>
    <row r="10518" spans="5:13" hidden="1" x14ac:dyDescent="0.2">
      <c r="F10518" s="503" t="s">
        <v>242</v>
      </c>
      <c r="G10518" s="504" t="s">
        <v>243</v>
      </c>
      <c r="H10518" s="397"/>
      <c r="I10518" s="397"/>
      <c r="J10518" s="750"/>
      <c r="K10518" s="398"/>
      <c r="L10518" s="404"/>
      <c r="M10518" s="682"/>
    </row>
    <row r="10519" spans="5:13" hidden="1" x14ac:dyDescent="0.2">
      <c r="F10519" s="503" t="s">
        <v>244</v>
      </c>
      <c r="G10519" s="504" t="s">
        <v>245</v>
      </c>
      <c r="H10519" s="397"/>
      <c r="I10519" s="397"/>
      <c r="J10519" s="750"/>
      <c r="K10519" s="398"/>
      <c r="L10519" s="404"/>
      <c r="M10519" s="682"/>
    </row>
    <row r="10520" spans="5:13" hidden="1" x14ac:dyDescent="0.2">
      <c r="F10520" s="503" t="s">
        <v>246</v>
      </c>
      <c r="G10520" s="504" t="s">
        <v>247</v>
      </c>
      <c r="H10520" s="397"/>
      <c r="I10520" s="397"/>
      <c r="J10520" s="750"/>
      <c r="K10520" s="398"/>
      <c r="L10520" s="404"/>
      <c r="M10520" s="682"/>
    </row>
    <row r="10521" spans="5:13" ht="25.5" hidden="1" x14ac:dyDescent="0.2">
      <c r="F10521" s="503" t="s">
        <v>248</v>
      </c>
      <c r="G10521" s="504" t="s">
        <v>249</v>
      </c>
      <c r="H10521" s="397"/>
      <c r="I10521" s="397"/>
      <c r="J10521" s="750"/>
      <c r="K10521" s="398"/>
      <c r="L10521" s="404"/>
      <c r="M10521" s="682"/>
    </row>
    <row r="10522" spans="5:13" hidden="1" x14ac:dyDescent="0.2">
      <c r="F10522" s="503" t="s">
        <v>250</v>
      </c>
      <c r="G10522" s="504" t="s">
        <v>57</v>
      </c>
      <c r="H10522" s="397"/>
      <c r="I10522" s="397"/>
      <c r="J10522" s="750"/>
      <c r="K10522" s="398"/>
      <c r="L10522" s="404"/>
      <c r="M10522" s="682"/>
    </row>
    <row r="10523" spans="5:13" hidden="1" x14ac:dyDescent="0.2">
      <c r="F10523" s="503" t="s">
        <v>251</v>
      </c>
      <c r="G10523" s="504" t="s">
        <v>252</v>
      </c>
      <c r="H10523" s="397"/>
      <c r="I10523" s="397"/>
      <c r="J10523" s="750"/>
      <c r="K10523" s="398"/>
      <c r="L10523" s="404"/>
      <c r="M10523" s="682"/>
    </row>
    <row r="10524" spans="5:13" hidden="1" x14ac:dyDescent="0.2">
      <c r="F10524" s="503" t="s">
        <v>253</v>
      </c>
      <c r="G10524" s="504" t="s">
        <v>254</v>
      </c>
      <c r="H10524" s="397"/>
      <c r="I10524" s="397"/>
      <c r="J10524" s="750"/>
      <c r="K10524" s="398"/>
      <c r="L10524" s="404"/>
      <c r="M10524" s="682"/>
    </row>
    <row r="10525" spans="5:13" ht="25.5" hidden="1" x14ac:dyDescent="0.2">
      <c r="F10525" s="503" t="s">
        <v>255</v>
      </c>
      <c r="G10525" s="504" t="s">
        <v>256</v>
      </c>
      <c r="H10525" s="397"/>
      <c r="I10525" s="397"/>
      <c r="J10525" s="750"/>
      <c r="K10525" s="398"/>
      <c r="L10525" s="404"/>
      <c r="M10525" s="682"/>
    </row>
    <row r="10526" spans="5:13" ht="25.5" hidden="1" x14ac:dyDescent="0.2">
      <c r="F10526" s="503" t="s">
        <v>257</v>
      </c>
      <c r="G10526" s="504" t="s">
        <v>258</v>
      </c>
      <c r="H10526" s="397"/>
      <c r="I10526" s="397"/>
      <c r="J10526" s="750"/>
      <c r="K10526" s="398"/>
      <c r="L10526" s="404"/>
      <c r="M10526" s="682"/>
    </row>
    <row r="10527" spans="5:13" ht="25.5" hidden="1" x14ac:dyDescent="0.2">
      <c r="F10527" s="503" t="s">
        <v>259</v>
      </c>
      <c r="G10527" s="504" t="s">
        <v>260</v>
      </c>
      <c r="H10527" s="397"/>
      <c r="I10527" s="397"/>
      <c r="J10527" s="750"/>
      <c r="K10527" s="398"/>
      <c r="L10527" s="404"/>
      <c r="M10527" s="682"/>
    </row>
    <row r="10528" spans="5:13" ht="25.5" hidden="1" x14ac:dyDescent="0.2">
      <c r="F10528" s="503" t="s">
        <v>261</v>
      </c>
      <c r="G10528" s="504" t="s">
        <v>262</v>
      </c>
      <c r="H10528" s="397"/>
      <c r="I10528" s="397"/>
      <c r="J10528" s="750"/>
      <c r="K10528" s="398"/>
      <c r="L10528" s="404"/>
      <c r="M10528" s="682"/>
    </row>
    <row r="10529" spans="5:13" hidden="1" x14ac:dyDescent="0.2">
      <c r="F10529" s="503" t="s">
        <v>263</v>
      </c>
      <c r="G10529" s="504" t="s">
        <v>264</v>
      </c>
      <c r="H10529" s="403"/>
      <c r="I10529" s="403"/>
      <c r="J10529" s="750"/>
      <c r="K10529" s="404"/>
      <c r="L10529" s="404"/>
      <c r="M10529" s="682"/>
    </row>
    <row r="10530" spans="5:13" ht="13.5" hidden="1" thickBot="1" x14ac:dyDescent="0.25">
      <c r="G10530" s="505" t="s">
        <v>4403</v>
      </c>
      <c r="H10530" s="405">
        <f>SUM(H10514:H10529)</f>
        <v>0</v>
      </c>
      <c r="I10530" s="405"/>
      <c r="J10530" s="750"/>
      <c r="K10530" s="406">
        <f>SUM(K10515:K10529)</f>
        <v>0</v>
      </c>
      <c r="L10530" s="406"/>
      <c r="M10530" s="682"/>
    </row>
    <row r="10531" spans="5:13" ht="25.5" hidden="1" collapsed="1" x14ac:dyDescent="0.2">
      <c r="E10531" s="500"/>
      <c r="F10531" s="498"/>
      <c r="G10531" s="506" t="s">
        <v>4419</v>
      </c>
      <c r="H10531" s="407"/>
      <c r="I10531" s="408"/>
      <c r="J10531" s="750"/>
      <c r="K10531" s="409"/>
      <c r="L10531" s="410"/>
      <c r="M10531" s="682"/>
    </row>
    <row r="10532" spans="5:13" hidden="1" x14ac:dyDescent="0.2">
      <c r="E10532" s="502"/>
      <c r="F10532" s="503" t="s">
        <v>234</v>
      </c>
      <c r="G10532" s="504" t="s">
        <v>235</v>
      </c>
      <c r="H10532" s="403">
        <f>SUM(H10453:H10512)</f>
        <v>0</v>
      </c>
      <c r="I10532" s="403"/>
      <c r="J10532" s="750"/>
      <c r="K10532" s="404"/>
      <c r="L10532" s="404"/>
      <c r="M10532" s="682"/>
    </row>
    <row r="10533" spans="5:13" hidden="1" x14ac:dyDescent="0.2">
      <c r="F10533" s="503" t="s">
        <v>236</v>
      </c>
      <c r="G10533" s="504" t="s">
        <v>237</v>
      </c>
      <c r="H10533" s="397"/>
      <c r="I10533" s="397"/>
      <c r="J10533" s="750"/>
      <c r="K10533" s="398"/>
      <c r="L10533" s="404"/>
      <c r="M10533" s="682"/>
    </row>
    <row r="10534" spans="5:13" hidden="1" x14ac:dyDescent="0.2">
      <c r="F10534" s="503" t="s">
        <v>238</v>
      </c>
      <c r="G10534" s="504" t="s">
        <v>239</v>
      </c>
      <c r="H10534" s="397"/>
      <c r="I10534" s="397"/>
      <c r="J10534" s="750"/>
      <c r="K10534" s="398"/>
      <c r="L10534" s="404"/>
      <c r="M10534" s="682"/>
    </row>
    <row r="10535" spans="5:13" hidden="1" x14ac:dyDescent="0.2">
      <c r="F10535" s="503" t="s">
        <v>240</v>
      </c>
      <c r="G10535" s="504" t="s">
        <v>241</v>
      </c>
      <c r="H10535" s="397"/>
      <c r="I10535" s="397"/>
      <c r="J10535" s="750"/>
      <c r="K10535" s="398"/>
      <c r="L10535" s="404"/>
      <c r="M10535" s="682"/>
    </row>
    <row r="10536" spans="5:13" hidden="1" x14ac:dyDescent="0.2">
      <c r="F10536" s="503" t="s">
        <v>242</v>
      </c>
      <c r="G10536" s="504" t="s">
        <v>243</v>
      </c>
      <c r="H10536" s="397"/>
      <c r="I10536" s="397"/>
      <c r="J10536" s="750"/>
      <c r="K10536" s="398"/>
      <c r="L10536" s="404"/>
      <c r="M10536" s="682"/>
    </row>
    <row r="10537" spans="5:13" hidden="1" x14ac:dyDescent="0.2">
      <c r="F10537" s="503" t="s">
        <v>244</v>
      </c>
      <c r="G10537" s="504" t="s">
        <v>245</v>
      </c>
      <c r="H10537" s="397"/>
      <c r="I10537" s="397"/>
      <c r="J10537" s="750"/>
      <c r="K10537" s="398"/>
      <c r="L10537" s="404"/>
      <c r="M10537" s="682"/>
    </row>
    <row r="10538" spans="5:13" hidden="1" x14ac:dyDescent="0.2">
      <c r="F10538" s="503" t="s">
        <v>246</v>
      </c>
      <c r="G10538" s="504" t="s">
        <v>247</v>
      </c>
      <c r="H10538" s="397"/>
      <c r="I10538" s="397"/>
      <c r="J10538" s="750"/>
      <c r="K10538" s="398"/>
      <c r="L10538" s="404"/>
      <c r="M10538" s="682"/>
    </row>
    <row r="10539" spans="5:13" ht="25.5" hidden="1" x14ac:dyDescent="0.2">
      <c r="F10539" s="503" t="s">
        <v>248</v>
      </c>
      <c r="G10539" s="504" t="s">
        <v>249</v>
      </c>
      <c r="H10539" s="397"/>
      <c r="I10539" s="397"/>
      <c r="J10539" s="750"/>
      <c r="K10539" s="398"/>
      <c r="L10539" s="404"/>
      <c r="M10539" s="682"/>
    </row>
    <row r="10540" spans="5:13" hidden="1" x14ac:dyDescent="0.2">
      <c r="F10540" s="503" t="s">
        <v>250</v>
      </c>
      <c r="G10540" s="504" t="s">
        <v>57</v>
      </c>
      <c r="H10540" s="397"/>
      <c r="I10540" s="397"/>
      <c r="J10540" s="750"/>
      <c r="K10540" s="398"/>
      <c r="L10540" s="404"/>
      <c r="M10540" s="682"/>
    </row>
    <row r="10541" spans="5:13" hidden="1" x14ac:dyDescent="0.2">
      <c r="F10541" s="503" t="s">
        <v>251</v>
      </c>
      <c r="G10541" s="504" t="s">
        <v>252</v>
      </c>
      <c r="H10541" s="397"/>
      <c r="I10541" s="397"/>
      <c r="J10541" s="750"/>
      <c r="K10541" s="398"/>
      <c r="L10541" s="404"/>
      <c r="M10541" s="682"/>
    </row>
    <row r="10542" spans="5:13" hidden="1" x14ac:dyDescent="0.2">
      <c r="F10542" s="503" t="s">
        <v>253</v>
      </c>
      <c r="G10542" s="504" t="s">
        <v>254</v>
      </c>
      <c r="H10542" s="397"/>
      <c r="I10542" s="397"/>
      <c r="J10542" s="750"/>
      <c r="K10542" s="398"/>
      <c r="L10542" s="404"/>
      <c r="M10542" s="682"/>
    </row>
    <row r="10543" spans="5:13" ht="25.5" hidden="1" x14ac:dyDescent="0.2">
      <c r="F10543" s="503" t="s">
        <v>255</v>
      </c>
      <c r="G10543" s="504" t="s">
        <v>256</v>
      </c>
      <c r="H10543" s="397"/>
      <c r="I10543" s="397"/>
      <c r="J10543" s="750"/>
      <c r="K10543" s="398"/>
      <c r="L10543" s="404"/>
      <c r="M10543" s="682"/>
    </row>
    <row r="10544" spans="5:13" ht="25.5" hidden="1" x14ac:dyDescent="0.2">
      <c r="F10544" s="503" t="s">
        <v>257</v>
      </c>
      <c r="G10544" s="504" t="s">
        <v>258</v>
      </c>
      <c r="H10544" s="397"/>
      <c r="I10544" s="397"/>
      <c r="J10544" s="750"/>
      <c r="K10544" s="398"/>
      <c r="L10544" s="404"/>
      <c r="M10544" s="682"/>
    </row>
    <row r="10545" spans="1:27" ht="25.5" hidden="1" x14ac:dyDescent="0.2">
      <c r="F10545" s="503" t="s">
        <v>259</v>
      </c>
      <c r="G10545" s="504" t="s">
        <v>260</v>
      </c>
      <c r="H10545" s="397"/>
      <c r="I10545" s="397"/>
      <c r="J10545" s="750"/>
      <c r="K10545" s="398"/>
      <c r="L10545" s="404"/>
      <c r="M10545" s="682"/>
    </row>
    <row r="10546" spans="1:27" ht="25.5" hidden="1" x14ac:dyDescent="0.2">
      <c r="F10546" s="503" t="s">
        <v>261</v>
      </c>
      <c r="G10546" s="504" t="s">
        <v>262</v>
      </c>
      <c r="H10546" s="397"/>
      <c r="I10546" s="397"/>
      <c r="J10546" s="750"/>
      <c r="K10546" s="398"/>
      <c r="L10546" s="404"/>
      <c r="M10546" s="682"/>
    </row>
    <row r="10547" spans="1:27" hidden="1" x14ac:dyDescent="0.2">
      <c r="F10547" s="503" t="s">
        <v>263</v>
      </c>
      <c r="G10547" s="504" t="s">
        <v>264</v>
      </c>
      <c r="H10547" s="403"/>
      <c r="I10547" s="403"/>
      <c r="J10547" s="750"/>
      <c r="K10547" s="404"/>
      <c r="L10547" s="404"/>
      <c r="M10547" s="682"/>
    </row>
    <row r="10548" spans="1:27" ht="13.5" hidden="1" collapsed="1" thickBot="1" x14ac:dyDescent="0.25">
      <c r="G10548" s="505" t="s">
        <v>4420</v>
      </c>
      <c r="H10548" s="405">
        <f>SUM(H10532:H10547)</f>
        <v>0</v>
      </c>
      <c r="I10548" s="405"/>
      <c r="J10548" s="750"/>
      <c r="K10548" s="406">
        <f>SUM(K10533:K10547)</f>
        <v>0</v>
      </c>
      <c r="L10548" s="406"/>
      <c r="M10548" s="682"/>
    </row>
    <row r="10549" spans="1:27" hidden="1" x14ac:dyDescent="0.2">
      <c r="H10549" s="397"/>
      <c r="I10549" s="397"/>
      <c r="J10549" s="750"/>
      <c r="K10549" s="398"/>
      <c r="L10549" s="398"/>
      <c r="M10549" s="682"/>
    </row>
    <row r="10550" spans="1:27" s="530" customFormat="1" hidden="1" x14ac:dyDescent="0.2">
      <c r="A10550" s="526"/>
      <c r="B10550" s="527"/>
      <c r="C10550" s="531" t="s">
        <v>4416</v>
      </c>
      <c r="D10550" s="490"/>
      <c r="E10550" s="490"/>
      <c r="F10550" s="532"/>
      <c r="G10550" s="559" t="s">
        <v>4070</v>
      </c>
      <c r="H10550" s="422"/>
      <c r="I10550" s="422"/>
      <c r="J10550" s="750"/>
      <c r="K10550" s="423"/>
      <c r="L10550" s="424"/>
      <c r="M10550" s="682"/>
      <c r="N10550" s="171"/>
      <c r="O10550" s="171"/>
      <c r="P10550" s="171"/>
      <c r="Q10550" s="171"/>
      <c r="R10550" s="171"/>
      <c r="S10550" s="171"/>
      <c r="T10550" s="171"/>
      <c r="U10550" s="171"/>
      <c r="V10550" s="171"/>
      <c r="W10550" s="171"/>
      <c r="X10550" s="171"/>
      <c r="Y10550" s="171"/>
      <c r="Z10550" s="171"/>
      <c r="AA10550" s="171"/>
    </row>
    <row r="10551" spans="1:27" ht="25.5" hidden="1" x14ac:dyDescent="0.2">
      <c r="C10551" s="489"/>
      <c r="D10551" s="492">
        <v>660</v>
      </c>
      <c r="E10551" s="492"/>
      <c r="F10551" s="492"/>
      <c r="G10551" s="493" t="s">
        <v>186</v>
      </c>
      <c r="H10551" s="397"/>
      <c r="I10551" s="397"/>
      <c r="J10551" s="750"/>
      <c r="K10551" s="398"/>
      <c r="L10551" s="398"/>
      <c r="M10551" s="682"/>
    </row>
    <row r="10552" spans="1:27" hidden="1" x14ac:dyDescent="0.2">
      <c r="F10552" s="494">
        <v>411</v>
      </c>
      <c r="G10552" s="495" t="s">
        <v>4167</v>
      </c>
      <c r="H10552" s="397"/>
      <c r="I10552" s="397"/>
      <c r="J10552" s="750"/>
      <c r="K10552" s="398"/>
      <c r="L10552" s="398"/>
      <c r="M10552" s="682"/>
    </row>
    <row r="10553" spans="1:27" hidden="1" x14ac:dyDescent="0.2">
      <c r="F10553" s="494">
        <v>412</v>
      </c>
      <c r="G10553" s="496" t="s">
        <v>3764</v>
      </c>
      <c r="H10553" s="397"/>
      <c r="I10553" s="397"/>
      <c r="J10553" s="750"/>
      <c r="K10553" s="398"/>
      <c r="L10553" s="398"/>
      <c r="M10553" s="682"/>
    </row>
    <row r="10554" spans="1:27" hidden="1" x14ac:dyDescent="0.2">
      <c r="F10554" s="494">
        <v>413</v>
      </c>
      <c r="G10554" s="495" t="s">
        <v>4168</v>
      </c>
      <c r="H10554" s="397"/>
      <c r="I10554" s="397"/>
      <c r="J10554" s="750"/>
      <c r="K10554" s="398"/>
      <c r="L10554" s="398"/>
      <c r="M10554" s="682"/>
    </row>
    <row r="10555" spans="1:27" hidden="1" x14ac:dyDescent="0.2">
      <c r="F10555" s="494">
        <v>414</v>
      </c>
      <c r="G10555" s="495" t="s">
        <v>3767</v>
      </c>
      <c r="H10555" s="397"/>
      <c r="I10555" s="397"/>
      <c r="J10555" s="750"/>
      <c r="K10555" s="398"/>
      <c r="L10555" s="398"/>
      <c r="M10555" s="682"/>
    </row>
    <row r="10556" spans="1:27" hidden="1" x14ac:dyDescent="0.2">
      <c r="F10556" s="494">
        <v>415</v>
      </c>
      <c r="G10556" s="495" t="s">
        <v>4177</v>
      </c>
      <c r="H10556" s="397"/>
      <c r="I10556" s="397"/>
      <c r="J10556" s="750"/>
      <c r="K10556" s="398"/>
      <c r="L10556" s="398"/>
      <c r="M10556" s="682"/>
    </row>
    <row r="10557" spans="1:27" ht="25.5" hidden="1" x14ac:dyDescent="0.2">
      <c r="F10557" s="494">
        <v>416</v>
      </c>
      <c r="G10557" s="495" t="s">
        <v>4178</v>
      </c>
      <c r="H10557" s="397"/>
      <c r="I10557" s="397"/>
      <c r="J10557" s="750"/>
      <c r="K10557" s="398"/>
      <c r="L10557" s="398"/>
      <c r="M10557" s="682"/>
    </row>
    <row r="10558" spans="1:27" hidden="1" x14ac:dyDescent="0.2">
      <c r="F10558" s="494">
        <v>417</v>
      </c>
      <c r="G10558" s="495" t="s">
        <v>4179</v>
      </c>
      <c r="H10558" s="397"/>
      <c r="I10558" s="397"/>
      <c r="J10558" s="750"/>
      <c r="K10558" s="398"/>
      <c r="L10558" s="398"/>
      <c r="M10558" s="682"/>
    </row>
    <row r="10559" spans="1:27" hidden="1" x14ac:dyDescent="0.2">
      <c r="F10559" s="494">
        <v>418</v>
      </c>
      <c r="G10559" s="495" t="s">
        <v>3773</v>
      </c>
      <c r="H10559" s="397"/>
      <c r="I10559" s="397"/>
      <c r="J10559" s="750"/>
      <c r="K10559" s="398"/>
      <c r="L10559" s="398"/>
      <c r="M10559" s="682"/>
    </row>
    <row r="10560" spans="1:27" hidden="1" x14ac:dyDescent="0.2">
      <c r="F10560" s="494">
        <v>421</v>
      </c>
      <c r="G10560" s="495" t="s">
        <v>3777</v>
      </c>
      <c r="H10560" s="397"/>
      <c r="I10560" s="397"/>
      <c r="J10560" s="750"/>
      <c r="K10560" s="398"/>
      <c r="L10560" s="398"/>
      <c r="M10560" s="682"/>
    </row>
    <row r="10561" spans="6:13" hidden="1" x14ac:dyDescent="0.2">
      <c r="F10561" s="494">
        <v>422</v>
      </c>
      <c r="G10561" s="495" t="s">
        <v>3778</v>
      </c>
      <c r="H10561" s="397"/>
      <c r="I10561" s="397"/>
      <c r="J10561" s="750"/>
      <c r="K10561" s="398"/>
      <c r="L10561" s="398"/>
      <c r="M10561" s="682"/>
    </row>
    <row r="10562" spans="6:13" hidden="1" x14ac:dyDescent="0.2">
      <c r="F10562" s="494">
        <v>423</v>
      </c>
      <c r="G10562" s="495" t="s">
        <v>3779</v>
      </c>
      <c r="H10562" s="397"/>
      <c r="I10562" s="397"/>
      <c r="J10562" s="750"/>
      <c r="K10562" s="398"/>
      <c r="L10562" s="398"/>
      <c r="M10562" s="682"/>
    </row>
    <row r="10563" spans="6:13" hidden="1" x14ac:dyDescent="0.2">
      <c r="F10563" s="494">
        <v>424</v>
      </c>
      <c r="G10563" s="495" t="s">
        <v>3781</v>
      </c>
      <c r="H10563" s="397"/>
      <c r="I10563" s="397"/>
      <c r="J10563" s="750"/>
      <c r="K10563" s="398"/>
      <c r="L10563" s="398"/>
      <c r="M10563" s="682"/>
    </row>
    <row r="10564" spans="6:13" hidden="1" x14ac:dyDescent="0.2">
      <c r="F10564" s="494">
        <v>425</v>
      </c>
      <c r="G10564" s="495" t="s">
        <v>4180</v>
      </c>
      <c r="H10564" s="397"/>
      <c r="I10564" s="397"/>
      <c r="J10564" s="750"/>
      <c r="K10564" s="398"/>
      <c r="L10564" s="398"/>
      <c r="M10564" s="682"/>
    </row>
    <row r="10565" spans="6:13" hidden="1" x14ac:dyDescent="0.2">
      <c r="F10565" s="494">
        <v>426</v>
      </c>
      <c r="G10565" s="495" t="s">
        <v>3785</v>
      </c>
      <c r="H10565" s="397"/>
      <c r="I10565" s="397"/>
      <c r="J10565" s="750"/>
      <c r="K10565" s="398"/>
      <c r="L10565" s="398"/>
      <c r="M10565" s="682"/>
    </row>
    <row r="10566" spans="6:13" hidden="1" x14ac:dyDescent="0.2">
      <c r="F10566" s="494">
        <v>431</v>
      </c>
      <c r="G10566" s="495" t="s">
        <v>4181</v>
      </c>
      <c r="H10566" s="397"/>
      <c r="I10566" s="397"/>
      <c r="J10566" s="750"/>
      <c r="K10566" s="398"/>
      <c r="L10566" s="398"/>
      <c r="M10566" s="682"/>
    </row>
    <row r="10567" spans="6:13" hidden="1" x14ac:dyDescent="0.2">
      <c r="F10567" s="494">
        <v>432</v>
      </c>
      <c r="G10567" s="495" t="s">
        <v>4182</v>
      </c>
      <c r="H10567" s="397"/>
      <c r="I10567" s="397"/>
      <c r="J10567" s="750"/>
      <c r="K10567" s="398"/>
      <c r="L10567" s="398"/>
      <c r="M10567" s="682"/>
    </row>
    <row r="10568" spans="6:13" hidden="1" x14ac:dyDescent="0.2">
      <c r="F10568" s="494">
        <v>433</v>
      </c>
      <c r="G10568" s="495" t="s">
        <v>4183</v>
      </c>
      <c r="H10568" s="397"/>
      <c r="I10568" s="397"/>
      <c r="J10568" s="750"/>
      <c r="K10568" s="398"/>
      <c r="L10568" s="398"/>
      <c r="M10568" s="682"/>
    </row>
    <row r="10569" spans="6:13" hidden="1" x14ac:dyDescent="0.2">
      <c r="F10569" s="494">
        <v>434</v>
      </c>
      <c r="G10569" s="495" t="s">
        <v>4184</v>
      </c>
      <c r="H10569" s="397"/>
      <c r="I10569" s="397"/>
      <c r="J10569" s="750"/>
      <c r="K10569" s="398"/>
      <c r="L10569" s="398"/>
      <c r="M10569" s="682"/>
    </row>
    <row r="10570" spans="6:13" hidden="1" x14ac:dyDescent="0.2">
      <c r="F10570" s="494">
        <v>435</v>
      </c>
      <c r="G10570" s="495" t="s">
        <v>3792</v>
      </c>
      <c r="H10570" s="397"/>
      <c r="I10570" s="397"/>
      <c r="J10570" s="750"/>
      <c r="K10570" s="398"/>
      <c r="L10570" s="398"/>
      <c r="M10570" s="682"/>
    </row>
    <row r="10571" spans="6:13" hidden="1" x14ac:dyDescent="0.2">
      <c r="F10571" s="494">
        <v>441</v>
      </c>
      <c r="G10571" s="495" t="s">
        <v>4185</v>
      </c>
      <c r="H10571" s="397"/>
      <c r="I10571" s="397"/>
      <c r="J10571" s="750"/>
      <c r="K10571" s="398"/>
      <c r="L10571" s="398"/>
      <c r="M10571" s="682"/>
    </row>
    <row r="10572" spans="6:13" hidden="1" x14ac:dyDescent="0.2">
      <c r="F10572" s="494">
        <v>442</v>
      </c>
      <c r="G10572" s="495" t="s">
        <v>4186</v>
      </c>
      <c r="H10572" s="397"/>
      <c r="I10572" s="397"/>
      <c r="J10572" s="750"/>
      <c r="K10572" s="398"/>
      <c r="L10572" s="398"/>
      <c r="M10572" s="682"/>
    </row>
    <row r="10573" spans="6:13" hidden="1" x14ac:dyDescent="0.2">
      <c r="F10573" s="494">
        <v>443</v>
      </c>
      <c r="G10573" s="495" t="s">
        <v>3797</v>
      </c>
      <c r="H10573" s="397"/>
      <c r="I10573" s="397"/>
      <c r="J10573" s="750"/>
      <c r="K10573" s="398"/>
      <c r="L10573" s="398"/>
      <c r="M10573" s="682"/>
    </row>
    <row r="10574" spans="6:13" hidden="1" x14ac:dyDescent="0.2">
      <c r="F10574" s="494">
        <v>444</v>
      </c>
      <c r="G10574" s="495" t="s">
        <v>3798</v>
      </c>
      <c r="H10574" s="397"/>
      <c r="I10574" s="397"/>
      <c r="J10574" s="750"/>
      <c r="K10574" s="398"/>
      <c r="L10574" s="398"/>
      <c r="M10574" s="682"/>
    </row>
    <row r="10575" spans="6:13" ht="25.5" hidden="1" x14ac:dyDescent="0.2">
      <c r="F10575" s="494">
        <v>4511</v>
      </c>
      <c r="G10575" s="466" t="s">
        <v>1692</v>
      </c>
      <c r="H10575" s="397"/>
      <c r="I10575" s="397"/>
      <c r="J10575" s="750"/>
      <c r="K10575" s="398"/>
      <c r="L10575" s="398"/>
      <c r="M10575" s="682"/>
    </row>
    <row r="10576" spans="6:13" ht="19.5" hidden="1" customHeight="1" x14ac:dyDescent="0.2">
      <c r="F10576" s="494">
        <v>4512</v>
      </c>
      <c r="G10576" s="466" t="s">
        <v>1701</v>
      </c>
      <c r="H10576" s="397"/>
      <c r="I10576" s="397"/>
      <c r="J10576" s="750"/>
      <c r="K10576" s="398"/>
      <c r="L10576" s="398"/>
      <c r="M10576" s="682"/>
    </row>
    <row r="10577" spans="6:13" ht="25.5" hidden="1" x14ac:dyDescent="0.2">
      <c r="F10577" s="494">
        <v>452</v>
      </c>
      <c r="G10577" s="495" t="s">
        <v>4187</v>
      </c>
      <c r="H10577" s="397"/>
      <c r="I10577" s="397"/>
      <c r="J10577" s="750"/>
      <c r="K10577" s="398"/>
      <c r="L10577" s="398"/>
      <c r="M10577" s="682"/>
    </row>
    <row r="10578" spans="6:13" ht="25.5" hidden="1" x14ac:dyDescent="0.2">
      <c r="F10578" s="494">
        <v>453</v>
      </c>
      <c r="G10578" s="495" t="s">
        <v>4188</v>
      </c>
      <c r="H10578" s="397"/>
      <c r="I10578" s="397"/>
      <c r="J10578" s="750"/>
      <c r="K10578" s="398"/>
      <c r="L10578" s="398"/>
      <c r="M10578" s="682"/>
    </row>
    <row r="10579" spans="6:13" hidden="1" x14ac:dyDescent="0.2">
      <c r="F10579" s="494">
        <v>454</v>
      </c>
      <c r="G10579" s="495" t="s">
        <v>3803</v>
      </c>
      <c r="H10579" s="397"/>
      <c r="I10579" s="397"/>
      <c r="J10579" s="750"/>
      <c r="K10579" s="398"/>
      <c r="L10579" s="398"/>
      <c r="M10579" s="682"/>
    </row>
    <row r="10580" spans="6:13" hidden="1" x14ac:dyDescent="0.2">
      <c r="F10580" s="494">
        <v>461</v>
      </c>
      <c r="G10580" s="495" t="s">
        <v>4169</v>
      </c>
      <c r="H10580" s="397"/>
      <c r="I10580" s="397"/>
      <c r="J10580" s="750"/>
      <c r="K10580" s="398"/>
      <c r="L10580" s="398"/>
      <c r="M10580" s="682"/>
    </row>
    <row r="10581" spans="6:13" ht="25.5" hidden="1" x14ac:dyDescent="0.2">
      <c r="F10581" s="494">
        <v>462</v>
      </c>
      <c r="G10581" s="495" t="s">
        <v>3806</v>
      </c>
      <c r="H10581" s="397"/>
      <c r="I10581" s="397"/>
      <c r="J10581" s="750"/>
      <c r="K10581" s="398"/>
      <c r="L10581" s="398"/>
      <c r="M10581" s="682"/>
    </row>
    <row r="10582" spans="6:13" hidden="1" x14ac:dyDescent="0.2">
      <c r="F10582" s="494">
        <v>4631</v>
      </c>
      <c r="G10582" s="495" t="s">
        <v>3807</v>
      </c>
      <c r="H10582" s="397"/>
      <c r="I10582" s="397"/>
      <c r="J10582" s="750"/>
      <c r="K10582" s="398"/>
      <c r="L10582" s="398"/>
      <c r="M10582" s="682"/>
    </row>
    <row r="10583" spans="6:13" hidden="1" x14ac:dyDescent="0.2">
      <c r="F10583" s="494">
        <v>4632</v>
      </c>
      <c r="G10583" s="495" t="s">
        <v>3808</v>
      </c>
      <c r="H10583" s="397"/>
      <c r="I10583" s="397"/>
      <c r="J10583" s="750"/>
      <c r="K10583" s="398"/>
      <c r="L10583" s="398"/>
      <c r="M10583" s="682"/>
    </row>
    <row r="10584" spans="6:13" ht="25.5" hidden="1" x14ac:dyDescent="0.2">
      <c r="F10584" s="494">
        <v>464</v>
      </c>
      <c r="G10584" s="495" t="s">
        <v>3809</v>
      </c>
      <c r="H10584" s="397"/>
      <c r="I10584" s="397"/>
      <c r="J10584" s="750"/>
      <c r="K10584" s="398"/>
      <c r="L10584" s="398"/>
      <c r="M10584" s="682"/>
    </row>
    <row r="10585" spans="6:13" hidden="1" x14ac:dyDescent="0.2">
      <c r="F10585" s="494">
        <v>465</v>
      </c>
      <c r="G10585" s="495" t="s">
        <v>4170</v>
      </c>
      <c r="H10585" s="397"/>
      <c r="I10585" s="397"/>
      <c r="J10585" s="750"/>
      <c r="K10585" s="398"/>
      <c r="L10585" s="398"/>
      <c r="M10585" s="682"/>
    </row>
    <row r="10586" spans="6:13" hidden="1" x14ac:dyDescent="0.2">
      <c r="F10586" s="494">
        <v>472</v>
      </c>
      <c r="G10586" s="495" t="s">
        <v>3813</v>
      </c>
      <c r="H10586" s="397"/>
      <c r="I10586" s="397"/>
      <c r="J10586" s="750"/>
      <c r="K10586" s="398"/>
      <c r="L10586" s="398"/>
      <c r="M10586" s="682"/>
    </row>
    <row r="10587" spans="6:13" hidden="1" x14ac:dyDescent="0.2">
      <c r="F10587" s="494">
        <v>481</v>
      </c>
      <c r="G10587" s="495" t="s">
        <v>4189</v>
      </c>
      <c r="H10587" s="397"/>
      <c r="I10587" s="397"/>
      <c r="J10587" s="750"/>
      <c r="K10587" s="398"/>
      <c r="L10587" s="398"/>
      <c r="M10587" s="682"/>
    </row>
    <row r="10588" spans="6:13" hidden="1" x14ac:dyDescent="0.2">
      <c r="F10588" s="494">
        <v>482</v>
      </c>
      <c r="G10588" s="495" t="s">
        <v>4190</v>
      </c>
      <c r="H10588" s="397"/>
      <c r="I10588" s="397"/>
      <c r="J10588" s="750"/>
      <c r="K10588" s="398"/>
      <c r="L10588" s="398"/>
      <c r="M10588" s="682"/>
    </row>
    <row r="10589" spans="6:13" hidden="1" x14ac:dyDescent="0.2">
      <c r="F10589" s="494">
        <v>483</v>
      </c>
      <c r="G10589" s="497" t="s">
        <v>4191</v>
      </c>
      <c r="H10589" s="397"/>
      <c r="I10589" s="397"/>
      <c r="J10589" s="750"/>
      <c r="K10589" s="398"/>
      <c r="L10589" s="398"/>
      <c r="M10589" s="682"/>
    </row>
    <row r="10590" spans="6:13" ht="38.25" hidden="1" x14ac:dyDescent="0.2">
      <c r="F10590" s="494">
        <v>484</v>
      </c>
      <c r="G10590" s="495" t="s">
        <v>4192</v>
      </c>
      <c r="H10590" s="397"/>
      <c r="I10590" s="397"/>
      <c r="J10590" s="750"/>
      <c r="K10590" s="398"/>
      <c r="L10590" s="398"/>
      <c r="M10590" s="682"/>
    </row>
    <row r="10591" spans="6:13" ht="25.5" hidden="1" x14ac:dyDescent="0.2">
      <c r="F10591" s="494">
        <v>485</v>
      </c>
      <c r="G10591" s="495" t="s">
        <v>4193</v>
      </c>
      <c r="H10591" s="397"/>
      <c r="I10591" s="397"/>
      <c r="J10591" s="750"/>
      <c r="K10591" s="398"/>
      <c r="L10591" s="398"/>
      <c r="M10591" s="682"/>
    </row>
    <row r="10592" spans="6:13" ht="25.5" hidden="1" x14ac:dyDescent="0.2">
      <c r="F10592" s="494">
        <v>489</v>
      </c>
      <c r="G10592" s="495" t="s">
        <v>3821</v>
      </c>
      <c r="H10592" s="397"/>
      <c r="I10592" s="397"/>
      <c r="J10592" s="750"/>
      <c r="K10592" s="398"/>
      <c r="L10592" s="398"/>
      <c r="M10592" s="682"/>
    </row>
    <row r="10593" spans="6:13" ht="25.5" hidden="1" x14ac:dyDescent="0.2">
      <c r="F10593" s="494">
        <v>494</v>
      </c>
      <c r="G10593" s="495" t="s">
        <v>4171</v>
      </c>
      <c r="H10593" s="397"/>
      <c r="I10593" s="397"/>
      <c r="J10593" s="750"/>
      <c r="K10593" s="398"/>
      <c r="L10593" s="398"/>
      <c r="M10593" s="682"/>
    </row>
    <row r="10594" spans="6:13" ht="25.5" hidden="1" x14ac:dyDescent="0.2">
      <c r="F10594" s="494">
        <v>495</v>
      </c>
      <c r="G10594" s="495" t="s">
        <v>4172</v>
      </c>
      <c r="H10594" s="397"/>
      <c r="I10594" s="397"/>
      <c r="J10594" s="750"/>
      <c r="K10594" s="398"/>
      <c r="L10594" s="398"/>
      <c r="M10594" s="682"/>
    </row>
    <row r="10595" spans="6:13" ht="38.25" hidden="1" x14ac:dyDescent="0.2">
      <c r="F10595" s="494">
        <v>496</v>
      </c>
      <c r="G10595" s="495" t="s">
        <v>4173</v>
      </c>
      <c r="H10595" s="397"/>
      <c r="I10595" s="397"/>
      <c r="J10595" s="750"/>
      <c r="K10595" s="398"/>
      <c r="L10595" s="398"/>
      <c r="M10595" s="682"/>
    </row>
    <row r="10596" spans="6:13" ht="25.5" hidden="1" x14ac:dyDescent="0.2">
      <c r="F10596" s="494">
        <v>499</v>
      </c>
      <c r="G10596" s="495" t="s">
        <v>4174</v>
      </c>
      <c r="H10596" s="397"/>
      <c r="I10596" s="397"/>
      <c r="J10596" s="750"/>
      <c r="K10596" s="398"/>
      <c r="L10596" s="398"/>
      <c r="M10596" s="682"/>
    </row>
    <row r="10597" spans="6:13" hidden="1" x14ac:dyDescent="0.2">
      <c r="F10597" s="494">
        <v>511</v>
      </c>
      <c r="G10597" s="497" t="s">
        <v>4194</v>
      </c>
      <c r="H10597" s="397"/>
      <c r="I10597" s="397"/>
      <c r="J10597" s="750"/>
      <c r="K10597" s="398"/>
      <c r="L10597" s="398"/>
      <c r="M10597" s="682"/>
    </row>
    <row r="10598" spans="6:13" hidden="1" x14ac:dyDescent="0.2">
      <c r="F10598" s="494">
        <v>512</v>
      </c>
      <c r="G10598" s="497" t="s">
        <v>4195</v>
      </c>
      <c r="H10598" s="397"/>
      <c r="I10598" s="397"/>
      <c r="J10598" s="750"/>
      <c r="K10598" s="398"/>
      <c r="L10598" s="398"/>
      <c r="M10598" s="682"/>
    </row>
    <row r="10599" spans="6:13" hidden="1" x14ac:dyDescent="0.2">
      <c r="F10599" s="494">
        <v>513</v>
      </c>
      <c r="G10599" s="497" t="s">
        <v>4196</v>
      </c>
      <c r="H10599" s="397"/>
      <c r="I10599" s="397"/>
      <c r="J10599" s="750"/>
      <c r="K10599" s="398"/>
      <c r="L10599" s="398"/>
      <c r="M10599" s="682"/>
    </row>
    <row r="10600" spans="6:13" hidden="1" x14ac:dyDescent="0.2">
      <c r="F10600" s="494">
        <v>514</v>
      </c>
      <c r="G10600" s="495" t="s">
        <v>4197</v>
      </c>
      <c r="H10600" s="397"/>
      <c r="I10600" s="397"/>
      <c r="J10600" s="750"/>
      <c r="K10600" s="398"/>
      <c r="L10600" s="398"/>
      <c r="M10600" s="682"/>
    </row>
    <row r="10601" spans="6:13" hidden="1" x14ac:dyDescent="0.2">
      <c r="F10601" s="494">
        <v>515</v>
      </c>
      <c r="G10601" s="495" t="s">
        <v>3832</v>
      </c>
      <c r="H10601" s="397"/>
      <c r="I10601" s="397"/>
      <c r="J10601" s="750"/>
      <c r="K10601" s="398"/>
      <c r="L10601" s="398"/>
      <c r="M10601" s="682"/>
    </row>
    <row r="10602" spans="6:13" hidden="1" x14ac:dyDescent="0.2">
      <c r="F10602" s="494">
        <v>521</v>
      </c>
      <c r="G10602" s="495" t="s">
        <v>4198</v>
      </c>
      <c r="H10602" s="397"/>
      <c r="I10602" s="397"/>
      <c r="J10602" s="750"/>
      <c r="K10602" s="398"/>
      <c r="L10602" s="398"/>
      <c r="M10602" s="682"/>
    </row>
    <row r="10603" spans="6:13" hidden="1" x14ac:dyDescent="0.2">
      <c r="F10603" s="494">
        <v>522</v>
      </c>
      <c r="G10603" s="495" t="s">
        <v>4199</v>
      </c>
      <c r="H10603" s="397"/>
      <c r="I10603" s="397"/>
      <c r="J10603" s="750"/>
      <c r="K10603" s="398"/>
      <c r="L10603" s="398"/>
      <c r="M10603" s="682"/>
    </row>
    <row r="10604" spans="6:13" hidden="1" x14ac:dyDescent="0.2">
      <c r="F10604" s="494">
        <v>523</v>
      </c>
      <c r="G10604" s="495" t="s">
        <v>3837</v>
      </c>
      <c r="H10604" s="397"/>
      <c r="I10604" s="397"/>
      <c r="J10604" s="750"/>
      <c r="K10604" s="398"/>
      <c r="L10604" s="398"/>
      <c r="M10604" s="682"/>
    </row>
    <row r="10605" spans="6:13" hidden="1" x14ac:dyDescent="0.2">
      <c r="F10605" s="494">
        <v>531</v>
      </c>
      <c r="G10605" s="496" t="s">
        <v>4175</v>
      </c>
      <c r="H10605" s="397"/>
      <c r="I10605" s="397"/>
      <c r="J10605" s="750"/>
      <c r="K10605" s="398"/>
      <c r="L10605" s="398"/>
      <c r="M10605" s="682"/>
    </row>
    <row r="10606" spans="6:13" hidden="1" x14ac:dyDescent="0.2">
      <c r="F10606" s="494">
        <v>541</v>
      </c>
      <c r="G10606" s="495" t="s">
        <v>4200</v>
      </c>
      <c r="H10606" s="397"/>
      <c r="I10606" s="397"/>
      <c r="J10606" s="750"/>
      <c r="K10606" s="398"/>
      <c r="L10606" s="398"/>
      <c r="M10606" s="682"/>
    </row>
    <row r="10607" spans="6:13" hidden="1" x14ac:dyDescent="0.2">
      <c r="F10607" s="494">
        <v>542</v>
      </c>
      <c r="G10607" s="495" t="s">
        <v>4201</v>
      </c>
      <c r="H10607" s="397"/>
      <c r="I10607" s="397"/>
      <c r="J10607" s="750"/>
      <c r="K10607" s="398"/>
      <c r="L10607" s="398"/>
      <c r="M10607" s="682"/>
    </row>
    <row r="10608" spans="6:13" hidden="1" x14ac:dyDescent="0.2">
      <c r="F10608" s="494">
        <v>543</v>
      </c>
      <c r="G10608" s="495" t="s">
        <v>3842</v>
      </c>
      <c r="H10608" s="397"/>
      <c r="I10608" s="397"/>
      <c r="J10608" s="750"/>
      <c r="K10608" s="398"/>
      <c r="L10608" s="398"/>
      <c r="M10608" s="682"/>
    </row>
    <row r="10609" spans="5:13" ht="38.25" hidden="1" x14ac:dyDescent="0.2">
      <c r="F10609" s="494">
        <v>551</v>
      </c>
      <c r="G10609" s="495" t="s">
        <v>4176</v>
      </c>
      <c r="H10609" s="397"/>
      <c r="I10609" s="397"/>
      <c r="J10609" s="750"/>
      <c r="K10609" s="398"/>
      <c r="L10609" s="398"/>
      <c r="M10609" s="682"/>
    </row>
    <row r="10610" spans="5:13" hidden="1" x14ac:dyDescent="0.2">
      <c r="F10610" s="498">
        <v>611</v>
      </c>
      <c r="G10610" s="499" t="s">
        <v>3848</v>
      </c>
      <c r="H10610" s="397"/>
      <c r="I10610" s="397"/>
      <c r="J10610" s="750"/>
      <c r="K10610" s="398"/>
      <c r="L10610" s="398"/>
      <c r="M10610" s="682"/>
    </row>
    <row r="10611" spans="5:13" hidden="1" x14ac:dyDescent="0.2">
      <c r="F10611" s="498">
        <v>620</v>
      </c>
      <c r="G10611" s="499" t="s">
        <v>88</v>
      </c>
      <c r="H10611" s="397"/>
      <c r="I10611" s="397"/>
      <c r="J10611" s="750"/>
      <c r="K10611" s="398"/>
      <c r="L10611" s="398"/>
      <c r="M10611" s="682"/>
    </row>
    <row r="10612" spans="5:13" hidden="1" x14ac:dyDescent="0.2">
      <c r="E10612" s="500"/>
      <c r="F10612" s="498"/>
      <c r="G10612" s="501" t="s">
        <v>4402</v>
      </c>
      <c r="H10612" s="400"/>
      <c r="I10612" s="400"/>
      <c r="J10612" s="750"/>
      <c r="K10612" s="401"/>
      <c r="L10612" s="402"/>
      <c r="M10612" s="682"/>
    </row>
    <row r="10613" spans="5:13" hidden="1" x14ac:dyDescent="0.2">
      <c r="E10613" s="502"/>
      <c r="F10613" s="503" t="s">
        <v>234</v>
      </c>
      <c r="G10613" s="504" t="s">
        <v>235</v>
      </c>
      <c r="H10613" s="403">
        <f>SUM(H10552:H10611)</f>
        <v>0</v>
      </c>
      <c r="I10613" s="403"/>
      <c r="J10613" s="750"/>
      <c r="K10613" s="404"/>
      <c r="L10613" s="404"/>
      <c r="M10613" s="682"/>
    </row>
    <row r="10614" spans="5:13" hidden="1" x14ac:dyDescent="0.2">
      <c r="F10614" s="503" t="s">
        <v>236</v>
      </c>
      <c r="G10614" s="504" t="s">
        <v>237</v>
      </c>
      <c r="H10614" s="397"/>
      <c r="I10614" s="397"/>
      <c r="J10614" s="750"/>
      <c r="K10614" s="398"/>
      <c r="L10614" s="404"/>
      <c r="M10614" s="682"/>
    </row>
    <row r="10615" spans="5:13" hidden="1" x14ac:dyDescent="0.2">
      <c r="F10615" s="503" t="s">
        <v>238</v>
      </c>
      <c r="G10615" s="504" t="s">
        <v>239</v>
      </c>
      <c r="H10615" s="397"/>
      <c r="I10615" s="397"/>
      <c r="J10615" s="750"/>
      <c r="K10615" s="398"/>
      <c r="L10615" s="404"/>
      <c r="M10615" s="682"/>
    </row>
    <row r="10616" spans="5:13" hidden="1" x14ac:dyDescent="0.2">
      <c r="F10616" s="503" t="s">
        <v>240</v>
      </c>
      <c r="G10616" s="504" t="s">
        <v>241</v>
      </c>
      <c r="H10616" s="397"/>
      <c r="I10616" s="397"/>
      <c r="J10616" s="750"/>
      <c r="K10616" s="398"/>
      <c r="L10616" s="404"/>
      <c r="M10616" s="682"/>
    </row>
    <row r="10617" spans="5:13" hidden="1" x14ac:dyDescent="0.2">
      <c r="F10617" s="503" t="s">
        <v>242</v>
      </c>
      <c r="G10617" s="504" t="s">
        <v>243</v>
      </c>
      <c r="H10617" s="397"/>
      <c r="I10617" s="397"/>
      <c r="J10617" s="750"/>
      <c r="K10617" s="398"/>
      <c r="L10617" s="404"/>
      <c r="M10617" s="682"/>
    </row>
    <row r="10618" spans="5:13" hidden="1" x14ac:dyDescent="0.2">
      <c r="F10618" s="503" t="s">
        <v>244</v>
      </c>
      <c r="G10618" s="504" t="s">
        <v>245</v>
      </c>
      <c r="H10618" s="397"/>
      <c r="I10618" s="397"/>
      <c r="J10618" s="750"/>
      <c r="K10618" s="398"/>
      <c r="L10618" s="404"/>
      <c r="M10618" s="682"/>
    </row>
    <row r="10619" spans="5:13" hidden="1" x14ac:dyDescent="0.2">
      <c r="F10619" s="503" t="s">
        <v>246</v>
      </c>
      <c r="G10619" s="504" t="s">
        <v>247</v>
      </c>
      <c r="H10619" s="397"/>
      <c r="I10619" s="397"/>
      <c r="J10619" s="750"/>
      <c r="K10619" s="398"/>
      <c r="L10619" s="404"/>
      <c r="M10619" s="682"/>
    </row>
    <row r="10620" spans="5:13" ht="25.5" hidden="1" x14ac:dyDescent="0.2">
      <c r="F10620" s="503" t="s">
        <v>248</v>
      </c>
      <c r="G10620" s="504" t="s">
        <v>249</v>
      </c>
      <c r="H10620" s="397"/>
      <c r="I10620" s="397"/>
      <c r="J10620" s="750"/>
      <c r="K10620" s="398"/>
      <c r="L10620" s="404"/>
      <c r="M10620" s="682"/>
    </row>
    <row r="10621" spans="5:13" hidden="1" x14ac:dyDescent="0.2">
      <c r="F10621" s="503" t="s">
        <v>250</v>
      </c>
      <c r="G10621" s="504" t="s">
        <v>57</v>
      </c>
      <c r="H10621" s="397"/>
      <c r="I10621" s="397"/>
      <c r="J10621" s="750"/>
      <c r="K10621" s="398"/>
      <c r="L10621" s="404"/>
      <c r="M10621" s="682"/>
    </row>
    <row r="10622" spans="5:13" hidden="1" x14ac:dyDescent="0.2">
      <c r="F10622" s="503" t="s">
        <v>251</v>
      </c>
      <c r="G10622" s="504" t="s">
        <v>252</v>
      </c>
      <c r="H10622" s="397"/>
      <c r="I10622" s="397"/>
      <c r="J10622" s="750"/>
      <c r="K10622" s="398"/>
      <c r="L10622" s="404"/>
      <c r="M10622" s="682"/>
    </row>
    <row r="10623" spans="5:13" hidden="1" x14ac:dyDescent="0.2">
      <c r="F10623" s="503" t="s">
        <v>253</v>
      </c>
      <c r="G10623" s="504" t="s">
        <v>254</v>
      </c>
      <c r="H10623" s="397"/>
      <c r="I10623" s="397"/>
      <c r="J10623" s="750"/>
      <c r="K10623" s="398"/>
      <c r="L10623" s="404"/>
      <c r="M10623" s="682"/>
    </row>
    <row r="10624" spans="5:13" ht="25.5" hidden="1" x14ac:dyDescent="0.2">
      <c r="F10624" s="503" t="s">
        <v>255</v>
      </c>
      <c r="G10624" s="504" t="s">
        <v>256</v>
      </c>
      <c r="H10624" s="397"/>
      <c r="I10624" s="397"/>
      <c r="J10624" s="750"/>
      <c r="K10624" s="398"/>
      <c r="L10624" s="404"/>
      <c r="M10624" s="682"/>
    </row>
    <row r="10625" spans="5:13" ht="25.5" hidden="1" x14ac:dyDescent="0.2">
      <c r="F10625" s="503" t="s">
        <v>257</v>
      </c>
      <c r="G10625" s="504" t="s">
        <v>258</v>
      </c>
      <c r="H10625" s="397"/>
      <c r="I10625" s="397"/>
      <c r="J10625" s="750"/>
      <c r="K10625" s="398"/>
      <c r="L10625" s="404"/>
      <c r="M10625" s="682"/>
    </row>
    <row r="10626" spans="5:13" ht="25.5" hidden="1" x14ac:dyDescent="0.2">
      <c r="F10626" s="503" t="s">
        <v>259</v>
      </c>
      <c r="G10626" s="504" t="s">
        <v>260</v>
      </c>
      <c r="H10626" s="397"/>
      <c r="I10626" s="397"/>
      <c r="J10626" s="750"/>
      <c r="K10626" s="398"/>
      <c r="L10626" s="404"/>
      <c r="M10626" s="682"/>
    </row>
    <row r="10627" spans="5:13" ht="25.5" hidden="1" x14ac:dyDescent="0.2">
      <c r="F10627" s="503" t="s">
        <v>261</v>
      </c>
      <c r="G10627" s="504" t="s">
        <v>262</v>
      </c>
      <c r="H10627" s="397"/>
      <c r="I10627" s="397"/>
      <c r="J10627" s="750"/>
      <c r="K10627" s="398"/>
      <c r="L10627" s="404"/>
      <c r="M10627" s="682"/>
    </row>
    <row r="10628" spans="5:13" hidden="1" x14ac:dyDescent="0.2">
      <c r="F10628" s="503" t="s">
        <v>263</v>
      </c>
      <c r="G10628" s="504" t="s">
        <v>264</v>
      </c>
      <c r="H10628" s="403"/>
      <c r="I10628" s="403"/>
      <c r="J10628" s="750"/>
      <c r="K10628" s="404"/>
      <c r="L10628" s="404"/>
      <c r="M10628" s="682"/>
    </row>
    <row r="10629" spans="5:13" ht="13.5" hidden="1" thickBot="1" x14ac:dyDescent="0.25">
      <c r="G10629" s="505" t="s">
        <v>4403</v>
      </c>
      <c r="H10629" s="405">
        <f>SUM(H10613:H10628)</f>
        <v>0</v>
      </c>
      <c r="I10629" s="405"/>
      <c r="J10629" s="750"/>
      <c r="K10629" s="406">
        <f>SUM(K10614:K10628)</f>
        <v>0</v>
      </c>
      <c r="L10629" s="406"/>
      <c r="M10629" s="682"/>
    </row>
    <row r="10630" spans="5:13" ht="25.5" hidden="1" collapsed="1" x14ac:dyDescent="0.2">
      <c r="E10630" s="500"/>
      <c r="F10630" s="498"/>
      <c r="G10630" s="506" t="s">
        <v>4421</v>
      </c>
      <c r="H10630" s="407"/>
      <c r="I10630" s="408"/>
      <c r="J10630" s="750"/>
      <c r="K10630" s="409"/>
      <c r="L10630" s="410"/>
      <c r="M10630" s="682"/>
    </row>
    <row r="10631" spans="5:13" hidden="1" x14ac:dyDescent="0.2">
      <c r="E10631" s="502"/>
      <c r="F10631" s="503" t="s">
        <v>234</v>
      </c>
      <c r="G10631" s="504" t="s">
        <v>235</v>
      </c>
      <c r="H10631" s="403">
        <f>SUM(H10552:H10611)</f>
        <v>0</v>
      </c>
      <c r="I10631" s="403"/>
      <c r="J10631" s="750"/>
      <c r="K10631" s="404"/>
      <c r="L10631" s="404"/>
      <c r="M10631" s="682"/>
    </row>
    <row r="10632" spans="5:13" hidden="1" x14ac:dyDescent="0.2">
      <c r="F10632" s="503" t="s">
        <v>236</v>
      </c>
      <c r="G10632" s="504" t="s">
        <v>237</v>
      </c>
      <c r="H10632" s="397"/>
      <c r="I10632" s="397"/>
      <c r="J10632" s="750"/>
      <c r="K10632" s="398"/>
      <c r="L10632" s="404"/>
      <c r="M10632" s="682"/>
    </row>
    <row r="10633" spans="5:13" hidden="1" x14ac:dyDescent="0.2">
      <c r="F10633" s="503" t="s">
        <v>238</v>
      </c>
      <c r="G10633" s="504" t="s">
        <v>239</v>
      </c>
      <c r="H10633" s="397"/>
      <c r="I10633" s="397"/>
      <c r="J10633" s="750"/>
      <c r="K10633" s="398"/>
      <c r="L10633" s="404"/>
      <c r="M10633" s="682"/>
    </row>
    <row r="10634" spans="5:13" hidden="1" x14ac:dyDescent="0.2">
      <c r="F10634" s="503" t="s">
        <v>240</v>
      </c>
      <c r="G10634" s="504" t="s">
        <v>241</v>
      </c>
      <c r="H10634" s="397"/>
      <c r="I10634" s="397"/>
      <c r="J10634" s="750"/>
      <c r="K10634" s="398"/>
      <c r="L10634" s="404"/>
      <c r="M10634" s="682"/>
    </row>
    <row r="10635" spans="5:13" hidden="1" x14ac:dyDescent="0.2">
      <c r="F10635" s="503" t="s">
        <v>242</v>
      </c>
      <c r="G10635" s="504" t="s">
        <v>243</v>
      </c>
      <c r="H10635" s="397"/>
      <c r="I10635" s="397"/>
      <c r="J10635" s="750"/>
      <c r="K10635" s="398"/>
      <c r="L10635" s="404"/>
      <c r="M10635" s="682"/>
    </row>
    <row r="10636" spans="5:13" hidden="1" x14ac:dyDescent="0.2">
      <c r="F10636" s="503" t="s">
        <v>244</v>
      </c>
      <c r="G10636" s="504" t="s">
        <v>245</v>
      </c>
      <c r="H10636" s="397"/>
      <c r="I10636" s="397"/>
      <c r="J10636" s="750"/>
      <c r="K10636" s="398"/>
      <c r="L10636" s="404"/>
      <c r="M10636" s="682"/>
    </row>
    <row r="10637" spans="5:13" hidden="1" x14ac:dyDescent="0.2">
      <c r="F10637" s="503" t="s">
        <v>246</v>
      </c>
      <c r="G10637" s="504" t="s">
        <v>247</v>
      </c>
      <c r="H10637" s="397"/>
      <c r="I10637" s="397"/>
      <c r="J10637" s="750"/>
      <c r="K10637" s="398"/>
      <c r="L10637" s="404"/>
      <c r="M10637" s="682"/>
    </row>
    <row r="10638" spans="5:13" ht="25.5" hidden="1" x14ac:dyDescent="0.2">
      <c r="F10638" s="503" t="s">
        <v>248</v>
      </c>
      <c r="G10638" s="504" t="s">
        <v>249</v>
      </c>
      <c r="H10638" s="397"/>
      <c r="I10638" s="397"/>
      <c r="J10638" s="750"/>
      <c r="K10638" s="398"/>
      <c r="L10638" s="404"/>
      <c r="M10638" s="682"/>
    </row>
    <row r="10639" spans="5:13" hidden="1" x14ac:dyDescent="0.2">
      <c r="F10639" s="503" t="s">
        <v>250</v>
      </c>
      <c r="G10639" s="504" t="s">
        <v>57</v>
      </c>
      <c r="H10639" s="397"/>
      <c r="I10639" s="397"/>
      <c r="J10639" s="750"/>
      <c r="K10639" s="398"/>
      <c r="L10639" s="404"/>
      <c r="M10639" s="682"/>
    </row>
    <row r="10640" spans="5:13" hidden="1" x14ac:dyDescent="0.2">
      <c r="F10640" s="503" t="s">
        <v>251</v>
      </c>
      <c r="G10640" s="504" t="s">
        <v>252</v>
      </c>
      <c r="H10640" s="397"/>
      <c r="I10640" s="397"/>
      <c r="J10640" s="750"/>
      <c r="K10640" s="398"/>
      <c r="L10640" s="404"/>
      <c r="M10640" s="682"/>
    </row>
    <row r="10641" spans="1:27" hidden="1" x14ac:dyDescent="0.2">
      <c r="F10641" s="503" t="s">
        <v>253</v>
      </c>
      <c r="G10641" s="504" t="s">
        <v>254</v>
      </c>
      <c r="H10641" s="397"/>
      <c r="I10641" s="397"/>
      <c r="J10641" s="750"/>
      <c r="K10641" s="398"/>
      <c r="L10641" s="404"/>
      <c r="M10641" s="682"/>
    </row>
    <row r="10642" spans="1:27" ht="25.5" hidden="1" x14ac:dyDescent="0.2">
      <c r="F10642" s="503" t="s">
        <v>255</v>
      </c>
      <c r="G10642" s="504" t="s">
        <v>256</v>
      </c>
      <c r="H10642" s="397"/>
      <c r="I10642" s="397"/>
      <c r="J10642" s="750"/>
      <c r="K10642" s="398"/>
      <c r="L10642" s="404"/>
      <c r="M10642" s="682"/>
    </row>
    <row r="10643" spans="1:27" ht="25.5" hidden="1" x14ac:dyDescent="0.2">
      <c r="F10643" s="503" t="s">
        <v>257</v>
      </c>
      <c r="G10643" s="504" t="s">
        <v>258</v>
      </c>
      <c r="H10643" s="397"/>
      <c r="I10643" s="397"/>
      <c r="J10643" s="750"/>
      <c r="K10643" s="398"/>
      <c r="L10643" s="404"/>
      <c r="M10643" s="682"/>
    </row>
    <row r="10644" spans="1:27" ht="25.5" hidden="1" x14ac:dyDescent="0.2">
      <c r="F10644" s="503" t="s">
        <v>259</v>
      </c>
      <c r="G10644" s="504" t="s">
        <v>260</v>
      </c>
      <c r="H10644" s="397"/>
      <c r="I10644" s="397"/>
      <c r="J10644" s="750"/>
      <c r="K10644" s="398"/>
      <c r="L10644" s="404"/>
      <c r="M10644" s="682"/>
    </row>
    <row r="10645" spans="1:27" ht="25.5" hidden="1" x14ac:dyDescent="0.2">
      <c r="F10645" s="503" t="s">
        <v>261</v>
      </c>
      <c r="G10645" s="504" t="s">
        <v>262</v>
      </c>
      <c r="H10645" s="397"/>
      <c r="I10645" s="397"/>
      <c r="J10645" s="750"/>
      <c r="K10645" s="398"/>
      <c r="L10645" s="404"/>
      <c r="M10645" s="682"/>
    </row>
    <row r="10646" spans="1:27" hidden="1" x14ac:dyDescent="0.2">
      <c r="F10646" s="503" t="s">
        <v>263</v>
      </c>
      <c r="G10646" s="504" t="s">
        <v>264</v>
      </c>
      <c r="H10646" s="403"/>
      <c r="I10646" s="403"/>
      <c r="J10646" s="750"/>
      <c r="K10646" s="404"/>
      <c r="L10646" s="404"/>
      <c r="M10646" s="682"/>
    </row>
    <row r="10647" spans="1:27" ht="13.5" hidden="1" collapsed="1" thickBot="1" x14ac:dyDescent="0.25">
      <c r="G10647" s="505" t="s">
        <v>4422</v>
      </c>
      <c r="H10647" s="405">
        <f>SUM(H10631:H10646)</f>
        <v>0</v>
      </c>
      <c r="I10647" s="405"/>
      <c r="J10647" s="750"/>
      <c r="K10647" s="406">
        <f>SUM(K10632:K10646)</f>
        <v>0</v>
      </c>
      <c r="L10647" s="406"/>
      <c r="M10647" s="682"/>
    </row>
    <row r="10648" spans="1:27" hidden="1" x14ac:dyDescent="0.2">
      <c r="H10648" s="397"/>
      <c r="I10648" s="397"/>
      <c r="J10648" s="750"/>
      <c r="K10648" s="398"/>
      <c r="L10648" s="398"/>
      <c r="M10648" s="682"/>
    </row>
    <row r="10649" spans="1:27" s="530" customFormat="1" ht="13.5" customHeight="1" x14ac:dyDescent="0.2">
      <c r="A10649" s="526"/>
      <c r="B10649" s="527"/>
      <c r="C10649" s="531" t="s">
        <v>4417</v>
      </c>
      <c r="D10649" s="490"/>
      <c r="E10649" s="490"/>
      <c r="F10649" s="532"/>
      <c r="G10649" s="644" t="s">
        <v>4072</v>
      </c>
      <c r="H10649" s="422"/>
      <c r="I10649" s="422"/>
      <c r="J10649" s="750"/>
      <c r="K10649" s="423"/>
      <c r="L10649" s="424"/>
      <c r="M10649" s="682"/>
      <c r="N10649" s="171"/>
      <c r="O10649" s="171"/>
      <c r="P10649" s="171"/>
      <c r="Q10649" s="171"/>
      <c r="R10649" s="171"/>
      <c r="S10649" s="171"/>
      <c r="T10649" s="171"/>
      <c r="U10649" s="171"/>
      <c r="V10649" s="171"/>
      <c r="W10649" s="171"/>
      <c r="X10649" s="171"/>
      <c r="Y10649" s="171"/>
      <c r="Z10649" s="171"/>
      <c r="AA10649" s="171"/>
    </row>
    <row r="10650" spans="1:27" ht="17.25" customHeight="1" x14ac:dyDescent="0.2">
      <c r="C10650" s="489"/>
      <c r="D10650" s="492">
        <v>640</v>
      </c>
      <c r="E10650" s="492"/>
      <c r="F10650" s="492"/>
      <c r="G10650" s="493" t="s">
        <v>184</v>
      </c>
      <c r="H10650" s="397"/>
      <c r="I10650" s="397"/>
      <c r="J10650" s="750"/>
      <c r="K10650" s="398"/>
      <c r="L10650" s="398"/>
      <c r="M10650" s="682"/>
    </row>
    <row r="10651" spans="1:27" hidden="1" x14ac:dyDescent="0.2">
      <c r="F10651" s="494">
        <v>411</v>
      </c>
      <c r="G10651" s="495" t="s">
        <v>4167</v>
      </c>
      <c r="H10651" s="397"/>
      <c r="I10651" s="397"/>
      <c r="J10651" s="750" t="e">
        <f t="shared" ref="J10651:J10701" si="138">SUM(I10651/H10651)*100</f>
        <v>#DIV/0!</v>
      </c>
      <c r="K10651" s="398"/>
      <c r="L10651" s="398"/>
      <c r="M10651" s="682"/>
    </row>
    <row r="10652" spans="1:27" hidden="1" x14ac:dyDescent="0.2">
      <c r="F10652" s="494">
        <v>412</v>
      </c>
      <c r="G10652" s="496" t="s">
        <v>3764</v>
      </c>
      <c r="H10652" s="397"/>
      <c r="I10652" s="397"/>
      <c r="J10652" s="750" t="e">
        <f t="shared" si="138"/>
        <v>#DIV/0!</v>
      </c>
      <c r="K10652" s="398"/>
      <c r="L10652" s="398"/>
      <c r="M10652" s="682"/>
    </row>
    <row r="10653" spans="1:27" hidden="1" x14ac:dyDescent="0.2">
      <c r="F10653" s="494">
        <v>413</v>
      </c>
      <c r="G10653" s="495" t="s">
        <v>4168</v>
      </c>
      <c r="H10653" s="397"/>
      <c r="I10653" s="397"/>
      <c r="J10653" s="750" t="e">
        <f t="shared" si="138"/>
        <v>#DIV/0!</v>
      </c>
      <c r="K10653" s="398"/>
      <c r="L10653" s="398"/>
      <c r="M10653" s="682"/>
    </row>
    <row r="10654" spans="1:27" hidden="1" x14ac:dyDescent="0.2">
      <c r="F10654" s="494">
        <v>414</v>
      </c>
      <c r="G10654" s="495" t="s">
        <v>3767</v>
      </c>
      <c r="H10654" s="397"/>
      <c r="I10654" s="397"/>
      <c r="J10654" s="750" t="e">
        <f t="shared" si="138"/>
        <v>#DIV/0!</v>
      </c>
      <c r="K10654" s="398"/>
      <c r="L10654" s="398"/>
      <c r="M10654" s="682"/>
    </row>
    <row r="10655" spans="1:27" hidden="1" x14ac:dyDescent="0.2">
      <c r="F10655" s="494">
        <v>415</v>
      </c>
      <c r="G10655" s="495" t="s">
        <v>4177</v>
      </c>
      <c r="H10655" s="397"/>
      <c r="I10655" s="397"/>
      <c r="J10655" s="750" t="e">
        <f t="shared" si="138"/>
        <v>#DIV/0!</v>
      </c>
      <c r="K10655" s="398"/>
      <c r="L10655" s="398"/>
      <c r="M10655" s="682"/>
    </row>
    <row r="10656" spans="1:27" ht="25.5" hidden="1" x14ac:dyDescent="0.2">
      <c r="F10656" s="494">
        <v>416</v>
      </c>
      <c r="G10656" s="495" t="s">
        <v>4178</v>
      </c>
      <c r="H10656" s="397"/>
      <c r="I10656" s="397"/>
      <c r="J10656" s="750" t="e">
        <f t="shared" si="138"/>
        <v>#DIV/0!</v>
      </c>
      <c r="K10656" s="398"/>
      <c r="L10656" s="398"/>
      <c r="M10656" s="682"/>
    </row>
    <row r="10657" spans="5:13" hidden="1" x14ac:dyDescent="0.2">
      <c r="F10657" s="494">
        <v>417</v>
      </c>
      <c r="G10657" s="495" t="s">
        <v>4179</v>
      </c>
      <c r="H10657" s="397"/>
      <c r="I10657" s="397"/>
      <c r="J10657" s="750" t="e">
        <f t="shared" si="138"/>
        <v>#DIV/0!</v>
      </c>
      <c r="K10657" s="398"/>
      <c r="L10657" s="398"/>
      <c r="M10657" s="682"/>
    </row>
    <row r="10658" spans="5:13" hidden="1" x14ac:dyDescent="0.2">
      <c r="F10658" s="494">
        <v>418</v>
      </c>
      <c r="G10658" s="495" t="s">
        <v>3773</v>
      </c>
      <c r="H10658" s="397"/>
      <c r="I10658" s="397"/>
      <c r="J10658" s="750" t="e">
        <f t="shared" si="138"/>
        <v>#DIV/0!</v>
      </c>
      <c r="K10658" s="398"/>
      <c r="L10658" s="398"/>
      <c r="M10658" s="682"/>
    </row>
    <row r="10659" spans="5:13" x14ac:dyDescent="0.2">
      <c r="E10659" s="464">
        <v>93</v>
      </c>
      <c r="F10659" s="494">
        <v>421</v>
      </c>
      <c r="G10659" s="495" t="s">
        <v>3777</v>
      </c>
      <c r="H10659" s="397">
        <v>7500000</v>
      </c>
      <c r="I10659" s="397">
        <v>6763139.3499999996</v>
      </c>
      <c r="J10659" s="750">
        <f t="shared" si="138"/>
        <v>90.175191333333331</v>
      </c>
      <c r="K10659" s="398"/>
      <c r="L10659" s="398"/>
      <c r="M10659" s="682"/>
    </row>
    <row r="10660" spans="5:13" hidden="1" x14ac:dyDescent="0.2">
      <c r="F10660" s="494">
        <v>422</v>
      </c>
      <c r="G10660" s="495" t="s">
        <v>3778</v>
      </c>
      <c r="H10660" s="397"/>
      <c r="I10660" s="397"/>
      <c r="J10660" s="750" t="e">
        <f t="shared" si="138"/>
        <v>#DIV/0!</v>
      </c>
      <c r="K10660" s="398"/>
      <c r="L10660" s="398"/>
      <c r="M10660" s="682"/>
    </row>
    <row r="10661" spans="5:13" hidden="1" x14ac:dyDescent="0.2">
      <c r="F10661" s="494">
        <v>423</v>
      </c>
      <c r="G10661" s="495" t="s">
        <v>3779</v>
      </c>
      <c r="H10661" s="397"/>
      <c r="I10661" s="397"/>
      <c r="J10661" s="750" t="e">
        <f t="shared" si="138"/>
        <v>#DIV/0!</v>
      </c>
      <c r="K10661" s="398"/>
      <c r="L10661" s="398"/>
      <c r="M10661" s="682"/>
    </row>
    <row r="10662" spans="5:13" hidden="1" x14ac:dyDescent="0.2">
      <c r="F10662" s="494">
        <v>424</v>
      </c>
      <c r="G10662" s="495" t="s">
        <v>3781</v>
      </c>
      <c r="H10662" s="397"/>
      <c r="I10662" s="397"/>
      <c r="J10662" s="750" t="e">
        <f t="shared" si="138"/>
        <v>#DIV/0!</v>
      </c>
      <c r="K10662" s="398"/>
      <c r="L10662" s="398"/>
      <c r="M10662" s="682"/>
    </row>
    <row r="10663" spans="5:13" x14ac:dyDescent="0.2">
      <c r="E10663" s="464">
        <v>94</v>
      </c>
      <c r="F10663" s="494">
        <v>425</v>
      </c>
      <c r="G10663" s="495" t="s">
        <v>4180</v>
      </c>
      <c r="H10663" s="397">
        <v>1300000</v>
      </c>
      <c r="I10663" s="397">
        <v>567720</v>
      </c>
      <c r="J10663" s="750">
        <f t="shared" si="138"/>
        <v>43.670769230769231</v>
      </c>
      <c r="K10663" s="398"/>
      <c r="L10663" s="398"/>
      <c r="M10663" s="682"/>
    </row>
    <row r="10664" spans="5:13" ht="13.5" thickBot="1" x14ac:dyDescent="0.25">
      <c r="E10664" s="464">
        <v>95</v>
      </c>
      <c r="F10664" s="494">
        <v>426</v>
      </c>
      <c r="G10664" s="495" t="s">
        <v>3785</v>
      </c>
      <c r="H10664" s="397">
        <v>1100000</v>
      </c>
      <c r="I10664" s="397">
        <v>1092138.43</v>
      </c>
      <c r="J10664" s="750">
        <f t="shared" si="138"/>
        <v>99.28531181818181</v>
      </c>
      <c r="K10664" s="398"/>
      <c r="L10664" s="398"/>
      <c r="M10664" s="682"/>
    </row>
    <row r="10665" spans="5:13" ht="13.5" hidden="1" thickBot="1" x14ac:dyDescent="0.25">
      <c r="F10665" s="494">
        <v>431</v>
      </c>
      <c r="G10665" s="495" t="s">
        <v>4181</v>
      </c>
      <c r="H10665" s="397"/>
      <c r="I10665" s="397"/>
      <c r="J10665" s="750" t="e">
        <f t="shared" si="138"/>
        <v>#DIV/0!</v>
      </c>
      <c r="K10665" s="398"/>
      <c r="L10665" s="398"/>
      <c r="M10665" s="682"/>
    </row>
    <row r="10666" spans="5:13" ht="13.5" hidden="1" thickBot="1" x14ac:dyDescent="0.25">
      <c r="F10666" s="494">
        <v>432</v>
      </c>
      <c r="G10666" s="495" t="s">
        <v>4182</v>
      </c>
      <c r="H10666" s="397"/>
      <c r="I10666" s="397"/>
      <c r="J10666" s="750" t="e">
        <f t="shared" si="138"/>
        <v>#DIV/0!</v>
      </c>
      <c r="K10666" s="398"/>
      <c r="L10666" s="398"/>
      <c r="M10666" s="682"/>
    </row>
    <row r="10667" spans="5:13" ht="13.5" hidden="1" thickBot="1" x14ac:dyDescent="0.25">
      <c r="F10667" s="494">
        <v>433</v>
      </c>
      <c r="G10667" s="495" t="s">
        <v>4183</v>
      </c>
      <c r="H10667" s="397"/>
      <c r="I10667" s="397"/>
      <c r="J10667" s="750" t="e">
        <f t="shared" si="138"/>
        <v>#DIV/0!</v>
      </c>
      <c r="K10667" s="398"/>
      <c r="L10667" s="398"/>
      <c r="M10667" s="682"/>
    </row>
    <row r="10668" spans="5:13" ht="13.5" hidden="1" thickBot="1" x14ac:dyDescent="0.25">
      <c r="F10668" s="494">
        <v>434</v>
      </c>
      <c r="G10668" s="495" t="s">
        <v>4184</v>
      </c>
      <c r="H10668" s="397"/>
      <c r="I10668" s="397"/>
      <c r="J10668" s="750" t="e">
        <f t="shared" si="138"/>
        <v>#DIV/0!</v>
      </c>
      <c r="K10668" s="398"/>
      <c r="L10668" s="398"/>
      <c r="M10668" s="682"/>
    </row>
    <row r="10669" spans="5:13" ht="13.5" hidden="1" thickBot="1" x14ac:dyDescent="0.25">
      <c r="F10669" s="494">
        <v>435</v>
      </c>
      <c r="G10669" s="495" t="s">
        <v>3792</v>
      </c>
      <c r="H10669" s="397"/>
      <c r="I10669" s="397"/>
      <c r="J10669" s="750" t="e">
        <f t="shared" si="138"/>
        <v>#DIV/0!</v>
      </c>
      <c r="K10669" s="398"/>
      <c r="L10669" s="398"/>
      <c r="M10669" s="682"/>
    </row>
    <row r="10670" spans="5:13" ht="13.5" hidden="1" thickBot="1" x14ac:dyDescent="0.25">
      <c r="F10670" s="494">
        <v>441</v>
      </c>
      <c r="G10670" s="495" t="s">
        <v>4185</v>
      </c>
      <c r="H10670" s="397"/>
      <c r="I10670" s="397"/>
      <c r="J10670" s="750" t="e">
        <f t="shared" si="138"/>
        <v>#DIV/0!</v>
      </c>
      <c r="K10670" s="398"/>
      <c r="L10670" s="398"/>
      <c r="M10670" s="682"/>
    </row>
    <row r="10671" spans="5:13" ht="13.5" hidden="1" thickBot="1" x14ac:dyDescent="0.25">
      <c r="F10671" s="494">
        <v>442</v>
      </c>
      <c r="G10671" s="495" t="s">
        <v>4186</v>
      </c>
      <c r="H10671" s="397"/>
      <c r="I10671" s="397"/>
      <c r="J10671" s="750" t="e">
        <f t="shared" si="138"/>
        <v>#DIV/0!</v>
      </c>
      <c r="K10671" s="398"/>
      <c r="L10671" s="398"/>
      <c r="M10671" s="682"/>
    </row>
    <row r="10672" spans="5:13" ht="13.5" hidden="1" thickBot="1" x14ac:dyDescent="0.25">
      <c r="F10672" s="494">
        <v>443</v>
      </c>
      <c r="G10672" s="495" t="s">
        <v>3797</v>
      </c>
      <c r="H10672" s="397"/>
      <c r="I10672" s="397"/>
      <c r="J10672" s="750" t="e">
        <f t="shared" si="138"/>
        <v>#DIV/0!</v>
      </c>
      <c r="K10672" s="398"/>
      <c r="L10672" s="398"/>
      <c r="M10672" s="682"/>
    </row>
    <row r="10673" spans="6:13" ht="13.5" hidden="1" thickBot="1" x14ac:dyDescent="0.25">
      <c r="F10673" s="494">
        <v>444</v>
      </c>
      <c r="G10673" s="495" t="s">
        <v>3798</v>
      </c>
      <c r="H10673" s="397"/>
      <c r="I10673" s="397"/>
      <c r="J10673" s="750" t="e">
        <f t="shared" si="138"/>
        <v>#DIV/0!</v>
      </c>
      <c r="K10673" s="398"/>
      <c r="L10673" s="398"/>
      <c r="M10673" s="682"/>
    </row>
    <row r="10674" spans="6:13" ht="26.25" hidden="1" thickBot="1" x14ac:dyDescent="0.25">
      <c r="F10674" s="494">
        <v>4511</v>
      </c>
      <c r="G10674" s="466" t="s">
        <v>1692</v>
      </c>
      <c r="H10674" s="397"/>
      <c r="I10674" s="397"/>
      <c r="J10674" s="750" t="e">
        <f t="shared" si="138"/>
        <v>#DIV/0!</v>
      </c>
      <c r="K10674" s="398"/>
      <c r="L10674" s="398"/>
      <c r="M10674" s="682"/>
    </row>
    <row r="10675" spans="6:13" ht="19.5" hidden="1" customHeight="1" x14ac:dyDescent="0.2">
      <c r="F10675" s="494">
        <v>4512</v>
      </c>
      <c r="G10675" s="466" t="s">
        <v>1701</v>
      </c>
      <c r="H10675" s="397"/>
      <c r="I10675" s="397"/>
      <c r="J10675" s="750" t="e">
        <f t="shared" si="138"/>
        <v>#DIV/0!</v>
      </c>
      <c r="K10675" s="398"/>
      <c r="L10675" s="398"/>
      <c r="M10675" s="682"/>
    </row>
    <row r="10676" spans="6:13" ht="26.25" hidden="1" thickBot="1" x14ac:dyDescent="0.25">
      <c r="F10676" s="494">
        <v>452</v>
      </c>
      <c r="G10676" s="495" t="s">
        <v>4187</v>
      </c>
      <c r="H10676" s="397"/>
      <c r="I10676" s="397"/>
      <c r="J10676" s="750" t="e">
        <f t="shared" si="138"/>
        <v>#DIV/0!</v>
      </c>
      <c r="K10676" s="398"/>
      <c r="L10676" s="398"/>
      <c r="M10676" s="682"/>
    </row>
    <row r="10677" spans="6:13" ht="26.25" hidden="1" thickBot="1" x14ac:dyDescent="0.25">
      <c r="F10677" s="494">
        <v>453</v>
      </c>
      <c r="G10677" s="495" t="s">
        <v>4188</v>
      </c>
      <c r="H10677" s="397"/>
      <c r="I10677" s="397"/>
      <c r="J10677" s="750" t="e">
        <f t="shared" si="138"/>
        <v>#DIV/0!</v>
      </c>
      <c r="K10677" s="398"/>
      <c r="L10677" s="398"/>
      <c r="M10677" s="682"/>
    </row>
    <row r="10678" spans="6:13" ht="13.5" hidden="1" thickBot="1" x14ac:dyDescent="0.25">
      <c r="F10678" s="494">
        <v>454</v>
      </c>
      <c r="G10678" s="495" t="s">
        <v>3803</v>
      </c>
      <c r="H10678" s="397"/>
      <c r="I10678" s="397"/>
      <c r="J10678" s="750" t="e">
        <f t="shared" si="138"/>
        <v>#DIV/0!</v>
      </c>
      <c r="K10678" s="398"/>
      <c r="L10678" s="398"/>
      <c r="M10678" s="682"/>
    </row>
    <row r="10679" spans="6:13" ht="13.5" hidden="1" thickBot="1" x14ac:dyDescent="0.25">
      <c r="F10679" s="494">
        <v>461</v>
      </c>
      <c r="G10679" s="495" t="s">
        <v>4169</v>
      </c>
      <c r="H10679" s="397"/>
      <c r="I10679" s="397"/>
      <c r="J10679" s="750" t="e">
        <f t="shared" si="138"/>
        <v>#DIV/0!</v>
      </c>
      <c r="K10679" s="398"/>
      <c r="L10679" s="398"/>
      <c r="M10679" s="682"/>
    </row>
    <row r="10680" spans="6:13" ht="26.25" hidden="1" thickBot="1" x14ac:dyDescent="0.25">
      <c r="F10680" s="494">
        <v>462</v>
      </c>
      <c r="G10680" s="495" t="s">
        <v>3806</v>
      </c>
      <c r="H10680" s="397"/>
      <c r="I10680" s="397"/>
      <c r="J10680" s="750" t="e">
        <f t="shared" si="138"/>
        <v>#DIV/0!</v>
      </c>
      <c r="K10680" s="398"/>
      <c r="L10680" s="398"/>
      <c r="M10680" s="682"/>
    </row>
    <row r="10681" spans="6:13" ht="13.5" hidden="1" thickBot="1" x14ac:dyDescent="0.25">
      <c r="F10681" s="494">
        <v>4631</v>
      </c>
      <c r="G10681" s="495" t="s">
        <v>3807</v>
      </c>
      <c r="H10681" s="397"/>
      <c r="I10681" s="397"/>
      <c r="J10681" s="750" t="e">
        <f t="shared" si="138"/>
        <v>#DIV/0!</v>
      </c>
      <c r="K10681" s="398"/>
      <c r="L10681" s="398"/>
      <c r="M10681" s="682"/>
    </row>
    <row r="10682" spans="6:13" ht="13.5" hidden="1" thickBot="1" x14ac:dyDescent="0.25">
      <c r="F10682" s="494">
        <v>4632</v>
      </c>
      <c r="G10682" s="495" t="s">
        <v>3808</v>
      </c>
      <c r="H10682" s="397"/>
      <c r="I10682" s="397"/>
      <c r="J10682" s="750" t="e">
        <f t="shared" si="138"/>
        <v>#DIV/0!</v>
      </c>
      <c r="K10682" s="398"/>
      <c r="L10682" s="398"/>
      <c r="M10682" s="682"/>
    </row>
    <row r="10683" spans="6:13" ht="26.25" hidden="1" thickBot="1" x14ac:dyDescent="0.25">
      <c r="F10683" s="494">
        <v>464</v>
      </c>
      <c r="G10683" s="495" t="s">
        <v>3809</v>
      </c>
      <c r="H10683" s="397"/>
      <c r="I10683" s="397"/>
      <c r="J10683" s="750" t="e">
        <f t="shared" si="138"/>
        <v>#DIV/0!</v>
      </c>
      <c r="K10683" s="398"/>
      <c r="L10683" s="398"/>
      <c r="M10683" s="682"/>
    </row>
    <row r="10684" spans="6:13" ht="13.5" hidden="1" thickBot="1" x14ac:dyDescent="0.25">
      <c r="F10684" s="494">
        <v>465</v>
      </c>
      <c r="G10684" s="495" t="s">
        <v>4170</v>
      </c>
      <c r="H10684" s="397"/>
      <c r="I10684" s="397"/>
      <c r="J10684" s="750" t="e">
        <f t="shared" si="138"/>
        <v>#DIV/0!</v>
      </c>
      <c r="K10684" s="398"/>
      <c r="L10684" s="398"/>
      <c r="M10684" s="682"/>
    </row>
    <row r="10685" spans="6:13" ht="13.5" hidden="1" thickBot="1" x14ac:dyDescent="0.25">
      <c r="F10685" s="494">
        <v>472</v>
      </c>
      <c r="G10685" s="495" t="s">
        <v>3813</v>
      </c>
      <c r="H10685" s="397"/>
      <c r="I10685" s="397"/>
      <c r="J10685" s="750" t="e">
        <f t="shared" si="138"/>
        <v>#DIV/0!</v>
      </c>
      <c r="K10685" s="398"/>
      <c r="L10685" s="398"/>
      <c r="M10685" s="682"/>
    </row>
    <row r="10686" spans="6:13" ht="13.5" hidden="1" thickBot="1" x14ac:dyDescent="0.25">
      <c r="F10686" s="494">
        <v>481</v>
      </c>
      <c r="G10686" s="495" t="s">
        <v>4189</v>
      </c>
      <c r="H10686" s="397"/>
      <c r="I10686" s="397"/>
      <c r="J10686" s="750" t="e">
        <f t="shared" si="138"/>
        <v>#DIV/0!</v>
      </c>
      <c r="K10686" s="398"/>
      <c r="L10686" s="398"/>
      <c r="M10686" s="682"/>
    </row>
    <row r="10687" spans="6:13" ht="13.5" hidden="1" thickBot="1" x14ac:dyDescent="0.25">
      <c r="F10687" s="494">
        <v>482</v>
      </c>
      <c r="G10687" s="495" t="s">
        <v>4190</v>
      </c>
      <c r="H10687" s="397"/>
      <c r="I10687" s="397"/>
      <c r="J10687" s="750" t="e">
        <f t="shared" si="138"/>
        <v>#DIV/0!</v>
      </c>
      <c r="K10687" s="398"/>
      <c r="L10687" s="398"/>
      <c r="M10687" s="682"/>
    </row>
    <row r="10688" spans="6:13" ht="13.5" hidden="1" thickBot="1" x14ac:dyDescent="0.25">
      <c r="F10688" s="494">
        <v>483</v>
      </c>
      <c r="G10688" s="497" t="s">
        <v>4191</v>
      </c>
      <c r="H10688" s="397"/>
      <c r="I10688" s="397"/>
      <c r="J10688" s="750" t="e">
        <f t="shared" si="138"/>
        <v>#DIV/0!</v>
      </c>
      <c r="K10688" s="398"/>
      <c r="L10688" s="398"/>
      <c r="M10688" s="682"/>
    </row>
    <row r="10689" spans="6:13" ht="39" hidden="1" thickBot="1" x14ac:dyDescent="0.25">
      <c r="F10689" s="494">
        <v>484</v>
      </c>
      <c r="G10689" s="495" t="s">
        <v>4192</v>
      </c>
      <c r="H10689" s="397"/>
      <c r="I10689" s="397"/>
      <c r="J10689" s="750" t="e">
        <f t="shared" si="138"/>
        <v>#DIV/0!</v>
      </c>
      <c r="K10689" s="398"/>
      <c r="L10689" s="398"/>
      <c r="M10689" s="682"/>
    </row>
    <row r="10690" spans="6:13" ht="26.25" hidden="1" thickBot="1" x14ac:dyDescent="0.25">
      <c r="F10690" s="494">
        <v>485</v>
      </c>
      <c r="G10690" s="495" t="s">
        <v>4193</v>
      </c>
      <c r="H10690" s="397"/>
      <c r="I10690" s="397"/>
      <c r="J10690" s="750" t="e">
        <f t="shared" si="138"/>
        <v>#DIV/0!</v>
      </c>
      <c r="K10690" s="398"/>
      <c r="L10690" s="398"/>
      <c r="M10690" s="682"/>
    </row>
    <row r="10691" spans="6:13" ht="26.25" hidden="1" thickBot="1" x14ac:dyDescent="0.25">
      <c r="F10691" s="494">
        <v>489</v>
      </c>
      <c r="G10691" s="495" t="s">
        <v>3821</v>
      </c>
      <c r="H10691" s="397"/>
      <c r="I10691" s="397"/>
      <c r="J10691" s="750" t="e">
        <f t="shared" si="138"/>
        <v>#DIV/0!</v>
      </c>
      <c r="K10691" s="398"/>
      <c r="L10691" s="398"/>
      <c r="M10691" s="682"/>
    </row>
    <row r="10692" spans="6:13" ht="26.25" hidden="1" thickBot="1" x14ac:dyDescent="0.25">
      <c r="F10692" s="494">
        <v>494</v>
      </c>
      <c r="G10692" s="495" t="s">
        <v>4171</v>
      </c>
      <c r="H10692" s="397"/>
      <c r="I10692" s="397"/>
      <c r="J10692" s="750" t="e">
        <f t="shared" si="138"/>
        <v>#DIV/0!</v>
      </c>
      <c r="K10692" s="398"/>
      <c r="L10692" s="398"/>
      <c r="M10692" s="682"/>
    </row>
    <row r="10693" spans="6:13" ht="26.25" hidden="1" thickBot="1" x14ac:dyDescent="0.25">
      <c r="F10693" s="494">
        <v>495</v>
      </c>
      <c r="G10693" s="495" t="s">
        <v>4172</v>
      </c>
      <c r="H10693" s="397"/>
      <c r="I10693" s="397"/>
      <c r="J10693" s="750" t="e">
        <f t="shared" si="138"/>
        <v>#DIV/0!</v>
      </c>
      <c r="K10693" s="398"/>
      <c r="L10693" s="398"/>
      <c r="M10693" s="682"/>
    </row>
    <row r="10694" spans="6:13" ht="39" hidden="1" thickBot="1" x14ac:dyDescent="0.25">
      <c r="F10694" s="494">
        <v>496</v>
      </c>
      <c r="G10694" s="495" t="s">
        <v>4173</v>
      </c>
      <c r="H10694" s="397"/>
      <c r="I10694" s="397"/>
      <c r="J10694" s="750" t="e">
        <f t="shared" si="138"/>
        <v>#DIV/0!</v>
      </c>
      <c r="K10694" s="398"/>
      <c r="L10694" s="398"/>
      <c r="M10694" s="682"/>
    </row>
    <row r="10695" spans="6:13" ht="26.25" hidden="1" thickBot="1" x14ac:dyDescent="0.25">
      <c r="F10695" s="494">
        <v>499</v>
      </c>
      <c r="G10695" s="495" t="s">
        <v>4174</v>
      </c>
      <c r="H10695" s="397"/>
      <c r="I10695" s="397"/>
      <c r="J10695" s="750" t="e">
        <f t="shared" si="138"/>
        <v>#DIV/0!</v>
      </c>
      <c r="K10695" s="398"/>
      <c r="L10695" s="398"/>
      <c r="M10695" s="682"/>
    </row>
    <row r="10696" spans="6:13" ht="13.5" hidden="1" thickBot="1" x14ac:dyDescent="0.25">
      <c r="F10696" s="494">
        <v>511</v>
      </c>
      <c r="G10696" s="497" t="s">
        <v>4194</v>
      </c>
      <c r="H10696" s="397"/>
      <c r="I10696" s="397"/>
      <c r="J10696" s="750" t="e">
        <f t="shared" si="138"/>
        <v>#DIV/0!</v>
      </c>
      <c r="K10696" s="398"/>
      <c r="L10696" s="398"/>
      <c r="M10696" s="682"/>
    </row>
    <row r="10697" spans="6:13" ht="13.5" hidden="1" thickBot="1" x14ac:dyDescent="0.25">
      <c r="F10697" s="494">
        <v>512</v>
      </c>
      <c r="G10697" s="497" t="s">
        <v>4195</v>
      </c>
      <c r="H10697" s="397"/>
      <c r="I10697" s="397"/>
      <c r="J10697" s="750" t="e">
        <f t="shared" si="138"/>
        <v>#DIV/0!</v>
      </c>
      <c r="K10697" s="398"/>
      <c r="L10697" s="398"/>
      <c r="M10697" s="682"/>
    </row>
    <row r="10698" spans="6:13" ht="13.5" hidden="1" thickBot="1" x14ac:dyDescent="0.25">
      <c r="F10698" s="494">
        <v>513</v>
      </c>
      <c r="G10698" s="497" t="s">
        <v>4196</v>
      </c>
      <c r="H10698" s="397"/>
      <c r="I10698" s="397"/>
      <c r="J10698" s="750" t="e">
        <f t="shared" si="138"/>
        <v>#DIV/0!</v>
      </c>
      <c r="K10698" s="398"/>
      <c r="L10698" s="398"/>
      <c r="M10698" s="682"/>
    </row>
    <row r="10699" spans="6:13" ht="13.5" hidden="1" thickBot="1" x14ac:dyDescent="0.25">
      <c r="F10699" s="494">
        <v>514</v>
      </c>
      <c r="G10699" s="495" t="s">
        <v>4197</v>
      </c>
      <c r="H10699" s="397"/>
      <c r="I10699" s="397"/>
      <c r="J10699" s="750" t="e">
        <f t="shared" si="138"/>
        <v>#DIV/0!</v>
      </c>
      <c r="K10699" s="398"/>
      <c r="L10699" s="398"/>
      <c r="M10699" s="682"/>
    </row>
    <row r="10700" spans="6:13" ht="13.5" hidden="1" thickBot="1" x14ac:dyDescent="0.25">
      <c r="F10700" s="494">
        <v>515</v>
      </c>
      <c r="G10700" s="495" t="s">
        <v>3832</v>
      </c>
      <c r="H10700" s="397"/>
      <c r="I10700" s="397"/>
      <c r="J10700" s="750" t="e">
        <f t="shared" si="138"/>
        <v>#DIV/0!</v>
      </c>
      <c r="K10700" s="398"/>
      <c r="L10700" s="398"/>
      <c r="M10700" s="682"/>
    </row>
    <row r="10701" spans="6:13" ht="13.5" hidden="1" thickBot="1" x14ac:dyDescent="0.25">
      <c r="F10701" s="494">
        <v>521</v>
      </c>
      <c r="G10701" s="495" t="s">
        <v>4198</v>
      </c>
      <c r="H10701" s="397"/>
      <c r="I10701" s="397"/>
      <c r="J10701" s="750" t="e">
        <f t="shared" si="138"/>
        <v>#DIV/0!</v>
      </c>
      <c r="K10701" s="398"/>
      <c r="L10701" s="398"/>
      <c r="M10701" s="682"/>
    </row>
    <row r="10702" spans="6:13" ht="13.5" hidden="1" thickBot="1" x14ac:dyDescent="0.25">
      <c r="F10702" s="494">
        <v>522</v>
      </c>
      <c r="G10702" s="495" t="s">
        <v>4199</v>
      </c>
      <c r="H10702" s="397"/>
      <c r="I10702" s="397"/>
      <c r="J10702" s="750" t="e">
        <f t="shared" ref="J10702:J10765" si="139">SUM(I10702/H10702)*100</f>
        <v>#DIV/0!</v>
      </c>
      <c r="K10702" s="398"/>
      <c r="L10702" s="398"/>
      <c r="M10702" s="682"/>
    </row>
    <row r="10703" spans="6:13" ht="13.5" hidden="1" thickBot="1" x14ac:dyDescent="0.25">
      <c r="F10703" s="494">
        <v>523</v>
      </c>
      <c r="G10703" s="495" t="s">
        <v>3837</v>
      </c>
      <c r="H10703" s="397"/>
      <c r="I10703" s="397"/>
      <c r="J10703" s="750" t="e">
        <f t="shared" si="139"/>
        <v>#DIV/0!</v>
      </c>
      <c r="K10703" s="398"/>
      <c r="L10703" s="398"/>
      <c r="M10703" s="682"/>
    </row>
    <row r="10704" spans="6:13" ht="13.5" hidden="1" thickBot="1" x14ac:dyDescent="0.25">
      <c r="F10704" s="494">
        <v>531</v>
      </c>
      <c r="G10704" s="496" t="s">
        <v>4175</v>
      </c>
      <c r="H10704" s="397"/>
      <c r="I10704" s="397"/>
      <c r="J10704" s="750" t="e">
        <f t="shared" si="139"/>
        <v>#DIV/0!</v>
      </c>
      <c r="K10704" s="398"/>
      <c r="L10704" s="398"/>
      <c r="M10704" s="682"/>
    </row>
    <row r="10705" spans="5:13" ht="13.5" hidden="1" thickBot="1" x14ac:dyDescent="0.25">
      <c r="F10705" s="494">
        <v>541</v>
      </c>
      <c r="G10705" s="495" t="s">
        <v>4200</v>
      </c>
      <c r="H10705" s="397"/>
      <c r="I10705" s="397"/>
      <c r="J10705" s="750" t="e">
        <f t="shared" si="139"/>
        <v>#DIV/0!</v>
      </c>
      <c r="K10705" s="398"/>
      <c r="L10705" s="398"/>
      <c r="M10705" s="682"/>
    </row>
    <row r="10706" spans="5:13" ht="13.5" hidden="1" thickBot="1" x14ac:dyDescent="0.25">
      <c r="F10706" s="494">
        <v>542</v>
      </c>
      <c r="G10706" s="495" t="s">
        <v>4201</v>
      </c>
      <c r="H10706" s="397"/>
      <c r="I10706" s="397"/>
      <c r="J10706" s="750" t="e">
        <f t="shared" si="139"/>
        <v>#DIV/0!</v>
      </c>
      <c r="K10706" s="398"/>
      <c r="L10706" s="398"/>
      <c r="M10706" s="682"/>
    </row>
    <row r="10707" spans="5:13" ht="13.5" hidden="1" thickBot="1" x14ac:dyDescent="0.25">
      <c r="F10707" s="494">
        <v>543</v>
      </c>
      <c r="G10707" s="495" t="s">
        <v>3842</v>
      </c>
      <c r="H10707" s="397"/>
      <c r="I10707" s="397"/>
      <c r="J10707" s="750" t="e">
        <f t="shared" si="139"/>
        <v>#DIV/0!</v>
      </c>
      <c r="K10707" s="398"/>
      <c r="L10707" s="398"/>
      <c r="M10707" s="682"/>
    </row>
    <row r="10708" spans="5:13" ht="39" hidden="1" thickBot="1" x14ac:dyDescent="0.25">
      <c r="F10708" s="494">
        <v>551</v>
      </c>
      <c r="G10708" s="495" t="s">
        <v>4176</v>
      </c>
      <c r="H10708" s="397"/>
      <c r="I10708" s="397"/>
      <c r="J10708" s="750" t="e">
        <f t="shared" si="139"/>
        <v>#DIV/0!</v>
      </c>
      <c r="K10708" s="398"/>
      <c r="L10708" s="398"/>
      <c r="M10708" s="682"/>
    </row>
    <row r="10709" spans="5:13" ht="13.5" hidden="1" thickBot="1" x14ac:dyDescent="0.25">
      <c r="F10709" s="498">
        <v>611</v>
      </c>
      <c r="G10709" s="499" t="s">
        <v>3848</v>
      </c>
      <c r="H10709" s="397"/>
      <c r="I10709" s="397"/>
      <c r="J10709" s="750" t="e">
        <f t="shared" si="139"/>
        <v>#DIV/0!</v>
      </c>
      <c r="K10709" s="398"/>
      <c r="L10709" s="398"/>
      <c r="M10709" s="682"/>
    </row>
    <row r="10710" spans="5:13" ht="13.5" hidden="1" thickBot="1" x14ac:dyDescent="0.25">
      <c r="F10710" s="498">
        <v>620</v>
      </c>
      <c r="G10710" s="499" t="s">
        <v>88</v>
      </c>
      <c r="H10710" s="397"/>
      <c r="I10710" s="397"/>
      <c r="J10710" s="750" t="e">
        <f t="shared" si="139"/>
        <v>#DIV/0!</v>
      </c>
      <c r="K10710" s="398"/>
      <c r="L10710" s="398"/>
      <c r="M10710" s="682"/>
    </row>
    <row r="10711" spans="5:13" x14ac:dyDescent="0.2">
      <c r="E10711" s="500"/>
      <c r="F10711" s="498"/>
      <c r="G10711" s="501" t="s">
        <v>4404</v>
      </c>
      <c r="H10711" s="400"/>
      <c r="I10711" s="400"/>
      <c r="J10711" s="750"/>
      <c r="K10711" s="401"/>
      <c r="L10711" s="402"/>
      <c r="M10711" s="682"/>
    </row>
    <row r="10712" spans="5:13" ht="13.5" thickBot="1" x14ac:dyDescent="0.25">
      <c r="E10712" s="502"/>
      <c r="F10712" s="503" t="s">
        <v>234</v>
      </c>
      <c r="G10712" s="504" t="s">
        <v>235</v>
      </c>
      <c r="H10712" s="403">
        <f>SUM(H10651:H10710)</f>
        <v>9900000</v>
      </c>
      <c r="I10712" s="403">
        <f>SUM(I10659:I10664)</f>
        <v>8422997.7799999993</v>
      </c>
      <c r="J10712" s="750">
        <f t="shared" si="139"/>
        <v>85.080785656565652</v>
      </c>
      <c r="K10712" s="404"/>
      <c r="L10712" s="404"/>
      <c r="M10712" s="682"/>
    </row>
    <row r="10713" spans="5:13" ht="13.5" hidden="1" thickBot="1" x14ac:dyDescent="0.25">
      <c r="F10713" s="503" t="s">
        <v>236</v>
      </c>
      <c r="G10713" s="504" t="s">
        <v>237</v>
      </c>
      <c r="H10713" s="397"/>
      <c r="I10713" s="397"/>
      <c r="J10713" s="750" t="e">
        <f t="shared" si="139"/>
        <v>#DIV/0!</v>
      </c>
      <c r="K10713" s="398"/>
      <c r="L10713" s="404"/>
      <c r="M10713" s="682"/>
    </row>
    <row r="10714" spans="5:13" ht="13.5" hidden="1" thickBot="1" x14ac:dyDescent="0.25">
      <c r="F10714" s="503" t="s">
        <v>238</v>
      </c>
      <c r="G10714" s="504" t="s">
        <v>239</v>
      </c>
      <c r="H10714" s="397"/>
      <c r="I10714" s="397"/>
      <c r="J10714" s="750" t="e">
        <f t="shared" si="139"/>
        <v>#DIV/0!</v>
      </c>
      <c r="K10714" s="398"/>
      <c r="L10714" s="404"/>
      <c r="M10714" s="682"/>
    </row>
    <row r="10715" spans="5:13" ht="13.5" hidden="1" thickBot="1" x14ac:dyDescent="0.25">
      <c r="F10715" s="503" t="s">
        <v>240</v>
      </c>
      <c r="G10715" s="504" t="s">
        <v>241</v>
      </c>
      <c r="H10715" s="397"/>
      <c r="I10715" s="397"/>
      <c r="J10715" s="750" t="e">
        <f t="shared" si="139"/>
        <v>#DIV/0!</v>
      </c>
      <c r="K10715" s="398"/>
      <c r="L10715" s="404"/>
      <c r="M10715" s="682"/>
    </row>
    <row r="10716" spans="5:13" ht="13.5" hidden="1" thickBot="1" x14ac:dyDescent="0.25">
      <c r="F10716" s="503" t="s">
        <v>242</v>
      </c>
      <c r="G10716" s="504" t="s">
        <v>243</v>
      </c>
      <c r="H10716" s="397"/>
      <c r="I10716" s="397"/>
      <c r="J10716" s="750" t="e">
        <f t="shared" si="139"/>
        <v>#DIV/0!</v>
      </c>
      <c r="K10716" s="398"/>
      <c r="L10716" s="404"/>
      <c r="M10716" s="682"/>
    </row>
    <row r="10717" spans="5:13" ht="13.5" hidden="1" thickBot="1" x14ac:dyDescent="0.25">
      <c r="F10717" s="503" t="s">
        <v>244</v>
      </c>
      <c r="G10717" s="504" t="s">
        <v>245</v>
      </c>
      <c r="H10717" s="397"/>
      <c r="I10717" s="397"/>
      <c r="J10717" s="750" t="e">
        <f t="shared" si="139"/>
        <v>#DIV/0!</v>
      </c>
      <c r="K10717" s="398"/>
      <c r="L10717" s="404"/>
      <c r="M10717" s="682"/>
    </row>
    <row r="10718" spans="5:13" ht="13.5" hidden="1" thickBot="1" x14ac:dyDescent="0.25">
      <c r="F10718" s="503" t="s">
        <v>246</v>
      </c>
      <c r="G10718" s="504" t="s">
        <v>247</v>
      </c>
      <c r="H10718" s="397"/>
      <c r="I10718" s="397"/>
      <c r="J10718" s="750" t="e">
        <f t="shared" si="139"/>
        <v>#DIV/0!</v>
      </c>
      <c r="K10718" s="398"/>
      <c r="L10718" s="404"/>
      <c r="M10718" s="682"/>
    </row>
    <row r="10719" spans="5:13" ht="26.25" hidden="1" thickBot="1" x14ac:dyDescent="0.25">
      <c r="F10719" s="503" t="s">
        <v>248</v>
      </c>
      <c r="G10719" s="504" t="s">
        <v>249</v>
      </c>
      <c r="H10719" s="397"/>
      <c r="I10719" s="397"/>
      <c r="J10719" s="750" t="e">
        <f t="shared" si="139"/>
        <v>#DIV/0!</v>
      </c>
      <c r="K10719" s="398"/>
      <c r="L10719" s="404"/>
      <c r="M10719" s="682"/>
    </row>
    <row r="10720" spans="5:13" ht="13.5" hidden="1" thickBot="1" x14ac:dyDescent="0.25">
      <c r="F10720" s="503" t="s">
        <v>250</v>
      </c>
      <c r="G10720" s="504" t="s">
        <v>57</v>
      </c>
      <c r="H10720" s="397"/>
      <c r="I10720" s="397"/>
      <c r="J10720" s="750" t="e">
        <f t="shared" si="139"/>
        <v>#DIV/0!</v>
      </c>
      <c r="K10720" s="398"/>
      <c r="L10720" s="404"/>
      <c r="M10720" s="682"/>
    </row>
    <row r="10721" spans="5:13" ht="13.5" hidden="1" thickBot="1" x14ac:dyDescent="0.25">
      <c r="F10721" s="503" t="s">
        <v>251</v>
      </c>
      <c r="G10721" s="504" t="s">
        <v>252</v>
      </c>
      <c r="H10721" s="397"/>
      <c r="I10721" s="397"/>
      <c r="J10721" s="750" t="e">
        <f t="shared" si="139"/>
        <v>#DIV/0!</v>
      </c>
      <c r="K10721" s="398"/>
      <c r="L10721" s="404"/>
      <c r="M10721" s="682"/>
    </row>
    <row r="10722" spans="5:13" ht="13.5" hidden="1" thickBot="1" x14ac:dyDescent="0.25">
      <c r="F10722" s="503" t="s">
        <v>253</v>
      </c>
      <c r="G10722" s="504" t="s">
        <v>254</v>
      </c>
      <c r="H10722" s="397"/>
      <c r="I10722" s="397"/>
      <c r="J10722" s="750" t="e">
        <f t="shared" si="139"/>
        <v>#DIV/0!</v>
      </c>
      <c r="K10722" s="398"/>
      <c r="L10722" s="404"/>
      <c r="M10722" s="682"/>
    </row>
    <row r="10723" spans="5:13" ht="26.25" hidden="1" thickBot="1" x14ac:dyDescent="0.25">
      <c r="F10723" s="503" t="s">
        <v>255</v>
      </c>
      <c r="G10723" s="504" t="s">
        <v>256</v>
      </c>
      <c r="H10723" s="397"/>
      <c r="I10723" s="397"/>
      <c r="J10723" s="750" t="e">
        <f t="shared" si="139"/>
        <v>#DIV/0!</v>
      </c>
      <c r="K10723" s="398"/>
      <c r="L10723" s="404"/>
      <c r="M10723" s="682"/>
    </row>
    <row r="10724" spans="5:13" ht="26.25" hidden="1" thickBot="1" x14ac:dyDescent="0.25">
      <c r="F10724" s="503" t="s">
        <v>257</v>
      </c>
      <c r="G10724" s="504" t="s">
        <v>258</v>
      </c>
      <c r="H10724" s="397"/>
      <c r="I10724" s="397"/>
      <c r="J10724" s="750" t="e">
        <f t="shared" si="139"/>
        <v>#DIV/0!</v>
      </c>
      <c r="K10724" s="398"/>
      <c r="L10724" s="404"/>
      <c r="M10724" s="682"/>
    </row>
    <row r="10725" spans="5:13" ht="26.25" hidden="1" thickBot="1" x14ac:dyDescent="0.25">
      <c r="F10725" s="503" t="s">
        <v>259</v>
      </c>
      <c r="G10725" s="504" t="s">
        <v>260</v>
      </c>
      <c r="H10725" s="397"/>
      <c r="I10725" s="397"/>
      <c r="J10725" s="750" t="e">
        <f t="shared" si="139"/>
        <v>#DIV/0!</v>
      </c>
      <c r="K10725" s="398"/>
      <c r="L10725" s="404"/>
      <c r="M10725" s="682"/>
    </row>
    <row r="10726" spans="5:13" ht="26.25" hidden="1" thickBot="1" x14ac:dyDescent="0.25">
      <c r="F10726" s="503" t="s">
        <v>261</v>
      </c>
      <c r="G10726" s="504" t="s">
        <v>262</v>
      </c>
      <c r="H10726" s="397"/>
      <c r="I10726" s="397"/>
      <c r="J10726" s="750" t="e">
        <f t="shared" si="139"/>
        <v>#DIV/0!</v>
      </c>
      <c r="K10726" s="398"/>
      <c r="L10726" s="404"/>
      <c r="M10726" s="682"/>
    </row>
    <row r="10727" spans="5:13" ht="13.5" hidden="1" thickBot="1" x14ac:dyDescent="0.25">
      <c r="F10727" s="503" t="s">
        <v>263</v>
      </c>
      <c r="G10727" s="504" t="s">
        <v>264</v>
      </c>
      <c r="H10727" s="403"/>
      <c r="I10727" s="403"/>
      <c r="J10727" s="750" t="e">
        <f t="shared" si="139"/>
        <v>#DIV/0!</v>
      </c>
      <c r="K10727" s="404"/>
      <c r="L10727" s="404"/>
      <c r="M10727" s="682"/>
    </row>
    <row r="10728" spans="5:13" ht="13.5" customHeight="1" thickBot="1" x14ac:dyDescent="0.25">
      <c r="G10728" s="505" t="s">
        <v>4405</v>
      </c>
      <c r="H10728" s="405">
        <f>SUM(H10712:H10727)</f>
        <v>9900000</v>
      </c>
      <c r="I10728" s="405">
        <f>SUM(I10712)</f>
        <v>8422997.7799999993</v>
      </c>
      <c r="J10728" s="750">
        <f t="shared" si="139"/>
        <v>85.080785656565652</v>
      </c>
      <c r="K10728" s="406">
        <f>SUM(K10713:K10727)</f>
        <v>0</v>
      </c>
      <c r="L10728" s="406"/>
      <c r="M10728" s="682"/>
    </row>
    <row r="10729" spans="5:13" ht="24.75" customHeight="1" collapsed="1" x14ac:dyDescent="0.2">
      <c r="E10729" s="500"/>
      <c r="F10729" s="498"/>
      <c r="G10729" s="506" t="s">
        <v>4423</v>
      </c>
      <c r="H10729" s="407"/>
      <c r="I10729" s="408"/>
      <c r="J10729" s="750"/>
      <c r="K10729" s="409"/>
      <c r="L10729" s="410"/>
      <c r="M10729" s="682"/>
    </row>
    <row r="10730" spans="5:13" ht="13.5" thickBot="1" x14ac:dyDescent="0.25">
      <c r="E10730" s="502"/>
      <c r="F10730" s="503" t="s">
        <v>234</v>
      </c>
      <c r="G10730" s="504" t="s">
        <v>235</v>
      </c>
      <c r="H10730" s="403">
        <f>SUM(H10651:H10710)</f>
        <v>9900000</v>
      </c>
      <c r="I10730" s="403">
        <f>SUM(I10712)</f>
        <v>8422997.7799999993</v>
      </c>
      <c r="J10730" s="750">
        <f t="shared" si="139"/>
        <v>85.080785656565652</v>
      </c>
      <c r="K10730" s="404"/>
      <c r="L10730" s="404"/>
      <c r="M10730" s="682"/>
    </row>
    <row r="10731" spans="5:13" ht="13.5" hidden="1" thickBot="1" x14ac:dyDescent="0.25">
      <c r="F10731" s="503" t="s">
        <v>236</v>
      </c>
      <c r="G10731" s="504" t="s">
        <v>237</v>
      </c>
      <c r="H10731" s="397"/>
      <c r="I10731" s="397"/>
      <c r="J10731" s="750" t="e">
        <f t="shared" si="139"/>
        <v>#DIV/0!</v>
      </c>
      <c r="K10731" s="398"/>
      <c r="L10731" s="404"/>
      <c r="M10731" s="682"/>
    </row>
    <row r="10732" spans="5:13" ht="13.5" hidden="1" thickBot="1" x14ac:dyDescent="0.25">
      <c r="F10732" s="503" t="s">
        <v>238</v>
      </c>
      <c r="G10732" s="504" t="s">
        <v>239</v>
      </c>
      <c r="H10732" s="397"/>
      <c r="I10732" s="397"/>
      <c r="J10732" s="750" t="e">
        <f t="shared" si="139"/>
        <v>#DIV/0!</v>
      </c>
      <c r="K10732" s="398"/>
      <c r="L10732" s="404"/>
      <c r="M10732" s="682"/>
    </row>
    <row r="10733" spans="5:13" ht="13.5" hidden="1" thickBot="1" x14ac:dyDescent="0.25">
      <c r="F10733" s="503" t="s">
        <v>240</v>
      </c>
      <c r="G10733" s="504" t="s">
        <v>241</v>
      </c>
      <c r="H10733" s="397"/>
      <c r="I10733" s="397"/>
      <c r="J10733" s="750" t="e">
        <f t="shared" si="139"/>
        <v>#DIV/0!</v>
      </c>
      <c r="K10733" s="398"/>
      <c r="L10733" s="404"/>
      <c r="M10733" s="682"/>
    </row>
    <row r="10734" spans="5:13" ht="13.5" hidden="1" thickBot="1" x14ac:dyDescent="0.25">
      <c r="F10734" s="503" t="s">
        <v>242</v>
      </c>
      <c r="G10734" s="504" t="s">
        <v>243</v>
      </c>
      <c r="H10734" s="397"/>
      <c r="I10734" s="397"/>
      <c r="J10734" s="750" t="e">
        <f t="shared" si="139"/>
        <v>#DIV/0!</v>
      </c>
      <c r="K10734" s="398"/>
      <c r="L10734" s="404"/>
      <c r="M10734" s="682"/>
    </row>
    <row r="10735" spans="5:13" ht="13.5" hidden="1" thickBot="1" x14ac:dyDescent="0.25">
      <c r="F10735" s="503" t="s">
        <v>244</v>
      </c>
      <c r="G10735" s="504" t="s">
        <v>245</v>
      </c>
      <c r="H10735" s="397"/>
      <c r="I10735" s="397"/>
      <c r="J10735" s="750" t="e">
        <f t="shared" si="139"/>
        <v>#DIV/0!</v>
      </c>
      <c r="K10735" s="398"/>
      <c r="L10735" s="404"/>
      <c r="M10735" s="682"/>
    </row>
    <row r="10736" spans="5:13" ht="13.5" hidden="1" thickBot="1" x14ac:dyDescent="0.25">
      <c r="F10736" s="503" t="s">
        <v>246</v>
      </c>
      <c r="G10736" s="504" t="s">
        <v>247</v>
      </c>
      <c r="H10736" s="397"/>
      <c r="I10736" s="397"/>
      <c r="J10736" s="750" t="e">
        <f t="shared" si="139"/>
        <v>#DIV/0!</v>
      </c>
      <c r="K10736" s="398"/>
      <c r="L10736" s="404"/>
      <c r="M10736" s="682"/>
    </row>
    <row r="10737" spans="1:27" ht="26.25" hidden="1" thickBot="1" x14ac:dyDescent="0.25">
      <c r="F10737" s="503" t="s">
        <v>248</v>
      </c>
      <c r="G10737" s="504" t="s">
        <v>249</v>
      </c>
      <c r="H10737" s="397"/>
      <c r="I10737" s="397"/>
      <c r="J10737" s="750" t="e">
        <f t="shared" si="139"/>
        <v>#DIV/0!</v>
      </c>
      <c r="K10737" s="398"/>
      <c r="L10737" s="404"/>
      <c r="M10737" s="682"/>
    </row>
    <row r="10738" spans="1:27" ht="13.5" hidden="1" thickBot="1" x14ac:dyDescent="0.25">
      <c r="F10738" s="503" t="s">
        <v>250</v>
      </c>
      <c r="G10738" s="504" t="s">
        <v>57</v>
      </c>
      <c r="H10738" s="397"/>
      <c r="I10738" s="397"/>
      <c r="J10738" s="750" t="e">
        <f t="shared" si="139"/>
        <v>#DIV/0!</v>
      </c>
      <c r="K10738" s="398"/>
      <c r="L10738" s="404"/>
      <c r="M10738" s="682"/>
    </row>
    <row r="10739" spans="1:27" ht="13.5" hidden="1" thickBot="1" x14ac:dyDescent="0.25">
      <c r="F10739" s="503" t="s">
        <v>251</v>
      </c>
      <c r="G10739" s="504" t="s">
        <v>252</v>
      </c>
      <c r="H10739" s="397"/>
      <c r="I10739" s="397"/>
      <c r="J10739" s="750" t="e">
        <f t="shared" si="139"/>
        <v>#DIV/0!</v>
      </c>
      <c r="K10739" s="398"/>
      <c r="L10739" s="404"/>
      <c r="M10739" s="682"/>
    </row>
    <row r="10740" spans="1:27" ht="13.5" hidden="1" thickBot="1" x14ac:dyDescent="0.25">
      <c r="F10740" s="503" t="s">
        <v>253</v>
      </c>
      <c r="G10740" s="504" t="s">
        <v>254</v>
      </c>
      <c r="H10740" s="397"/>
      <c r="I10740" s="397"/>
      <c r="J10740" s="750" t="e">
        <f t="shared" si="139"/>
        <v>#DIV/0!</v>
      </c>
      <c r="K10740" s="398"/>
      <c r="L10740" s="404"/>
      <c r="M10740" s="682"/>
    </row>
    <row r="10741" spans="1:27" ht="26.25" hidden="1" thickBot="1" x14ac:dyDescent="0.25">
      <c r="F10741" s="503" t="s">
        <v>255</v>
      </c>
      <c r="G10741" s="504" t="s">
        <v>256</v>
      </c>
      <c r="H10741" s="397"/>
      <c r="I10741" s="397"/>
      <c r="J10741" s="750" t="e">
        <f t="shared" si="139"/>
        <v>#DIV/0!</v>
      </c>
      <c r="K10741" s="398"/>
      <c r="L10741" s="404"/>
      <c r="M10741" s="682"/>
    </row>
    <row r="10742" spans="1:27" ht="26.25" hidden="1" thickBot="1" x14ac:dyDescent="0.25">
      <c r="F10742" s="503" t="s">
        <v>257</v>
      </c>
      <c r="G10742" s="504" t="s">
        <v>258</v>
      </c>
      <c r="H10742" s="397"/>
      <c r="I10742" s="397"/>
      <c r="J10742" s="750" t="e">
        <f t="shared" si="139"/>
        <v>#DIV/0!</v>
      </c>
      <c r="K10742" s="398"/>
      <c r="L10742" s="404"/>
      <c r="M10742" s="682"/>
    </row>
    <row r="10743" spans="1:27" ht="26.25" hidden="1" thickBot="1" x14ac:dyDescent="0.25">
      <c r="F10743" s="503" t="s">
        <v>259</v>
      </c>
      <c r="G10743" s="504" t="s">
        <v>260</v>
      </c>
      <c r="H10743" s="397"/>
      <c r="I10743" s="397"/>
      <c r="J10743" s="750" t="e">
        <f t="shared" si="139"/>
        <v>#DIV/0!</v>
      </c>
      <c r="K10743" s="398"/>
      <c r="L10743" s="404"/>
      <c r="M10743" s="682"/>
    </row>
    <row r="10744" spans="1:27" ht="26.25" hidden="1" thickBot="1" x14ac:dyDescent="0.25">
      <c r="F10744" s="503" t="s">
        <v>261</v>
      </c>
      <c r="G10744" s="504" t="s">
        <v>262</v>
      </c>
      <c r="H10744" s="397"/>
      <c r="I10744" s="397"/>
      <c r="J10744" s="750" t="e">
        <f t="shared" si="139"/>
        <v>#DIV/0!</v>
      </c>
      <c r="K10744" s="398"/>
      <c r="L10744" s="404"/>
      <c r="M10744" s="682"/>
    </row>
    <row r="10745" spans="1:27" ht="13.5" hidden="1" thickBot="1" x14ac:dyDescent="0.25">
      <c r="F10745" s="503" t="s">
        <v>263</v>
      </c>
      <c r="G10745" s="504" t="s">
        <v>264</v>
      </c>
      <c r="H10745" s="403"/>
      <c r="I10745" s="403"/>
      <c r="J10745" s="750" t="e">
        <f t="shared" si="139"/>
        <v>#DIV/0!</v>
      </c>
      <c r="K10745" s="404"/>
      <c r="L10745" s="404"/>
      <c r="M10745" s="682"/>
    </row>
    <row r="10746" spans="1:27" ht="14.25" customHeight="1" collapsed="1" thickBot="1" x14ac:dyDescent="0.25">
      <c r="G10746" s="505" t="s">
        <v>4424</v>
      </c>
      <c r="H10746" s="405">
        <f>SUM(H10730:H10745)</f>
        <v>9900000</v>
      </c>
      <c r="I10746" s="405">
        <f>SUM(I10730)</f>
        <v>8422997.7799999993</v>
      </c>
      <c r="J10746" s="750">
        <f t="shared" si="139"/>
        <v>85.080785656565652</v>
      </c>
      <c r="K10746" s="406">
        <f>SUM(K10731:K10745)</f>
        <v>0</v>
      </c>
      <c r="L10746" s="406"/>
      <c r="M10746" s="682"/>
    </row>
    <row r="10747" spans="1:27" ht="6.75" hidden="1" customHeight="1" x14ac:dyDescent="0.2">
      <c r="H10747" s="397"/>
      <c r="I10747" s="397"/>
      <c r="J10747" s="750" t="e">
        <f t="shared" si="139"/>
        <v>#DIV/0!</v>
      </c>
      <c r="K10747" s="398"/>
      <c r="L10747" s="398"/>
      <c r="M10747" s="682"/>
    </row>
    <row r="10748" spans="1:27" s="530" customFormat="1" hidden="1" x14ac:dyDescent="0.2">
      <c r="A10748" s="526"/>
      <c r="B10748" s="527"/>
      <c r="C10748" s="531" t="s">
        <v>4073</v>
      </c>
      <c r="D10748" s="490"/>
      <c r="E10748" s="490"/>
      <c r="F10748" s="532"/>
      <c r="G10748" s="644" t="s">
        <v>4305</v>
      </c>
      <c r="H10748" s="422"/>
      <c r="I10748" s="422"/>
      <c r="J10748" s="750" t="e">
        <f t="shared" si="139"/>
        <v>#DIV/0!</v>
      </c>
      <c r="K10748" s="423"/>
      <c r="L10748" s="424"/>
      <c r="M10748" s="682"/>
      <c r="N10748" s="171"/>
      <c r="O10748" s="171"/>
      <c r="P10748" s="171"/>
      <c r="Q10748" s="171"/>
      <c r="R10748" s="171"/>
      <c r="S10748" s="171"/>
      <c r="T10748" s="171"/>
      <c r="U10748" s="171"/>
      <c r="V10748" s="171"/>
      <c r="W10748" s="171"/>
      <c r="X10748" s="171"/>
      <c r="Y10748" s="171"/>
      <c r="Z10748" s="171"/>
      <c r="AA10748" s="171"/>
    </row>
    <row r="10749" spans="1:27" ht="25.5" hidden="1" x14ac:dyDescent="0.2">
      <c r="C10749" s="489"/>
      <c r="D10749" s="492">
        <v>660</v>
      </c>
      <c r="E10749" s="492"/>
      <c r="F10749" s="492"/>
      <c r="G10749" s="493" t="s">
        <v>186</v>
      </c>
      <c r="H10749" s="397"/>
      <c r="I10749" s="397"/>
      <c r="J10749" s="750" t="e">
        <f t="shared" si="139"/>
        <v>#DIV/0!</v>
      </c>
      <c r="K10749" s="398"/>
      <c r="L10749" s="398"/>
      <c r="M10749" s="682"/>
    </row>
    <row r="10750" spans="1:27" hidden="1" x14ac:dyDescent="0.2">
      <c r="F10750" s="494">
        <v>411</v>
      </c>
      <c r="G10750" s="495" t="s">
        <v>4167</v>
      </c>
      <c r="H10750" s="397"/>
      <c r="I10750" s="397"/>
      <c r="J10750" s="750" t="e">
        <f t="shared" si="139"/>
        <v>#DIV/0!</v>
      </c>
      <c r="K10750" s="398"/>
      <c r="L10750" s="398"/>
      <c r="M10750" s="682"/>
    </row>
    <row r="10751" spans="1:27" hidden="1" x14ac:dyDescent="0.2">
      <c r="F10751" s="494">
        <v>412</v>
      </c>
      <c r="G10751" s="496" t="s">
        <v>3764</v>
      </c>
      <c r="H10751" s="397"/>
      <c r="I10751" s="397"/>
      <c r="J10751" s="750" t="e">
        <f t="shared" si="139"/>
        <v>#DIV/0!</v>
      </c>
      <c r="K10751" s="398"/>
      <c r="L10751" s="398"/>
      <c r="M10751" s="682"/>
    </row>
    <row r="10752" spans="1:27" hidden="1" x14ac:dyDescent="0.2">
      <c r="F10752" s="494">
        <v>413</v>
      </c>
      <c r="G10752" s="495" t="s">
        <v>4168</v>
      </c>
      <c r="H10752" s="397"/>
      <c r="I10752" s="397"/>
      <c r="J10752" s="750" t="e">
        <f t="shared" si="139"/>
        <v>#DIV/0!</v>
      </c>
      <c r="K10752" s="398"/>
      <c r="L10752" s="398"/>
      <c r="M10752" s="682"/>
    </row>
    <row r="10753" spans="6:13" hidden="1" x14ac:dyDescent="0.2">
      <c r="F10753" s="494">
        <v>414</v>
      </c>
      <c r="G10753" s="495" t="s">
        <v>3767</v>
      </c>
      <c r="H10753" s="397"/>
      <c r="I10753" s="397"/>
      <c r="J10753" s="750" t="e">
        <f t="shared" si="139"/>
        <v>#DIV/0!</v>
      </c>
      <c r="K10753" s="398"/>
      <c r="L10753" s="398"/>
      <c r="M10753" s="682"/>
    </row>
    <row r="10754" spans="6:13" hidden="1" x14ac:dyDescent="0.2">
      <c r="F10754" s="494">
        <v>415</v>
      </c>
      <c r="G10754" s="495" t="s">
        <v>4177</v>
      </c>
      <c r="H10754" s="397"/>
      <c r="I10754" s="397"/>
      <c r="J10754" s="750" t="e">
        <f t="shared" si="139"/>
        <v>#DIV/0!</v>
      </c>
      <c r="K10754" s="398"/>
      <c r="L10754" s="398"/>
      <c r="M10754" s="682"/>
    </row>
    <row r="10755" spans="6:13" ht="25.5" hidden="1" x14ac:dyDescent="0.2">
      <c r="F10755" s="494">
        <v>416</v>
      </c>
      <c r="G10755" s="495" t="s">
        <v>4178</v>
      </c>
      <c r="H10755" s="397"/>
      <c r="I10755" s="397"/>
      <c r="J10755" s="750" t="e">
        <f t="shared" si="139"/>
        <v>#DIV/0!</v>
      </c>
      <c r="K10755" s="398"/>
      <c r="L10755" s="398"/>
      <c r="M10755" s="682"/>
    </row>
    <row r="10756" spans="6:13" hidden="1" x14ac:dyDescent="0.2">
      <c r="F10756" s="494">
        <v>417</v>
      </c>
      <c r="G10756" s="495" t="s">
        <v>4179</v>
      </c>
      <c r="H10756" s="397"/>
      <c r="I10756" s="397"/>
      <c r="J10756" s="750" t="e">
        <f t="shared" si="139"/>
        <v>#DIV/0!</v>
      </c>
      <c r="K10756" s="398"/>
      <c r="L10756" s="398"/>
      <c r="M10756" s="682"/>
    </row>
    <row r="10757" spans="6:13" hidden="1" x14ac:dyDescent="0.2">
      <c r="F10757" s="494">
        <v>418</v>
      </c>
      <c r="G10757" s="495" t="s">
        <v>3773</v>
      </c>
      <c r="H10757" s="397"/>
      <c r="I10757" s="397"/>
      <c r="J10757" s="750" t="e">
        <f t="shared" si="139"/>
        <v>#DIV/0!</v>
      </c>
      <c r="K10757" s="398"/>
      <c r="L10757" s="398"/>
      <c r="M10757" s="682"/>
    </row>
    <row r="10758" spans="6:13" hidden="1" x14ac:dyDescent="0.2">
      <c r="F10758" s="494">
        <v>421</v>
      </c>
      <c r="G10758" s="495" t="s">
        <v>3777</v>
      </c>
      <c r="H10758" s="397"/>
      <c r="I10758" s="397"/>
      <c r="J10758" s="750" t="e">
        <f t="shared" si="139"/>
        <v>#DIV/0!</v>
      </c>
      <c r="K10758" s="398"/>
      <c r="L10758" s="398"/>
      <c r="M10758" s="682"/>
    </row>
    <row r="10759" spans="6:13" hidden="1" x14ac:dyDescent="0.2">
      <c r="F10759" s="494">
        <v>422</v>
      </c>
      <c r="G10759" s="495" t="s">
        <v>3778</v>
      </c>
      <c r="H10759" s="397"/>
      <c r="I10759" s="397"/>
      <c r="J10759" s="750" t="e">
        <f t="shared" si="139"/>
        <v>#DIV/0!</v>
      </c>
      <c r="K10759" s="398"/>
      <c r="L10759" s="398"/>
      <c r="M10759" s="682"/>
    </row>
    <row r="10760" spans="6:13" hidden="1" x14ac:dyDescent="0.2">
      <c r="F10760" s="494">
        <v>423</v>
      </c>
      <c r="G10760" s="495" t="s">
        <v>3779</v>
      </c>
      <c r="H10760" s="397"/>
      <c r="I10760" s="397"/>
      <c r="J10760" s="750" t="e">
        <f t="shared" si="139"/>
        <v>#DIV/0!</v>
      </c>
      <c r="K10760" s="398"/>
      <c r="L10760" s="398"/>
      <c r="M10760" s="682"/>
    </row>
    <row r="10761" spans="6:13" hidden="1" x14ac:dyDescent="0.2">
      <c r="F10761" s="494">
        <v>424</v>
      </c>
      <c r="G10761" s="495" t="s">
        <v>3781</v>
      </c>
      <c r="H10761" s="397"/>
      <c r="I10761" s="397"/>
      <c r="J10761" s="750" t="e">
        <f t="shared" si="139"/>
        <v>#DIV/0!</v>
      </c>
      <c r="K10761" s="398"/>
      <c r="L10761" s="398"/>
      <c r="M10761" s="682"/>
    </row>
    <row r="10762" spans="6:13" hidden="1" x14ac:dyDescent="0.2">
      <c r="F10762" s="494">
        <v>425</v>
      </c>
      <c r="G10762" s="495" t="s">
        <v>4180</v>
      </c>
      <c r="H10762" s="397"/>
      <c r="I10762" s="397"/>
      <c r="J10762" s="750" t="e">
        <f t="shared" si="139"/>
        <v>#DIV/0!</v>
      </c>
      <c r="K10762" s="398"/>
      <c r="L10762" s="398"/>
      <c r="M10762" s="682"/>
    </row>
    <row r="10763" spans="6:13" hidden="1" x14ac:dyDescent="0.2">
      <c r="F10763" s="494">
        <v>426</v>
      </c>
      <c r="G10763" s="495" t="s">
        <v>3785</v>
      </c>
      <c r="H10763" s="397"/>
      <c r="I10763" s="397"/>
      <c r="J10763" s="750" t="e">
        <f t="shared" si="139"/>
        <v>#DIV/0!</v>
      </c>
      <c r="K10763" s="398"/>
      <c r="L10763" s="398"/>
      <c r="M10763" s="682"/>
    </row>
    <row r="10764" spans="6:13" hidden="1" x14ac:dyDescent="0.2">
      <c r="F10764" s="494">
        <v>431</v>
      </c>
      <c r="G10764" s="495" t="s">
        <v>4181</v>
      </c>
      <c r="H10764" s="397"/>
      <c r="I10764" s="397"/>
      <c r="J10764" s="750" t="e">
        <f t="shared" si="139"/>
        <v>#DIV/0!</v>
      </c>
      <c r="K10764" s="398"/>
      <c r="L10764" s="398"/>
      <c r="M10764" s="682"/>
    </row>
    <row r="10765" spans="6:13" hidden="1" x14ac:dyDescent="0.2">
      <c r="F10765" s="494">
        <v>432</v>
      </c>
      <c r="G10765" s="495" t="s">
        <v>4182</v>
      </c>
      <c r="H10765" s="397"/>
      <c r="I10765" s="397"/>
      <c r="J10765" s="750" t="e">
        <f t="shared" si="139"/>
        <v>#DIV/0!</v>
      </c>
      <c r="K10765" s="398"/>
      <c r="L10765" s="398"/>
      <c r="M10765" s="682"/>
    </row>
    <row r="10766" spans="6:13" hidden="1" x14ac:dyDescent="0.2">
      <c r="F10766" s="494">
        <v>433</v>
      </c>
      <c r="G10766" s="495" t="s">
        <v>4183</v>
      </c>
      <c r="H10766" s="397"/>
      <c r="I10766" s="397"/>
      <c r="J10766" s="750" t="e">
        <f t="shared" ref="J10766:J10829" si="140">SUM(I10766/H10766)*100</f>
        <v>#DIV/0!</v>
      </c>
      <c r="K10766" s="398"/>
      <c r="L10766" s="398"/>
      <c r="M10766" s="682"/>
    </row>
    <row r="10767" spans="6:13" hidden="1" x14ac:dyDescent="0.2">
      <c r="F10767" s="494">
        <v>434</v>
      </c>
      <c r="G10767" s="495" t="s">
        <v>4184</v>
      </c>
      <c r="H10767" s="397"/>
      <c r="I10767" s="397"/>
      <c r="J10767" s="750" t="e">
        <f t="shared" si="140"/>
        <v>#DIV/0!</v>
      </c>
      <c r="K10767" s="398"/>
      <c r="L10767" s="398"/>
      <c r="M10767" s="682"/>
    </row>
    <row r="10768" spans="6:13" hidden="1" x14ac:dyDescent="0.2">
      <c r="F10768" s="494">
        <v>435</v>
      </c>
      <c r="G10768" s="495" t="s">
        <v>3792</v>
      </c>
      <c r="H10768" s="397"/>
      <c r="I10768" s="397"/>
      <c r="J10768" s="750" t="e">
        <f t="shared" si="140"/>
        <v>#DIV/0!</v>
      </c>
      <c r="K10768" s="398"/>
      <c r="L10768" s="398"/>
      <c r="M10768" s="682"/>
    </row>
    <row r="10769" spans="6:13" hidden="1" x14ac:dyDescent="0.2">
      <c r="F10769" s="494">
        <v>441</v>
      </c>
      <c r="G10769" s="495" t="s">
        <v>4185</v>
      </c>
      <c r="H10769" s="397"/>
      <c r="I10769" s="397"/>
      <c r="J10769" s="750" t="e">
        <f t="shared" si="140"/>
        <v>#DIV/0!</v>
      </c>
      <c r="K10769" s="398"/>
      <c r="L10769" s="398"/>
      <c r="M10769" s="682"/>
    </row>
    <row r="10770" spans="6:13" hidden="1" x14ac:dyDescent="0.2">
      <c r="F10770" s="494">
        <v>442</v>
      </c>
      <c r="G10770" s="495" t="s">
        <v>4186</v>
      </c>
      <c r="H10770" s="397"/>
      <c r="I10770" s="397"/>
      <c r="J10770" s="750" t="e">
        <f t="shared" si="140"/>
        <v>#DIV/0!</v>
      </c>
      <c r="K10770" s="398"/>
      <c r="L10770" s="398"/>
      <c r="M10770" s="682"/>
    </row>
    <row r="10771" spans="6:13" hidden="1" x14ac:dyDescent="0.2">
      <c r="F10771" s="494">
        <v>443</v>
      </c>
      <c r="G10771" s="495" t="s">
        <v>3797</v>
      </c>
      <c r="H10771" s="397"/>
      <c r="I10771" s="397"/>
      <c r="J10771" s="750" t="e">
        <f t="shared" si="140"/>
        <v>#DIV/0!</v>
      </c>
      <c r="K10771" s="398"/>
      <c r="L10771" s="398"/>
      <c r="M10771" s="682"/>
    </row>
    <row r="10772" spans="6:13" hidden="1" x14ac:dyDescent="0.2">
      <c r="F10772" s="494">
        <v>444</v>
      </c>
      <c r="G10772" s="495" t="s">
        <v>3798</v>
      </c>
      <c r="H10772" s="397"/>
      <c r="I10772" s="397"/>
      <c r="J10772" s="750" t="e">
        <f t="shared" si="140"/>
        <v>#DIV/0!</v>
      </c>
      <c r="K10772" s="398"/>
      <c r="L10772" s="398"/>
      <c r="M10772" s="682"/>
    </row>
    <row r="10773" spans="6:13" ht="25.5" hidden="1" x14ac:dyDescent="0.2">
      <c r="F10773" s="494">
        <v>4511</v>
      </c>
      <c r="G10773" s="466" t="s">
        <v>1692</v>
      </c>
      <c r="H10773" s="397"/>
      <c r="I10773" s="397"/>
      <c r="J10773" s="750" t="e">
        <f t="shared" si="140"/>
        <v>#DIV/0!</v>
      </c>
      <c r="K10773" s="398"/>
      <c r="L10773" s="398"/>
      <c r="M10773" s="682"/>
    </row>
    <row r="10774" spans="6:13" ht="19.5" hidden="1" customHeight="1" x14ac:dyDescent="0.2">
      <c r="F10774" s="494">
        <v>4512</v>
      </c>
      <c r="G10774" s="466" t="s">
        <v>1701</v>
      </c>
      <c r="H10774" s="397"/>
      <c r="I10774" s="397"/>
      <c r="J10774" s="750" t="e">
        <f t="shared" si="140"/>
        <v>#DIV/0!</v>
      </c>
      <c r="K10774" s="398"/>
      <c r="L10774" s="398"/>
      <c r="M10774" s="682"/>
    </row>
    <row r="10775" spans="6:13" ht="25.5" hidden="1" x14ac:dyDescent="0.2">
      <c r="F10775" s="494">
        <v>452</v>
      </c>
      <c r="G10775" s="495" t="s">
        <v>4187</v>
      </c>
      <c r="H10775" s="397"/>
      <c r="I10775" s="397"/>
      <c r="J10775" s="750" t="e">
        <f t="shared" si="140"/>
        <v>#DIV/0!</v>
      </c>
      <c r="K10775" s="398"/>
      <c r="L10775" s="398"/>
      <c r="M10775" s="682"/>
    </row>
    <row r="10776" spans="6:13" ht="25.5" hidden="1" x14ac:dyDescent="0.2">
      <c r="F10776" s="494">
        <v>453</v>
      </c>
      <c r="G10776" s="495" t="s">
        <v>4188</v>
      </c>
      <c r="H10776" s="397"/>
      <c r="I10776" s="397"/>
      <c r="J10776" s="750" t="e">
        <f t="shared" si="140"/>
        <v>#DIV/0!</v>
      </c>
      <c r="K10776" s="398"/>
      <c r="L10776" s="398"/>
      <c r="M10776" s="682"/>
    </row>
    <row r="10777" spans="6:13" hidden="1" x14ac:dyDescent="0.2">
      <c r="F10777" s="494">
        <v>454</v>
      </c>
      <c r="G10777" s="495" t="s">
        <v>3803</v>
      </c>
      <c r="H10777" s="397"/>
      <c r="I10777" s="397"/>
      <c r="J10777" s="750" t="e">
        <f t="shared" si="140"/>
        <v>#DIV/0!</v>
      </c>
      <c r="K10777" s="398"/>
      <c r="L10777" s="398"/>
      <c r="M10777" s="682"/>
    </row>
    <row r="10778" spans="6:13" hidden="1" x14ac:dyDescent="0.2">
      <c r="F10778" s="494">
        <v>461</v>
      </c>
      <c r="G10778" s="495" t="s">
        <v>4169</v>
      </c>
      <c r="H10778" s="397"/>
      <c r="I10778" s="397"/>
      <c r="J10778" s="750" t="e">
        <f t="shared" si="140"/>
        <v>#DIV/0!</v>
      </c>
      <c r="K10778" s="398"/>
      <c r="L10778" s="398"/>
      <c r="M10778" s="682"/>
    </row>
    <row r="10779" spans="6:13" ht="25.5" hidden="1" x14ac:dyDescent="0.2">
      <c r="F10779" s="494">
        <v>462</v>
      </c>
      <c r="G10779" s="495" t="s">
        <v>3806</v>
      </c>
      <c r="H10779" s="397"/>
      <c r="I10779" s="397"/>
      <c r="J10779" s="750" t="e">
        <f t="shared" si="140"/>
        <v>#DIV/0!</v>
      </c>
      <c r="K10779" s="398"/>
      <c r="L10779" s="398"/>
      <c r="M10779" s="682"/>
    </row>
    <row r="10780" spans="6:13" hidden="1" x14ac:dyDescent="0.2">
      <c r="F10780" s="494">
        <v>4631</v>
      </c>
      <c r="G10780" s="495" t="s">
        <v>3807</v>
      </c>
      <c r="H10780" s="397"/>
      <c r="I10780" s="397"/>
      <c r="J10780" s="750" t="e">
        <f t="shared" si="140"/>
        <v>#DIV/0!</v>
      </c>
      <c r="K10780" s="398"/>
      <c r="L10780" s="398"/>
      <c r="M10780" s="682"/>
    </row>
    <row r="10781" spans="6:13" hidden="1" x14ac:dyDescent="0.2">
      <c r="F10781" s="494">
        <v>4632</v>
      </c>
      <c r="G10781" s="495" t="s">
        <v>3808</v>
      </c>
      <c r="H10781" s="397"/>
      <c r="I10781" s="397"/>
      <c r="J10781" s="750" t="e">
        <f t="shared" si="140"/>
        <v>#DIV/0!</v>
      </c>
      <c r="K10781" s="398"/>
      <c r="L10781" s="398"/>
      <c r="M10781" s="682"/>
    </row>
    <row r="10782" spans="6:13" ht="25.5" hidden="1" x14ac:dyDescent="0.2">
      <c r="F10782" s="494">
        <v>464</v>
      </c>
      <c r="G10782" s="495" t="s">
        <v>3809</v>
      </c>
      <c r="H10782" s="397"/>
      <c r="I10782" s="397"/>
      <c r="J10782" s="750" t="e">
        <f t="shared" si="140"/>
        <v>#DIV/0!</v>
      </c>
      <c r="K10782" s="398"/>
      <c r="L10782" s="398"/>
      <c r="M10782" s="682"/>
    </row>
    <row r="10783" spans="6:13" hidden="1" x14ac:dyDescent="0.2">
      <c r="F10783" s="494">
        <v>465</v>
      </c>
      <c r="G10783" s="495" t="s">
        <v>4170</v>
      </c>
      <c r="H10783" s="397"/>
      <c r="I10783" s="397"/>
      <c r="J10783" s="750" t="e">
        <f t="shared" si="140"/>
        <v>#DIV/0!</v>
      </c>
      <c r="K10783" s="398"/>
      <c r="L10783" s="398"/>
      <c r="M10783" s="682"/>
    </row>
    <row r="10784" spans="6:13" hidden="1" x14ac:dyDescent="0.2">
      <c r="F10784" s="494">
        <v>472</v>
      </c>
      <c r="G10784" s="495" t="s">
        <v>3813</v>
      </c>
      <c r="H10784" s="397"/>
      <c r="I10784" s="397"/>
      <c r="J10784" s="750" t="e">
        <f t="shared" si="140"/>
        <v>#DIV/0!</v>
      </c>
      <c r="K10784" s="398"/>
      <c r="L10784" s="398"/>
      <c r="M10784" s="682"/>
    </row>
    <row r="10785" spans="6:13" hidden="1" x14ac:dyDescent="0.2">
      <c r="F10785" s="494">
        <v>481</v>
      </c>
      <c r="G10785" s="495" t="s">
        <v>4189</v>
      </c>
      <c r="H10785" s="397"/>
      <c r="I10785" s="397"/>
      <c r="J10785" s="750" t="e">
        <f t="shared" si="140"/>
        <v>#DIV/0!</v>
      </c>
      <c r="K10785" s="398"/>
      <c r="L10785" s="398"/>
      <c r="M10785" s="682"/>
    </row>
    <row r="10786" spans="6:13" hidden="1" x14ac:dyDescent="0.2">
      <c r="F10786" s="494">
        <v>482</v>
      </c>
      <c r="G10786" s="495" t="s">
        <v>4190</v>
      </c>
      <c r="H10786" s="397"/>
      <c r="I10786" s="397"/>
      <c r="J10786" s="750" t="e">
        <f t="shared" si="140"/>
        <v>#DIV/0!</v>
      </c>
      <c r="K10786" s="398"/>
      <c r="L10786" s="398"/>
      <c r="M10786" s="682"/>
    </row>
    <row r="10787" spans="6:13" hidden="1" x14ac:dyDescent="0.2">
      <c r="F10787" s="494">
        <v>483</v>
      </c>
      <c r="G10787" s="497" t="s">
        <v>4191</v>
      </c>
      <c r="H10787" s="397"/>
      <c r="I10787" s="397"/>
      <c r="J10787" s="750" t="e">
        <f t="shared" si="140"/>
        <v>#DIV/0!</v>
      </c>
      <c r="K10787" s="398"/>
      <c r="L10787" s="398"/>
      <c r="M10787" s="682"/>
    </row>
    <row r="10788" spans="6:13" ht="38.25" hidden="1" x14ac:dyDescent="0.2">
      <c r="F10788" s="494">
        <v>484</v>
      </c>
      <c r="G10788" s="495" t="s">
        <v>4192</v>
      </c>
      <c r="H10788" s="397"/>
      <c r="I10788" s="397"/>
      <c r="J10788" s="750" t="e">
        <f t="shared" si="140"/>
        <v>#DIV/0!</v>
      </c>
      <c r="K10788" s="398"/>
      <c r="L10788" s="398"/>
      <c r="M10788" s="682"/>
    </row>
    <row r="10789" spans="6:13" ht="25.5" hidden="1" x14ac:dyDescent="0.2">
      <c r="F10789" s="494">
        <v>485</v>
      </c>
      <c r="G10789" s="495" t="s">
        <v>4193</v>
      </c>
      <c r="H10789" s="397"/>
      <c r="I10789" s="397"/>
      <c r="J10789" s="750" t="e">
        <f t="shared" si="140"/>
        <v>#DIV/0!</v>
      </c>
      <c r="K10789" s="398"/>
      <c r="L10789" s="398"/>
      <c r="M10789" s="682"/>
    </row>
    <row r="10790" spans="6:13" ht="25.5" hidden="1" x14ac:dyDescent="0.2">
      <c r="F10790" s="494">
        <v>489</v>
      </c>
      <c r="G10790" s="495" t="s">
        <v>3821</v>
      </c>
      <c r="H10790" s="397"/>
      <c r="I10790" s="397"/>
      <c r="J10790" s="750" t="e">
        <f t="shared" si="140"/>
        <v>#DIV/0!</v>
      </c>
      <c r="K10790" s="398"/>
      <c r="L10790" s="398"/>
      <c r="M10790" s="682"/>
    </row>
    <row r="10791" spans="6:13" ht="25.5" hidden="1" x14ac:dyDescent="0.2">
      <c r="F10791" s="494">
        <v>494</v>
      </c>
      <c r="G10791" s="495" t="s">
        <v>4171</v>
      </c>
      <c r="H10791" s="397"/>
      <c r="I10791" s="397"/>
      <c r="J10791" s="750" t="e">
        <f t="shared" si="140"/>
        <v>#DIV/0!</v>
      </c>
      <c r="K10791" s="398"/>
      <c r="L10791" s="398"/>
      <c r="M10791" s="682"/>
    </row>
    <row r="10792" spans="6:13" ht="25.5" hidden="1" x14ac:dyDescent="0.2">
      <c r="F10792" s="494">
        <v>495</v>
      </c>
      <c r="G10792" s="495" t="s">
        <v>4172</v>
      </c>
      <c r="H10792" s="397"/>
      <c r="I10792" s="397"/>
      <c r="J10792" s="750" t="e">
        <f t="shared" si="140"/>
        <v>#DIV/0!</v>
      </c>
      <c r="K10792" s="398"/>
      <c r="L10792" s="398"/>
      <c r="M10792" s="682"/>
    </row>
    <row r="10793" spans="6:13" ht="38.25" hidden="1" x14ac:dyDescent="0.2">
      <c r="F10793" s="494">
        <v>496</v>
      </c>
      <c r="G10793" s="495" t="s">
        <v>4173</v>
      </c>
      <c r="H10793" s="397"/>
      <c r="I10793" s="397"/>
      <c r="J10793" s="750" t="e">
        <f t="shared" si="140"/>
        <v>#DIV/0!</v>
      </c>
      <c r="K10793" s="398"/>
      <c r="L10793" s="398"/>
      <c r="M10793" s="682"/>
    </row>
    <row r="10794" spans="6:13" ht="25.5" hidden="1" x14ac:dyDescent="0.2">
      <c r="F10794" s="494">
        <v>499</v>
      </c>
      <c r="G10794" s="495" t="s">
        <v>4174</v>
      </c>
      <c r="H10794" s="397"/>
      <c r="I10794" s="397"/>
      <c r="J10794" s="750" t="e">
        <f t="shared" si="140"/>
        <v>#DIV/0!</v>
      </c>
      <c r="K10794" s="398"/>
      <c r="L10794" s="398"/>
      <c r="M10794" s="682"/>
    </row>
    <row r="10795" spans="6:13" hidden="1" x14ac:dyDescent="0.2">
      <c r="F10795" s="494">
        <v>511</v>
      </c>
      <c r="G10795" s="497" t="s">
        <v>4194</v>
      </c>
      <c r="H10795" s="397"/>
      <c r="I10795" s="397"/>
      <c r="J10795" s="750" t="e">
        <f t="shared" si="140"/>
        <v>#DIV/0!</v>
      </c>
      <c r="K10795" s="398"/>
      <c r="L10795" s="398"/>
      <c r="M10795" s="682"/>
    </row>
    <row r="10796" spans="6:13" hidden="1" x14ac:dyDescent="0.2">
      <c r="F10796" s="494">
        <v>512</v>
      </c>
      <c r="G10796" s="497" t="s">
        <v>4195</v>
      </c>
      <c r="H10796" s="397"/>
      <c r="I10796" s="397"/>
      <c r="J10796" s="750" t="e">
        <f t="shared" si="140"/>
        <v>#DIV/0!</v>
      </c>
      <c r="K10796" s="398"/>
      <c r="L10796" s="398"/>
      <c r="M10796" s="682"/>
    </row>
    <row r="10797" spans="6:13" hidden="1" x14ac:dyDescent="0.2">
      <c r="F10797" s="494">
        <v>513</v>
      </c>
      <c r="G10797" s="497" t="s">
        <v>4196</v>
      </c>
      <c r="H10797" s="397"/>
      <c r="I10797" s="397"/>
      <c r="J10797" s="750" t="e">
        <f t="shared" si="140"/>
        <v>#DIV/0!</v>
      </c>
      <c r="K10797" s="398"/>
      <c r="L10797" s="398"/>
      <c r="M10797" s="682"/>
    </row>
    <row r="10798" spans="6:13" hidden="1" x14ac:dyDescent="0.2">
      <c r="F10798" s="494">
        <v>514</v>
      </c>
      <c r="G10798" s="495" t="s">
        <v>4197</v>
      </c>
      <c r="H10798" s="397"/>
      <c r="I10798" s="397"/>
      <c r="J10798" s="750" t="e">
        <f t="shared" si="140"/>
        <v>#DIV/0!</v>
      </c>
      <c r="K10798" s="398"/>
      <c r="L10798" s="398"/>
      <c r="M10798" s="682"/>
    </row>
    <row r="10799" spans="6:13" hidden="1" x14ac:dyDescent="0.2">
      <c r="F10799" s="494">
        <v>515</v>
      </c>
      <c r="G10799" s="495" t="s">
        <v>3832</v>
      </c>
      <c r="H10799" s="397"/>
      <c r="I10799" s="397"/>
      <c r="J10799" s="750" t="e">
        <f t="shared" si="140"/>
        <v>#DIV/0!</v>
      </c>
      <c r="K10799" s="398"/>
      <c r="L10799" s="398"/>
      <c r="M10799" s="682"/>
    </row>
    <row r="10800" spans="6:13" hidden="1" x14ac:dyDescent="0.2">
      <c r="F10800" s="494">
        <v>521</v>
      </c>
      <c r="G10800" s="495" t="s">
        <v>4198</v>
      </c>
      <c r="H10800" s="397"/>
      <c r="I10800" s="397"/>
      <c r="J10800" s="750" t="e">
        <f t="shared" si="140"/>
        <v>#DIV/0!</v>
      </c>
      <c r="K10800" s="398"/>
      <c r="L10800" s="398"/>
      <c r="M10800" s="682"/>
    </row>
    <row r="10801" spans="5:13" hidden="1" x14ac:dyDescent="0.2">
      <c r="F10801" s="494">
        <v>522</v>
      </c>
      <c r="G10801" s="495" t="s">
        <v>4199</v>
      </c>
      <c r="H10801" s="397"/>
      <c r="I10801" s="397"/>
      <c r="J10801" s="750" t="e">
        <f t="shared" si="140"/>
        <v>#DIV/0!</v>
      </c>
      <c r="K10801" s="398"/>
      <c r="L10801" s="398"/>
      <c r="M10801" s="682"/>
    </row>
    <row r="10802" spans="5:13" hidden="1" x14ac:dyDescent="0.2">
      <c r="F10802" s="494">
        <v>523</v>
      </c>
      <c r="G10802" s="495" t="s">
        <v>3837</v>
      </c>
      <c r="H10802" s="397"/>
      <c r="I10802" s="397"/>
      <c r="J10802" s="750" t="e">
        <f t="shared" si="140"/>
        <v>#DIV/0!</v>
      </c>
      <c r="K10802" s="398"/>
      <c r="L10802" s="398"/>
      <c r="M10802" s="682"/>
    </row>
    <row r="10803" spans="5:13" hidden="1" x14ac:dyDescent="0.2">
      <c r="F10803" s="494">
        <v>531</v>
      </c>
      <c r="G10803" s="496" t="s">
        <v>4175</v>
      </c>
      <c r="H10803" s="397"/>
      <c r="I10803" s="397"/>
      <c r="J10803" s="750" t="e">
        <f t="shared" si="140"/>
        <v>#DIV/0!</v>
      </c>
      <c r="K10803" s="398"/>
      <c r="L10803" s="398"/>
      <c r="M10803" s="682"/>
    </row>
    <row r="10804" spans="5:13" hidden="1" x14ac:dyDescent="0.2">
      <c r="F10804" s="494">
        <v>541</v>
      </c>
      <c r="G10804" s="495" t="s">
        <v>4200</v>
      </c>
      <c r="H10804" s="397"/>
      <c r="I10804" s="397"/>
      <c r="J10804" s="750" t="e">
        <f t="shared" si="140"/>
        <v>#DIV/0!</v>
      </c>
      <c r="K10804" s="398"/>
      <c r="L10804" s="398"/>
      <c r="M10804" s="682"/>
    </row>
    <row r="10805" spans="5:13" hidden="1" x14ac:dyDescent="0.2">
      <c r="F10805" s="494">
        <v>542</v>
      </c>
      <c r="G10805" s="495" t="s">
        <v>4201</v>
      </c>
      <c r="H10805" s="397"/>
      <c r="I10805" s="397"/>
      <c r="J10805" s="750" t="e">
        <f t="shared" si="140"/>
        <v>#DIV/0!</v>
      </c>
      <c r="K10805" s="398"/>
      <c r="L10805" s="398"/>
      <c r="M10805" s="682"/>
    </row>
    <row r="10806" spans="5:13" hidden="1" x14ac:dyDescent="0.2">
      <c r="F10806" s="494">
        <v>543</v>
      </c>
      <c r="G10806" s="495" t="s">
        <v>3842</v>
      </c>
      <c r="H10806" s="397"/>
      <c r="I10806" s="397"/>
      <c r="J10806" s="750" t="e">
        <f t="shared" si="140"/>
        <v>#DIV/0!</v>
      </c>
      <c r="K10806" s="398"/>
      <c r="L10806" s="398"/>
      <c r="M10806" s="682"/>
    </row>
    <row r="10807" spans="5:13" ht="38.25" hidden="1" x14ac:dyDescent="0.2">
      <c r="F10807" s="494">
        <v>551</v>
      </c>
      <c r="G10807" s="495" t="s">
        <v>4176</v>
      </c>
      <c r="H10807" s="397"/>
      <c r="I10807" s="397"/>
      <c r="J10807" s="750" t="e">
        <f t="shared" si="140"/>
        <v>#DIV/0!</v>
      </c>
      <c r="K10807" s="398"/>
      <c r="L10807" s="398"/>
      <c r="M10807" s="682"/>
    </row>
    <row r="10808" spans="5:13" hidden="1" x14ac:dyDescent="0.2">
      <c r="F10808" s="498">
        <v>611</v>
      </c>
      <c r="G10808" s="499" t="s">
        <v>3848</v>
      </c>
      <c r="H10808" s="397"/>
      <c r="I10808" s="397"/>
      <c r="J10808" s="750" t="e">
        <f t="shared" si="140"/>
        <v>#DIV/0!</v>
      </c>
      <c r="K10808" s="398"/>
      <c r="L10808" s="398"/>
      <c r="M10808" s="682"/>
    </row>
    <row r="10809" spans="5:13" hidden="1" x14ac:dyDescent="0.2">
      <c r="F10809" s="498">
        <v>620</v>
      </c>
      <c r="G10809" s="499" t="s">
        <v>88</v>
      </c>
      <c r="H10809" s="397"/>
      <c r="I10809" s="397"/>
      <c r="J10809" s="750" t="e">
        <f t="shared" si="140"/>
        <v>#DIV/0!</v>
      </c>
      <c r="K10809" s="398"/>
      <c r="L10809" s="398"/>
      <c r="M10809" s="682"/>
    </row>
    <row r="10810" spans="5:13" hidden="1" x14ac:dyDescent="0.2">
      <c r="E10810" s="500"/>
      <c r="F10810" s="498"/>
      <c r="G10810" s="501" t="s">
        <v>4402</v>
      </c>
      <c r="H10810" s="400"/>
      <c r="I10810" s="400"/>
      <c r="J10810" s="750" t="e">
        <f t="shared" si="140"/>
        <v>#DIV/0!</v>
      </c>
      <c r="K10810" s="401"/>
      <c r="L10810" s="402"/>
      <c r="M10810" s="682"/>
    </row>
    <row r="10811" spans="5:13" hidden="1" x14ac:dyDescent="0.2">
      <c r="E10811" s="502"/>
      <c r="F10811" s="503" t="s">
        <v>234</v>
      </c>
      <c r="G10811" s="504" t="s">
        <v>235</v>
      </c>
      <c r="H10811" s="403">
        <f>SUM(H10750:H10809)</f>
        <v>0</v>
      </c>
      <c r="I10811" s="403"/>
      <c r="J10811" s="750" t="e">
        <f t="shared" si="140"/>
        <v>#DIV/0!</v>
      </c>
      <c r="K10811" s="404"/>
      <c r="L10811" s="404"/>
      <c r="M10811" s="682"/>
    </row>
    <row r="10812" spans="5:13" hidden="1" x14ac:dyDescent="0.2">
      <c r="F10812" s="503" t="s">
        <v>236</v>
      </c>
      <c r="G10812" s="504" t="s">
        <v>237</v>
      </c>
      <c r="H10812" s="397"/>
      <c r="I10812" s="397"/>
      <c r="J10812" s="750" t="e">
        <f t="shared" si="140"/>
        <v>#DIV/0!</v>
      </c>
      <c r="K10812" s="398"/>
      <c r="L10812" s="404"/>
      <c r="M10812" s="682"/>
    </row>
    <row r="10813" spans="5:13" hidden="1" x14ac:dyDescent="0.2">
      <c r="F10813" s="503" t="s">
        <v>238</v>
      </c>
      <c r="G10813" s="504" t="s">
        <v>239</v>
      </c>
      <c r="H10813" s="397"/>
      <c r="I10813" s="397"/>
      <c r="J10813" s="750" t="e">
        <f t="shared" si="140"/>
        <v>#DIV/0!</v>
      </c>
      <c r="K10813" s="398"/>
      <c r="L10813" s="404"/>
      <c r="M10813" s="682"/>
    </row>
    <row r="10814" spans="5:13" hidden="1" x14ac:dyDescent="0.2">
      <c r="F10814" s="503" t="s">
        <v>240</v>
      </c>
      <c r="G10814" s="504" t="s">
        <v>241</v>
      </c>
      <c r="H10814" s="397"/>
      <c r="I10814" s="397"/>
      <c r="J10814" s="750" t="e">
        <f t="shared" si="140"/>
        <v>#DIV/0!</v>
      </c>
      <c r="K10814" s="398"/>
      <c r="L10814" s="404"/>
      <c r="M10814" s="682"/>
    </row>
    <row r="10815" spans="5:13" hidden="1" x14ac:dyDescent="0.2">
      <c r="F10815" s="503" t="s">
        <v>242</v>
      </c>
      <c r="G10815" s="504" t="s">
        <v>243</v>
      </c>
      <c r="H10815" s="397"/>
      <c r="I10815" s="397"/>
      <c r="J10815" s="750" t="e">
        <f t="shared" si="140"/>
        <v>#DIV/0!</v>
      </c>
      <c r="K10815" s="398"/>
      <c r="L10815" s="404"/>
      <c r="M10815" s="682"/>
    </row>
    <row r="10816" spans="5:13" hidden="1" x14ac:dyDescent="0.2">
      <c r="F10816" s="503" t="s">
        <v>244</v>
      </c>
      <c r="G10816" s="504" t="s">
        <v>245</v>
      </c>
      <c r="H10816" s="397"/>
      <c r="I10816" s="397"/>
      <c r="J10816" s="750" t="e">
        <f t="shared" si="140"/>
        <v>#DIV/0!</v>
      </c>
      <c r="K10816" s="398"/>
      <c r="L10816" s="404"/>
      <c r="M10816" s="682"/>
    </row>
    <row r="10817" spans="5:13" hidden="1" x14ac:dyDescent="0.2">
      <c r="F10817" s="503" t="s">
        <v>246</v>
      </c>
      <c r="G10817" s="504" t="s">
        <v>247</v>
      </c>
      <c r="H10817" s="397"/>
      <c r="I10817" s="397"/>
      <c r="J10817" s="750" t="e">
        <f t="shared" si="140"/>
        <v>#DIV/0!</v>
      </c>
      <c r="K10817" s="398"/>
      <c r="L10817" s="404"/>
      <c r="M10817" s="682"/>
    </row>
    <row r="10818" spans="5:13" ht="25.5" hidden="1" x14ac:dyDescent="0.2">
      <c r="F10818" s="503" t="s">
        <v>248</v>
      </c>
      <c r="G10818" s="504" t="s">
        <v>249</v>
      </c>
      <c r="H10818" s="397"/>
      <c r="I10818" s="397"/>
      <c r="J10818" s="750" t="e">
        <f t="shared" si="140"/>
        <v>#DIV/0!</v>
      </c>
      <c r="K10818" s="398"/>
      <c r="L10818" s="404"/>
      <c r="M10818" s="682"/>
    </row>
    <row r="10819" spans="5:13" hidden="1" x14ac:dyDescent="0.2">
      <c r="F10819" s="503" t="s">
        <v>250</v>
      </c>
      <c r="G10819" s="504" t="s">
        <v>57</v>
      </c>
      <c r="H10819" s="397"/>
      <c r="I10819" s="397"/>
      <c r="J10819" s="750" t="e">
        <f t="shared" si="140"/>
        <v>#DIV/0!</v>
      </c>
      <c r="K10819" s="398"/>
      <c r="L10819" s="404"/>
      <c r="M10819" s="682"/>
    </row>
    <row r="10820" spans="5:13" hidden="1" x14ac:dyDescent="0.2">
      <c r="F10820" s="503" t="s">
        <v>251</v>
      </c>
      <c r="G10820" s="504" t="s">
        <v>252</v>
      </c>
      <c r="H10820" s="397"/>
      <c r="I10820" s="397"/>
      <c r="J10820" s="750" t="e">
        <f t="shared" si="140"/>
        <v>#DIV/0!</v>
      </c>
      <c r="K10820" s="398"/>
      <c r="L10820" s="404"/>
      <c r="M10820" s="682"/>
    </row>
    <row r="10821" spans="5:13" hidden="1" x14ac:dyDescent="0.2">
      <c r="F10821" s="503" t="s">
        <v>253</v>
      </c>
      <c r="G10821" s="504" t="s">
        <v>254</v>
      </c>
      <c r="H10821" s="397"/>
      <c r="I10821" s="397"/>
      <c r="J10821" s="750" t="e">
        <f t="shared" si="140"/>
        <v>#DIV/0!</v>
      </c>
      <c r="K10821" s="398"/>
      <c r="L10821" s="404"/>
      <c r="M10821" s="682"/>
    </row>
    <row r="10822" spans="5:13" ht="25.5" hidden="1" x14ac:dyDescent="0.2">
      <c r="F10822" s="503" t="s">
        <v>255</v>
      </c>
      <c r="G10822" s="504" t="s">
        <v>256</v>
      </c>
      <c r="H10822" s="397"/>
      <c r="I10822" s="397"/>
      <c r="J10822" s="750" t="e">
        <f t="shared" si="140"/>
        <v>#DIV/0!</v>
      </c>
      <c r="K10822" s="398"/>
      <c r="L10822" s="404"/>
      <c r="M10822" s="682"/>
    </row>
    <row r="10823" spans="5:13" ht="25.5" hidden="1" x14ac:dyDescent="0.2">
      <c r="F10823" s="503" t="s">
        <v>257</v>
      </c>
      <c r="G10823" s="504" t="s">
        <v>258</v>
      </c>
      <c r="H10823" s="397"/>
      <c r="I10823" s="397"/>
      <c r="J10823" s="750" t="e">
        <f t="shared" si="140"/>
        <v>#DIV/0!</v>
      </c>
      <c r="K10823" s="398"/>
      <c r="L10823" s="404"/>
      <c r="M10823" s="682"/>
    </row>
    <row r="10824" spans="5:13" ht="25.5" hidden="1" x14ac:dyDescent="0.2">
      <c r="F10824" s="503" t="s">
        <v>259</v>
      </c>
      <c r="G10824" s="504" t="s">
        <v>260</v>
      </c>
      <c r="H10824" s="397"/>
      <c r="I10824" s="397"/>
      <c r="J10824" s="750" t="e">
        <f t="shared" si="140"/>
        <v>#DIV/0!</v>
      </c>
      <c r="K10824" s="398"/>
      <c r="L10824" s="404"/>
      <c r="M10824" s="682"/>
    </row>
    <row r="10825" spans="5:13" ht="25.5" hidden="1" x14ac:dyDescent="0.2">
      <c r="F10825" s="503" t="s">
        <v>261</v>
      </c>
      <c r="G10825" s="504" t="s">
        <v>262</v>
      </c>
      <c r="H10825" s="397"/>
      <c r="I10825" s="397"/>
      <c r="J10825" s="750" t="e">
        <f t="shared" si="140"/>
        <v>#DIV/0!</v>
      </c>
      <c r="K10825" s="398"/>
      <c r="L10825" s="404"/>
      <c r="M10825" s="682"/>
    </row>
    <row r="10826" spans="5:13" hidden="1" x14ac:dyDescent="0.2">
      <c r="F10826" s="503" t="s">
        <v>263</v>
      </c>
      <c r="G10826" s="504" t="s">
        <v>264</v>
      </c>
      <c r="H10826" s="403"/>
      <c r="I10826" s="403"/>
      <c r="J10826" s="750" t="e">
        <f t="shared" si="140"/>
        <v>#DIV/0!</v>
      </c>
      <c r="K10826" s="404"/>
      <c r="L10826" s="404"/>
      <c r="M10826" s="682"/>
    </row>
    <row r="10827" spans="5:13" ht="13.5" hidden="1" thickBot="1" x14ac:dyDescent="0.25">
      <c r="G10827" s="505" t="s">
        <v>4403</v>
      </c>
      <c r="H10827" s="405">
        <f>SUM(H10811:H10826)</f>
        <v>0</v>
      </c>
      <c r="I10827" s="405"/>
      <c r="J10827" s="750" t="e">
        <f t="shared" si="140"/>
        <v>#DIV/0!</v>
      </c>
      <c r="K10827" s="406">
        <f>SUM(K10812:K10826)</f>
        <v>0</v>
      </c>
      <c r="L10827" s="406"/>
      <c r="M10827" s="682"/>
    </row>
    <row r="10828" spans="5:13" ht="25.5" hidden="1" collapsed="1" x14ac:dyDescent="0.2">
      <c r="E10828" s="500"/>
      <c r="F10828" s="498"/>
      <c r="G10828" s="506" t="s">
        <v>4425</v>
      </c>
      <c r="H10828" s="407"/>
      <c r="I10828" s="408"/>
      <c r="J10828" s="750" t="e">
        <f t="shared" si="140"/>
        <v>#DIV/0!</v>
      </c>
      <c r="K10828" s="409"/>
      <c r="L10828" s="410"/>
      <c r="M10828" s="682"/>
    </row>
    <row r="10829" spans="5:13" hidden="1" x14ac:dyDescent="0.2">
      <c r="E10829" s="502"/>
      <c r="F10829" s="503" t="s">
        <v>234</v>
      </c>
      <c r="G10829" s="504" t="s">
        <v>235</v>
      </c>
      <c r="H10829" s="403">
        <f>SUM(H10750:H10809)</f>
        <v>0</v>
      </c>
      <c r="I10829" s="403"/>
      <c r="J10829" s="750" t="e">
        <f t="shared" si="140"/>
        <v>#DIV/0!</v>
      </c>
      <c r="K10829" s="404"/>
      <c r="L10829" s="404"/>
      <c r="M10829" s="682"/>
    </row>
    <row r="10830" spans="5:13" hidden="1" x14ac:dyDescent="0.2">
      <c r="F10830" s="503" t="s">
        <v>236</v>
      </c>
      <c r="G10830" s="504" t="s">
        <v>237</v>
      </c>
      <c r="H10830" s="397"/>
      <c r="I10830" s="397"/>
      <c r="J10830" s="750" t="e">
        <f t="shared" ref="J10830:J10893" si="141">SUM(I10830/H10830)*100</f>
        <v>#DIV/0!</v>
      </c>
      <c r="K10830" s="398"/>
      <c r="L10830" s="404"/>
      <c r="M10830" s="682"/>
    </row>
    <row r="10831" spans="5:13" hidden="1" x14ac:dyDescent="0.2">
      <c r="F10831" s="503" t="s">
        <v>238</v>
      </c>
      <c r="G10831" s="504" t="s">
        <v>239</v>
      </c>
      <c r="H10831" s="397"/>
      <c r="I10831" s="397"/>
      <c r="J10831" s="750" t="e">
        <f t="shared" si="141"/>
        <v>#DIV/0!</v>
      </c>
      <c r="K10831" s="398"/>
      <c r="L10831" s="404"/>
      <c r="M10831" s="682"/>
    </row>
    <row r="10832" spans="5:13" hidden="1" x14ac:dyDescent="0.2">
      <c r="F10832" s="503" t="s">
        <v>240</v>
      </c>
      <c r="G10832" s="504" t="s">
        <v>241</v>
      </c>
      <c r="H10832" s="397"/>
      <c r="I10832" s="397"/>
      <c r="J10832" s="750" t="e">
        <f t="shared" si="141"/>
        <v>#DIV/0!</v>
      </c>
      <c r="K10832" s="398"/>
      <c r="L10832" s="404"/>
      <c r="M10832" s="682"/>
    </row>
    <row r="10833" spans="1:27" hidden="1" x14ac:dyDescent="0.2">
      <c r="F10833" s="503" t="s">
        <v>242</v>
      </c>
      <c r="G10833" s="504" t="s">
        <v>243</v>
      </c>
      <c r="H10833" s="397"/>
      <c r="I10833" s="397"/>
      <c r="J10833" s="750" t="e">
        <f t="shared" si="141"/>
        <v>#DIV/0!</v>
      </c>
      <c r="K10833" s="398"/>
      <c r="L10833" s="404"/>
      <c r="M10833" s="682"/>
    </row>
    <row r="10834" spans="1:27" hidden="1" x14ac:dyDescent="0.2">
      <c r="F10834" s="503" t="s">
        <v>244</v>
      </c>
      <c r="G10834" s="504" t="s">
        <v>245</v>
      </c>
      <c r="H10834" s="397"/>
      <c r="I10834" s="397"/>
      <c r="J10834" s="750" t="e">
        <f t="shared" si="141"/>
        <v>#DIV/0!</v>
      </c>
      <c r="K10834" s="398"/>
      <c r="L10834" s="404"/>
      <c r="M10834" s="682"/>
    </row>
    <row r="10835" spans="1:27" hidden="1" x14ac:dyDescent="0.2">
      <c r="F10835" s="503" t="s">
        <v>246</v>
      </c>
      <c r="G10835" s="504" t="s">
        <v>247</v>
      </c>
      <c r="H10835" s="397"/>
      <c r="I10835" s="397"/>
      <c r="J10835" s="750" t="e">
        <f t="shared" si="141"/>
        <v>#DIV/0!</v>
      </c>
      <c r="K10835" s="398"/>
      <c r="L10835" s="404"/>
      <c r="M10835" s="682"/>
    </row>
    <row r="10836" spans="1:27" ht="25.5" hidden="1" x14ac:dyDescent="0.2">
      <c r="F10836" s="503" t="s">
        <v>248</v>
      </c>
      <c r="G10836" s="504" t="s">
        <v>249</v>
      </c>
      <c r="H10836" s="397"/>
      <c r="I10836" s="397"/>
      <c r="J10836" s="750" t="e">
        <f t="shared" si="141"/>
        <v>#DIV/0!</v>
      </c>
      <c r="K10836" s="398"/>
      <c r="L10836" s="404"/>
      <c r="M10836" s="682"/>
    </row>
    <row r="10837" spans="1:27" hidden="1" x14ac:dyDescent="0.2">
      <c r="F10837" s="503" t="s">
        <v>250</v>
      </c>
      <c r="G10837" s="504" t="s">
        <v>57</v>
      </c>
      <c r="H10837" s="397"/>
      <c r="I10837" s="397"/>
      <c r="J10837" s="750" t="e">
        <f t="shared" si="141"/>
        <v>#DIV/0!</v>
      </c>
      <c r="K10837" s="398"/>
      <c r="L10837" s="404"/>
      <c r="M10837" s="682"/>
    </row>
    <row r="10838" spans="1:27" hidden="1" x14ac:dyDescent="0.2">
      <c r="F10838" s="503" t="s">
        <v>251</v>
      </c>
      <c r="G10838" s="504" t="s">
        <v>252</v>
      </c>
      <c r="H10838" s="397"/>
      <c r="I10838" s="397"/>
      <c r="J10838" s="750" t="e">
        <f t="shared" si="141"/>
        <v>#DIV/0!</v>
      </c>
      <c r="K10838" s="398"/>
      <c r="L10838" s="404"/>
      <c r="M10838" s="682"/>
    </row>
    <row r="10839" spans="1:27" hidden="1" x14ac:dyDescent="0.2">
      <c r="F10839" s="503" t="s">
        <v>253</v>
      </c>
      <c r="G10839" s="504" t="s">
        <v>254</v>
      </c>
      <c r="H10839" s="397"/>
      <c r="I10839" s="397"/>
      <c r="J10839" s="750" t="e">
        <f t="shared" si="141"/>
        <v>#DIV/0!</v>
      </c>
      <c r="K10839" s="398"/>
      <c r="L10839" s="404"/>
      <c r="M10839" s="682"/>
    </row>
    <row r="10840" spans="1:27" ht="25.5" hidden="1" x14ac:dyDescent="0.2">
      <c r="F10840" s="503" t="s">
        <v>255</v>
      </c>
      <c r="G10840" s="504" t="s">
        <v>256</v>
      </c>
      <c r="H10840" s="397"/>
      <c r="I10840" s="397"/>
      <c r="J10840" s="750" t="e">
        <f t="shared" si="141"/>
        <v>#DIV/0!</v>
      </c>
      <c r="K10840" s="398"/>
      <c r="L10840" s="404"/>
      <c r="M10840" s="682"/>
    </row>
    <row r="10841" spans="1:27" ht="25.5" hidden="1" x14ac:dyDescent="0.2">
      <c r="F10841" s="503" t="s">
        <v>257</v>
      </c>
      <c r="G10841" s="504" t="s">
        <v>258</v>
      </c>
      <c r="H10841" s="397"/>
      <c r="I10841" s="397"/>
      <c r="J10841" s="750" t="e">
        <f t="shared" si="141"/>
        <v>#DIV/0!</v>
      </c>
      <c r="K10841" s="398"/>
      <c r="L10841" s="404"/>
      <c r="M10841" s="682"/>
    </row>
    <row r="10842" spans="1:27" ht="25.5" hidden="1" x14ac:dyDescent="0.2">
      <c r="F10842" s="503" t="s">
        <v>259</v>
      </c>
      <c r="G10842" s="504" t="s">
        <v>260</v>
      </c>
      <c r="H10842" s="397"/>
      <c r="I10842" s="397"/>
      <c r="J10842" s="750" t="e">
        <f t="shared" si="141"/>
        <v>#DIV/0!</v>
      </c>
      <c r="K10842" s="398"/>
      <c r="L10842" s="404"/>
      <c r="M10842" s="682"/>
    </row>
    <row r="10843" spans="1:27" ht="25.5" hidden="1" x14ac:dyDescent="0.2">
      <c r="F10843" s="503" t="s">
        <v>261</v>
      </c>
      <c r="G10843" s="504" t="s">
        <v>262</v>
      </c>
      <c r="H10843" s="397"/>
      <c r="I10843" s="397"/>
      <c r="J10843" s="750" t="e">
        <f t="shared" si="141"/>
        <v>#DIV/0!</v>
      </c>
      <c r="K10843" s="398"/>
      <c r="L10843" s="404"/>
      <c r="M10843" s="682"/>
    </row>
    <row r="10844" spans="1:27" hidden="1" x14ac:dyDescent="0.2">
      <c r="F10844" s="503" t="s">
        <v>263</v>
      </c>
      <c r="G10844" s="504" t="s">
        <v>264</v>
      </c>
      <c r="H10844" s="403"/>
      <c r="I10844" s="403"/>
      <c r="J10844" s="750" t="e">
        <f t="shared" si="141"/>
        <v>#DIV/0!</v>
      </c>
      <c r="K10844" s="404"/>
      <c r="L10844" s="404"/>
      <c r="M10844" s="682"/>
    </row>
    <row r="10845" spans="1:27" ht="13.5" hidden="1" collapsed="1" thickBot="1" x14ac:dyDescent="0.25">
      <c r="G10845" s="505" t="s">
        <v>4426</v>
      </c>
      <c r="H10845" s="405">
        <f>SUM(H10829:H10844)</f>
        <v>0</v>
      </c>
      <c r="I10845" s="405"/>
      <c r="J10845" s="750" t="e">
        <f t="shared" si="141"/>
        <v>#DIV/0!</v>
      </c>
      <c r="K10845" s="406">
        <f>SUM(K10830:K10844)</f>
        <v>0</v>
      </c>
      <c r="L10845" s="406"/>
      <c r="M10845" s="682"/>
    </row>
    <row r="10846" spans="1:27" ht="13.5" hidden="1" customHeight="1" x14ac:dyDescent="0.2">
      <c r="H10846" s="397"/>
      <c r="I10846" s="397"/>
      <c r="J10846" s="750" t="e">
        <f t="shared" si="141"/>
        <v>#DIV/0!</v>
      </c>
      <c r="K10846" s="398"/>
      <c r="L10846" s="398"/>
      <c r="M10846" s="682"/>
    </row>
    <row r="10847" spans="1:27" s="530" customFormat="1" ht="14.25" customHeight="1" x14ac:dyDescent="0.2">
      <c r="A10847" s="526"/>
      <c r="B10847" s="527"/>
      <c r="C10847" s="531" t="s">
        <v>5145</v>
      </c>
      <c r="D10847" s="490"/>
      <c r="E10847" s="490"/>
      <c r="F10847" s="532"/>
      <c r="G10847" s="644" t="s">
        <v>4068</v>
      </c>
      <c r="H10847" s="422"/>
      <c r="I10847" s="422"/>
      <c r="J10847" s="750"/>
      <c r="K10847" s="423"/>
      <c r="L10847" s="424"/>
      <c r="M10847" s="682"/>
      <c r="N10847" s="171"/>
      <c r="O10847" s="171"/>
      <c r="P10847" s="171"/>
      <c r="Q10847" s="171"/>
      <c r="R10847" s="171"/>
      <c r="S10847" s="171"/>
      <c r="T10847" s="171"/>
      <c r="U10847" s="171"/>
      <c r="V10847" s="171"/>
      <c r="W10847" s="171"/>
      <c r="X10847" s="171"/>
      <c r="Y10847" s="171"/>
      <c r="Z10847" s="171"/>
      <c r="AA10847" s="171"/>
    </row>
    <row r="10848" spans="1:27" ht="15" customHeight="1" x14ac:dyDescent="0.2">
      <c r="C10848" s="489"/>
      <c r="D10848" s="492">
        <v>620</v>
      </c>
      <c r="E10848" s="492"/>
      <c r="F10848" s="492"/>
      <c r="G10848" s="493" t="s">
        <v>182</v>
      </c>
      <c r="H10848" s="397"/>
      <c r="I10848" s="397"/>
      <c r="J10848" s="750"/>
      <c r="K10848" s="398"/>
      <c r="L10848" s="398"/>
      <c r="M10848" s="682"/>
    </row>
    <row r="10849" spans="5:13" hidden="1" x14ac:dyDescent="0.2">
      <c r="F10849" s="494">
        <v>411</v>
      </c>
      <c r="G10849" s="495" t="s">
        <v>4167</v>
      </c>
      <c r="H10849" s="397"/>
      <c r="I10849" s="397"/>
      <c r="J10849" s="750" t="e">
        <f t="shared" si="141"/>
        <v>#DIV/0!</v>
      </c>
      <c r="K10849" s="398"/>
      <c r="L10849" s="398"/>
      <c r="M10849" s="682"/>
    </row>
    <row r="10850" spans="5:13" hidden="1" x14ac:dyDescent="0.2">
      <c r="F10850" s="494">
        <v>412</v>
      </c>
      <c r="G10850" s="496" t="s">
        <v>3764</v>
      </c>
      <c r="H10850" s="397"/>
      <c r="I10850" s="397"/>
      <c r="J10850" s="750" t="e">
        <f t="shared" si="141"/>
        <v>#DIV/0!</v>
      </c>
      <c r="K10850" s="398"/>
      <c r="L10850" s="398"/>
      <c r="M10850" s="682"/>
    </row>
    <row r="10851" spans="5:13" hidden="1" x14ac:dyDescent="0.2">
      <c r="F10851" s="494">
        <v>413</v>
      </c>
      <c r="G10851" s="495" t="s">
        <v>4168</v>
      </c>
      <c r="H10851" s="397"/>
      <c r="I10851" s="397"/>
      <c r="J10851" s="750" t="e">
        <f t="shared" si="141"/>
        <v>#DIV/0!</v>
      </c>
      <c r="K10851" s="398"/>
      <c r="L10851" s="398"/>
      <c r="M10851" s="682"/>
    </row>
    <row r="10852" spans="5:13" hidden="1" x14ac:dyDescent="0.2">
      <c r="F10852" s="494">
        <v>414</v>
      </c>
      <c r="G10852" s="495" t="s">
        <v>3767</v>
      </c>
      <c r="H10852" s="397"/>
      <c r="I10852" s="397"/>
      <c r="J10852" s="750" t="e">
        <f t="shared" si="141"/>
        <v>#DIV/0!</v>
      </c>
      <c r="K10852" s="398"/>
      <c r="L10852" s="398"/>
      <c r="M10852" s="682"/>
    </row>
    <row r="10853" spans="5:13" hidden="1" x14ac:dyDescent="0.2">
      <c r="F10853" s="494">
        <v>415</v>
      </c>
      <c r="G10853" s="495" t="s">
        <v>4177</v>
      </c>
      <c r="H10853" s="397"/>
      <c r="I10853" s="397"/>
      <c r="J10853" s="750" t="e">
        <f t="shared" si="141"/>
        <v>#DIV/0!</v>
      </c>
      <c r="K10853" s="398"/>
      <c r="L10853" s="398"/>
      <c r="M10853" s="682"/>
    </row>
    <row r="10854" spans="5:13" ht="25.5" hidden="1" x14ac:dyDescent="0.2">
      <c r="F10854" s="494">
        <v>416</v>
      </c>
      <c r="G10854" s="495" t="s">
        <v>4178</v>
      </c>
      <c r="H10854" s="397"/>
      <c r="I10854" s="397"/>
      <c r="J10854" s="750" t="e">
        <f t="shared" si="141"/>
        <v>#DIV/0!</v>
      </c>
      <c r="K10854" s="398"/>
      <c r="L10854" s="398"/>
      <c r="M10854" s="682"/>
    </row>
    <row r="10855" spans="5:13" hidden="1" x14ac:dyDescent="0.2">
      <c r="F10855" s="494">
        <v>417</v>
      </c>
      <c r="G10855" s="495" t="s">
        <v>4179</v>
      </c>
      <c r="H10855" s="397"/>
      <c r="I10855" s="397"/>
      <c r="J10855" s="750" t="e">
        <f t="shared" si="141"/>
        <v>#DIV/0!</v>
      </c>
      <c r="K10855" s="398"/>
      <c r="L10855" s="398"/>
      <c r="M10855" s="682"/>
    </row>
    <row r="10856" spans="5:13" hidden="1" x14ac:dyDescent="0.2">
      <c r="F10856" s="494">
        <v>418</v>
      </c>
      <c r="G10856" s="495" t="s">
        <v>3773</v>
      </c>
      <c r="H10856" s="397"/>
      <c r="I10856" s="397"/>
      <c r="J10856" s="750" t="e">
        <f t="shared" si="141"/>
        <v>#DIV/0!</v>
      </c>
      <c r="K10856" s="398"/>
      <c r="L10856" s="398"/>
      <c r="M10856" s="682"/>
    </row>
    <row r="10857" spans="5:13" ht="13.5" thickBot="1" x14ac:dyDescent="0.25">
      <c r="E10857" s="464">
        <v>96</v>
      </c>
      <c r="F10857" s="494">
        <v>421</v>
      </c>
      <c r="G10857" s="495" t="s">
        <v>3777</v>
      </c>
      <c r="H10857" s="397">
        <v>3000000</v>
      </c>
      <c r="I10857" s="397">
        <v>1790360</v>
      </c>
      <c r="J10857" s="750">
        <f t="shared" si="141"/>
        <v>59.678666666666672</v>
      </c>
      <c r="K10857" s="398"/>
      <c r="L10857" s="398"/>
      <c r="M10857" s="682"/>
    </row>
    <row r="10858" spans="5:13" ht="13.5" hidden="1" thickBot="1" x14ac:dyDescent="0.25">
      <c r="F10858" s="494">
        <v>422</v>
      </c>
      <c r="G10858" s="495" t="s">
        <v>3778</v>
      </c>
      <c r="H10858" s="397"/>
      <c r="I10858" s="397"/>
      <c r="J10858" s="750" t="e">
        <f t="shared" si="141"/>
        <v>#DIV/0!</v>
      </c>
      <c r="K10858" s="398"/>
      <c r="L10858" s="398"/>
      <c r="M10858" s="682"/>
    </row>
    <row r="10859" spans="5:13" ht="13.5" hidden="1" thickBot="1" x14ac:dyDescent="0.25">
      <c r="F10859" s="494">
        <v>423</v>
      </c>
      <c r="G10859" s="495" t="s">
        <v>3779</v>
      </c>
      <c r="H10859" s="397"/>
      <c r="I10859" s="397"/>
      <c r="J10859" s="750" t="e">
        <f t="shared" si="141"/>
        <v>#DIV/0!</v>
      </c>
      <c r="K10859" s="398"/>
      <c r="L10859" s="398"/>
      <c r="M10859" s="682"/>
    </row>
    <row r="10860" spans="5:13" ht="13.5" hidden="1" thickBot="1" x14ac:dyDescent="0.25">
      <c r="F10860" s="494">
        <v>424</v>
      </c>
      <c r="G10860" s="495" t="s">
        <v>3781</v>
      </c>
      <c r="H10860" s="397"/>
      <c r="I10860" s="397"/>
      <c r="J10860" s="750" t="e">
        <f t="shared" si="141"/>
        <v>#DIV/0!</v>
      </c>
      <c r="K10860" s="398"/>
      <c r="L10860" s="398"/>
      <c r="M10860" s="682"/>
    </row>
    <row r="10861" spans="5:13" ht="13.5" hidden="1" thickBot="1" x14ac:dyDescent="0.25">
      <c r="F10861" s="494">
        <v>425</v>
      </c>
      <c r="G10861" s="495" t="s">
        <v>4180</v>
      </c>
      <c r="H10861" s="397"/>
      <c r="I10861" s="397"/>
      <c r="J10861" s="750" t="e">
        <f t="shared" si="141"/>
        <v>#DIV/0!</v>
      </c>
      <c r="K10861" s="398"/>
      <c r="L10861" s="398"/>
      <c r="M10861" s="682"/>
    </row>
    <row r="10862" spans="5:13" ht="13.5" hidden="1" thickBot="1" x14ac:dyDescent="0.25">
      <c r="F10862" s="494">
        <v>426</v>
      </c>
      <c r="G10862" s="495" t="s">
        <v>3785</v>
      </c>
      <c r="H10862" s="397"/>
      <c r="I10862" s="397"/>
      <c r="J10862" s="750" t="e">
        <f t="shared" si="141"/>
        <v>#DIV/0!</v>
      </c>
      <c r="K10862" s="398"/>
      <c r="L10862" s="398"/>
      <c r="M10862" s="682"/>
    </row>
    <row r="10863" spans="5:13" ht="13.5" hidden="1" thickBot="1" x14ac:dyDescent="0.25">
      <c r="F10863" s="494">
        <v>431</v>
      </c>
      <c r="G10863" s="495" t="s">
        <v>4181</v>
      </c>
      <c r="H10863" s="397"/>
      <c r="I10863" s="397"/>
      <c r="J10863" s="750" t="e">
        <f t="shared" si="141"/>
        <v>#DIV/0!</v>
      </c>
      <c r="K10863" s="398"/>
      <c r="L10863" s="398"/>
      <c r="M10863" s="682"/>
    </row>
    <row r="10864" spans="5:13" ht="13.5" hidden="1" thickBot="1" x14ac:dyDescent="0.25">
      <c r="F10864" s="494">
        <v>432</v>
      </c>
      <c r="G10864" s="495" t="s">
        <v>4182</v>
      </c>
      <c r="H10864" s="397"/>
      <c r="I10864" s="397"/>
      <c r="J10864" s="750" t="e">
        <f t="shared" si="141"/>
        <v>#DIV/0!</v>
      </c>
      <c r="K10864" s="398"/>
      <c r="L10864" s="398"/>
      <c r="M10864" s="682"/>
    </row>
    <row r="10865" spans="6:13" ht="13.5" hidden="1" thickBot="1" x14ac:dyDescent="0.25">
      <c r="F10865" s="494">
        <v>433</v>
      </c>
      <c r="G10865" s="495" t="s">
        <v>4183</v>
      </c>
      <c r="H10865" s="397"/>
      <c r="I10865" s="397"/>
      <c r="J10865" s="750" t="e">
        <f t="shared" si="141"/>
        <v>#DIV/0!</v>
      </c>
      <c r="K10865" s="398"/>
      <c r="L10865" s="398"/>
      <c r="M10865" s="682"/>
    </row>
    <row r="10866" spans="6:13" ht="13.5" hidden="1" thickBot="1" x14ac:dyDescent="0.25">
      <c r="F10866" s="494">
        <v>434</v>
      </c>
      <c r="G10866" s="495" t="s">
        <v>4184</v>
      </c>
      <c r="H10866" s="397"/>
      <c r="I10866" s="397"/>
      <c r="J10866" s="750" t="e">
        <f t="shared" si="141"/>
        <v>#DIV/0!</v>
      </c>
      <c r="K10866" s="398"/>
      <c r="L10866" s="398"/>
      <c r="M10866" s="682"/>
    </row>
    <row r="10867" spans="6:13" ht="13.5" hidden="1" thickBot="1" x14ac:dyDescent="0.25">
      <c r="F10867" s="494">
        <v>435</v>
      </c>
      <c r="G10867" s="495" t="s">
        <v>3792</v>
      </c>
      <c r="H10867" s="397"/>
      <c r="I10867" s="397"/>
      <c r="J10867" s="750" t="e">
        <f t="shared" si="141"/>
        <v>#DIV/0!</v>
      </c>
      <c r="K10867" s="398"/>
      <c r="L10867" s="398"/>
      <c r="M10867" s="682"/>
    </row>
    <row r="10868" spans="6:13" ht="13.5" hidden="1" thickBot="1" x14ac:dyDescent="0.25">
      <c r="F10868" s="494">
        <v>441</v>
      </c>
      <c r="G10868" s="495" t="s">
        <v>4185</v>
      </c>
      <c r="H10868" s="397"/>
      <c r="I10868" s="397"/>
      <c r="J10868" s="750" t="e">
        <f t="shared" si="141"/>
        <v>#DIV/0!</v>
      </c>
      <c r="K10868" s="398"/>
      <c r="L10868" s="398"/>
      <c r="M10868" s="682"/>
    </row>
    <row r="10869" spans="6:13" ht="13.5" hidden="1" thickBot="1" x14ac:dyDescent="0.25">
      <c r="F10869" s="494">
        <v>442</v>
      </c>
      <c r="G10869" s="495" t="s">
        <v>4186</v>
      </c>
      <c r="H10869" s="397"/>
      <c r="I10869" s="397"/>
      <c r="J10869" s="750" t="e">
        <f t="shared" si="141"/>
        <v>#DIV/0!</v>
      </c>
      <c r="K10869" s="398"/>
      <c r="L10869" s="398"/>
      <c r="M10869" s="682"/>
    </row>
    <row r="10870" spans="6:13" ht="13.5" hidden="1" thickBot="1" x14ac:dyDescent="0.25">
      <c r="F10870" s="494">
        <v>443</v>
      </c>
      <c r="G10870" s="495" t="s">
        <v>3797</v>
      </c>
      <c r="H10870" s="397"/>
      <c r="I10870" s="397"/>
      <c r="J10870" s="750" t="e">
        <f t="shared" si="141"/>
        <v>#DIV/0!</v>
      </c>
      <c r="K10870" s="398"/>
      <c r="L10870" s="398"/>
      <c r="M10870" s="682"/>
    </row>
    <row r="10871" spans="6:13" ht="13.5" hidden="1" thickBot="1" x14ac:dyDescent="0.25">
      <c r="F10871" s="494">
        <v>444</v>
      </c>
      <c r="G10871" s="495" t="s">
        <v>3798</v>
      </c>
      <c r="H10871" s="397"/>
      <c r="I10871" s="397"/>
      <c r="J10871" s="750" t="e">
        <f t="shared" si="141"/>
        <v>#DIV/0!</v>
      </c>
      <c r="K10871" s="398"/>
      <c r="L10871" s="398"/>
      <c r="M10871" s="682"/>
    </row>
    <row r="10872" spans="6:13" ht="26.25" hidden="1" thickBot="1" x14ac:dyDescent="0.25">
      <c r="F10872" s="494">
        <v>4511</v>
      </c>
      <c r="G10872" s="466" t="s">
        <v>1692</v>
      </c>
      <c r="H10872" s="397"/>
      <c r="I10872" s="397"/>
      <c r="J10872" s="750" t="e">
        <f t="shared" si="141"/>
        <v>#DIV/0!</v>
      </c>
      <c r="K10872" s="398"/>
      <c r="L10872" s="398"/>
      <c r="M10872" s="682"/>
    </row>
    <row r="10873" spans="6:13" ht="19.5" hidden="1" customHeight="1" x14ac:dyDescent="0.2">
      <c r="F10873" s="494">
        <v>4512</v>
      </c>
      <c r="G10873" s="466" t="s">
        <v>1701</v>
      </c>
      <c r="H10873" s="397"/>
      <c r="I10873" s="397"/>
      <c r="J10873" s="750" t="e">
        <f t="shared" si="141"/>
        <v>#DIV/0!</v>
      </c>
      <c r="K10873" s="398"/>
      <c r="L10873" s="398"/>
      <c r="M10873" s="682"/>
    </row>
    <row r="10874" spans="6:13" ht="26.25" hidden="1" thickBot="1" x14ac:dyDescent="0.25">
      <c r="F10874" s="494">
        <v>452</v>
      </c>
      <c r="G10874" s="495" t="s">
        <v>4187</v>
      </c>
      <c r="H10874" s="397"/>
      <c r="I10874" s="397"/>
      <c r="J10874" s="750" t="e">
        <f t="shared" si="141"/>
        <v>#DIV/0!</v>
      </c>
      <c r="K10874" s="398"/>
      <c r="L10874" s="398"/>
      <c r="M10874" s="682"/>
    </row>
    <row r="10875" spans="6:13" ht="26.25" hidden="1" thickBot="1" x14ac:dyDescent="0.25">
      <c r="F10875" s="494">
        <v>453</v>
      </c>
      <c r="G10875" s="495" t="s">
        <v>4188</v>
      </c>
      <c r="H10875" s="397"/>
      <c r="I10875" s="397"/>
      <c r="J10875" s="750" t="e">
        <f t="shared" si="141"/>
        <v>#DIV/0!</v>
      </c>
      <c r="K10875" s="398"/>
      <c r="L10875" s="398"/>
      <c r="M10875" s="682"/>
    </row>
    <row r="10876" spans="6:13" ht="13.5" hidden="1" thickBot="1" x14ac:dyDescent="0.25">
      <c r="F10876" s="494">
        <v>454</v>
      </c>
      <c r="G10876" s="495" t="s">
        <v>3803</v>
      </c>
      <c r="H10876" s="397"/>
      <c r="I10876" s="397"/>
      <c r="J10876" s="750" t="e">
        <f t="shared" si="141"/>
        <v>#DIV/0!</v>
      </c>
      <c r="K10876" s="398"/>
      <c r="L10876" s="398"/>
      <c r="M10876" s="682"/>
    </row>
    <row r="10877" spans="6:13" ht="13.5" hidden="1" thickBot="1" x14ac:dyDescent="0.25">
      <c r="F10877" s="494">
        <v>461</v>
      </c>
      <c r="G10877" s="495" t="s">
        <v>4169</v>
      </c>
      <c r="H10877" s="397"/>
      <c r="I10877" s="397"/>
      <c r="J10877" s="750" t="e">
        <f t="shared" si="141"/>
        <v>#DIV/0!</v>
      </c>
      <c r="K10877" s="398"/>
      <c r="L10877" s="398"/>
      <c r="M10877" s="682"/>
    </row>
    <row r="10878" spans="6:13" ht="26.25" hidden="1" thickBot="1" x14ac:dyDescent="0.25">
      <c r="F10878" s="494">
        <v>462</v>
      </c>
      <c r="G10878" s="495" t="s">
        <v>3806</v>
      </c>
      <c r="H10878" s="397"/>
      <c r="I10878" s="397"/>
      <c r="J10878" s="750" t="e">
        <f t="shared" si="141"/>
        <v>#DIV/0!</v>
      </c>
      <c r="K10878" s="398"/>
      <c r="L10878" s="398"/>
      <c r="M10878" s="682"/>
    </row>
    <row r="10879" spans="6:13" ht="13.5" hidden="1" thickBot="1" x14ac:dyDescent="0.25">
      <c r="F10879" s="494">
        <v>4631</v>
      </c>
      <c r="G10879" s="495" t="s">
        <v>3807</v>
      </c>
      <c r="H10879" s="397"/>
      <c r="I10879" s="397"/>
      <c r="J10879" s="750" t="e">
        <f t="shared" si="141"/>
        <v>#DIV/0!</v>
      </c>
      <c r="K10879" s="398"/>
      <c r="L10879" s="398"/>
      <c r="M10879" s="682"/>
    </row>
    <row r="10880" spans="6:13" ht="13.5" hidden="1" thickBot="1" x14ac:dyDescent="0.25">
      <c r="F10880" s="494">
        <v>4632</v>
      </c>
      <c r="G10880" s="495" t="s">
        <v>3808</v>
      </c>
      <c r="H10880" s="397"/>
      <c r="I10880" s="397"/>
      <c r="J10880" s="750" t="e">
        <f t="shared" si="141"/>
        <v>#DIV/0!</v>
      </c>
      <c r="K10880" s="398"/>
      <c r="L10880" s="398"/>
      <c r="M10880" s="682"/>
    </row>
    <row r="10881" spans="6:13" ht="26.25" hidden="1" thickBot="1" x14ac:dyDescent="0.25">
      <c r="F10881" s="494">
        <v>464</v>
      </c>
      <c r="G10881" s="495" t="s">
        <v>3809</v>
      </c>
      <c r="H10881" s="397"/>
      <c r="I10881" s="397"/>
      <c r="J10881" s="750" t="e">
        <f t="shared" si="141"/>
        <v>#DIV/0!</v>
      </c>
      <c r="K10881" s="398"/>
      <c r="L10881" s="398"/>
      <c r="M10881" s="682"/>
    </row>
    <row r="10882" spans="6:13" ht="13.5" hidden="1" thickBot="1" x14ac:dyDescent="0.25">
      <c r="F10882" s="494">
        <v>465</v>
      </c>
      <c r="G10882" s="495" t="s">
        <v>4170</v>
      </c>
      <c r="H10882" s="397"/>
      <c r="I10882" s="397"/>
      <c r="J10882" s="750" t="e">
        <f t="shared" si="141"/>
        <v>#DIV/0!</v>
      </c>
      <c r="K10882" s="398"/>
      <c r="L10882" s="398"/>
      <c r="M10882" s="682"/>
    </row>
    <row r="10883" spans="6:13" ht="13.5" hidden="1" thickBot="1" x14ac:dyDescent="0.25">
      <c r="F10883" s="494">
        <v>472</v>
      </c>
      <c r="G10883" s="495" t="s">
        <v>3813</v>
      </c>
      <c r="H10883" s="397"/>
      <c r="I10883" s="397"/>
      <c r="J10883" s="750" t="e">
        <f t="shared" si="141"/>
        <v>#DIV/0!</v>
      </c>
      <c r="K10883" s="398"/>
      <c r="L10883" s="398"/>
      <c r="M10883" s="682"/>
    </row>
    <row r="10884" spans="6:13" ht="13.5" hidden="1" thickBot="1" x14ac:dyDescent="0.25">
      <c r="F10884" s="494">
        <v>481</v>
      </c>
      <c r="G10884" s="495" t="s">
        <v>4189</v>
      </c>
      <c r="H10884" s="397"/>
      <c r="I10884" s="397"/>
      <c r="J10884" s="750" t="e">
        <f t="shared" si="141"/>
        <v>#DIV/0!</v>
      </c>
      <c r="K10884" s="398"/>
      <c r="L10884" s="398"/>
      <c r="M10884" s="682"/>
    </row>
    <row r="10885" spans="6:13" ht="13.5" hidden="1" thickBot="1" x14ac:dyDescent="0.25">
      <c r="F10885" s="494">
        <v>482</v>
      </c>
      <c r="G10885" s="495" t="s">
        <v>4190</v>
      </c>
      <c r="H10885" s="397"/>
      <c r="I10885" s="397"/>
      <c r="J10885" s="750" t="e">
        <f t="shared" si="141"/>
        <v>#DIV/0!</v>
      </c>
      <c r="K10885" s="398"/>
      <c r="L10885" s="398"/>
      <c r="M10885" s="682"/>
    </row>
    <row r="10886" spans="6:13" ht="13.5" hidden="1" thickBot="1" x14ac:dyDescent="0.25">
      <c r="F10886" s="494">
        <v>483</v>
      </c>
      <c r="G10886" s="497" t="s">
        <v>4191</v>
      </c>
      <c r="H10886" s="397"/>
      <c r="I10886" s="397"/>
      <c r="J10886" s="750" t="e">
        <f t="shared" si="141"/>
        <v>#DIV/0!</v>
      </c>
      <c r="K10886" s="398"/>
      <c r="L10886" s="398"/>
      <c r="M10886" s="682"/>
    </row>
    <row r="10887" spans="6:13" ht="39" hidden="1" thickBot="1" x14ac:dyDescent="0.25">
      <c r="F10887" s="494">
        <v>484</v>
      </c>
      <c r="G10887" s="495" t="s">
        <v>4192</v>
      </c>
      <c r="H10887" s="397"/>
      <c r="I10887" s="397"/>
      <c r="J10887" s="750" t="e">
        <f t="shared" si="141"/>
        <v>#DIV/0!</v>
      </c>
      <c r="K10887" s="398"/>
      <c r="L10887" s="398"/>
      <c r="M10887" s="682"/>
    </row>
    <row r="10888" spans="6:13" ht="26.25" hidden="1" thickBot="1" x14ac:dyDescent="0.25">
      <c r="F10888" s="494">
        <v>485</v>
      </c>
      <c r="G10888" s="495" t="s">
        <v>4193</v>
      </c>
      <c r="H10888" s="397"/>
      <c r="I10888" s="397"/>
      <c r="J10888" s="750" t="e">
        <f t="shared" si="141"/>
        <v>#DIV/0!</v>
      </c>
      <c r="K10888" s="398"/>
      <c r="L10888" s="398"/>
      <c r="M10888" s="682"/>
    </row>
    <row r="10889" spans="6:13" ht="26.25" hidden="1" thickBot="1" x14ac:dyDescent="0.25">
      <c r="F10889" s="494">
        <v>489</v>
      </c>
      <c r="G10889" s="495" t="s">
        <v>3821</v>
      </c>
      <c r="H10889" s="397"/>
      <c r="I10889" s="397"/>
      <c r="J10889" s="750" t="e">
        <f t="shared" si="141"/>
        <v>#DIV/0!</v>
      </c>
      <c r="K10889" s="398"/>
      <c r="L10889" s="398"/>
      <c r="M10889" s="682"/>
    </row>
    <row r="10890" spans="6:13" ht="26.25" hidden="1" thickBot="1" x14ac:dyDescent="0.25">
      <c r="F10890" s="494">
        <v>494</v>
      </c>
      <c r="G10890" s="495" t="s">
        <v>4171</v>
      </c>
      <c r="H10890" s="397"/>
      <c r="I10890" s="397"/>
      <c r="J10890" s="750" t="e">
        <f t="shared" si="141"/>
        <v>#DIV/0!</v>
      </c>
      <c r="K10890" s="398"/>
      <c r="L10890" s="398"/>
      <c r="M10890" s="682"/>
    </row>
    <row r="10891" spans="6:13" ht="26.25" hidden="1" thickBot="1" x14ac:dyDescent="0.25">
      <c r="F10891" s="494">
        <v>495</v>
      </c>
      <c r="G10891" s="495" t="s">
        <v>4172</v>
      </c>
      <c r="H10891" s="397"/>
      <c r="I10891" s="397"/>
      <c r="J10891" s="750" t="e">
        <f t="shared" si="141"/>
        <v>#DIV/0!</v>
      </c>
      <c r="K10891" s="398"/>
      <c r="L10891" s="398"/>
      <c r="M10891" s="682"/>
    </row>
    <row r="10892" spans="6:13" ht="39" hidden="1" thickBot="1" x14ac:dyDescent="0.25">
      <c r="F10892" s="494">
        <v>496</v>
      </c>
      <c r="G10892" s="495" t="s">
        <v>4173</v>
      </c>
      <c r="H10892" s="397"/>
      <c r="I10892" s="397"/>
      <c r="J10892" s="750" t="e">
        <f t="shared" si="141"/>
        <v>#DIV/0!</v>
      </c>
      <c r="K10892" s="398"/>
      <c r="L10892" s="398"/>
      <c r="M10892" s="682"/>
    </row>
    <row r="10893" spans="6:13" ht="26.25" hidden="1" thickBot="1" x14ac:dyDescent="0.25">
      <c r="F10893" s="494">
        <v>499</v>
      </c>
      <c r="G10893" s="495" t="s">
        <v>4174</v>
      </c>
      <c r="H10893" s="397"/>
      <c r="I10893" s="397"/>
      <c r="J10893" s="750" t="e">
        <f t="shared" si="141"/>
        <v>#DIV/0!</v>
      </c>
      <c r="K10893" s="398"/>
      <c r="L10893" s="398"/>
      <c r="M10893" s="682"/>
    </row>
    <row r="10894" spans="6:13" ht="13.5" hidden="1" thickBot="1" x14ac:dyDescent="0.25">
      <c r="F10894" s="494">
        <v>511</v>
      </c>
      <c r="G10894" s="497" t="s">
        <v>4194</v>
      </c>
      <c r="H10894" s="397"/>
      <c r="I10894" s="397"/>
      <c r="J10894" s="750" t="e">
        <f t="shared" ref="J10894:J10957" si="142">SUM(I10894/H10894)*100</f>
        <v>#DIV/0!</v>
      </c>
      <c r="K10894" s="398"/>
      <c r="L10894" s="398"/>
      <c r="M10894" s="682"/>
    </row>
    <row r="10895" spans="6:13" ht="13.5" hidden="1" thickBot="1" x14ac:dyDescent="0.25">
      <c r="F10895" s="494">
        <v>512</v>
      </c>
      <c r="G10895" s="497" t="s">
        <v>4195</v>
      </c>
      <c r="H10895" s="397"/>
      <c r="I10895" s="397"/>
      <c r="J10895" s="750" t="e">
        <f t="shared" si="142"/>
        <v>#DIV/0!</v>
      </c>
      <c r="K10895" s="398"/>
      <c r="L10895" s="398"/>
      <c r="M10895" s="682"/>
    </row>
    <row r="10896" spans="6:13" ht="13.5" hidden="1" thickBot="1" x14ac:dyDescent="0.25">
      <c r="F10896" s="494">
        <v>513</v>
      </c>
      <c r="G10896" s="497" t="s">
        <v>4196</v>
      </c>
      <c r="H10896" s="397"/>
      <c r="I10896" s="397"/>
      <c r="J10896" s="750" t="e">
        <f t="shared" si="142"/>
        <v>#DIV/0!</v>
      </c>
      <c r="K10896" s="398"/>
      <c r="L10896" s="398"/>
      <c r="M10896" s="682"/>
    </row>
    <row r="10897" spans="5:13" ht="13.5" hidden="1" thickBot="1" x14ac:dyDescent="0.25">
      <c r="F10897" s="494">
        <v>514</v>
      </c>
      <c r="G10897" s="495" t="s">
        <v>4197</v>
      </c>
      <c r="H10897" s="397"/>
      <c r="I10897" s="397"/>
      <c r="J10897" s="750" t="e">
        <f t="shared" si="142"/>
        <v>#DIV/0!</v>
      </c>
      <c r="K10897" s="398"/>
      <c r="L10897" s="398"/>
      <c r="M10897" s="682"/>
    </row>
    <row r="10898" spans="5:13" ht="13.5" hidden="1" thickBot="1" x14ac:dyDescent="0.25">
      <c r="F10898" s="494">
        <v>515</v>
      </c>
      <c r="G10898" s="495" t="s">
        <v>3832</v>
      </c>
      <c r="H10898" s="397"/>
      <c r="I10898" s="397"/>
      <c r="J10898" s="750" t="e">
        <f t="shared" si="142"/>
        <v>#DIV/0!</v>
      </c>
      <c r="K10898" s="398"/>
      <c r="L10898" s="398"/>
      <c r="M10898" s="682"/>
    </row>
    <row r="10899" spans="5:13" ht="13.5" hidden="1" thickBot="1" x14ac:dyDescent="0.25">
      <c r="F10899" s="494">
        <v>521</v>
      </c>
      <c r="G10899" s="495" t="s">
        <v>4198</v>
      </c>
      <c r="H10899" s="397"/>
      <c r="I10899" s="397"/>
      <c r="J10899" s="750" t="e">
        <f t="shared" si="142"/>
        <v>#DIV/0!</v>
      </c>
      <c r="K10899" s="398"/>
      <c r="L10899" s="398"/>
      <c r="M10899" s="682"/>
    </row>
    <row r="10900" spans="5:13" ht="13.5" hidden="1" thickBot="1" x14ac:dyDescent="0.25">
      <c r="F10900" s="494">
        <v>522</v>
      </c>
      <c r="G10900" s="495" t="s">
        <v>4199</v>
      </c>
      <c r="H10900" s="397"/>
      <c r="I10900" s="397"/>
      <c r="J10900" s="750" t="e">
        <f t="shared" si="142"/>
        <v>#DIV/0!</v>
      </c>
      <c r="K10900" s="398"/>
      <c r="L10900" s="398"/>
      <c r="M10900" s="682"/>
    </row>
    <row r="10901" spans="5:13" ht="13.5" hidden="1" thickBot="1" x14ac:dyDescent="0.25">
      <c r="F10901" s="494">
        <v>523</v>
      </c>
      <c r="G10901" s="495" t="s">
        <v>3837</v>
      </c>
      <c r="H10901" s="397"/>
      <c r="I10901" s="397"/>
      <c r="J10901" s="750" t="e">
        <f t="shared" si="142"/>
        <v>#DIV/0!</v>
      </c>
      <c r="K10901" s="398"/>
      <c r="L10901" s="398"/>
      <c r="M10901" s="682"/>
    </row>
    <row r="10902" spans="5:13" ht="13.5" hidden="1" thickBot="1" x14ac:dyDescent="0.25">
      <c r="F10902" s="494">
        <v>531</v>
      </c>
      <c r="G10902" s="496" t="s">
        <v>4175</v>
      </c>
      <c r="H10902" s="397"/>
      <c r="I10902" s="397"/>
      <c r="J10902" s="750" t="e">
        <f t="shared" si="142"/>
        <v>#DIV/0!</v>
      </c>
      <c r="K10902" s="398"/>
      <c r="L10902" s="398"/>
      <c r="M10902" s="682"/>
    </row>
    <row r="10903" spans="5:13" ht="13.5" hidden="1" thickBot="1" x14ac:dyDescent="0.25">
      <c r="F10903" s="494">
        <v>541</v>
      </c>
      <c r="G10903" s="495" t="s">
        <v>4200</v>
      </c>
      <c r="H10903" s="397"/>
      <c r="I10903" s="397"/>
      <c r="J10903" s="750" t="e">
        <f t="shared" si="142"/>
        <v>#DIV/0!</v>
      </c>
      <c r="K10903" s="398"/>
      <c r="L10903" s="398"/>
      <c r="M10903" s="682"/>
    </row>
    <row r="10904" spans="5:13" ht="13.5" hidden="1" thickBot="1" x14ac:dyDescent="0.25">
      <c r="F10904" s="494">
        <v>542</v>
      </c>
      <c r="G10904" s="495" t="s">
        <v>4201</v>
      </c>
      <c r="H10904" s="397"/>
      <c r="I10904" s="397"/>
      <c r="J10904" s="750" t="e">
        <f t="shared" si="142"/>
        <v>#DIV/0!</v>
      </c>
      <c r="K10904" s="398"/>
      <c r="L10904" s="398"/>
      <c r="M10904" s="682"/>
    </row>
    <row r="10905" spans="5:13" ht="13.5" hidden="1" thickBot="1" x14ac:dyDescent="0.25">
      <c r="F10905" s="494">
        <v>543</v>
      </c>
      <c r="G10905" s="495" t="s">
        <v>3842</v>
      </c>
      <c r="H10905" s="397"/>
      <c r="I10905" s="397"/>
      <c r="J10905" s="750" t="e">
        <f t="shared" si="142"/>
        <v>#DIV/0!</v>
      </c>
      <c r="K10905" s="398"/>
      <c r="L10905" s="398"/>
      <c r="M10905" s="682"/>
    </row>
    <row r="10906" spans="5:13" ht="39" hidden="1" thickBot="1" x14ac:dyDescent="0.25">
      <c r="F10906" s="494">
        <v>551</v>
      </c>
      <c r="G10906" s="495" t="s">
        <v>4176</v>
      </c>
      <c r="H10906" s="397"/>
      <c r="I10906" s="397"/>
      <c r="J10906" s="750" t="e">
        <f t="shared" si="142"/>
        <v>#DIV/0!</v>
      </c>
      <c r="K10906" s="398"/>
      <c r="L10906" s="398"/>
      <c r="M10906" s="682"/>
    </row>
    <row r="10907" spans="5:13" ht="13.5" hidden="1" thickBot="1" x14ac:dyDescent="0.25">
      <c r="F10907" s="498">
        <v>611</v>
      </c>
      <c r="G10907" s="499" t="s">
        <v>3848</v>
      </c>
      <c r="H10907" s="397"/>
      <c r="I10907" s="397"/>
      <c r="J10907" s="750" t="e">
        <f t="shared" si="142"/>
        <v>#DIV/0!</v>
      </c>
      <c r="K10907" s="398"/>
      <c r="L10907" s="398"/>
      <c r="M10907" s="682"/>
    </row>
    <row r="10908" spans="5:13" ht="13.5" hidden="1" thickBot="1" x14ac:dyDescent="0.25">
      <c r="F10908" s="498">
        <v>620</v>
      </c>
      <c r="G10908" s="499" t="s">
        <v>88</v>
      </c>
      <c r="H10908" s="397"/>
      <c r="I10908" s="397"/>
      <c r="J10908" s="750" t="e">
        <f t="shared" si="142"/>
        <v>#DIV/0!</v>
      </c>
      <c r="K10908" s="398"/>
      <c r="L10908" s="398"/>
      <c r="M10908" s="682"/>
    </row>
    <row r="10909" spans="5:13" ht="12" customHeight="1" x14ac:dyDescent="0.2">
      <c r="E10909" s="500"/>
      <c r="F10909" s="498"/>
      <c r="G10909" s="501" t="s">
        <v>4344</v>
      </c>
      <c r="H10909" s="400"/>
      <c r="I10909" s="400"/>
      <c r="J10909" s="750"/>
      <c r="K10909" s="401"/>
      <c r="L10909" s="402"/>
      <c r="M10909" s="682"/>
    </row>
    <row r="10910" spans="5:13" ht="13.5" thickBot="1" x14ac:dyDescent="0.25">
      <c r="E10910" s="502"/>
      <c r="F10910" s="503" t="s">
        <v>234</v>
      </c>
      <c r="G10910" s="504" t="s">
        <v>235</v>
      </c>
      <c r="H10910" s="403">
        <f>SUM(H10849:H10908)</f>
        <v>3000000</v>
      </c>
      <c r="I10910" s="403">
        <f>SUM(I10857)</f>
        <v>1790360</v>
      </c>
      <c r="J10910" s="750">
        <f t="shared" si="142"/>
        <v>59.678666666666672</v>
      </c>
      <c r="K10910" s="404"/>
      <c r="L10910" s="404"/>
      <c r="M10910" s="682"/>
    </row>
    <row r="10911" spans="5:13" ht="13.5" hidden="1" thickBot="1" x14ac:dyDescent="0.25">
      <c r="F10911" s="503" t="s">
        <v>236</v>
      </c>
      <c r="G10911" s="504" t="s">
        <v>237</v>
      </c>
      <c r="H10911" s="397"/>
      <c r="I10911" s="397"/>
      <c r="J10911" s="750" t="e">
        <f t="shared" si="142"/>
        <v>#DIV/0!</v>
      </c>
      <c r="K10911" s="398"/>
      <c r="L10911" s="404"/>
      <c r="M10911" s="682"/>
    </row>
    <row r="10912" spans="5:13" ht="13.5" hidden="1" thickBot="1" x14ac:dyDescent="0.25">
      <c r="F10912" s="503" t="s">
        <v>238</v>
      </c>
      <c r="G10912" s="504" t="s">
        <v>239</v>
      </c>
      <c r="H10912" s="397"/>
      <c r="I10912" s="397"/>
      <c r="J10912" s="750" t="e">
        <f t="shared" si="142"/>
        <v>#DIV/0!</v>
      </c>
      <c r="K10912" s="398"/>
      <c r="L10912" s="404"/>
      <c r="M10912" s="682"/>
    </row>
    <row r="10913" spans="5:13" ht="13.5" hidden="1" thickBot="1" x14ac:dyDescent="0.25">
      <c r="F10913" s="503" t="s">
        <v>240</v>
      </c>
      <c r="G10913" s="504" t="s">
        <v>241</v>
      </c>
      <c r="H10913" s="397"/>
      <c r="I10913" s="397"/>
      <c r="J10913" s="750" t="e">
        <f t="shared" si="142"/>
        <v>#DIV/0!</v>
      </c>
      <c r="K10913" s="398"/>
      <c r="L10913" s="404"/>
      <c r="M10913" s="682"/>
    </row>
    <row r="10914" spans="5:13" ht="13.5" hidden="1" thickBot="1" x14ac:dyDescent="0.25">
      <c r="F10914" s="503" t="s">
        <v>242</v>
      </c>
      <c r="G10914" s="504" t="s">
        <v>243</v>
      </c>
      <c r="H10914" s="397"/>
      <c r="I10914" s="397"/>
      <c r="J10914" s="750" t="e">
        <f t="shared" si="142"/>
        <v>#DIV/0!</v>
      </c>
      <c r="K10914" s="398"/>
      <c r="L10914" s="404"/>
      <c r="M10914" s="682"/>
    </row>
    <row r="10915" spans="5:13" ht="13.5" hidden="1" thickBot="1" x14ac:dyDescent="0.25">
      <c r="F10915" s="503" t="s">
        <v>244</v>
      </c>
      <c r="G10915" s="504" t="s">
        <v>245</v>
      </c>
      <c r="H10915" s="397"/>
      <c r="I10915" s="397"/>
      <c r="J10915" s="750" t="e">
        <f t="shared" si="142"/>
        <v>#DIV/0!</v>
      </c>
      <c r="K10915" s="398"/>
      <c r="L10915" s="404"/>
      <c r="M10915" s="682"/>
    </row>
    <row r="10916" spans="5:13" ht="13.5" hidden="1" thickBot="1" x14ac:dyDescent="0.25">
      <c r="F10916" s="503" t="s">
        <v>246</v>
      </c>
      <c r="G10916" s="504" t="s">
        <v>247</v>
      </c>
      <c r="H10916" s="397"/>
      <c r="I10916" s="397"/>
      <c r="J10916" s="750" t="e">
        <f t="shared" si="142"/>
        <v>#DIV/0!</v>
      </c>
      <c r="K10916" s="398"/>
      <c r="L10916" s="404"/>
      <c r="M10916" s="682"/>
    </row>
    <row r="10917" spans="5:13" ht="26.25" hidden="1" thickBot="1" x14ac:dyDescent="0.25">
      <c r="F10917" s="503" t="s">
        <v>248</v>
      </c>
      <c r="G10917" s="504" t="s">
        <v>249</v>
      </c>
      <c r="H10917" s="397"/>
      <c r="I10917" s="397"/>
      <c r="J10917" s="750" t="e">
        <f t="shared" si="142"/>
        <v>#DIV/0!</v>
      </c>
      <c r="K10917" s="398"/>
      <c r="L10917" s="404"/>
      <c r="M10917" s="682"/>
    </row>
    <row r="10918" spans="5:13" ht="13.5" hidden="1" thickBot="1" x14ac:dyDescent="0.25">
      <c r="F10918" s="503" t="s">
        <v>250</v>
      </c>
      <c r="G10918" s="504" t="s">
        <v>57</v>
      </c>
      <c r="H10918" s="397"/>
      <c r="I10918" s="397"/>
      <c r="J10918" s="750" t="e">
        <f t="shared" si="142"/>
        <v>#DIV/0!</v>
      </c>
      <c r="K10918" s="398"/>
      <c r="L10918" s="404"/>
      <c r="M10918" s="682"/>
    </row>
    <row r="10919" spans="5:13" ht="13.5" hidden="1" thickBot="1" x14ac:dyDescent="0.25">
      <c r="F10919" s="503" t="s">
        <v>251</v>
      </c>
      <c r="G10919" s="504" t="s">
        <v>252</v>
      </c>
      <c r="H10919" s="397"/>
      <c r="I10919" s="397"/>
      <c r="J10919" s="750" t="e">
        <f t="shared" si="142"/>
        <v>#DIV/0!</v>
      </c>
      <c r="K10919" s="398"/>
      <c r="L10919" s="404"/>
      <c r="M10919" s="682"/>
    </row>
    <row r="10920" spans="5:13" ht="13.5" hidden="1" thickBot="1" x14ac:dyDescent="0.25">
      <c r="F10920" s="503" t="s">
        <v>253</v>
      </c>
      <c r="G10920" s="504" t="s">
        <v>254</v>
      </c>
      <c r="H10920" s="397"/>
      <c r="I10920" s="397"/>
      <c r="J10920" s="750" t="e">
        <f t="shared" si="142"/>
        <v>#DIV/0!</v>
      </c>
      <c r="K10920" s="398"/>
      <c r="L10920" s="404"/>
      <c r="M10920" s="682"/>
    </row>
    <row r="10921" spans="5:13" ht="26.25" hidden="1" thickBot="1" x14ac:dyDescent="0.25">
      <c r="F10921" s="503" t="s">
        <v>255</v>
      </c>
      <c r="G10921" s="504" t="s">
        <v>256</v>
      </c>
      <c r="H10921" s="397"/>
      <c r="I10921" s="397"/>
      <c r="J10921" s="750" t="e">
        <f t="shared" si="142"/>
        <v>#DIV/0!</v>
      </c>
      <c r="K10921" s="398"/>
      <c r="L10921" s="404"/>
      <c r="M10921" s="682"/>
    </row>
    <row r="10922" spans="5:13" ht="26.25" hidden="1" thickBot="1" x14ac:dyDescent="0.25">
      <c r="F10922" s="503" t="s">
        <v>257</v>
      </c>
      <c r="G10922" s="504" t="s">
        <v>258</v>
      </c>
      <c r="H10922" s="397"/>
      <c r="I10922" s="397"/>
      <c r="J10922" s="750" t="e">
        <f t="shared" si="142"/>
        <v>#DIV/0!</v>
      </c>
      <c r="K10922" s="398"/>
      <c r="L10922" s="404"/>
      <c r="M10922" s="682"/>
    </row>
    <row r="10923" spans="5:13" ht="26.25" hidden="1" thickBot="1" x14ac:dyDescent="0.25">
      <c r="F10923" s="503" t="s">
        <v>259</v>
      </c>
      <c r="G10923" s="504" t="s">
        <v>260</v>
      </c>
      <c r="H10923" s="397"/>
      <c r="I10923" s="397"/>
      <c r="J10923" s="750" t="e">
        <f t="shared" si="142"/>
        <v>#DIV/0!</v>
      </c>
      <c r="K10923" s="398"/>
      <c r="L10923" s="404"/>
      <c r="M10923" s="682"/>
    </row>
    <row r="10924" spans="5:13" ht="26.25" hidden="1" thickBot="1" x14ac:dyDescent="0.25">
      <c r="F10924" s="503" t="s">
        <v>261</v>
      </c>
      <c r="G10924" s="504" t="s">
        <v>262</v>
      </c>
      <c r="H10924" s="397"/>
      <c r="I10924" s="397"/>
      <c r="J10924" s="750" t="e">
        <f t="shared" si="142"/>
        <v>#DIV/0!</v>
      </c>
      <c r="K10924" s="398"/>
      <c r="L10924" s="404"/>
      <c r="M10924" s="682"/>
    </row>
    <row r="10925" spans="5:13" ht="13.5" hidden="1" thickBot="1" x14ac:dyDescent="0.25">
      <c r="F10925" s="503" t="s">
        <v>263</v>
      </c>
      <c r="G10925" s="504" t="s">
        <v>264</v>
      </c>
      <c r="H10925" s="403"/>
      <c r="I10925" s="403"/>
      <c r="J10925" s="750" t="e">
        <f t="shared" si="142"/>
        <v>#DIV/0!</v>
      </c>
      <c r="K10925" s="404"/>
      <c r="L10925" s="404"/>
      <c r="M10925" s="682"/>
    </row>
    <row r="10926" spans="5:13" ht="13.5" thickBot="1" x14ac:dyDescent="0.25">
      <c r="G10926" s="505" t="s">
        <v>4345</v>
      </c>
      <c r="H10926" s="405">
        <f>SUM(H10910:H10925)</f>
        <v>3000000</v>
      </c>
      <c r="I10926" s="405">
        <f>SUM(I10910)</f>
        <v>1790360</v>
      </c>
      <c r="J10926" s="750">
        <f t="shared" si="142"/>
        <v>59.678666666666672</v>
      </c>
      <c r="K10926" s="406">
        <f>SUM(K10911:K10925)</f>
        <v>0</v>
      </c>
      <c r="L10926" s="406"/>
      <c r="M10926" s="682"/>
    </row>
    <row r="10927" spans="5:13" ht="12.75" customHeight="1" collapsed="1" x14ac:dyDescent="0.2">
      <c r="E10927" s="500"/>
      <c r="F10927" s="498"/>
      <c r="G10927" s="506" t="s">
        <v>4419</v>
      </c>
      <c r="H10927" s="407"/>
      <c r="I10927" s="408"/>
      <c r="J10927" s="750"/>
      <c r="K10927" s="409"/>
      <c r="L10927" s="410"/>
      <c r="M10927" s="682"/>
    </row>
    <row r="10928" spans="5:13" ht="13.5" thickBot="1" x14ac:dyDescent="0.25">
      <c r="E10928" s="502"/>
      <c r="F10928" s="503" t="s">
        <v>234</v>
      </c>
      <c r="G10928" s="504" t="s">
        <v>235</v>
      </c>
      <c r="H10928" s="403">
        <f>SUM(H10849:H10908)</f>
        <v>3000000</v>
      </c>
      <c r="I10928" s="403">
        <f>SUM(I10926)</f>
        <v>1790360</v>
      </c>
      <c r="J10928" s="750">
        <f t="shared" si="142"/>
        <v>59.678666666666672</v>
      </c>
      <c r="K10928" s="404"/>
      <c r="L10928" s="404"/>
      <c r="M10928" s="682"/>
    </row>
    <row r="10929" spans="6:13" ht="13.5" hidden="1" thickBot="1" x14ac:dyDescent="0.25">
      <c r="F10929" s="503" t="s">
        <v>236</v>
      </c>
      <c r="G10929" s="504" t="s">
        <v>237</v>
      </c>
      <c r="H10929" s="397"/>
      <c r="I10929" s="397"/>
      <c r="J10929" s="750" t="e">
        <f t="shared" si="142"/>
        <v>#DIV/0!</v>
      </c>
      <c r="K10929" s="398"/>
      <c r="L10929" s="404"/>
      <c r="M10929" s="682"/>
    </row>
    <row r="10930" spans="6:13" ht="13.5" hidden="1" thickBot="1" x14ac:dyDescent="0.25">
      <c r="F10930" s="503" t="s">
        <v>238</v>
      </c>
      <c r="G10930" s="504" t="s">
        <v>239</v>
      </c>
      <c r="H10930" s="397"/>
      <c r="I10930" s="397"/>
      <c r="J10930" s="750" t="e">
        <f t="shared" si="142"/>
        <v>#DIV/0!</v>
      </c>
      <c r="K10930" s="398"/>
      <c r="L10930" s="404"/>
      <c r="M10930" s="682"/>
    </row>
    <row r="10931" spans="6:13" ht="13.5" hidden="1" thickBot="1" x14ac:dyDescent="0.25">
      <c r="F10931" s="503" t="s">
        <v>240</v>
      </c>
      <c r="G10931" s="504" t="s">
        <v>241</v>
      </c>
      <c r="H10931" s="397"/>
      <c r="I10931" s="397"/>
      <c r="J10931" s="750" t="e">
        <f t="shared" si="142"/>
        <v>#DIV/0!</v>
      </c>
      <c r="K10931" s="398"/>
      <c r="L10931" s="404"/>
      <c r="M10931" s="682"/>
    </row>
    <row r="10932" spans="6:13" ht="13.5" hidden="1" thickBot="1" x14ac:dyDescent="0.25">
      <c r="F10932" s="503" t="s">
        <v>242</v>
      </c>
      <c r="G10932" s="504" t="s">
        <v>243</v>
      </c>
      <c r="H10932" s="397"/>
      <c r="I10932" s="397"/>
      <c r="J10932" s="750" t="e">
        <f t="shared" si="142"/>
        <v>#DIV/0!</v>
      </c>
      <c r="K10932" s="398"/>
      <c r="L10932" s="404"/>
      <c r="M10932" s="682"/>
    </row>
    <row r="10933" spans="6:13" ht="13.5" hidden="1" thickBot="1" x14ac:dyDescent="0.25">
      <c r="F10933" s="503" t="s">
        <v>244</v>
      </c>
      <c r="G10933" s="504" t="s">
        <v>245</v>
      </c>
      <c r="H10933" s="397"/>
      <c r="I10933" s="397"/>
      <c r="J10933" s="750" t="e">
        <f t="shared" si="142"/>
        <v>#DIV/0!</v>
      </c>
      <c r="K10933" s="398"/>
      <c r="L10933" s="404"/>
      <c r="M10933" s="682"/>
    </row>
    <row r="10934" spans="6:13" ht="13.5" hidden="1" thickBot="1" x14ac:dyDescent="0.25">
      <c r="F10934" s="503" t="s">
        <v>246</v>
      </c>
      <c r="G10934" s="504" t="s">
        <v>247</v>
      </c>
      <c r="H10934" s="397"/>
      <c r="I10934" s="397"/>
      <c r="J10934" s="750" t="e">
        <f t="shared" si="142"/>
        <v>#DIV/0!</v>
      </c>
      <c r="K10934" s="398"/>
      <c r="L10934" s="404"/>
      <c r="M10934" s="682"/>
    </row>
    <row r="10935" spans="6:13" ht="26.25" hidden="1" thickBot="1" x14ac:dyDescent="0.25">
      <c r="F10935" s="503" t="s">
        <v>248</v>
      </c>
      <c r="G10935" s="504" t="s">
        <v>249</v>
      </c>
      <c r="H10935" s="397"/>
      <c r="I10935" s="397"/>
      <c r="J10935" s="750" t="e">
        <f t="shared" si="142"/>
        <v>#DIV/0!</v>
      </c>
      <c r="K10935" s="398"/>
      <c r="L10935" s="404"/>
      <c r="M10935" s="682"/>
    </row>
    <row r="10936" spans="6:13" ht="13.5" hidden="1" thickBot="1" x14ac:dyDescent="0.25">
      <c r="F10936" s="503" t="s">
        <v>250</v>
      </c>
      <c r="G10936" s="504" t="s">
        <v>57</v>
      </c>
      <c r="H10936" s="397"/>
      <c r="I10936" s="397"/>
      <c r="J10936" s="750" t="e">
        <f t="shared" si="142"/>
        <v>#DIV/0!</v>
      </c>
      <c r="K10936" s="398"/>
      <c r="L10936" s="404"/>
      <c r="M10936" s="682"/>
    </row>
    <row r="10937" spans="6:13" ht="13.5" hidden="1" thickBot="1" x14ac:dyDescent="0.25">
      <c r="F10937" s="503" t="s">
        <v>251</v>
      </c>
      <c r="G10937" s="504" t="s">
        <v>252</v>
      </c>
      <c r="H10937" s="397"/>
      <c r="I10937" s="397"/>
      <c r="J10937" s="750" t="e">
        <f t="shared" si="142"/>
        <v>#DIV/0!</v>
      </c>
      <c r="K10937" s="398"/>
      <c r="L10937" s="404"/>
      <c r="M10937" s="682"/>
    </row>
    <row r="10938" spans="6:13" ht="13.5" hidden="1" thickBot="1" x14ac:dyDescent="0.25">
      <c r="F10938" s="503" t="s">
        <v>253</v>
      </c>
      <c r="G10938" s="504" t="s">
        <v>254</v>
      </c>
      <c r="H10938" s="397"/>
      <c r="I10938" s="397"/>
      <c r="J10938" s="750" t="e">
        <f t="shared" si="142"/>
        <v>#DIV/0!</v>
      </c>
      <c r="K10938" s="398"/>
      <c r="L10938" s="404"/>
      <c r="M10938" s="682"/>
    </row>
    <row r="10939" spans="6:13" ht="26.25" hidden="1" thickBot="1" x14ac:dyDescent="0.25">
      <c r="F10939" s="503" t="s">
        <v>255</v>
      </c>
      <c r="G10939" s="504" t="s">
        <v>256</v>
      </c>
      <c r="H10939" s="397"/>
      <c r="I10939" s="397"/>
      <c r="J10939" s="750" t="e">
        <f t="shared" si="142"/>
        <v>#DIV/0!</v>
      </c>
      <c r="K10939" s="398"/>
      <c r="L10939" s="404"/>
      <c r="M10939" s="682"/>
    </row>
    <row r="10940" spans="6:13" ht="26.25" hidden="1" thickBot="1" x14ac:dyDescent="0.25">
      <c r="F10940" s="503" t="s">
        <v>257</v>
      </c>
      <c r="G10940" s="504" t="s">
        <v>258</v>
      </c>
      <c r="H10940" s="397"/>
      <c r="I10940" s="397"/>
      <c r="J10940" s="750" t="e">
        <f t="shared" si="142"/>
        <v>#DIV/0!</v>
      </c>
      <c r="K10940" s="398"/>
      <c r="L10940" s="404"/>
      <c r="M10940" s="682"/>
    </row>
    <row r="10941" spans="6:13" ht="26.25" hidden="1" thickBot="1" x14ac:dyDescent="0.25">
      <c r="F10941" s="503" t="s">
        <v>259</v>
      </c>
      <c r="G10941" s="504" t="s">
        <v>260</v>
      </c>
      <c r="H10941" s="397"/>
      <c r="I10941" s="397"/>
      <c r="J10941" s="750" t="e">
        <f t="shared" si="142"/>
        <v>#DIV/0!</v>
      </c>
      <c r="K10941" s="398"/>
      <c r="L10941" s="404"/>
      <c r="M10941" s="682"/>
    </row>
    <row r="10942" spans="6:13" ht="26.25" hidden="1" thickBot="1" x14ac:dyDescent="0.25">
      <c r="F10942" s="503" t="s">
        <v>261</v>
      </c>
      <c r="G10942" s="504" t="s">
        <v>262</v>
      </c>
      <c r="H10942" s="397"/>
      <c r="I10942" s="397"/>
      <c r="J10942" s="750" t="e">
        <f t="shared" si="142"/>
        <v>#DIV/0!</v>
      </c>
      <c r="K10942" s="398"/>
      <c r="L10942" s="404"/>
      <c r="M10942" s="682"/>
    </row>
    <row r="10943" spans="6:13" ht="13.5" hidden="1" thickBot="1" x14ac:dyDescent="0.25">
      <c r="F10943" s="503" t="s">
        <v>263</v>
      </c>
      <c r="G10943" s="504" t="s">
        <v>264</v>
      </c>
      <c r="H10943" s="403"/>
      <c r="I10943" s="403"/>
      <c r="J10943" s="750" t="e">
        <f t="shared" si="142"/>
        <v>#DIV/0!</v>
      </c>
      <c r="K10943" s="404"/>
      <c r="L10943" s="404"/>
      <c r="M10943" s="682"/>
    </row>
    <row r="10944" spans="6:13" ht="17.25" customHeight="1" collapsed="1" thickBot="1" x14ac:dyDescent="0.25">
      <c r="G10944" s="505" t="s">
        <v>4420</v>
      </c>
      <c r="H10944" s="405">
        <f>SUM(H10928:H10943)</f>
        <v>3000000</v>
      </c>
      <c r="I10944" s="405">
        <f>SUM(I10928)</f>
        <v>1790360</v>
      </c>
      <c r="J10944" s="750">
        <f t="shared" si="142"/>
        <v>59.678666666666672</v>
      </c>
      <c r="K10944" s="406">
        <f>SUM(K10929:K10943)</f>
        <v>0</v>
      </c>
      <c r="L10944" s="406"/>
      <c r="M10944" s="682"/>
    </row>
    <row r="10945" spans="5:13" hidden="1" x14ac:dyDescent="0.2">
      <c r="H10945" s="397"/>
      <c r="I10945" s="397"/>
      <c r="J10945" s="750" t="e">
        <f t="shared" si="142"/>
        <v>#DIV/0!</v>
      </c>
      <c r="K10945" s="398"/>
      <c r="L10945" s="398"/>
      <c r="M10945" s="682"/>
    </row>
    <row r="10946" spans="5:13" hidden="1" x14ac:dyDescent="0.2">
      <c r="G10946" s="510"/>
      <c r="H10946" s="411"/>
      <c r="I10946" s="411"/>
      <c r="J10946" s="750" t="e">
        <f t="shared" si="142"/>
        <v>#DIV/0!</v>
      </c>
      <c r="K10946" s="412"/>
      <c r="L10946" s="412"/>
      <c r="M10946" s="682"/>
    </row>
    <row r="10947" spans="5:13" ht="22.5" customHeight="1" x14ac:dyDescent="0.2">
      <c r="E10947" s="500"/>
      <c r="F10947" s="498"/>
      <c r="G10947" s="511" t="s">
        <v>4307</v>
      </c>
      <c r="H10947" s="413"/>
      <c r="I10947" s="413"/>
      <c r="J10947" s="750"/>
      <c r="K10947" s="414"/>
      <c r="L10947" s="415"/>
      <c r="M10947" s="682"/>
    </row>
    <row r="10948" spans="5:13" ht="13.5" thickBot="1" x14ac:dyDescent="0.25">
      <c r="E10948" s="502"/>
      <c r="F10948" s="503" t="s">
        <v>234</v>
      </c>
      <c r="G10948" s="504" t="s">
        <v>235</v>
      </c>
      <c r="H10948" s="403">
        <f>SUM(H10928,H10829,H10730,H10631,H10532,H10433,H10334,H10235)</f>
        <v>12900000</v>
      </c>
      <c r="I10948" s="403">
        <f>SUM(I10944,I10746)</f>
        <v>10213357.779999999</v>
      </c>
      <c r="J10948" s="750">
        <f t="shared" si="142"/>
        <v>79.173316124031004</v>
      </c>
      <c r="K10948" s="404"/>
      <c r="L10948" s="404"/>
      <c r="M10948" s="682"/>
    </row>
    <row r="10949" spans="5:13" ht="13.5" hidden="1" thickBot="1" x14ac:dyDescent="0.25">
      <c r="F10949" s="503" t="s">
        <v>236</v>
      </c>
      <c r="G10949" s="504" t="s">
        <v>237</v>
      </c>
      <c r="H10949" s="397"/>
      <c r="I10949" s="397"/>
      <c r="J10949" s="750" t="e">
        <f t="shared" si="142"/>
        <v>#DIV/0!</v>
      </c>
      <c r="K10949" s="398"/>
      <c r="L10949" s="404"/>
      <c r="M10949" s="682"/>
    </row>
    <row r="10950" spans="5:13" ht="13.5" hidden="1" thickBot="1" x14ac:dyDescent="0.25">
      <c r="F10950" s="503" t="s">
        <v>238</v>
      </c>
      <c r="G10950" s="504" t="s">
        <v>239</v>
      </c>
      <c r="H10950" s="397"/>
      <c r="I10950" s="397"/>
      <c r="J10950" s="750" t="e">
        <f t="shared" si="142"/>
        <v>#DIV/0!</v>
      </c>
      <c r="K10950" s="398"/>
      <c r="L10950" s="404"/>
      <c r="M10950" s="682"/>
    </row>
    <row r="10951" spans="5:13" ht="13.5" hidden="1" thickBot="1" x14ac:dyDescent="0.25">
      <c r="F10951" s="503" t="s">
        <v>240</v>
      </c>
      <c r="G10951" s="504" t="s">
        <v>241</v>
      </c>
      <c r="H10951" s="397"/>
      <c r="I10951" s="397"/>
      <c r="J10951" s="750" t="e">
        <f t="shared" si="142"/>
        <v>#DIV/0!</v>
      </c>
      <c r="K10951" s="398"/>
      <c r="L10951" s="404"/>
      <c r="M10951" s="682"/>
    </row>
    <row r="10952" spans="5:13" ht="13.5" hidden="1" thickBot="1" x14ac:dyDescent="0.25">
      <c r="F10952" s="503" t="s">
        <v>242</v>
      </c>
      <c r="G10952" s="504" t="s">
        <v>243</v>
      </c>
      <c r="H10952" s="397"/>
      <c r="I10952" s="397"/>
      <c r="J10952" s="750" t="e">
        <f t="shared" si="142"/>
        <v>#DIV/0!</v>
      </c>
      <c r="K10952" s="398"/>
      <c r="L10952" s="404"/>
      <c r="M10952" s="682"/>
    </row>
    <row r="10953" spans="5:13" ht="13.5" hidden="1" thickBot="1" x14ac:dyDescent="0.25">
      <c r="F10953" s="503" t="s">
        <v>244</v>
      </c>
      <c r="G10953" s="504" t="s">
        <v>245</v>
      </c>
      <c r="H10953" s="397"/>
      <c r="I10953" s="397"/>
      <c r="J10953" s="750" t="e">
        <f t="shared" si="142"/>
        <v>#DIV/0!</v>
      </c>
      <c r="K10953" s="398"/>
      <c r="L10953" s="404"/>
      <c r="M10953" s="682"/>
    </row>
    <row r="10954" spans="5:13" ht="13.5" hidden="1" thickBot="1" x14ac:dyDescent="0.25">
      <c r="F10954" s="503" t="s">
        <v>246</v>
      </c>
      <c r="G10954" s="504" t="s">
        <v>247</v>
      </c>
      <c r="H10954" s="397"/>
      <c r="I10954" s="397"/>
      <c r="J10954" s="750" t="e">
        <f t="shared" si="142"/>
        <v>#DIV/0!</v>
      </c>
      <c r="K10954" s="398"/>
      <c r="L10954" s="404"/>
      <c r="M10954" s="682"/>
    </row>
    <row r="10955" spans="5:13" ht="26.25" hidden="1" thickBot="1" x14ac:dyDescent="0.25">
      <c r="F10955" s="503" t="s">
        <v>248</v>
      </c>
      <c r="G10955" s="504" t="s">
        <v>249</v>
      </c>
      <c r="H10955" s="397"/>
      <c r="I10955" s="397"/>
      <c r="J10955" s="750" t="e">
        <f t="shared" si="142"/>
        <v>#DIV/0!</v>
      </c>
      <c r="K10955" s="398"/>
      <c r="L10955" s="404"/>
      <c r="M10955" s="682"/>
    </row>
    <row r="10956" spans="5:13" ht="13.5" hidden="1" thickBot="1" x14ac:dyDescent="0.25">
      <c r="F10956" s="503" t="s">
        <v>250</v>
      </c>
      <c r="G10956" s="504" t="s">
        <v>57</v>
      </c>
      <c r="H10956" s="397"/>
      <c r="I10956" s="397"/>
      <c r="J10956" s="750" t="e">
        <f t="shared" si="142"/>
        <v>#DIV/0!</v>
      </c>
      <c r="K10956" s="398"/>
      <c r="L10956" s="404"/>
      <c r="M10956" s="682"/>
    </row>
    <row r="10957" spans="5:13" ht="13.5" hidden="1" thickBot="1" x14ac:dyDescent="0.25">
      <c r="F10957" s="503" t="s">
        <v>251</v>
      </c>
      <c r="G10957" s="504" t="s">
        <v>252</v>
      </c>
      <c r="H10957" s="397"/>
      <c r="I10957" s="397"/>
      <c r="J10957" s="750" t="e">
        <f t="shared" si="142"/>
        <v>#DIV/0!</v>
      </c>
      <c r="K10957" s="398"/>
      <c r="L10957" s="404"/>
      <c r="M10957" s="682"/>
    </row>
    <row r="10958" spans="5:13" ht="13.5" hidden="1" thickBot="1" x14ac:dyDescent="0.25">
      <c r="F10958" s="503" t="s">
        <v>253</v>
      </c>
      <c r="G10958" s="504" t="s">
        <v>254</v>
      </c>
      <c r="H10958" s="397"/>
      <c r="I10958" s="397"/>
      <c r="J10958" s="750" t="e">
        <f t="shared" ref="J10958:J10964" si="143">SUM(I10958/H10958)*100</f>
        <v>#DIV/0!</v>
      </c>
      <c r="K10958" s="398"/>
      <c r="L10958" s="404"/>
      <c r="M10958" s="682"/>
    </row>
    <row r="10959" spans="5:13" ht="26.25" hidden="1" thickBot="1" x14ac:dyDescent="0.25">
      <c r="F10959" s="503" t="s">
        <v>255</v>
      </c>
      <c r="G10959" s="504" t="s">
        <v>256</v>
      </c>
      <c r="H10959" s="397"/>
      <c r="I10959" s="397"/>
      <c r="J10959" s="750" t="e">
        <f t="shared" si="143"/>
        <v>#DIV/0!</v>
      </c>
      <c r="K10959" s="398"/>
      <c r="L10959" s="404"/>
      <c r="M10959" s="682"/>
    </row>
    <row r="10960" spans="5:13" ht="26.25" hidden="1" thickBot="1" x14ac:dyDescent="0.25">
      <c r="F10960" s="503" t="s">
        <v>257</v>
      </c>
      <c r="G10960" s="504" t="s">
        <v>258</v>
      </c>
      <c r="H10960" s="397"/>
      <c r="I10960" s="397"/>
      <c r="J10960" s="750" t="e">
        <f t="shared" si="143"/>
        <v>#DIV/0!</v>
      </c>
      <c r="K10960" s="398"/>
      <c r="L10960" s="404"/>
      <c r="M10960" s="682"/>
    </row>
    <row r="10961" spans="1:27" ht="26.25" hidden="1" thickBot="1" x14ac:dyDescent="0.25">
      <c r="F10961" s="503" t="s">
        <v>259</v>
      </c>
      <c r="G10961" s="504" t="s">
        <v>260</v>
      </c>
      <c r="H10961" s="397"/>
      <c r="I10961" s="397"/>
      <c r="J10961" s="750" t="e">
        <f t="shared" si="143"/>
        <v>#DIV/0!</v>
      </c>
      <c r="K10961" s="398"/>
      <c r="L10961" s="404"/>
      <c r="M10961" s="682"/>
    </row>
    <row r="10962" spans="1:27" ht="26.25" hidden="1" thickBot="1" x14ac:dyDescent="0.25">
      <c r="F10962" s="503" t="s">
        <v>261</v>
      </c>
      <c r="G10962" s="504" t="s">
        <v>262</v>
      </c>
      <c r="H10962" s="397"/>
      <c r="I10962" s="397"/>
      <c r="J10962" s="750" t="e">
        <f t="shared" si="143"/>
        <v>#DIV/0!</v>
      </c>
      <c r="K10962" s="398"/>
      <c r="L10962" s="404"/>
      <c r="M10962" s="682"/>
    </row>
    <row r="10963" spans="1:27" ht="13.5" hidden="1" thickBot="1" x14ac:dyDescent="0.25">
      <c r="F10963" s="503" t="s">
        <v>263</v>
      </c>
      <c r="G10963" s="504" t="s">
        <v>264</v>
      </c>
      <c r="H10963" s="403"/>
      <c r="I10963" s="403"/>
      <c r="J10963" s="750" t="e">
        <f t="shared" si="143"/>
        <v>#DIV/0!</v>
      </c>
      <c r="K10963" s="404"/>
      <c r="L10963" s="404"/>
      <c r="M10963" s="682"/>
    </row>
    <row r="10964" spans="1:27" ht="14.25" customHeight="1" thickBot="1" x14ac:dyDescent="0.25">
      <c r="G10964" s="505" t="s">
        <v>4308</v>
      </c>
      <c r="H10964" s="405">
        <f>SUM(H10948:H10963)</f>
        <v>12900000</v>
      </c>
      <c r="I10964" s="405">
        <f>SUM(I10948)</f>
        <v>10213357.779999999</v>
      </c>
      <c r="J10964" s="750">
        <f t="shared" si="143"/>
        <v>79.173316124031004</v>
      </c>
      <c r="K10964" s="406">
        <f>SUM(K10949:K10963)</f>
        <v>0</v>
      </c>
      <c r="L10964" s="406"/>
      <c r="M10964" s="682"/>
    </row>
    <row r="10965" spans="1:27" ht="14.25" customHeight="1" x14ac:dyDescent="0.2">
      <c r="H10965" s="397"/>
      <c r="I10965" s="397"/>
      <c r="J10965" s="750"/>
      <c r="K10965" s="398"/>
      <c r="L10965" s="398"/>
      <c r="M10965" s="682"/>
    </row>
    <row r="10966" spans="1:27" ht="6" customHeight="1" x14ac:dyDescent="0.2">
      <c r="H10966" s="397"/>
      <c r="I10966" s="397"/>
      <c r="J10966" s="750"/>
      <c r="K10966" s="398"/>
      <c r="L10966" s="398"/>
      <c r="M10966" s="682"/>
    </row>
    <row r="10967" spans="1:27" x14ac:dyDescent="0.2">
      <c r="G10967" s="645" t="s">
        <v>4306</v>
      </c>
      <c r="H10967" s="397"/>
      <c r="I10967" s="397"/>
      <c r="J10967" s="750"/>
      <c r="K10967" s="398"/>
      <c r="L10967" s="398"/>
      <c r="M10967" s="682"/>
    </row>
    <row r="10968" spans="1:27" s="530" customFormat="1" hidden="1" x14ac:dyDescent="0.2">
      <c r="A10968" s="526"/>
      <c r="B10968" s="527"/>
      <c r="C10968" s="531" t="s">
        <v>4429</v>
      </c>
      <c r="D10968" s="490"/>
      <c r="E10968" s="490"/>
      <c r="F10968" s="532"/>
      <c r="G10968" s="559" t="s">
        <v>4103</v>
      </c>
      <c r="H10968" s="422"/>
      <c r="I10968" s="422"/>
      <c r="J10968" s="750"/>
      <c r="K10968" s="423"/>
      <c r="L10968" s="424"/>
      <c r="M10968" s="682"/>
      <c r="N10968" s="171"/>
      <c r="O10968" s="171"/>
      <c r="P10968" s="171"/>
      <c r="Q10968" s="171"/>
      <c r="R10968" s="171"/>
      <c r="S10968" s="171"/>
      <c r="T10968" s="171"/>
      <c r="U10968" s="171"/>
      <c r="V10968" s="171"/>
      <c r="W10968" s="171"/>
      <c r="X10968" s="171"/>
      <c r="Y10968" s="171"/>
      <c r="Z10968" s="171"/>
      <c r="AA10968" s="171"/>
    </row>
    <row r="10969" spans="1:27" hidden="1" x14ac:dyDescent="0.2">
      <c r="C10969" s="489"/>
      <c r="D10969" s="492">
        <v>451</v>
      </c>
      <c r="E10969" s="492"/>
      <c r="F10969" s="492"/>
      <c r="G10969" s="493" t="s">
        <v>153</v>
      </c>
      <c r="H10969" s="397"/>
      <c r="I10969" s="397"/>
      <c r="J10969" s="750"/>
      <c r="K10969" s="398"/>
      <c r="L10969" s="398"/>
      <c r="M10969" s="682"/>
    </row>
    <row r="10970" spans="1:27" hidden="1" x14ac:dyDescent="0.2">
      <c r="F10970" s="494">
        <v>411</v>
      </c>
      <c r="G10970" s="495" t="s">
        <v>4167</v>
      </c>
      <c r="H10970" s="397"/>
      <c r="I10970" s="397"/>
      <c r="J10970" s="750"/>
      <c r="K10970" s="398"/>
      <c r="L10970" s="398"/>
      <c r="M10970" s="682"/>
    </row>
    <row r="10971" spans="1:27" hidden="1" x14ac:dyDescent="0.2">
      <c r="F10971" s="494">
        <v>412</v>
      </c>
      <c r="G10971" s="496" t="s">
        <v>3764</v>
      </c>
      <c r="H10971" s="397"/>
      <c r="I10971" s="397"/>
      <c r="J10971" s="750"/>
      <c r="K10971" s="398"/>
      <c r="L10971" s="398"/>
      <c r="M10971" s="682"/>
    </row>
    <row r="10972" spans="1:27" hidden="1" x14ac:dyDescent="0.2">
      <c r="F10972" s="494">
        <v>413</v>
      </c>
      <c r="G10972" s="495" t="s">
        <v>4168</v>
      </c>
      <c r="H10972" s="397"/>
      <c r="I10972" s="397"/>
      <c r="J10972" s="750"/>
      <c r="K10972" s="398"/>
      <c r="L10972" s="398"/>
      <c r="M10972" s="682"/>
    </row>
    <row r="10973" spans="1:27" hidden="1" x14ac:dyDescent="0.2">
      <c r="F10973" s="494">
        <v>414</v>
      </c>
      <c r="G10973" s="495" t="s">
        <v>3767</v>
      </c>
      <c r="H10973" s="397"/>
      <c r="I10973" s="397"/>
      <c r="J10973" s="750"/>
      <c r="K10973" s="398"/>
      <c r="L10973" s="398"/>
      <c r="M10973" s="682"/>
    </row>
    <row r="10974" spans="1:27" hidden="1" x14ac:dyDescent="0.2">
      <c r="F10974" s="494">
        <v>415</v>
      </c>
      <c r="G10974" s="495" t="s">
        <v>4177</v>
      </c>
      <c r="H10974" s="397"/>
      <c r="I10974" s="397"/>
      <c r="J10974" s="750"/>
      <c r="K10974" s="398"/>
      <c r="L10974" s="398"/>
      <c r="M10974" s="682"/>
    </row>
    <row r="10975" spans="1:27" ht="25.5" hidden="1" x14ac:dyDescent="0.2">
      <c r="F10975" s="494">
        <v>416</v>
      </c>
      <c r="G10975" s="495" t="s">
        <v>4178</v>
      </c>
      <c r="H10975" s="397"/>
      <c r="I10975" s="397"/>
      <c r="J10975" s="750"/>
      <c r="K10975" s="398"/>
      <c r="L10975" s="398"/>
      <c r="M10975" s="682"/>
    </row>
    <row r="10976" spans="1:27" hidden="1" x14ac:dyDescent="0.2">
      <c r="F10976" s="494">
        <v>417</v>
      </c>
      <c r="G10976" s="495" t="s">
        <v>4179</v>
      </c>
      <c r="H10976" s="397"/>
      <c r="I10976" s="397"/>
      <c r="J10976" s="750"/>
      <c r="K10976" s="398"/>
      <c r="L10976" s="398"/>
      <c r="M10976" s="682"/>
    </row>
    <row r="10977" spans="6:13" hidden="1" x14ac:dyDescent="0.2">
      <c r="F10977" s="494">
        <v>418</v>
      </c>
      <c r="G10977" s="495" t="s">
        <v>3773</v>
      </c>
      <c r="H10977" s="397"/>
      <c r="I10977" s="397"/>
      <c r="J10977" s="750"/>
      <c r="K10977" s="398"/>
      <c r="L10977" s="398"/>
      <c r="M10977" s="682"/>
    </row>
    <row r="10978" spans="6:13" hidden="1" x14ac:dyDescent="0.2">
      <c r="F10978" s="494">
        <v>421</v>
      </c>
      <c r="G10978" s="495" t="s">
        <v>3777</v>
      </c>
      <c r="H10978" s="397"/>
      <c r="I10978" s="397"/>
      <c r="J10978" s="750"/>
      <c r="K10978" s="398"/>
      <c r="L10978" s="398"/>
      <c r="M10978" s="682"/>
    </row>
    <row r="10979" spans="6:13" hidden="1" x14ac:dyDescent="0.2">
      <c r="F10979" s="494">
        <v>422</v>
      </c>
      <c r="G10979" s="495" t="s">
        <v>3778</v>
      </c>
      <c r="H10979" s="397"/>
      <c r="I10979" s="397"/>
      <c r="J10979" s="750"/>
      <c r="K10979" s="398"/>
      <c r="L10979" s="398"/>
      <c r="M10979" s="682"/>
    </row>
    <row r="10980" spans="6:13" hidden="1" x14ac:dyDescent="0.2">
      <c r="F10980" s="494">
        <v>423</v>
      </c>
      <c r="G10980" s="495" t="s">
        <v>3779</v>
      </c>
      <c r="H10980" s="397"/>
      <c r="I10980" s="397"/>
      <c r="J10980" s="750"/>
      <c r="K10980" s="398"/>
      <c r="L10980" s="398"/>
      <c r="M10980" s="682"/>
    </row>
    <row r="10981" spans="6:13" hidden="1" x14ac:dyDescent="0.2">
      <c r="F10981" s="494">
        <v>424</v>
      </c>
      <c r="G10981" s="495" t="s">
        <v>3781</v>
      </c>
      <c r="H10981" s="397"/>
      <c r="I10981" s="397"/>
      <c r="J10981" s="750"/>
      <c r="K10981" s="398"/>
      <c r="L10981" s="398"/>
      <c r="M10981" s="682"/>
    </row>
    <row r="10982" spans="6:13" hidden="1" x14ac:dyDescent="0.2">
      <c r="F10982" s="494">
        <v>425</v>
      </c>
      <c r="G10982" s="495" t="s">
        <v>4180</v>
      </c>
      <c r="H10982" s="397"/>
      <c r="I10982" s="397"/>
      <c r="J10982" s="750"/>
      <c r="K10982" s="398"/>
      <c r="L10982" s="398"/>
      <c r="M10982" s="682"/>
    </row>
    <row r="10983" spans="6:13" hidden="1" x14ac:dyDescent="0.2">
      <c r="F10983" s="494">
        <v>426</v>
      </c>
      <c r="G10983" s="495" t="s">
        <v>3785</v>
      </c>
      <c r="H10983" s="397"/>
      <c r="I10983" s="397"/>
      <c r="J10983" s="750"/>
      <c r="K10983" s="398"/>
      <c r="L10983" s="398"/>
      <c r="M10983" s="682"/>
    </row>
    <row r="10984" spans="6:13" hidden="1" x14ac:dyDescent="0.2">
      <c r="F10984" s="494">
        <v>431</v>
      </c>
      <c r="G10984" s="495" t="s">
        <v>4181</v>
      </c>
      <c r="H10984" s="397"/>
      <c r="I10984" s="397"/>
      <c r="J10984" s="750"/>
      <c r="K10984" s="398"/>
      <c r="L10984" s="398"/>
      <c r="M10984" s="682"/>
    </row>
    <row r="10985" spans="6:13" hidden="1" x14ac:dyDescent="0.2">
      <c r="F10985" s="494">
        <v>432</v>
      </c>
      <c r="G10985" s="495" t="s">
        <v>4182</v>
      </c>
      <c r="H10985" s="397"/>
      <c r="I10985" s="397"/>
      <c r="J10985" s="750"/>
      <c r="K10985" s="398"/>
      <c r="L10985" s="398"/>
      <c r="M10985" s="682"/>
    </row>
    <row r="10986" spans="6:13" hidden="1" x14ac:dyDescent="0.2">
      <c r="F10986" s="494">
        <v>433</v>
      </c>
      <c r="G10986" s="495" t="s">
        <v>4183</v>
      </c>
      <c r="H10986" s="397"/>
      <c r="I10986" s="397"/>
      <c r="J10986" s="750"/>
      <c r="K10986" s="398"/>
      <c r="L10986" s="398"/>
      <c r="M10986" s="682"/>
    </row>
    <row r="10987" spans="6:13" hidden="1" x14ac:dyDescent="0.2">
      <c r="F10987" s="494">
        <v>434</v>
      </c>
      <c r="G10987" s="495" t="s">
        <v>4184</v>
      </c>
      <c r="H10987" s="397"/>
      <c r="I10987" s="397"/>
      <c r="J10987" s="750"/>
      <c r="K10987" s="398"/>
      <c r="L10987" s="398"/>
      <c r="M10987" s="682"/>
    </row>
    <row r="10988" spans="6:13" hidden="1" x14ac:dyDescent="0.2">
      <c r="F10988" s="494">
        <v>435</v>
      </c>
      <c r="G10988" s="495" t="s">
        <v>3792</v>
      </c>
      <c r="H10988" s="397"/>
      <c r="I10988" s="397"/>
      <c r="J10988" s="750"/>
      <c r="K10988" s="398"/>
      <c r="L10988" s="398"/>
      <c r="M10988" s="682"/>
    </row>
    <row r="10989" spans="6:13" hidden="1" x14ac:dyDescent="0.2">
      <c r="F10989" s="494">
        <v>441</v>
      </c>
      <c r="G10989" s="495" t="s">
        <v>4185</v>
      </c>
      <c r="H10989" s="397"/>
      <c r="I10989" s="397"/>
      <c r="J10989" s="750"/>
      <c r="K10989" s="398"/>
      <c r="L10989" s="398"/>
      <c r="M10989" s="682"/>
    </row>
    <row r="10990" spans="6:13" hidden="1" x14ac:dyDescent="0.2">
      <c r="F10990" s="494">
        <v>442</v>
      </c>
      <c r="G10990" s="495" t="s">
        <v>4186</v>
      </c>
      <c r="H10990" s="397"/>
      <c r="I10990" s="397"/>
      <c r="J10990" s="750"/>
      <c r="K10990" s="398"/>
      <c r="L10990" s="398"/>
      <c r="M10990" s="682"/>
    </row>
    <row r="10991" spans="6:13" hidden="1" x14ac:dyDescent="0.2">
      <c r="F10991" s="494">
        <v>443</v>
      </c>
      <c r="G10991" s="495" t="s">
        <v>3797</v>
      </c>
      <c r="H10991" s="397"/>
      <c r="I10991" s="397"/>
      <c r="J10991" s="750"/>
      <c r="K10991" s="398"/>
      <c r="L10991" s="398"/>
      <c r="M10991" s="682"/>
    </row>
    <row r="10992" spans="6:13" hidden="1" x14ac:dyDescent="0.2">
      <c r="F10992" s="494">
        <v>444</v>
      </c>
      <c r="G10992" s="495" t="s">
        <v>3798</v>
      </c>
      <c r="H10992" s="397"/>
      <c r="I10992" s="397"/>
      <c r="J10992" s="750"/>
      <c r="K10992" s="398"/>
      <c r="L10992" s="398"/>
      <c r="M10992" s="682"/>
    </row>
    <row r="10993" spans="6:13" ht="25.5" hidden="1" x14ac:dyDescent="0.2">
      <c r="F10993" s="494">
        <v>4511</v>
      </c>
      <c r="G10993" s="466" t="s">
        <v>1692</v>
      </c>
      <c r="H10993" s="397"/>
      <c r="I10993" s="397"/>
      <c r="J10993" s="750"/>
      <c r="K10993" s="398"/>
      <c r="L10993" s="398"/>
      <c r="M10993" s="682"/>
    </row>
    <row r="10994" spans="6:13" ht="19.5" hidden="1" customHeight="1" x14ac:dyDescent="0.2">
      <c r="F10994" s="494">
        <v>4512</v>
      </c>
      <c r="G10994" s="466" t="s">
        <v>1701</v>
      </c>
      <c r="H10994" s="397"/>
      <c r="I10994" s="397"/>
      <c r="J10994" s="750"/>
      <c r="K10994" s="398"/>
      <c r="L10994" s="398"/>
      <c r="M10994" s="682"/>
    </row>
    <row r="10995" spans="6:13" ht="25.5" hidden="1" x14ac:dyDescent="0.2">
      <c r="F10995" s="494">
        <v>452</v>
      </c>
      <c r="G10995" s="495" t="s">
        <v>4187</v>
      </c>
      <c r="H10995" s="397"/>
      <c r="I10995" s="397"/>
      <c r="J10995" s="750"/>
      <c r="K10995" s="398"/>
      <c r="L10995" s="398"/>
      <c r="M10995" s="682"/>
    </row>
    <row r="10996" spans="6:13" ht="25.5" hidden="1" x14ac:dyDescent="0.2">
      <c r="F10996" s="494">
        <v>453</v>
      </c>
      <c r="G10996" s="495" t="s">
        <v>4188</v>
      </c>
      <c r="H10996" s="397"/>
      <c r="I10996" s="397"/>
      <c r="J10996" s="750"/>
      <c r="K10996" s="398"/>
      <c r="L10996" s="398"/>
      <c r="M10996" s="682"/>
    </row>
    <row r="10997" spans="6:13" hidden="1" x14ac:dyDescent="0.2">
      <c r="F10997" s="494">
        <v>454</v>
      </c>
      <c r="G10997" s="495" t="s">
        <v>3803</v>
      </c>
      <c r="H10997" s="397"/>
      <c r="I10997" s="397"/>
      <c r="J10997" s="750"/>
      <c r="K10997" s="398"/>
      <c r="L10997" s="398"/>
      <c r="M10997" s="682"/>
    </row>
    <row r="10998" spans="6:13" hidden="1" x14ac:dyDescent="0.2">
      <c r="F10998" s="494">
        <v>461</v>
      </c>
      <c r="G10998" s="495" t="s">
        <v>4169</v>
      </c>
      <c r="H10998" s="397"/>
      <c r="I10998" s="397"/>
      <c r="J10998" s="750"/>
      <c r="K10998" s="398"/>
      <c r="L10998" s="398"/>
      <c r="M10998" s="682"/>
    </row>
    <row r="10999" spans="6:13" ht="25.5" hidden="1" x14ac:dyDescent="0.2">
      <c r="F10999" s="494">
        <v>462</v>
      </c>
      <c r="G10999" s="495" t="s">
        <v>3806</v>
      </c>
      <c r="H10999" s="397"/>
      <c r="I10999" s="397"/>
      <c r="J10999" s="750"/>
      <c r="K10999" s="398"/>
      <c r="L10999" s="398"/>
      <c r="M10999" s="682"/>
    </row>
    <row r="11000" spans="6:13" hidden="1" x14ac:dyDescent="0.2">
      <c r="F11000" s="494">
        <v>4631</v>
      </c>
      <c r="G11000" s="495" t="s">
        <v>3807</v>
      </c>
      <c r="H11000" s="397"/>
      <c r="I11000" s="397"/>
      <c r="J11000" s="750"/>
      <c r="K11000" s="398"/>
      <c r="L11000" s="398"/>
      <c r="M11000" s="682"/>
    </row>
    <row r="11001" spans="6:13" hidden="1" x14ac:dyDescent="0.2">
      <c r="F11001" s="494">
        <v>4632</v>
      </c>
      <c r="G11001" s="495" t="s">
        <v>3808</v>
      </c>
      <c r="H11001" s="397"/>
      <c r="I11001" s="397"/>
      <c r="J11001" s="750"/>
      <c r="K11001" s="398"/>
      <c r="L11001" s="398"/>
      <c r="M11001" s="682"/>
    </row>
    <row r="11002" spans="6:13" ht="25.5" hidden="1" x14ac:dyDescent="0.2">
      <c r="F11002" s="494">
        <v>464</v>
      </c>
      <c r="G11002" s="495" t="s">
        <v>3809</v>
      </c>
      <c r="H11002" s="397"/>
      <c r="I11002" s="397"/>
      <c r="J11002" s="750"/>
      <c r="K11002" s="398"/>
      <c r="L11002" s="398"/>
      <c r="M11002" s="682"/>
    </row>
    <row r="11003" spans="6:13" hidden="1" x14ac:dyDescent="0.2">
      <c r="F11003" s="494">
        <v>465</v>
      </c>
      <c r="G11003" s="495" t="s">
        <v>4170</v>
      </c>
      <c r="H11003" s="397"/>
      <c r="I11003" s="397"/>
      <c r="J11003" s="750"/>
      <c r="K11003" s="398"/>
      <c r="L11003" s="398"/>
      <c r="M11003" s="682"/>
    </row>
    <row r="11004" spans="6:13" hidden="1" x14ac:dyDescent="0.2">
      <c r="F11004" s="494">
        <v>472</v>
      </c>
      <c r="G11004" s="495" t="s">
        <v>3813</v>
      </c>
      <c r="H11004" s="397"/>
      <c r="I11004" s="397"/>
      <c r="J11004" s="750"/>
      <c r="K11004" s="398"/>
      <c r="L11004" s="398"/>
      <c r="M11004" s="682"/>
    </row>
    <row r="11005" spans="6:13" hidden="1" x14ac:dyDescent="0.2">
      <c r="F11005" s="494">
        <v>481</v>
      </c>
      <c r="G11005" s="495" t="s">
        <v>4189</v>
      </c>
      <c r="H11005" s="397"/>
      <c r="I11005" s="397"/>
      <c r="J11005" s="750"/>
      <c r="K11005" s="398"/>
      <c r="L11005" s="398"/>
      <c r="M11005" s="682"/>
    </row>
    <row r="11006" spans="6:13" hidden="1" x14ac:dyDescent="0.2">
      <c r="F11006" s="494">
        <v>482</v>
      </c>
      <c r="G11006" s="495" t="s">
        <v>4190</v>
      </c>
      <c r="H11006" s="397"/>
      <c r="I11006" s="397"/>
      <c r="J11006" s="750"/>
      <c r="K11006" s="398"/>
      <c r="L11006" s="398"/>
      <c r="M11006" s="682"/>
    </row>
    <row r="11007" spans="6:13" hidden="1" x14ac:dyDescent="0.2">
      <c r="F11007" s="494">
        <v>483</v>
      </c>
      <c r="G11007" s="497" t="s">
        <v>4191</v>
      </c>
      <c r="H11007" s="397"/>
      <c r="I11007" s="397"/>
      <c r="J11007" s="750"/>
      <c r="K11007" s="398"/>
      <c r="L11007" s="398"/>
      <c r="M11007" s="682"/>
    </row>
    <row r="11008" spans="6:13" ht="38.25" hidden="1" x14ac:dyDescent="0.2">
      <c r="F11008" s="494">
        <v>484</v>
      </c>
      <c r="G11008" s="495" t="s">
        <v>4192</v>
      </c>
      <c r="H11008" s="397"/>
      <c r="I11008" s="397"/>
      <c r="J11008" s="750"/>
      <c r="K11008" s="398"/>
      <c r="L11008" s="398"/>
      <c r="M11008" s="682"/>
    </row>
    <row r="11009" spans="6:13" ht="25.5" hidden="1" x14ac:dyDescent="0.2">
      <c r="F11009" s="494">
        <v>485</v>
      </c>
      <c r="G11009" s="495" t="s">
        <v>4193</v>
      </c>
      <c r="H11009" s="397"/>
      <c r="I11009" s="397"/>
      <c r="J11009" s="750"/>
      <c r="K11009" s="398"/>
      <c r="L11009" s="398"/>
      <c r="M11009" s="682"/>
    </row>
    <row r="11010" spans="6:13" ht="25.5" hidden="1" x14ac:dyDescent="0.2">
      <c r="F11010" s="494">
        <v>489</v>
      </c>
      <c r="G11010" s="495" t="s">
        <v>3821</v>
      </c>
      <c r="H11010" s="397"/>
      <c r="I11010" s="397"/>
      <c r="J11010" s="750"/>
      <c r="K11010" s="398"/>
      <c r="L11010" s="398"/>
      <c r="M11010" s="682"/>
    </row>
    <row r="11011" spans="6:13" ht="25.5" hidden="1" x14ac:dyDescent="0.2">
      <c r="F11011" s="494">
        <v>494</v>
      </c>
      <c r="G11011" s="495" t="s">
        <v>4171</v>
      </c>
      <c r="H11011" s="397"/>
      <c r="I11011" s="397"/>
      <c r="J11011" s="750"/>
      <c r="K11011" s="398"/>
      <c r="L11011" s="398"/>
      <c r="M11011" s="682"/>
    </row>
    <row r="11012" spans="6:13" ht="25.5" hidden="1" x14ac:dyDescent="0.2">
      <c r="F11012" s="494">
        <v>495</v>
      </c>
      <c r="G11012" s="495" t="s">
        <v>4172</v>
      </c>
      <c r="H11012" s="397"/>
      <c r="I11012" s="397"/>
      <c r="J11012" s="750"/>
      <c r="K11012" s="398"/>
      <c r="L11012" s="398"/>
      <c r="M11012" s="682"/>
    </row>
    <row r="11013" spans="6:13" ht="38.25" hidden="1" x14ac:dyDescent="0.2">
      <c r="F11013" s="494">
        <v>496</v>
      </c>
      <c r="G11013" s="495" t="s">
        <v>4173</v>
      </c>
      <c r="H11013" s="397"/>
      <c r="I11013" s="397"/>
      <c r="J11013" s="750"/>
      <c r="K11013" s="398"/>
      <c r="L11013" s="398"/>
      <c r="M11013" s="682"/>
    </row>
    <row r="11014" spans="6:13" ht="25.5" hidden="1" x14ac:dyDescent="0.2">
      <c r="F11014" s="494">
        <v>499</v>
      </c>
      <c r="G11014" s="495" t="s">
        <v>4174</v>
      </c>
      <c r="H11014" s="397"/>
      <c r="I11014" s="397"/>
      <c r="J11014" s="750"/>
      <c r="K11014" s="398"/>
      <c r="L11014" s="398"/>
      <c r="M11014" s="682"/>
    </row>
    <row r="11015" spans="6:13" hidden="1" x14ac:dyDescent="0.2">
      <c r="F11015" s="494">
        <v>511</v>
      </c>
      <c r="G11015" s="497" t="s">
        <v>4194</v>
      </c>
      <c r="H11015" s="397"/>
      <c r="I11015" s="397"/>
      <c r="J11015" s="750"/>
      <c r="K11015" s="398"/>
      <c r="L11015" s="398"/>
      <c r="M11015" s="682"/>
    </row>
    <row r="11016" spans="6:13" hidden="1" x14ac:dyDescent="0.2">
      <c r="F11016" s="494">
        <v>512</v>
      </c>
      <c r="G11016" s="497" t="s">
        <v>4195</v>
      </c>
      <c r="H11016" s="397"/>
      <c r="I11016" s="397"/>
      <c r="J11016" s="750"/>
      <c r="K11016" s="398"/>
      <c r="L11016" s="398"/>
      <c r="M11016" s="682"/>
    </row>
    <row r="11017" spans="6:13" hidden="1" x14ac:dyDescent="0.2">
      <c r="F11017" s="494">
        <v>513</v>
      </c>
      <c r="G11017" s="497" t="s">
        <v>4196</v>
      </c>
      <c r="H11017" s="397"/>
      <c r="I11017" s="397"/>
      <c r="J11017" s="750"/>
      <c r="K11017" s="398"/>
      <c r="L11017" s="398"/>
      <c r="M11017" s="682"/>
    </row>
    <row r="11018" spans="6:13" hidden="1" x14ac:dyDescent="0.2">
      <c r="F11018" s="494">
        <v>514</v>
      </c>
      <c r="G11018" s="495" t="s">
        <v>4197</v>
      </c>
      <c r="H11018" s="397"/>
      <c r="I11018" s="397"/>
      <c r="J11018" s="750"/>
      <c r="K11018" s="398"/>
      <c r="L11018" s="398"/>
      <c r="M11018" s="682"/>
    </row>
    <row r="11019" spans="6:13" hidden="1" x14ac:dyDescent="0.2">
      <c r="F11019" s="494">
        <v>515</v>
      </c>
      <c r="G11019" s="495" t="s">
        <v>3832</v>
      </c>
      <c r="H11019" s="397"/>
      <c r="I11019" s="397"/>
      <c r="J11019" s="750"/>
      <c r="K11019" s="398"/>
      <c r="L11019" s="398"/>
      <c r="M11019" s="682"/>
    </row>
    <row r="11020" spans="6:13" hidden="1" x14ac:dyDescent="0.2">
      <c r="F11020" s="494">
        <v>521</v>
      </c>
      <c r="G11020" s="495" t="s">
        <v>4198</v>
      </c>
      <c r="H11020" s="397"/>
      <c r="I11020" s="397"/>
      <c r="J11020" s="750"/>
      <c r="K11020" s="398"/>
      <c r="L11020" s="398"/>
      <c r="M11020" s="682"/>
    </row>
    <row r="11021" spans="6:13" hidden="1" x14ac:dyDescent="0.2">
      <c r="F11021" s="494">
        <v>522</v>
      </c>
      <c r="G11021" s="495" t="s">
        <v>4199</v>
      </c>
      <c r="H11021" s="397"/>
      <c r="I11021" s="397"/>
      <c r="J11021" s="750"/>
      <c r="K11021" s="398"/>
      <c r="L11021" s="398"/>
      <c r="M11021" s="682"/>
    </row>
    <row r="11022" spans="6:13" hidden="1" x14ac:dyDescent="0.2">
      <c r="F11022" s="494">
        <v>523</v>
      </c>
      <c r="G11022" s="495" t="s">
        <v>3837</v>
      </c>
      <c r="H11022" s="397"/>
      <c r="I11022" s="397"/>
      <c r="J11022" s="750"/>
      <c r="K11022" s="398"/>
      <c r="L11022" s="398"/>
      <c r="M11022" s="682"/>
    </row>
    <row r="11023" spans="6:13" hidden="1" x14ac:dyDescent="0.2">
      <c r="F11023" s="494">
        <v>531</v>
      </c>
      <c r="G11023" s="496" t="s">
        <v>4175</v>
      </c>
      <c r="H11023" s="397"/>
      <c r="I11023" s="397"/>
      <c r="J11023" s="750"/>
      <c r="K11023" s="398"/>
      <c r="L11023" s="398"/>
      <c r="M11023" s="682"/>
    </row>
    <row r="11024" spans="6:13" hidden="1" x14ac:dyDescent="0.2">
      <c r="F11024" s="494">
        <v>541</v>
      </c>
      <c r="G11024" s="495" t="s">
        <v>4200</v>
      </c>
      <c r="H11024" s="397"/>
      <c r="I11024" s="397"/>
      <c r="J11024" s="750"/>
      <c r="K11024" s="398"/>
      <c r="L11024" s="398"/>
      <c r="M11024" s="682"/>
    </row>
    <row r="11025" spans="5:13" hidden="1" x14ac:dyDescent="0.2">
      <c r="F11025" s="494">
        <v>542</v>
      </c>
      <c r="G11025" s="495" t="s">
        <v>4201</v>
      </c>
      <c r="H11025" s="397"/>
      <c r="I11025" s="397"/>
      <c r="J11025" s="750"/>
      <c r="K11025" s="398"/>
      <c r="L11025" s="398"/>
      <c r="M11025" s="682"/>
    </row>
    <row r="11026" spans="5:13" hidden="1" x14ac:dyDescent="0.2">
      <c r="F11026" s="494">
        <v>543</v>
      </c>
      <c r="G11026" s="495" t="s">
        <v>3842</v>
      </c>
      <c r="H11026" s="397"/>
      <c r="I11026" s="397"/>
      <c r="J11026" s="750"/>
      <c r="K11026" s="398"/>
      <c r="L11026" s="398"/>
      <c r="M11026" s="682"/>
    </row>
    <row r="11027" spans="5:13" ht="38.25" hidden="1" x14ac:dyDescent="0.2">
      <c r="F11027" s="494">
        <v>551</v>
      </c>
      <c r="G11027" s="495" t="s">
        <v>4176</v>
      </c>
      <c r="H11027" s="397"/>
      <c r="I11027" s="397"/>
      <c r="J11027" s="750"/>
      <c r="K11027" s="398"/>
      <c r="L11027" s="398"/>
      <c r="M11027" s="682"/>
    </row>
    <row r="11028" spans="5:13" hidden="1" x14ac:dyDescent="0.2">
      <c r="F11028" s="498">
        <v>611</v>
      </c>
      <c r="G11028" s="499" t="s">
        <v>3848</v>
      </c>
      <c r="H11028" s="397"/>
      <c r="I11028" s="397"/>
      <c r="J11028" s="750"/>
      <c r="K11028" s="398"/>
      <c r="L11028" s="398"/>
      <c r="M11028" s="682"/>
    </row>
    <row r="11029" spans="5:13" hidden="1" x14ac:dyDescent="0.2">
      <c r="F11029" s="498">
        <v>620</v>
      </c>
      <c r="G11029" s="499" t="s">
        <v>88</v>
      </c>
      <c r="H11029" s="397"/>
      <c r="I11029" s="397"/>
      <c r="J11029" s="750"/>
      <c r="K11029" s="398"/>
      <c r="L11029" s="398"/>
      <c r="M11029" s="682"/>
    </row>
    <row r="11030" spans="5:13" hidden="1" x14ac:dyDescent="0.2">
      <c r="E11030" s="500"/>
      <c r="F11030" s="498"/>
      <c r="G11030" s="501" t="s">
        <v>4363</v>
      </c>
      <c r="H11030" s="400"/>
      <c r="I11030" s="400"/>
      <c r="J11030" s="750"/>
      <c r="K11030" s="401"/>
      <c r="L11030" s="402"/>
      <c r="M11030" s="682"/>
    </row>
    <row r="11031" spans="5:13" hidden="1" x14ac:dyDescent="0.2">
      <c r="E11031" s="502"/>
      <c r="F11031" s="503" t="s">
        <v>234</v>
      </c>
      <c r="G11031" s="504" t="s">
        <v>235</v>
      </c>
      <c r="H11031" s="403">
        <f>SUM(H10970:H11029)</f>
        <v>0</v>
      </c>
      <c r="I11031" s="403"/>
      <c r="J11031" s="750"/>
      <c r="K11031" s="404"/>
      <c r="L11031" s="404"/>
      <c r="M11031" s="682"/>
    </row>
    <row r="11032" spans="5:13" hidden="1" x14ac:dyDescent="0.2">
      <c r="F11032" s="503" t="s">
        <v>236</v>
      </c>
      <c r="G11032" s="504" t="s">
        <v>237</v>
      </c>
      <c r="H11032" s="397"/>
      <c r="I11032" s="397"/>
      <c r="J11032" s="750"/>
      <c r="K11032" s="398"/>
      <c r="L11032" s="404"/>
      <c r="M11032" s="682"/>
    </row>
    <row r="11033" spans="5:13" hidden="1" x14ac:dyDescent="0.2">
      <c r="F11033" s="503" t="s">
        <v>238</v>
      </c>
      <c r="G11033" s="504" t="s">
        <v>239</v>
      </c>
      <c r="H11033" s="397"/>
      <c r="I11033" s="397"/>
      <c r="J11033" s="750"/>
      <c r="K11033" s="398"/>
      <c r="L11033" s="404"/>
      <c r="M11033" s="682"/>
    </row>
    <row r="11034" spans="5:13" hidden="1" x14ac:dyDescent="0.2">
      <c r="F11034" s="503" t="s">
        <v>240</v>
      </c>
      <c r="G11034" s="504" t="s">
        <v>241</v>
      </c>
      <c r="H11034" s="397"/>
      <c r="I11034" s="397"/>
      <c r="J11034" s="750"/>
      <c r="K11034" s="398"/>
      <c r="L11034" s="404"/>
      <c r="M11034" s="682"/>
    </row>
    <row r="11035" spans="5:13" hidden="1" x14ac:dyDescent="0.2">
      <c r="F11035" s="503" t="s">
        <v>242</v>
      </c>
      <c r="G11035" s="504" t="s">
        <v>243</v>
      </c>
      <c r="H11035" s="397"/>
      <c r="I11035" s="397"/>
      <c r="J11035" s="750"/>
      <c r="K11035" s="398"/>
      <c r="L11035" s="404"/>
      <c r="M11035" s="682"/>
    </row>
    <row r="11036" spans="5:13" hidden="1" x14ac:dyDescent="0.2">
      <c r="F11036" s="503" t="s">
        <v>244</v>
      </c>
      <c r="G11036" s="504" t="s">
        <v>245</v>
      </c>
      <c r="H11036" s="397"/>
      <c r="I11036" s="397"/>
      <c r="J11036" s="750"/>
      <c r="K11036" s="398"/>
      <c r="L11036" s="404"/>
      <c r="M11036" s="682"/>
    </row>
    <row r="11037" spans="5:13" hidden="1" x14ac:dyDescent="0.2">
      <c r="F11037" s="503" t="s">
        <v>246</v>
      </c>
      <c r="G11037" s="504" t="s">
        <v>247</v>
      </c>
      <c r="H11037" s="397"/>
      <c r="I11037" s="397"/>
      <c r="J11037" s="750"/>
      <c r="K11037" s="398"/>
      <c r="L11037" s="404"/>
      <c r="M11037" s="682"/>
    </row>
    <row r="11038" spans="5:13" ht="25.5" hidden="1" x14ac:dyDescent="0.2">
      <c r="F11038" s="503" t="s">
        <v>248</v>
      </c>
      <c r="G11038" s="504" t="s">
        <v>249</v>
      </c>
      <c r="H11038" s="397"/>
      <c r="I11038" s="397"/>
      <c r="J11038" s="750"/>
      <c r="K11038" s="398"/>
      <c r="L11038" s="404"/>
      <c r="M11038" s="682"/>
    </row>
    <row r="11039" spans="5:13" hidden="1" x14ac:dyDescent="0.2">
      <c r="F11039" s="503" t="s">
        <v>250</v>
      </c>
      <c r="G11039" s="504" t="s">
        <v>57</v>
      </c>
      <c r="H11039" s="397"/>
      <c r="I11039" s="397"/>
      <c r="J11039" s="750"/>
      <c r="K11039" s="398"/>
      <c r="L11039" s="404"/>
      <c r="M11039" s="682"/>
    </row>
    <row r="11040" spans="5:13" hidden="1" x14ac:dyDescent="0.2">
      <c r="F11040" s="503" t="s">
        <v>251</v>
      </c>
      <c r="G11040" s="504" t="s">
        <v>252</v>
      </c>
      <c r="H11040" s="397"/>
      <c r="I11040" s="397"/>
      <c r="J11040" s="750"/>
      <c r="K11040" s="398"/>
      <c r="L11040" s="404"/>
      <c r="M11040" s="682"/>
    </row>
    <row r="11041" spans="5:13" hidden="1" x14ac:dyDescent="0.2">
      <c r="F11041" s="503" t="s">
        <v>253</v>
      </c>
      <c r="G11041" s="504" t="s">
        <v>254</v>
      </c>
      <c r="H11041" s="397"/>
      <c r="I11041" s="397"/>
      <c r="J11041" s="750"/>
      <c r="K11041" s="398"/>
      <c r="L11041" s="404"/>
      <c r="M11041" s="682"/>
    </row>
    <row r="11042" spans="5:13" ht="25.5" hidden="1" x14ac:dyDescent="0.2">
      <c r="F11042" s="503" t="s">
        <v>255</v>
      </c>
      <c r="G11042" s="504" t="s">
        <v>256</v>
      </c>
      <c r="H11042" s="397"/>
      <c r="I11042" s="397"/>
      <c r="J11042" s="750"/>
      <c r="K11042" s="398"/>
      <c r="L11042" s="404"/>
      <c r="M11042" s="682"/>
    </row>
    <row r="11043" spans="5:13" ht="25.5" hidden="1" x14ac:dyDescent="0.2">
      <c r="F11043" s="503" t="s">
        <v>257</v>
      </c>
      <c r="G11043" s="504" t="s">
        <v>258</v>
      </c>
      <c r="H11043" s="397"/>
      <c r="I11043" s="397"/>
      <c r="J11043" s="750"/>
      <c r="K11043" s="398"/>
      <c r="L11043" s="404"/>
      <c r="M11043" s="682"/>
    </row>
    <row r="11044" spans="5:13" ht="25.5" hidden="1" x14ac:dyDescent="0.2">
      <c r="F11044" s="503" t="s">
        <v>259</v>
      </c>
      <c r="G11044" s="504" t="s">
        <v>260</v>
      </c>
      <c r="H11044" s="397"/>
      <c r="I11044" s="397"/>
      <c r="J11044" s="750"/>
      <c r="K11044" s="398"/>
      <c r="L11044" s="404"/>
      <c r="M11044" s="682"/>
    </row>
    <row r="11045" spans="5:13" ht="25.5" hidden="1" x14ac:dyDescent="0.2">
      <c r="F11045" s="503" t="s">
        <v>261</v>
      </c>
      <c r="G11045" s="504" t="s">
        <v>262</v>
      </c>
      <c r="H11045" s="397"/>
      <c r="I11045" s="397"/>
      <c r="J11045" s="750"/>
      <c r="K11045" s="398"/>
      <c r="L11045" s="404"/>
      <c r="M11045" s="682"/>
    </row>
    <row r="11046" spans="5:13" hidden="1" x14ac:dyDescent="0.2">
      <c r="F11046" s="503" t="s">
        <v>263</v>
      </c>
      <c r="G11046" s="504" t="s">
        <v>264</v>
      </c>
      <c r="H11046" s="403"/>
      <c r="I11046" s="403"/>
      <c r="J11046" s="750"/>
      <c r="K11046" s="404"/>
      <c r="L11046" s="404"/>
      <c r="M11046" s="682"/>
    </row>
    <row r="11047" spans="5:13" ht="13.5" hidden="1" thickBot="1" x14ac:dyDescent="0.25">
      <c r="G11047" s="505" t="s">
        <v>4362</v>
      </c>
      <c r="H11047" s="405">
        <f>SUM(H11031:H11046)</f>
        <v>0</v>
      </c>
      <c r="I11047" s="405"/>
      <c r="J11047" s="750"/>
      <c r="K11047" s="406">
        <f>SUM(K11032:K11046)</f>
        <v>0</v>
      </c>
      <c r="L11047" s="406"/>
      <c r="M11047" s="682"/>
    </row>
    <row r="11048" spans="5:13" ht="25.5" hidden="1" collapsed="1" x14ac:dyDescent="0.2">
      <c r="E11048" s="500"/>
      <c r="F11048" s="498"/>
      <c r="G11048" s="506" t="s">
        <v>4430</v>
      </c>
      <c r="H11048" s="407"/>
      <c r="I11048" s="408"/>
      <c r="J11048" s="750"/>
      <c r="K11048" s="409"/>
      <c r="L11048" s="410"/>
      <c r="M11048" s="682"/>
    </row>
    <row r="11049" spans="5:13" hidden="1" x14ac:dyDescent="0.2">
      <c r="E11049" s="502"/>
      <c r="F11049" s="503" t="s">
        <v>234</v>
      </c>
      <c r="G11049" s="504" t="s">
        <v>235</v>
      </c>
      <c r="H11049" s="403">
        <f>SUM(H10970:H11029)</f>
        <v>0</v>
      </c>
      <c r="I11049" s="403"/>
      <c r="J11049" s="750"/>
      <c r="K11049" s="404"/>
      <c r="L11049" s="404"/>
      <c r="M11049" s="682"/>
    </row>
    <row r="11050" spans="5:13" hidden="1" x14ac:dyDescent="0.2">
      <c r="F11050" s="503" t="s">
        <v>236</v>
      </c>
      <c r="G11050" s="504" t="s">
        <v>237</v>
      </c>
      <c r="H11050" s="397"/>
      <c r="I11050" s="397"/>
      <c r="J11050" s="750"/>
      <c r="K11050" s="398"/>
      <c r="L11050" s="404"/>
      <c r="M11050" s="682"/>
    </row>
    <row r="11051" spans="5:13" hidden="1" x14ac:dyDescent="0.2">
      <c r="F11051" s="503" t="s">
        <v>238</v>
      </c>
      <c r="G11051" s="504" t="s">
        <v>239</v>
      </c>
      <c r="H11051" s="397"/>
      <c r="I11051" s="397"/>
      <c r="J11051" s="750"/>
      <c r="K11051" s="398"/>
      <c r="L11051" s="404"/>
      <c r="M11051" s="682"/>
    </row>
    <row r="11052" spans="5:13" hidden="1" x14ac:dyDescent="0.2">
      <c r="F11052" s="503" t="s">
        <v>240</v>
      </c>
      <c r="G11052" s="504" t="s">
        <v>241</v>
      </c>
      <c r="H11052" s="397"/>
      <c r="I11052" s="397"/>
      <c r="J11052" s="750"/>
      <c r="K11052" s="398"/>
      <c r="L11052" s="404"/>
      <c r="M11052" s="682"/>
    </row>
    <row r="11053" spans="5:13" hidden="1" x14ac:dyDescent="0.2">
      <c r="F11053" s="503" t="s">
        <v>242</v>
      </c>
      <c r="G11053" s="504" t="s">
        <v>243</v>
      </c>
      <c r="H11053" s="397"/>
      <c r="I11053" s="397"/>
      <c r="J11053" s="750"/>
      <c r="K11053" s="398"/>
      <c r="L11053" s="404"/>
      <c r="M11053" s="682"/>
    </row>
    <row r="11054" spans="5:13" hidden="1" x14ac:dyDescent="0.2">
      <c r="F11054" s="503" t="s">
        <v>244</v>
      </c>
      <c r="G11054" s="504" t="s">
        <v>245</v>
      </c>
      <c r="H11054" s="397"/>
      <c r="I11054" s="397"/>
      <c r="J11054" s="750"/>
      <c r="K11054" s="398"/>
      <c r="L11054" s="404"/>
      <c r="M11054" s="682"/>
    </row>
    <row r="11055" spans="5:13" hidden="1" x14ac:dyDescent="0.2">
      <c r="F11055" s="503" t="s">
        <v>246</v>
      </c>
      <c r="G11055" s="504" t="s">
        <v>247</v>
      </c>
      <c r="H11055" s="397"/>
      <c r="I11055" s="397"/>
      <c r="J11055" s="750"/>
      <c r="K11055" s="398"/>
      <c r="L11055" s="404"/>
      <c r="M11055" s="682"/>
    </row>
    <row r="11056" spans="5:13" ht="25.5" hidden="1" x14ac:dyDescent="0.2">
      <c r="F11056" s="503" t="s">
        <v>248</v>
      </c>
      <c r="G11056" s="504" t="s">
        <v>249</v>
      </c>
      <c r="H11056" s="397"/>
      <c r="I11056" s="397"/>
      <c r="J11056" s="750"/>
      <c r="K11056" s="398"/>
      <c r="L11056" s="404"/>
      <c r="M11056" s="682"/>
    </row>
    <row r="11057" spans="1:27" hidden="1" x14ac:dyDescent="0.2">
      <c r="F11057" s="503" t="s">
        <v>250</v>
      </c>
      <c r="G11057" s="504" t="s">
        <v>57</v>
      </c>
      <c r="H11057" s="397"/>
      <c r="I11057" s="397"/>
      <c r="J11057" s="750"/>
      <c r="K11057" s="398"/>
      <c r="L11057" s="404"/>
      <c r="M11057" s="682"/>
    </row>
    <row r="11058" spans="1:27" hidden="1" x14ac:dyDescent="0.2">
      <c r="F11058" s="503" t="s">
        <v>251</v>
      </c>
      <c r="G11058" s="504" t="s">
        <v>252</v>
      </c>
      <c r="H11058" s="397"/>
      <c r="I11058" s="397"/>
      <c r="J11058" s="750"/>
      <c r="K11058" s="398"/>
      <c r="L11058" s="404"/>
      <c r="M11058" s="682"/>
    </row>
    <row r="11059" spans="1:27" hidden="1" x14ac:dyDescent="0.2">
      <c r="F11059" s="503" t="s">
        <v>253</v>
      </c>
      <c r="G11059" s="504" t="s">
        <v>254</v>
      </c>
      <c r="H11059" s="397"/>
      <c r="I11059" s="397"/>
      <c r="J11059" s="750"/>
      <c r="K11059" s="398"/>
      <c r="L11059" s="404"/>
      <c r="M11059" s="682"/>
    </row>
    <row r="11060" spans="1:27" ht="25.5" hidden="1" x14ac:dyDescent="0.2">
      <c r="F11060" s="503" t="s">
        <v>255</v>
      </c>
      <c r="G11060" s="504" t="s">
        <v>256</v>
      </c>
      <c r="H11060" s="397"/>
      <c r="I11060" s="397"/>
      <c r="J11060" s="750"/>
      <c r="K11060" s="398"/>
      <c r="L11060" s="404"/>
      <c r="M11060" s="682"/>
    </row>
    <row r="11061" spans="1:27" ht="25.5" hidden="1" x14ac:dyDescent="0.2">
      <c r="F11061" s="503" t="s">
        <v>257</v>
      </c>
      <c r="G11061" s="504" t="s">
        <v>258</v>
      </c>
      <c r="H11061" s="397"/>
      <c r="I11061" s="397"/>
      <c r="J11061" s="750"/>
      <c r="K11061" s="398"/>
      <c r="L11061" s="404"/>
      <c r="M11061" s="682"/>
    </row>
    <row r="11062" spans="1:27" ht="25.5" hidden="1" x14ac:dyDescent="0.2">
      <c r="F11062" s="503" t="s">
        <v>259</v>
      </c>
      <c r="G11062" s="504" t="s">
        <v>260</v>
      </c>
      <c r="H11062" s="397"/>
      <c r="I11062" s="397"/>
      <c r="J11062" s="750"/>
      <c r="K11062" s="398"/>
      <c r="L11062" s="404"/>
      <c r="M11062" s="682"/>
    </row>
    <row r="11063" spans="1:27" ht="25.5" hidden="1" x14ac:dyDescent="0.2">
      <c r="F11063" s="503" t="s">
        <v>261</v>
      </c>
      <c r="G11063" s="504" t="s">
        <v>262</v>
      </c>
      <c r="H11063" s="397"/>
      <c r="I11063" s="397"/>
      <c r="J11063" s="750"/>
      <c r="K11063" s="398"/>
      <c r="L11063" s="404"/>
      <c r="M11063" s="682"/>
    </row>
    <row r="11064" spans="1:27" hidden="1" x14ac:dyDescent="0.2">
      <c r="F11064" s="503" t="s">
        <v>263</v>
      </c>
      <c r="G11064" s="504" t="s">
        <v>264</v>
      </c>
      <c r="H11064" s="403"/>
      <c r="I11064" s="403"/>
      <c r="J11064" s="750"/>
      <c r="K11064" s="404"/>
      <c r="L11064" s="404"/>
      <c r="M11064" s="682"/>
    </row>
    <row r="11065" spans="1:27" ht="13.5" hidden="1" collapsed="1" thickBot="1" x14ac:dyDescent="0.25">
      <c r="G11065" s="505" t="s">
        <v>4431</v>
      </c>
      <c r="H11065" s="405">
        <f>SUM(H11049:H11064)</f>
        <v>0</v>
      </c>
      <c r="I11065" s="405"/>
      <c r="J11065" s="750"/>
      <c r="K11065" s="406">
        <f>SUM(K11050:K11064)</f>
        <v>0</v>
      </c>
      <c r="L11065" s="406"/>
      <c r="M11065" s="682"/>
    </row>
    <row r="11066" spans="1:27" hidden="1" x14ac:dyDescent="0.2">
      <c r="H11066" s="397"/>
      <c r="I11066" s="397"/>
      <c r="J11066" s="750"/>
      <c r="K11066" s="398"/>
      <c r="L11066" s="398"/>
      <c r="M11066" s="682"/>
    </row>
    <row r="11067" spans="1:27" s="530" customFormat="1" x14ac:dyDescent="0.2">
      <c r="A11067" s="526"/>
      <c r="B11067" s="527"/>
      <c r="C11067" s="531" t="s">
        <v>5048</v>
      </c>
      <c r="D11067" s="490"/>
      <c r="E11067" s="490"/>
      <c r="F11067" s="532"/>
      <c r="G11067" s="559" t="s">
        <v>4104</v>
      </c>
      <c r="H11067" s="422"/>
      <c r="I11067" s="422"/>
      <c r="J11067" s="750"/>
      <c r="K11067" s="423"/>
      <c r="L11067" s="424"/>
      <c r="M11067" s="682"/>
      <c r="N11067" s="171"/>
      <c r="O11067" s="171"/>
      <c r="P11067" s="171"/>
      <c r="Q11067" s="171"/>
      <c r="R11067" s="171"/>
      <c r="S11067" s="171"/>
      <c r="T11067" s="171"/>
      <c r="U11067" s="171"/>
      <c r="V11067" s="171"/>
      <c r="W11067" s="171"/>
      <c r="X11067" s="171"/>
      <c r="Y11067" s="171"/>
      <c r="Z11067" s="171"/>
      <c r="AA11067" s="171"/>
    </row>
    <row r="11068" spans="1:27" x14ac:dyDescent="0.2">
      <c r="C11068" s="489"/>
      <c r="D11068" s="492">
        <v>620</v>
      </c>
      <c r="E11068" s="492"/>
      <c r="F11068" s="492"/>
      <c r="G11068" s="493" t="s">
        <v>182</v>
      </c>
      <c r="H11068" s="397"/>
      <c r="I11068" s="397"/>
      <c r="J11068" s="750"/>
      <c r="K11068" s="398"/>
      <c r="L11068" s="398"/>
      <c r="M11068" s="682"/>
    </row>
    <row r="11069" spans="1:27" x14ac:dyDescent="0.2">
      <c r="E11069" s="464">
        <v>97</v>
      </c>
      <c r="F11069" s="494">
        <v>411</v>
      </c>
      <c r="G11069" s="495" t="s">
        <v>4167</v>
      </c>
      <c r="H11069" s="397">
        <v>10738000</v>
      </c>
      <c r="I11069" s="397">
        <v>10737993.289999999</v>
      </c>
      <c r="J11069" s="750">
        <f t="shared" ref="J11069:J11085" si="144">SUM(I11069/H11069)*100</f>
        <v>99.999937511640894</v>
      </c>
      <c r="K11069" s="398">
        <v>0</v>
      </c>
      <c r="L11069" s="398">
        <v>1261411.6499999999</v>
      </c>
      <c r="M11069" s="682"/>
    </row>
    <row r="11070" spans="1:27" x14ac:dyDescent="0.2">
      <c r="E11070" s="464">
        <v>98</v>
      </c>
      <c r="F11070" s="494">
        <v>412</v>
      </c>
      <c r="G11070" s="496" t="s">
        <v>3764</v>
      </c>
      <c r="H11070" s="397">
        <v>1922109</v>
      </c>
      <c r="I11070" s="397">
        <v>1922100.82</v>
      </c>
      <c r="J11070" s="750">
        <f t="shared" si="144"/>
        <v>99.999574425799992</v>
      </c>
      <c r="K11070" s="398">
        <v>0</v>
      </c>
      <c r="L11070" s="398">
        <v>226928.37</v>
      </c>
      <c r="M11070" s="682"/>
    </row>
    <row r="11071" spans="1:27" hidden="1" x14ac:dyDescent="0.2">
      <c r="F11071" s="494">
        <v>413</v>
      </c>
      <c r="G11071" s="495" t="s">
        <v>4168</v>
      </c>
      <c r="H11071" s="397"/>
      <c r="I11071" s="397"/>
      <c r="J11071" s="750" t="e">
        <f t="shared" si="144"/>
        <v>#DIV/0!</v>
      </c>
      <c r="K11071" s="398"/>
      <c r="L11071" s="398"/>
      <c r="M11071" s="682"/>
    </row>
    <row r="11072" spans="1:27" x14ac:dyDescent="0.2">
      <c r="E11072" s="464">
        <v>99</v>
      </c>
      <c r="F11072" s="494">
        <v>414</v>
      </c>
      <c r="G11072" s="495" t="s">
        <v>3767</v>
      </c>
      <c r="H11072" s="397">
        <v>580000</v>
      </c>
      <c r="I11072" s="397">
        <v>160000</v>
      </c>
      <c r="J11072" s="750">
        <f t="shared" si="144"/>
        <v>27.586206896551722</v>
      </c>
      <c r="K11072" s="398"/>
      <c r="L11072" s="398"/>
      <c r="M11072" s="682"/>
    </row>
    <row r="11073" spans="5:13" x14ac:dyDescent="0.2">
      <c r="E11073" s="464">
        <v>100</v>
      </c>
      <c r="F11073" s="494">
        <v>415</v>
      </c>
      <c r="G11073" s="495" t="s">
        <v>4177</v>
      </c>
      <c r="H11073" s="397">
        <v>450000</v>
      </c>
      <c r="I11073" s="397">
        <v>314288.73</v>
      </c>
      <c r="J11073" s="750">
        <f t="shared" si="144"/>
        <v>69.841939999999994</v>
      </c>
      <c r="K11073" s="398"/>
      <c r="L11073" s="398">
        <v>39857.4</v>
      </c>
      <c r="M11073" s="682"/>
    </row>
    <row r="11074" spans="5:13" ht="25.5" x14ac:dyDescent="0.2">
      <c r="E11074" s="464">
        <v>101</v>
      </c>
      <c r="F11074" s="494">
        <v>416</v>
      </c>
      <c r="G11074" s="495" t="s">
        <v>4178</v>
      </c>
      <c r="H11074" s="397">
        <v>100000</v>
      </c>
      <c r="I11074" s="397">
        <v>0</v>
      </c>
      <c r="J11074" s="750">
        <f t="shared" si="144"/>
        <v>0</v>
      </c>
      <c r="K11074" s="398"/>
      <c r="L11074" s="398"/>
      <c r="M11074" s="682"/>
    </row>
    <row r="11075" spans="5:13" hidden="1" x14ac:dyDescent="0.2">
      <c r="F11075" s="494">
        <v>417</v>
      </c>
      <c r="G11075" s="495" t="s">
        <v>4179</v>
      </c>
      <c r="H11075" s="397"/>
      <c r="I11075" s="397"/>
      <c r="J11075" s="750" t="e">
        <f t="shared" si="144"/>
        <v>#DIV/0!</v>
      </c>
      <c r="K11075" s="398"/>
      <c r="L11075" s="398"/>
      <c r="M11075" s="682"/>
    </row>
    <row r="11076" spans="5:13" hidden="1" x14ac:dyDescent="0.2">
      <c r="F11076" s="494">
        <v>418</v>
      </c>
      <c r="G11076" s="495" t="s">
        <v>3773</v>
      </c>
      <c r="H11076" s="397"/>
      <c r="I11076" s="397"/>
      <c r="J11076" s="750" t="e">
        <f t="shared" si="144"/>
        <v>#DIV/0!</v>
      </c>
      <c r="K11076" s="398"/>
      <c r="L11076" s="398"/>
      <c r="M11076" s="682"/>
    </row>
    <row r="11077" spans="5:13" x14ac:dyDescent="0.2">
      <c r="E11077" s="464">
        <v>102</v>
      </c>
      <c r="F11077" s="494">
        <v>421</v>
      </c>
      <c r="G11077" s="495" t="s">
        <v>3777</v>
      </c>
      <c r="H11077" s="397">
        <v>2490000</v>
      </c>
      <c r="I11077" s="397">
        <v>1293251.26</v>
      </c>
      <c r="J11077" s="750">
        <f t="shared" si="144"/>
        <v>51.937801606425701</v>
      </c>
      <c r="K11077" s="398"/>
      <c r="L11077" s="398">
        <v>1605.65</v>
      </c>
      <c r="M11077" s="682"/>
    </row>
    <row r="11078" spans="5:13" x14ac:dyDescent="0.2">
      <c r="E11078" s="464">
        <v>103</v>
      </c>
      <c r="F11078" s="494">
        <v>422</v>
      </c>
      <c r="G11078" s="495" t="s">
        <v>3778</v>
      </c>
      <c r="H11078" s="397">
        <v>220000</v>
      </c>
      <c r="I11078" s="397">
        <v>82600</v>
      </c>
      <c r="J11078" s="750">
        <f t="shared" si="144"/>
        <v>37.54545454545454</v>
      </c>
      <c r="K11078" s="398"/>
      <c r="L11078" s="398"/>
      <c r="M11078" s="682"/>
    </row>
    <row r="11079" spans="5:13" x14ac:dyDescent="0.2">
      <c r="E11079" s="464">
        <v>104</v>
      </c>
      <c r="F11079" s="494">
        <v>423</v>
      </c>
      <c r="G11079" s="495" t="s">
        <v>3779</v>
      </c>
      <c r="H11079" s="397">
        <v>3120000</v>
      </c>
      <c r="I11079" s="397">
        <v>1926960.7</v>
      </c>
      <c r="J11079" s="750">
        <f t="shared" si="144"/>
        <v>61.761560897435899</v>
      </c>
      <c r="K11079" s="398"/>
      <c r="L11079" s="398"/>
      <c r="M11079" s="682"/>
    </row>
    <row r="11080" spans="5:13" x14ac:dyDescent="0.2">
      <c r="E11080" s="464">
        <v>105</v>
      </c>
      <c r="F11080" s="494">
        <v>424</v>
      </c>
      <c r="G11080" s="495" t="s">
        <v>3781</v>
      </c>
      <c r="H11080" s="397">
        <v>29180000</v>
      </c>
      <c r="I11080" s="397">
        <v>25843729.649999999</v>
      </c>
      <c r="J11080" s="750">
        <f t="shared" si="144"/>
        <v>88.566585503769701</v>
      </c>
      <c r="K11080" s="398"/>
      <c r="L11080" s="398"/>
      <c r="M11080" s="682"/>
    </row>
    <row r="11081" spans="5:13" x14ac:dyDescent="0.2">
      <c r="E11081" s="464">
        <v>106</v>
      </c>
      <c r="F11081" s="494">
        <v>425</v>
      </c>
      <c r="G11081" s="495" t="s">
        <v>4180</v>
      </c>
      <c r="H11081" s="397">
        <v>2140000</v>
      </c>
      <c r="I11081" s="397">
        <v>1595013.19</v>
      </c>
      <c r="J11081" s="750">
        <f t="shared" si="144"/>
        <v>74.533326635514015</v>
      </c>
      <c r="K11081" s="398"/>
      <c r="L11081" s="398"/>
      <c r="M11081" s="682"/>
    </row>
    <row r="11082" spans="5:13" x14ac:dyDescent="0.2">
      <c r="E11082" s="464">
        <v>107</v>
      </c>
      <c r="F11082" s="494">
        <v>426</v>
      </c>
      <c r="G11082" s="495" t="s">
        <v>3785</v>
      </c>
      <c r="H11082" s="397">
        <v>25195000</v>
      </c>
      <c r="I11082" s="397">
        <v>23398024.18</v>
      </c>
      <c r="J11082" s="750">
        <f t="shared" si="144"/>
        <v>92.867728438182169</v>
      </c>
      <c r="K11082" s="398"/>
      <c r="L11082" s="398">
        <v>30180</v>
      </c>
      <c r="M11082" s="682"/>
    </row>
    <row r="11083" spans="5:13" hidden="1" x14ac:dyDescent="0.2">
      <c r="F11083" s="494">
        <v>431</v>
      </c>
      <c r="G11083" s="495" t="s">
        <v>4181</v>
      </c>
      <c r="H11083" s="397"/>
      <c r="I11083" s="397"/>
      <c r="J11083" s="750" t="e">
        <f t="shared" si="144"/>
        <v>#DIV/0!</v>
      </c>
      <c r="K11083" s="398"/>
      <c r="L11083" s="398"/>
      <c r="M11083" s="682"/>
    </row>
    <row r="11084" spans="5:13" hidden="1" x14ac:dyDescent="0.2">
      <c r="F11084" s="494">
        <v>432</v>
      </c>
      <c r="G11084" s="495" t="s">
        <v>4182</v>
      </c>
      <c r="H11084" s="397"/>
      <c r="I11084" s="397"/>
      <c r="J11084" s="750" t="e">
        <f t="shared" si="144"/>
        <v>#DIV/0!</v>
      </c>
      <c r="K11084" s="398"/>
      <c r="L11084" s="398"/>
      <c r="M11084" s="682"/>
    </row>
    <row r="11085" spans="5:13" hidden="1" x14ac:dyDescent="0.2">
      <c r="F11085" s="494">
        <v>433</v>
      </c>
      <c r="G11085" s="495" t="s">
        <v>4183</v>
      </c>
      <c r="H11085" s="397"/>
      <c r="I11085" s="397"/>
      <c r="J11085" s="750" t="e">
        <f t="shared" si="144"/>
        <v>#DIV/0!</v>
      </c>
      <c r="K11085" s="398"/>
      <c r="L11085" s="398"/>
      <c r="M11085" s="682"/>
    </row>
    <row r="11086" spans="5:13" hidden="1" x14ac:dyDescent="0.2">
      <c r="F11086" s="494">
        <v>434</v>
      </c>
      <c r="G11086" s="495" t="s">
        <v>4184</v>
      </c>
      <c r="H11086" s="397"/>
      <c r="I11086" s="397"/>
      <c r="J11086" s="750" t="e">
        <f t="shared" ref="J11086:J11149" si="145">SUM(I11086/H11086)*100</f>
        <v>#DIV/0!</v>
      </c>
      <c r="K11086" s="398"/>
      <c r="L11086" s="398"/>
      <c r="M11086" s="682"/>
    </row>
    <row r="11087" spans="5:13" hidden="1" x14ac:dyDescent="0.2">
      <c r="F11087" s="494">
        <v>435</v>
      </c>
      <c r="G11087" s="495" t="s">
        <v>3792</v>
      </c>
      <c r="H11087" s="397"/>
      <c r="I11087" s="397"/>
      <c r="J11087" s="750" t="e">
        <f t="shared" si="145"/>
        <v>#DIV/0!</v>
      </c>
      <c r="K11087" s="398"/>
      <c r="L11087" s="398"/>
      <c r="M11087" s="682"/>
    </row>
    <row r="11088" spans="5:13" hidden="1" x14ac:dyDescent="0.2">
      <c r="F11088" s="494">
        <v>441</v>
      </c>
      <c r="G11088" s="495" t="s">
        <v>4185</v>
      </c>
      <c r="H11088" s="397"/>
      <c r="I11088" s="397"/>
      <c r="J11088" s="750" t="e">
        <f t="shared" si="145"/>
        <v>#DIV/0!</v>
      </c>
      <c r="K11088" s="398"/>
      <c r="L11088" s="398"/>
      <c r="M11088" s="682"/>
    </row>
    <row r="11089" spans="5:13" hidden="1" x14ac:dyDescent="0.2">
      <c r="F11089" s="494">
        <v>442</v>
      </c>
      <c r="G11089" s="495" t="s">
        <v>4186</v>
      </c>
      <c r="H11089" s="397"/>
      <c r="I11089" s="397"/>
      <c r="J11089" s="750" t="e">
        <f t="shared" si="145"/>
        <v>#DIV/0!</v>
      </c>
      <c r="K11089" s="398"/>
      <c r="L11089" s="398"/>
      <c r="M11089" s="682"/>
    </row>
    <row r="11090" spans="5:13" hidden="1" x14ac:dyDescent="0.2">
      <c r="F11090" s="494">
        <v>443</v>
      </c>
      <c r="G11090" s="495" t="s">
        <v>3797</v>
      </c>
      <c r="H11090" s="397"/>
      <c r="I11090" s="397"/>
      <c r="J11090" s="750" t="e">
        <f t="shared" si="145"/>
        <v>#DIV/0!</v>
      </c>
      <c r="K11090" s="398"/>
      <c r="L11090" s="398"/>
      <c r="M11090" s="682"/>
    </row>
    <row r="11091" spans="5:13" hidden="1" x14ac:dyDescent="0.2">
      <c r="F11091" s="494">
        <v>444</v>
      </c>
      <c r="G11091" s="495" t="s">
        <v>3798</v>
      </c>
      <c r="H11091" s="397"/>
      <c r="I11091" s="397"/>
      <c r="J11091" s="750" t="e">
        <f t="shared" si="145"/>
        <v>#DIV/0!</v>
      </c>
      <c r="K11091" s="398"/>
      <c r="L11091" s="398"/>
      <c r="M11091" s="682"/>
    </row>
    <row r="11092" spans="5:13" ht="25.5" hidden="1" x14ac:dyDescent="0.2">
      <c r="F11092" s="494">
        <v>4511</v>
      </c>
      <c r="G11092" s="466" t="s">
        <v>1692</v>
      </c>
      <c r="H11092" s="397"/>
      <c r="I11092" s="397"/>
      <c r="J11092" s="750" t="e">
        <f t="shared" si="145"/>
        <v>#DIV/0!</v>
      </c>
      <c r="K11092" s="398"/>
      <c r="L11092" s="398"/>
      <c r="M11092" s="682"/>
    </row>
    <row r="11093" spans="5:13" ht="19.5" hidden="1" customHeight="1" x14ac:dyDescent="0.2">
      <c r="F11093" s="494">
        <v>4512</v>
      </c>
      <c r="G11093" s="466" t="s">
        <v>1701</v>
      </c>
      <c r="H11093" s="397"/>
      <c r="I11093" s="397"/>
      <c r="J11093" s="750" t="e">
        <f t="shared" si="145"/>
        <v>#DIV/0!</v>
      </c>
      <c r="K11093" s="398"/>
      <c r="L11093" s="398"/>
      <c r="M11093" s="682"/>
    </row>
    <row r="11094" spans="5:13" ht="25.5" hidden="1" x14ac:dyDescent="0.2">
      <c r="F11094" s="494">
        <v>452</v>
      </c>
      <c r="G11094" s="495" t="s">
        <v>4187</v>
      </c>
      <c r="H11094" s="397"/>
      <c r="I11094" s="397"/>
      <c r="J11094" s="750" t="e">
        <f t="shared" si="145"/>
        <v>#DIV/0!</v>
      </c>
      <c r="K11094" s="398"/>
      <c r="L11094" s="398"/>
      <c r="M11094" s="682"/>
    </row>
    <row r="11095" spans="5:13" ht="25.5" hidden="1" x14ac:dyDescent="0.2">
      <c r="F11095" s="494">
        <v>453</v>
      </c>
      <c r="G11095" s="495" t="s">
        <v>4188</v>
      </c>
      <c r="H11095" s="397"/>
      <c r="I11095" s="397"/>
      <c r="J11095" s="750" t="e">
        <f t="shared" si="145"/>
        <v>#DIV/0!</v>
      </c>
      <c r="K11095" s="398"/>
      <c r="L11095" s="398"/>
      <c r="M11095" s="682"/>
    </row>
    <row r="11096" spans="5:13" hidden="1" x14ac:dyDescent="0.2">
      <c r="F11096" s="494">
        <v>454</v>
      </c>
      <c r="G11096" s="495" t="s">
        <v>3803</v>
      </c>
      <c r="H11096" s="397"/>
      <c r="I11096" s="397"/>
      <c r="J11096" s="750" t="e">
        <f t="shared" si="145"/>
        <v>#DIV/0!</v>
      </c>
      <c r="K11096" s="398"/>
      <c r="L11096" s="398"/>
      <c r="M11096" s="682"/>
    </row>
    <row r="11097" spans="5:13" hidden="1" x14ac:dyDescent="0.2">
      <c r="F11097" s="494">
        <v>461</v>
      </c>
      <c r="G11097" s="495" t="s">
        <v>4169</v>
      </c>
      <c r="H11097" s="397"/>
      <c r="I11097" s="397"/>
      <c r="J11097" s="750" t="e">
        <f t="shared" si="145"/>
        <v>#DIV/0!</v>
      </c>
      <c r="K11097" s="398"/>
      <c r="L11097" s="398"/>
      <c r="M11097" s="682"/>
    </row>
    <row r="11098" spans="5:13" ht="25.5" hidden="1" x14ac:dyDescent="0.2">
      <c r="F11098" s="494">
        <v>462</v>
      </c>
      <c r="G11098" s="495" t="s">
        <v>3806</v>
      </c>
      <c r="H11098" s="397"/>
      <c r="I11098" s="397"/>
      <c r="J11098" s="750" t="e">
        <f t="shared" si="145"/>
        <v>#DIV/0!</v>
      </c>
      <c r="K11098" s="398"/>
      <c r="L11098" s="398"/>
      <c r="M11098" s="682"/>
    </row>
    <row r="11099" spans="5:13" hidden="1" x14ac:dyDescent="0.2">
      <c r="F11099" s="494">
        <v>4631</v>
      </c>
      <c r="G11099" s="495" t="s">
        <v>3807</v>
      </c>
      <c r="H11099" s="397"/>
      <c r="I11099" s="397"/>
      <c r="J11099" s="750" t="e">
        <f t="shared" si="145"/>
        <v>#DIV/0!</v>
      </c>
      <c r="K11099" s="398"/>
      <c r="L11099" s="398"/>
      <c r="M11099" s="682"/>
    </row>
    <row r="11100" spans="5:13" hidden="1" x14ac:dyDescent="0.2">
      <c r="F11100" s="494">
        <v>4632</v>
      </c>
      <c r="G11100" s="495" t="s">
        <v>3808</v>
      </c>
      <c r="H11100" s="397"/>
      <c r="I11100" s="397"/>
      <c r="J11100" s="750" t="e">
        <f t="shared" si="145"/>
        <v>#DIV/0!</v>
      </c>
      <c r="K11100" s="398"/>
      <c r="L11100" s="398"/>
      <c r="M11100" s="682"/>
    </row>
    <row r="11101" spans="5:13" ht="25.5" hidden="1" x14ac:dyDescent="0.2">
      <c r="F11101" s="494">
        <v>464</v>
      </c>
      <c r="G11101" s="495" t="s">
        <v>3809</v>
      </c>
      <c r="H11101" s="397"/>
      <c r="I11101" s="397"/>
      <c r="J11101" s="750" t="e">
        <f t="shared" si="145"/>
        <v>#DIV/0!</v>
      </c>
      <c r="K11101" s="398"/>
      <c r="L11101" s="398"/>
      <c r="M11101" s="682"/>
    </row>
    <row r="11102" spans="5:13" x14ac:dyDescent="0.2">
      <c r="E11102" s="464">
        <v>108</v>
      </c>
      <c r="F11102" s="494">
        <v>465</v>
      </c>
      <c r="G11102" s="495" t="s">
        <v>4170</v>
      </c>
      <c r="H11102" s="397">
        <v>1415020</v>
      </c>
      <c r="I11102" s="397">
        <v>1345408.71</v>
      </c>
      <c r="J11102" s="750">
        <f t="shared" si="145"/>
        <v>95.080543737897699</v>
      </c>
      <c r="K11102" s="398"/>
      <c r="L11102" s="398"/>
      <c r="M11102" s="682"/>
    </row>
    <row r="11103" spans="5:13" hidden="1" x14ac:dyDescent="0.2">
      <c r="F11103" s="494">
        <v>472</v>
      </c>
      <c r="G11103" s="495" t="s">
        <v>3813</v>
      </c>
      <c r="H11103" s="397"/>
      <c r="I11103" s="397"/>
      <c r="J11103" s="750" t="e">
        <f t="shared" si="145"/>
        <v>#DIV/0!</v>
      </c>
      <c r="K11103" s="398"/>
      <c r="L11103" s="398"/>
      <c r="M11103" s="682"/>
    </row>
    <row r="11104" spans="5:13" hidden="1" x14ac:dyDescent="0.2">
      <c r="F11104" s="494">
        <v>481</v>
      </c>
      <c r="G11104" s="495" t="s">
        <v>4189</v>
      </c>
      <c r="H11104" s="397"/>
      <c r="I11104" s="397"/>
      <c r="J11104" s="750" t="e">
        <f t="shared" si="145"/>
        <v>#DIV/0!</v>
      </c>
      <c r="K11104" s="398"/>
      <c r="L11104" s="398"/>
      <c r="M11104" s="682"/>
    </row>
    <row r="11105" spans="5:13" x14ac:dyDescent="0.2">
      <c r="E11105" s="464">
        <v>109</v>
      </c>
      <c r="F11105" s="494">
        <v>482</v>
      </c>
      <c r="G11105" s="495" t="s">
        <v>4190</v>
      </c>
      <c r="H11105" s="397">
        <v>5050000</v>
      </c>
      <c r="I11105" s="397">
        <v>4722109</v>
      </c>
      <c r="J11105" s="750">
        <f t="shared" si="145"/>
        <v>93.507108910891091</v>
      </c>
      <c r="K11105" s="398"/>
      <c r="L11105" s="398"/>
      <c r="M11105" s="682"/>
    </row>
    <row r="11106" spans="5:13" x14ac:dyDescent="0.2">
      <c r="E11106" s="464">
        <v>110</v>
      </c>
      <c r="F11106" s="494">
        <v>483</v>
      </c>
      <c r="G11106" s="497" t="s">
        <v>4191</v>
      </c>
      <c r="H11106" s="397">
        <v>300000</v>
      </c>
      <c r="I11106" s="397">
        <v>0</v>
      </c>
      <c r="J11106" s="750">
        <f t="shared" si="145"/>
        <v>0</v>
      </c>
      <c r="K11106" s="398"/>
      <c r="L11106" s="398"/>
      <c r="M11106" s="682"/>
    </row>
    <row r="11107" spans="5:13" ht="38.25" hidden="1" x14ac:dyDescent="0.2">
      <c r="F11107" s="494">
        <v>484</v>
      </c>
      <c r="G11107" s="495" t="s">
        <v>4192</v>
      </c>
      <c r="H11107" s="397"/>
      <c r="I11107" s="397"/>
      <c r="J11107" s="750" t="e">
        <f t="shared" si="145"/>
        <v>#DIV/0!</v>
      </c>
      <c r="K11107" s="398"/>
      <c r="L11107" s="398"/>
      <c r="M11107" s="682"/>
    </row>
    <row r="11108" spans="5:13" ht="25.5" hidden="1" x14ac:dyDescent="0.2">
      <c r="F11108" s="494">
        <v>485</v>
      </c>
      <c r="G11108" s="495" t="s">
        <v>4193</v>
      </c>
      <c r="H11108" s="397"/>
      <c r="I11108" s="397"/>
      <c r="J11108" s="750" t="e">
        <f t="shared" si="145"/>
        <v>#DIV/0!</v>
      </c>
      <c r="K11108" s="398"/>
      <c r="L11108" s="398"/>
      <c r="M11108" s="682"/>
    </row>
    <row r="11109" spans="5:13" ht="25.5" hidden="1" x14ac:dyDescent="0.2">
      <c r="F11109" s="494">
        <v>489</v>
      </c>
      <c r="G11109" s="495" t="s">
        <v>3821</v>
      </c>
      <c r="H11109" s="397"/>
      <c r="I11109" s="397"/>
      <c r="J11109" s="750" t="e">
        <f t="shared" si="145"/>
        <v>#DIV/0!</v>
      </c>
      <c r="K11109" s="398"/>
      <c r="L11109" s="398"/>
      <c r="M11109" s="682"/>
    </row>
    <row r="11110" spans="5:13" ht="25.5" hidden="1" x14ac:dyDescent="0.2">
      <c r="F11110" s="494">
        <v>494</v>
      </c>
      <c r="G11110" s="495" t="s">
        <v>4171</v>
      </c>
      <c r="H11110" s="397"/>
      <c r="I11110" s="397"/>
      <c r="J11110" s="750" t="e">
        <f t="shared" si="145"/>
        <v>#DIV/0!</v>
      </c>
      <c r="K11110" s="398"/>
      <c r="L11110" s="398"/>
      <c r="M11110" s="682"/>
    </row>
    <row r="11111" spans="5:13" ht="25.5" hidden="1" x14ac:dyDescent="0.2">
      <c r="F11111" s="494">
        <v>495</v>
      </c>
      <c r="G11111" s="495" t="s">
        <v>4172</v>
      </c>
      <c r="H11111" s="397"/>
      <c r="I11111" s="397"/>
      <c r="J11111" s="750" t="e">
        <f t="shared" si="145"/>
        <v>#DIV/0!</v>
      </c>
      <c r="K11111" s="398"/>
      <c r="L11111" s="398"/>
      <c r="M11111" s="682"/>
    </row>
    <row r="11112" spans="5:13" ht="38.25" hidden="1" x14ac:dyDescent="0.2">
      <c r="F11112" s="494">
        <v>496</v>
      </c>
      <c r="G11112" s="495" t="s">
        <v>4173</v>
      </c>
      <c r="H11112" s="397"/>
      <c r="I11112" s="397"/>
      <c r="J11112" s="750" t="e">
        <f t="shared" si="145"/>
        <v>#DIV/0!</v>
      </c>
      <c r="K11112" s="398"/>
      <c r="L11112" s="398"/>
      <c r="M11112" s="682"/>
    </row>
    <row r="11113" spans="5:13" ht="25.5" hidden="1" x14ac:dyDescent="0.2">
      <c r="F11113" s="494">
        <v>499</v>
      </c>
      <c r="G11113" s="495" t="s">
        <v>4174</v>
      </c>
      <c r="H11113" s="397"/>
      <c r="I11113" s="397"/>
      <c r="J11113" s="750" t="e">
        <f t="shared" si="145"/>
        <v>#DIV/0!</v>
      </c>
      <c r="K11113" s="398"/>
      <c r="L11113" s="398"/>
      <c r="M11113" s="682"/>
    </row>
    <row r="11114" spans="5:13" hidden="1" x14ac:dyDescent="0.2">
      <c r="F11114" s="494">
        <v>511</v>
      </c>
      <c r="G11114" s="497" t="s">
        <v>4194</v>
      </c>
      <c r="H11114" s="397"/>
      <c r="I11114" s="397"/>
      <c r="J11114" s="750" t="e">
        <f t="shared" si="145"/>
        <v>#DIV/0!</v>
      </c>
      <c r="K11114" s="398"/>
      <c r="L11114" s="398"/>
      <c r="M11114" s="682"/>
    </row>
    <row r="11115" spans="5:13" ht="13.5" thickBot="1" x14ac:dyDescent="0.25">
      <c r="E11115" s="464">
        <v>111</v>
      </c>
      <c r="F11115" s="494">
        <v>512</v>
      </c>
      <c r="G11115" s="497" t="s">
        <v>4195</v>
      </c>
      <c r="H11115" s="397">
        <v>508000</v>
      </c>
      <c r="I11115" s="397">
        <v>81509</v>
      </c>
      <c r="J11115" s="750">
        <f t="shared" si="145"/>
        <v>16.045078740157482</v>
      </c>
      <c r="K11115" s="398"/>
      <c r="L11115" s="398"/>
      <c r="M11115" s="682"/>
    </row>
    <row r="11116" spans="5:13" ht="13.5" hidden="1" thickBot="1" x14ac:dyDescent="0.25">
      <c r="F11116" s="494">
        <v>513</v>
      </c>
      <c r="G11116" s="497" t="s">
        <v>4196</v>
      </c>
      <c r="H11116" s="397"/>
      <c r="I11116" s="397"/>
      <c r="J11116" s="750" t="e">
        <f t="shared" si="145"/>
        <v>#DIV/0!</v>
      </c>
      <c r="K11116" s="398"/>
      <c r="L11116" s="398"/>
      <c r="M11116" s="682"/>
    </row>
    <row r="11117" spans="5:13" ht="13.5" hidden="1" thickBot="1" x14ac:dyDescent="0.25">
      <c r="F11117" s="494">
        <v>514</v>
      </c>
      <c r="G11117" s="495" t="s">
        <v>4197</v>
      </c>
      <c r="H11117" s="397"/>
      <c r="I11117" s="397"/>
      <c r="J11117" s="750" t="e">
        <f t="shared" si="145"/>
        <v>#DIV/0!</v>
      </c>
      <c r="K11117" s="398"/>
      <c r="L11117" s="398"/>
      <c r="M11117" s="682"/>
    </row>
    <row r="11118" spans="5:13" ht="13.5" hidden="1" thickBot="1" x14ac:dyDescent="0.25">
      <c r="F11118" s="494">
        <v>515</v>
      </c>
      <c r="G11118" s="495" t="s">
        <v>3832</v>
      </c>
      <c r="H11118" s="397"/>
      <c r="I11118" s="397"/>
      <c r="J11118" s="750" t="e">
        <f t="shared" si="145"/>
        <v>#DIV/0!</v>
      </c>
      <c r="K11118" s="398"/>
      <c r="L11118" s="398"/>
      <c r="M11118" s="682"/>
    </row>
    <row r="11119" spans="5:13" ht="13.5" hidden="1" thickBot="1" x14ac:dyDescent="0.25">
      <c r="F11119" s="494">
        <v>521</v>
      </c>
      <c r="G11119" s="495" t="s">
        <v>4198</v>
      </c>
      <c r="H11119" s="397"/>
      <c r="I11119" s="397"/>
      <c r="J11119" s="750" t="e">
        <f t="shared" si="145"/>
        <v>#DIV/0!</v>
      </c>
      <c r="K11119" s="398"/>
      <c r="L11119" s="398"/>
      <c r="M11119" s="682"/>
    </row>
    <row r="11120" spans="5:13" ht="13.5" hidden="1" thickBot="1" x14ac:dyDescent="0.25">
      <c r="F11120" s="494">
        <v>522</v>
      </c>
      <c r="G11120" s="495" t="s">
        <v>4199</v>
      </c>
      <c r="H11120" s="397"/>
      <c r="I11120" s="397"/>
      <c r="J11120" s="750" t="e">
        <f t="shared" si="145"/>
        <v>#DIV/0!</v>
      </c>
      <c r="K11120" s="398"/>
      <c r="L11120" s="398"/>
      <c r="M11120" s="682"/>
    </row>
    <row r="11121" spans="5:13" ht="13.5" hidden="1" thickBot="1" x14ac:dyDescent="0.25">
      <c r="F11121" s="494">
        <v>523</v>
      </c>
      <c r="G11121" s="495" t="s">
        <v>3837</v>
      </c>
      <c r="H11121" s="397"/>
      <c r="I11121" s="397"/>
      <c r="J11121" s="750" t="e">
        <f t="shared" si="145"/>
        <v>#DIV/0!</v>
      </c>
      <c r="K11121" s="398"/>
      <c r="L11121" s="398"/>
      <c r="M11121" s="682"/>
    </row>
    <row r="11122" spans="5:13" ht="13.5" hidden="1" thickBot="1" x14ac:dyDescent="0.25">
      <c r="F11122" s="494">
        <v>531</v>
      </c>
      <c r="G11122" s="496" t="s">
        <v>4175</v>
      </c>
      <c r="H11122" s="397"/>
      <c r="I11122" s="397"/>
      <c r="J11122" s="750" t="e">
        <f t="shared" si="145"/>
        <v>#DIV/0!</v>
      </c>
      <c r="K11122" s="398"/>
      <c r="L11122" s="398"/>
      <c r="M11122" s="682"/>
    </row>
    <row r="11123" spans="5:13" ht="13.5" hidden="1" thickBot="1" x14ac:dyDescent="0.25">
      <c r="F11123" s="494">
        <v>541</v>
      </c>
      <c r="G11123" s="495" t="s">
        <v>4200</v>
      </c>
      <c r="H11123" s="397"/>
      <c r="I11123" s="397"/>
      <c r="J11123" s="750" t="e">
        <f t="shared" si="145"/>
        <v>#DIV/0!</v>
      </c>
      <c r="K11123" s="398"/>
      <c r="L11123" s="398"/>
      <c r="M11123" s="682"/>
    </row>
    <row r="11124" spans="5:13" ht="13.5" hidden="1" thickBot="1" x14ac:dyDescent="0.25">
      <c r="F11124" s="494">
        <v>542</v>
      </c>
      <c r="G11124" s="495" t="s">
        <v>4201</v>
      </c>
      <c r="H11124" s="397"/>
      <c r="I11124" s="397"/>
      <c r="J11124" s="750" t="e">
        <f t="shared" si="145"/>
        <v>#DIV/0!</v>
      </c>
      <c r="K11124" s="398"/>
      <c r="L11124" s="398"/>
      <c r="M11124" s="682"/>
    </row>
    <row r="11125" spans="5:13" ht="13.5" hidden="1" thickBot="1" x14ac:dyDescent="0.25">
      <c r="F11125" s="494">
        <v>543</v>
      </c>
      <c r="G11125" s="495" t="s">
        <v>3842</v>
      </c>
      <c r="H11125" s="397"/>
      <c r="I11125" s="397"/>
      <c r="J11125" s="750" t="e">
        <f t="shared" si="145"/>
        <v>#DIV/0!</v>
      </c>
      <c r="K11125" s="398"/>
      <c r="L11125" s="398"/>
      <c r="M11125" s="682"/>
    </row>
    <row r="11126" spans="5:13" ht="39" hidden="1" thickBot="1" x14ac:dyDescent="0.25">
      <c r="F11126" s="494">
        <v>551</v>
      </c>
      <c r="G11126" s="495" t="s">
        <v>4176</v>
      </c>
      <c r="H11126" s="397"/>
      <c r="I11126" s="397"/>
      <c r="J11126" s="750" t="e">
        <f t="shared" si="145"/>
        <v>#DIV/0!</v>
      </c>
      <c r="K11126" s="398"/>
      <c r="L11126" s="398"/>
      <c r="M11126" s="682"/>
    </row>
    <row r="11127" spans="5:13" ht="13.5" hidden="1" thickBot="1" x14ac:dyDescent="0.25">
      <c r="F11127" s="498">
        <v>611</v>
      </c>
      <c r="G11127" s="499" t="s">
        <v>3848</v>
      </c>
      <c r="H11127" s="397"/>
      <c r="I11127" s="397"/>
      <c r="J11127" s="750" t="e">
        <f t="shared" si="145"/>
        <v>#DIV/0!</v>
      </c>
      <c r="K11127" s="398"/>
      <c r="L11127" s="398"/>
      <c r="M11127" s="682"/>
    </row>
    <row r="11128" spans="5:13" ht="13.5" hidden="1" thickBot="1" x14ac:dyDescent="0.25">
      <c r="F11128" s="498">
        <v>620</v>
      </c>
      <c r="G11128" s="499" t="s">
        <v>88</v>
      </c>
      <c r="H11128" s="397"/>
      <c r="I11128" s="397"/>
      <c r="J11128" s="750" t="e">
        <f t="shared" si="145"/>
        <v>#DIV/0!</v>
      </c>
      <c r="K11128" s="398"/>
      <c r="L11128" s="398"/>
      <c r="M11128" s="682"/>
    </row>
    <row r="11129" spans="5:13" x14ac:dyDescent="0.2">
      <c r="E11129" s="500"/>
      <c r="F11129" s="498"/>
      <c r="G11129" s="501" t="s">
        <v>4344</v>
      </c>
      <c r="H11129" s="400"/>
      <c r="I11129" s="400"/>
      <c r="J11129" s="750"/>
      <c r="K11129" s="401"/>
      <c r="L11129" s="402"/>
      <c r="M11129" s="682"/>
    </row>
    <row r="11130" spans="5:13" x14ac:dyDescent="0.2">
      <c r="E11130" s="502"/>
      <c r="F11130" s="503" t="s">
        <v>234</v>
      </c>
      <c r="G11130" s="504" t="s">
        <v>235</v>
      </c>
      <c r="H11130" s="403">
        <f>SUM(H11069:H11128)</f>
        <v>83408129</v>
      </c>
      <c r="I11130" s="403">
        <f>SUM(I11069:I11115)</f>
        <v>73422988.529999986</v>
      </c>
      <c r="J11130" s="750">
        <f t="shared" si="145"/>
        <v>88.028576363342211</v>
      </c>
      <c r="K11130" s="404"/>
      <c r="L11130" s="404"/>
      <c r="M11130" s="682"/>
    </row>
    <row r="11131" spans="5:13" hidden="1" x14ac:dyDescent="0.2">
      <c r="F11131" s="503" t="s">
        <v>236</v>
      </c>
      <c r="G11131" s="504" t="s">
        <v>237</v>
      </c>
      <c r="H11131" s="397"/>
      <c r="I11131" s="397"/>
      <c r="J11131" s="750" t="e">
        <f t="shared" si="145"/>
        <v>#DIV/0!</v>
      </c>
      <c r="K11131" s="398"/>
      <c r="L11131" s="404"/>
      <c r="M11131" s="682"/>
    </row>
    <row r="11132" spans="5:13" hidden="1" x14ac:dyDescent="0.2">
      <c r="F11132" s="503" t="s">
        <v>238</v>
      </c>
      <c r="G11132" s="504" t="s">
        <v>239</v>
      </c>
      <c r="H11132" s="397"/>
      <c r="I11132" s="397"/>
      <c r="J11132" s="750" t="e">
        <f t="shared" si="145"/>
        <v>#DIV/0!</v>
      </c>
      <c r="K11132" s="398"/>
      <c r="L11132" s="404"/>
      <c r="M11132" s="682"/>
    </row>
    <row r="11133" spans="5:13" hidden="1" x14ac:dyDescent="0.2">
      <c r="F11133" s="503" t="s">
        <v>240</v>
      </c>
      <c r="G11133" s="504" t="s">
        <v>241</v>
      </c>
      <c r="H11133" s="397"/>
      <c r="I11133" s="397"/>
      <c r="J11133" s="750" t="e">
        <f t="shared" si="145"/>
        <v>#DIV/0!</v>
      </c>
      <c r="K11133" s="398"/>
      <c r="L11133" s="404"/>
      <c r="M11133" s="682"/>
    </row>
    <row r="11134" spans="5:13" hidden="1" x14ac:dyDescent="0.2">
      <c r="F11134" s="503" t="s">
        <v>242</v>
      </c>
      <c r="G11134" s="504" t="s">
        <v>243</v>
      </c>
      <c r="H11134" s="397"/>
      <c r="I11134" s="397"/>
      <c r="J11134" s="750" t="e">
        <f t="shared" si="145"/>
        <v>#DIV/0!</v>
      </c>
      <c r="K11134" s="398"/>
      <c r="L11134" s="404"/>
      <c r="M11134" s="682"/>
    </row>
    <row r="11135" spans="5:13" hidden="1" x14ac:dyDescent="0.2">
      <c r="F11135" s="503" t="s">
        <v>244</v>
      </c>
      <c r="G11135" s="504" t="s">
        <v>245</v>
      </c>
      <c r="H11135" s="397"/>
      <c r="I11135" s="397"/>
      <c r="J11135" s="750" t="e">
        <f t="shared" si="145"/>
        <v>#DIV/0!</v>
      </c>
      <c r="K11135" s="398"/>
      <c r="L11135" s="404"/>
      <c r="M11135" s="682"/>
    </row>
    <row r="11136" spans="5:13" hidden="1" x14ac:dyDescent="0.2">
      <c r="F11136" s="503" t="s">
        <v>246</v>
      </c>
      <c r="G11136" s="504" t="s">
        <v>247</v>
      </c>
      <c r="H11136" s="397"/>
      <c r="I11136" s="397"/>
      <c r="J11136" s="750" t="e">
        <f t="shared" si="145"/>
        <v>#DIV/0!</v>
      </c>
      <c r="K11136" s="398"/>
      <c r="L11136" s="404"/>
      <c r="M11136" s="682"/>
    </row>
    <row r="11137" spans="5:13" ht="25.5" hidden="1" x14ac:dyDescent="0.2">
      <c r="F11137" s="503" t="s">
        <v>248</v>
      </c>
      <c r="G11137" s="504" t="s">
        <v>249</v>
      </c>
      <c r="H11137" s="397"/>
      <c r="I11137" s="397"/>
      <c r="J11137" s="750" t="e">
        <f t="shared" si="145"/>
        <v>#DIV/0!</v>
      </c>
      <c r="K11137" s="398"/>
      <c r="L11137" s="404"/>
      <c r="M11137" s="682"/>
    </row>
    <row r="11138" spans="5:13" hidden="1" x14ac:dyDescent="0.2">
      <c r="F11138" s="503" t="s">
        <v>250</v>
      </c>
      <c r="G11138" s="504" t="s">
        <v>57</v>
      </c>
      <c r="H11138" s="397"/>
      <c r="I11138" s="397"/>
      <c r="J11138" s="750" t="e">
        <f t="shared" si="145"/>
        <v>#DIV/0!</v>
      </c>
      <c r="K11138" s="398"/>
      <c r="L11138" s="404"/>
      <c r="M11138" s="682"/>
    </row>
    <row r="11139" spans="5:13" hidden="1" x14ac:dyDescent="0.2">
      <c r="F11139" s="503" t="s">
        <v>251</v>
      </c>
      <c r="G11139" s="504" t="s">
        <v>252</v>
      </c>
      <c r="H11139" s="397"/>
      <c r="I11139" s="397"/>
      <c r="J11139" s="750" t="e">
        <f t="shared" si="145"/>
        <v>#DIV/0!</v>
      </c>
      <c r="K11139" s="398"/>
      <c r="L11139" s="404"/>
      <c r="M11139" s="682"/>
    </row>
    <row r="11140" spans="5:13" hidden="1" x14ac:dyDescent="0.2">
      <c r="F11140" s="503" t="s">
        <v>253</v>
      </c>
      <c r="G11140" s="504" t="s">
        <v>254</v>
      </c>
      <c r="H11140" s="397"/>
      <c r="I11140" s="397"/>
      <c r="J11140" s="750" t="e">
        <f t="shared" si="145"/>
        <v>#DIV/0!</v>
      </c>
      <c r="K11140" s="398"/>
      <c r="L11140" s="404"/>
      <c r="M11140" s="682"/>
    </row>
    <row r="11141" spans="5:13" ht="25.5" hidden="1" x14ac:dyDescent="0.2">
      <c r="F11141" s="503" t="s">
        <v>255</v>
      </c>
      <c r="G11141" s="504" t="s">
        <v>256</v>
      </c>
      <c r="H11141" s="397"/>
      <c r="I11141" s="397"/>
      <c r="J11141" s="750" t="e">
        <f t="shared" si="145"/>
        <v>#DIV/0!</v>
      </c>
      <c r="K11141" s="398"/>
      <c r="L11141" s="404"/>
      <c r="M11141" s="682"/>
    </row>
    <row r="11142" spans="5:13" ht="25.5" hidden="1" x14ac:dyDescent="0.2">
      <c r="F11142" s="503" t="s">
        <v>257</v>
      </c>
      <c r="G11142" s="504" t="s">
        <v>258</v>
      </c>
      <c r="H11142" s="397"/>
      <c r="I11142" s="397"/>
      <c r="J11142" s="750" t="e">
        <f t="shared" si="145"/>
        <v>#DIV/0!</v>
      </c>
      <c r="K11142" s="398"/>
      <c r="L11142" s="404"/>
      <c r="M11142" s="682"/>
    </row>
    <row r="11143" spans="5:13" ht="25.5" hidden="1" x14ac:dyDescent="0.2">
      <c r="F11143" s="503" t="s">
        <v>259</v>
      </c>
      <c r="G11143" s="504" t="s">
        <v>260</v>
      </c>
      <c r="H11143" s="397"/>
      <c r="I11143" s="397"/>
      <c r="J11143" s="750" t="e">
        <f t="shared" si="145"/>
        <v>#DIV/0!</v>
      </c>
      <c r="K11143" s="398"/>
      <c r="L11143" s="404"/>
      <c r="M11143" s="682"/>
    </row>
    <row r="11144" spans="5:13" ht="25.5" hidden="1" x14ac:dyDescent="0.2">
      <c r="F11144" s="503" t="s">
        <v>261</v>
      </c>
      <c r="G11144" s="504" t="s">
        <v>262</v>
      </c>
      <c r="H11144" s="397"/>
      <c r="I11144" s="397"/>
      <c r="J11144" s="750" t="e">
        <f t="shared" si="145"/>
        <v>#DIV/0!</v>
      </c>
      <c r="K11144" s="398"/>
      <c r="L11144" s="404"/>
      <c r="M11144" s="682"/>
    </row>
    <row r="11145" spans="5:13" ht="15.75" customHeight="1" thickBot="1" x14ac:dyDescent="0.25">
      <c r="F11145" s="549" t="s">
        <v>246</v>
      </c>
      <c r="G11145" s="504" t="s">
        <v>5395</v>
      </c>
      <c r="H11145" s="403"/>
      <c r="I11145" s="403"/>
      <c r="J11145" s="750"/>
      <c r="K11145" s="404"/>
      <c r="L11145" s="404">
        <f>SUM(L11069:L11115)</f>
        <v>1559983.0699999998</v>
      </c>
      <c r="M11145" s="682"/>
    </row>
    <row r="11146" spans="5:13" ht="13.5" thickBot="1" x14ac:dyDescent="0.25">
      <c r="G11146" s="505" t="s">
        <v>4345</v>
      </c>
      <c r="H11146" s="405">
        <f>SUM(H11130:H11145)</f>
        <v>83408129</v>
      </c>
      <c r="I11146" s="405">
        <f>SUM(I11130)</f>
        <v>73422988.529999986</v>
      </c>
      <c r="J11146" s="750">
        <f t="shared" si="145"/>
        <v>88.028576363342211</v>
      </c>
      <c r="K11146" s="406">
        <f>SUM(K11131:K11145)</f>
        <v>0</v>
      </c>
      <c r="L11146" s="406">
        <f>SUM(L11145)</f>
        <v>1559983.0699999998</v>
      </c>
      <c r="M11146" s="682"/>
    </row>
    <row r="11147" spans="5:13" ht="30.75" customHeight="1" collapsed="1" x14ac:dyDescent="0.2">
      <c r="E11147" s="500"/>
      <c r="F11147" s="498"/>
      <c r="G11147" s="506" t="s">
        <v>5049</v>
      </c>
      <c r="H11147" s="407"/>
      <c r="I11147" s="408"/>
      <c r="J11147" s="750"/>
      <c r="K11147" s="409"/>
      <c r="L11147" s="410"/>
      <c r="M11147" s="682"/>
    </row>
    <row r="11148" spans="5:13" x14ac:dyDescent="0.2">
      <c r="E11148" s="502"/>
      <c r="F11148" s="503" t="s">
        <v>234</v>
      </c>
      <c r="G11148" s="504" t="s">
        <v>235</v>
      </c>
      <c r="H11148" s="403">
        <f>SUM(H11069:H11128)</f>
        <v>83408129</v>
      </c>
      <c r="I11148" s="403">
        <f>SUM(I11146)</f>
        <v>73422988.529999986</v>
      </c>
      <c r="J11148" s="750">
        <f t="shared" si="145"/>
        <v>88.028576363342211</v>
      </c>
      <c r="K11148" s="404"/>
      <c r="L11148" s="404"/>
      <c r="M11148" s="682"/>
    </row>
    <row r="11149" spans="5:13" hidden="1" x14ac:dyDescent="0.2">
      <c r="F11149" s="503" t="s">
        <v>236</v>
      </c>
      <c r="G11149" s="504" t="s">
        <v>237</v>
      </c>
      <c r="H11149" s="397"/>
      <c r="I11149" s="397"/>
      <c r="J11149" s="750" t="e">
        <f t="shared" si="145"/>
        <v>#DIV/0!</v>
      </c>
      <c r="K11149" s="398"/>
      <c r="L11149" s="404"/>
      <c r="M11149" s="682"/>
    </row>
    <row r="11150" spans="5:13" hidden="1" x14ac:dyDescent="0.2">
      <c r="F11150" s="503" t="s">
        <v>238</v>
      </c>
      <c r="G11150" s="504" t="s">
        <v>239</v>
      </c>
      <c r="H11150" s="397"/>
      <c r="I11150" s="397"/>
      <c r="J11150" s="750" t="e">
        <f t="shared" ref="J11150:J11213" si="146">SUM(I11150/H11150)*100</f>
        <v>#DIV/0!</v>
      </c>
      <c r="K11150" s="398"/>
      <c r="L11150" s="404"/>
      <c r="M11150" s="682"/>
    </row>
    <row r="11151" spans="5:13" hidden="1" x14ac:dyDescent="0.2">
      <c r="F11151" s="503" t="s">
        <v>240</v>
      </c>
      <c r="G11151" s="504" t="s">
        <v>241</v>
      </c>
      <c r="H11151" s="397"/>
      <c r="I11151" s="397"/>
      <c r="J11151" s="750" t="e">
        <f t="shared" si="146"/>
        <v>#DIV/0!</v>
      </c>
      <c r="K11151" s="398"/>
      <c r="L11151" s="404"/>
      <c r="M11151" s="682"/>
    </row>
    <row r="11152" spans="5:13" hidden="1" x14ac:dyDescent="0.2">
      <c r="F11152" s="503" t="s">
        <v>242</v>
      </c>
      <c r="G11152" s="504" t="s">
        <v>243</v>
      </c>
      <c r="H11152" s="397"/>
      <c r="I11152" s="397"/>
      <c r="J11152" s="750" t="e">
        <f t="shared" si="146"/>
        <v>#DIV/0!</v>
      </c>
      <c r="K11152" s="398"/>
      <c r="L11152" s="404"/>
      <c r="M11152" s="682"/>
    </row>
    <row r="11153" spans="3:13" hidden="1" x14ac:dyDescent="0.2">
      <c r="F11153" s="503" t="s">
        <v>244</v>
      </c>
      <c r="G11153" s="504" t="s">
        <v>245</v>
      </c>
      <c r="H11153" s="397"/>
      <c r="I11153" s="397"/>
      <c r="J11153" s="750" t="e">
        <f t="shared" si="146"/>
        <v>#DIV/0!</v>
      </c>
      <c r="K11153" s="398"/>
      <c r="L11153" s="404"/>
      <c r="M11153" s="682"/>
    </row>
    <row r="11154" spans="3:13" hidden="1" x14ac:dyDescent="0.2">
      <c r="F11154" s="503" t="s">
        <v>246</v>
      </c>
      <c r="G11154" s="504" t="s">
        <v>247</v>
      </c>
      <c r="H11154" s="397"/>
      <c r="I11154" s="397"/>
      <c r="J11154" s="750" t="e">
        <f t="shared" si="146"/>
        <v>#DIV/0!</v>
      </c>
      <c r="K11154" s="398"/>
      <c r="L11154" s="404"/>
      <c r="M11154" s="682"/>
    </row>
    <row r="11155" spans="3:13" ht="25.5" hidden="1" x14ac:dyDescent="0.2">
      <c r="F11155" s="503" t="s">
        <v>248</v>
      </c>
      <c r="G11155" s="504" t="s">
        <v>249</v>
      </c>
      <c r="H11155" s="397"/>
      <c r="I11155" s="397"/>
      <c r="J11155" s="750" t="e">
        <f t="shared" si="146"/>
        <v>#DIV/0!</v>
      </c>
      <c r="K11155" s="398"/>
      <c r="L11155" s="404"/>
      <c r="M11155" s="682"/>
    </row>
    <row r="11156" spans="3:13" hidden="1" x14ac:dyDescent="0.2">
      <c r="F11156" s="503" t="s">
        <v>250</v>
      </c>
      <c r="G11156" s="504" t="s">
        <v>57</v>
      </c>
      <c r="H11156" s="397"/>
      <c r="I11156" s="397"/>
      <c r="J11156" s="750" t="e">
        <f t="shared" si="146"/>
        <v>#DIV/0!</v>
      </c>
      <c r="K11156" s="398"/>
      <c r="L11156" s="404"/>
      <c r="M11156" s="682"/>
    </row>
    <row r="11157" spans="3:13" hidden="1" x14ac:dyDescent="0.2">
      <c r="F11157" s="503" t="s">
        <v>251</v>
      </c>
      <c r="G11157" s="504" t="s">
        <v>252</v>
      </c>
      <c r="H11157" s="397"/>
      <c r="I11157" s="397"/>
      <c r="J11157" s="750" t="e">
        <f t="shared" si="146"/>
        <v>#DIV/0!</v>
      </c>
      <c r="K11157" s="398"/>
      <c r="L11157" s="404"/>
      <c r="M11157" s="682"/>
    </row>
    <row r="11158" spans="3:13" hidden="1" x14ac:dyDescent="0.2">
      <c r="F11158" s="503" t="s">
        <v>253</v>
      </c>
      <c r="G11158" s="504" t="s">
        <v>254</v>
      </c>
      <c r="H11158" s="397"/>
      <c r="I11158" s="397"/>
      <c r="J11158" s="750" t="e">
        <f t="shared" si="146"/>
        <v>#DIV/0!</v>
      </c>
      <c r="K11158" s="398"/>
      <c r="L11158" s="404"/>
      <c r="M11158" s="682"/>
    </row>
    <row r="11159" spans="3:13" ht="25.5" hidden="1" x14ac:dyDescent="0.2">
      <c r="F11159" s="503" t="s">
        <v>255</v>
      </c>
      <c r="G11159" s="504" t="s">
        <v>256</v>
      </c>
      <c r="H11159" s="397"/>
      <c r="I11159" s="397"/>
      <c r="J11159" s="750" t="e">
        <f t="shared" si="146"/>
        <v>#DIV/0!</v>
      </c>
      <c r="K11159" s="398"/>
      <c r="L11159" s="404"/>
      <c r="M11159" s="682"/>
    </row>
    <row r="11160" spans="3:13" ht="25.5" hidden="1" x14ac:dyDescent="0.2">
      <c r="F11160" s="503" t="s">
        <v>257</v>
      </c>
      <c r="G11160" s="504" t="s">
        <v>258</v>
      </c>
      <c r="H11160" s="397"/>
      <c r="I11160" s="397"/>
      <c r="J11160" s="750" t="e">
        <f t="shared" si="146"/>
        <v>#DIV/0!</v>
      </c>
      <c r="K11160" s="398"/>
      <c r="L11160" s="404"/>
      <c r="M11160" s="682"/>
    </row>
    <row r="11161" spans="3:13" ht="25.5" hidden="1" x14ac:dyDescent="0.2">
      <c r="F11161" s="503" t="s">
        <v>259</v>
      </c>
      <c r="G11161" s="504" t="s">
        <v>260</v>
      </c>
      <c r="H11161" s="397"/>
      <c r="I11161" s="397"/>
      <c r="J11161" s="750" t="e">
        <f t="shared" si="146"/>
        <v>#DIV/0!</v>
      </c>
      <c r="K11161" s="398"/>
      <c r="L11161" s="404"/>
      <c r="M11161" s="682"/>
    </row>
    <row r="11162" spans="3:13" ht="25.5" hidden="1" x14ac:dyDescent="0.2">
      <c r="F11162" s="503" t="s">
        <v>261</v>
      </c>
      <c r="G11162" s="504" t="s">
        <v>262</v>
      </c>
      <c r="H11162" s="397"/>
      <c r="I11162" s="397"/>
      <c r="J11162" s="750" t="e">
        <f t="shared" si="146"/>
        <v>#DIV/0!</v>
      </c>
      <c r="K11162" s="398"/>
      <c r="L11162" s="404"/>
      <c r="M11162" s="682"/>
    </row>
    <row r="11163" spans="3:13" ht="15" customHeight="1" thickBot="1" x14ac:dyDescent="0.25">
      <c r="F11163" s="549" t="s">
        <v>246</v>
      </c>
      <c r="G11163" s="504" t="s">
        <v>5395</v>
      </c>
      <c r="H11163" s="403"/>
      <c r="I11163" s="403"/>
      <c r="J11163" s="750"/>
      <c r="K11163" s="404"/>
      <c r="L11163" s="404">
        <f>SUM(L11146)</f>
        <v>1559983.0699999998</v>
      </c>
      <c r="M11163" s="682"/>
    </row>
    <row r="11164" spans="3:13" ht="13.5" collapsed="1" thickBot="1" x14ac:dyDescent="0.25">
      <c r="G11164" s="505" t="s">
        <v>5050</v>
      </c>
      <c r="H11164" s="405">
        <f>SUM(H11148:H11163)</f>
        <v>83408129</v>
      </c>
      <c r="I11164" s="405">
        <f>SUM(I11148)</f>
        <v>73422988.529999986</v>
      </c>
      <c r="J11164" s="750">
        <f t="shared" si="146"/>
        <v>88.028576363342211</v>
      </c>
      <c r="K11164" s="406">
        <f>SUM(K11149:K11163)</f>
        <v>0</v>
      </c>
      <c r="L11164" s="406">
        <f>SUM(L11163)</f>
        <v>1559983.0699999998</v>
      </c>
      <c r="M11164" s="682"/>
    </row>
    <row r="11165" spans="3:13" hidden="1" x14ac:dyDescent="0.2">
      <c r="H11165" s="397"/>
      <c r="I11165" s="397"/>
      <c r="J11165" s="750" t="e">
        <f t="shared" si="146"/>
        <v>#DIV/0!</v>
      </c>
      <c r="K11165" s="398"/>
      <c r="L11165" s="398"/>
      <c r="M11165" s="682"/>
    </row>
    <row r="11166" spans="3:13" hidden="1" x14ac:dyDescent="0.2">
      <c r="C11166" s="489" t="s">
        <v>4633</v>
      </c>
      <c r="D11166" s="490"/>
      <c r="G11166" s="508" t="s">
        <v>5083</v>
      </c>
      <c r="H11166" s="397"/>
      <c r="I11166" s="397"/>
      <c r="J11166" s="750" t="e">
        <f t="shared" si="146"/>
        <v>#DIV/0!</v>
      </c>
      <c r="K11166" s="398"/>
      <c r="L11166" s="398"/>
      <c r="M11166" s="682"/>
    </row>
    <row r="11167" spans="3:13" hidden="1" x14ac:dyDescent="0.2">
      <c r="C11167" s="489"/>
      <c r="D11167" s="492">
        <v>451</v>
      </c>
      <c r="E11167" s="492"/>
      <c r="F11167" s="492"/>
      <c r="G11167" s="493" t="s">
        <v>153</v>
      </c>
      <c r="H11167" s="397"/>
      <c r="I11167" s="397"/>
      <c r="J11167" s="750" t="e">
        <f t="shared" si="146"/>
        <v>#DIV/0!</v>
      </c>
      <c r="K11167" s="398"/>
      <c r="L11167" s="398"/>
      <c r="M11167" s="682"/>
    </row>
    <row r="11168" spans="3:13" hidden="1" x14ac:dyDescent="0.2">
      <c r="F11168" s="494">
        <v>411</v>
      </c>
      <c r="G11168" s="495" t="s">
        <v>4167</v>
      </c>
      <c r="H11168" s="397"/>
      <c r="I11168" s="397"/>
      <c r="J11168" s="750" t="e">
        <f t="shared" si="146"/>
        <v>#DIV/0!</v>
      </c>
      <c r="K11168" s="398"/>
      <c r="L11168" s="398"/>
      <c r="M11168" s="682"/>
    </row>
    <row r="11169" spans="6:13" hidden="1" x14ac:dyDescent="0.2">
      <c r="F11169" s="494">
        <v>412</v>
      </c>
      <c r="G11169" s="496" t="s">
        <v>3764</v>
      </c>
      <c r="H11169" s="397"/>
      <c r="I11169" s="397"/>
      <c r="J11169" s="750" t="e">
        <f t="shared" si="146"/>
        <v>#DIV/0!</v>
      </c>
      <c r="K11169" s="398"/>
      <c r="L11169" s="398"/>
      <c r="M11169" s="682"/>
    </row>
    <row r="11170" spans="6:13" hidden="1" x14ac:dyDescent="0.2">
      <c r="F11170" s="494">
        <v>413</v>
      </c>
      <c r="G11170" s="495" t="s">
        <v>4168</v>
      </c>
      <c r="H11170" s="397"/>
      <c r="I11170" s="397"/>
      <c r="J11170" s="750" t="e">
        <f t="shared" si="146"/>
        <v>#DIV/0!</v>
      </c>
      <c r="K11170" s="398"/>
      <c r="L11170" s="398"/>
      <c r="M11170" s="682"/>
    </row>
    <row r="11171" spans="6:13" hidden="1" x14ac:dyDescent="0.2">
      <c r="F11171" s="494">
        <v>414</v>
      </c>
      <c r="G11171" s="495" t="s">
        <v>3767</v>
      </c>
      <c r="H11171" s="397"/>
      <c r="I11171" s="397"/>
      <c r="J11171" s="750" t="e">
        <f t="shared" si="146"/>
        <v>#DIV/0!</v>
      </c>
      <c r="K11171" s="398"/>
      <c r="L11171" s="398"/>
      <c r="M11171" s="682"/>
    </row>
    <row r="11172" spans="6:13" hidden="1" x14ac:dyDescent="0.2">
      <c r="F11172" s="494">
        <v>415</v>
      </c>
      <c r="G11172" s="495" t="s">
        <v>4177</v>
      </c>
      <c r="H11172" s="397"/>
      <c r="I11172" s="397"/>
      <c r="J11172" s="750" t="e">
        <f t="shared" si="146"/>
        <v>#DIV/0!</v>
      </c>
      <c r="K11172" s="398"/>
      <c r="L11172" s="398"/>
      <c r="M11172" s="682"/>
    </row>
    <row r="11173" spans="6:13" ht="25.5" hidden="1" x14ac:dyDescent="0.2">
      <c r="F11173" s="494">
        <v>416</v>
      </c>
      <c r="G11173" s="495" t="s">
        <v>4178</v>
      </c>
      <c r="H11173" s="397"/>
      <c r="I11173" s="397"/>
      <c r="J11173" s="750" t="e">
        <f t="shared" si="146"/>
        <v>#DIV/0!</v>
      </c>
      <c r="K11173" s="398"/>
      <c r="L11173" s="398"/>
      <c r="M11173" s="682"/>
    </row>
    <row r="11174" spans="6:13" hidden="1" x14ac:dyDescent="0.2">
      <c r="F11174" s="494">
        <v>417</v>
      </c>
      <c r="G11174" s="495" t="s">
        <v>4179</v>
      </c>
      <c r="H11174" s="397"/>
      <c r="I11174" s="397"/>
      <c r="J11174" s="750" t="e">
        <f t="shared" si="146"/>
        <v>#DIV/0!</v>
      </c>
      <c r="K11174" s="398"/>
      <c r="L11174" s="398"/>
      <c r="M11174" s="682"/>
    </row>
    <row r="11175" spans="6:13" hidden="1" x14ac:dyDescent="0.2">
      <c r="F11175" s="494">
        <v>418</v>
      </c>
      <c r="G11175" s="495" t="s">
        <v>3773</v>
      </c>
      <c r="H11175" s="397"/>
      <c r="I11175" s="397"/>
      <c r="J11175" s="750" t="e">
        <f t="shared" si="146"/>
        <v>#DIV/0!</v>
      </c>
      <c r="K11175" s="398"/>
      <c r="L11175" s="398"/>
      <c r="M11175" s="682"/>
    </row>
    <row r="11176" spans="6:13" hidden="1" x14ac:dyDescent="0.2">
      <c r="F11176" s="494">
        <v>421</v>
      </c>
      <c r="G11176" s="495" t="s">
        <v>3777</v>
      </c>
      <c r="H11176" s="397"/>
      <c r="I11176" s="397"/>
      <c r="J11176" s="750" t="e">
        <f t="shared" si="146"/>
        <v>#DIV/0!</v>
      </c>
      <c r="K11176" s="398"/>
      <c r="L11176" s="398"/>
      <c r="M11176" s="682"/>
    </row>
    <row r="11177" spans="6:13" hidden="1" x14ac:dyDescent="0.2">
      <c r="F11177" s="494">
        <v>422</v>
      </c>
      <c r="G11177" s="495" t="s">
        <v>3778</v>
      </c>
      <c r="H11177" s="397"/>
      <c r="I11177" s="397"/>
      <c r="J11177" s="750" t="e">
        <f t="shared" si="146"/>
        <v>#DIV/0!</v>
      </c>
      <c r="K11177" s="398"/>
      <c r="L11177" s="398"/>
      <c r="M11177" s="682"/>
    </row>
    <row r="11178" spans="6:13" hidden="1" x14ac:dyDescent="0.2">
      <c r="F11178" s="494">
        <v>423</v>
      </c>
      <c r="G11178" s="495" t="s">
        <v>3779</v>
      </c>
      <c r="H11178" s="397"/>
      <c r="I11178" s="397"/>
      <c r="J11178" s="750" t="e">
        <f t="shared" si="146"/>
        <v>#DIV/0!</v>
      </c>
      <c r="K11178" s="398"/>
      <c r="L11178" s="398"/>
      <c r="M11178" s="682"/>
    </row>
    <row r="11179" spans="6:13" hidden="1" x14ac:dyDescent="0.2">
      <c r="F11179" s="494">
        <v>424</v>
      </c>
      <c r="G11179" s="495" t="s">
        <v>3781</v>
      </c>
      <c r="H11179" s="397"/>
      <c r="I11179" s="397"/>
      <c r="J11179" s="750" t="e">
        <f t="shared" si="146"/>
        <v>#DIV/0!</v>
      </c>
      <c r="K11179" s="398"/>
      <c r="L11179" s="398"/>
      <c r="M11179" s="682"/>
    </row>
    <row r="11180" spans="6:13" hidden="1" x14ac:dyDescent="0.2">
      <c r="F11180" s="494">
        <v>425</v>
      </c>
      <c r="G11180" s="495" t="s">
        <v>4180</v>
      </c>
      <c r="H11180" s="397"/>
      <c r="I11180" s="397"/>
      <c r="J11180" s="750" t="e">
        <f t="shared" si="146"/>
        <v>#DIV/0!</v>
      </c>
      <c r="K11180" s="398"/>
      <c r="L11180" s="398"/>
      <c r="M11180" s="682"/>
    </row>
    <row r="11181" spans="6:13" hidden="1" x14ac:dyDescent="0.2">
      <c r="F11181" s="494">
        <v>426</v>
      </c>
      <c r="G11181" s="495" t="s">
        <v>3785</v>
      </c>
      <c r="H11181" s="397"/>
      <c r="I11181" s="397"/>
      <c r="J11181" s="750" t="e">
        <f t="shared" si="146"/>
        <v>#DIV/0!</v>
      </c>
      <c r="K11181" s="398"/>
      <c r="L11181" s="398"/>
      <c r="M11181" s="682"/>
    </row>
    <row r="11182" spans="6:13" hidden="1" x14ac:dyDescent="0.2">
      <c r="F11182" s="494">
        <v>431</v>
      </c>
      <c r="G11182" s="495" t="s">
        <v>4181</v>
      </c>
      <c r="H11182" s="397"/>
      <c r="I11182" s="397"/>
      <c r="J11182" s="750" t="e">
        <f t="shared" si="146"/>
        <v>#DIV/0!</v>
      </c>
      <c r="K11182" s="398"/>
      <c r="L11182" s="398"/>
      <c r="M11182" s="682"/>
    </row>
    <row r="11183" spans="6:13" hidden="1" x14ac:dyDescent="0.2">
      <c r="F11183" s="494">
        <v>432</v>
      </c>
      <c r="G11183" s="495" t="s">
        <v>4182</v>
      </c>
      <c r="H11183" s="397"/>
      <c r="I11183" s="397"/>
      <c r="J11183" s="750" t="e">
        <f t="shared" si="146"/>
        <v>#DIV/0!</v>
      </c>
      <c r="K11183" s="398"/>
      <c r="L11183" s="398"/>
      <c r="M11183" s="682"/>
    </row>
    <row r="11184" spans="6:13" hidden="1" x14ac:dyDescent="0.2">
      <c r="F11184" s="494">
        <v>433</v>
      </c>
      <c r="G11184" s="495" t="s">
        <v>4183</v>
      </c>
      <c r="H11184" s="397"/>
      <c r="I11184" s="397"/>
      <c r="J11184" s="750" t="e">
        <f t="shared" si="146"/>
        <v>#DIV/0!</v>
      </c>
      <c r="K11184" s="398"/>
      <c r="L11184" s="398"/>
      <c r="M11184" s="682"/>
    </row>
    <row r="11185" spans="6:13" hidden="1" x14ac:dyDescent="0.2">
      <c r="F11185" s="494">
        <v>434</v>
      </c>
      <c r="G11185" s="495" t="s">
        <v>4184</v>
      </c>
      <c r="H11185" s="397"/>
      <c r="I11185" s="397"/>
      <c r="J11185" s="750" t="e">
        <f t="shared" si="146"/>
        <v>#DIV/0!</v>
      </c>
      <c r="K11185" s="398"/>
      <c r="L11185" s="398"/>
      <c r="M11185" s="682"/>
    </row>
    <row r="11186" spans="6:13" hidden="1" x14ac:dyDescent="0.2">
      <c r="F11186" s="494">
        <v>435</v>
      </c>
      <c r="G11186" s="495" t="s">
        <v>3792</v>
      </c>
      <c r="H11186" s="397"/>
      <c r="I11186" s="397"/>
      <c r="J11186" s="750" t="e">
        <f t="shared" si="146"/>
        <v>#DIV/0!</v>
      </c>
      <c r="K11186" s="398"/>
      <c r="L11186" s="398"/>
      <c r="M11186" s="682"/>
    </row>
    <row r="11187" spans="6:13" hidden="1" x14ac:dyDescent="0.2">
      <c r="F11187" s="494">
        <v>441</v>
      </c>
      <c r="G11187" s="495" t="s">
        <v>4185</v>
      </c>
      <c r="H11187" s="397"/>
      <c r="I11187" s="397"/>
      <c r="J11187" s="750" t="e">
        <f t="shared" si="146"/>
        <v>#DIV/0!</v>
      </c>
      <c r="K11187" s="398"/>
      <c r="L11187" s="398"/>
      <c r="M11187" s="682"/>
    </row>
    <row r="11188" spans="6:13" hidden="1" x14ac:dyDescent="0.2">
      <c r="F11188" s="494">
        <v>442</v>
      </c>
      <c r="G11188" s="495" t="s">
        <v>4186</v>
      </c>
      <c r="H11188" s="397"/>
      <c r="I11188" s="397"/>
      <c r="J11188" s="750" t="e">
        <f t="shared" si="146"/>
        <v>#DIV/0!</v>
      </c>
      <c r="K11188" s="398"/>
      <c r="L11188" s="398"/>
      <c r="M11188" s="682"/>
    </row>
    <row r="11189" spans="6:13" hidden="1" x14ac:dyDescent="0.2">
      <c r="F11189" s="494">
        <v>443</v>
      </c>
      <c r="G11189" s="495" t="s">
        <v>3797</v>
      </c>
      <c r="H11189" s="397"/>
      <c r="I11189" s="397"/>
      <c r="J11189" s="750" t="e">
        <f t="shared" si="146"/>
        <v>#DIV/0!</v>
      </c>
      <c r="K11189" s="398"/>
      <c r="L11189" s="398"/>
      <c r="M11189" s="682"/>
    </row>
    <row r="11190" spans="6:13" hidden="1" x14ac:dyDescent="0.2">
      <c r="F11190" s="494">
        <v>444</v>
      </c>
      <c r="G11190" s="495" t="s">
        <v>3798</v>
      </c>
      <c r="H11190" s="397"/>
      <c r="I11190" s="397"/>
      <c r="J11190" s="750" t="e">
        <f t="shared" si="146"/>
        <v>#DIV/0!</v>
      </c>
      <c r="K11190" s="398"/>
      <c r="L11190" s="398"/>
      <c r="M11190" s="682"/>
    </row>
    <row r="11191" spans="6:13" ht="25.5" hidden="1" x14ac:dyDescent="0.2">
      <c r="F11191" s="494">
        <v>4511</v>
      </c>
      <c r="G11191" s="466" t="s">
        <v>1692</v>
      </c>
      <c r="H11191" s="397"/>
      <c r="I11191" s="397"/>
      <c r="J11191" s="750" t="e">
        <f t="shared" si="146"/>
        <v>#DIV/0!</v>
      </c>
      <c r="K11191" s="398"/>
      <c r="L11191" s="398"/>
      <c r="M11191" s="682"/>
    </row>
    <row r="11192" spans="6:13" ht="25.5" hidden="1" x14ac:dyDescent="0.2">
      <c r="F11192" s="494">
        <v>4512</v>
      </c>
      <c r="G11192" s="466" t="s">
        <v>1701</v>
      </c>
      <c r="H11192" s="397"/>
      <c r="I11192" s="397"/>
      <c r="J11192" s="750" t="e">
        <f t="shared" si="146"/>
        <v>#DIV/0!</v>
      </c>
      <c r="K11192" s="398"/>
      <c r="L11192" s="398"/>
      <c r="M11192" s="682"/>
    </row>
    <row r="11193" spans="6:13" ht="25.5" hidden="1" x14ac:dyDescent="0.2">
      <c r="F11193" s="494">
        <v>452</v>
      </c>
      <c r="G11193" s="495" t="s">
        <v>4187</v>
      </c>
      <c r="H11193" s="397"/>
      <c r="I11193" s="397"/>
      <c r="J11193" s="750" t="e">
        <f t="shared" si="146"/>
        <v>#DIV/0!</v>
      </c>
      <c r="K11193" s="398"/>
      <c r="L11193" s="398"/>
      <c r="M11193" s="682"/>
    </row>
    <row r="11194" spans="6:13" ht="25.5" hidden="1" x14ac:dyDescent="0.2">
      <c r="F11194" s="494">
        <v>453</v>
      </c>
      <c r="G11194" s="495" t="s">
        <v>4188</v>
      </c>
      <c r="H11194" s="397"/>
      <c r="I11194" s="397"/>
      <c r="J11194" s="750" t="e">
        <f t="shared" si="146"/>
        <v>#DIV/0!</v>
      </c>
      <c r="K11194" s="398"/>
      <c r="L11194" s="398"/>
      <c r="M11194" s="682"/>
    </row>
    <row r="11195" spans="6:13" hidden="1" x14ac:dyDescent="0.2">
      <c r="F11195" s="494">
        <v>454</v>
      </c>
      <c r="G11195" s="495" t="s">
        <v>3803</v>
      </c>
      <c r="H11195" s="397"/>
      <c r="I11195" s="397"/>
      <c r="J11195" s="750" t="e">
        <f t="shared" si="146"/>
        <v>#DIV/0!</v>
      </c>
      <c r="K11195" s="398"/>
      <c r="L11195" s="398"/>
      <c r="M11195" s="682"/>
    </row>
    <row r="11196" spans="6:13" hidden="1" x14ac:dyDescent="0.2">
      <c r="F11196" s="494">
        <v>461</v>
      </c>
      <c r="G11196" s="495" t="s">
        <v>4169</v>
      </c>
      <c r="H11196" s="397"/>
      <c r="I11196" s="397"/>
      <c r="J11196" s="750" t="e">
        <f t="shared" si="146"/>
        <v>#DIV/0!</v>
      </c>
      <c r="K11196" s="398"/>
      <c r="L11196" s="398"/>
      <c r="M11196" s="682"/>
    </row>
    <row r="11197" spans="6:13" ht="25.5" hidden="1" x14ac:dyDescent="0.2">
      <c r="F11197" s="494">
        <v>462</v>
      </c>
      <c r="G11197" s="495" t="s">
        <v>3806</v>
      </c>
      <c r="H11197" s="397"/>
      <c r="I11197" s="397"/>
      <c r="J11197" s="750" t="e">
        <f t="shared" si="146"/>
        <v>#DIV/0!</v>
      </c>
      <c r="K11197" s="398"/>
      <c r="L11197" s="398"/>
      <c r="M11197" s="682"/>
    </row>
    <row r="11198" spans="6:13" hidden="1" x14ac:dyDescent="0.2">
      <c r="F11198" s="494">
        <v>4631</v>
      </c>
      <c r="G11198" s="495" t="s">
        <v>3807</v>
      </c>
      <c r="H11198" s="397"/>
      <c r="I11198" s="397"/>
      <c r="J11198" s="750" t="e">
        <f t="shared" si="146"/>
        <v>#DIV/0!</v>
      </c>
      <c r="K11198" s="398"/>
      <c r="L11198" s="398"/>
      <c r="M11198" s="682"/>
    </row>
    <row r="11199" spans="6:13" hidden="1" x14ac:dyDescent="0.2">
      <c r="F11199" s="494">
        <v>4632</v>
      </c>
      <c r="G11199" s="495" t="s">
        <v>3808</v>
      </c>
      <c r="H11199" s="397"/>
      <c r="I11199" s="397"/>
      <c r="J11199" s="750" t="e">
        <f t="shared" si="146"/>
        <v>#DIV/0!</v>
      </c>
      <c r="K11199" s="398"/>
      <c r="L11199" s="398"/>
      <c r="M11199" s="682"/>
    </row>
    <row r="11200" spans="6:13" ht="25.5" hidden="1" x14ac:dyDescent="0.2">
      <c r="F11200" s="494">
        <v>464</v>
      </c>
      <c r="G11200" s="495" t="s">
        <v>3809</v>
      </c>
      <c r="H11200" s="397"/>
      <c r="I11200" s="397"/>
      <c r="J11200" s="750" t="e">
        <f t="shared" si="146"/>
        <v>#DIV/0!</v>
      </c>
      <c r="K11200" s="398"/>
      <c r="L11200" s="398"/>
      <c r="M11200" s="682"/>
    </row>
    <row r="11201" spans="6:13" hidden="1" x14ac:dyDescent="0.2">
      <c r="F11201" s="494">
        <v>465</v>
      </c>
      <c r="G11201" s="495" t="s">
        <v>4170</v>
      </c>
      <c r="H11201" s="397"/>
      <c r="I11201" s="397"/>
      <c r="J11201" s="750" t="e">
        <f t="shared" si="146"/>
        <v>#DIV/0!</v>
      </c>
      <c r="K11201" s="398"/>
      <c r="L11201" s="398"/>
      <c r="M11201" s="682"/>
    </row>
    <row r="11202" spans="6:13" hidden="1" x14ac:dyDescent="0.2">
      <c r="F11202" s="494">
        <v>472</v>
      </c>
      <c r="G11202" s="495" t="s">
        <v>3813</v>
      </c>
      <c r="H11202" s="397"/>
      <c r="I11202" s="397"/>
      <c r="J11202" s="750" t="e">
        <f t="shared" si="146"/>
        <v>#DIV/0!</v>
      </c>
      <c r="K11202" s="398"/>
      <c r="L11202" s="398"/>
      <c r="M11202" s="682"/>
    </row>
    <row r="11203" spans="6:13" hidden="1" x14ac:dyDescent="0.2">
      <c r="F11203" s="494">
        <v>481</v>
      </c>
      <c r="G11203" s="495" t="s">
        <v>4189</v>
      </c>
      <c r="H11203" s="397"/>
      <c r="I11203" s="397"/>
      <c r="J11203" s="750" t="e">
        <f t="shared" si="146"/>
        <v>#DIV/0!</v>
      </c>
      <c r="K11203" s="398"/>
      <c r="L11203" s="398"/>
      <c r="M11203" s="682"/>
    </row>
    <row r="11204" spans="6:13" hidden="1" x14ac:dyDescent="0.2">
      <c r="F11204" s="494">
        <v>482</v>
      </c>
      <c r="G11204" s="495" t="s">
        <v>4190</v>
      </c>
      <c r="H11204" s="397"/>
      <c r="I11204" s="397"/>
      <c r="J11204" s="750" t="e">
        <f t="shared" si="146"/>
        <v>#DIV/0!</v>
      </c>
      <c r="K11204" s="398"/>
      <c r="L11204" s="398"/>
      <c r="M11204" s="682"/>
    </row>
    <row r="11205" spans="6:13" hidden="1" x14ac:dyDescent="0.2">
      <c r="F11205" s="494">
        <v>483</v>
      </c>
      <c r="G11205" s="497" t="s">
        <v>4191</v>
      </c>
      <c r="H11205" s="397"/>
      <c r="I11205" s="397"/>
      <c r="J11205" s="750" t="e">
        <f t="shared" si="146"/>
        <v>#DIV/0!</v>
      </c>
      <c r="K11205" s="398"/>
      <c r="L11205" s="398"/>
      <c r="M11205" s="682"/>
    </row>
    <row r="11206" spans="6:13" ht="38.25" hidden="1" x14ac:dyDescent="0.2">
      <c r="F11206" s="494">
        <v>484</v>
      </c>
      <c r="G11206" s="495" t="s">
        <v>4192</v>
      </c>
      <c r="H11206" s="397"/>
      <c r="I11206" s="397"/>
      <c r="J11206" s="750" t="e">
        <f t="shared" si="146"/>
        <v>#DIV/0!</v>
      </c>
      <c r="K11206" s="398"/>
      <c r="L11206" s="398"/>
      <c r="M11206" s="682"/>
    </row>
    <row r="11207" spans="6:13" ht="25.5" hidden="1" x14ac:dyDescent="0.2">
      <c r="F11207" s="494">
        <v>485</v>
      </c>
      <c r="G11207" s="495" t="s">
        <v>4193</v>
      </c>
      <c r="H11207" s="397"/>
      <c r="I11207" s="397"/>
      <c r="J11207" s="750" t="e">
        <f t="shared" si="146"/>
        <v>#DIV/0!</v>
      </c>
      <c r="K11207" s="398"/>
      <c r="L11207" s="398"/>
      <c r="M11207" s="682"/>
    </row>
    <row r="11208" spans="6:13" ht="25.5" hidden="1" x14ac:dyDescent="0.2">
      <c r="F11208" s="494">
        <v>489</v>
      </c>
      <c r="G11208" s="495" t="s">
        <v>3821</v>
      </c>
      <c r="H11208" s="397"/>
      <c r="I11208" s="397"/>
      <c r="J11208" s="750" t="e">
        <f t="shared" si="146"/>
        <v>#DIV/0!</v>
      </c>
      <c r="K11208" s="398"/>
      <c r="L11208" s="398"/>
      <c r="M11208" s="682"/>
    </row>
    <row r="11209" spans="6:13" ht="25.5" hidden="1" x14ac:dyDescent="0.2">
      <c r="F11209" s="494">
        <v>494</v>
      </c>
      <c r="G11209" s="495" t="s">
        <v>4171</v>
      </c>
      <c r="H11209" s="397"/>
      <c r="I11209" s="397"/>
      <c r="J11209" s="750" t="e">
        <f t="shared" si="146"/>
        <v>#DIV/0!</v>
      </c>
      <c r="K11209" s="398"/>
      <c r="L11209" s="398"/>
      <c r="M11209" s="682"/>
    </row>
    <row r="11210" spans="6:13" ht="25.5" hidden="1" x14ac:dyDescent="0.2">
      <c r="F11210" s="494">
        <v>495</v>
      </c>
      <c r="G11210" s="495" t="s">
        <v>4172</v>
      </c>
      <c r="H11210" s="397"/>
      <c r="I11210" s="397"/>
      <c r="J11210" s="750" t="e">
        <f t="shared" si="146"/>
        <v>#DIV/0!</v>
      </c>
      <c r="K11210" s="398"/>
      <c r="L11210" s="398"/>
      <c r="M11210" s="682"/>
    </row>
    <row r="11211" spans="6:13" ht="38.25" hidden="1" x14ac:dyDescent="0.2">
      <c r="F11211" s="494">
        <v>496</v>
      </c>
      <c r="G11211" s="495" t="s">
        <v>4173</v>
      </c>
      <c r="H11211" s="397"/>
      <c r="I11211" s="397"/>
      <c r="J11211" s="750" t="e">
        <f t="shared" si="146"/>
        <v>#DIV/0!</v>
      </c>
      <c r="K11211" s="398"/>
      <c r="L11211" s="398"/>
      <c r="M11211" s="682"/>
    </row>
    <row r="11212" spans="6:13" ht="25.5" hidden="1" x14ac:dyDescent="0.2">
      <c r="F11212" s="494">
        <v>499</v>
      </c>
      <c r="G11212" s="495" t="s">
        <v>4174</v>
      </c>
      <c r="H11212" s="397"/>
      <c r="I11212" s="397"/>
      <c r="J11212" s="750" t="e">
        <f t="shared" si="146"/>
        <v>#DIV/0!</v>
      </c>
      <c r="K11212" s="398"/>
      <c r="L11212" s="398"/>
      <c r="M11212" s="682"/>
    </row>
    <row r="11213" spans="6:13" hidden="1" x14ac:dyDescent="0.2">
      <c r="F11213" s="494">
        <v>511</v>
      </c>
      <c r="G11213" s="497" t="s">
        <v>4194</v>
      </c>
      <c r="H11213" s="397"/>
      <c r="I11213" s="397"/>
      <c r="J11213" s="750" t="e">
        <f t="shared" si="146"/>
        <v>#DIV/0!</v>
      </c>
      <c r="K11213" s="398"/>
      <c r="L11213" s="398"/>
      <c r="M11213" s="682"/>
    </row>
    <row r="11214" spans="6:13" hidden="1" x14ac:dyDescent="0.2">
      <c r="F11214" s="494">
        <v>512</v>
      </c>
      <c r="G11214" s="497" t="s">
        <v>4195</v>
      </c>
      <c r="H11214" s="397"/>
      <c r="I11214" s="397"/>
      <c r="J11214" s="750" t="e">
        <f t="shared" ref="J11214:J11277" si="147">SUM(I11214/H11214)*100</f>
        <v>#DIV/0!</v>
      </c>
      <c r="K11214" s="398"/>
      <c r="L11214" s="398"/>
      <c r="M11214" s="682"/>
    </row>
    <row r="11215" spans="6:13" hidden="1" x14ac:dyDescent="0.2">
      <c r="F11215" s="494">
        <v>513</v>
      </c>
      <c r="G11215" s="497" t="s">
        <v>4196</v>
      </c>
      <c r="H11215" s="397"/>
      <c r="I11215" s="397"/>
      <c r="J11215" s="750" t="e">
        <f t="shared" si="147"/>
        <v>#DIV/0!</v>
      </c>
      <c r="K11215" s="398"/>
      <c r="L11215" s="398"/>
      <c r="M11215" s="682"/>
    </row>
    <row r="11216" spans="6:13" hidden="1" x14ac:dyDescent="0.2">
      <c r="F11216" s="494">
        <v>514</v>
      </c>
      <c r="G11216" s="495" t="s">
        <v>4197</v>
      </c>
      <c r="H11216" s="397"/>
      <c r="I11216" s="397"/>
      <c r="J11216" s="750" t="e">
        <f t="shared" si="147"/>
        <v>#DIV/0!</v>
      </c>
      <c r="K11216" s="398"/>
      <c r="L11216" s="398"/>
      <c r="M11216" s="682"/>
    </row>
    <row r="11217" spans="5:13" hidden="1" x14ac:dyDescent="0.2">
      <c r="F11217" s="494">
        <v>515</v>
      </c>
      <c r="G11217" s="495" t="s">
        <v>3832</v>
      </c>
      <c r="H11217" s="397"/>
      <c r="I11217" s="397"/>
      <c r="J11217" s="750" t="e">
        <f t="shared" si="147"/>
        <v>#DIV/0!</v>
      </c>
      <c r="K11217" s="398"/>
      <c r="L11217" s="398"/>
      <c r="M11217" s="682"/>
    </row>
    <row r="11218" spans="5:13" hidden="1" x14ac:dyDescent="0.2">
      <c r="F11218" s="494">
        <v>521</v>
      </c>
      <c r="G11218" s="495" t="s">
        <v>4198</v>
      </c>
      <c r="H11218" s="397"/>
      <c r="I11218" s="397"/>
      <c r="J11218" s="750" t="e">
        <f t="shared" si="147"/>
        <v>#DIV/0!</v>
      </c>
      <c r="K11218" s="398"/>
      <c r="L11218" s="398"/>
      <c r="M11218" s="682"/>
    </row>
    <row r="11219" spans="5:13" hidden="1" x14ac:dyDescent="0.2">
      <c r="F11219" s="494">
        <v>522</v>
      </c>
      <c r="G11219" s="495" t="s">
        <v>4199</v>
      </c>
      <c r="H11219" s="397"/>
      <c r="I11219" s="397"/>
      <c r="J11219" s="750" t="e">
        <f t="shared" si="147"/>
        <v>#DIV/0!</v>
      </c>
      <c r="K11219" s="398"/>
      <c r="L11219" s="398"/>
      <c r="M11219" s="682"/>
    </row>
    <row r="11220" spans="5:13" hidden="1" x14ac:dyDescent="0.2">
      <c r="F11220" s="494">
        <v>523</v>
      </c>
      <c r="G11220" s="495" t="s">
        <v>3837</v>
      </c>
      <c r="H11220" s="397"/>
      <c r="I11220" s="397"/>
      <c r="J11220" s="750" t="e">
        <f t="shared" si="147"/>
        <v>#DIV/0!</v>
      </c>
      <c r="K11220" s="398"/>
      <c r="L11220" s="398"/>
      <c r="M11220" s="682"/>
    </row>
    <row r="11221" spans="5:13" hidden="1" x14ac:dyDescent="0.2">
      <c r="F11221" s="494">
        <v>531</v>
      </c>
      <c r="G11221" s="496" t="s">
        <v>4175</v>
      </c>
      <c r="H11221" s="397"/>
      <c r="I11221" s="397"/>
      <c r="J11221" s="750" t="e">
        <f t="shared" si="147"/>
        <v>#DIV/0!</v>
      </c>
      <c r="K11221" s="398"/>
      <c r="L11221" s="398"/>
      <c r="M11221" s="682"/>
    </row>
    <row r="11222" spans="5:13" hidden="1" x14ac:dyDescent="0.2">
      <c r="F11222" s="494">
        <v>541</v>
      </c>
      <c r="G11222" s="495" t="s">
        <v>4200</v>
      </c>
      <c r="H11222" s="397"/>
      <c r="I11222" s="397"/>
      <c r="J11222" s="750" t="e">
        <f t="shared" si="147"/>
        <v>#DIV/0!</v>
      </c>
      <c r="K11222" s="398"/>
      <c r="L11222" s="398"/>
      <c r="M11222" s="682"/>
    </row>
    <row r="11223" spans="5:13" hidden="1" x14ac:dyDescent="0.2">
      <c r="F11223" s="494">
        <v>542</v>
      </c>
      <c r="G11223" s="495" t="s">
        <v>4201</v>
      </c>
      <c r="H11223" s="397"/>
      <c r="I11223" s="397"/>
      <c r="J11223" s="750" t="e">
        <f t="shared" si="147"/>
        <v>#DIV/0!</v>
      </c>
      <c r="K11223" s="398"/>
      <c r="L11223" s="398"/>
      <c r="M11223" s="682"/>
    </row>
    <row r="11224" spans="5:13" hidden="1" x14ac:dyDescent="0.2">
      <c r="F11224" s="494">
        <v>543</v>
      </c>
      <c r="G11224" s="495" t="s">
        <v>3842</v>
      </c>
      <c r="H11224" s="397"/>
      <c r="I11224" s="397"/>
      <c r="J11224" s="750" t="e">
        <f t="shared" si="147"/>
        <v>#DIV/0!</v>
      </c>
      <c r="K11224" s="398"/>
      <c r="L11224" s="398"/>
      <c r="M11224" s="682"/>
    </row>
    <row r="11225" spans="5:13" ht="38.25" hidden="1" x14ac:dyDescent="0.2">
      <c r="F11225" s="494">
        <v>551</v>
      </c>
      <c r="G11225" s="495" t="s">
        <v>4176</v>
      </c>
      <c r="H11225" s="397"/>
      <c r="I11225" s="397"/>
      <c r="J11225" s="750" t="e">
        <f t="shared" si="147"/>
        <v>#DIV/0!</v>
      </c>
      <c r="K11225" s="398"/>
      <c r="L11225" s="398"/>
      <c r="M11225" s="682"/>
    </row>
    <row r="11226" spans="5:13" hidden="1" x14ac:dyDescent="0.2">
      <c r="F11226" s="498">
        <v>611</v>
      </c>
      <c r="G11226" s="499" t="s">
        <v>3848</v>
      </c>
      <c r="H11226" s="397"/>
      <c r="I11226" s="397"/>
      <c r="J11226" s="750" t="e">
        <f t="shared" si="147"/>
        <v>#DIV/0!</v>
      </c>
      <c r="K11226" s="398"/>
      <c r="L11226" s="398"/>
      <c r="M11226" s="682"/>
    </row>
    <row r="11227" spans="5:13" hidden="1" x14ac:dyDescent="0.2">
      <c r="F11227" s="498">
        <v>620</v>
      </c>
      <c r="G11227" s="499" t="s">
        <v>88</v>
      </c>
      <c r="H11227" s="397"/>
      <c r="I11227" s="397"/>
      <c r="J11227" s="750" t="e">
        <f t="shared" si="147"/>
        <v>#DIV/0!</v>
      </c>
      <c r="K11227" s="398"/>
      <c r="L11227" s="398"/>
      <c r="M11227" s="682"/>
    </row>
    <row r="11228" spans="5:13" hidden="1" x14ac:dyDescent="0.2">
      <c r="E11228" s="500"/>
      <c r="F11228" s="498"/>
      <c r="G11228" s="509" t="s">
        <v>4363</v>
      </c>
      <c r="H11228" s="400"/>
      <c r="I11228" s="400"/>
      <c r="J11228" s="750" t="e">
        <f t="shared" si="147"/>
        <v>#DIV/0!</v>
      </c>
      <c r="K11228" s="401"/>
      <c r="L11228" s="402"/>
      <c r="M11228" s="682"/>
    </row>
    <row r="11229" spans="5:13" hidden="1" x14ac:dyDescent="0.2">
      <c r="E11229" s="502"/>
      <c r="F11229" s="503" t="s">
        <v>234</v>
      </c>
      <c r="G11229" s="504" t="s">
        <v>235</v>
      </c>
      <c r="H11229" s="403">
        <f>SUM(H11168:H11227)</f>
        <v>0</v>
      </c>
      <c r="I11229" s="403"/>
      <c r="J11229" s="750" t="e">
        <f t="shared" si="147"/>
        <v>#DIV/0!</v>
      </c>
      <c r="K11229" s="404"/>
      <c r="L11229" s="404"/>
      <c r="M11229" s="682"/>
    </row>
    <row r="11230" spans="5:13" hidden="1" x14ac:dyDescent="0.2">
      <c r="F11230" s="503" t="s">
        <v>236</v>
      </c>
      <c r="G11230" s="504" t="s">
        <v>237</v>
      </c>
      <c r="H11230" s="397"/>
      <c r="I11230" s="397"/>
      <c r="J11230" s="750" t="e">
        <f t="shared" si="147"/>
        <v>#DIV/0!</v>
      </c>
      <c r="K11230" s="398"/>
      <c r="L11230" s="404"/>
      <c r="M11230" s="682"/>
    </row>
    <row r="11231" spans="5:13" hidden="1" x14ac:dyDescent="0.2">
      <c r="F11231" s="503" t="s">
        <v>238</v>
      </c>
      <c r="G11231" s="504" t="s">
        <v>239</v>
      </c>
      <c r="H11231" s="397"/>
      <c r="I11231" s="397"/>
      <c r="J11231" s="750" t="e">
        <f t="shared" si="147"/>
        <v>#DIV/0!</v>
      </c>
      <c r="K11231" s="398"/>
      <c r="L11231" s="404"/>
      <c r="M11231" s="682"/>
    </row>
    <row r="11232" spans="5:13" hidden="1" x14ac:dyDescent="0.2">
      <c r="F11232" s="503" t="s">
        <v>240</v>
      </c>
      <c r="G11232" s="504" t="s">
        <v>241</v>
      </c>
      <c r="H11232" s="397"/>
      <c r="I11232" s="397"/>
      <c r="J11232" s="750" t="e">
        <f t="shared" si="147"/>
        <v>#DIV/0!</v>
      </c>
      <c r="K11232" s="398"/>
      <c r="L11232" s="404"/>
      <c r="M11232" s="682"/>
    </row>
    <row r="11233" spans="5:13" hidden="1" x14ac:dyDescent="0.2">
      <c r="F11233" s="503" t="s">
        <v>242</v>
      </c>
      <c r="G11233" s="504" t="s">
        <v>243</v>
      </c>
      <c r="H11233" s="397"/>
      <c r="I11233" s="397"/>
      <c r="J11233" s="750" t="e">
        <f t="shared" si="147"/>
        <v>#DIV/0!</v>
      </c>
      <c r="K11233" s="398"/>
      <c r="L11233" s="404"/>
      <c r="M11233" s="682"/>
    </row>
    <row r="11234" spans="5:13" hidden="1" x14ac:dyDescent="0.2">
      <c r="F11234" s="503" t="s">
        <v>244</v>
      </c>
      <c r="G11234" s="504" t="s">
        <v>245</v>
      </c>
      <c r="H11234" s="397"/>
      <c r="I11234" s="397"/>
      <c r="J11234" s="750" t="e">
        <f t="shared" si="147"/>
        <v>#DIV/0!</v>
      </c>
      <c r="K11234" s="398"/>
      <c r="L11234" s="404"/>
      <c r="M11234" s="682"/>
    </row>
    <row r="11235" spans="5:13" hidden="1" x14ac:dyDescent="0.2">
      <c r="F11235" s="503" t="s">
        <v>246</v>
      </c>
      <c r="G11235" s="504" t="s">
        <v>247</v>
      </c>
      <c r="H11235" s="397"/>
      <c r="I11235" s="397"/>
      <c r="J11235" s="750" t="e">
        <f t="shared" si="147"/>
        <v>#DIV/0!</v>
      </c>
      <c r="K11235" s="398"/>
      <c r="L11235" s="404"/>
      <c r="M11235" s="682"/>
    </row>
    <row r="11236" spans="5:13" ht="25.5" hidden="1" x14ac:dyDescent="0.2">
      <c r="F11236" s="503" t="s">
        <v>248</v>
      </c>
      <c r="G11236" s="504" t="s">
        <v>249</v>
      </c>
      <c r="H11236" s="397"/>
      <c r="I11236" s="397"/>
      <c r="J11236" s="750" t="e">
        <f t="shared" si="147"/>
        <v>#DIV/0!</v>
      </c>
      <c r="K11236" s="398"/>
      <c r="L11236" s="404"/>
      <c r="M11236" s="682"/>
    </row>
    <row r="11237" spans="5:13" hidden="1" x14ac:dyDescent="0.2">
      <c r="F11237" s="503" t="s">
        <v>250</v>
      </c>
      <c r="G11237" s="504" t="s">
        <v>57</v>
      </c>
      <c r="H11237" s="397"/>
      <c r="I11237" s="397"/>
      <c r="J11237" s="750" t="e">
        <f t="shared" si="147"/>
        <v>#DIV/0!</v>
      </c>
      <c r="K11237" s="398"/>
      <c r="L11237" s="404"/>
      <c r="M11237" s="682"/>
    </row>
    <row r="11238" spans="5:13" hidden="1" x14ac:dyDescent="0.2">
      <c r="F11238" s="503" t="s">
        <v>251</v>
      </c>
      <c r="G11238" s="504" t="s">
        <v>252</v>
      </c>
      <c r="H11238" s="397"/>
      <c r="I11238" s="397"/>
      <c r="J11238" s="750" t="e">
        <f t="shared" si="147"/>
        <v>#DIV/0!</v>
      </c>
      <c r="K11238" s="398"/>
      <c r="L11238" s="404"/>
      <c r="M11238" s="682"/>
    </row>
    <row r="11239" spans="5:13" hidden="1" x14ac:dyDescent="0.2">
      <c r="F11239" s="503" t="s">
        <v>253</v>
      </c>
      <c r="G11239" s="504" t="s">
        <v>254</v>
      </c>
      <c r="H11239" s="397"/>
      <c r="I11239" s="397"/>
      <c r="J11239" s="750" t="e">
        <f t="shared" si="147"/>
        <v>#DIV/0!</v>
      </c>
      <c r="K11239" s="398"/>
      <c r="L11239" s="404"/>
      <c r="M11239" s="682"/>
    </row>
    <row r="11240" spans="5:13" ht="25.5" hidden="1" x14ac:dyDescent="0.2">
      <c r="F11240" s="503" t="s">
        <v>255</v>
      </c>
      <c r="G11240" s="504" t="s">
        <v>256</v>
      </c>
      <c r="H11240" s="397"/>
      <c r="I11240" s="397"/>
      <c r="J11240" s="750" t="e">
        <f t="shared" si="147"/>
        <v>#DIV/0!</v>
      </c>
      <c r="K11240" s="398"/>
      <c r="L11240" s="404"/>
      <c r="M11240" s="682"/>
    </row>
    <row r="11241" spans="5:13" ht="25.5" hidden="1" x14ac:dyDescent="0.2">
      <c r="F11241" s="503" t="s">
        <v>257</v>
      </c>
      <c r="G11241" s="504" t="s">
        <v>258</v>
      </c>
      <c r="H11241" s="397"/>
      <c r="I11241" s="397"/>
      <c r="J11241" s="750" t="e">
        <f t="shared" si="147"/>
        <v>#DIV/0!</v>
      </c>
      <c r="K11241" s="398"/>
      <c r="L11241" s="404"/>
      <c r="M11241" s="682"/>
    </row>
    <row r="11242" spans="5:13" ht="25.5" hidden="1" x14ac:dyDescent="0.2">
      <c r="F11242" s="503" t="s">
        <v>259</v>
      </c>
      <c r="G11242" s="504" t="s">
        <v>260</v>
      </c>
      <c r="H11242" s="397"/>
      <c r="I11242" s="397"/>
      <c r="J11242" s="750" t="e">
        <f t="shared" si="147"/>
        <v>#DIV/0!</v>
      </c>
      <c r="K11242" s="398"/>
      <c r="L11242" s="404"/>
      <c r="M11242" s="682"/>
    </row>
    <row r="11243" spans="5:13" ht="25.5" hidden="1" x14ac:dyDescent="0.2">
      <c r="F11243" s="503" t="s">
        <v>261</v>
      </c>
      <c r="G11243" s="504" t="s">
        <v>262</v>
      </c>
      <c r="H11243" s="397"/>
      <c r="I11243" s="397"/>
      <c r="J11243" s="750" t="e">
        <f t="shared" si="147"/>
        <v>#DIV/0!</v>
      </c>
      <c r="K11243" s="398"/>
      <c r="L11243" s="404"/>
      <c r="M11243" s="682"/>
    </row>
    <row r="11244" spans="5:13" hidden="1" x14ac:dyDescent="0.2">
      <c r="F11244" s="503" t="s">
        <v>263</v>
      </c>
      <c r="G11244" s="504" t="s">
        <v>264</v>
      </c>
      <c r="H11244" s="403"/>
      <c r="I11244" s="403"/>
      <c r="J11244" s="750" t="e">
        <f t="shared" si="147"/>
        <v>#DIV/0!</v>
      </c>
      <c r="K11244" s="404"/>
      <c r="L11244" s="404"/>
      <c r="M11244" s="682"/>
    </row>
    <row r="11245" spans="5:13" ht="13.5" hidden="1" thickBot="1" x14ac:dyDescent="0.25">
      <c r="G11245" s="505" t="s">
        <v>4362</v>
      </c>
      <c r="H11245" s="405">
        <f>SUM(H11229:H11244)</f>
        <v>0</v>
      </c>
      <c r="I11245" s="405"/>
      <c r="J11245" s="750" t="e">
        <f t="shared" si="147"/>
        <v>#DIV/0!</v>
      </c>
      <c r="K11245" s="406">
        <f>SUM(K11230:K11244)</f>
        <v>0</v>
      </c>
      <c r="L11245" s="406"/>
      <c r="M11245" s="682"/>
    </row>
    <row r="11246" spans="5:13" hidden="1" collapsed="1" x14ac:dyDescent="0.2">
      <c r="E11246" s="500"/>
      <c r="F11246" s="498"/>
      <c r="G11246" s="506" t="s">
        <v>5023</v>
      </c>
      <c r="H11246" s="407"/>
      <c r="I11246" s="408"/>
      <c r="J11246" s="750" t="e">
        <f t="shared" si="147"/>
        <v>#DIV/0!</v>
      </c>
      <c r="K11246" s="409"/>
      <c r="L11246" s="410"/>
      <c r="M11246" s="682"/>
    </row>
    <row r="11247" spans="5:13" hidden="1" x14ac:dyDescent="0.2">
      <c r="E11247" s="502"/>
      <c r="F11247" s="503" t="s">
        <v>234</v>
      </c>
      <c r="G11247" s="504" t="s">
        <v>235</v>
      </c>
      <c r="H11247" s="403">
        <f>SUM(H11168:H11227)</f>
        <v>0</v>
      </c>
      <c r="I11247" s="403"/>
      <c r="J11247" s="750" t="e">
        <f t="shared" si="147"/>
        <v>#DIV/0!</v>
      </c>
      <c r="K11247" s="404"/>
      <c r="L11247" s="404"/>
      <c r="M11247" s="682"/>
    </row>
    <row r="11248" spans="5:13" hidden="1" x14ac:dyDescent="0.2">
      <c r="F11248" s="503" t="s">
        <v>236</v>
      </c>
      <c r="G11248" s="504" t="s">
        <v>237</v>
      </c>
      <c r="H11248" s="397"/>
      <c r="I11248" s="397"/>
      <c r="J11248" s="750" t="e">
        <f t="shared" si="147"/>
        <v>#DIV/0!</v>
      </c>
      <c r="K11248" s="398"/>
      <c r="L11248" s="404"/>
      <c r="M11248" s="682"/>
    </row>
    <row r="11249" spans="6:13" hidden="1" x14ac:dyDescent="0.2">
      <c r="F11249" s="503" t="s">
        <v>238</v>
      </c>
      <c r="G11249" s="504" t="s">
        <v>239</v>
      </c>
      <c r="H11249" s="397"/>
      <c r="I11249" s="397"/>
      <c r="J11249" s="750" t="e">
        <f t="shared" si="147"/>
        <v>#DIV/0!</v>
      </c>
      <c r="K11249" s="398"/>
      <c r="L11249" s="404"/>
      <c r="M11249" s="682"/>
    </row>
    <row r="11250" spans="6:13" hidden="1" x14ac:dyDescent="0.2">
      <c r="F11250" s="503" t="s">
        <v>240</v>
      </c>
      <c r="G11250" s="504" t="s">
        <v>241</v>
      </c>
      <c r="H11250" s="397"/>
      <c r="I11250" s="397"/>
      <c r="J11250" s="750" t="e">
        <f t="shared" si="147"/>
        <v>#DIV/0!</v>
      </c>
      <c r="K11250" s="398"/>
      <c r="L11250" s="404"/>
      <c r="M11250" s="682"/>
    </row>
    <row r="11251" spans="6:13" hidden="1" x14ac:dyDescent="0.2">
      <c r="F11251" s="503" t="s">
        <v>242</v>
      </c>
      <c r="G11251" s="504" t="s">
        <v>243</v>
      </c>
      <c r="H11251" s="397"/>
      <c r="I11251" s="397"/>
      <c r="J11251" s="750" t="e">
        <f t="shared" si="147"/>
        <v>#DIV/0!</v>
      </c>
      <c r="K11251" s="398"/>
      <c r="L11251" s="404"/>
      <c r="M11251" s="682"/>
    </row>
    <row r="11252" spans="6:13" hidden="1" x14ac:dyDescent="0.2">
      <c r="F11252" s="503" t="s">
        <v>244</v>
      </c>
      <c r="G11252" s="504" t="s">
        <v>245</v>
      </c>
      <c r="H11252" s="397"/>
      <c r="I11252" s="397"/>
      <c r="J11252" s="750" t="e">
        <f t="shared" si="147"/>
        <v>#DIV/0!</v>
      </c>
      <c r="K11252" s="398"/>
      <c r="L11252" s="404"/>
      <c r="M11252" s="682"/>
    </row>
    <row r="11253" spans="6:13" hidden="1" x14ac:dyDescent="0.2">
      <c r="F11253" s="503" t="s">
        <v>246</v>
      </c>
      <c r="G11253" s="504" t="s">
        <v>247</v>
      </c>
      <c r="H11253" s="397"/>
      <c r="I11253" s="397"/>
      <c r="J11253" s="750" t="e">
        <f t="shared" si="147"/>
        <v>#DIV/0!</v>
      </c>
      <c r="K11253" s="398"/>
      <c r="L11253" s="404"/>
      <c r="M11253" s="682"/>
    </row>
    <row r="11254" spans="6:13" ht="25.5" hidden="1" x14ac:dyDescent="0.2">
      <c r="F11254" s="503" t="s">
        <v>248</v>
      </c>
      <c r="G11254" s="504" t="s">
        <v>249</v>
      </c>
      <c r="H11254" s="397"/>
      <c r="I11254" s="397"/>
      <c r="J11254" s="750" t="e">
        <f t="shared" si="147"/>
        <v>#DIV/0!</v>
      </c>
      <c r="K11254" s="398"/>
      <c r="L11254" s="404"/>
      <c r="M11254" s="682"/>
    </row>
    <row r="11255" spans="6:13" hidden="1" x14ac:dyDescent="0.2">
      <c r="F11255" s="503" t="s">
        <v>250</v>
      </c>
      <c r="G11255" s="504" t="s">
        <v>57</v>
      </c>
      <c r="H11255" s="397"/>
      <c r="I11255" s="397"/>
      <c r="J11255" s="750" t="e">
        <f t="shared" si="147"/>
        <v>#DIV/0!</v>
      </c>
      <c r="K11255" s="398"/>
      <c r="L11255" s="404"/>
      <c r="M11255" s="682"/>
    </row>
    <row r="11256" spans="6:13" hidden="1" x14ac:dyDescent="0.2">
      <c r="F11256" s="503" t="s">
        <v>251</v>
      </c>
      <c r="G11256" s="504" t="s">
        <v>252</v>
      </c>
      <c r="H11256" s="397"/>
      <c r="I11256" s="397"/>
      <c r="J11256" s="750" t="e">
        <f t="shared" si="147"/>
        <v>#DIV/0!</v>
      </c>
      <c r="K11256" s="398"/>
      <c r="L11256" s="404"/>
      <c r="M11256" s="682"/>
    </row>
    <row r="11257" spans="6:13" hidden="1" x14ac:dyDescent="0.2">
      <c r="F11257" s="503" t="s">
        <v>253</v>
      </c>
      <c r="G11257" s="504" t="s">
        <v>254</v>
      </c>
      <c r="H11257" s="397"/>
      <c r="I11257" s="397"/>
      <c r="J11257" s="750" t="e">
        <f t="shared" si="147"/>
        <v>#DIV/0!</v>
      </c>
      <c r="K11257" s="398"/>
      <c r="L11257" s="404"/>
      <c r="M11257" s="682"/>
    </row>
    <row r="11258" spans="6:13" ht="25.5" hidden="1" x14ac:dyDescent="0.2">
      <c r="F11258" s="503" t="s">
        <v>255</v>
      </c>
      <c r="G11258" s="504" t="s">
        <v>256</v>
      </c>
      <c r="H11258" s="397"/>
      <c r="I11258" s="397"/>
      <c r="J11258" s="750" t="e">
        <f t="shared" si="147"/>
        <v>#DIV/0!</v>
      </c>
      <c r="K11258" s="398"/>
      <c r="L11258" s="404"/>
      <c r="M11258" s="682"/>
    </row>
    <row r="11259" spans="6:13" ht="25.5" hidden="1" x14ac:dyDescent="0.2">
      <c r="F11259" s="503" t="s">
        <v>257</v>
      </c>
      <c r="G11259" s="504" t="s">
        <v>258</v>
      </c>
      <c r="H11259" s="397"/>
      <c r="I11259" s="397"/>
      <c r="J11259" s="750" t="e">
        <f t="shared" si="147"/>
        <v>#DIV/0!</v>
      </c>
      <c r="K11259" s="398"/>
      <c r="L11259" s="404"/>
      <c r="M11259" s="682"/>
    </row>
    <row r="11260" spans="6:13" ht="25.5" hidden="1" x14ac:dyDescent="0.2">
      <c r="F11260" s="503" t="s">
        <v>259</v>
      </c>
      <c r="G11260" s="504" t="s">
        <v>260</v>
      </c>
      <c r="H11260" s="397"/>
      <c r="I11260" s="397"/>
      <c r="J11260" s="750" t="e">
        <f t="shared" si="147"/>
        <v>#DIV/0!</v>
      </c>
      <c r="K11260" s="398"/>
      <c r="L11260" s="404"/>
      <c r="M11260" s="682"/>
    </row>
    <row r="11261" spans="6:13" ht="25.5" hidden="1" x14ac:dyDescent="0.2">
      <c r="F11261" s="503" t="s">
        <v>261</v>
      </c>
      <c r="G11261" s="504" t="s">
        <v>262</v>
      </c>
      <c r="H11261" s="397"/>
      <c r="I11261" s="397"/>
      <c r="J11261" s="750" t="e">
        <f t="shared" si="147"/>
        <v>#DIV/0!</v>
      </c>
      <c r="K11261" s="398"/>
      <c r="L11261" s="404"/>
      <c r="M11261" s="682"/>
    </row>
    <row r="11262" spans="6:13" hidden="1" x14ac:dyDescent="0.2">
      <c r="F11262" s="503" t="s">
        <v>263</v>
      </c>
      <c r="G11262" s="504" t="s">
        <v>264</v>
      </c>
      <c r="H11262" s="403"/>
      <c r="I11262" s="403"/>
      <c r="J11262" s="750" t="e">
        <f t="shared" si="147"/>
        <v>#DIV/0!</v>
      </c>
      <c r="K11262" s="404"/>
      <c r="L11262" s="404"/>
      <c r="M11262" s="682"/>
    </row>
    <row r="11263" spans="6:13" ht="13.5" hidden="1" thickBot="1" x14ac:dyDescent="0.25">
      <c r="G11263" s="505" t="s">
        <v>5009</v>
      </c>
      <c r="H11263" s="405">
        <f>SUM(H11247:H11262)</f>
        <v>0</v>
      </c>
      <c r="I11263" s="405"/>
      <c r="J11263" s="750" t="e">
        <f t="shared" si="147"/>
        <v>#DIV/0!</v>
      </c>
      <c r="K11263" s="406">
        <f>SUM(K11248:K11262)</f>
        <v>0</v>
      </c>
      <c r="L11263" s="406"/>
      <c r="M11263" s="682"/>
    </row>
    <row r="11264" spans="6:13" hidden="1" x14ac:dyDescent="0.2">
      <c r="H11264" s="397"/>
      <c r="I11264" s="397"/>
      <c r="J11264" s="750" t="e">
        <f t="shared" si="147"/>
        <v>#DIV/0!</v>
      </c>
      <c r="K11264" s="398"/>
      <c r="L11264" s="398"/>
      <c r="M11264" s="682"/>
    </row>
    <row r="11265" spans="3:13" hidden="1" x14ac:dyDescent="0.2">
      <c r="C11265" s="489" t="s">
        <v>4634</v>
      </c>
      <c r="D11265" s="490"/>
      <c r="G11265" s="508" t="s">
        <v>5084</v>
      </c>
      <c r="H11265" s="397"/>
      <c r="I11265" s="397"/>
      <c r="J11265" s="750" t="e">
        <f t="shared" si="147"/>
        <v>#DIV/0!</v>
      </c>
      <c r="K11265" s="398"/>
      <c r="L11265" s="398"/>
      <c r="M11265" s="682"/>
    </row>
    <row r="11266" spans="3:13" hidden="1" x14ac:dyDescent="0.2">
      <c r="C11266" s="489"/>
      <c r="D11266" s="492">
        <v>451</v>
      </c>
      <c r="E11266" s="492"/>
      <c r="F11266" s="492"/>
      <c r="G11266" s="493" t="s">
        <v>153</v>
      </c>
      <c r="H11266" s="397"/>
      <c r="I11266" s="397"/>
      <c r="J11266" s="750" t="e">
        <f t="shared" si="147"/>
        <v>#DIV/0!</v>
      </c>
      <c r="K11266" s="398"/>
      <c r="L11266" s="398"/>
      <c r="M11266" s="682"/>
    </row>
    <row r="11267" spans="3:13" hidden="1" x14ac:dyDescent="0.2">
      <c r="F11267" s="494">
        <v>411</v>
      </c>
      <c r="G11267" s="495" t="s">
        <v>4167</v>
      </c>
      <c r="H11267" s="397"/>
      <c r="I11267" s="397"/>
      <c r="J11267" s="750" t="e">
        <f t="shared" si="147"/>
        <v>#DIV/0!</v>
      </c>
      <c r="K11267" s="398"/>
      <c r="L11267" s="398"/>
      <c r="M11267" s="682"/>
    </row>
    <row r="11268" spans="3:13" hidden="1" x14ac:dyDescent="0.2">
      <c r="F11268" s="494">
        <v>412</v>
      </c>
      <c r="G11268" s="496" t="s">
        <v>3764</v>
      </c>
      <c r="H11268" s="397"/>
      <c r="I11268" s="397"/>
      <c r="J11268" s="750" t="e">
        <f t="shared" si="147"/>
        <v>#DIV/0!</v>
      </c>
      <c r="K11268" s="398"/>
      <c r="L11268" s="398"/>
      <c r="M11268" s="682"/>
    </row>
    <row r="11269" spans="3:13" hidden="1" x14ac:dyDescent="0.2">
      <c r="F11269" s="494">
        <v>413</v>
      </c>
      <c r="G11269" s="495" t="s">
        <v>4168</v>
      </c>
      <c r="H11269" s="397"/>
      <c r="I11269" s="397"/>
      <c r="J11269" s="750" t="e">
        <f t="shared" si="147"/>
        <v>#DIV/0!</v>
      </c>
      <c r="K11269" s="398"/>
      <c r="L11269" s="398"/>
      <c r="M11269" s="682"/>
    </row>
    <row r="11270" spans="3:13" hidden="1" x14ac:dyDescent="0.2">
      <c r="F11270" s="494">
        <v>414</v>
      </c>
      <c r="G11270" s="495" t="s">
        <v>3767</v>
      </c>
      <c r="H11270" s="397"/>
      <c r="I11270" s="397"/>
      <c r="J11270" s="750" t="e">
        <f t="shared" si="147"/>
        <v>#DIV/0!</v>
      </c>
      <c r="K11270" s="398"/>
      <c r="L11270" s="398"/>
      <c r="M11270" s="682"/>
    </row>
    <row r="11271" spans="3:13" hidden="1" x14ac:dyDescent="0.2">
      <c r="F11271" s="494">
        <v>415</v>
      </c>
      <c r="G11271" s="495" t="s">
        <v>4177</v>
      </c>
      <c r="H11271" s="397"/>
      <c r="I11271" s="397"/>
      <c r="J11271" s="750" t="e">
        <f t="shared" si="147"/>
        <v>#DIV/0!</v>
      </c>
      <c r="K11271" s="398"/>
      <c r="L11271" s="398"/>
      <c r="M11271" s="682"/>
    </row>
    <row r="11272" spans="3:13" ht="25.5" hidden="1" x14ac:dyDescent="0.2">
      <c r="F11272" s="494">
        <v>416</v>
      </c>
      <c r="G11272" s="495" t="s">
        <v>4178</v>
      </c>
      <c r="H11272" s="397"/>
      <c r="I11272" s="397"/>
      <c r="J11272" s="750" t="e">
        <f t="shared" si="147"/>
        <v>#DIV/0!</v>
      </c>
      <c r="K11272" s="398"/>
      <c r="L11272" s="398"/>
      <c r="M11272" s="682"/>
    </row>
    <row r="11273" spans="3:13" hidden="1" x14ac:dyDescent="0.2">
      <c r="F11273" s="494">
        <v>417</v>
      </c>
      <c r="G11273" s="495" t="s">
        <v>4179</v>
      </c>
      <c r="H11273" s="397"/>
      <c r="I11273" s="397"/>
      <c r="J11273" s="750" t="e">
        <f t="shared" si="147"/>
        <v>#DIV/0!</v>
      </c>
      <c r="K11273" s="398"/>
      <c r="L11273" s="398"/>
      <c r="M11273" s="682"/>
    </row>
    <row r="11274" spans="3:13" hidden="1" x14ac:dyDescent="0.2">
      <c r="F11274" s="494">
        <v>418</v>
      </c>
      <c r="G11274" s="495" t="s">
        <v>3773</v>
      </c>
      <c r="H11274" s="397"/>
      <c r="I11274" s="397"/>
      <c r="J11274" s="750" t="e">
        <f t="shared" si="147"/>
        <v>#DIV/0!</v>
      </c>
      <c r="K11274" s="398"/>
      <c r="L11274" s="398"/>
      <c r="M11274" s="682"/>
    </row>
    <row r="11275" spans="3:13" hidden="1" x14ac:dyDescent="0.2">
      <c r="F11275" s="494">
        <v>421</v>
      </c>
      <c r="G11275" s="495" t="s">
        <v>3777</v>
      </c>
      <c r="H11275" s="397"/>
      <c r="I11275" s="397"/>
      <c r="J11275" s="750" t="e">
        <f t="shared" si="147"/>
        <v>#DIV/0!</v>
      </c>
      <c r="K11275" s="398"/>
      <c r="L11275" s="398"/>
      <c r="M11275" s="682"/>
    </row>
    <row r="11276" spans="3:13" hidden="1" x14ac:dyDescent="0.2">
      <c r="F11276" s="494">
        <v>422</v>
      </c>
      <c r="G11276" s="495" t="s">
        <v>3778</v>
      </c>
      <c r="H11276" s="397"/>
      <c r="I11276" s="397"/>
      <c r="J11276" s="750" t="e">
        <f t="shared" si="147"/>
        <v>#DIV/0!</v>
      </c>
      <c r="K11276" s="398"/>
      <c r="L11276" s="398"/>
      <c r="M11276" s="682"/>
    </row>
    <row r="11277" spans="3:13" hidden="1" x14ac:dyDescent="0.2">
      <c r="F11277" s="494">
        <v>423</v>
      </c>
      <c r="G11277" s="495" t="s">
        <v>3779</v>
      </c>
      <c r="H11277" s="397"/>
      <c r="I11277" s="397"/>
      <c r="J11277" s="750" t="e">
        <f t="shared" si="147"/>
        <v>#DIV/0!</v>
      </c>
      <c r="K11277" s="398"/>
      <c r="L11277" s="398"/>
      <c r="M11277" s="682"/>
    </row>
    <row r="11278" spans="3:13" hidden="1" x14ac:dyDescent="0.2">
      <c r="F11278" s="494">
        <v>424</v>
      </c>
      <c r="G11278" s="495" t="s">
        <v>3781</v>
      </c>
      <c r="H11278" s="397"/>
      <c r="I11278" s="397"/>
      <c r="J11278" s="750" t="e">
        <f t="shared" ref="J11278:J11341" si="148">SUM(I11278/H11278)*100</f>
        <v>#DIV/0!</v>
      </c>
      <c r="K11278" s="398"/>
      <c r="L11278" s="398"/>
      <c r="M11278" s="682"/>
    </row>
    <row r="11279" spans="3:13" hidden="1" x14ac:dyDescent="0.2">
      <c r="F11279" s="494">
        <v>425</v>
      </c>
      <c r="G11279" s="495" t="s">
        <v>4180</v>
      </c>
      <c r="H11279" s="397"/>
      <c r="I11279" s="397"/>
      <c r="J11279" s="750" t="e">
        <f t="shared" si="148"/>
        <v>#DIV/0!</v>
      </c>
      <c r="K11279" s="398"/>
      <c r="L11279" s="398"/>
      <c r="M11279" s="682"/>
    </row>
    <row r="11280" spans="3:13" hidden="1" x14ac:dyDescent="0.2">
      <c r="F11280" s="494">
        <v>426</v>
      </c>
      <c r="G11280" s="495" t="s">
        <v>3785</v>
      </c>
      <c r="H11280" s="397"/>
      <c r="I11280" s="397"/>
      <c r="J11280" s="750" t="e">
        <f t="shared" si="148"/>
        <v>#DIV/0!</v>
      </c>
      <c r="K11280" s="398"/>
      <c r="L11280" s="398"/>
      <c r="M11280" s="682"/>
    </row>
    <row r="11281" spans="6:13" hidden="1" x14ac:dyDescent="0.2">
      <c r="F11281" s="494">
        <v>431</v>
      </c>
      <c r="G11281" s="495" t="s">
        <v>4181</v>
      </c>
      <c r="H11281" s="397"/>
      <c r="I11281" s="397"/>
      <c r="J11281" s="750" t="e">
        <f t="shared" si="148"/>
        <v>#DIV/0!</v>
      </c>
      <c r="K11281" s="398"/>
      <c r="L11281" s="398"/>
      <c r="M11281" s="682"/>
    </row>
    <row r="11282" spans="6:13" hidden="1" x14ac:dyDescent="0.2">
      <c r="F11282" s="494">
        <v>432</v>
      </c>
      <c r="G11282" s="495" t="s">
        <v>4182</v>
      </c>
      <c r="H11282" s="397"/>
      <c r="I11282" s="397"/>
      <c r="J11282" s="750" t="e">
        <f t="shared" si="148"/>
        <v>#DIV/0!</v>
      </c>
      <c r="K11282" s="398"/>
      <c r="L11282" s="398"/>
      <c r="M11282" s="682"/>
    </row>
    <row r="11283" spans="6:13" hidden="1" x14ac:dyDescent="0.2">
      <c r="F11283" s="494">
        <v>433</v>
      </c>
      <c r="G11283" s="495" t="s">
        <v>4183</v>
      </c>
      <c r="H11283" s="397"/>
      <c r="I11283" s="397"/>
      <c r="J11283" s="750" t="e">
        <f t="shared" si="148"/>
        <v>#DIV/0!</v>
      </c>
      <c r="K11283" s="398"/>
      <c r="L11283" s="398"/>
      <c r="M11283" s="682"/>
    </row>
    <row r="11284" spans="6:13" hidden="1" x14ac:dyDescent="0.2">
      <c r="F11284" s="494">
        <v>434</v>
      </c>
      <c r="G11284" s="495" t="s">
        <v>4184</v>
      </c>
      <c r="H11284" s="397"/>
      <c r="I11284" s="397"/>
      <c r="J11284" s="750" t="e">
        <f t="shared" si="148"/>
        <v>#DIV/0!</v>
      </c>
      <c r="K11284" s="398"/>
      <c r="L11284" s="398"/>
      <c r="M11284" s="682"/>
    </row>
    <row r="11285" spans="6:13" hidden="1" x14ac:dyDescent="0.2">
      <c r="F11285" s="494">
        <v>435</v>
      </c>
      <c r="G11285" s="495" t="s">
        <v>3792</v>
      </c>
      <c r="H11285" s="397"/>
      <c r="I11285" s="397"/>
      <c r="J11285" s="750" t="e">
        <f t="shared" si="148"/>
        <v>#DIV/0!</v>
      </c>
      <c r="K11285" s="398"/>
      <c r="L11285" s="398"/>
      <c r="M11285" s="682"/>
    </row>
    <row r="11286" spans="6:13" hidden="1" x14ac:dyDescent="0.2">
      <c r="F11286" s="494">
        <v>441</v>
      </c>
      <c r="G11286" s="495" t="s">
        <v>4185</v>
      </c>
      <c r="H11286" s="397"/>
      <c r="I11286" s="397"/>
      <c r="J11286" s="750" t="e">
        <f t="shared" si="148"/>
        <v>#DIV/0!</v>
      </c>
      <c r="K11286" s="398"/>
      <c r="L11286" s="398"/>
      <c r="M11286" s="682"/>
    </row>
    <row r="11287" spans="6:13" hidden="1" x14ac:dyDescent="0.2">
      <c r="F11287" s="494">
        <v>442</v>
      </c>
      <c r="G11287" s="495" t="s">
        <v>4186</v>
      </c>
      <c r="H11287" s="397"/>
      <c r="I11287" s="397"/>
      <c r="J11287" s="750" t="e">
        <f t="shared" si="148"/>
        <v>#DIV/0!</v>
      </c>
      <c r="K11287" s="398"/>
      <c r="L11287" s="398"/>
      <c r="M11287" s="682"/>
    </row>
    <row r="11288" spans="6:13" hidden="1" x14ac:dyDescent="0.2">
      <c r="F11288" s="494">
        <v>443</v>
      </c>
      <c r="G11288" s="495" t="s">
        <v>3797</v>
      </c>
      <c r="H11288" s="397"/>
      <c r="I11288" s="397"/>
      <c r="J11288" s="750" t="e">
        <f t="shared" si="148"/>
        <v>#DIV/0!</v>
      </c>
      <c r="K11288" s="398"/>
      <c r="L11288" s="398"/>
      <c r="M11288" s="682"/>
    </row>
    <row r="11289" spans="6:13" hidden="1" x14ac:dyDescent="0.2">
      <c r="F11289" s="494">
        <v>444</v>
      </c>
      <c r="G11289" s="495" t="s">
        <v>3798</v>
      </c>
      <c r="H11289" s="397"/>
      <c r="I11289" s="397"/>
      <c r="J11289" s="750" t="e">
        <f t="shared" si="148"/>
        <v>#DIV/0!</v>
      </c>
      <c r="K11289" s="398"/>
      <c r="L11289" s="398"/>
      <c r="M11289" s="682"/>
    </row>
    <row r="11290" spans="6:13" ht="25.5" hidden="1" x14ac:dyDescent="0.2">
      <c r="F11290" s="494">
        <v>4511</v>
      </c>
      <c r="G11290" s="466" t="s">
        <v>1692</v>
      </c>
      <c r="H11290" s="397"/>
      <c r="I11290" s="397"/>
      <c r="J11290" s="750" t="e">
        <f t="shared" si="148"/>
        <v>#DIV/0!</v>
      </c>
      <c r="K11290" s="398"/>
      <c r="L11290" s="398"/>
      <c r="M11290" s="682"/>
    </row>
    <row r="11291" spans="6:13" ht="25.5" hidden="1" x14ac:dyDescent="0.2">
      <c r="F11291" s="494">
        <v>4512</v>
      </c>
      <c r="G11291" s="466" t="s">
        <v>1701</v>
      </c>
      <c r="H11291" s="397"/>
      <c r="I11291" s="397"/>
      <c r="J11291" s="750" t="e">
        <f t="shared" si="148"/>
        <v>#DIV/0!</v>
      </c>
      <c r="K11291" s="398"/>
      <c r="L11291" s="398"/>
      <c r="M11291" s="682"/>
    </row>
    <row r="11292" spans="6:13" ht="25.5" hidden="1" x14ac:dyDescent="0.2">
      <c r="F11292" s="494">
        <v>452</v>
      </c>
      <c r="G11292" s="495" t="s">
        <v>4187</v>
      </c>
      <c r="H11292" s="397"/>
      <c r="I11292" s="397"/>
      <c r="J11292" s="750" t="e">
        <f t="shared" si="148"/>
        <v>#DIV/0!</v>
      </c>
      <c r="K11292" s="398"/>
      <c r="L11292" s="398"/>
      <c r="M11292" s="682"/>
    </row>
    <row r="11293" spans="6:13" ht="25.5" hidden="1" x14ac:dyDescent="0.2">
      <c r="F11293" s="494">
        <v>453</v>
      </c>
      <c r="G11293" s="495" t="s">
        <v>4188</v>
      </c>
      <c r="H11293" s="397"/>
      <c r="I11293" s="397"/>
      <c r="J11293" s="750" t="e">
        <f t="shared" si="148"/>
        <v>#DIV/0!</v>
      </c>
      <c r="K11293" s="398"/>
      <c r="L11293" s="398"/>
      <c r="M11293" s="682"/>
    </row>
    <row r="11294" spans="6:13" hidden="1" x14ac:dyDescent="0.2">
      <c r="F11294" s="494">
        <v>454</v>
      </c>
      <c r="G11294" s="495" t="s">
        <v>3803</v>
      </c>
      <c r="H11294" s="397"/>
      <c r="I11294" s="397"/>
      <c r="J11294" s="750" t="e">
        <f t="shared" si="148"/>
        <v>#DIV/0!</v>
      </c>
      <c r="K11294" s="398"/>
      <c r="L11294" s="398"/>
      <c r="M11294" s="682"/>
    </row>
    <row r="11295" spans="6:13" hidden="1" x14ac:dyDescent="0.2">
      <c r="F11295" s="494">
        <v>461</v>
      </c>
      <c r="G11295" s="495" t="s">
        <v>4169</v>
      </c>
      <c r="H11295" s="397"/>
      <c r="I11295" s="397"/>
      <c r="J11295" s="750" t="e">
        <f t="shared" si="148"/>
        <v>#DIV/0!</v>
      </c>
      <c r="K11295" s="398"/>
      <c r="L11295" s="398"/>
      <c r="M11295" s="682"/>
    </row>
    <row r="11296" spans="6:13" ht="25.5" hidden="1" x14ac:dyDescent="0.2">
      <c r="F11296" s="494">
        <v>462</v>
      </c>
      <c r="G11296" s="495" t="s">
        <v>3806</v>
      </c>
      <c r="H11296" s="397"/>
      <c r="I11296" s="397"/>
      <c r="J11296" s="750" t="e">
        <f t="shared" si="148"/>
        <v>#DIV/0!</v>
      </c>
      <c r="K11296" s="398"/>
      <c r="L11296" s="398"/>
      <c r="M11296" s="682"/>
    </row>
    <row r="11297" spans="6:13" hidden="1" x14ac:dyDescent="0.2">
      <c r="F11297" s="494">
        <v>4631</v>
      </c>
      <c r="G11297" s="495" t="s">
        <v>3807</v>
      </c>
      <c r="H11297" s="397"/>
      <c r="I11297" s="397"/>
      <c r="J11297" s="750" t="e">
        <f t="shared" si="148"/>
        <v>#DIV/0!</v>
      </c>
      <c r="K11297" s="398"/>
      <c r="L11297" s="398"/>
      <c r="M11297" s="682"/>
    </row>
    <row r="11298" spans="6:13" hidden="1" x14ac:dyDescent="0.2">
      <c r="F11298" s="494">
        <v>4632</v>
      </c>
      <c r="G11298" s="495" t="s">
        <v>3808</v>
      </c>
      <c r="H11298" s="397"/>
      <c r="I11298" s="397"/>
      <c r="J11298" s="750" t="e">
        <f t="shared" si="148"/>
        <v>#DIV/0!</v>
      </c>
      <c r="K11298" s="398"/>
      <c r="L11298" s="398"/>
      <c r="M11298" s="682"/>
    </row>
    <row r="11299" spans="6:13" ht="25.5" hidden="1" x14ac:dyDescent="0.2">
      <c r="F11299" s="494">
        <v>464</v>
      </c>
      <c r="G11299" s="495" t="s">
        <v>3809</v>
      </c>
      <c r="H11299" s="397"/>
      <c r="I11299" s="397"/>
      <c r="J11299" s="750" t="e">
        <f t="shared" si="148"/>
        <v>#DIV/0!</v>
      </c>
      <c r="K11299" s="398"/>
      <c r="L11299" s="398"/>
      <c r="M11299" s="682"/>
    </row>
    <row r="11300" spans="6:13" hidden="1" x14ac:dyDescent="0.2">
      <c r="F11300" s="494">
        <v>465</v>
      </c>
      <c r="G11300" s="495" t="s">
        <v>4170</v>
      </c>
      <c r="H11300" s="397"/>
      <c r="I11300" s="397"/>
      <c r="J11300" s="750" t="e">
        <f t="shared" si="148"/>
        <v>#DIV/0!</v>
      </c>
      <c r="K11300" s="398"/>
      <c r="L11300" s="398"/>
      <c r="M11300" s="682"/>
    </row>
    <row r="11301" spans="6:13" hidden="1" x14ac:dyDescent="0.2">
      <c r="F11301" s="494">
        <v>472</v>
      </c>
      <c r="G11301" s="495" t="s">
        <v>3813</v>
      </c>
      <c r="H11301" s="397"/>
      <c r="I11301" s="397"/>
      <c r="J11301" s="750" t="e">
        <f t="shared" si="148"/>
        <v>#DIV/0!</v>
      </c>
      <c r="K11301" s="398"/>
      <c r="L11301" s="398"/>
      <c r="M11301" s="682"/>
    </row>
    <row r="11302" spans="6:13" hidden="1" x14ac:dyDescent="0.2">
      <c r="F11302" s="494">
        <v>481</v>
      </c>
      <c r="G11302" s="495" t="s">
        <v>4189</v>
      </c>
      <c r="H11302" s="397"/>
      <c r="I11302" s="397"/>
      <c r="J11302" s="750" t="e">
        <f t="shared" si="148"/>
        <v>#DIV/0!</v>
      </c>
      <c r="K11302" s="398"/>
      <c r="L11302" s="398"/>
      <c r="M11302" s="682"/>
    </row>
    <row r="11303" spans="6:13" hidden="1" x14ac:dyDescent="0.2">
      <c r="F11303" s="494">
        <v>482</v>
      </c>
      <c r="G11303" s="495" t="s">
        <v>4190</v>
      </c>
      <c r="H11303" s="397"/>
      <c r="I11303" s="397"/>
      <c r="J11303" s="750" t="e">
        <f t="shared" si="148"/>
        <v>#DIV/0!</v>
      </c>
      <c r="K11303" s="398"/>
      <c r="L11303" s="398"/>
      <c r="M11303" s="682"/>
    </row>
    <row r="11304" spans="6:13" hidden="1" x14ac:dyDescent="0.2">
      <c r="F11304" s="494">
        <v>483</v>
      </c>
      <c r="G11304" s="497" t="s">
        <v>4191</v>
      </c>
      <c r="H11304" s="397"/>
      <c r="I11304" s="397"/>
      <c r="J11304" s="750" t="e">
        <f t="shared" si="148"/>
        <v>#DIV/0!</v>
      </c>
      <c r="K11304" s="398"/>
      <c r="L11304" s="398"/>
      <c r="M11304" s="682"/>
    </row>
    <row r="11305" spans="6:13" ht="38.25" hidden="1" x14ac:dyDescent="0.2">
      <c r="F11305" s="494">
        <v>484</v>
      </c>
      <c r="G11305" s="495" t="s">
        <v>4192</v>
      </c>
      <c r="H11305" s="397"/>
      <c r="I11305" s="397"/>
      <c r="J11305" s="750" t="e">
        <f t="shared" si="148"/>
        <v>#DIV/0!</v>
      </c>
      <c r="K11305" s="398"/>
      <c r="L11305" s="398"/>
      <c r="M11305" s="682"/>
    </row>
    <row r="11306" spans="6:13" ht="25.5" hidden="1" x14ac:dyDescent="0.2">
      <c r="F11306" s="494">
        <v>485</v>
      </c>
      <c r="G11306" s="495" t="s">
        <v>4193</v>
      </c>
      <c r="H11306" s="397"/>
      <c r="I11306" s="397"/>
      <c r="J11306" s="750" t="e">
        <f t="shared" si="148"/>
        <v>#DIV/0!</v>
      </c>
      <c r="K11306" s="398"/>
      <c r="L11306" s="398"/>
      <c r="M11306" s="682"/>
    </row>
    <row r="11307" spans="6:13" ht="25.5" hidden="1" x14ac:dyDescent="0.2">
      <c r="F11307" s="494">
        <v>489</v>
      </c>
      <c r="G11307" s="495" t="s">
        <v>3821</v>
      </c>
      <c r="H11307" s="397"/>
      <c r="I11307" s="397"/>
      <c r="J11307" s="750" t="e">
        <f t="shared" si="148"/>
        <v>#DIV/0!</v>
      </c>
      <c r="K11307" s="398"/>
      <c r="L11307" s="398"/>
      <c r="M11307" s="682"/>
    </row>
    <row r="11308" spans="6:13" ht="25.5" hidden="1" x14ac:dyDescent="0.2">
      <c r="F11308" s="494">
        <v>494</v>
      </c>
      <c r="G11308" s="495" t="s">
        <v>4171</v>
      </c>
      <c r="H11308" s="397"/>
      <c r="I11308" s="397"/>
      <c r="J11308" s="750" t="e">
        <f t="shared" si="148"/>
        <v>#DIV/0!</v>
      </c>
      <c r="K11308" s="398"/>
      <c r="L11308" s="398"/>
      <c r="M11308" s="682"/>
    </row>
    <row r="11309" spans="6:13" ht="25.5" hidden="1" x14ac:dyDescent="0.2">
      <c r="F11309" s="494">
        <v>495</v>
      </c>
      <c r="G11309" s="495" t="s">
        <v>4172</v>
      </c>
      <c r="H11309" s="397"/>
      <c r="I11309" s="397"/>
      <c r="J11309" s="750" t="e">
        <f t="shared" si="148"/>
        <v>#DIV/0!</v>
      </c>
      <c r="K11309" s="398"/>
      <c r="L11309" s="398"/>
      <c r="M11309" s="682"/>
    </row>
    <row r="11310" spans="6:13" ht="38.25" hidden="1" x14ac:dyDescent="0.2">
      <c r="F11310" s="494">
        <v>496</v>
      </c>
      <c r="G11310" s="495" t="s">
        <v>4173</v>
      </c>
      <c r="H11310" s="397"/>
      <c r="I11310" s="397"/>
      <c r="J11310" s="750" t="e">
        <f t="shared" si="148"/>
        <v>#DIV/0!</v>
      </c>
      <c r="K11310" s="398"/>
      <c r="L11310" s="398"/>
      <c r="M11310" s="682"/>
    </row>
    <row r="11311" spans="6:13" ht="25.5" hidden="1" x14ac:dyDescent="0.2">
      <c r="F11311" s="494">
        <v>499</v>
      </c>
      <c r="G11311" s="495" t="s">
        <v>4174</v>
      </c>
      <c r="H11311" s="397"/>
      <c r="I11311" s="397"/>
      <c r="J11311" s="750" t="e">
        <f t="shared" si="148"/>
        <v>#DIV/0!</v>
      </c>
      <c r="K11311" s="398"/>
      <c r="L11311" s="398"/>
      <c r="M11311" s="682"/>
    </row>
    <row r="11312" spans="6:13" hidden="1" x14ac:dyDescent="0.2">
      <c r="F11312" s="494">
        <v>511</v>
      </c>
      <c r="G11312" s="497" t="s">
        <v>4194</v>
      </c>
      <c r="H11312" s="397"/>
      <c r="I11312" s="397"/>
      <c r="J11312" s="750" t="e">
        <f t="shared" si="148"/>
        <v>#DIV/0!</v>
      </c>
      <c r="K11312" s="398"/>
      <c r="L11312" s="398"/>
      <c r="M11312" s="682"/>
    </row>
    <row r="11313" spans="5:13" hidden="1" x14ac:dyDescent="0.2">
      <c r="F11313" s="494">
        <v>512</v>
      </c>
      <c r="G11313" s="497" t="s">
        <v>4195</v>
      </c>
      <c r="H11313" s="397"/>
      <c r="I11313" s="397"/>
      <c r="J11313" s="750" t="e">
        <f t="shared" si="148"/>
        <v>#DIV/0!</v>
      </c>
      <c r="K11313" s="398"/>
      <c r="L11313" s="398"/>
      <c r="M11313" s="682"/>
    </row>
    <row r="11314" spans="5:13" hidden="1" x14ac:dyDescent="0.2">
      <c r="F11314" s="494">
        <v>513</v>
      </c>
      <c r="G11314" s="497" t="s">
        <v>4196</v>
      </c>
      <c r="H11314" s="397"/>
      <c r="I11314" s="397"/>
      <c r="J11314" s="750" t="e">
        <f t="shared" si="148"/>
        <v>#DIV/0!</v>
      </c>
      <c r="K11314" s="398"/>
      <c r="L11314" s="398"/>
      <c r="M11314" s="682"/>
    </row>
    <row r="11315" spans="5:13" hidden="1" x14ac:dyDescent="0.2">
      <c r="F11315" s="494">
        <v>514</v>
      </c>
      <c r="G11315" s="495" t="s">
        <v>4197</v>
      </c>
      <c r="H11315" s="397"/>
      <c r="I11315" s="397"/>
      <c r="J11315" s="750" t="e">
        <f t="shared" si="148"/>
        <v>#DIV/0!</v>
      </c>
      <c r="K11315" s="398"/>
      <c r="L11315" s="398"/>
      <c r="M11315" s="682"/>
    </row>
    <row r="11316" spans="5:13" hidden="1" x14ac:dyDescent="0.2">
      <c r="F11316" s="494">
        <v>515</v>
      </c>
      <c r="G11316" s="495" t="s">
        <v>3832</v>
      </c>
      <c r="H11316" s="397"/>
      <c r="I11316" s="397"/>
      <c r="J11316" s="750" t="e">
        <f t="shared" si="148"/>
        <v>#DIV/0!</v>
      </c>
      <c r="K11316" s="398"/>
      <c r="L11316" s="398"/>
      <c r="M11316" s="682"/>
    </row>
    <row r="11317" spans="5:13" hidden="1" x14ac:dyDescent="0.2">
      <c r="F11317" s="494">
        <v>521</v>
      </c>
      <c r="G11317" s="495" t="s">
        <v>4198</v>
      </c>
      <c r="H11317" s="397"/>
      <c r="I11317" s="397"/>
      <c r="J11317" s="750" t="e">
        <f t="shared" si="148"/>
        <v>#DIV/0!</v>
      </c>
      <c r="K11317" s="398"/>
      <c r="L11317" s="398"/>
      <c r="M11317" s="682"/>
    </row>
    <row r="11318" spans="5:13" hidden="1" x14ac:dyDescent="0.2">
      <c r="F11318" s="494">
        <v>522</v>
      </c>
      <c r="G11318" s="495" t="s">
        <v>4199</v>
      </c>
      <c r="H11318" s="397"/>
      <c r="I11318" s="397"/>
      <c r="J11318" s="750" t="e">
        <f t="shared" si="148"/>
        <v>#DIV/0!</v>
      </c>
      <c r="K11318" s="398"/>
      <c r="L11318" s="398"/>
      <c r="M11318" s="682"/>
    </row>
    <row r="11319" spans="5:13" hidden="1" x14ac:dyDescent="0.2">
      <c r="F11319" s="494">
        <v>523</v>
      </c>
      <c r="G11319" s="495" t="s">
        <v>3837</v>
      </c>
      <c r="H11319" s="397"/>
      <c r="I11319" s="397"/>
      <c r="J11319" s="750" t="e">
        <f t="shared" si="148"/>
        <v>#DIV/0!</v>
      </c>
      <c r="K11319" s="398"/>
      <c r="L11319" s="398"/>
      <c r="M11319" s="682"/>
    </row>
    <row r="11320" spans="5:13" hidden="1" x14ac:dyDescent="0.2">
      <c r="F11320" s="494">
        <v>531</v>
      </c>
      <c r="G11320" s="496" t="s">
        <v>4175</v>
      </c>
      <c r="H11320" s="397"/>
      <c r="I11320" s="397"/>
      <c r="J11320" s="750" t="e">
        <f t="shared" si="148"/>
        <v>#DIV/0!</v>
      </c>
      <c r="K11320" s="398"/>
      <c r="L11320" s="398"/>
      <c r="M11320" s="682"/>
    </row>
    <row r="11321" spans="5:13" hidden="1" x14ac:dyDescent="0.2">
      <c r="F11321" s="494">
        <v>541</v>
      </c>
      <c r="G11321" s="495" t="s">
        <v>4200</v>
      </c>
      <c r="H11321" s="397"/>
      <c r="I11321" s="397"/>
      <c r="J11321" s="750" t="e">
        <f t="shared" si="148"/>
        <v>#DIV/0!</v>
      </c>
      <c r="K11321" s="398"/>
      <c r="L11321" s="398"/>
      <c r="M11321" s="682"/>
    </row>
    <row r="11322" spans="5:13" hidden="1" x14ac:dyDescent="0.2">
      <c r="F11322" s="494">
        <v>542</v>
      </c>
      <c r="G11322" s="495" t="s">
        <v>4201</v>
      </c>
      <c r="H11322" s="397"/>
      <c r="I11322" s="397"/>
      <c r="J11322" s="750" t="e">
        <f t="shared" si="148"/>
        <v>#DIV/0!</v>
      </c>
      <c r="K11322" s="398"/>
      <c r="L11322" s="398"/>
      <c r="M11322" s="682"/>
    </row>
    <row r="11323" spans="5:13" hidden="1" x14ac:dyDescent="0.2">
      <c r="F11323" s="494">
        <v>543</v>
      </c>
      <c r="G11323" s="495" t="s">
        <v>3842</v>
      </c>
      <c r="H11323" s="397"/>
      <c r="I11323" s="397"/>
      <c r="J11323" s="750" t="e">
        <f t="shared" si="148"/>
        <v>#DIV/0!</v>
      </c>
      <c r="K11323" s="398"/>
      <c r="L11323" s="398"/>
      <c r="M11323" s="682"/>
    </row>
    <row r="11324" spans="5:13" ht="38.25" hidden="1" x14ac:dyDescent="0.2">
      <c r="F11324" s="494">
        <v>551</v>
      </c>
      <c r="G11324" s="495" t="s">
        <v>4176</v>
      </c>
      <c r="H11324" s="397"/>
      <c r="I11324" s="397"/>
      <c r="J11324" s="750" t="e">
        <f t="shared" si="148"/>
        <v>#DIV/0!</v>
      </c>
      <c r="K11324" s="398"/>
      <c r="L11324" s="398"/>
      <c r="M11324" s="682"/>
    </row>
    <row r="11325" spans="5:13" hidden="1" x14ac:dyDescent="0.2">
      <c r="F11325" s="498">
        <v>611</v>
      </c>
      <c r="G11325" s="499" t="s">
        <v>3848</v>
      </c>
      <c r="H11325" s="397"/>
      <c r="I11325" s="397"/>
      <c r="J11325" s="750" t="e">
        <f t="shared" si="148"/>
        <v>#DIV/0!</v>
      </c>
      <c r="K11325" s="398"/>
      <c r="L11325" s="398"/>
      <c r="M11325" s="682"/>
    </row>
    <row r="11326" spans="5:13" hidden="1" x14ac:dyDescent="0.2">
      <c r="F11326" s="498">
        <v>620</v>
      </c>
      <c r="G11326" s="499" t="s">
        <v>88</v>
      </c>
      <c r="H11326" s="397"/>
      <c r="I11326" s="397"/>
      <c r="J11326" s="750" t="e">
        <f t="shared" si="148"/>
        <v>#DIV/0!</v>
      </c>
      <c r="K11326" s="398"/>
      <c r="L11326" s="398"/>
      <c r="M11326" s="682"/>
    </row>
    <row r="11327" spans="5:13" hidden="1" x14ac:dyDescent="0.2">
      <c r="E11327" s="500"/>
      <c r="F11327" s="498"/>
      <c r="G11327" s="509" t="s">
        <v>4363</v>
      </c>
      <c r="H11327" s="400"/>
      <c r="I11327" s="400"/>
      <c r="J11327" s="750" t="e">
        <f t="shared" si="148"/>
        <v>#DIV/0!</v>
      </c>
      <c r="K11327" s="401"/>
      <c r="L11327" s="402"/>
      <c r="M11327" s="682"/>
    </row>
    <row r="11328" spans="5:13" hidden="1" x14ac:dyDescent="0.2">
      <c r="E11328" s="502"/>
      <c r="F11328" s="503" t="s">
        <v>234</v>
      </c>
      <c r="G11328" s="504" t="s">
        <v>235</v>
      </c>
      <c r="H11328" s="403">
        <f>SUM(H11267:H11326)</f>
        <v>0</v>
      </c>
      <c r="I11328" s="403"/>
      <c r="J11328" s="750" t="e">
        <f t="shared" si="148"/>
        <v>#DIV/0!</v>
      </c>
      <c r="K11328" s="404"/>
      <c r="L11328" s="404"/>
      <c r="M11328" s="682"/>
    </row>
    <row r="11329" spans="6:13" hidden="1" x14ac:dyDescent="0.2">
      <c r="F11329" s="503" t="s">
        <v>236</v>
      </c>
      <c r="G11329" s="504" t="s">
        <v>237</v>
      </c>
      <c r="H11329" s="397"/>
      <c r="I11329" s="397"/>
      <c r="J11329" s="750" t="e">
        <f t="shared" si="148"/>
        <v>#DIV/0!</v>
      </c>
      <c r="K11329" s="398"/>
      <c r="L11329" s="404"/>
      <c r="M11329" s="682"/>
    </row>
    <row r="11330" spans="6:13" hidden="1" x14ac:dyDescent="0.2">
      <c r="F11330" s="503" t="s">
        <v>238</v>
      </c>
      <c r="G11330" s="504" t="s">
        <v>239</v>
      </c>
      <c r="H11330" s="397"/>
      <c r="I11330" s="397"/>
      <c r="J11330" s="750" t="e">
        <f t="shared" si="148"/>
        <v>#DIV/0!</v>
      </c>
      <c r="K11330" s="398"/>
      <c r="L11330" s="404"/>
      <c r="M11330" s="682"/>
    </row>
    <row r="11331" spans="6:13" hidden="1" x14ac:dyDescent="0.2">
      <c r="F11331" s="503" t="s">
        <v>240</v>
      </c>
      <c r="G11331" s="504" t="s">
        <v>241</v>
      </c>
      <c r="H11331" s="397"/>
      <c r="I11331" s="397"/>
      <c r="J11331" s="750" t="e">
        <f t="shared" si="148"/>
        <v>#DIV/0!</v>
      </c>
      <c r="K11331" s="398"/>
      <c r="L11331" s="404"/>
      <c r="M11331" s="682"/>
    </row>
    <row r="11332" spans="6:13" hidden="1" x14ac:dyDescent="0.2">
      <c r="F11332" s="503" t="s">
        <v>242</v>
      </c>
      <c r="G11332" s="504" t="s">
        <v>243</v>
      </c>
      <c r="H11332" s="397"/>
      <c r="I11332" s="397"/>
      <c r="J11332" s="750" t="e">
        <f t="shared" si="148"/>
        <v>#DIV/0!</v>
      </c>
      <c r="K11332" s="398"/>
      <c r="L11332" s="404"/>
      <c r="M11332" s="682"/>
    </row>
    <row r="11333" spans="6:13" hidden="1" x14ac:dyDescent="0.2">
      <c r="F11333" s="503" t="s">
        <v>244</v>
      </c>
      <c r="G11333" s="504" t="s">
        <v>245</v>
      </c>
      <c r="H11333" s="397"/>
      <c r="I11333" s="397"/>
      <c r="J11333" s="750" t="e">
        <f t="shared" si="148"/>
        <v>#DIV/0!</v>
      </c>
      <c r="K11333" s="398"/>
      <c r="L11333" s="404"/>
      <c r="M11333" s="682"/>
    </row>
    <row r="11334" spans="6:13" hidden="1" x14ac:dyDescent="0.2">
      <c r="F11334" s="503" t="s">
        <v>246</v>
      </c>
      <c r="G11334" s="504" t="s">
        <v>247</v>
      </c>
      <c r="H11334" s="397"/>
      <c r="I11334" s="397"/>
      <c r="J11334" s="750" t="e">
        <f t="shared" si="148"/>
        <v>#DIV/0!</v>
      </c>
      <c r="K11334" s="398"/>
      <c r="L11334" s="404"/>
      <c r="M11334" s="682"/>
    </row>
    <row r="11335" spans="6:13" ht="25.5" hidden="1" x14ac:dyDescent="0.2">
      <c r="F11335" s="503" t="s">
        <v>248</v>
      </c>
      <c r="G11335" s="504" t="s">
        <v>249</v>
      </c>
      <c r="H11335" s="397"/>
      <c r="I11335" s="397"/>
      <c r="J11335" s="750" t="e">
        <f t="shared" si="148"/>
        <v>#DIV/0!</v>
      </c>
      <c r="K11335" s="398"/>
      <c r="L11335" s="404"/>
      <c r="M11335" s="682"/>
    </row>
    <row r="11336" spans="6:13" hidden="1" x14ac:dyDescent="0.2">
      <c r="F11336" s="503" t="s">
        <v>250</v>
      </c>
      <c r="G11336" s="504" t="s">
        <v>57</v>
      </c>
      <c r="H11336" s="397"/>
      <c r="I11336" s="397"/>
      <c r="J11336" s="750" t="e">
        <f t="shared" si="148"/>
        <v>#DIV/0!</v>
      </c>
      <c r="K11336" s="398"/>
      <c r="L11336" s="404"/>
      <c r="M11336" s="682"/>
    </row>
    <row r="11337" spans="6:13" hidden="1" x14ac:dyDescent="0.2">
      <c r="F11337" s="503" t="s">
        <v>251</v>
      </c>
      <c r="G11337" s="504" t="s">
        <v>252</v>
      </c>
      <c r="H11337" s="397"/>
      <c r="I11337" s="397"/>
      <c r="J11337" s="750" t="e">
        <f t="shared" si="148"/>
        <v>#DIV/0!</v>
      </c>
      <c r="K11337" s="398"/>
      <c r="L11337" s="404"/>
      <c r="M11337" s="682"/>
    </row>
    <row r="11338" spans="6:13" hidden="1" x14ac:dyDescent="0.2">
      <c r="F11338" s="503" t="s">
        <v>253</v>
      </c>
      <c r="G11338" s="504" t="s">
        <v>254</v>
      </c>
      <c r="H11338" s="397"/>
      <c r="I11338" s="397"/>
      <c r="J11338" s="750" t="e">
        <f t="shared" si="148"/>
        <v>#DIV/0!</v>
      </c>
      <c r="K11338" s="398"/>
      <c r="L11338" s="404"/>
      <c r="M11338" s="682"/>
    </row>
    <row r="11339" spans="6:13" ht="25.5" hidden="1" x14ac:dyDescent="0.2">
      <c r="F11339" s="503" t="s">
        <v>255</v>
      </c>
      <c r="G11339" s="504" t="s">
        <v>256</v>
      </c>
      <c r="H11339" s="397"/>
      <c r="I11339" s="397"/>
      <c r="J11339" s="750" t="e">
        <f t="shared" si="148"/>
        <v>#DIV/0!</v>
      </c>
      <c r="K11339" s="398"/>
      <c r="L11339" s="404"/>
      <c r="M11339" s="682"/>
    </row>
    <row r="11340" spans="6:13" ht="25.5" hidden="1" x14ac:dyDescent="0.2">
      <c r="F11340" s="503" t="s">
        <v>257</v>
      </c>
      <c r="G11340" s="504" t="s">
        <v>258</v>
      </c>
      <c r="H11340" s="397"/>
      <c r="I11340" s="397"/>
      <c r="J11340" s="750" t="e">
        <f t="shared" si="148"/>
        <v>#DIV/0!</v>
      </c>
      <c r="K11340" s="398"/>
      <c r="L11340" s="404"/>
      <c r="M11340" s="682"/>
    </row>
    <row r="11341" spans="6:13" ht="25.5" hidden="1" x14ac:dyDescent="0.2">
      <c r="F11341" s="503" t="s">
        <v>259</v>
      </c>
      <c r="G11341" s="504" t="s">
        <v>260</v>
      </c>
      <c r="H11341" s="397"/>
      <c r="I11341" s="397"/>
      <c r="J11341" s="750" t="e">
        <f t="shared" si="148"/>
        <v>#DIV/0!</v>
      </c>
      <c r="K11341" s="398"/>
      <c r="L11341" s="404"/>
      <c r="M11341" s="682"/>
    </row>
    <row r="11342" spans="6:13" ht="25.5" hidden="1" x14ac:dyDescent="0.2">
      <c r="F11342" s="503" t="s">
        <v>261</v>
      </c>
      <c r="G11342" s="504" t="s">
        <v>262</v>
      </c>
      <c r="H11342" s="397"/>
      <c r="I11342" s="397"/>
      <c r="J11342" s="750" t="e">
        <f t="shared" ref="J11342:J11405" si="149">SUM(I11342/H11342)*100</f>
        <v>#DIV/0!</v>
      </c>
      <c r="K11342" s="398"/>
      <c r="L11342" s="404"/>
      <c r="M11342" s="682"/>
    </row>
    <row r="11343" spans="6:13" hidden="1" x14ac:dyDescent="0.2">
      <c r="F11343" s="503" t="s">
        <v>263</v>
      </c>
      <c r="G11343" s="504" t="s">
        <v>264</v>
      </c>
      <c r="H11343" s="403"/>
      <c r="I11343" s="403"/>
      <c r="J11343" s="750" t="e">
        <f t="shared" si="149"/>
        <v>#DIV/0!</v>
      </c>
      <c r="K11343" s="404"/>
      <c r="L11343" s="404"/>
      <c r="M11343" s="682"/>
    </row>
    <row r="11344" spans="6:13" ht="13.5" hidden="1" thickBot="1" x14ac:dyDescent="0.25">
      <c r="G11344" s="505" t="s">
        <v>4362</v>
      </c>
      <c r="H11344" s="405">
        <f>SUM(H11328:H11343)</f>
        <v>0</v>
      </c>
      <c r="I11344" s="405"/>
      <c r="J11344" s="750" t="e">
        <f t="shared" si="149"/>
        <v>#DIV/0!</v>
      </c>
      <c r="K11344" s="406">
        <f>SUM(K11329:K11343)</f>
        <v>0</v>
      </c>
      <c r="L11344" s="406"/>
      <c r="M11344" s="682"/>
    </row>
    <row r="11345" spans="5:13" hidden="1" collapsed="1" x14ac:dyDescent="0.2">
      <c r="E11345" s="500"/>
      <c r="F11345" s="498"/>
      <c r="G11345" s="506" t="s">
        <v>5051</v>
      </c>
      <c r="H11345" s="407"/>
      <c r="I11345" s="408"/>
      <c r="J11345" s="750" t="e">
        <f t="shared" si="149"/>
        <v>#DIV/0!</v>
      </c>
      <c r="K11345" s="409"/>
      <c r="L11345" s="410"/>
      <c r="M11345" s="682"/>
    </row>
    <row r="11346" spans="5:13" hidden="1" x14ac:dyDescent="0.2">
      <c r="E11346" s="502"/>
      <c r="F11346" s="503" t="s">
        <v>234</v>
      </c>
      <c r="G11346" s="504" t="s">
        <v>235</v>
      </c>
      <c r="H11346" s="403">
        <f>SUM(H11267:H11326)</f>
        <v>0</v>
      </c>
      <c r="I11346" s="403"/>
      <c r="J11346" s="750" t="e">
        <f t="shared" si="149"/>
        <v>#DIV/0!</v>
      </c>
      <c r="K11346" s="404"/>
      <c r="L11346" s="404"/>
      <c r="M11346" s="682"/>
    </row>
    <row r="11347" spans="5:13" hidden="1" x14ac:dyDescent="0.2">
      <c r="F11347" s="503" t="s">
        <v>236</v>
      </c>
      <c r="G11347" s="504" t="s">
        <v>237</v>
      </c>
      <c r="H11347" s="397"/>
      <c r="I11347" s="397"/>
      <c r="J11347" s="750" t="e">
        <f t="shared" si="149"/>
        <v>#DIV/0!</v>
      </c>
      <c r="K11347" s="398"/>
      <c r="L11347" s="404"/>
      <c r="M11347" s="682"/>
    </row>
    <row r="11348" spans="5:13" hidden="1" x14ac:dyDescent="0.2">
      <c r="F11348" s="503" t="s">
        <v>238</v>
      </c>
      <c r="G11348" s="504" t="s">
        <v>239</v>
      </c>
      <c r="H11348" s="397"/>
      <c r="I11348" s="397"/>
      <c r="J11348" s="750" t="e">
        <f t="shared" si="149"/>
        <v>#DIV/0!</v>
      </c>
      <c r="K11348" s="398"/>
      <c r="L11348" s="404"/>
      <c r="M11348" s="682"/>
    </row>
    <row r="11349" spans="5:13" hidden="1" x14ac:dyDescent="0.2">
      <c r="F11349" s="503" t="s">
        <v>240</v>
      </c>
      <c r="G11349" s="504" t="s">
        <v>241</v>
      </c>
      <c r="H11349" s="397"/>
      <c r="I11349" s="397"/>
      <c r="J11349" s="750" t="e">
        <f t="shared" si="149"/>
        <v>#DIV/0!</v>
      </c>
      <c r="K11349" s="398"/>
      <c r="L11349" s="404"/>
      <c r="M11349" s="682"/>
    </row>
    <row r="11350" spans="5:13" hidden="1" x14ac:dyDescent="0.2">
      <c r="F11350" s="503" t="s">
        <v>242</v>
      </c>
      <c r="G11350" s="504" t="s">
        <v>243</v>
      </c>
      <c r="H11350" s="397"/>
      <c r="I11350" s="397"/>
      <c r="J11350" s="750" t="e">
        <f t="shared" si="149"/>
        <v>#DIV/0!</v>
      </c>
      <c r="K11350" s="398"/>
      <c r="L11350" s="404"/>
      <c r="M11350" s="682"/>
    </row>
    <row r="11351" spans="5:13" hidden="1" x14ac:dyDescent="0.2">
      <c r="F11351" s="503" t="s">
        <v>244</v>
      </c>
      <c r="G11351" s="504" t="s">
        <v>245</v>
      </c>
      <c r="H11351" s="397"/>
      <c r="I11351" s="397"/>
      <c r="J11351" s="750" t="e">
        <f t="shared" si="149"/>
        <v>#DIV/0!</v>
      </c>
      <c r="K11351" s="398"/>
      <c r="L11351" s="404"/>
      <c r="M11351" s="682"/>
    </row>
    <row r="11352" spans="5:13" hidden="1" x14ac:dyDescent="0.2">
      <c r="F11352" s="503" t="s">
        <v>246</v>
      </c>
      <c r="G11352" s="504" t="s">
        <v>247</v>
      </c>
      <c r="H11352" s="397"/>
      <c r="I11352" s="397"/>
      <c r="J11352" s="750" t="e">
        <f t="shared" si="149"/>
        <v>#DIV/0!</v>
      </c>
      <c r="K11352" s="398"/>
      <c r="L11352" s="404"/>
      <c r="M11352" s="682"/>
    </row>
    <row r="11353" spans="5:13" ht="25.5" hidden="1" x14ac:dyDescent="0.2">
      <c r="F11353" s="503" t="s">
        <v>248</v>
      </c>
      <c r="G11353" s="504" t="s">
        <v>249</v>
      </c>
      <c r="H11353" s="397"/>
      <c r="I11353" s="397"/>
      <c r="J11353" s="750" t="e">
        <f t="shared" si="149"/>
        <v>#DIV/0!</v>
      </c>
      <c r="K11353" s="398"/>
      <c r="L11353" s="404"/>
      <c r="M11353" s="682"/>
    </row>
    <row r="11354" spans="5:13" hidden="1" x14ac:dyDescent="0.2">
      <c r="F11354" s="503" t="s">
        <v>250</v>
      </c>
      <c r="G11354" s="504" t="s">
        <v>57</v>
      </c>
      <c r="H11354" s="397"/>
      <c r="I11354" s="397"/>
      <c r="J11354" s="750" t="e">
        <f t="shared" si="149"/>
        <v>#DIV/0!</v>
      </c>
      <c r="K11354" s="398"/>
      <c r="L11354" s="404"/>
      <c r="M11354" s="682"/>
    </row>
    <row r="11355" spans="5:13" hidden="1" x14ac:dyDescent="0.2">
      <c r="F11355" s="503" t="s">
        <v>251</v>
      </c>
      <c r="G11355" s="504" t="s">
        <v>252</v>
      </c>
      <c r="H11355" s="397"/>
      <c r="I11355" s="397"/>
      <c r="J11355" s="750" t="e">
        <f t="shared" si="149"/>
        <v>#DIV/0!</v>
      </c>
      <c r="K11355" s="398"/>
      <c r="L11355" s="404"/>
      <c r="M11355" s="682"/>
    </row>
    <row r="11356" spans="5:13" hidden="1" x14ac:dyDescent="0.2">
      <c r="F11356" s="503" t="s">
        <v>253</v>
      </c>
      <c r="G11356" s="504" t="s">
        <v>254</v>
      </c>
      <c r="H11356" s="397"/>
      <c r="I11356" s="397"/>
      <c r="J11356" s="750" t="e">
        <f t="shared" si="149"/>
        <v>#DIV/0!</v>
      </c>
      <c r="K11356" s="398"/>
      <c r="L11356" s="404"/>
      <c r="M11356" s="682"/>
    </row>
    <row r="11357" spans="5:13" ht="25.5" hidden="1" x14ac:dyDescent="0.2">
      <c r="F11357" s="503" t="s">
        <v>255</v>
      </c>
      <c r="G11357" s="504" t="s">
        <v>256</v>
      </c>
      <c r="H11357" s="397"/>
      <c r="I11357" s="397"/>
      <c r="J11357" s="750" t="e">
        <f t="shared" si="149"/>
        <v>#DIV/0!</v>
      </c>
      <c r="K11357" s="398"/>
      <c r="L11357" s="404"/>
      <c r="M11357" s="682"/>
    </row>
    <row r="11358" spans="5:13" ht="25.5" hidden="1" x14ac:dyDescent="0.2">
      <c r="F11358" s="503" t="s">
        <v>257</v>
      </c>
      <c r="G11358" s="504" t="s">
        <v>258</v>
      </c>
      <c r="H11358" s="397"/>
      <c r="I11358" s="397"/>
      <c r="J11358" s="750" t="e">
        <f t="shared" si="149"/>
        <v>#DIV/0!</v>
      </c>
      <c r="K11358" s="398"/>
      <c r="L11358" s="404"/>
      <c r="M11358" s="682"/>
    </row>
    <row r="11359" spans="5:13" ht="25.5" hidden="1" x14ac:dyDescent="0.2">
      <c r="F11359" s="503" t="s">
        <v>259</v>
      </c>
      <c r="G11359" s="504" t="s">
        <v>260</v>
      </c>
      <c r="H11359" s="397"/>
      <c r="I11359" s="397"/>
      <c r="J11359" s="750" t="e">
        <f t="shared" si="149"/>
        <v>#DIV/0!</v>
      </c>
      <c r="K11359" s="398"/>
      <c r="L11359" s="404"/>
      <c r="M11359" s="682"/>
    </row>
    <row r="11360" spans="5:13" ht="25.5" hidden="1" x14ac:dyDescent="0.2">
      <c r="F11360" s="503" t="s">
        <v>261</v>
      </c>
      <c r="G11360" s="504" t="s">
        <v>262</v>
      </c>
      <c r="H11360" s="397"/>
      <c r="I11360" s="397"/>
      <c r="J11360" s="750" t="e">
        <f t="shared" si="149"/>
        <v>#DIV/0!</v>
      </c>
      <c r="K11360" s="398"/>
      <c r="L11360" s="404"/>
      <c r="M11360" s="682"/>
    </row>
    <row r="11361" spans="3:13" hidden="1" x14ac:dyDescent="0.2">
      <c r="F11361" s="503" t="s">
        <v>263</v>
      </c>
      <c r="G11361" s="504" t="s">
        <v>264</v>
      </c>
      <c r="H11361" s="403"/>
      <c r="I11361" s="403"/>
      <c r="J11361" s="750" t="e">
        <f t="shared" si="149"/>
        <v>#DIV/0!</v>
      </c>
      <c r="K11361" s="404"/>
      <c r="L11361" s="404"/>
      <c r="M11361" s="682"/>
    </row>
    <row r="11362" spans="3:13" ht="13.5" hidden="1" thickBot="1" x14ac:dyDescent="0.25">
      <c r="G11362" s="505" t="s">
        <v>5010</v>
      </c>
      <c r="H11362" s="405">
        <f>SUM(H11346:H11361)</f>
        <v>0</v>
      </c>
      <c r="I11362" s="405"/>
      <c r="J11362" s="750" t="e">
        <f t="shared" si="149"/>
        <v>#DIV/0!</v>
      </c>
      <c r="K11362" s="406">
        <f>SUM(K11347:K11361)</f>
        <v>0</v>
      </c>
      <c r="L11362" s="406"/>
      <c r="M11362" s="682"/>
    </row>
    <row r="11363" spans="3:13" hidden="1" x14ac:dyDescent="0.2">
      <c r="H11363" s="397"/>
      <c r="I11363" s="397"/>
      <c r="J11363" s="750" t="e">
        <f t="shared" si="149"/>
        <v>#DIV/0!</v>
      </c>
      <c r="K11363" s="398"/>
      <c r="L11363" s="398"/>
      <c r="M11363" s="682"/>
    </row>
    <row r="11364" spans="3:13" hidden="1" x14ac:dyDescent="0.2">
      <c r="C11364" s="489" t="s">
        <v>4635</v>
      </c>
      <c r="D11364" s="490"/>
      <c r="G11364" s="508"/>
      <c r="H11364" s="397"/>
      <c r="I11364" s="397"/>
      <c r="J11364" s="750" t="e">
        <f t="shared" si="149"/>
        <v>#DIV/0!</v>
      </c>
      <c r="K11364" s="398"/>
      <c r="L11364" s="398"/>
      <c r="M11364" s="682"/>
    </row>
    <row r="11365" spans="3:13" hidden="1" x14ac:dyDescent="0.2">
      <c r="C11365" s="489"/>
      <c r="D11365" s="492">
        <v>451</v>
      </c>
      <c r="E11365" s="492"/>
      <c r="F11365" s="492"/>
      <c r="G11365" s="493" t="s">
        <v>153</v>
      </c>
      <c r="H11365" s="397"/>
      <c r="I11365" s="397"/>
      <c r="J11365" s="750" t="e">
        <f t="shared" si="149"/>
        <v>#DIV/0!</v>
      </c>
      <c r="K11365" s="398"/>
      <c r="L11365" s="398"/>
      <c r="M11365" s="682"/>
    </row>
    <row r="11366" spans="3:13" hidden="1" x14ac:dyDescent="0.2">
      <c r="F11366" s="494">
        <v>411</v>
      </c>
      <c r="G11366" s="495" t="s">
        <v>4167</v>
      </c>
      <c r="H11366" s="397"/>
      <c r="I11366" s="397"/>
      <c r="J11366" s="750" t="e">
        <f t="shared" si="149"/>
        <v>#DIV/0!</v>
      </c>
      <c r="K11366" s="398"/>
      <c r="L11366" s="398"/>
      <c r="M11366" s="682"/>
    </row>
    <row r="11367" spans="3:13" hidden="1" x14ac:dyDescent="0.2">
      <c r="F11367" s="494">
        <v>412</v>
      </c>
      <c r="G11367" s="496" t="s">
        <v>3764</v>
      </c>
      <c r="H11367" s="397"/>
      <c r="I11367" s="397"/>
      <c r="J11367" s="750" t="e">
        <f t="shared" si="149"/>
        <v>#DIV/0!</v>
      </c>
      <c r="K11367" s="398"/>
      <c r="L11367" s="398"/>
      <c r="M11367" s="682"/>
    </row>
    <row r="11368" spans="3:13" hidden="1" x14ac:dyDescent="0.2">
      <c r="F11368" s="494">
        <v>413</v>
      </c>
      <c r="G11368" s="495" t="s">
        <v>4168</v>
      </c>
      <c r="H11368" s="397"/>
      <c r="I11368" s="397"/>
      <c r="J11368" s="750" t="e">
        <f t="shared" si="149"/>
        <v>#DIV/0!</v>
      </c>
      <c r="K11368" s="398"/>
      <c r="L11368" s="398"/>
      <c r="M11368" s="682"/>
    </row>
    <row r="11369" spans="3:13" hidden="1" x14ac:dyDescent="0.2">
      <c r="F11369" s="494">
        <v>414</v>
      </c>
      <c r="G11369" s="495" t="s">
        <v>3767</v>
      </c>
      <c r="H11369" s="397"/>
      <c r="I11369" s="397"/>
      <c r="J11369" s="750" t="e">
        <f t="shared" si="149"/>
        <v>#DIV/0!</v>
      </c>
      <c r="K11369" s="398"/>
      <c r="L11369" s="398"/>
      <c r="M11369" s="682"/>
    </row>
    <row r="11370" spans="3:13" hidden="1" x14ac:dyDescent="0.2">
      <c r="F11370" s="494">
        <v>415</v>
      </c>
      <c r="G11370" s="495" t="s">
        <v>4177</v>
      </c>
      <c r="H11370" s="397"/>
      <c r="I11370" s="397"/>
      <c r="J11370" s="750" t="e">
        <f t="shared" si="149"/>
        <v>#DIV/0!</v>
      </c>
      <c r="K11370" s="398"/>
      <c r="L11370" s="398"/>
      <c r="M11370" s="682"/>
    </row>
    <row r="11371" spans="3:13" ht="25.5" hidden="1" x14ac:dyDescent="0.2">
      <c r="F11371" s="494">
        <v>416</v>
      </c>
      <c r="G11371" s="495" t="s">
        <v>4178</v>
      </c>
      <c r="H11371" s="397"/>
      <c r="I11371" s="397"/>
      <c r="J11371" s="750" t="e">
        <f t="shared" si="149"/>
        <v>#DIV/0!</v>
      </c>
      <c r="K11371" s="398"/>
      <c r="L11371" s="398"/>
      <c r="M11371" s="682"/>
    </row>
    <row r="11372" spans="3:13" hidden="1" x14ac:dyDescent="0.2">
      <c r="F11372" s="494">
        <v>417</v>
      </c>
      <c r="G11372" s="495" t="s">
        <v>4179</v>
      </c>
      <c r="H11372" s="397"/>
      <c r="I11372" s="397"/>
      <c r="J11372" s="750" t="e">
        <f t="shared" si="149"/>
        <v>#DIV/0!</v>
      </c>
      <c r="K11372" s="398"/>
      <c r="L11372" s="398"/>
      <c r="M11372" s="682"/>
    </row>
    <row r="11373" spans="3:13" hidden="1" x14ac:dyDescent="0.2">
      <c r="F11373" s="494">
        <v>418</v>
      </c>
      <c r="G11373" s="495" t="s">
        <v>3773</v>
      </c>
      <c r="H11373" s="397"/>
      <c r="I11373" s="397"/>
      <c r="J11373" s="750" t="e">
        <f t="shared" si="149"/>
        <v>#DIV/0!</v>
      </c>
      <c r="K11373" s="398"/>
      <c r="L11373" s="398"/>
      <c r="M11373" s="682"/>
    </row>
    <row r="11374" spans="3:13" hidden="1" x14ac:dyDescent="0.2">
      <c r="F11374" s="494">
        <v>421</v>
      </c>
      <c r="G11374" s="495" t="s">
        <v>3777</v>
      </c>
      <c r="H11374" s="397"/>
      <c r="I11374" s="397"/>
      <c r="J11374" s="750" t="e">
        <f t="shared" si="149"/>
        <v>#DIV/0!</v>
      </c>
      <c r="K11374" s="398"/>
      <c r="L11374" s="398"/>
      <c r="M11374" s="682"/>
    </row>
    <row r="11375" spans="3:13" hidden="1" x14ac:dyDescent="0.2">
      <c r="F11375" s="494">
        <v>422</v>
      </c>
      <c r="G11375" s="495" t="s">
        <v>3778</v>
      </c>
      <c r="H11375" s="397"/>
      <c r="I11375" s="397"/>
      <c r="J11375" s="750" t="e">
        <f t="shared" si="149"/>
        <v>#DIV/0!</v>
      </c>
      <c r="K11375" s="398"/>
      <c r="L11375" s="398"/>
      <c r="M11375" s="682"/>
    </row>
    <row r="11376" spans="3:13" hidden="1" x14ac:dyDescent="0.2">
      <c r="F11376" s="494">
        <v>423</v>
      </c>
      <c r="G11376" s="495" t="s">
        <v>3779</v>
      </c>
      <c r="H11376" s="397"/>
      <c r="I11376" s="397"/>
      <c r="J11376" s="750" t="e">
        <f t="shared" si="149"/>
        <v>#DIV/0!</v>
      </c>
      <c r="K11376" s="398"/>
      <c r="L11376" s="398"/>
      <c r="M11376" s="682"/>
    </row>
    <row r="11377" spans="6:13" hidden="1" x14ac:dyDescent="0.2">
      <c r="F11377" s="494">
        <v>424</v>
      </c>
      <c r="G11377" s="495" t="s">
        <v>3781</v>
      </c>
      <c r="H11377" s="397"/>
      <c r="I11377" s="397"/>
      <c r="J11377" s="750" t="e">
        <f t="shared" si="149"/>
        <v>#DIV/0!</v>
      </c>
      <c r="K11377" s="398"/>
      <c r="L11377" s="398"/>
      <c r="M11377" s="682"/>
    </row>
    <row r="11378" spans="6:13" hidden="1" x14ac:dyDescent="0.2">
      <c r="F11378" s="494">
        <v>425</v>
      </c>
      <c r="G11378" s="495" t="s">
        <v>4180</v>
      </c>
      <c r="H11378" s="397"/>
      <c r="I11378" s="397"/>
      <c r="J11378" s="750" t="e">
        <f t="shared" si="149"/>
        <v>#DIV/0!</v>
      </c>
      <c r="K11378" s="398"/>
      <c r="L11378" s="398"/>
      <c r="M11378" s="682"/>
    </row>
    <row r="11379" spans="6:13" hidden="1" x14ac:dyDescent="0.2">
      <c r="F11379" s="494">
        <v>426</v>
      </c>
      <c r="G11379" s="495" t="s">
        <v>3785</v>
      </c>
      <c r="H11379" s="397"/>
      <c r="I11379" s="397"/>
      <c r="J11379" s="750" t="e">
        <f t="shared" si="149"/>
        <v>#DIV/0!</v>
      </c>
      <c r="K11379" s="398"/>
      <c r="L11379" s="398"/>
      <c r="M11379" s="682"/>
    </row>
    <row r="11380" spans="6:13" hidden="1" x14ac:dyDescent="0.2">
      <c r="F11380" s="494">
        <v>431</v>
      </c>
      <c r="G11380" s="495" t="s">
        <v>4181</v>
      </c>
      <c r="H11380" s="397"/>
      <c r="I11380" s="397"/>
      <c r="J11380" s="750" t="e">
        <f t="shared" si="149"/>
        <v>#DIV/0!</v>
      </c>
      <c r="K11380" s="398"/>
      <c r="L11380" s="398"/>
      <c r="M11380" s="682"/>
    </row>
    <row r="11381" spans="6:13" hidden="1" x14ac:dyDescent="0.2">
      <c r="F11381" s="494">
        <v>432</v>
      </c>
      <c r="G11381" s="495" t="s">
        <v>4182</v>
      </c>
      <c r="H11381" s="397"/>
      <c r="I11381" s="397"/>
      <c r="J11381" s="750" t="e">
        <f t="shared" si="149"/>
        <v>#DIV/0!</v>
      </c>
      <c r="K11381" s="398"/>
      <c r="L11381" s="398"/>
      <c r="M11381" s="682"/>
    </row>
    <row r="11382" spans="6:13" hidden="1" x14ac:dyDescent="0.2">
      <c r="F11382" s="494">
        <v>433</v>
      </c>
      <c r="G11382" s="495" t="s">
        <v>4183</v>
      </c>
      <c r="H11382" s="397"/>
      <c r="I11382" s="397"/>
      <c r="J11382" s="750" t="e">
        <f t="shared" si="149"/>
        <v>#DIV/0!</v>
      </c>
      <c r="K11382" s="398"/>
      <c r="L11382" s="398"/>
      <c r="M11382" s="682"/>
    </row>
    <row r="11383" spans="6:13" hidden="1" x14ac:dyDescent="0.2">
      <c r="F11383" s="494">
        <v>434</v>
      </c>
      <c r="G11383" s="495" t="s">
        <v>4184</v>
      </c>
      <c r="H11383" s="397"/>
      <c r="I11383" s="397"/>
      <c r="J11383" s="750" t="e">
        <f t="shared" si="149"/>
        <v>#DIV/0!</v>
      </c>
      <c r="K11383" s="398"/>
      <c r="L11383" s="398"/>
      <c r="M11383" s="682"/>
    </row>
    <row r="11384" spans="6:13" hidden="1" x14ac:dyDescent="0.2">
      <c r="F11384" s="494">
        <v>435</v>
      </c>
      <c r="G11384" s="495" t="s">
        <v>3792</v>
      </c>
      <c r="H11384" s="397"/>
      <c r="I11384" s="397"/>
      <c r="J11384" s="750" t="e">
        <f t="shared" si="149"/>
        <v>#DIV/0!</v>
      </c>
      <c r="K11384" s="398"/>
      <c r="L11384" s="398"/>
      <c r="M11384" s="682"/>
    </row>
    <row r="11385" spans="6:13" hidden="1" x14ac:dyDescent="0.2">
      <c r="F11385" s="494">
        <v>441</v>
      </c>
      <c r="G11385" s="495" t="s">
        <v>4185</v>
      </c>
      <c r="H11385" s="397"/>
      <c r="I11385" s="397"/>
      <c r="J11385" s="750" t="e">
        <f t="shared" si="149"/>
        <v>#DIV/0!</v>
      </c>
      <c r="K11385" s="398"/>
      <c r="L11385" s="398"/>
      <c r="M11385" s="682"/>
    </row>
    <row r="11386" spans="6:13" hidden="1" x14ac:dyDescent="0.2">
      <c r="F11386" s="494">
        <v>442</v>
      </c>
      <c r="G11386" s="495" t="s">
        <v>4186</v>
      </c>
      <c r="H11386" s="397"/>
      <c r="I11386" s="397"/>
      <c r="J11386" s="750" t="e">
        <f t="shared" si="149"/>
        <v>#DIV/0!</v>
      </c>
      <c r="K11386" s="398"/>
      <c r="L11386" s="398"/>
      <c r="M11386" s="682"/>
    </row>
    <row r="11387" spans="6:13" hidden="1" x14ac:dyDescent="0.2">
      <c r="F11387" s="494">
        <v>443</v>
      </c>
      <c r="G11387" s="495" t="s">
        <v>3797</v>
      </c>
      <c r="H11387" s="397"/>
      <c r="I11387" s="397"/>
      <c r="J11387" s="750" t="e">
        <f t="shared" si="149"/>
        <v>#DIV/0!</v>
      </c>
      <c r="K11387" s="398"/>
      <c r="L11387" s="398"/>
      <c r="M11387" s="682"/>
    </row>
    <row r="11388" spans="6:13" hidden="1" x14ac:dyDescent="0.2">
      <c r="F11388" s="494">
        <v>444</v>
      </c>
      <c r="G11388" s="495" t="s">
        <v>3798</v>
      </c>
      <c r="H11388" s="397"/>
      <c r="I11388" s="397"/>
      <c r="J11388" s="750" t="e">
        <f t="shared" si="149"/>
        <v>#DIV/0!</v>
      </c>
      <c r="K11388" s="398"/>
      <c r="L11388" s="398"/>
      <c r="M11388" s="682"/>
    </row>
    <row r="11389" spans="6:13" ht="25.5" hidden="1" x14ac:dyDescent="0.2">
      <c r="F11389" s="494">
        <v>4511</v>
      </c>
      <c r="G11389" s="466" t="s">
        <v>1692</v>
      </c>
      <c r="H11389" s="397"/>
      <c r="I11389" s="397"/>
      <c r="J11389" s="750" t="e">
        <f t="shared" si="149"/>
        <v>#DIV/0!</v>
      </c>
      <c r="K11389" s="398"/>
      <c r="L11389" s="398"/>
      <c r="M11389" s="682"/>
    </row>
    <row r="11390" spans="6:13" ht="25.5" hidden="1" x14ac:dyDescent="0.2">
      <c r="F11390" s="494">
        <v>4512</v>
      </c>
      <c r="G11390" s="466" t="s">
        <v>1701</v>
      </c>
      <c r="H11390" s="397"/>
      <c r="I11390" s="397"/>
      <c r="J11390" s="750" t="e">
        <f t="shared" si="149"/>
        <v>#DIV/0!</v>
      </c>
      <c r="K11390" s="398"/>
      <c r="L11390" s="398"/>
      <c r="M11390" s="682"/>
    </row>
    <row r="11391" spans="6:13" ht="25.5" hidden="1" x14ac:dyDescent="0.2">
      <c r="F11391" s="494">
        <v>452</v>
      </c>
      <c r="G11391" s="495" t="s">
        <v>4187</v>
      </c>
      <c r="H11391" s="397"/>
      <c r="I11391" s="397"/>
      <c r="J11391" s="750" t="e">
        <f t="shared" si="149"/>
        <v>#DIV/0!</v>
      </c>
      <c r="K11391" s="398"/>
      <c r="L11391" s="398"/>
      <c r="M11391" s="682"/>
    </row>
    <row r="11392" spans="6:13" ht="25.5" hidden="1" x14ac:dyDescent="0.2">
      <c r="F11392" s="494">
        <v>453</v>
      </c>
      <c r="G11392" s="495" t="s">
        <v>4188</v>
      </c>
      <c r="H11392" s="397"/>
      <c r="I11392" s="397"/>
      <c r="J11392" s="750" t="e">
        <f t="shared" si="149"/>
        <v>#DIV/0!</v>
      </c>
      <c r="K11392" s="398"/>
      <c r="L11392" s="398"/>
      <c r="M11392" s="682"/>
    </row>
    <row r="11393" spans="6:13" hidden="1" x14ac:dyDescent="0.2">
      <c r="F11393" s="494">
        <v>454</v>
      </c>
      <c r="G11393" s="495" t="s">
        <v>3803</v>
      </c>
      <c r="H11393" s="397"/>
      <c r="I11393" s="397"/>
      <c r="J11393" s="750" t="e">
        <f t="shared" si="149"/>
        <v>#DIV/0!</v>
      </c>
      <c r="K11393" s="398"/>
      <c r="L11393" s="398"/>
      <c r="M11393" s="682"/>
    </row>
    <row r="11394" spans="6:13" hidden="1" x14ac:dyDescent="0.2">
      <c r="F11394" s="494">
        <v>461</v>
      </c>
      <c r="G11394" s="495" t="s">
        <v>4169</v>
      </c>
      <c r="H11394" s="397"/>
      <c r="I11394" s="397"/>
      <c r="J11394" s="750" t="e">
        <f t="shared" si="149"/>
        <v>#DIV/0!</v>
      </c>
      <c r="K11394" s="398"/>
      <c r="L11394" s="398"/>
      <c r="M11394" s="682"/>
    </row>
    <row r="11395" spans="6:13" ht="25.5" hidden="1" x14ac:dyDescent="0.2">
      <c r="F11395" s="494">
        <v>462</v>
      </c>
      <c r="G11395" s="495" t="s">
        <v>3806</v>
      </c>
      <c r="H11395" s="397"/>
      <c r="I11395" s="397"/>
      <c r="J11395" s="750" t="e">
        <f t="shared" si="149"/>
        <v>#DIV/0!</v>
      </c>
      <c r="K11395" s="398"/>
      <c r="L11395" s="398"/>
      <c r="M11395" s="682"/>
    </row>
    <row r="11396" spans="6:13" hidden="1" x14ac:dyDescent="0.2">
      <c r="F11396" s="494">
        <v>4631</v>
      </c>
      <c r="G11396" s="495" t="s">
        <v>3807</v>
      </c>
      <c r="H11396" s="397"/>
      <c r="I11396" s="397"/>
      <c r="J11396" s="750" t="e">
        <f t="shared" si="149"/>
        <v>#DIV/0!</v>
      </c>
      <c r="K11396" s="398"/>
      <c r="L11396" s="398"/>
      <c r="M11396" s="682"/>
    </row>
    <row r="11397" spans="6:13" hidden="1" x14ac:dyDescent="0.2">
      <c r="F11397" s="494">
        <v>4632</v>
      </c>
      <c r="G11397" s="495" t="s">
        <v>3808</v>
      </c>
      <c r="H11397" s="397"/>
      <c r="I11397" s="397"/>
      <c r="J11397" s="750" t="e">
        <f t="shared" si="149"/>
        <v>#DIV/0!</v>
      </c>
      <c r="K11397" s="398"/>
      <c r="L11397" s="398"/>
      <c r="M11397" s="682"/>
    </row>
    <row r="11398" spans="6:13" ht="25.5" hidden="1" x14ac:dyDescent="0.2">
      <c r="F11398" s="494">
        <v>464</v>
      </c>
      <c r="G11398" s="495" t="s">
        <v>3809</v>
      </c>
      <c r="H11398" s="397"/>
      <c r="I11398" s="397"/>
      <c r="J11398" s="750" t="e">
        <f t="shared" si="149"/>
        <v>#DIV/0!</v>
      </c>
      <c r="K11398" s="398"/>
      <c r="L11398" s="398"/>
      <c r="M11398" s="682"/>
    </row>
    <row r="11399" spans="6:13" hidden="1" x14ac:dyDescent="0.2">
      <c r="F11399" s="494">
        <v>465</v>
      </c>
      <c r="G11399" s="495" t="s">
        <v>4170</v>
      </c>
      <c r="H11399" s="397"/>
      <c r="I11399" s="397"/>
      <c r="J11399" s="750" t="e">
        <f t="shared" si="149"/>
        <v>#DIV/0!</v>
      </c>
      <c r="K11399" s="398"/>
      <c r="L11399" s="398"/>
      <c r="M11399" s="682"/>
    </row>
    <row r="11400" spans="6:13" hidden="1" x14ac:dyDescent="0.2">
      <c r="F11400" s="494">
        <v>472</v>
      </c>
      <c r="G11400" s="495" t="s">
        <v>3813</v>
      </c>
      <c r="H11400" s="397"/>
      <c r="I11400" s="397"/>
      <c r="J11400" s="750" t="e">
        <f t="shared" si="149"/>
        <v>#DIV/0!</v>
      </c>
      <c r="K11400" s="398"/>
      <c r="L11400" s="398"/>
      <c r="M11400" s="682"/>
    </row>
    <row r="11401" spans="6:13" hidden="1" x14ac:dyDescent="0.2">
      <c r="F11401" s="494">
        <v>481</v>
      </c>
      <c r="G11401" s="495" t="s">
        <v>4189</v>
      </c>
      <c r="H11401" s="397"/>
      <c r="I11401" s="397"/>
      <c r="J11401" s="750" t="e">
        <f t="shared" si="149"/>
        <v>#DIV/0!</v>
      </c>
      <c r="K11401" s="398"/>
      <c r="L11401" s="398"/>
      <c r="M11401" s="682"/>
    </row>
    <row r="11402" spans="6:13" hidden="1" x14ac:dyDescent="0.2">
      <c r="F11402" s="494">
        <v>482</v>
      </c>
      <c r="G11402" s="495" t="s">
        <v>4190</v>
      </c>
      <c r="H11402" s="397"/>
      <c r="I11402" s="397"/>
      <c r="J11402" s="750" t="e">
        <f t="shared" si="149"/>
        <v>#DIV/0!</v>
      </c>
      <c r="K11402" s="398"/>
      <c r="L11402" s="398"/>
      <c r="M11402" s="682"/>
    </row>
    <row r="11403" spans="6:13" hidden="1" x14ac:dyDescent="0.2">
      <c r="F11403" s="494">
        <v>483</v>
      </c>
      <c r="G11403" s="497" t="s">
        <v>4191</v>
      </c>
      <c r="H11403" s="397"/>
      <c r="I11403" s="397"/>
      <c r="J11403" s="750" t="e">
        <f t="shared" si="149"/>
        <v>#DIV/0!</v>
      </c>
      <c r="K11403" s="398"/>
      <c r="L11403" s="398"/>
      <c r="M11403" s="682"/>
    </row>
    <row r="11404" spans="6:13" ht="38.25" hidden="1" x14ac:dyDescent="0.2">
      <c r="F11404" s="494">
        <v>484</v>
      </c>
      <c r="G11404" s="495" t="s">
        <v>4192</v>
      </c>
      <c r="H11404" s="397"/>
      <c r="I11404" s="397"/>
      <c r="J11404" s="750" t="e">
        <f t="shared" si="149"/>
        <v>#DIV/0!</v>
      </c>
      <c r="K11404" s="398"/>
      <c r="L11404" s="398"/>
      <c r="M11404" s="682"/>
    </row>
    <row r="11405" spans="6:13" ht="25.5" hidden="1" x14ac:dyDescent="0.2">
      <c r="F11405" s="494">
        <v>485</v>
      </c>
      <c r="G11405" s="495" t="s">
        <v>4193</v>
      </c>
      <c r="H11405" s="397"/>
      <c r="I11405" s="397"/>
      <c r="J11405" s="750" t="e">
        <f t="shared" si="149"/>
        <v>#DIV/0!</v>
      </c>
      <c r="K11405" s="398"/>
      <c r="L11405" s="398"/>
      <c r="M11405" s="682"/>
    </row>
    <row r="11406" spans="6:13" ht="25.5" hidden="1" x14ac:dyDescent="0.2">
      <c r="F11406" s="494">
        <v>489</v>
      </c>
      <c r="G11406" s="495" t="s">
        <v>3821</v>
      </c>
      <c r="H11406" s="397"/>
      <c r="I11406" s="397"/>
      <c r="J11406" s="750" t="e">
        <f t="shared" ref="J11406:J11469" si="150">SUM(I11406/H11406)*100</f>
        <v>#DIV/0!</v>
      </c>
      <c r="K11406" s="398"/>
      <c r="L11406" s="398"/>
      <c r="M11406" s="682"/>
    </row>
    <row r="11407" spans="6:13" ht="25.5" hidden="1" x14ac:dyDescent="0.2">
      <c r="F11407" s="494">
        <v>494</v>
      </c>
      <c r="G11407" s="495" t="s">
        <v>4171</v>
      </c>
      <c r="H11407" s="397"/>
      <c r="I11407" s="397"/>
      <c r="J11407" s="750" t="e">
        <f t="shared" si="150"/>
        <v>#DIV/0!</v>
      </c>
      <c r="K11407" s="398"/>
      <c r="L11407" s="398"/>
      <c r="M11407" s="682"/>
    </row>
    <row r="11408" spans="6:13" ht="25.5" hidden="1" x14ac:dyDescent="0.2">
      <c r="F11408" s="494">
        <v>495</v>
      </c>
      <c r="G11408" s="495" t="s">
        <v>4172</v>
      </c>
      <c r="H11408" s="397"/>
      <c r="I11408" s="397"/>
      <c r="J11408" s="750" t="e">
        <f t="shared" si="150"/>
        <v>#DIV/0!</v>
      </c>
      <c r="K11408" s="398"/>
      <c r="L11408" s="398"/>
      <c r="M11408" s="682"/>
    </row>
    <row r="11409" spans="6:13" ht="38.25" hidden="1" x14ac:dyDescent="0.2">
      <c r="F11409" s="494">
        <v>496</v>
      </c>
      <c r="G11409" s="495" t="s">
        <v>4173</v>
      </c>
      <c r="H11409" s="397"/>
      <c r="I11409" s="397"/>
      <c r="J11409" s="750" t="e">
        <f t="shared" si="150"/>
        <v>#DIV/0!</v>
      </c>
      <c r="K11409" s="398"/>
      <c r="L11409" s="398"/>
      <c r="M11409" s="682"/>
    </row>
    <row r="11410" spans="6:13" ht="25.5" hidden="1" x14ac:dyDescent="0.2">
      <c r="F11410" s="494">
        <v>499</v>
      </c>
      <c r="G11410" s="495" t="s">
        <v>4174</v>
      </c>
      <c r="H11410" s="397"/>
      <c r="I11410" s="397"/>
      <c r="J11410" s="750" t="e">
        <f t="shared" si="150"/>
        <v>#DIV/0!</v>
      </c>
      <c r="K11410" s="398"/>
      <c r="L11410" s="398"/>
      <c r="M11410" s="682"/>
    </row>
    <row r="11411" spans="6:13" hidden="1" x14ac:dyDescent="0.2">
      <c r="F11411" s="494">
        <v>511</v>
      </c>
      <c r="G11411" s="497" t="s">
        <v>4194</v>
      </c>
      <c r="H11411" s="397"/>
      <c r="I11411" s="397"/>
      <c r="J11411" s="750" t="e">
        <f t="shared" si="150"/>
        <v>#DIV/0!</v>
      </c>
      <c r="K11411" s="398"/>
      <c r="L11411" s="398"/>
      <c r="M11411" s="682"/>
    </row>
    <row r="11412" spans="6:13" hidden="1" x14ac:dyDescent="0.2">
      <c r="F11412" s="494">
        <v>512</v>
      </c>
      <c r="G11412" s="497" t="s">
        <v>4195</v>
      </c>
      <c r="H11412" s="397"/>
      <c r="I11412" s="397"/>
      <c r="J11412" s="750" t="e">
        <f t="shared" si="150"/>
        <v>#DIV/0!</v>
      </c>
      <c r="K11412" s="398"/>
      <c r="L11412" s="398"/>
      <c r="M11412" s="682"/>
    </row>
    <row r="11413" spans="6:13" hidden="1" x14ac:dyDescent="0.2">
      <c r="F11413" s="494">
        <v>513</v>
      </c>
      <c r="G11413" s="497" t="s">
        <v>4196</v>
      </c>
      <c r="H11413" s="397"/>
      <c r="I11413" s="397"/>
      <c r="J11413" s="750" t="e">
        <f t="shared" si="150"/>
        <v>#DIV/0!</v>
      </c>
      <c r="K11413" s="398"/>
      <c r="L11413" s="398"/>
      <c r="M11413" s="682"/>
    </row>
    <row r="11414" spans="6:13" hidden="1" x14ac:dyDescent="0.2">
      <c r="F11414" s="494">
        <v>514</v>
      </c>
      <c r="G11414" s="495" t="s">
        <v>4197</v>
      </c>
      <c r="H11414" s="397"/>
      <c r="I11414" s="397"/>
      <c r="J11414" s="750" t="e">
        <f t="shared" si="150"/>
        <v>#DIV/0!</v>
      </c>
      <c r="K11414" s="398"/>
      <c r="L11414" s="398"/>
      <c r="M11414" s="682"/>
    </row>
    <row r="11415" spans="6:13" hidden="1" x14ac:dyDescent="0.2">
      <c r="F11415" s="494">
        <v>515</v>
      </c>
      <c r="G11415" s="495" t="s">
        <v>3832</v>
      </c>
      <c r="H11415" s="397"/>
      <c r="I11415" s="397"/>
      <c r="J11415" s="750" t="e">
        <f t="shared" si="150"/>
        <v>#DIV/0!</v>
      </c>
      <c r="K11415" s="398"/>
      <c r="L11415" s="398"/>
      <c r="M11415" s="682"/>
    </row>
    <row r="11416" spans="6:13" hidden="1" x14ac:dyDescent="0.2">
      <c r="F11416" s="494">
        <v>521</v>
      </c>
      <c r="G11416" s="495" t="s">
        <v>4198</v>
      </c>
      <c r="H11416" s="397"/>
      <c r="I11416" s="397"/>
      <c r="J11416" s="750" t="e">
        <f t="shared" si="150"/>
        <v>#DIV/0!</v>
      </c>
      <c r="K11416" s="398"/>
      <c r="L11416" s="398"/>
      <c r="M11416" s="682"/>
    </row>
    <row r="11417" spans="6:13" hidden="1" x14ac:dyDescent="0.2">
      <c r="F11417" s="494">
        <v>522</v>
      </c>
      <c r="G11417" s="495" t="s">
        <v>4199</v>
      </c>
      <c r="H11417" s="397"/>
      <c r="I11417" s="397"/>
      <c r="J11417" s="750" t="e">
        <f t="shared" si="150"/>
        <v>#DIV/0!</v>
      </c>
      <c r="K11417" s="398"/>
      <c r="L11417" s="398"/>
      <c r="M11417" s="682"/>
    </row>
    <row r="11418" spans="6:13" hidden="1" x14ac:dyDescent="0.2">
      <c r="F11418" s="494">
        <v>523</v>
      </c>
      <c r="G11418" s="495" t="s">
        <v>3837</v>
      </c>
      <c r="H11418" s="397"/>
      <c r="I11418" s="397"/>
      <c r="J11418" s="750" t="e">
        <f t="shared" si="150"/>
        <v>#DIV/0!</v>
      </c>
      <c r="K11418" s="398"/>
      <c r="L11418" s="398"/>
      <c r="M11418" s="682"/>
    </row>
    <row r="11419" spans="6:13" hidden="1" x14ac:dyDescent="0.2">
      <c r="F11419" s="494">
        <v>531</v>
      </c>
      <c r="G11419" s="496" t="s">
        <v>4175</v>
      </c>
      <c r="H11419" s="397"/>
      <c r="I11419" s="397"/>
      <c r="J11419" s="750" t="e">
        <f t="shared" si="150"/>
        <v>#DIV/0!</v>
      </c>
      <c r="K11419" s="398"/>
      <c r="L11419" s="398"/>
      <c r="M11419" s="682"/>
    </row>
    <row r="11420" spans="6:13" hidden="1" x14ac:dyDescent="0.2">
      <c r="F11420" s="494">
        <v>541</v>
      </c>
      <c r="G11420" s="495" t="s">
        <v>4200</v>
      </c>
      <c r="H11420" s="397"/>
      <c r="I11420" s="397"/>
      <c r="J11420" s="750" t="e">
        <f t="shared" si="150"/>
        <v>#DIV/0!</v>
      </c>
      <c r="K11420" s="398"/>
      <c r="L11420" s="398"/>
      <c r="M11420" s="682"/>
    </row>
    <row r="11421" spans="6:13" hidden="1" x14ac:dyDescent="0.2">
      <c r="F11421" s="494">
        <v>542</v>
      </c>
      <c r="G11421" s="495" t="s">
        <v>4201</v>
      </c>
      <c r="H11421" s="397"/>
      <c r="I11421" s="397"/>
      <c r="J11421" s="750" t="e">
        <f t="shared" si="150"/>
        <v>#DIV/0!</v>
      </c>
      <c r="K11421" s="398"/>
      <c r="L11421" s="398"/>
      <c r="M11421" s="682"/>
    </row>
    <row r="11422" spans="6:13" hidden="1" x14ac:dyDescent="0.2">
      <c r="F11422" s="494">
        <v>543</v>
      </c>
      <c r="G11422" s="495" t="s">
        <v>3842</v>
      </c>
      <c r="H11422" s="397"/>
      <c r="I11422" s="397"/>
      <c r="J11422" s="750" t="e">
        <f t="shared" si="150"/>
        <v>#DIV/0!</v>
      </c>
      <c r="K11422" s="398"/>
      <c r="L11422" s="398"/>
      <c r="M11422" s="682"/>
    </row>
    <row r="11423" spans="6:13" ht="38.25" hidden="1" x14ac:dyDescent="0.2">
      <c r="F11423" s="494">
        <v>551</v>
      </c>
      <c r="G11423" s="495" t="s">
        <v>4176</v>
      </c>
      <c r="H11423" s="397"/>
      <c r="I11423" s="397"/>
      <c r="J11423" s="750" t="e">
        <f t="shared" si="150"/>
        <v>#DIV/0!</v>
      </c>
      <c r="K11423" s="398"/>
      <c r="L11423" s="398"/>
      <c r="M11423" s="682"/>
    </row>
    <row r="11424" spans="6:13" hidden="1" x14ac:dyDescent="0.2">
      <c r="F11424" s="498">
        <v>611</v>
      </c>
      <c r="G11424" s="499" t="s">
        <v>3848</v>
      </c>
      <c r="H11424" s="397"/>
      <c r="I11424" s="397"/>
      <c r="J11424" s="750" t="e">
        <f t="shared" si="150"/>
        <v>#DIV/0!</v>
      </c>
      <c r="K11424" s="398"/>
      <c r="L11424" s="398"/>
      <c r="M11424" s="682"/>
    </row>
    <row r="11425" spans="5:13" hidden="1" x14ac:dyDescent="0.2">
      <c r="F11425" s="498">
        <v>620</v>
      </c>
      <c r="G11425" s="499" t="s">
        <v>88</v>
      </c>
      <c r="H11425" s="397"/>
      <c r="I11425" s="397"/>
      <c r="J11425" s="750" t="e">
        <f t="shared" si="150"/>
        <v>#DIV/0!</v>
      </c>
      <c r="K11425" s="398"/>
      <c r="L11425" s="398"/>
      <c r="M11425" s="682"/>
    </row>
    <row r="11426" spans="5:13" hidden="1" x14ac:dyDescent="0.2">
      <c r="E11426" s="500"/>
      <c r="F11426" s="498"/>
      <c r="G11426" s="509" t="s">
        <v>4363</v>
      </c>
      <c r="H11426" s="400"/>
      <c r="I11426" s="400"/>
      <c r="J11426" s="750" t="e">
        <f t="shared" si="150"/>
        <v>#DIV/0!</v>
      </c>
      <c r="K11426" s="401"/>
      <c r="L11426" s="402"/>
      <c r="M11426" s="682"/>
    </row>
    <row r="11427" spans="5:13" hidden="1" x14ac:dyDescent="0.2">
      <c r="E11427" s="502"/>
      <c r="F11427" s="503" t="s">
        <v>234</v>
      </c>
      <c r="G11427" s="504" t="s">
        <v>235</v>
      </c>
      <c r="H11427" s="403">
        <f>SUM(H11366:H11425)</f>
        <v>0</v>
      </c>
      <c r="I11427" s="403"/>
      <c r="J11427" s="750" t="e">
        <f t="shared" si="150"/>
        <v>#DIV/0!</v>
      </c>
      <c r="K11427" s="404"/>
      <c r="L11427" s="404"/>
      <c r="M11427" s="682"/>
    </row>
    <row r="11428" spans="5:13" hidden="1" x14ac:dyDescent="0.2">
      <c r="F11428" s="503" t="s">
        <v>236</v>
      </c>
      <c r="G11428" s="504" t="s">
        <v>237</v>
      </c>
      <c r="H11428" s="397"/>
      <c r="I11428" s="397"/>
      <c r="J11428" s="750" t="e">
        <f t="shared" si="150"/>
        <v>#DIV/0!</v>
      </c>
      <c r="K11428" s="398"/>
      <c r="L11428" s="404"/>
      <c r="M11428" s="682"/>
    </row>
    <row r="11429" spans="5:13" hidden="1" x14ac:dyDescent="0.2">
      <c r="F11429" s="503" t="s">
        <v>238</v>
      </c>
      <c r="G11429" s="504" t="s">
        <v>239</v>
      </c>
      <c r="H11429" s="397"/>
      <c r="I11429" s="397"/>
      <c r="J11429" s="750" t="e">
        <f t="shared" si="150"/>
        <v>#DIV/0!</v>
      </c>
      <c r="K11429" s="398"/>
      <c r="L11429" s="404"/>
      <c r="M11429" s="682"/>
    </row>
    <row r="11430" spans="5:13" hidden="1" x14ac:dyDescent="0.2">
      <c r="F11430" s="503" t="s">
        <v>240</v>
      </c>
      <c r="G11430" s="504" t="s">
        <v>241</v>
      </c>
      <c r="H11430" s="397"/>
      <c r="I11430" s="397"/>
      <c r="J11430" s="750" t="e">
        <f t="shared" si="150"/>
        <v>#DIV/0!</v>
      </c>
      <c r="K11430" s="398"/>
      <c r="L11430" s="404"/>
      <c r="M11430" s="682"/>
    </row>
    <row r="11431" spans="5:13" hidden="1" x14ac:dyDescent="0.2">
      <c r="F11431" s="503" t="s">
        <v>242</v>
      </c>
      <c r="G11431" s="504" t="s">
        <v>243</v>
      </c>
      <c r="H11431" s="397"/>
      <c r="I11431" s="397"/>
      <c r="J11431" s="750" t="e">
        <f t="shared" si="150"/>
        <v>#DIV/0!</v>
      </c>
      <c r="K11431" s="398"/>
      <c r="L11431" s="404"/>
      <c r="M11431" s="682"/>
    </row>
    <row r="11432" spans="5:13" hidden="1" x14ac:dyDescent="0.2">
      <c r="F11432" s="503" t="s">
        <v>244</v>
      </c>
      <c r="G11432" s="504" t="s">
        <v>245</v>
      </c>
      <c r="H11432" s="397"/>
      <c r="I11432" s="397"/>
      <c r="J11432" s="750" t="e">
        <f t="shared" si="150"/>
        <v>#DIV/0!</v>
      </c>
      <c r="K11432" s="398"/>
      <c r="L11432" s="404"/>
      <c r="M11432" s="682"/>
    </row>
    <row r="11433" spans="5:13" hidden="1" x14ac:dyDescent="0.2">
      <c r="F11433" s="503" t="s">
        <v>246</v>
      </c>
      <c r="G11433" s="504" t="s">
        <v>247</v>
      </c>
      <c r="H11433" s="397"/>
      <c r="I11433" s="397"/>
      <c r="J11433" s="750" t="e">
        <f t="shared" si="150"/>
        <v>#DIV/0!</v>
      </c>
      <c r="K11433" s="398"/>
      <c r="L11433" s="404"/>
      <c r="M11433" s="682"/>
    </row>
    <row r="11434" spans="5:13" ht="25.5" hidden="1" x14ac:dyDescent="0.2">
      <c r="F11434" s="503" t="s">
        <v>248</v>
      </c>
      <c r="G11434" s="504" t="s">
        <v>249</v>
      </c>
      <c r="H11434" s="397"/>
      <c r="I11434" s="397"/>
      <c r="J11434" s="750" t="e">
        <f t="shared" si="150"/>
        <v>#DIV/0!</v>
      </c>
      <c r="K11434" s="398"/>
      <c r="L11434" s="404"/>
      <c r="M11434" s="682"/>
    </row>
    <row r="11435" spans="5:13" hidden="1" x14ac:dyDescent="0.2">
      <c r="F11435" s="503" t="s">
        <v>250</v>
      </c>
      <c r="G11435" s="504" t="s">
        <v>57</v>
      </c>
      <c r="H11435" s="397"/>
      <c r="I11435" s="397"/>
      <c r="J11435" s="750" t="e">
        <f t="shared" si="150"/>
        <v>#DIV/0!</v>
      </c>
      <c r="K11435" s="398"/>
      <c r="L11435" s="404"/>
      <c r="M11435" s="682"/>
    </row>
    <row r="11436" spans="5:13" hidden="1" x14ac:dyDescent="0.2">
      <c r="F11436" s="503" t="s">
        <v>251</v>
      </c>
      <c r="G11436" s="504" t="s">
        <v>252</v>
      </c>
      <c r="H11436" s="397"/>
      <c r="I11436" s="397"/>
      <c r="J11436" s="750" t="e">
        <f t="shared" si="150"/>
        <v>#DIV/0!</v>
      </c>
      <c r="K11436" s="398"/>
      <c r="L11436" s="404"/>
      <c r="M11436" s="682"/>
    </row>
    <row r="11437" spans="5:13" hidden="1" x14ac:dyDescent="0.2">
      <c r="F11437" s="503" t="s">
        <v>253</v>
      </c>
      <c r="G11437" s="504" t="s">
        <v>254</v>
      </c>
      <c r="H11437" s="397"/>
      <c r="I11437" s="397"/>
      <c r="J11437" s="750" t="e">
        <f t="shared" si="150"/>
        <v>#DIV/0!</v>
      </c>
      <c r="K11437" s="398"/>
      <c r="L11437" s="404"/>
      <c r="M11437" s="682"/>
    </row>
    <row r="11438" spans="5:13" ht="25.5" hidden="1" x14ac:dyDescent="0.2">
      <c r="F11438" s="503" t="s">
        <v>255</v>
      </c>
      <c r="G11438" s="504" t="s">
        <v>256</v>
      </c>
      <c r="H11438" s="397"/>
      <c r="I11438" s="397"/>
      <c r="J11438" s="750" t="e">
        <f t="shared" si="150"/>
        <v>#DIV/0!</v>
      </c>
      <c r="K11438" s="398"/>
      <c r="L11438" s="404"/>
      <c r="M11438" s="682"/>
    </row>
    <row r="11439" spans="5:13" ht="25.5" hidden="1" x14ac:dyDescent="0.2">
      <c r="F11439" s="503" t="s">
        <v>257</v>
      </c>
      <c r="G11439" s="504" t="s">
        <v>258</v>
      </c>
      <c r="H11439" s="397"/>
      <c r="I11439" s="397"/>
      <c r="J11439" s="750" t="e">
        <f t="shared" si="150"/>
        <v>#DIV/0!</v>
      </c>
      <c r="K11439" s="398"/>
      <c r="L11439" s="404"/>
      <c r="M11439" s="682"/>
    </row>
    <row r="11440" spans="5:13" ht="25.5" hidden="1" x14ac:dyDescent="0.2">
      <c r="F11440" s="503" t="s">
        <v>259</v>
      </c>
      <c r="G11440" s="504" t="s">
        <v>260</v>
      </c>
      <c r="H11440" s="397"/>
      <c r="I11440" s="397"/>
      <c r="J11440" s="750" t="e">
        <f t="shared" si="150"/>
        <v>#DIV/0!</v>
      </c>
      <c r="K11440" s="398"/>
      <c r="L11440" s="404"/>
      <c r="M11440" s="682"/>
    </row>
    <row r="11441" spans="5:13" ht="25.5" hidden="1" x14ac:dyDescent="0.2">
      <c r="F11441" s="503" t="s">
        <v>261</v>
      </c>
      <c r="G11441" s="504" t="s">
        <v>262</v>
      </c>
      <c r="H11441" s="397"/>
      <c r="I11441" s="397"/>
      <c r="J11441" s="750" t="e">
        <f t="shared" si="150"/>
        <v>#DIV/0!</v>
      </c>
      <c r="K11441" s="398"/>
      <c r="L11441" s="404"/>
      <c r="M11441" s="682"/>
    </row>
    <row r="11442" spans="5:13" hidden="1" x14ac:dyDescent="0.2">
      <c r="F11442" s="503" t="s">
        <v>263</v>
      </c>
      <c r="G11442" s="504" t="s">
        <v>264</v>
      </c>
      <c r="H11442" s="403"/>
      <c r="I11442" s="403"/>
      <c r="J11442" s="750" t="e">
        <f t="shared" si="150"/>
        <v>#DIV/0!</v>
      </c>
      <c r="K11442" s="404"/>
      <c r="L11442" s="404"/>
      <c r="M11442" s="682"/>
    </row>
    <row r="11443" spans="5:13" ht="13.5" hidden="1" thickBot="1" x14ac:dyDescent="0.25">
      <c r="G11443" s="505" t="s">
        <v>4362</v>
      </c>
      <c r="H11443" s="405">
        <f>SUM(H11427:H11442)</f>
        <v>0</v>
      </c>
      <c r="I11443" s="405"/>
      <c r="J11443" s="750" t="e">
        <f t="shared" si="150"/>
        <v>#DIV/0!</v>
      </c>
      <c r="K11443" s="406">
        <f>SUM(K11428:K11442)</f>
        <v>0</v>
      </c>
      <c r="L11443" s="406"/>
      <c r="M11443" s="682"/>
    </row>
    <row r="11444" spans="5:13" hidden="1" collapsed="1" x14ac:dyDescent="0.2">
      <c r="E11444" s="500"/>
      <c r="F11444" s="498"/>
      <c r="G11444" s="506" t="s">
        <v>5024</v>
      </c>
      <c r="H11444" s="407"/>
      <c r="I11444" s="408"/>
      <c r="J11444" s="750" t="e">
        <f t="shared" si="150"/>
        <v>#DIV/0!</v>
      </c>
      <c r="K11444" s="409"/>
      <c r="L11444" s="410"/>
      <c r="M11444" s="682"/>
    </row>
    <row r="11445" spans="5:13" hidden="1" x14ac:dyDescent="0.2">
      <c r="E11445" s="502"/>
      <c r="F11445" s="503" t="s">
        <v>234</v>
      </c>
      <c r="G11445" s="504" t="s">
        <v>235</v>
      </c>
      <c r="H11445" s="403">
        <f>SUM(H11366:H11425)</f>
        <v>0</v>
      </c>
      <c r="I11445" s="403"/>
      <c r="J11445" s="750" t="e">
        <f t="shared" si="150"/>
        <v>#DIV/0!</v>
      </c>
      <c r="K11445" s="404"/>
      <c r="L11445" s="404"/>
      <c r="M11445" s="682"/>
    </row>
    <row r="11446" spans="5:13" hidden="1" x14ac:dyDescent="0.2">
      <c r="F11446" s="503" t="s">
        <v>236</v>
      </c>
      <c r="G11446" s="504" t="s">
        <v>237</v>
      </c>
      <c r="H11446" s="397"/>
      <c r="I11446" s="397"/>
      <c r="J11446" s="750" t="e">
        <f t="shared" si="150"/>
        <v>#DIV/0!</v>
      </c>
      <c r="K11446" s="398"/>
      <c r="L11446" s="404"/>
      <c r="M11446" s="682"/>
    </row>
    <row r="11447" spans="5:13" hidden="1" x14ac:dyDescent="0.2">
      <c r="F11447" s="503" t="s">
        <v>238</v>
      </c>
      <c r="G11447" s="504" t="s">
        <v>239</v>
      </c>
      <c r="H11447" s="397"/>
      <c r="I11447" s="397"/>
      <c r="J11447" s="750" t="e">
        <f t="shared" si="150"/>
        <v>#DIV/0!</v>
      </c>
      <c r="K11447" s="398"/>
      <c r="L11447" s="404"/>
      <c r="M11447" s="682"/>
    </row>
    <row r="11448" spans="5:13" hidden="1" x14ac:dyDescent="0.2">
      <c r="F11448" s="503" t="s">
        <v>240</v>
      </c>
      <c r="G11448" s="504" t="s">
        <v>241</v>
      </c>
      <c r="H11448" s="397"/>
      <c r="I11448" s="397"/>
      <c r="J11448" s="750" t="e">
        <f t="shared" si="150"/>
        <v>#DIV/0!</v>
      </c>
      <c r="K11448" s="398"/>
      <c r="L11448" s="404"/>
      <c r="M11448" s="682"/>
    </row>
    <row r="11449" spans="5:13" hidden="1" x14ac:dyDescent="0.2">
      <c r="F11449" s="503" t="s">
        <v>242</v>
      </c>
      <c r="G11449" s="504" t="s">
        <v>243</v>
      </c>
      <c r="H11449" s="397"/>
      <c r="I11449" s="397"/>
      <c r="J11449" s="750" t="e">
        <f t="shared" si="150"/>
        <v>#DIV/0!</v>
      </c>
      <c r="K11449" s="398"/>
      <c r="L11449" s="404"/>
      <c r="M11449" s="682"/>
    </row>
    <row r="11450" spans="5:13" hidden="1" x14ac:dyDescent="0.2">
      <c r="F11450" s="503" t="s">
        <v>244</v>
      </c>
      <c r="G11450" s="504" t="s">
        <v>245</v>
      </c>
      <c r="H11450" s="397"/>
      <c r="I11450" s="397"/>
      <c r="J11450" s="750" t="e">
        <f t="shared" si="150"/>
        <v>#DIV/0!</v>
      </c>
      <c r="K11450" s="398"/>
      <c r="L11450" s="404"/>
      <c r="M11450" s="682"/>
    </row>
    <row r="11451" spans="5:13" hidden="1" x14ac:dyDescent="0.2">
      <c r="F11451" s="503" t="s">
        <v>246</v>
      </c>
      <c r="G11451" s="504" t="s">
        <v>247</v>
      </c>
      <c r="H11451" s="397"/>
      <c r="I11451" s="397"/>
      <c r="J11451" s="750" t="e">
        <f t="shared" si="150"/>
        <v>#DIV/0!</v>
      </c>
      <c r="K11451" s="398"/>
      <c r="L11451" s="404"/>
      <c r="M11451" s="682"/>
    </row>
    <row r="11452" spans="5:13" ht="25.5" hidden="1" x14ac:dyDescent="0.2">
      <c r="F11452" s="503" t="s">
        <v>248</v>
      </c>
      <c r="G11452" s="504" t="s">
        <v>249</v>
      </c>
      <c r="H11452" s="397"/>
      <c r="I11452" s="397"/>
      <c r="J11452" s="750" t="e">
        <f t="shared" si="150"/>
        <v>#DIV/0!</v>
      </c>
      <c r="K11452" s="398"/>
      <c r="L11452" s="404"/>
      <c r="M11452" s="682"/>
    </row>
    <row r="11453" spans="5:13" hidden="1" x14ac:dyDescent="0.2">
      <c r="F11453" s="503" t="s">
        <v>250</v>
      </c>
      <c r="G11453" s="504" t="s">
        <v>57</v>
      </c>
      <c r="H11453" s="397"/>
      <c r="I11453" s="397"/>
      <c r="J11453" s="750" t="e">
        <f t="shared" si="150"/>
        <v>#DIV/0!</v>
      </c>
      <c r="K11453" s="398"/>
      <c r="L11453" s="404"/>
      <c r="M11453" s="682"/>
    </row>
    <row r="11454" spans="5:13" hidden="1" x14ac:dyDescent="0.2">
      <c r="F11454" s="503" t="s">
        <v>251</v>
      </c>
      <c r="G11454" s="504" t="s">
        <v>252</v>
      </c>
      <c r="H11454" s="397"/>
      <c r="I11454" s="397"/>
      <c r="J11454" s="750" t="e">
        <f t="shared" si="150"/>
        <v>#DIV/0!</v>
      </c>
      <c r="K11454" s="398"/>
      <c r="L11454" s="404"/>
      <c r="M11454" s="682"/>
    </row>
    <row r="11455" spans="5:13" hidden="1" x14ac:dyDescent="0.2">
      <c r="F11455" s="503" t="s">
        <v>253</v>
      </c>
      <c r="G11455" s="504" t="s">
        <v>254</v>
      </c>
      <c r="H11455" s="397"/>
      <c r="I11455" s="397"/>
      <c r="J11455" s="750" t="e">
        <f t="shared" si="150"/>
        <v>#DIV/0!</v>
      </c>
      <c r="K11455" s="398"/>
      <c r="L11455" s="404"/>
      <c r="M11455" s="682"/>
    </row>
    <row r="11456" spans="5:13" ht="25.5" hidden="1" x14ac:dyDescent="0.2">
      <c r="F11456" s="503" t="s">
        <v>255</v>
      </c>
      <c r="G11456" s="504" t="s">
        <v>256</v>
      </c>
      <c r="H11456" s="397"/>
      <c r="I11456" s="397"/>
      <c r="J11456" s="750" t="e">
        <f t="shared" si="150"/>
        <v>#DIV/0!</v>
      </c>
      <c r="K11456" s="398"/>
      <c r="L11456" s="404"/>
      <c r="M11456" s="682"/>
    </row>
    <row r="11457" spans="5:13" ht="25.5" hidden="1" x14ac:dyDescent="0.2">
      <c r="F11457" s="503" t="s">
        <v>257</v>
      </c>
      <c r="G11457" s="504" t="s">
        <v>258</v>
      </c>
      <c r="H11457" s="397"/>
      <c r="I11457" s="397"/>
      <c r="J11457" s="750" t="e">
        <f t="shared" si="150"/>
        <v>#DIV/0!</v>
      </c>
      <c r="K11457" s="398"/>
      <c r="L11457" s="404"/>
      <c r="M11457" s="682"/>
    </row>
    <row r="11458" spans="5:13" ht="25.5" hidden="1" x14ac:dyDescent="0.2">
      <c r="F11458" s="503" t="s">
        <v>259</v>
      </c>
      <c r="G11458" s="504" t="s">
        <v>260</v>
      </c>
      <c r="H11458" s="397"/>
      <c r="I11458" s="397"/>
      <c r="J11458" s="750" t="e">
        <f t="shared" si="150"/>
        <v>#DIV/0!</v>
      </c>
      <c r="K11458" s="398"/>
      <c r="L11458" s="404"/>
      <c r="M11458" s="682"/>
    </row>
    <row r="11459" spans="5:13" ht="25.5" hidden="1" x14ac:dyDescent="0.2">
      <c r="F11459" s="503" t="s">
        <v>261</v>
      </c>
      <c r="G11459" s="504" t="s">
        <v>262</v>
      </c>
      <c r="H11459" s="397"/>
      <c r="I11459" s="397"/>
      <c r="J11459" s="750" t="e">
        <f t="shared" si="150"/>
        <v>#DIV/0!</v>
      </c>
      <c r="K11459" s="398"/>
      <c r="L11459" s="404"/>
      <c r="M11459" s="682"/>
    </row>
    <row r="11460" spans="5:13" hidden="1" x14ac:dyDescent="0.2">
      <c r="F11460" s="503" t="s">
        <v>263</v>
      </c>
      <c r="G11460" s="504" t="s">
        <v>264</v>
      </c>
      <c r="H11460" s="403"/>
      <c r="I11460" s="403"/>
      <c r="J11460" s="750" t="e">
        <f t="shared" si="150"/>
        <v>#DIV/0!</v>
      </c>
      <c r="K11460" s="404"/>
      <c r="L11460" s="404"/>
      <c r="M11460" s="682"/>
    </row>
    <row r="11461" spans="5:13" ht="13.5" hidden="1" thickBot="1" x14ac:dyDescent="0.25">
      <c r="G11461" s="505" t="s">
        <v>5025</v>
      </c>
      <c r="H11461" s="405">
        <f>SUM(H11445:H11460)</f>
        <v>0</v>
      </c>
      <c r="I11461" s="405"/>
      <c r="J11461" s="750" t="e">
        <f t="shared" si="150"/>
        <v>#DIV/0!</v>
      </c>
      <c r="K11461" s="406">
        <f>SUM(K11446:K11460)</f>
        <v>0</v>
      </c>
      <c r="L11461" s="406"/>
      <c r="M11461" s="682"/>
    </row>
    <row r="11462" spans="5:13" ht="3" customHeight="1" x14ac:dyDescent="0.2">
      <c r="H11462" s="397"/>
      <c r="I11462" s="397"/>
      <c r="J11462" s="750"/>
      <c r="K11462" s="398"/>
      <c r="L11462" s="398"/>
      <c r="M11462" s="682"/>
    </row>
    <row r="11463" spans="5:13" x14ac:dyDescent="0.2">
      <c r="E11463" s="500"/>
      <c r="F11463" s="498"/>
      <c r="G11463" s="511" t="s">
        <v>4247</v>
      </c>
      <c r="H11463" s="413"/>
      <c r="I11463" s="413"/>
      <c r="J11463" s="750"/>
      <c r="K11463" s="414"/>
      <c r="L11463" s="415"/>
      <c r="M11463" s="682"/>
    </row>
    <row r="11464" spans="5:13" x14ac:dyDescent="0.2">
      <c r="E11464" s="502"/>
      <c r="F11464" s="503" t="s">
        <v>234</v>
      </c>
      <c r="G11464" s="504" t="s">
        <v>235</v>
      </c>
      <c r="H11464" s="403">
        <f>SUM(H11445,H11346,H11247,H11148,H11049)</f>
        <v>83408129</v>
      </c>
      <c r="I11464" s="403">
        <f>SUM(I11164)</f>
        <v>73422988.529999986</v>
      </c>
      <c r="J11464" s="750">
        <f t="shared" si="150"/>
        <v>88.028576363342211</v>
      </c>
      <c r="K11464" s="404"/>
      <c r="L11464" s="404"/>
      <c r="M11464" s="682"/>
    </row>
    <row r="11465" spans="5:13" hidden="1" x14ac:dyDescent="0.2">
      <c r="F11465" s="503" t="s">
        <v>236</v>
      </c>
      <c r="G11465" s="504" t="s">
        <v>237</v>
      </c>
      <c r="H11465" s="397"/>
      <c r="I11465" s="397"/>
      <c r="J11465" s="750" t="e">
        <f t="shared" si="150"/>
        <v>#DIV/0!</v>
      </c>
      <c r="K11465" s="398"/>
      <c r="L11465" s="404"/>
      <c r="M11465" s="682"/>
    </row>
    <row r="11466" spans="5:13" hidden="1" x14ac:dyDescent="0.2">
      <c r="F11466" s="503" t="s">
        <v>238</v>
      </c>
      <c r="G11466" s="504" t="s">
        <v>239</v>
      </c>
      <c r="H11466" s="397"/>
      <c r="I11466" s="397"/>
      <c r="J11466" s="750" t="e">
        <f t="shared" si="150"/>
        <v>#DIV/0!</v>
      </c>
      <c r="K11466" s="398"/>
      <c r="L11466" s="404"/>
      <c r="M11466" s="682"/>
    </row>
    <row r="11467" spans="5:13" hidden="1" x14ac:dyDescent="0.2">
      <c r="F11467" s="503" t="s">
        <v>240</v>
      </c>
      <c r="G11467" s="504" t="s">
        <v>241</v>
      </c>
      <c r="H11467" s="397"/>
      <c r="I11467" s="397"/>
      <c r="J11467" s="750" t="e">
        <f t="shared" si="150"/>
        <v>#DIV/0!</v>
      </c>
      <c r="K11467" s="398"/>
      <c r="L11467" s="404"/>
      <c r="M11467" s="682"/>
    </row>
    <row r="11468" spans="5:13" hidden="1" x14ac:dyDescent="0.2">
      <c r="F11468" s="503" t="s">
        <v>242</v>
      </c>
      <c r="G11468" s="504" t="s">
        <v>243</v>
      </c>
      <c r="H11468" s="397"/>
      <c r="I11468" s="397"/>
      <c r="J11468" s="750" t="e">
        <f t="shared" si="150"/>
        <v>#DIV/0!</v>
      </c>
      <c r="K11468" s="398"/>
      <c r="L11468" s="404"/>
      <c r="M11468" s="682"/>
    </row>
    <row r="11469" spans="5:13" hidden="1" x14ac:dyDescent="0.2">
      <c r="F11469" s="503" t="s">
        <v>244</v>
      </c>
      <c r="G11469" s="504" t="s">
        <v>245</v>
      </c>
      <c r="H11469" s="397"/>
      <c r="I11469" s="397"/>
      <c r="J11469" s="750" t="e">
        <f t="shared" si="150"/>
        <v>#DIV/0!</v>
      </c>
      <c r="K11469" s="398"/>
      <c r="L11469" s="404"/>
      <c r="M11469" s="682"/>
    </row>
    <row r="11470" spans="5:13" hidden="1" x14ac:dyDescent="0.2">
      <c r="F11470" s="503" t="s">
        <v>246</v>
      </c>
      <c r="G11470" s="504" t="s">
        <v>247</v>
      </c>
      <c r="H11470" s="397"/>
      <c r="I11470" s="397"/>
      <c r="J11470" s="750" t="e">
        <f t="shared" ref="J11470:J11533" si="151">SUM(I11470/H11470)*100</f>
        <v>#DIV/0!</v>
      </c>
      <c r="K11470" s="398"/>
      <c r="L11470" s="404"/>
      <c r="M11470" s="682"/>
    </row>
    <row r="11471" spans="5:13" ht="25.5" hidden="1" x14ac:dyDescent="0.2">
      <c r="F11471" s="503" t="s">
        <v>248</v>
      </c>
      <c r="G11471" s="504" t="s">
        <v>249</v>
      </c>
      <c r="H11471" s="397"/>
      <c r="I11471" s="397"/>
      <c r="J11471" s="750" t="e">
        <f t="shared" si="151"/>
        <v>#DIV/0!</v>
      </c>
      <c r="K11471" s="398"/>
      <c r="L11471" s="404"/>
      <c r="M11471" s="682"/>
    </row>
    <row r="11472" spans="5:13" hidden="1" x14ac:dyDescent="0.2">
      <c r="F11472" s="503" t="s">
        <v>250</v>
      </c>
      <c r="G11472" s="504" t="s">
        <v>57</v>
      </c>
      <c r="H11472" s="397"/>
      <c r="I11472" s="397"/>
      <c r="J11472" s="750" t="e">
        <f t="shared" si="151"/>
        <v>#DIV/0!</v>
      </c>
      <c r="K11472" s="398"/>
      <c r="L11472" s="404"/>
      <c r="M11472" s="682"/>
    </row>
    <row r="11473" spans="5:13" hidden="1" x14ac:dyDescent="0.2">
      <c r="F11473" s="503" t="s">
        <v>251</v>
      </c>
      <c r="G11473" s="504" t="s">
        <v>252</v>
      </c>
      <c r="H11473" s="397"/>
      <c r="I11473" s="397"/>
      <c r="J11473" s="750" t="e">
        <f t="shared" si="151"/>
        <v>#DIV/0!</v>
      </c>
      <c r="K11473" s="398"/>
      <c r="L11473" s="404"/>
      <c r="M11473" s="682"/>
    </row>
    <row r="11474" spans="5:13" hidden="1" x14ac:dyDescent="0.2">
      <c r="F11474" s="503" t="s">
        <v>253</v>
      </c>
      <c r="G11474" s="504" t="s">
        <v>254</v>
      </c>
      <c r="H11474" s="397"/>
      <c r="I11474" s="397"/>
      <c r="J11474" s="750" t="e">
        <f t="shared" si="151"/>
        <v>#DIV/0!</v>
      </c>
      <c r="K11474" s="398"/>
      <c r="L11474" s="404"/>
      <c r="M11474" s="682"/>
    </row>
    <row r="11475" spans="5:13" ht="25.5" hidden="1" x14ac:dyDescent="0.2">
      <c r="F11475" s="503" t="s">
        <v>255</v>
      </c>
      <c r="G11475" s="504" t="s">
        <v>256</v>
      </c>
      <c r="H11475" s="397"/>
      <c r="I11475" s="397"/>
      <c r="J11475" s="750" t="e">
        <f t="shared" si="151"/>
        <v>#DIV/0!</v>
      </c>
      <c r="K11475" s="398"/>
      <c r="L11475" s="404"/>
      <c r="M11475" s="682"/>
    </row>
    <row r="11476" spans="5:13" ht="25.5" hidden="1" x14ac:dyDescent="0.2">
      <c r="F11476" s="503" t="s">
        <v>257</v>
      </c>
      <c r="G11476" s="504" t="s">
        <v>258</v>
      </c>
      <c r="H11476" s="397"/>
      <c r="I11476" s="397"/>
      <c r="J11476" s="750" t="e">
        <f t="shared" si="151"/>
        <v>#DIV/0!</v>
      </c>
      <c r="K11476" s="398"/>
      <c r="L11476" s="404"/>
      <c r="M11476" s="682"/>
    </row>
    <row r="11477" spans="5:13" ht="25.5" hidden="1" x14ac:dyDescent="0.2">
      <c r="F11477" s="503" t="s">
        <v>259</v>
      </c>
      <c r="G11477" s="504" t="s">
        <v>260</v>
      </c>
      <c r="H11477" s="397"/>
      <c r="I11477" s="397"/>
      <c r="J11477" s="750" t="e">
        <f t="shared" si="151"/>
        <v>#DIV/0!</v>
      </c>
      <c r="K11477" s="398"/>
      <c r="L11477" s="404"/>
      <c r="M11477" s="682"/>
    </row>
    <row r="11478" spans="5:13" ht="25.5" hidden="1" x14ac:dyDescent="0.2">
      <c r="F11478" s="503" t="s">
        <v>261</v>
      </c>
      <c r="G11478" s="504" t="s">
        <v>262</v>
      </c>
      <c r="H11478" s="397"/>
      <c r="I11478" s="397"/>
      <c r="J11478" s="750" t="e">
        <f t="shared" si="151"/>
        <v>#DIV/0!</v>
      </c>
      <c r="K11478" s="398"/>
      <c r="L11478" s="404"/>
      <c r="M11478" s="682"/>
    </row>
    <row r="11479" spans="5:13" ht="14.25" customHeight="1" thickBot="1" x14ac:dyDescent="0.25">
      <c r="F11479" s="549" t="s">
        <v>246</v>
      </c>
      <c r="G11479" s="504" t="s">
        <v>5395</v>
      </c>
      <c r="H11479" s="403"/>
      <c r="I11479" s="403"/>
      <c r="J11479" s="750"/>
      <c r="K11479" s="404"/>
      <c r="L11479" s="404">
        <f>SUM(L11164)</f>
        <v>1559983.0699999998</v>
      </c>
      <c r="M11479" s="682"/>
    </row>
    <row r="11480" spans="5:13" ht="13.5" thickBot="1" x14ac:dyDescent="0.25">
      <c r="G11480" s="505" t="s">
        <v>4248</v>
      </c>
      <c r="H11480" s="405">
        <f>SUM(H11464:H11479)</f>
        <v>83408129</v>
      </c>
      <c r="I11480" s="405">
        <f>SUM(I11148)</f>
        <v>73422988.529999986</v>
      </c>
      <c r="J11480" s="750">
        <f t="shared" si="151"/>
        <v>88.028576363342211</v>
      </c>
      <c r="K11480" s="406">
        <f>SUM(K11465:K11479)</f>
        <v>0</v>
      </c>
      <c r="L11480" s="406"/>
      <c r="M11480" s="682"/>
    </row>
    <row r="11481" spans="5:13" ht="6" customHeight="1" x14ac:dyDescent="0.2">
      <c r="H11481" s="397"/>
      <c r="I11481" s="397"/>
      <c r="J11481" s="750"/>
      <c r="K11481" s="398"/>
      <c r="L11481" s="398"/>
      <c r="M11481" s="682"/>
    </row>
    <row r="11482" spans="5:13" x14ac:dyDescent="0.2">
      <c r="E11482" s="500"/>
      <c r="F11482" s="498"/>
      <c r="G11482" s="511" t="s">
        <v>4448</v>
      </c>
      <c r="H11482" s="413"/>
      <c r="I11482" s="413"/>
      <c r="J11482" s="750"/>
      <c r="K11482" s="414"/>
      <c r="L11482" s="415"/>
      <c r="M11482" s="682"/>
    </row>
    <row r="11483" spans="5:13" x14ac:dyDescent="0.2">
      <c r="E11483" s="502"/>
      <c r="F11483" s="503" t="s">
        <v>234</v>
      </c>
      <c r="G11483" s="504" t="s">
        <v>235</v>
      </c>
      <c r="H11483" s="403">
        <f>SUM(H11464,H10948,H10134)</f>
        <v>96308129</v>
      </c>
      <c r="I11483" s="403">
        <f>SUM(I11480,I10964)</f>
        <v>83636346.309999987</v>
      </c>
      <c r="J11483" s="750">
        <f t="shared" si="151"/>
        <v>86.842457826171653</v>
      </c>
      <c r="K11483" s="404"/>
      <c r="L11483" s="404"/>
      <c r="M11483" s="682"/>
    </row>
    <row r="11484" spans="5:13" hidden="1" x14ac:dyDescent="0.2">
      <c r="F11484" s="503" t="s">
        <v>236</v>
      </c>
      <c r="G11484" s="504" t="s">
        <v>237</v>
      </c>
      <c r="H11484" s="397"/>
      <c r="I11484" s="397"/>
      <c r="J11484" s="750" t="e">
        <f t="shared" si="151"/>
        <v>#DIV/0!</v>
      </c>
      <c r="K11484" s="398"/>
      <c r="L11484" s="404"/>
      <c r="M11484" s="682"/>
    </row>
    <row r="11485" spans="5:13" hidden="1" x14ac:dyDescent="0.2">
      <c r="F11485" s="503" t="s">
        <v>238</v>
      </c>
      <c r="G11485" s="504" t="s">
        <v>239</v>
      </c>
      <c r="H11485" s="397"/>
      <c r="I11485" s="397"/>
      <c r="J11485" s="750" t="e">
        <f t="shared" si="151"/>
        <v>#DIV/0!</v>
      </c>
      <c r="K11485" s="398"/>
      <c r="L11485" s="404"/>
      <c r="M11485" s="682"/>
    </row>
    <row r="11486" spans="5:13" hidden="1" x14ac:dyDescent="0.2">
      <c r="F11486" s="503" t="s">
        <v>240</v>
      </c>
      <c r="G11486" s="504" t="s">
        <v>241</v>
      </c>
      <c r="H11486" s="397"/>
      <c r="I11486" s="397"/>
      <c r="J11486" s="750" t="e">
        <f t="shared" si="151"/>
        <v>#DIV/0!</v>
      </c>
      <c r="K11486" s="398"/>
      <c r="L11486" s="404"/>
      <c r="M11486" s="682"/>
    </row>
    <row r="11487" spans="5:13" hidden="1" x14ac:dyDescent="0.2">
      <c r="F11487" s="503" t="s">
        <v>242</v>
      </c>
      <c r="G11487" s="504" t="s">
        <v>243</v>
      </c>
      <c r="H11487" s="397"/>
      <c r="I11487" s="397"/>
      <c r="J11487" s="750" t="e">
        <f t="shared" si="151"/>
        <v>#DIV/0!</v>
      </c>
      <c r="K11487" s="398"/>
      <c r="L11487" s="404"/>
      <c r="M11487" s="682"/>
    </row>
    <row r="11488" spans="5:13" hidden="1" x14ac:dyDescent="0.2">
      <c r="F11488" s="503" t="s">
        <v>244</v>
      </c>
      <c r="G11488" s="504" t="s">
        <v>245</v>
      </c>
      <c r="H11488" s="397"/>
      <c r="I11488" s="397"/>
      <c r="J11488" s="750" t="e">
        <f t="shared" si="151"/>
        <v>#DIV/0!</v>
      </c>
      <c r="K11488" s="398"/>
      <c r="L11488" s="404"/>
      <c r="M11488" s="682"/>
    </row>
    <row r="11489" spans="1:13" hidden="1" x14ac:dyDescent="0.2">
      <c r="F11489" s="503" t="s">
        <v>246</v>
      </c>
      <c r="G11489" s="504" t="s">
        <v>247</v>
      </c>
      <c r="H11489" s="397"/>
      <c r="I11489" s="397"/>
      <c r="J11489" s="750" t="e">
        <f t="shared" si="151"/>
        <v>#DIV/0!</v>
      </c>
      <c r="K11489" s="398"/>
      <c r="L11489" s="404"/>
      <c r="M11489" s="682"/>
    </row>
    <row r="11490" spans="1:13" ht="25.5" hidden="1" x14ac:dyDescent="0.2">
      <c r="F11490" s="503" t="s">
        <v>248</v>
      </c>
      <c r="G11490" s="504" t="s">
        <v>249</v>
      </c>
      <c r="H11490" s="397"/>
      <c r="I11490" s="397"/>
      <c r="J11490" s="750" t="e">
        <f t="shared" si="151"/>
        <v>#DIV/0!</v>
      </c>
      <c r="K11490" s="398"/>
      <c r="L11490" s="404"/>
      <c r="M11490" s="682"/>
    </row>
    <row r="11491" spans="1:13" hidden="1" x14ac:dyDescent="0.2">
      <c r="F11491" s="503" t="s">
        <v>250</v>
      </c>
      <c r="G11491" s="504" t="s">
        <v>57</v>
      </c>
      <c r="H11491" s="397"/>
      <c r="I11491" s="397"/>
      <c r="J11491" s="750" t="e">
        <f t="shared" si="151"/>
        <v>#DIV/0!</v>
      </c>
      <c r="K11491" s="398"/>
      <c r="L11491" s="404"/>
      <c r="M11491" s="682"/>
    </row>
    <row r="11492" spans="1:13" hidden="1" x14ac:dyDescent="0.2">
      <c r="F11492" s="503" t="s">
        <v>251</v>
      </c>
      <c r="G11492" s="504" t="s">
        <v>252</v>
      </c>
      <c r="H11492" s="397"/>
      <c r="I11492" s="397"/>
      <c r="J11492" s="750" t="e">
        <f t="shared" si="151"/>
        <v>#DIV/0!</v>
      </c>
      <c r="K11492" s="398"/>
      <c r="L11492" s="404"/>
      <c r="M11492" s="682"/>
    </row>
    <row r="11493" spans="1:13" hidden="1" x14ac:dyDescent="0.2">
      <c r="F11493" s="503" t="s">
        <v>253</v>
      </c>
      <c r="G11493" s="504" t="s">
        <v>254</v>
      </c>
      <c r="H11493" s="397"/>
      <c r="I11493" s="397"/>
      <c r="J11493" s="750" t="e">
        <f t="shared" si="151"/>
        <v>#DIV/0!</v>
      </c>
      <c r="K11493" s="398"/>
      <c r="L11493" s="404"/>
      <c r="M11493" s="682"/>
    </row>
    <row r="11494" spans="1:13" ht="25.5" hidden="1" x14ac:dyDescent="0.2">
      <c r="F11494" s="503" t="s">
        <v>255</v>
      </c>
      <c r="G11494" s="504" t="s">
        <v>256</v>
      </c>
      <c r="H11494" s="397"/>
      <c r="I11494" s="397"/>
      <c r="J11494" s="750" t="e">
        <f t="shared" si="151"/>
        <v>#DIV/0!</v>
      </c>
      <c r="K11494" s="398"/>
      <c r="L11494" s="404"/>
      <c r="M11494" s="682"/>
    </row>
    <row r="11495" spans="1:13" ht="25.5" hidden="1" x14ac:dyDescent="0.2">
      <c r="F11495" s="503" t="s">
        <v>257</v>
      </c>
      <c r="G11495" s="504" t="s">
        <v>258</v>
      </c>
      <c r="H11495" s="397"/>
      <c r="I11495" s="397"/>
      <c r="J11495" s="750" t="e">
        <f t="shared" si="151"/>
        <v>#DIV/0!</v>
      </c>
      <c r="K11495" s="398"/>
      <c r="L11495" s="404"/>
      <c r="M11495" s="682"/>
    </row>
    <row r="11496" spans="1:13" ht="25.5" hidden="1" x14ac:dyDescent="0.2">
      <c r="F11496" s="503" t="s">
        <v>259</v>
      </c>
      <c r="G11496" s="504" t="s">
        <v>260</v>
      </c>
      <c r="H11496" s="397"/>
      <c r="I11496" s="397"/>
      <c r="J11496" s="750" t="e">
        <f t="shared" si="151"/>
        <v>#DIV/0!</v>
      </c>
      <c r="K11496" s="398"/>
      <c r="L11496" s="404"/>
      <c r="M11496" s="682"/>
    </row>
    <row r="11497" spans="1:13" ht="25.5" hidden="1" x14ac:dyDescent="0.2">
      <c r="F11497" s="503" t="s">
        <v>261</v>
      </c>
      <c r="G11497" s="504" t="s">
        <v>262</v>
      </c>
      <c r="H11497" s="397"/>
      <c r="I11497" s="397"/>
      <c r="J11497" s="750" t="e">
        <f t="shared" si="151"/>
        <v>#DIV/0!</v>
      </c>
      <c r="K11497" s="398"/>
      <c r="L11497" s="404"/>
      <c r="M11497" s="682"/>
    </row>
    <row r="11498" spans="1:13" ht="12.75" customHeight="1" thickBot="1" x14ac:dyDescent="0.25">
      <c r="F11498" s="549" t="s">
        <v>246</v>
      </c>
      <c r="G11498" s="504" t="s">
        <v>5395</v>
      </c>
      <c r="H11498" s="403"/>
      <c r="I11498" s="403"/>
      <c r="J11498" s="750"/>
      <c r="K11498" s="404"/>
      <c r="L11498" s="404">
        <f>SUM(L11479)</f>
        <v>1559983.0699999998</v>
      </c>
      <c r="M11498" s="682"/>
    </row>
    <row r="11499" spans="1:13" ht="24" customHeight="1" thickBot="1" x14ac:dyDescent="0.25">
      <c r="G11499" s="505" t="s">
        <v>4449</v>
      </c>
      <c r="H11499" s="405">
        <f>SUM(H11483:H11498)</f>
        <v>96308129</v>
      </c>
      <c r="I11499" s="405">
        <f>SUM(I11483)</f>
        <v>83636346.309999987</v>
      </c>
      <c r="J11499" s="750">
        <f t="shared" si="151"/>
        <v>86.842457826171653</v>
      </c>
      <c r="K11499" s="406">
        <f>SUM(K11484:K11498)</f>
        <v>0</v>
      </c>
      <c r="L11499" s="406">
        <f>SUM(L11498)</f>
        <v>1559983.0699999998</v>
      </c>
      <c r="M11499" s="682"/>
    </row>
    <row r="11500" spans="1:13" hidden="1" x14ac:dyDescent="0.2">
      <c r="H11500" s="397"/>
      <c r="I11500" s="397"/>
      <c r="J11500" s="750" t="e">
        <f t="shared" si="151"/>
        <v>#DIV/0!</v>
      </c>
      <c r="K11500" s="398"/>
      <c r="L11500" s="398"/>
      <c r="M11500" s="682"/>
    </row>
    <row r="11501" spans="1:13" hidden="1" x14ac:dyDescent="0.2">
      <c r="H11501" s="397"/>
      <c r="I11501" s="397"/>
      <c r="J11501" s="750" t="e">
        <f t="shared" si="151"/>
        <v>#DIV/0!</v>
      </c>
      <c r="K11501" s="398"/>
      <c r="L11501" s="398"/>
      <c r="M11501" s="682"/>
    </row>
    <row r="11502" spans="1:13" hidden="1" x14ac:dyDescent="0.2">
      <c r="A11502" s="521"/>
      <c r="B11502" s="641"/>
      <c r="C11502" s="521"/>
      <c r="D11502" s="184"/>
      <c r="E11502" s="184"/>
      <c r="F11502" s="184"/>
      <c r="G11502" s="642" t="s">
        <v>4314</v>
      </c>
      <c r="H11502" s="420"/>
      <c r="I11502" s="420"/>
      <c r="J11502" s="750" t="e">
        <f t="shared" si="151"/>
        <v>#DIV/0!</v>
      </c>
      <c r="K11502" s="449"/>
      <c r="L11502" s="447"/>
      <c r="M11502" s="682"/>
    </row>
    <row r="11503" spans="1:13" hidden="1" x14ac:dyDescent="0.2">
      <c r="C11503" s="489" t="s">
        <v>3594</v>
      </c>
      <c r="G11503" s="513" t="s">
        <v>4315</v>
      </c>
      <c r="H11503" s="397"/>
      <c r="I11503" s="397"/>
      <c r="J11503" s="750" t="e">
        <f t="shared" si="151"/>
        <v>#DIV/0!</v>
      </c>
      <c r="K11503" s="398"/>
      <c r="L11503" s="398"/>
      <c r="M11503" s="682"/>
    </row>
    <row r="11504" spans="1:13" hidden="1" x14ac:dyDescent="0.2">
      <c r="C11504" s="489" t="s">
        <v>4125</v>
      </c>
      <c r="D11504" s="490"/>
      <c r="G11504" s="513" t="s">
        <v>4316</v>
      </c>
      <c r="H11504" s="397"/>
      <c r="I11504" s="397"/>
      <c r="J11504" s="750" t="e">
        <f t="shared" si="151"/>
        <v>#DIV/0!</v>
      </c>
      <c r="K11504" s="398"/>
      <c r="L11504" s="398"/>
      <c r="M11504" s="682"/>
    </row>
    <row r="11505" spans="3:13" hidden="1" x14ac:dyDescent="0.2">
      <c r="C11505" s="489"/>
      <c r="D11505" s="492">
        <v>820</v>
      </c>
      <c r="E11505" s="492"/>
      <c r="F11505" s="492"/>
      <c r="G11505" s="493" t="s">
        <v>207</v>
      </c>
      <c r="H11505" s="397"/>
      <c r="I11505" s="397"/>
      <c r="J11505" s="750" t="e">
        <f t="shared" si="151"/>
        <v>#DIV/0!</v>
      </c>
      <c r="K11505" s="398"/>
      <c r="L11505" s="398"/>
      <c r="M11505" s="682"/>
    </row>
    <row r="11506" spans="3:13" hidden="1" x14ac:dyDescent="0.2">
      <c r="F11506" s="494">
        <v>411</v>
      </c>
      <c r="G11506" s="495" t="s">
        <v>4167</v>
      </c>
      <c r="H11506" s="397"/>
      <c r="I11506" s="397"/>
      <c r="J11506" s="750" t="e">
        <f t="shared" si="151"/>
        <v>#DIV/0!</v>
      </c>
      <c r="K11506" s="398"/>
      <c r="L11506" s="398"/>
      <c r="M11506" s="682"/>
    </row>
    <row r="11507" spans="3:13" hidden="1" x14ac:dyDescent="0.2">
      <c r="F11507" s="494">
        <v>412</v>
      </c>
      <c r="G11507" s="496" t="s">
        <v>3764</v>
      </c>
      <c r="H11507" s="397"/>
      <c r="I11507" s="397"/>
      <c r="J11507" s="750" t="e">
        <f t="shared" si="151"/>
        <v>#DIV/0!</v>
      </c>
      <c r="K11507" s="398"/>
      <c r="L11507" s="398"/>
      <c r="M11507" s="682"/>
    </row>
    <row r="11508" spans="3:13" hidden="1" x14ac:dyDescent="0.2">
      <c r="F11508" s="494">
        <v>413</v>
      </c>
      <c r="G11508" s="495" t="s">
        <v>4168</v>
      </c>
      <c r="H11508" s="397"/>
      <c r="I11508" s="397"/>
      <c r="J11508" s="750" t="e">
        <f t="shared" si="151"/>
        <v>#DIV/0!</v>
      </c>
      <c r="K11508" s="398"/>
      <c r="L11508" s="398"/>
      <c r="M11508" s="682"/>
    </row>
    <row r="11509" spans="3:13" hidden="1" x14ac:dyDescent="0.2">
      <c r="F11509" s="494">
        <v>414</v>
      </c>
      <c r="G11509" s="495" t="s">
        <v>3767</v>
      </c>
      <c r="H11509" s="397"/>
      <c r="I11509" s="397"/>
      <c r="J11509" s="750" t="e">
        <f t="shared" si="151"/>
        <v>#DIV/0!</v>
      </c>
      <c r="K11509" s="398"/>
      <c r="L11509" s="398"/>
      <c r="M11509" s="682"/>
    </row>
    <row r="11510" spans="3:13" hidden="1" x14ac:dyDescent="0.2">
      <c r="F11510" s="494">
        <v>415</v>
      </c>
      <c r="G11510" s="495" t="s">
        <v>4177</v>
      </c>
      <c r="H11510" s="397"/>
      <c r="I11510" s="397"/>
      <c r="J11510" s="750" t="e">
        <f t="shared" si="151"/>
        <v>#DIV/0!</v>
      </c>
      <c r="K11510" s="398"/>
      <c r="L11510" s="398"/>
      <c r="M11510" s="682"/>
    </row>
    <row r="11511" spans="3:13" ht="25.5" hidden="1" x14ac:dyDescent="0.2">
      <c r="F11511" s="494">
        <v>416</v>
      </c>
      <c r="G11511" s="495" t="s">
        <v>4178</v>
      </c>
      <c r="H11511" s="397"/>
      <c r="I11511" s="397"/>
      <c r="J11511" s="750" t="e">
        <f t="shared" si="151"/>
        <v>#DIV/0!</v>
      </c>
      <c r="K11511" s="398"/>
      <c r="L11511" s="398"/>
      <c r="M11511" s="682"/>
    </row>
    <row r="11512" spans="3:13" hidden="1" x14ac:dyDescent="0.2">
      <c r="F11512" s="494">
        <v>417</v>
      </c>
      <c r="G11512" s="495" t="s">
        <v>4179</v>
      </c>
      <c r="H11512" s="397"/>
      <c r="I11512" s="397"/>
      <c r="J11512" s="750" t="e">
        <f t="shared" si="151"/>
        <v>#DIV/0!</v>
      </c>
      <c r="K11512" s="398"/>
      <c r="L11512" s="398"/>
      <c r="M11512" s="682"/>
    </row>
    <row r="11513" spans="3:13" hidden="1" x14ac:dyDescent="0.2">
      <c r="F11513" s="494">
        <v>418</v>
      </c>
      <c r="G11513" s="495" t="s">
        <v>3773</v>
      </c>
      <c r="H11513" s="397"/>
      <c r="I11513" s="397"/>
      <c r="J11513" s="750" t="e">
        <f t="shared" si="151"/>
        <v>#DIV/0!</v>
      </c>
      <c r="K11513" s="398"/>
      <c r="L11513" s="398"/>
      <c r="M11513" s="682"/>
    </row>
    <row r="11514" spans="3:13" hidden="1" x14ac:dyDescent="0.2">
      <c r="F11514" s="494">
        <v>421</v>
      </c>
      <c r="G11514" s="495" t="s">
        <v>3777</v>
      </c>
      <c r="H11514" s="397"/>
      <c r="I11514" s="397"/>
      <c r="J11514" s="750" t="e">
        <f t="shared" si="151"/>
        <v>#DIV/0!</v>
      </c>
      <c r="K11514" s="398"/>
      <c r="L11514" s="398"/>
      <c r="M11514" s="682"/>
    </row>
    <row r="11515" spans="3:13" hidden="1" x14ac:dyDescent="0.2">
      <c r="F11515" s="494">
        <v>422</v>
      </c>
      <c r="G11515" s="495" t="s">
        <v>3778</v>
      </c>
      <c r="H11515" s="397"/>
      <c r="I11515" s="397"/>
      <c r="J11515" s="750" t="e">
        <f t="shared" si="151"/>
        <v>#DIV/0!</v>
      </c>
      <c r="K11515" s="398"/>
      <c r="L11515" s="398"/>
      <c r="M11515" s="682"/>
    </row>
    <row r="11516" spans="3:13" hidden="1" x14ac:dyDescent="0.2">
      <c r="F11516" s="494">
        <v>423</v>
      </c>
      <c r="G11516" s="495" t="s">
        <v>3779</v>
      </c>
      <c r="H11516" s="397"/>
      <c r="I11516" s="397"/>
      <c r="J11516" s="750" t="e">
        <f t="shared" si="151"/>
        <v>#DIV/0!</v>
      </c>
      <c r="K11516" s="398"/>
      <c r="L11516" s="398"/>
      <c r="M11516" s="682"/>
    </row>
    <row r="11517" spans="3:13" hidden="1" x14ac:dyDescent="0.2">
      <c r="F11517" s="494">
        <v>424</v>
      </c>
      <c r="G11517" s="495" t="s">
        <v>3781</v>
      </c>
      <c r="H11517" s="397"/>
      <c r="I11517" s="397"/>
      <c r="J11517" s="750" t="e">
        <f t="shared" si="151"/>
        <v>#DIV/0!</v>
      </c>
      <c r="K11517" s="398"/>
      <c r="L11517" s="398"/>
      <c r="M11517" s="682"/>
    </row>
    <row r="11518" spans="3:13" hidden="1" x14ac:dyDescent="0.2">
      <c r="F11518" s="494">
        <v>425</v>
      </c>
      <c r="G11518" s="495" t="s">
        <v>4180</v>
      </c>
      <c r="H11518" s="397"/>
      <c r="I11518" s="397"/>
      <c r="J11518" s="750" t="e">
        <f t="shared" si="151"/>
        <v>#DIV/0!</v>
      </c>
      <c r="K11518" s="398"/>
      <c r="L11518" s="398"/>
      <c r="M11518" s="682"/>
    </row>
    <row r="11519" spans="3:13" hidden="1" x14ac:dyDescent="0.2">
      <c r="F11519" s="494">
        <v>426</v>
      </c>
      <c r="G11519" s="495" t="s">
        <v>3785</v>
      </c>
      <c r="H11519" s="397"/>
      <c r="I11519" s="397"/>
      <c r="J11519" s="750" t="e">
        <f t="shared" si="151"/>
        <v>#DIV/0!</v>
      </c>
      <c r="K11519" s="398"/>
      <c r="L11519" s="398"/>
      <c r="M11519" s="682"/>
    </row>
    <row r="11520" spans="3:13" hidden="1" x14ac:dyDescent="0.2">
      <c r="F11520" s="494">
        <v>431</v>
      </c>
      <c r="G11520" s="495" t="s">
        <v>4181</v>
      </c>
      <c r="H11520" s="397"/>
      <c r="I11520" s="397"/>
      <c r="J11520" s="750" t="e">
        <f t="shared" si="151"/>
        <v>#DIV/0!</v>
      </c>
      <c r="K11520" s="398"/>
      <c r="L11520" s="398"/>
      <c r="M11520" s="682"/>
    </row>
    <row r="11521" spans="6:13" hidden="1" x14ac:dyDescent="0.2">
      <c r="F11521" s="494">
        <v>432</v>
      </c>
      <c r="G11521" s="495" t="s">
        <v>4182</v>
      </c>
      <c r="H11521" s="397"/>
      <c r="I11521" s="397"/>
      <c r="J11521" s="750" t="e">
        <f t="shared" si="151"/>
        <v>#DIV/0!</v>
      </c>
      <c r="K11521" s="398"/>
      <c r="L11521" s="398"/>
      <c r="M11521" s="682"/>
    </row>
    <row r="11522" spans="6:13" hidden="1" x14ac:dyDescent="0.2">
      <c r="F11522" s="494">
        <v>433</v>
      </c>
      <c r="G11522" s="495" t="s">
        <v>4183</v>
      </c>
      <c r="H11522" s="397"/>
      <c r="I11522" s="397"/>
      <c r="J11522" s="750" t="e">
        <f t="shared" si="151"/>
        <v>#DIV/0!</v>
      </c>
      <c r="K11522" s="398"/>
      <c r="L11522" s="398"/>
      <c r="M11522" s="682"/>
    </row>
    <row r="11523" spans="6:13" hidden="1" x14ac:dyDescent="0.2">
      <c r="F11523" s="494">
        <v>434</v>
      </c>
      <c r="G11523" s="495" t="s">
        <v>4184</v>
      </c>
      <c r="H11523" s="397"/>
      <c r="I11523" s="397"/>
      <c r="J11523" s="750" t="e">
        <f t="shared" si="151"/>
        <v>#DIV/0!</v>
      </c>
      <c r="K11523" s="398"/>
      <c r="L11523" s="398"/>
      <c r="M11523" s="682"/>
    </row>
    <row r="11524" spans="6:13" hidden="1" x14ac:dyDescent="0.2">
      <c r="F11524" s="494">
        <v>435</v>
      </c>
      <c r="G11524" s="495" t="s">
        <v>3792</v>
      </c>
      <c r="H11524" s="397"/>
      <c r="I11524" s="397"/>
      <c r="J11524" s="750" t="e">
        <f t="shared" si="151"/>
        <v>#DIV/0!</v>
      </c>
      <c r="K11524" s="398"/>
      <c r="L11524" s="398"/>
      <c r="M11524" s="682"/>
    </row>
    <row r="11525" spans="6:13" hidden="1" x14ac:dyDescent="0.2">
      <c r="F11525" s="494">
        <v>441</v>
      </c>
      <c r="G11525" s="495" t="s">
        <v>4185</v>
      </c>
      <c r="H11525" s="397"/>
      <c r="I11525" s="397"/>
      <c r="J11525" s="750" t="e">
        <f t="shared" si="151"/>
        <v>#DIV/0!</v>
      </c>
      <c r="K11525" s="398"/>
      <c r="L11525" s="398"/>
      <c r="M11525" s="682"/>
    </row>
    <row r="11526" spans="6:13" hidden="1" x14ac:dyDescent="0.2">
      <c r="F11526" s="494">
        <v>442</v>
      </c>
      <c r="G11526" s="495" t="s">
        <v>4186</v>
      </c>
      <c r="H11526" s="397"/>
      <c r="I11526" s="397"/>
      <c r="J11526" s="750" t="e">
        <f t="shared" si="151"/>
        <v>#DIV/0!</v>
      </c>
      <c r="K11526" s="398"/>
      <c r="L11526" s="398"/>
      <c r="M11526" s="682"/>
    </row>
    <row r="11527" spans="6:13" hidden="1" x14ac:dyDescent="0.2">
      <c r="F11527" s="494">
        <v>443</v>
      </c>
      <c r="G11527" s="495" t="s">
        <v>3797</v>
      </c>
      <c r="H11527" s="397"/>
      <c r="I11527" s="397"/>
      <c r="J11527" s="750" t="e">
        <f t="shared" si="151"/>
        <v>#DIV/0!</v>
      </c>
      <c r="K11527" s="398"/>
      <c r="L11527" s="398"/>
      <c r="M11527" s="682"/>
    </row>
    <row r="11528" spans="6:13" hidden="1" x14ac:dyDescent="0.2">
      <c r="F11528" s="494">
        <v>444</v>
      </c>
      <c r="G11528" s="495" t="s">
        <v>3798</v>
      </c>
      <c r="H11528" s="397"/>
      <c r="I11528" s="397"/>
      <c r="J11528" s="750" t="e">
        <f t="shared" si="151"/>
        <v>#DIV/0!</v>
      </c>
      <c r="K11528" s="398"/>
      <c r="L11528" s="398"/>
      <c r="M11528" s="682"/>
    </row>
    <row r="11529" spans="6:13" ht="25.5" hidden="1" x14ac:dyDescent="0.2">
      <c r="F11529" s="494">
        <v>4511</v>
      </c>
      <c r="G11529" s="466" t="s">
        <v>1692</v>
      </c>
      <c r="H11529" s="397"/>
      <c r="I11529" s="397"/>
      <c r="J11529" s="750" t="e">
        <f t="shared" si="151"/>
        <v>#DIV/0!</v>
      </c>
      <c r="K11529" s="398"/>
      <c r="L11529" s="398"/>
      <c r="M11529" s="682"/>
    </row>
    <row r="11530" spans="6:13" ht="19.5" hidden="1" customHeight="1" x14ac:dyDescent="0.2">
      <c r="F11530" s="494">
        <v>4512</v>
      </c>
      <c r="G11530" s="466" t="s">
        <v>1701</v>
      </c>
      <c r="H11530" s="397"/>
      <c r="I11530" s="397"/>
      <c r="J11530" s="750" t="e">
        <f t="shared" si="151"/>
        <v>#DIV/0!</v>
      </c>
      <c r="K11530" s="398"/>
      <c r="L11530" s="398"/>
      <c r="M11530" s="682"/>
    </row>
    <row r="11531" spans="6:13" ht="25.5" hidden="1" x14ac:dyDescent="0.2">
      <c r="F11531" s="494">
        <v>452</v>
      </c>
      <c r="G11531" s="495" t="s">
        <v>4187</v>
      </c>
      <c r="H11531" s="397"/>
      <c r="I11531" s="397"/>
      <c r="J11531" s="750" t="e">
        <f t="shared" si="151"/>
        <v>#DIV/0!</v>
      </c>
      <c r="K11531" s="398"/>
      <c r="L11531" s="398"/>
      <c r="M11531" s="682"/>
    </row>
    <row r="11532" spans="6:13" ht="25.5" hidden="1" x14ac:dyDescent="0.2">
      <c r="F11532" s="494">
        <v>453</v>
      </c>
      <c r="G11532" s="495" t="s">
        <v>4188</v>
      </c>
      <c r="H11532" s="397"/>
      <c r="I11532" s="397"/>
      <c r="J11532" s="750" t="e">
        <f t="shared" si="151"/>
        <v>#DIV/0!</v>
      </c>
      <c r="K11532" s="398"/>
      <c r="L11532" s="398"/>
      <c r="M11532" s="682"/>
    </row>
    <row r="11533" spans="6:13" hidden="1" x14ac:dyDescent="0.2">
      <c r="F11533" s="494">
        <v>454</v>
      </c>
      <c r="G11533" s="495" t="s">
        <v>3803</v>
      </c>
      <c r="H11533" s="397"/>
      <c r="I11533" s="397"/>
      <c r="J11533" s="750" t="e">
        <f t="shared" si="151"/>
        <v>#DIV/0!</v>
      </c>
      <c r="K11533" s="398"/>
      <c r="L11533" s="398"/>
      <c r="M11533" s="682"/>
    </row>
    <row r="11534" spans="6:13" hidden="1" x14ac:dyDescent="0.2">
      <c r="F11534" s="494">
        <v>461</v>
      </c>
      <c r="G11534" s="495" t="s">
        <v>4169</v>
      </c>
      <c r="H11534" s="397"/>
      <c r="I11534" s="397"/>
      <c r="J11534" s="750" t="e">
        <f t="shared" ref="J11534:J11597" si="152">SUM(I11534/H11534)*100</f>
        <v>#DIV/0!</v>
      </c>
      <c r="K11534" s="398"/>
      <c r="L11534" s="398"/>
      <c r="M11534" s="682"/>
    </row>
    <row r="11535" spans="6:13" ht="25.5" hidden="1" x14ac:dyDescent="0.2">
      <c r="F11535" s="494">
        <v>462</v>
      </c>
      <c r="G11535" s="495" t="s">
        <v>3806</v>
      </c>
      <c r="H11535" s="397"/>
      <c r="I11535" s="397"/>
      <c r="J11535" s="750" t="e">
        <f t="shared" si="152"/>
        <v>#DIV/0!</v>
      </c>
      <c r="K11535" s="398"/>
      <c r="L11535" s="398"/>
      <c r="M11535" s="682"/>
    </row>
    <row r="11536" spans="6:13" hidden="1" x14ac:dyDescent="0.2">
      <c r="F11536" s="494">
        <v>4631</v>
      </c>
      <c r="G11536" s="495" t="s">
        <v>3807</v>
      </c>
      <c r="H11536" s="397"/>
      <c r="I11536" s="397"/>
      <c r="J11536" s="750" t="e">
        <f t="shared" si="152"/>
        <v>#DIV/0!</v>
      </c>
      <c r="K11536" s="398"/>
      <c r="L11536" s="398"/>
      <c r="M11536" s="682"/>
    </row>
    <row r="11537" spans="6:13" hidden="1" x14ac:dyDescent="0.2">
      <c r="F11537" s="494">
        <v>4632</v>
      </c>
      <c r="G11537" s="495" t="s">
        <v>3808</v>
      </c>
      <c r="H11537" s="397"/>
      <c r="I11537" s="397"/>
      <c r="J11537" s="750" t="e">
        <f t="shared" si="152"/>
        <v>#DIV/0!</v>
      </c>
      <c r="K11537" s="398"/>
      <c r="L11537" s="398"/>
      <c r="M11537" s="682"/>
    </row>
    <row r="11538" spans="6:13" ht="25.5" hidden="1" x14ac:dyDescent="0.2">
      <c r="F11538" s="494">
        <v>464</v>
      </c>
      <c r="G11538" s="495" t="s">
        <v>3809</v>
      </c>
      <c r="H11538" s="397"/>
      <c r="I11538" s="397"/>
      <c r="J11538" s="750" t="e">
        <f t="shared" si="152"/>
        <v>#DIV/0!</v>
      </c>
      <c r="K11538" s="398"/>
      <c r="L11538" s="398"/>
      <c r="M11538" s="682"/>
    </row>
    <row r="11539" spans="6:13" hidden="1" x14ac:dyDescent="0.2">
      <c r="F11539" s="494">
        <v>465</v>
      </c>
      <c r="G11539" s="495" t="s">
        <v>4170</v>
      </c>
      <c r="H11539" s="397"/>
      <c r="I11539" s="397"/>
      <c r="J11539" s="750" t="e">
        <f t="shared" si="152"/>
        <v>#DIV/0!</v>
      </c>
      <c r="K11539" s="398"/>
      <c r="L11539" s="398"/>
      <c r="M11539" s="682"/>
    </row>
    <row r="11540" spans="6:13" hidden="1" x14ac:dyDescent="0.2">
      <c r="F11540" s="494">
        <v>472</v>
      </c>
      <c r="G11540" s="495" t="s">
        <v>3813</v>
      </c>
      <c r="H11540" s="397"/>
      <c r="I11540" s="397"/>
      <c r="J11540" s="750" t="e">
        <f t="shared" si="152"/>
        <v>#DIV/0!</v>
      </c>
      <c r="K11540" s="398"/>
      <c r="L11540" s="398"/>
      <c r="M11540" s="682"/>
    </row>
    <row r="11541" spans="6:13" hidden="1" x14ac:dyDescent="0.2">
      <c r="F11541" s="494">
        <v>481</v>
      </c>
      <c r="G11541" s="495" t="s">
        <v>4189</v>
      </c>
      <c r="H11541" s="397"/>
      <c r="I11541" s="397"/>
      <c r="J11541" s="750" t="e">
        <f t="shared" si="152"/>
        <v>#DIV/0!</v>
      </c>
      <c r="K11541" s="398"/>
      <c r="L11541" s="398"/>
      <c r="M11541" s="682"/>
    </row>
    <row r="11542" spans="6:13" hidden="1" x14ac:dyDescent="0.2">
      <c r="F11542" s="494">
        <v>482</v>
      </c>
      <c r="G11542" s="495" t="s">
        <v>4190</v>
      </c>
      <c r="H11542" s="397"/>
      <c r="I11542" s="397"/>
      <c r="J11542" s="750" t="e">
        <f t="shared" si="152"/>
        <v>#DIV/0!</v>
      </c>
      <c r="K11542" s="398"/>
      <c r="L11542" s="398"/>
      <c r="M11542" s="682"/>
    </row>
    <row r="11543" spans="6:13" hidden="1" x14ac:dyDescent="0.2">
      <c r="F11543" s="494">
        <v>483</v>
      </c>
      <c r="G11543" s="497" t="s">
        <v>4191</v>
      </c>
      <c r="H11543" s="397"/>
      <c r="I11543" s="397"/>
      <c r="J11543" s="750" t="e">
        <f t="shared" si="152"/>
        <v>#DIV/0!</v>
      </c>
      <c r="K11543" s="398"/>
      <c r="L11543" s="398"/>
      <c r="M11543" s="682"/>
    </row>
    <row r="11544" spans="6:13" ht="38.25" hidden="1" x14ac:dyDescent="0.2">
      <c r="F11544" s="494">
        <v>484</v>
      </c>
      <c r="G11544" s="495" t="s">
        <v>4192</v>
      </c>
      <c r="H11544" s="397"/>
      <c r="I11544" s="397"/>
      <c r="J11544" s="750" t="e">
        <f t="shared" si="152"/>
        <v>#DIV/0!</v>
      </c>
      <c r="K11544" s="398"/>
      <c r="L11544" s="398"/>
      <c r="M11544" s="682"/>
    </row>
    <row r="11545" spans="6:13" ht="25.5" hidden="1" x14ac:dyDescent="0.2">
      <c r="F11545" s="494">
        <v>485</v>
      </c>
      <c r="G11545" s="495" t="s">
        <v>4193</v>
      </c>
      <c r="H11545" s="397"/>
      <c r="I11545" s="397"/>
      <c r="J11545" s="750" t="e">
        <f t="shared" si="152"/>
        <v>#DIV/0!</v>
      </c>
      <c r="K11545" s="398"/>
      <c r="L11545" s="398"/>
      <c r="M11545" s="682"/>
    </row>
    <row r="11546" spans="6:13" ht="25.5" hidden="1" x14ac:dyDescent="0.2">
      <c r="F11546" s="494">
        <v>489</v>
      </c>
      <c r="G11546" s="495" t="s">
        <v>3821</v>
      </c>
      <c r="H11546" s="397"/>
      <c r="I11546" s="397"/>
      <c r="J11546" s="750" t="e">
        <f t="shared" si="152"/>
        <v>#DIV/0!</v>
      </c>
      <c r="K11546" s="398"/>
      <c r="L11546" s="398"/>
      <c r="M11546" s="682"/>
    </row>
    <row r="11547" spans="6:13" ht="25.5" hidden="1" x14ac:dyDescent="0.2">
      <c r="F11547" s="494">
        <v>494</v>
      </c>
      <c r="G11547" s="495" t="s">
        <v>4171</v>
      </c>
      <c r="H11547" s="397"/>
      <c r="I11547" s="397"/>
      <c r="J11547" s="750" t="e">
        <f t="shared" si="152"/>
        <v>#DIV/0!</v>
      </c>
      <c r="K11547" s="398"/>
      <c r="L11547" s="398"/>
      <c r="M11547" s="682"/>
    </row>
    <row r="11548" spans="6:13" ht="25.5" hidden="1" x14ac:dyDescent="0.2">
      <c r="F11548" s="494">
        <v>495</v>
      </c>
      <c r="G11548" s="495" t="s">
        <v>4172</v>
      </c>
      <c r="H11548" s="397"/>
      <c r="I11548" s="397"/>
      <c r="J11548" s="750" t="e">
        <f t="shared" si="152"/>
        <v>#DIV/0!</v>
      </c>
      <c r="K11548" s="398"/>
      <c r="L11548" s="398"/>
      <c r="M11548" s="682"/>
    </row>
    <row r="11549" spans="6:13" ht="38.25" hidden="1" x14ac:dyDescent="0.2">
      <c r="F11549" s="494">
        <v>496</v>
      </c>
      <c r="G11549" s="495" t="s">
        <v>4173</v>
      </c>
      <c r="H11549" s="397"/>
      <c r="I11549" s="397"/>
      <c r="J11549" s="750" t="e">
        <f t="shared" si="152"/>
        <v>#DIV/0!</v>
      </c>
      <c r="K11549" s="398"/>
      <c r="L11549" s="398"/>
      <c r="M11549" s="682"/>
    </row>
    <row r="11550" spans="6:13" ht="25.5" hidden="1" x14ac:dyDescent="0.2">
      <c r="F11550" s="494">
        <v>499</v>
      </c>
      <c r="G11550" s="495" t="s">
        <v>4174</v>
      </c>
      <c r="H11550" s="397"/>
      <c r="I11550" s="397"/>
      <c r="J11550" s="750" t="e">
        <f t="shared" si="152"/>
        <v>#DIV/0!</v>
      </c>
      <c r="K11550" s="398"/>
      <c r="L11550" s="398"/>
      <c r="M11550" s="682"/>
    </row>
    <row r="11551" spans="6:13" hidden="1" x14ac:dyDescent="0.2">
      <c r="F11551" s="494">
        <v>511</v>
      </c>
      <c r="G11551" s="497" t="s">
        <v>4194</v>
      </c>
      <c r="H11551" s="397"/>
      <c r="I11551" s="397"/>
      <c r="J11551" s="750" t="e">
        <f t="shared" si="152"/>
        <v>#DIV/0!</v>
      </c>
      <c r="K11551" s="398"/>
      <c r="L11551" s="398"/>
      <c r="M11551" s="682"/>
    </row>
    <row r="11552" spans="6:13" hidden="1" x14ac:dyDescent="0.2">
      <c r="F11552" s="494">
        <v>512</v>
      </c>
      <c r="G11552" s="497" t="s">
        <v>4195</v>
      </c>
      <c r="H11552" s="397"/>
      <c r="I11552" s="397"/>
      <c r="J11552" s="750" t="e">
        <f t="shared" si="152"/>
        <v>#DIV/0!</v>
      </c>
      <c r="K11552" s="398"/>
      <c r="L11552" s="398"/>
      <c r="M11552" s="682"/>
    </row>
    <row r="11553" spans="5:13" hidden="1" x14ac:dyDescent="0.2">
      <c r="F11553" s="494">
        <v>513</v>
      </c>
      <c r="G11553" s="497" t="s">
        <v>4196</v>
      </c>
      <c r="H11553" s="397"/>
      <c r="I11553" s="397"/>
      <c r="J11553" s="750" t="e">
        <f t="shared" si="152"/>
        <v>#DIV/0!</v>
      </c>
      <c r="K11553" s="398"/>
      <c r="L11553" s="398"/>
      <c r="M11553" s="682"/>
    </row>
    <row r="11554" spans="5:13" hidden="1" x14ac:dyDescent="0.2">
      <c r="F11554" s="494">
        <v>514</v>
      </c>
      <c r="G11554" s="495" t="s">
        <v>4197</v>
      </c>
      <c r="H11554" s="397"/>
      <c r="I11554" s="397"/>
      <c r="J11554" s="750" t="e">
        <f t="shared" si="152"/>
        <v>#DIV/0!</v>
      </c>
      <c r="K11554" s="398"/>
      <c r="L11554" s="398"/>
      <c r="M11554" s="682"/>
    </row>
    <row r="11555" spans="5:13" hidden="1" x14ac:dyDescent="0.2">
      <c r="F11555" s="494">
        <v>515</v>
      </c>
      <c r="G11555" s="495" t="s">
        <v>3832</v>
      </c>
      <c r="H11555" s="397"/>
      <c r="I11555" s="397"/>
      <c r="J11555" s="750" t="e">
        <f t="shared" si="152"/>
        <v>#DIV/0!</v>
      </c>
      <c r="K11555" s="398"/>
      <c r="L11555" s="398"/>
      <c r="M11555" s="682"/>
    </row>
    <row r="11556" spans="5:13" hidden="1" x14ac:dyDescent="0.2">
      <c r="F11556" s="494">
        <v>521</v>
      </c>
      <c r="G11556" s="495" t="s">
        <v>4198</v>
      </c>
      <c r="H11556" s="397"/>
      <c r="I11556" s="397"/>
      <c r="J11556" s="750" t="e">
        <f t="shared" si="152"/>
        <v>#DIV/0!</v>
      </c>
      <c r="K11556" s="398"/>
      <c r="L11556" s="398"/>
      <c r="M11556" s="682"/>
    </row>
    <row r="11557" spans="5:13" hidden="1" x14ac:dyDescent="0.2">
      <c r="F11557" s="494">
        <v>522</v>
      </c>
      <c r="G11557" s="495" t="s">
        <v>4199</v>
      </c>
      <c r="H11557" s="397"/>
      <c r="I11557" s="397"/>
      <c r="J11557" s="750" t="e">
        <f t="shared" si="152"/>
        <v>#DIV/0!</v>
      </c>
      <c r="K11557" s="398"/>
      <c r="L11557" s="398"/>
      <c r="M11557" s="682"/>
    </row>
    <row r="11558" spans="5:13" hidden="1" x14ac:dyDescent="0.2">
      <c r="F11558" s="494">
        <v>523</v>
      </c>
      <c r="G11558" s="495" t="s">
        <v>3837</v>
      </c>
      <c r="H11558" s="397"/>
      <c r="I11558" s="397"/>
      <c r="J11558" s="750" t="e">
        <f t="shared" si="152"/>
        <v>#DIV/0!</v>
      </c>
      <c r="K11558" s="398"/>
      <c r="L11558" s="398"/>
      <c r="M11558" s="682"/>
    </row>
    <row r="11559" spans="5:13" hidden="1" x14ac:dyDescent="0.2">
      <c r="F11559" s="494">
        <v>531</v>
      </c>
      <c r="G11559" s="496" t="s">
        <v>4175</v>
      </c>
      <c r="H11559" s="397"/>
      <c r="I11559" s="397"/>
      <c r="J11559" s="750" t="e">
        <f t="shared" si="152"/>
        <v>#DIV/0!</v>
      </c>
      <c r="K11559" s="398"/>
      <c r="L11559" s="398"/>
      <c r="M11559" s="682"/>
    </row>
    <row r="11560" spans="5:13" hidden="1" x14ac:dyDescent="0.2">
      <c r="F11560" s="494">
        <v>541</v>
      </c>
      <c r="G11560" s="495" t="s">
        <v>4200</v>
      </c>
      <c r="H11560" s="397"/>
      <c r="I11560" s="397"/>
      <c r="J11560" s="750" t="e">
        <f t="shared" si="152"/>
        <v>#DIV/0!</v>
      </c>
      <c r="K11560" s="398"/>
      <c r="L11560" s="398"/>
      <c r="M11560" s="682"/>
    </row>
    <row r="11561" spans="5:13" hidden="1" x14ac:dyDescent="0.2">
      <c r="F11561" s="494">
        <v>542</v>
      </c>
      <c r="G11561" s="495" t="s">
        <v>4201</v>
      </c>
      <c r="H11561" s="397"/>
      <c r="I11561" s="397"/>
      <c r="J11561" s="750" t="e">
        <f t="shared" si="152"/>
        <v>#DIV/0!</v>
      </c>
      <c r="K11561" s="398"/>
      <c r="L11561" s="398"/>
      <c r="M11561" s="682"/>
    </row>
    <row r="11562" spans="5:13" hidden="1" x14ac:dyDescent="0.2">
      <c r="F11562" s="494">
        <v>543</v>
      </c>
      <c r="G11562" s="495" t="s">
        <v>3842</v>
      </c>
      <c r="H11562" s="397"/>
      <c r="I11562" s="397"/>
      <c r="J11562" s="750" t="e">
        <f t="shared" si="152"/>
        <v>#DIV/0!</v>
      </c>
      <c r="K11562" s="398"/>
      <c r="L11562" s="398"/>
      <c r="M11562" s="682"/>
    </row>
    <row r="11563" spans="5:13" ht="38.25" hidden="1" x14ac:dyDescent="0.2">
      <c r="F11563" s="494">
        <v>551</v>
      </c>
      <c r="G11563" s="495" t="s">
        <v>4176</v>
      </c>
      <c r="H11563" s="397"/>
      <c r="I11563" s="397"/>
      <c r="J11563" s="750" t="e">
        <f t="shared" si="152"/>
        <v>#DIV/0!</v>
      </c>
      <c r="K11563" s="398"/>
      <c r="L11563" s="398"/>
      <c r="M11563" s="682"/>
    </row>
    <row r="11564" spans="5:13" hidden="1" x14ac:dyDescent="0.2">
      <c r="F11564" s="498">
        <v>611</v>
      </c>
      <c r="G11564" s="499" t="s">
        <v>3848</v>
      </c>
      <c r="H11564" s="403"/>
      <c r="I11564" s="403"/>
      <c r="J11564" s="750" t="e">
        <f t="shared" si="152"/>
        <v>#DIV/0!</v>
      </c>
      <c r="K11564" s="398"/>
      <c r="L11564" s="398"/>
      <c r="M11564" s="682"/>
    </row>
    <row r="11565" spans="5:13" hidden="1" x14ac:dyDescent="0.2">
      <c r="F11565" s="498">
        <v>620</v>
      </c>
      <c r="G11565" s="499" t="s">
        <v>88</v>
      </c>
      <c r="H11565" s="403"/>
      <c r="I11565" s="403"/>
      <c r="J11565" s="750" t="e">
        <f t="shared" si="152"/>
        <v>#DIV/0!</v>
      </c>
      <c r="K11565" s="398"/>
      <c r="L11565" s="398"/>
      <c r="M11565" s="682"/>
    </row>
    <row r="11566" spans="5:13" hidden="1" x14ac:dyDescent="0.2">
      <c r="E11566" s="500"/>
      <c r="F11566" s="498"/>
      <c r="G11566" s="501" t="s">
        <v>4435</v>
      </c>
      <c r="H11566" s="400"/>
      <c r="I11566" s="400"/>
      <c r="J11566" s="750" t="e">
        <f t="shared" si="152"/>
        <v>#DIV/0!</v>
      </c>
      <c r="K11566" s="401"/>
      <c r="L11566" s="402"/>
      <c r="M11566" s="682"/>
    </row>
    <row r="11567" spans="5:13" hidden="1" x14ac:dyDescent="0.2">
      <c r="E11567" s="502"/>
      <c r="F11567" s="503" t="s">
        <v>234</v>
      </c>
      <c r="G11567" s="504" t="s">
        <v>235</v>
      </c>
      <c r="H11567" s="403">
        <f>SUM(H11506:H11565)</f>
        <v>0</v>
      </c>
      <c r="I11567" s="403"/>
      <c r="J11567" s="750" t="e">
        <f t="shared" si="152"/>
        <v>#DIV/0!</v>
      </c>
      <c r="K11567" s="404"/>
      <c r="L11567" s="404"/>
      <c r="M11567" s="682"/>
    </row>
    <row r="11568" spans="5:13" hidden="1" x14ac:dyDescent="0.2">
      <c r="F11568" s="503" t="s">
        <v>236</v>
      </c>
      <c r="G11568" s="504" t="s">
        <v>237</v>
      </c>
      <c r="H11568" s="397"/>
      <c r="I11568" s="397"/>
      <c r="J11568" s="750" t="e">
        <f t="shared" si="152"/>
        <v>#DIV/0!</v>
      </c>
      <c r="K11568" s="398"/>
      <c r="L11568" s="404"/>
      <c r="M11568" s="682"/>
    </row>
    <row r="11569" spans="5:13" hidden="1" x14ac:dyDescent="0.2">
      <c r="F11569" s="503" t="s">
        <v>238</v>
      </c>
      <c r="G11569" s="504" t="s">
        <v>239</v>
      </c>
      <c r="H11569" s="397"/>
      <c r="I11569" s="397"/>
      <c r="J11569" s="750" t="e">
        <f t="shared" si="152"/>
        <v>#DIV/0!</v>
      </c>
      <c r="K11569" s="398"/>
      <c r="L11569" s="404"/>
      <c r="M11569" s="682"/>
    </row>
    <row r="11570" spans="5:13" hidden="1" x14ac:dyDescent="0.2">
      <c r="F11570" s="503" t="s">
        <v>240</v>
      </c>
      <c r="G11570" s="504" t="s">
        <v>241</v>
      </c>
      <c r="H11570" s="397"/>
      <c r="I11570" s="397"/>
      <c r="J11570" s="750" t="e">
        <f t="shared" si="152"/>
        <v>#DIV/0!</v>
      </c>
      <c r="K11570" s="398"/>
      <c r="L11570" s="404"/>
      <c r="M11570" s="682"/>
    </row>
    <row r="11571" spans="5:13" hidden="1" x14ac:dyDescent="0.2">
      <c r="F11571" s="503" t="s">
        <v>242</v>
      </c>
      <c r="G11571" s="504" t="s">
        <v>243</v>
      </c>
      <c r="H11571" s="397"/>
      <c r="I11571" s="397"/>
      <c r="J11571" s="750" t="e">
        <f t="shared" si="152"/>
        <v>#DIV/0!</v>
      </c>
      <c r="K11571" s="398"/>
      <c r="L11571" s="404"/>
      <c r="M11571" s="682"/>
    </row>
    <row r="11572" spans="5:13" hidden="1" x14ac:dyDescent="0.2">
      <c r="F11572" s="503" t="s">
        <v>244</v>
      </c>
      <c r="G11572" s="504" t="s">
        <v>245</v>
      </c>
      <c r="H11572" s="397"/>
      <c r="I11572" s="397"/>
      <c r="J11572" s="750" t="e">
        <f t="shared" si="152"/>
        <v>#DIV/0!</v>
      </c>
      <c r="K11572" s="398"/>
      <c r="L11572" s="404"/>
      <c r="M11572" s="682"/>
    </row>
    <row r="11573" spans="5:13" hidden="1" x14ac:dyDescent="0.2">
      <c r="F11573" s="503" t="s">
        <v>246</v>
      </c>
      <c r="G11573" s="504" t="s">
        <v>247</v>
      </c>
      <c r="H11573" s="397"/>
      <c r="I11573" s="397"/>
      <c r="J11573" s="750" t="e">
        <f t="shared" si="152"/>
        <v>#DIV/0!</v>
      </c>
      <c r="K11573" s="398"/>
      <c r="L11573" s="404"/>
      <c r="M11573" s="682"/>
    </row>
    <row r="11574" spans="5:13" ht="25.5" hidden="1" x14ac:dyDescent="0.2">
      <c r="F11574" s="503" t="s">
        <v>248</v>
      </c>
      <c r="G11574" s="504" t="s">
        <v>249</v>
      </c>
      <c r="H11574" s="397"/>
      <c r="I11574" s="397"/>
      <c r="J11574" s="750" t="e">
        <f t="shared" si="152"/>
        <v>#DIV/0!</v>
      </c>
      <c r="K11574" s="398"/>
      <c r="L11574" s="404"/>
      <c r="M11574" s="682"/>
    </row>
    <row r="11575" spans="5:13" hidden="1" x14ac:dyDescent="0.2">
      <c r="F11575" s="503" t="s">
        <v>250</v>
      </c>
      <c r="G11575" s="504" t="s">
        <v>57</v>
      </c>
      <c r="H11575" s="397"/>
      <c r="I11575" s="397"/>
      <c r="J11575" s="750" t="e">
        <f t="shared" si="152"/>
        <v>#DIV/0!</v>
      </c>
      <c r="K11575" s="398"/>
      <c r="L11575" s="404"/>
      <c r="M11575" s="682"/>
    </row>
    <row r="11576" spans="5:13" hidden="1" x14ac:dyDescent="0.2">
      <c r="F11576" s="503" t="s">
        <v>251</v>
      </c>
      <c r="G11576" s="504" t="s">
        <v>252</v>
      </c>
      <c r="H11576" s="397"/>
      <c r="I11576" s="397"/>
      <c r="J11576" s="750" t="e">
        <f t="shared" si="152"/>
        <v>#DIV/0!</v>
      </c>
      <c r="K11576" s="398"/>
      <c r="L11576" s="404"/>
      <c r="M11576" s="682"/>
    </row>
    <row r="11577" spans="5:13" hidden="1" x14ac:dyDescent="0.2">
      <c r="F11577" s="503" t="s">
        <v>253</v>
      </c>
      <c r="G11577" s="504" t="s">
        <v>254</v>
      </c>
      <c r="H11577" s="397"/>
      <c r="I11577" s="397"/>
      <c r="J11577" s="750" t="e">
        <f t="shared" si="152"/>
        <v>#DIV/0!</v>
      </c>
      <c r="K11577" s="398"/>
      <c r="L11577" s="404"/>
      <c r="M11577" s="682"/>
    </row>
    <row r="11578" spans="5:13" ht="25.5" hidden="1" x14ac:dyDescent="0.2">
      <c r="F11578" s="503" t="s">
        <v>255</v>
      </c>
      <c r="G11578" s="504" t="s">
        <v>256</v>
      </c>
      <c r="H11578" s="397"/>
      <c r="I11578" s="397"/>
      <c r="J11578" s="750" t="e">
        <f t="shared" si="152"/>
        <v>#DIV/0!</v>
      </c>
      <c r="K11578" s="398"/>
      <c r="L11578" s="404"/>
      <c r="M11578" s="682"/>
    </row>
    <row r="11579" spans="5:13" ht="25.5" hidden="1" x14ac:dyDescent="0.2">
      <c r="F11579" s="503" t="s">
        <v>257</v>
      </c>
      <c r="G11579" s="504" t="s">
        <v>258</v>
      </c>
      <c r="H11579" s="397"/>
      <c r="I11579" s="397"/>
      <c r="J11579" s="750" t="e">
        <f t="shared" si="152"/>
        <v>#DIV/0!</v>
      </c>
      <c r="K11579" s="398"/>
      <c r="L11579" s="404"/>
      <c r="M11579" s="682"/>
    </row>
    <row r="11580" spans="5:13" ht="25.5" hidden="1" x14ac:dyDescent="0.2">
      <c r="F11580" s="503" t="s">
        <v>259</v>
      </c>
      <c r="G11580" s="504" t="s">
        <v>260</v>
      </c>
      <c r="H11580" s="397"/>
      <c r="I11580" s="397"/>
      <c r="J11580" s="750" t="e">
        <f t="shared" si="152"/>
        <v>#DIV/0!</v>
      </c>
      <c r="K11580" s="398"/>
      <c r="L11580" s="404"/>
      <c r="M11580" s="682"/>
    </row>
    <row r="11581" spans="5:13" ht="25.5" hidden="1" x14ac:dyDescent="0.2">
      <c r="F11581" s="503" t="s">
        <v>261</v>
      </c>
      <c r="G11581" s="504" t="s">
        <v>262</v>
      </c>
      <c r="H11581" s="397"/>
      <c r="I11581" s="397"/>
      <c r="J11581" s="750" t="e">
        <f t="shared" si="152"/>
        <v>#DIV/0!</v>
      </c>
      <c r="K11581" s="398"/>
      <c r="L11581" s="404"/>
      <c r="M11581" s="682"/>
    </row>
    <row r="11582" spans="5:13" hidden="1" x14ac:dyDescent="0.2">
      <c r="F11582" s="503" t="s">
        <v>263</v>
      </c>
      <c r="G11582" s="504" t="s">
        <v>264</v>
      </c>
      <c r="H11582" s="403"/>
      <c r="I11582" s="403"/>
      <c r="J11582" s="750" t="e">
        <f t="shared" si="152"/>
        <v>#DIV/0!</v>
      </c>
      <c r="K11582" s="404"/>
      <c r="L11582" s="404"/>
      <c r="M11582" s="682"/>
    </row>
    <row r="11583" spans="5:13" ht="13.5" hidden="1" thickBot="1" x14ac:dyDescent="0.25">
      <c r="G11583" s="505" t="s">
        <v>4436</v>
      </c>
      <c r="H11583" s="405">
        <f>SUM(H11567:H11582)</f>
        <v>0</v>
      </c>
      <c r="I11583" s="405"/>
      <c r="J11583" s="750" t="e">
        <f t="shared" si="152"/>
        <v>#DIV/0!</v>
      </c>
      <c r="K11583" s="406">
        <f>SUM(K11568:K11582)</f>
        <v>0</v>
      </c>
      <c r="L11583" s="406"/>
      <c r="M11583" s="682"/>
    </row>
    <row r="11584" spans="5:13" ht="25.5" hidden="1" collapsed="1" x14ac:dyDescent="0.2">
      <c r="E11584" s="500"/>
      <c r="F11584" s="498"/>
      <c r="G11584" s="506" t="s">
        <v>4437</v>
      </c>
      <c r="H11584" s="407"/>
      <c r="I11584" s="408"/>
      <c r="J11584" s="750" t="e">
        <f t="shared" si="152"/>
        <v>#DIV/0!</v>
      </c>
      <c r="K11584" s="409"/>
      <c r="L11584" s="410"/>
      <c r="M11584" s="682"/>
    </row>
    <row r="11585" spans="5:13" hidden="1" x14ac:dyDescent="0.2">
      <c r="E11585" s="502"/>
      <c r="F11585" s="503" t="s">
        <v>234</v>
      </c>
      <c r="G11585" s="504" t="s">
        <v>235</v>
      </c>
      <c r="H11585" s="403">
        <f>SUM(H11506:H11565)</f>
        <v>0</v>
      </c>
      <c r="I11585" s="403"/>
      <c r="J11585" s="750" t="e">
        <f t="shared" si="152"/>
        <v>#DIV/0!</v>
      </c>
      <c r="K11585" s="404"/>
      <c r="L11585" s="404"/>
      <c r="M11585" s="682"/>
    </row>
    <row r="11586" spans="5:13" hidden="1" x14ac:dyDescent="0.2">
      <c r="F11586" s="503" t="s">
        <v>236</v>
      </c>
      <c r="G11586" s="504" t="s">
        <v>237</v>
      </c>
      <c r="H11586" s="397"/>
      <c r="I11586" s="397"/>
      <c r="J11586" s="750" t="e">
        <f t="shared" si="152"/>
        <v>#DIV/0!</v>
      </c>
      <c r="K11586" s="398"/>
      <c r="L11586" s="404"/>
      <c r="M11586" s="682"/>
    </row>
    <row r="11587" spans="5:13" hidden="1" x14ac:dyDescent="0.2">
      <c r="F11587" s="503" t="s">
        <v>238</v>
      </c>
      <c r="G11587" s="504" t="s">
        <v>239</v>
      </c>
      <c r="H11587" s="397"/>
      <c r="I11587" s="397"/>
      <c r="J11587" s="750" t="e">
        <f t="shared" si="152"/>
        <v>#DIV/0!</v>
      </c>
      <c r="K11587" s="398"/>
      <c r="L11587" s="404"/>
      <c r="M11587" s="682"/>
    </row>
    <row r="11588" spans="5:13" hidden="1" x14ac:dyDescent="0.2">
      <c r="F11588" s="503" t="s">
        <v>240</v>
      </c>
      <c r="G11588" s="504" t="s">
        <v>241</v>
      </c>
      <c r="H11588" s="397"/>
      <c r="I11588" s="397"/>
      <c r="J11588" s="750" t="e">
        <f t="shared" si="152"/>
        <v>#DIV/0!</v>
      </c>
      <c r="K11588" s="398"/>
      <c r="L11588" s="404"/>
      <c r="M11588" s="682"/>
    </row>
    <row r="11589" spans="5:13" hidden="1" x14ac:dyDescent="0.2">
      <c r="F11589" s="503" t="s">
        <v>242</v>
      </c>
      <c r="G11589" s="504" t="s">
        <v>243</v>
      </c>
      <c r="H11589" s="397"/>
      <c r="I11589" s="397"/>
      <c r="J11589" s="750" t="e">
        <f t="shared" si="152"/>
        <v>#DIV/0!</v>
      </c>
      <c r="K11589" s="398"/>
      <c r="L11589" s="404"/>
      <c r="M11589" s="682"/>
    </row>
    <row r="11590" spans="5:13" hidden="1" x14ac:dyDescent="0.2">
      <c r="F11590" s="503" t="s">
        <v>244</v>
      </c>
      <c r="G11590" s="504" t="s">
        <v>245</v>
      </c>
      <c r="H11590" s="397"/>
      <c r="I11590" s="397"/>
      <c r="J11590" s="750" t="e">
        <f t="shared" si="152"/>
        <v>#DIV/0!</v>
      </c>
      <c r="K11590" s="398"/>
      <c r="L11590" s="404"/>
      <c r="M11590" s="682"/>
    </row>
    <row r="11591" spans="5:13" hidden="1" x14ac:dyDescent="0.2">
      <c r="F11591" s="503" t="s">
        <v>246</v>
      </c>
      <c r="G11591" s="504" t="s">
        <v>247</v>
      </c>
      <c r="H11591" s="397"/>
      <c r="I11591" s="397"/>
      <c r="J11591" s="750" t="e">
        <f t="shared" si="152"/>
        <v>#DIV/0!</v>
      </c>
      <c r="K11591" s="398"/>
      <c r="L11591" s="404"/>
      <c r="M11591" s="682"/>
    </row>
    <row r="11592" spans="5:13" ht="25.5" hidden="1" x14ac:dyDescent="0.2">
      <c r="F11592" s="503" t="s">
        <v>248</v>
      </c>
      <c r="G11592" s="504" t="s">
        <v>249</v>
      </c>
      <c r="H11592" s="397"/>
      <c r="I11592" s="397"/>
      <c r="J11592" s="750" t="e">
        <f t="shared" si="152"/>
        <v>#DIV/0!</v>
      </c>
      <c r="K11592" s="398"/>
      <c r="L11592" s="404"/>
      <c r="M11592" s="682"/>
    </row>
    <row r="11593" spans="5:13" hidden="1" x14ac:dyDescent="0.2">
      <c r="F11593" s="503" t="s">
        <v>250</v>
      </c>
      <c r="G11593" s="504" t="s">
        <v>57</v>
      </c>
      <c r="H11593" s="397"/>
      <c r="I11593" s="397"/>
      <c r="J11593" s="750" t="e">
        <f t="shared" si="152"/>
        <v>#DIV/0!</v>
      </c>
      <c r="K11593" s="398"/>
      <c r="L11593" s="404"/>
      <c r="M11593" s="682"/>
    </row>
    <row r="11594" spans="5:13" hidden="1" x14ac:dyDescent="0.2">
      <c r="F11594" s="503" t="s">
        <v>251</v>
      </c>
      <c r="G11594" s="504" t="s">
        <v>252</v>
      </c>
      <c r="H11594" s="397"/>
      <c r="I11594" s="397"/>
      <c r="J11594" s="750" t="e">
        <f t="shared" si="152"/>
        <v>#DIV/0!</v>
      </c>
      <c r="K11594" s="398"/>
      <c r="L11594" s="404"/>
      <c r="M11594" s="682"/>
    </row>
    <row r="11595" spans="5:13" hidden="1" x14ac:dyDescent="0.2">
      <c r="F11595" s="503" t="s">
        <v>253</v>
      </c>
      <c r="G11595" s="504" t="s">
        <v>254</v>
      </c>
      <c r="H11595" s="397"/>
      <c r="I11595" s="397"/>
      <c r="J11595" s="750" t="e">
        <f t="shared" si="152"/>
        <v>#DIV/0!</v>
      </c>
      <c r="K11595" s="398"/>
      <c r="L11595" s="404"/>
      <c r="M11595" s="682"/>
    </row>
    <row r="11596" spans="5:13" ht="25.5" hidden="1" x14ac:dyDescent="0.2">
      <c r="F11596" s="503" t="s">
        <v>255</v>
      </c>
      <c r="G11596" s="504" t="s">
        <v>256</v>
      </c>
      <c r="H11596" s="397"/>
      <c r="I11596" s="397"/>
      <c r="J11596" s="750" t="e">
        <f t="shared" si="152"/>
        <v>#DIV/0!</v>
      </c>
      <c r="K11596" s="398"/>
      <c r="L11596" s="404"/>
      <c r="M11596" s="682"/>
    </row>
    <row r="11597" spans="5:13" ht="25.5" hidden="1" x14ac:dyDescent="0.2">
      <c r="F11597" s="503" t="s">
        <v>257</v>
      </c>
      <c r="G11597" s="504" t="s">
        <v>258</v>
      </c>
      <c r="H11597" s="397"/>
      <c r="I11597" s="397"/>
      <c r="J11597" s="750" t="e">
        <f t="shared" si="152"/>
        <v>#DIV/0!</v>
      </c>
      <c r="K11597" s="398"/>
      <c r="L11597" s="404"/>
      <c r="M11597" s="682"/>
    </row>
    <row r="11598" spans="5:13" ht="25.5" hidden="1" x14ac:dyDescent="0.2">
      <c r="F11598" s="503" t="s">
        <v>259</v>
      </c>
      <c r="G11598" s="504" t="s">
        <v>260</v>
      </c>
      <c r="H11598" s="397"/>
      <c r="I11598" s="397"/>
      <c r="J11598" s="750" t="e">
        <f t="shared" ref="J11598:J11661" si="153">SUM(I11598/H11598)*100</f>
        <v>#DIV/0!</v>
      </c>
      <c r="K11598" s="398"/>
      <c r="L11598" s="404"/>
      <c r="M11598" s="682"/>
    </row>
    <row r="11599" spans="5:13" ht="25.5" hidden="1" x14ac:dyDescent="0.2">
      <c r="F11599" s="503" t="s">
        <v>261</v>
      </c>
      <c r="G11599" s="504" t="s">
        <v>262</v>
      </c>
      <c r="H11599" s="397"/>
      <c r="I11599" s="397"/>
      <c r="J11599" s="750" t="e">
        <f t="shared" si="153"/>
        <v>#DIV/0!</v>
      </c>
      <c r="K11599" s="398"/>
      <c r="L11599" s="404"/>
      <c r="M11599" s="682"/>
    </row>
    <row r="11600" spans="5:13" hidden="1" x14ac:dyDescent="0.2">
      <c r="F11600" s="503" t="s">
        <v>263</v>
      </c>
      <c r="G11600" s="504" t="s">
        <v>264</v>
      </c>
      <c r="H11600" s="403"/>
      <c r="I11600" s="403"/>
      <c r="J11600" s="750" t="e">
        <f t="shared" si="153"/>
        <v>#DIV/0!</v>
      </c>
      <c r="K11600" s="404"/>
      <c r="L11600" s="404"/>
      <c r="M11600" s="682"/>
    </row>
    <row r="11601" spans="3:13" ht="13.5" hidden="1" collapsed="1" thickBot="1" x14ac:dyDescent="0.25">
      <c r="G11601" s="505" t="s">
        <v>4438</v>
      </c>
      <c r="H11601" s="405">
        <f>SUM(H11585:H11600)</f>
        <v>0</v>
      </c>
      <c r="I11601" s="405"/>
      <c r="J11601" s="750" t="e">
        <f t="shared" si="153"/>
        <v>#DIV/0!</v>
      </c>
      <c r="K11601" s="406">
        <f>SUM(K11586:K11600)</f>
        <v>0</v>
      </c>
      <c r="L11601" s="406"/>
      <c r="M11601" s="682"/>
    </row>
    <row r="11602" spans="3:13" hidden="1" x14ac:dyDescent="0.2">
      <c r="H11602" s="397"/>
      <c r="I11602" s="397"/>
      <c r="J11602" s="750" t="e">
        <f t="shared" si="153"/>
        <v>#DIV/0!</v>
      </c>
      <c r="K11602" s="398"/>
      <c r="L11602" s="398"/>
      <c r="M11602" s="682"/>
    </row>
    <row r="11603" spans="3:13" hidden="1" x14ac:dyDescent="0.2">
      <c r="C11603" s="489" t="s">
        <v>4126</v>
      </c>
      <c r="D11603" s="490"/>
      <c r="G11603" s="508" t="s">
        <v>4232</v>
      </c>
      <c r="H11603" s="397"/>
      <c r="I11603" s="397"/>
      <c r="J11603" s="750" t="e">
        <f t="shared" si="153"/>
        <v>#DIV/0!</v>
      </c>
      <c r="K11603" s="398"/>
      <c r="L11603" s="398"/>
      <c r="M11603" s="682"/>
    </row>
    <row r="11604" spans="3:13" hidden="1" x14ac:dyDescent="0.2">
      <c r="C11604" s="489"/>
      <c r="D11604" s="492">
        <v>820</v>
      </c>
      <c r="E11604" s="492"/>
      <c r="F11604" s="492"/>
      <c r="G11604" s="493" t="s">
        <v>207</v>
      </c>
      <c r="H11604" s="397"/>
      <c r="I11604" s="397"/>
      <c r="J11604" s="750" t="e">
        <f t="shared" si="153"/>
        <v>#DIV/0!</v>
      </c>
      <c r="K11604" s="398"/>
      <c r="L11604" s="398"/>
      <c r="M11604" s="682"/>
    </row>
    <row r="11605" spans="3:13" hidden="1" x14ac:dyDescent="0.2">
      <c r="F11605" s="494">
        <v>411</v>
      </c>
      <c r="G11605" s="495" t="s">
        <v>4167</v>
      </c>
      <c r="H11605" s="397"/>
      <c r="I11605" s="397"/>
      <c r="J11605" s="750" t="e">
        <f t="shared" si="153"/>
        <v>#DIV/0!</v>
      </c>
      <c r="K11605" s="398"/>
      <c r="L11605" s="398"/>
      <c r="M11605" s="682"/>
    </row>
    <row r="11606" spans="3:13" hidden="1" x14ac:dyDescent="0.2">
      <c r="F11606" s="494">
        <v>412</v>
      </c>
      <c r="G11606" s="496" t="s">
        <v>3764</v>
      </c>
      <c r="H11606" s="397"/>
      <c r="I11606" s="397"/>
      <c r="J11606" s="750" t="e">
        <f t="shared" si="153"/>
        <v>#DIV/0!</v>
      </c>
      <c r="K11606" s="398"/>
      <c r="L11606" s="398"/>
      <c r="M11606" s="682"/>
    </row>
    <row r="11607" spans="3:13" hidden="1" x14ac:dyDescent="0.2">
      <c r="F11607" s="494">
        <v>413</v>
      </c>
      <c r="G11607" s="495" t="s">
        <v>4168</v>
      </c>
      <c r="H11607" s="397"/>
      <c r="I11607" s="397"/>
      <c r="J11607" s="750" t="e">
        <f t="shared" si="153"/>
        <v>#DIV/0!</v>
      </c>
      <c r="K11607" s="398"/>
      <c r="L11607" s="398"/>
      <c r="M11607" s="682"/>
    </row>
    <row r="11608" spans="3:13" hidden="1" x14ac:dyDescent="0.2">
      <c r="F11608" s="494">
        <v>414</v>
      </c>
      <c r="G11608" s="495" t="s">
        <v>3767</v>
      </c>
      <c r="H11608" s="397"/>
      <c r="I11608" s="397"/>
      <c r="J11608" s="750" t="e">
        <f t="shared" si="153"/>
        <v>#DIV/0!</v>
      </c>
      <c r="K11608" s="398"/>
      <c r="L11608" s="398"/>
      <c r="M11608" s="682"/>
    </row>
    <row r="11609" spans="3:13" hidden="1" x14ac:dyDescent="0.2">
      <c r="F11609" s="494">
        <v>415</v>
      </c>
      <c r="G11609" s="495" t="s">
        <v>4177</v>
      </c>
      <c r="H11609" s="397"/>
      <c r="I11609" s="397"/>
      <c r="J11609" s="750" t="e">
        <f t="shared" si="153"/>
        <v>#DIV/0!</v>
      </c>
      <c r="K11609" s="398"/>
      <c r="L11609" s="398"/>
      <c r="M11609" s="682"/>
    </row>
    <row r="11610" spans="3:13" ht="25.5" hidden="1" x14ac:dyDescent="0.2">
      <c r="F11610" s="494">
        <v>416</v>
      </c>
      <c r="G11610" s="495" t="s">
        <v>4178</v>
      </c>
      <c r="H11610" s="397"/>
      <c r="I11610" s="397"/>
      <c r="J11610" s="750" t="e">
        <f t="shared" si="153"/>
        <v>#DIV/0!</v>
      </c>
      <c r="K11610" s="398"/>
      <c r="L11610" s="398"/>
      <c r="M11610" s="682"/>
    </row>
    <row r="11611" spans="3:13" hidden="1" x14ac:dyDescent="0.2">
      <c r="F11611" s="494">
        <v>417</v>
      </c>
      <c r="G11611" s="495" t="s">
        <v>4179</v>
      </c>
      <c r="H11611" s="397"/>
      <c r="I11611" s="397"/>
      <c r="J11611" s="750" t="e">
        <f t="shared" si="153"/>
        <v>#DIV/0!</v>
      </c>
      <c r="K11611" s="398"/>
      <c r="L11611" s="398"/>
      <c r="M11611" s="682"/>
    </row>
    <row r="11612" spans="3:13" hidden="1" x14ac:dyDescent="0.2">
      <c r="F11612" s="494">
        <v>418</v>
      </c>
      <c r="G11612" s="495" t="s">
        <v>3773</v>
      </c>
      <c r="H11612" s="397"/>
      <c r="I11612" s="397"/>
      <c r="J11612" s="750" t="e">
        <f t="shared" si="153"/>
        <v>#DIV/0!</v>
      </c>
      <c r="K11612" s="398"/>
      <c r="L11612" s="398"/>
      <c r="M11612" s="682"/>
    </row>
    <row r="11613" spans="3:13" hidden="1" x14ac:dyDescent="0.2">
      <c r="F11613" s="494">
        <v>421</v>
      </c>
      <c r="G11613" s="495" t="s">
        <v>3777</v>
      </c>
      <c r="H11613" s="397"/>
      <c r="I11613" s="397"/>
      <c r="J11613" s="750" t="e">
        <f t="shared" si="153"/>
        <v>#DIV/0!</v>
      </c>
      <c r="K11613" s="398"/>
      <c r="L11613" s="398"/>
      <c r="M11613" s="682"/>
    </row>
    <row r="11614" spans="3:13" hidden="1" x14ac:dyDescent="0.2">
      <c r="F11614" s="494">
        <v>422</v>
      </c>
      <c r="G11614" s="495" t="s">
        <v>3778</v>
      </c>
      <c r="H11614" s="397"/>
      <c r="I11614" s="397"/>
      <c r="J11614" s="750" t="e">
        <f t="shared" si="153"/>
        <v>#DIV/0!</v>
      </c>
      <c r="K11614" s="398"/>
      <c r="L11614" s="398"/>
      <c r="M11614" s="682"/>
    </row>
    <row r="11615" spans="3:13" hidden="1" x14ac:dyDescent="0.2">
      <c r="F11615" s="494">
        <v>423</v>
      </c>
      <c r="G11615" s="495" t="s">
        <v>3779</v>
      </c>
      <c r="H11615" s="397"/>
      <c r="I11615" s="397"/>
      <c r="J11615" s="750" t="e">
        <f t="shared" si="153"/>
        <v>#DIV/0!</v>
      </c>
      <c r="K11615" s="398"/>
      <c r="L11615" s="398"/>
      <c r="M11615" s="682"/>
    </row>
    <row r="11616" spans="3:13" hidden="1" x14ac:dyDescent="0.2">
      <c r="F11616" s="494">
        <v>424</v>
      </c>
      <c r="G11616" s="495" t="s">
        <v>3781</v>
      </c>
      <c r="H11616" s="397"/>
      <c r="I11616" s="397"/>
      <c r="J11616" s="750" t="e">
        <f t="shared" si="153"/>
        <v>#DIV/0!</v>
      </c>
      <c r="K11616" s="398"/>
      <c r="L11616" s="398"/>
      <c r="M11616" s="682"/>
    </row>
    <row r="11617" spans="6:13" hidden="1" x14ac:dyDescent="0.2">
      <c r="F11617" s="494">
        <v>425</v>
      </c>
      <c r="G11617" s="495" t="s">
        <v>4180</v>
      </c>
      <c r="H11617" s="397"/>
      <c r="I11617" s="397"/>
      <c r="J11617" s="750" t="e">
        <f t="shared" si="153"/>
        <v>#DIV/0!</v>
      </c>
      <c r="K11617" s="398"/>
      <c r="L11617" s="398"/>
      <c r="M11617" s="682"/>
    </row>
    <row r="11618" spans="6:13" hidden="1" x14ac:dyDescent="0.2">
      <c r="F11618" s="494">
        <v>426</v>
      </c>
      <c r="G11618" s="495" t="s">
        <v>3785</v>
      </c>
      <c r="H11618" s="397"/>
      <c r="I11618" s="397"/>
      <c r="J11618" s="750" t="e">
        <f t="shared" si="153"/>
        <v>#DIV/0!</v>
      </c>
      <c r="K11618" s="398"/>
      <c r="L11618" s="398"/>
      <c r="M11618" s="682"/>
    </row>
    <row r="11619" spans="6:13" hidden="1" x14ac:dyDescent="0.2">
      <c r="F11619" s="494">
        <v>431</v>
      </c>
      <c r="G11619" s="495" t="s">
        <v>4181</v>
      </c>
      <c r="H11619" s="397"/>
      <c r="I11619" s="397"/>
      <c r="J11619" s="750" t="e">
        <f t="shared" si="153"/>
        <v>#DIV/0!</v>
      </c>
      <c r="K11619" s="398"/>
      <c r="L11619" s="398"/>
      <c r="M11619" s="682"/>
    </row>
    <row r="11620" spans="6:13" hidden="1" x14ac:dyDescent="0.2">
      <c r="F11620" s="494">
        <v>432</v>
      </c>
      <c r="G11620" s="495" t="s">
        <v>4182</v>
      </c>
      <c r="H11620" s="397"/>
      <c r="I11620" s="397"/>
      <c r="J11620" s="750" t="e">
        <f t="shared" si="153"/>
        <v>#DIV/0!</v>
      </c>
      <c r="K11620" s="398"/>
      <c r="L11620" s="398"/>
      <c r="M11620" s="682"/>
    </row>
    <row r="11621" spans="6:13" hidden="1" x14ac:dyDescent="0.2">
      <c r="F11621" s="494">
        <v>433</v>
      </c>
      <c r="G11621" s="495" t="s">
        <v>4183</v>
      </c>
      <c r="H11621" s="397"/>
      <c r="I11621" s="397"/>
      <c r="J11621" s="750" t="e">
        <f t="shared" si="153"/>
        <v>#DIV/0!</v>
      </c>
      <c r="K11621" s="398"/>
      <c r="L11621" s="398"/>
      <c r="M11621" s="682"/>
    </row>
    <row r="11622" spans="6:13" hidden="1" x14ac:dyDescent="0.2">
      <c r="F11622" s="494">
        <v>434</v>
      </c>
      <c r="G11622" s="495" t="s">
        <v>4184</v>
      </c>
      <c r="H11622" s="397"/>
      <c r="I11622" s="397"/>
      <c r="J11622" s="750" t="e">
        <f t="shared" si="153"/>
        <v>#DIV/0!</v>
      </c>
      <c r="K11622" s="398"/>
      <c r="L11622" s="398"/>
      <c r="M11622" s="682"/>
    </row>
    <row r="11623" spans="6:13" hidden="1" x14ac:dyDescent="0.2">
      <c r="F11623" s="494">
        <v>435</v>
      </c>
      <c r="G11623" s="495" t="s">
        <v>3792</v>
      </c>
      <c r="H11623" s="397"/>
      <c r="I11623" s="397"/>
      <c r="J11623" s="750" t="e">
        <f t="shared" si="153"/>
        <v>#DIV/0!</v>
      </c>
      <c r="K11623" s="398"/>
      <c r="L11623" s="398"/>
      <c r="M11623" s="682"/>
    </row>
    <row r="11624" spans="6:13" hidden="1" x14ac:dyDescent="0.2">
      <c r="F11624" s="494">
        <v>441</v>
      </c>
      <c r="G11624" s="495" t="s">
        <v>4185</v>
      </c>
      <c r="H11624" s="397"/>
      <c r="I11624" s="397"/>
      <c r="J11624" s="750" t="e">
        <f t="shared" si="153"/>
        <v>#DIV/0!</v>
      </c>
      <c r="K11624" s="398"/>
      <c r="L11624" s="398"/>
      <c r="M11624" s="682"/>
    </row>
    <row r="11625" spans="6:13" hidden="1" x14ac:dyDescent="0.2">
      <c r="F11625" s="494">
        <v>442</v>
      </c>
      <c r="G11625" s="495" t="s">
        <v>4186</v>
      </c>
      <c r="H11625" s="397"/>
      <c r="I11625" s="397"/>
      <c r="J11625" s="750" t="e">
        <f t="shared" si="153"/>
        <v>#DIV/0!</v>
      </c>
      <c r="K11625" s="398"/>
      <c r="L11625" s="398"/>
      <c r="M11625" s="682"/>
    </row>
    <row r="11626" spans="6:13" hidden="1" x14ac:dyDescent="0.2">
      <c r="F11626" s="494">
        <v>443</v>
      </c>
      <c r="G11626" s="495" t="s">
        <v>3797</v>
      </c>
      <c r="H11626" s="397"/>
      <c r="I11626" s="397"/>
      <c r="J11626" s="750" t="e">
        <f t="shared" si="153"/>
        <v>#DIV/0!</v>
      </c>
      <c r="K11626" s="398"/>
      <c r="L11626" s="398"/>
      <c r="M11626" s="682"/>
    </row>
    <row r="11627" spans="6:13" hidden="1" x14ac:dyDescent="0.2">
      <c r="F11627" s="494">
        <v>444</v>
      </c>
      <c r="G11627" s="495" t="s">
        <v>3798</v>
      </c>
      <c r="H11627" s="397"/>
      <c r="I11627" s="397"/>
      <c r="J11627" s="750" t="e">
        <f t="shared" si="153"/>
        <v>#DIV/0!</v>
      </c>
      <c r="K11627" s="398"/>
      <c r="L11627" s="398"/>
      <c r="M11627" s="682"/>
    </row>
    <row r="11628" spans="6:13" ht="25.5" hidden="1" x14ac:dyDescent="0.2">
      <c r="F11628" s="494">
        <v>4511</v>
      </c>
      <c r="G11628" s="466" t="s">
        <v>1692</v>
      </c>
      <c r="H11628" s="397"/>
      <c r="I11628" s="397"/>
      <c r="J11628" s="750" t="e">
        <f t="shared" si="153"/>
        <v>#DIV/0!</v>
      </c>
      <c r="K11628" s="398"/>
      <c r="L11628" s="398"/>
      <c r="M11628" s="682"/>
    </row>
    <row r="11629" spans="6:13" ht="25.5" hidden="1" x14ac:dyDescent="0.2">
      <c r="F11629" s="494">
        <v>4512</v>
      </c>
      <c r="G11629" s="466" t="s">
        <v>1701</v>
      </c>
      <c r="H11629" s="397"/>
      <c r="I11629" s="397"/>
      <c r="J11629" s="750" t="e">
        <f t="shared" si="153"/>
        <v>#DIV/0!</v>
      </c>
      <c r="K11629" s="398"/>
      <c r="L11629" s="398"/>
      <c r="M11629" s="682"/>
    </row>
    <row r="11630" spans="6:13" ht="25.5" hidden="1" x14ac:dyDescent="0.2">
      <c r="F11630" s="494">
        <v>452</v>
      </c>
      <c r="G11630" s="495" t="s">
        <v>4187</v>
      </c>
      <c r="H11630" s="397"/>
      <c r="I11630" s="397"/>
      <c r="J11630" s="750" t="e">
        <f t="shared" si="153"/>
        <v>#DIV/0!</v>
      </c>
      <c r="K11630" s="398"/>
      <c r="L11630" s="398"/>
      <c r="M11630" s="682"/>
    </row>
    <row r="11631" spans="6:13" ht="25.5" hidden="1" x14ac:dyDescent="0.2">
      <c r="F11631" s="494">
        <v>453</v>
      </c>
      <c r="G11631" s="495" t="s">
        <v>4188</v>
      </c>
      <c r="H11631" s="397"/>
      <c r="I11631" s="397"/>
      <c r="J11631" s="750" t="e">
        <f t="shared" si="153"/>
        <v>#DIV/0!</v>
      </c>
      <c r="K11631" s="398"/>
      <c r="L11631" s="398"/>
      <c r="M11631" s="682"/>
    </row>
    <row r="11632" spans="6:13" hidden="1" x14ac:dyDescent="0.2">
      <c r="F11632" s="494">
        <v>454</v>
      </c>
      <c r="G11632" s="495" t="s">
        <v>3803</v>
      </c>
      <c r="H11632" s="397"/>
      <c r="I11632" s="397"/>
      <c r="J11632" s="750" t="e">
        <f t="shared" si="153"/>
        <v>#DIV/0!</v>
      </c>
      <c r="K11632" s="398"/>
      <c r="L11632" s="398"/>
      <c r="M11632" s="682"/>
    </row>
    <row r="11633" spans="6:13" hidden="1" x14ac:dyDescent="0.2">
      <c r="F11633" s="494">
        <v>461</v>
      </c>
      <c r="G11633" s="495" t="s">
        <v>4169</v>
      </c>
      <c r="H11633" s="397"/>
      <c r="I11633" s="397"/>
      <c r="J11633" s="750" t="e">
        <f t="shared" si="153"/>
        <v>#DIV/0!</v>
      </c>
      <c r="K11633" s="398"/>
      <c r="L11633" s="398"/>
      <c r="M11633" s="682"/>
    </row>
    <row r="11634" spans="6:13" ht="25.5" hidden="1" x14ac:dyDescent="0.2">
      <c r="F11634" s="494">
        <v>462</v>
      </c>
      <c r="G11634" s="495" t="s">
        <v>3806</v>
      </c>
      <c r="H11634" s="397"/>
      <c r="I11634" s="397"/>
      <c r="J11634" s="750" t="e">
        <f t="shared" si="153"/>
        <v>#DIV/0!</v>
      </c>
      <c r="K11634" s="398"/>
      <c r="L11634" s="398"/>
      <c r="M11634" s="682"/>
    </row>
    <row r="11635" spans="6:13" hidden="1" x14ac:dyDescent="0.2">
      <c r="F11635" s="494">
        <v>4631</v>
      </c>
      <c r="G11635" s="495" t="s">
        <v>3807</v>
      </c>
      <c r="H11635" s="397"/>
      <c r="I11635" s="397"/>
      <c r="J11635" s="750" t="e">
        <f t="shared" si="153"/>
        <v>#DIV/0!</v>
      </c>
      <c r="K11635" s="398"/>
      <c r="L11635" s="398"/>
      <c r="M11635" s="682"/>
    </row>
    <row r="11636" spans="6:13" hidden="1" x14ac:dyDescent="0.2">
      <c r="F11636" s="494">
        <v>4632</v>
      </c>
      <c r="G11636" s="495" t="s">
        <v>3808</v>
      </c>
      <c r="H11636" s="397"/>
      <c r="I11636" s="397"/>
      <c r="J11636" s="750" t="e">
        <f t="shared" si="153"/>
        <v>#DIV/0!</v>
      </c>
      <c r="K11636" s="398"/>
      <c r="L11636" s="398"/>
      <c r="M11636" s="682"/>
    </row>
    <row r="11637" spans="6:13" ht="25.5" hidden="1" x14ac:dyDescent="0.2">
      <c r="F11637" s="494">
        <v>464</v>
      </c>
      <c r="G11637" s="495" t="s">
        <v>3809</v>
      </c>
      <c r="H11637" s="397"/>
      <c r="I11637" s="397"/>
      <c r="J11637" s="750" t="e">
        <f t="shared" si="153"/>
        <v>#DIV/0!</v>
      </c>
      <c r="K11637" s="398"/>
      <c r="L11637" s="398"/>
      <c r="M11637" s="682"/>
    </row>
    <row r="11638" spans="6:13" hidden="1" x14ac:dyDescent="0.2">
      <c r="F11638" s="494">
        <v>465</v>
      </c>
      <c r="G11638" s="495" t="s">
        <v>4170</v>
      </c>
      <c r="H11638" s="397"/>
      <c r="I11638" s="397"/>
      <c r="J11638" s="750" t="e">
        <f t="shared" si="153"/>
        <v>#DIV/0!</v>
      </c>
      <c r="K11638" s="398"/>
      <c r="L11638" s="398"/>
      <c r="M11638" s="682"/>
    </row>
    <row r="11639" spans="6:13" hidden="1" x14ac:dyDescent="0.2">
      <c r="F11639" s="494">
        <v>472</v>
      </c>
      <c r="G11639" s="495" t="s">
        <v>3813</v>
      </c>
      <c r="H11639" s="397"/>
      <c r="I11639" s="397"/>
      <c r="J11639" s="750" t="e">
        <f t="shared" si="153"/>
        <v>#DIV/0!</v>
      </c>
      <c r="K11639" s="398"/>
      <c r="L11639" s="398"/>
      <c r="M11639" s="682"/>
    </row>
    <row r="11640" spans="6:13" hidden="1" x14ac:dyDescent="0.2">
      <c r="F11640" s="494">
        <v>481</v>
      </c>
      <c r="G11640" s="495" t="s">
        <v>4189</v>
      </c>
      <c r="H11640" s="397"/>
      <c r="I11640" s="397"/>
      <c r="J11640" s="750" t="e">
        <f t="shared" si="153"/>
        <v>#DIV/0!</v>
      </c>
      <c r="K11640" s="398"/>
      <c r="L11640" s="398"/>
      <c r="M11640" s="682"/>
    </row>
    <row r="11641" spans="6:13" hidden="1" x14ac:dyDescent="0.2">
      <c r="F11641" s="494">
        <v>482</v>
      </c>
      <c r="G11641" s="495" t="s">
        <v>4190</v>
      </c>
      <c r="H11641" s="397"/>
      <c r="I11641" s="397"/>
      <c r="J11641" s="750" t="e">
        <f t="shared" si="153"/>
        <v>#DIV/0!</v>
      </c>
      <c r="K11641" s="398"/>
      <c r="L11641" s="398"/>
      <c r="M11641" s="682"/>
    </row>
    <row r="11642" spans="6:13" hidden="1" x14ac:dyDescent="0.2">
      <c r="F11642" s="494">
        <v>483</v>
      </c>
      <c r="G11642" s="497" t="s">
        <v>4191</v>
      </c>
      <c r="H11642" s="397"/>
      <c r="I11642" s="397"/>
      <c r="J11642" s="750" t="e">
        <f t="shared" si="153"/>
        <v>#DIV/0!</v>
      </c>
      <c r="K11642" s="398"/>
      <c r="L11642" s="398"/>
      <c r="M11642" s="682"/>
    </row>
    <row r="11643" spans="6:13" ht="38.25" hidden="1" x14ac:dyDescent="0.2">
      <c r="F11643" s="494">
        <v>484</v>
      </c>
      <c r="G11643" s="495" t="s">
        <v>4192</v>
      </c>
      <c r="H11643" s="397"/>
      <c r="I11643" s="397"/>
      <c r="J11643" s="750" t="e">
        <f t="shared" si="153"/>
        <v>#DIV/0!</v>
      </c>
      <c r="K11643" s="398"/>
      <c r="L11643" s="398"/>
      <c r="M11643" s="682"/>
    </row>
    <row r="11644" spans="6:13" ht="25.5" hidden="1" x14ac:dyDescent="0.2">
      <c r="F11644" s="494">
        <v>485</v>
      </c>
      <c r="G11644" s="495" t="s">
        <v>4193</v>
      </c>
      <c r="H11644" s="397"/>
      <c r="I11644" s="397"/>
      <c r="J11644" s="750" t="e">
        <f t="shared" si="153"/>
        <v>#DIV/0!</v>
      </c>
      <c r="K11644" s="398"/>
      <c r="L11644" s="398"/>
      <c r="M11644" s="682"/>
    </row>
    <row r="11645" spans="6:13" ht="25.5" hidden="1" x14ac:dyDescent="0.2">
      <c r="F11645" s="494">
        <v>489</v>
      </c>
      <c r="G11645" s="495" t="s">
        <v>3821</v>
      </c>
      <c r="H11645" s="397"/>
      <c r="I11645" s="397"/>
      <c r="J11645" s="750" t="e">
        <f t="shared" si="153"/>
        <v>#DIV/0!</v>
      </c>
      <c r="K11645" s="398"/>
      <c r="L11645" s="398"/>
      <c r="M11645" s="682"/>
    </row>
    <row r="11646" spans="6:13" ht="25.5" hidden="1" x14ac:dyDescent="0.2">
      <c r="F11646" s="494">
        <v>494</v>
      </c>
      <c r="G11646" s="495" t="s">
        <v>4171</v>
      </c>
      <c r="H11646" s="397"/>
      <c r="I11646" s="397"/>
      <c r="J11646" s="750" t="e">
        <f t="shared" si="153"/>
        <v>#DIV/0!</v>
      </c>
      <c r="K11646" s="398"/>
      <c r="L11646" s="398"/>
      <c r="M11646" s="682"/>
    </row>
    <row r="11647" spans="6:13" ht="25.5" hidden="1" x14ac:dyDescent="0.2">
      <c r="F11647" s="494">
        <v>495</v>
      </c>
      <c r="G11647" s="495" t="s">
        <v>4172</v>
      </c>
      <c r="H11647" s="397"/>
      <c r="I11647" s="397"/>
      <c r="J11647" s="750" t="e">
        <f t="shared" si="153"/>
        <v>#DIV/0!</v>
      </c>
      <c r="K11647" s="398"/>
      <c r="L11647" s="398"/>
      <c r="M11647" s="682"/>
    </row>
    <row r="11648" spans="6:13" ht="38.25" hidden="1" x14ac:dyDescent="0.2">
      <c r="F11648" s="494">
        <v>496</v>
      </c>
      <c r="G11648" s="495" t="s">
        <v>4173</v>
      </c>
      <c r="H11648" s="397"/>
      <c r="I11648" s="397"/>
      <c r="J11648" s="750" t="e">
        <f t="shared" si="153"/>
        <v>#DIV/0!</v>
      </c>
      <c r="K11648" s="398"/>
      <c r="L11648" s="398"/>
      <c r="M11648" s="682"/>
    </row>
    <row r="11649" spans="6:13" ht="25.5" hidden="1" x14ac:dyDescent="0.2">
      <c r="F11649" s="494">
        <v>499</v>
      </c>
      <c r="G11649" s="495" t="s">
        <v>4174</v>
      </c>
      <c r="H11649" s="397"/>
      <c r="I11649" s="397"/>
      <c r="J11649" s="750" t="e">
        <f t="shared" si="153"/>
        <v>#DIV/0!</v>
      </c>
      <c r="K11649" s="398"/>
      <c r="L11649" s="398"/>
      <c r="M11649" s="682"/>
    </row>
    <row r="11650" spans="6:13" hidden="1" x14ac:dyDescent="0.2">
      <c r="F11650" s="494">
        <v>511</v>
      </c>
      <c r="G11650" s="497" t="s">
        <v>4194</v>
      </c>
      <c r="H11650" s="397"/>
      <c r="I11650" s="397"/>
      <c r="J11650" s="750" t="e">
        <f t="shared" si="153"/>
        <v>#DIV/0!</v>
      </c>
      <c r="K11650" s="398"/>
      <c r="L11650" s="398"/>
      <c r="M11650" s="682"/>
    </row>
    <row r="11651" spans="6:13" hidden="1" x14ac:dyDescent="0.2">
      <c r="F11651" s="494">
        <v>512</v>
      </c>
      <c r="G11651" s="497" t="s">
        <v>4195</v>
      </c>
      <c r="H11651" s="397"/>
      <c r="I11651" s="397"/>
      <c r="J11651" s="750" t="e">
        <f t="shared" si="153"/>
        <v>#DIV/0!</v>
      </c>
      <c r="K11651" s="398"/>
      <c r="L11651" s="398"/>
      <c r="M11651" s="682"/>
    </row>
    <row r="11652" spans="6:13" hidden="1" x14ac:dyDescent="0.2">
      <c r="F11652" s="494">
        <v>513</v>
      </c>
      <c r="G11652" s="497" t="s">
        <v>4196</v>
      </c>
      <c r="H11652" s="397"/>
      <c r="I11652" s="397"/>
      <c r="J11652" s="750" t="e">
        <f t="shared" si="153"/>
        <v>#DIV/0!</v>
      </c>
      <c r="K11652" s="398"/>
      <c r="L11652" s="398"/>
      <c r="M11652" s="682"/>
    </row>
    <row r="11653" spans="6:13" hidden="1" x14ac:dyDescent="0.2">
      <c r="F11653" s="494">
        <v>514</v>
      </c>
      <c r="G11653" s="495" t="s">
        <v>4197</v>
      </c>
      <c r="H11653" s="397"/>
      <c r="I11653" s="397"/>
      <c r="J11653" s="750" t="e">
        <f t="shared" si="153"/>
        <v>#DIV/0!</v>
      </c>
      <c r="K11653" s="398"/>
      <c r="L11653" s="398"/>
      <c r="M11653" s="682"/>
    </row>
    <row r="11654" spans="6:13" hidden="1" x14ac:dyDescent="0.2">
      <c r="F11654" s="494">
        <v>515</v>
      </c>
      <c r="G11654" s="495" t="s">
        <v>3832</v>
      </c>
      <c r="H11654" s="397"/>
      <c r="I11654" s="397"/>
      <c r="J11654" s="750" t="e">
        <f t="shared" si="153"/>
        <v>#DIV/0!</v>
      </c>
      <c r="K11654" s="398"/>
      <c r="L11654" s="398"/>
      <c r="M11654" s="682"/>
    </row>
    <row r="11655" spans="6:13" hidden="1" x14ac:dyDescent="0.2">
      <c r="F11655" s="494">
        <v>521</v>
      </c>
      <c r="G11655" s="495" t="s">
        <v>4198</v>
      </c>
      <c r="H11655" s="397"/>
      <c r="I11655" s="397"/>
      <c r="J11655" s="750" t="e">
        <f t="shared" si="153"/>
        <v>#DIV/0!</v>
      </c>
      <c r="K11655" s="398"/>
      <c r="L11655" s="398"/>
      <c r="M11655" s="682"/>
    </row>
    <row r="11656" spans="6:13" hidden="1" x14ac:dyDescent="0.2">
      <c r="F11656" s="494">
        <v>522</v>
      </c>
      <c r="G11656" s="495" t="s">
        <v>4199</v>
      </c>
      <c r="H11656" s="397"/>
      <c r="I11656" s="397"/>
      <c r="J11656" s="750" t="e">
        <f t="shared" si="153"/>
        <v>#DIV/0!</v>
      </c>
      <c r="K11656" s="398"/>
      <c r="L11656" s="398"/>
      <c r="M11656" s="682"/>
    </row>
    <row r="11657" spans="6:13" hidden="1" x14ac:dyDescent="0.2">
      <c r="F11657" s="494">
        <v>523</v>
      </c>
      <c r="G11657" s="495" t="s">
        <v>3837</v>
      </c>
      <c r="H11657" s="397"/>
      <c r="I11657" s="397"/>
      <c r="J11657" s="750" t="e">
        <f t="shared" si="153"/>
        <v>#DIV/0!</v>
      </c>
      <c r="K11657" s="398"/>
      <c r="L11657" s="398"/>
      <c r="M11657" s="682"/>
    </row>
    <row r="11658" spans="6:13" hidden="1" x14ac:dyDescent="0.2">
      <c r="F11658" s="494">
        <v>531</v>
      </c>
      <c r="G11658" s="496" t="s">
        <v>4175</v>
      </c>
      <c r="H11658" s="397"/>
      <c r="I11658" s="397"/>
      <c r="J11658" s="750" t="e">
        <f t="shared" si="153"/>
        <v>#DIV/0!</v>
      </c>
      <c r="K11658" s="398"/>
      <c r="L11658" s="398"/>
      <c r="M11658" s="682"/>
    </row>
    <row r="11659" spans="6:13" hidden="1" x14ac:dyDescent="0.2">
      <c r="F11659" s="494">
        <v>541</v>
      </c>
      <c r="G11659" s="495" t="s">
        <v>4200</v>
      </c>
      <c r="H11659" s="397"/>
      <c r="I11659" s="397"/>
      <c r="J11659" s="750" t="e">
        <f t="shared" si="153"/>
        <v>#DIV/0!</v>
      </c>
      <c r="K11659" s="398"/>
      <c r="L11659" s="398"/>
      <c r="M11659" s="682"/>
    </row>
    <row r="11660" spans="6:13" hidden="1" x14ac:dyDescent="0.2">
      <c r="F11660" s="494">
        <v>542</v>
      </c>
      <c r="G11660" s="495" t="s">
        <v>4201</v>
      </c>
      <c r="H11660" s="397"/>
      <c r="I11660" s="397"/>
      <c r="J11660" s="750" t="e">
        <f t="shared" si="153"/>
        <v>#DIV/0!</v>
      </c>
      <c r="K11660" s="398"/>
      <c r="L11660" s="398"/>
      <c r="M11660" s="682"/>
    </row>
    <row r="11661" spans="6:13" hidden="1" x14ac:dyDescent="0.2">
      <c r="F11661" s="494">
        <v>543</v>
      </c>
      <c r="G11661" s="495" t="s">
        <v>3842</v>
      </c>
      <c r="H11661" s="397"/>
      <c r="I11661" s="397"/>
      <c r="J11661" s="750" t="e">
        <f t="shared" si="153"/>
        <v>#DIV/0!</v>
      </c>
      <c r="K11661" s="398"/>
      <c r="L11661" s="398"/>
      <c r="M11661" s="682"/>
    </row>
    <row r="11662" spans="6:13" ht="38.25" hidden="1" x14ac:dyDescent="0.2">
      <c r="F11662" s="494">
        <v>551</v>
      </c>
      <c r="G11662" s="495" t="s">
        <v>4176</v>
      </c>
      <c r="H11662" s="397"/>
      <c r="I11662" s="397"/>
      <c r="J11662" s="750" t="e">
        <f t="shared" ref="J11662:J11725" si="154">SUM(I11662/H11662)*100</f>
        <v>#DIV/0!</v>
      </c>
      <c r="K11662" s="398"/>
      <c r="L11662" s="398"/>
      <c r="M11662" s="682"/>
    </row>
    <row r="11663" spans="6:13" hidden="1" x14ac:dyDescent="0.2">
      <c r="F11663" s="498">
        <v>611</v>
      </c>
      <c r="G11663" s="499" t="s">
        <v>3848</v>
      </c>
      <c r="H11663" s="403"/>
      <c r="I11663" s="403"/>
      <c r="J11663" s="750" t="e">
        <f t="shared" si="154"/>
        <v>#DIV/0!</v>
      </c>
      <c r="K11663" s="398"/>
      <c r="L11663" s="398"/>
      <c r="M11663" s="682"/>
    </row>
    <row r="11664" spans="6:13" hidden="1" x14ac:dyDescent="0.2">
      <c r="F11664" s="498">
        <v>620</v>
      </c>
      <c r="G11664" s="499" t="s">
        <v>88</v>
      </c>
      <c r="H11664" s="403"/>
      <c r="I11664" s="403"/>
      <c r="J11664" s="750" t="e">
        <f t="shared" si="154"/>
        <v>#DIV/0!</v>
      </c>
      <c r="K11664" s="398"/>
      <c r="L11664" s="398"/>
      <c r="M11664" s="682"/>
    </row>
    <row r="11665" spans="5:13" hidden="1" x14ac:dyDescent="0.2">
      <c r="E11665" s="500"/>
      <c r="F11665" s="498"/>
      <c r="G11665" s="509" t="s">
        <v>4435</v>
      </c>
      <c r="H11665" s="400"/>
      <c r="I11665" s="400"/>
      <c r="J11665" s="750" t="e">
        <f t="shared" si="154"/>
        <v>#DIV/0!</v>
      </c>
      <c r="K11665" s="401"/>
      <c r="L11665" s="402"/>
      <c r="M11665" s="682"/>
    </row>
    <row r="11666" spans="5:13" hidden="1" x14ac:dyDescent="0.2">
      <c r="E11666" s="502"/>
      <c r="F11666" s="503" t="s">
        <v>234</v>
      </c>
      <c r="G11666" s="504" t="s">
        <v>235</v>
      </c>
      <c r="H11666" s="403">
        <f>SUM(H11605:H11664)</f>
        <v>0</v>
      </c>
      <c r="I11666" s="403"/>
      <c r="J11666" s="750" t="e">
        <f t="shared" si="154"/>
        <v>#DIV/0!</v>
      </c>
      <c r="K11666" s="404"/>
      <c r="L11666" s="404"/>
      <c r="M11666" s="682"/>
    </row>
    <row r="11667" spans="5:13" hidden="1" x14ac:dyDescent="0.2">
      <c r="F11667" s="503" t="s">
        <v>236</v>
      </c>
      <c r="G11667" s="504" t="s">
        <v>237</v>
      </c>
      <c r="H11667" s="397"/>
      <c r="I11667" s="397"/>
      <c r="J11667" s="750" t="e">
        <f t="shared" si="154"/>
        <v>#DIV/0!</v>
      </c>
      <c r="K11667" s="398"/>
      <c r="L11667" s="404"/>
      <c r="M11667" s="682"/>
    </row>
    <row r="11668" spans="5:13" hidden="1" x14ac:dyDescent="0.2">
      <c r="F11668" s="503" t="s">
        <v>238</v>
      </c>
      <c r="G11668" s="504" t="s">
        <v>239</v>
      </c>
      <c r="H11668" s="397"/>
      <c r="I11668" s="397"/>
      <c r="J11668" s="750" t="e">
        <f t="shared" si="154"/>
        <v>#DIV/0!</v>
      </c>
      <c r="K11668" s="398"/>
      <c r="L11668" s="404"/>
      <c r="M11668" s="682"/>
    </row>
    <row r="11669" spans="5:13" hidden="1" x14ac:dyDescent="0.2">
      <c r="F11669" s="503" t="s">
        <v>240</v>
      </c>
      <c r="G11669" s="504" t="s">
        <v>241</v>
      </c>
      <c r="H11669" s="397"/>
      <c r="I11669" s="397"/>
      <c r="J11669" s="750" t="e">
        <f t="shared" si="154"/>
        <v>#DIV/0!</v>
      </c>
      <c r="K11669" s="398"/>
      <c r="L11669" s="404"/>
      <c r="M11669" s="682"/>
    </row>
    <row r="11670" spans="5:13" hidden="1" x14ac:dyDescent="0.2">
      <c r="F11670" s="503" t="s">
        <v>242</v>
      </c>
      <c r="G11670" s="504" t="s">
        <v>243</v>
      </c>
      <c r="H11670" s="397"/>
      <c r="I11670" s="397"/>
      <c r="J11670" s="750" t="e">
        <f t="shared" si="154"/>
        <v>#DIV/0!</v>
      </c>
      <c r="K11670" s="398"/>
      <c r="L11670" s="404"/>
      <c r="M11670" s="682"/>
    </row>
    <row r="11671" spans="5:13" hidden="1" x14ac:dyDescent="0.2">
      <c r="F11671" s="503" t="s">
        <v>244</v>
      </c>
      <c r="G11671" s="504" t="s">
        <v>245</v>
      </c>
      <c r="H11671" s="397"/>
      <c r="I11671" s="397"/>
      <c r="J11671" s="750" t="e">
        <f t="shared" si="154"/>
        <v>#DIV/0!</v>
      </c>
      <c r="K11671" s="398"/>
      <c r="L11671" s="404"/>
      <c r="M11671" s="682"/>
    </row>
    <row r="11672" spans="5:13" hidden="1" x14ac:dyDescent="0.2">
      <c r="F11672" s="503" t="s">
        <v>246</v>
      </c>
      <c r="G11672" s="504" t="s">
        <v>247</v>
      </c>
      <c r="H11672" s="397"/>
      <c r="I11672" s="397"/>
      <c r="J11672" s="750" t="e">
        <f t="shared" si="154"/>
        <v>#DIV/0!</v>
      </c>
      <c r="K11672" s="398"/>
      <c r="L11672" s="404"/>
      <c r="M11672" s="682"/>
    </row>
    <row r="11673" spans="5:13" ht="25.5" hidden="1" x14ac:dyDescent="0.2">
      <c r="F11673" s="503" t="s">
        <v>248</v>
      </c>
      <c r="G11673" s="504" t="s">
        <v>249</v>
      </c>
      <c r="H11673" s="397"/>
      <c r="I11673" s="397"/>
      <c r="J11673" s="750" t="e">
        <f t="shared" si="154"/>
        <v>#DIV/0!</v>
      </c>
      <c r="K11673" s="398"/>
      <c r="L11673" s="404"/>
      <c r="M11673" s="682"/>
    </row>
    <row r="11674" spans="5:13" hidden="1" x14ac:dyDescent="0.2">
      <c r="F11674" s="503" t="s">
        <v>250</v>
      </c>
      <c r="G11674" s="504" t="s">
        <v>57</v>
      </c>
      <c r="H11674" s="397"/>
      <c r="I11674" s="397"/>
      <c r="J11674" s="750" t="e">
        <f t="shared" si="154"/>
        <v>#DIV/0!</v>
      </c>
      <c r="K11674" s="398"/>
      <c r="L11674" s="404"/>
      <c r="M11674" s="682"/>
    </row>
    <row r="11675" spans="5:13" hidden="1" x14ac:dyDescent="0.2">
      <c r="F11675" s="503" t="s">
        <v>251</v>
      </c>
      <c r="G11675" s="504" t="s">
        <v>252</v>
      </c>
      <c r="H11675" s="397"/>
      <c r="I11675" s="397"/>
      <c r="J11675" s="750" t="e">
        <f t="shared" si="154"/>
        <v>#DIV/0!</v>
      </c>
      <c r="K11675" s="398"/>
      <c r="L11675" s="404"/>
      <c r="M11675" s="682"/>
    </row>
    <row r="11676" spans="5:13" hidden="1" x14ac:dyDescent="0.2">
      <c r="F11676" s="503" t="s">
        <v>253</v>
      </c>
      <c r="G11676" s="504" t="s">
        <v>254</v>
      </c>
      <c r="H11676" s="397"/>
      <c r="I11676" s="397"/>
      <c r="J11676" s="750" t="e">
        <f t="shared" si="154"/>
        <v>#DIV/0!</v>
      </c>
      <c r="K11676" s="398"/>
      <c r="L11676" s="404"/>
      <c r="M11676" s="682"/>
    </row>
    <row r="11677" spans="5:13" ht="25.5" hidden="1" x14ac:dyDescent="0.2">
      <c r="F11677" s="503" t="s">
        <v>255</v>
      </c>
      <c r="G11677" s="504" t="s">
        <v>256</v>
      </c>
      <c r="H11677" s="397"/>
      <c r="I11677" s="397"/>
      <c r="J11677" s="750" t="e">
        <f t="shared" si="154"/>
        <v>#DIV/0!</v>
      </c>
      <c r="K11677" s="398"/>
      <c r="L11677" s="404"/>
      <c r="M11677" s="682"/>
    </row>
    <row r="11678" spans="5:13" ht="25.5" hidden="1" x14ac:dyDescent="0.2">
      <c r="F11678" s="503" t="s">
        <v>257</v>
      </c>
      <c r="G11678" s="504" t="s">
        <v>258</v>
      </c>
      <c r="H11678" s="397"/>
      <c r="I11678" s="397"/>
      <c r="J11678" s="750" t="e">
        <f t="shared" si="154"/>
        <v>#DIV/0!</v>
      </c>
      <c r="K11678" s="398"/>
      <c r="L11678" s="404"/>
      <c r="M11678" s="682"/>
    </row>
    <row r="11679" spans="5:13" ht="25.5" hidden="1" x14ac:dyDescent="0.2">
      <c r="F11679" s="503" t="s">
        <v>259</v>
      </c>
      <c r="G11679" s="504" t="s">
        <v>260</v>
      </c>
      <c r="H11679" s="397"/>
      <c r="I11679" s="397"/>
      <c r="J11679" s="750" t="e">
        <f t="shared" si="154"/>
        <v>#DIV/0!</v>
      </c>
      <c r="K11679" s="398"/>
      <c r="L11679" s="404"/>
      <c r="M11679" s="682"/>
    </row>
    <row r="11680" spans="5:13" ht="25.5" hidden="1" x14ac:dyDescent="0.2">
      <c r="F11680" s="503" t="s">
        <v>261</v>
      </c>
      <c r="G11680" s="504" t="s">
        <v>262</v>
      </c>
      <c r="H11680" s="397"/>
      <c r="I11680" s="397"/>
      <c r="J11680" s="750" t="e">
        <f t="shared" si="154"/>
        <v>#DIV/0!</v>
      </c>
      <c r="K11680" s="398"/>
      <c r="L11680" s="404"/>
      <c r="M11680" s="682"/>
    </row>
    <row r="11681" spans="5:13" hidden="1" x14ac:dyDescent="0.2">
      <c r="F11681" s="503" t="s">
        <v>263</v>
      </c>
      <c r="G11681" s="504" t="s">
        <v>264</v>
      </c>
      <c r="H11681" s="403"/>
      <c r="I11681" s="403"/>
      <c r="J11681" s="750" t="e">
        <f t="shared" si="154"/>
        <v>#DIV/0!</v>
      </c>
      <c r="K11681" s="404"/>
      <c r="L11681" s="404"/>
      <c r="M11681" s="682"/>
    </row>
    <row r="11682" spans="5:13" ht="13.5" hidden="1" thickBot="1" x14ac:dyDescent="0.25">
      <c r="G11682" s="505" t="s">
        <v>4436</v>
      </c>
      <c r="H11682" s="405">
        <f>SUM(H11666:H11681)</f>
        <v>0</v>
      </c>
      <c r="I11682" s="405"/>
      <c r="J11682" s="750" t="e">
        <f t="shared" si="154"/>
        <v>#DIV/0!</v>
      </c>
      <c r="K11682" s="406">
        <f>SUM(K11667:K11681)</f>
        <v>0</v>
      </c>
      <c r="L11682" s="406"/>
      <c r="M11682" s="682"/>
    </row>
    <row r="11683" spans="5:13" hidden="1" collapsed="1" x14ac:dyDescent="0.2">
      <c r="E11683" s="500"/>
      <c r="F11683" s="498"/>
      <c r="G11683" s="506" t="s">
        <v>4441</v>
      </c>
      <c r="H11683" s="407"/>
      <c r="I11683" s="408"/>
      <c r="J11683" s="750" t="e">
        <f t="shared" si="154"/>
        <v>#DIV/0!</v>
      </c>
      <c r="K11683" s="409"/>
      <c r="L11683" s="410"/>
      <c r="M11683" s="682"/>
    </row>
    <row r="11684" spans="5:13" hidden="1" x14ac:dyDescent="0.2">
      <c r="E11684" s="502"/>
      <c r="F11684" s="503" t="s">
        <v>234</v>
      </c>
      <c r="G11684" s="504" t="s">
        <v>235</v>
      </c>
      <c r="H11684" s="403">
        <f>SUM(H11605:H11664)</f>
        <v>0</v>
      </c>
      <c r="I11684" s="403"/>
      <c r="J11684" s="750" t="e">
        <f t="shared" si="154"/>
        <v>#DIV/0!</v>
      </c>
      <c r="K11684" s="404"/>
      <c r="L11684" s="404"/>
      <c r="M11684" s="682"/>
    </row>
    <row r="11685" spans="5:13" hidden="1" x14ac:dyDescent="0.2">
      <c r="F11685" s="503" t="s">
        <v>236</v>
      </c>
      <c r="G11685" s="504" t="s">
        <v>237</v>
      </c>
      <c r="H11685" s="397"/>
      <c r="I11685" s="397"/>
      <c r="J11685" s="750" t="e">
        <f t="shared" si="154"/>
        <v>#DIV/0!</v>
      </c>
      <c r="K11685" s="398"/>
      <c r="L11685" s="404"/>
      <c r="M11685" s="682"/>
    </row>
    <row r="11686" spans="5:13" hidden="1" x14ac:dyDescent="0.2">
      <c r="F11686" s="503" t="s">
        <v>238</v>
      </c>
      <c r="G11686" s="504" t="s">
        <v>239</v>
      </c>
      <c r="H11686" s="397"/>
      <c r="I11686" s="397"/>
      <c r="J11686" s="750" t="e">
        <f t="shared" si="154"/>
        <v>#DIV/0!</v>
      </c>
      <c r="K11686" s="398"/>
      <c r="L11686" s="404"/>
      <c r="M11686" s="682"/>
    </row>
    <row r="11687" spans="5:13" hidden="1" x14ac:dyDescent="0.2">
      <c r="F11687" s="503" t="s">
        <v>240</v>
      </c>
      <c r="G11687" s="504" t="s">
        <v>241</v>
      </c>
      <c r="H11687" s="397"/>
      <c r="I11687" s="397"/>
      <c r="J11687" s="750" t="e">
        <f t="shared" si="154"/>
        <v>#DIV/0!</v>
      </c>
      <c r="K11687" s="398"/>
      <c r="L11687" s="404"/>
      <c r="M11687" s="682"/>
    </row>
    <row r="11688" spans="5:13" hidden="1" x14ac:dyDescent="0.2">
      <c r="F11688" s="503" t="s">
        <v>242</v>
      </c>
      <c r="G11688" s="504" t="s">
        <v>243</v>
      </c>
      <c r="H11688" s="397"/>
      <c r="I11688" s="397"/>
      <c r="J11688" s="750" t="e">
        <f t="shared" si="154"/>
        <v>#DIV/0!</v>
      </c>
      <c r="K11688" s="398"/>
      <c r="L11688" s="404"/>
      <c r="M11688" s="682"/>
    </row>
    <row r="11689" spans="5:13" hidden="1" x14ac:dyDescent="0.2">
      <c r="F11689" s="503" t="s">
        <v>244</v>
      </c>
      <c r="G11689" s="504" t="s">
        <v>245</v>
      </c>
      <c r="H11689" s="397"/>
      <c r="I11689" s="397"/>
      <c r="J11689" s="750" t="e">
        <f t="shared" si="154"/>
        <v>#DIV/0!</v>
      </c>
      <c r="K11689" s="398"/>
      <c r="L11689" s="404"/>
      <c r="M11689" s="682"/>
    </row>
    <row r="11690" spans="5:13" hidden="1" x14ac:dyDescent="0.2">
      <c r="F11690" s="503" t="s">
        <v>246</v>
      </c>
      <c r="G11690" s="504" t="s">
        <v>247</v>
      </c>
      <c r="H11690" s="397"/>
      <c r="I11690" s="397"/>
      <c r="J11690" s="750" t="e">
        <f t="shared" si="154"/>
        <v>#DIV/0!</v>
      </c>
      <c r="K11690" s="398"/>
      <c r="L11690" s="404"/>
      <c r="M11690" s="682"/>
    </row>
    <row r="11691" spans="5:13" ht="25.5" hidden="1" x14ac:dyDescent="0.2">
      <c r="F11691" s="503" t="s">
        <v>248</v>
      </c>
      <c r="G11691" s="504" t="s">
        <v>249</v>
      </c>
      <c r="H11691" s="397"/>
      <c r="I11691" s="397"/>
      <c r="J11691" s="750" t="e">
        <f t="shared" si="154"/>
        <v>#DIV/0!</v>
      </c>
      <c r="K11691" s="398"/>
      <c r="L11691" s="404"/>
      <c r="M11691" s="682"/>
    </row>
    <row r="11692" spans="5:13" hidden="1" x14ac:dyDescent="0.2">
      <c r="F11692" s="503" t="s">
        <v>250</v>
      </c>
      <c r="G11692" s="504" t="s">
        <v>57</v>
      </c>
      <c r="H11692" s="397"/>
      <c r="I11692" s="397"/>
      <c r="J11692" s="750" t="e">
        <f t="shared" si="154"/>
        <v>#DIV/0!</v>
      </c>
      <c r="K11692" s="398"/>
      <c r="L11692" s="404"/>
      <c r="M11692" s="682"/>
    </row>
    <row r="11693" spans="5:13" hidden="1" x14ac:dyDescent="0.2">
      <c r="F11693" s="503" t="s">
        <v>251</v>
      </c>
      <c r="G11693" s="504" t="s">
        <v>252</v>
      </c>
      <c r="H11693" s="397"/>
      <c r="I11693" s="397"/>
      <c r="J11693" s="750" t="e">
        <f t="shared" si="154"/>
        <v>#DIV/0!</v>
      </c>
      <c r="K11693" s="398"/>
      <c r="L11693" s="404"/>
      <c r="M11693" s="682"/>
    </row>
    <row r="11694" spans="5:13" hidden="1" x14ac:dyDescent="0.2">
      <c r="F11694" s="503" t="s">
        <v>253</v>
      </c>
      <c r="G11694" s="504" t="s">
        <v>254</v>
      </c>
      <c r="H11694" s="397"/>
      <c r="I11694" s="397"/>
      <c r="J11694" s="750" t="e">
        <f t="shared" si="154"/>
        <v>#DIV/0!</v>
      </c>
      <c r="K11694" s="398"/>
      <c r="L11694" s="404"/>
      <c r="M11694" s="682"/>
    </row>
    <row r="11695" spans="5:13" ht="25.5" hidden="1" x14ac:dyDescent="0.2">
      <c r="F11695" s="503" t="s">
        <v>255</v>
      </c>
      <c r="G11695" s="504" t="s">
        <v>256</v>
      </c>
      <c r="H11695" s="397"/>
      <c r="I11695" s="397"/>
      <c r="J11695" s="750" t="e">
        <f t="shared" si="154"/>
        <v>#DIV/0!</v>
      </c>
      <c r="K11695" s="398"/>
      <c r="L11695" s="404"/>
      <c r="M11695" s="682"/>
    </row>
    <row r="11696" spans="5:13" ht="25.5" hidden="1" x14ac:dyDescent="0.2">
      <c r="F11696" s="503" t="s">
        <v>257</v>
      </c>
      <c r="G11696" s="504" t="s">
        <v>258</v>
      </c>
      <c r="H11696" s="397"/>
      <c r="I11696" s="397"/>
      <c r="J11696" s="750" t="e">
        <f t="shared" si="154"/>
        <v>#DIV/0!</v>
      </c>
      <c r="K11696" s="398"/>
      <c r="L11696" s="404"/>
      <c r="M11696" s="682"/>
    </row>
    <row r="11697" spans="3:13" ht="25.5" hidden="1" x14ac:dyDescent="0.2">
      <c r="F11697" s="503" t="s">
        <v>259</v>
      </c>
      <c r="G11697" s="504" t="s">
        <v>260</v>
      </c>
      <c r="H11697" s="397"/>
      <c r="I11697" s="397"/>
      <c r="J11697" s="750" t="e">
        <f t="shared" si="154"/>
        <v>#DIV/0!</v>
      </c>
      <c r="K11697" s="398"/>
      <c r="L11697" s="404"/>
      <c r="M11697" s="682"/>
    </row>
    <row r="11698" spans="3:13" ht="25.5" hidden="1" x14ac:dyDescent="0.2">
      <c r="F11698" s="503" t="s">
        <v>261</v>
      </c>
      <c r="G11698" s="504" t="s">
        <v>262</v>
      </c>
      <c r="H11698" s="397"/>
      <c r="I11698" s="397"/>
      <c r="J11698" s="750" t="e">
        <f t="shared" si="154"/>
        <v>#DIV/0!</v>
      </c>
      <c r="K11698" s="398"/>
      <c r="L11698" s="404"/>
      <c r="M11698" s="682"/>
    </row>
    <row r="11699" spans="3:13" hidden="1" x14ac:dyDescent="0.2">
      <c r="F11699" s="503" t="s">
        <v>263</v>
      </c>
      <c r="G11699" s="504" t="s">
        <v>264</v>
      </c>
      <c r="H11699" s="403"/>
      <c r="I11699" s="403"/>
      <c r="J11699" s="750" t="e">
        <f t="shared" si="154"/>
        <v>#DIV/0!</v>
      </c>
      <c r="K11699" s="404"/>
      <c r="L11699" s="404"/>
      <c r="M11699" s="682"/>
    </row>
    <row r="11700" spans="3:13" ht="13.5" hidden="1" thickBot="1" x14ac:dyDescent="0.25">
      <c r="G11700" s="505" t="s">
        <v>5015</v>
      </c>
      <c r="H11700" s="405">
        <f>SUM(H11684:H11699)</f>
        <v>0</v>
      </c>
      <c r="I11700" s="405"/>
      <c r="J11700" s="750" t="e">
        <f t="shared" si="154"/>
        <v>#DIV/0!</v>
      </c>
      <c r="K11700" s="406">
        <f>SUM(K11685:K11699)</f>
        <v>0</v>
      </c>
      <c r="L11700" s="406"/>
      <c r="M11700" s="682"/>
    </row>
    <row r="11701" spans="3:13" hidden="1" x14ac:dyDescent="0.2">
      <c r="H11701" s="397"/>
      <c r="I11701" s="397"/>
      <c r="J11701" s="750" t="e">
        <f t="shared" si="154"/>
        <v>#DIV/0!</v>
      </c>
      <c r="K11701" s="398"/>
      <c r="L11701" s="398"/>
      <c r="M11701" s="682"/>
    </row>
    <row r="11702" spans="3:13" hidden="1" x14ac:dyDescent="0.2">
      <c r="C11702" s="489" t="s">
        <v>4439</v>
      </c>
      <c r="D11702" s="490"/>
      <c r="G11702" s="508" t="s">
        <v>4232</v>
      </c>
      <c r="H11702" s="397"/>
      <c r="I11702" s="397"/>
      <c r="J11702" s="750" t="e">
        <f t="shared" si="154"/>
        <v>#DIV/0!</v>
      </c>
      <c r="K11702" s="398"/>
      <c r="L11702" s="398"/>
      <c r="M11702" s="682"/>
    </row>
    <row r="11703" spans="3:13" hidden="1" x14ac:dyDescent="0.2">
      <c r="C11703" s="489"/>
      <c r="D11703" s="492">
        <v>820</v>
      </c>
      <c r="E11703" s="492"/>
      <c r="F11703" s="492"/>
      <c r="G11703" s="493" t="s">
        <v>207</v>
      </c>
      <c r="H11703" s="397"/>
      <c r="I11703" s="397"/>
      <c r="J11703" s="750" t="e">
        <f t="shared" si="154"/>
        <v>#DIV/0!</v>
      </c>
      <c r="K11703" s="398"/>
      <c r="L11703" s="398"/>
      <c r="M11703" s="682"/>
    </row>
    <row r="11704" spans="3:13" hidden="1" x14ac:dyDescent="0.2">
      <c r="F11704" s="494">
        <v>411</v>
      </c>
      <c r="G11704" s="495" t="s">
        <v>4167</v>
      </c>
      <c r="H11704" s="397"/>
      <c r="I11704" s="397"/>
      <c r="J11704" s="750" t="e">
        <f t="shared" si="154"/>
        <v>#DIV/0!</v>
      </c>
      <c r="K11704" s="398"/>
      <c r="L11704" s="398"/>
      <c r="M11704" s="682"/>
    </row>
    <row r="11705" spans="3:13" hidden="1" x14ac:dyDescent="0.2">
      <c r="F11705" s="494">
        <v>412</v>
      </c>
      <c r="G11705" s="496" t="s">
        <v>3764</v>
      </c>
      <c r="H11705" s="397"/>
      <c r="I11705" s="397"/>
      <c r="J11705" s="750" t="e">
        <f t="shared" si="154"/>
        <v>#DIV/0!</v>
      </c>
      <c r="K11705" s="398"/>
      <c r="L11705" s="398"/>
      <c r="M11705" s="682"/>
    </row>
    <row r="11706" spans="3:13" hidden="1" x14ac:dyDescent="0.2">
      <c r="F11706" s="494">
        <v>413</v>
      </c>
      <c r="G11706" s="495" t="s">
        <v>4168</v>
      </c>
      <c r="H11706" s="397"/>
      <c r="I11706" s="397"/>
      <c r="J11706" s="750" t="e">
        <f t="shared" si="154"/>
        <v>#DIV/0!</v>
      </c>
      <c r="K11706" s="398"/>
      <c r="L11706" s="398"/>
      <c r="M11706" s="682"/>
    </row>
    <row r="11707" spans="3:13" hidden="1" x14ac:dyDescent="0.2">
      <c r="F11707" s="494">
        <v>414</v>
      </c>
      <c r="G11707" s="495" t="s">
        <v>3767</v>
      </c>
      <c r="H11707" s="397"/>
      <c r="I11707" s="397"/>
      <c r="J11707" s="750" t="e">
        <f t="shared" si="154"/>
        <v>#DIV/0!</v>
      </c>
      <c r="K11707" s="398"/>
      <c r="L11707" s="398"/>
      <c r="M11707" s="682"/>
    </row>
    <row r="11708" spans="3:13" hidden="1" x14ac:dyDescent="0.2">
      <c r="F11708" s="494">
        <v>415</v>
      </c>
      <c r="G11708" s="495" t="s">
        <v>4177</v>
      </c>
      <c r="H11708" s="397"/>
      <c r="I11708" s="397"/>
      <c r="J11708" s="750" t="e">
        <f t="shared" si="154"/>
        <v>#DIV/0!</v>
      </c>
      <c r="K11708" s="398"/>
      <c r="L11708" s="398"/>
      <c r="M11708" s="682"/>
    </row>
    <row r="11709" spans="3:13" ht="25.5" hidden="1" x14ac:dyDescent="0.2">
      <c r="F11709" s="494">
        <v>416</v>
      </c>
      <c r="G11709" s="495" t="s">
        <v>4178</v>
      </c>
      <c r="H11709" s="397"/>
      <c r="I11709" s="397"/>
      <c r="J11709" s="750" t="e">
        <f t="shared" si="154"/>
        <v>#DIV/0!</v>
      </c>
      <c r="K11709" s="398"/>
      <c r="L11709" s="398"/>
      <c r="M11709" s="682"/>
    </row>
    <row r="11710" spans="3:13" hidden="1" x14ac:dyDescent="0.2">
      <c r="F11710" s="494">
        <v>417</v>
      </c>
      <c r="G11710" s="495" t="s">
        <v>4179</v>
      </c>
      <c r="H11710" s="397"/>
      <c r="I11710" s="397"/>
      <c r="J11710" s="750" t="e">
        <f t="shared" si="154"/>
        <v>#DIV/0!</v>
      </c>
      <c r="K11710" s="398"/>
      <c r="L11710" s="398"/>
      <c r="M11710" s="682"/>
    </row>
    <row r="11711" spans="3:13" hidden="1" x14ac:dyDescent="0.2">
      <c r="F11711" s="494">
        <v>418</v>
      </c>
      <c r="G11711" s="495" t="s">
        <v>3773</v>
      </c>
      <c r="H11711" s="397"/>
      <c r="I11711" s="397"/>
      <c r="J11711" s="750" t="e">
        <f t="shared" si="154"/>
        <v>#DIV/0!</v>
      </c>
      <c r="K11711" s="398"/>
      <c r="L11711" s="398"/>
      <c r="M11711" s="682"/>
    </row>
    <row r="11712" spans="3:13" hidden="1" x14ac:dyDescent="0.2">
      <c r="F11712" s="494">
        <v>421</v>
      </c>
      <c r="G11712" s="495" t="s">
        <v>3777</v>
      </c>
      <c r="H11712" s="397"/>
      <c r="I11712" s="397"/>
      <c r="J11712" s="750" t="e">
        <f t="shared" si="154"/>
        <v>#DIV/0!</v>
      </c>
      <c r="K11712" s="398"/>
      <c r="L11712" s="398"/>
      <c r="M11712" s="682"/>
    </row>
    <row r="11713" spans="6:13" hidden="1" x14ac:dyDescent="0.2">
      <c r="F11713" s="494">
        <v>422</v>
      </c>
      <c r="G11713" s="495" t="s">
        <v>3778</v>
      </c>
      <c r="H11713" s="397"/>
      <c r="I11713" s="397"/>
      <c r="J11713" s="750" t="e">
        <f t="shared" si="154"/>
        <v>#DIV/0!</v>
      </c>
      <c r="K11713" s="398"/>
      <c r="L11713" s="398"/>
      <c r="M11713" s="682"/>
    </row>
    <row r="11714" spans="6:13" hidden="1" x14ac:dyDescent="0.2">
      <c r="F11714" s="494">
        <v>423</v>
      </c>
      <c r="G11714" s="495" t="s">
        <v>3779</v>
      </c>
      <c r="H11714" s="397"/>
      <c r="I11714" s="397"/>
      <c r="J11714" s="750" t="e">
        <f t="shared" si="154"/>
        <v>#DIV/0!</v>
      </c>
      <c r="K11714" s="398"/>
      <c r="L11714" s="398"/>
      <c r="M11714" s="682"/>
    </row>
    <row r="11715" spans="6:13" hidden="1" x14ac:dyDescent="0.2">
      <c r="F11715" s="494">
        <v>424</v>
      </c>
      <c r="G11715" s="495" t="s">
        <v>3781</v>
      </c>
      <c r="H11715" s="397"/>
      <c r="I11715" s="397"/>
      <c r="J11715" s="750" t="e">
        <f t="shared" si="154"/>
        <v>#DIV/0!</v>
      </c>
      <c r="K11715" s="398"/>
      <c r="L11715" s="398"/>
      <c r="M11715" s="682"/>
    </row>
    <row r="11716" spans="6:13" hidden="1" x14ac:dyDescent="0.2">
      <c r="F11716" s="494">
        <v>425</v>
      </c>
      <c r="G11716" s="495" t="s">
        <v>4180</v>
      </c>
      <c r="H11716" s="397"/>
      <c r="I11716" s="397"/>
      <c r="J11716" s="750" t="e">
        <f t="shared" si="154"/>
        <v>#DIV/0!</v>
      </c>
      <c r="K11716" s="398"/>
      <c r="L11716" s="398"/>
      <c r="M11716" s="682"/>
    </row>
    <row r="11717" spans="6:13" hidden="1" x14ac:dyDescent="0.2">
      <c r="F11717" s="494">
        <v>426</v>
      </c>
      <c r="G11717" s="495" t="s">
        <v>3785</v>
      </c>
      <c r="H11717" s="397"/>
      <c r="I11717" s="397"/>
      <c r="J11717" s="750" t="e">
        <f t="shared" si="154"/>
        <v>#DIV/0!</v>
      </c>
      <c r="K11717" s="398"/>
      <c r="L11717" s="398"/>
      <c r="M11717" s="682"/>
    </row>
    <row r="11718" spans="6:13" hidden="1" x14ac:dyDescent="0.2">
      <c r="F11718" s="494">
        <v>431</v>
      </c>
      <c r="G11718" s="495" t="s">
        <v>4181</v>
      </c>
      <c r="H11718" s="397"/>
      <c r="I11718" s="397"/>
      <c r="J11718" s="750" t="e">
        <f t="shared" si="154"/>
        <v>#DIV/0!</v>
      </c>
      <c r="K11718" s="398"/>
      <c r="L11718" s="398"/>
      <c r="M11718" s="682"/>
    </row>
    <row r="11719" spans="6:13" hidden="1" x14ac:dyDescent="0.2">
      <c r="F11719" s="494">
        <v>432</v>
      </c>
      <c r="G11719" s="495" t="s">
        <v>4182</v>
      </c>
      <c r="H11719" s="397"/>
      <c r="I11719" s="397"/>
      <c r="J11719" s="750" t="e">
        <f t="shared" si="154"/>
        <v>#DIV/0!</v>
      </c>
      <c r="K11719" s="398"/>
      <c r="L11719" s="398"/>
      <c r="M11719" s="682"/>
    </row>
    <row r="11720" spans="6:13" hidden="1" x14ac:dyDescent="0.2">
      <c r="F11720" s="494">
        <v>433</v>
      </c>
      <c r="G11720" s="495" t="s">
        <v>4183</v>
      </c>
      <c r="H11720" s="397"/>
      <c r="I11720" s="397"/>
      <c r="J11720" s="750" t="e">
        <f t="shared" si="154"/>
        <v>#DIV/0!</v>
      </c>
      <c r="K11720" s="398"/>
      <c r="L11720" s="398"/>
      <c r="M11720" s="682"/>
    </row>
    <row r="11721" spans="6:13" hidden="1" x14ac:dyDescent="0.2">
      <c r="F11721" s="494">
        <v>434</v>
      </c>
      <c r="G11721" s="495" t="s">
        <v>4184</v>
      </c>
      <c r="H11721" s="397"/>
      <c r="I11721" s="397"/>
      <c r="J11721" s="750" t="e">
        <f t="shared" si="154"/>
        <v>#DIV/0!</v>
      </c>
      <c r="K11721" s="398"/>
      <c r="L11721" s="398"/>
      <c r="M11721" s="682"/>
    </row>
    <row r="11722" spans="6:13" hidden="1" x14ac:dyDescent="0.2">
      <c r="F11722" s="494">
        <v>435</v>
      </c>
      <c r="G11722" s="495" t="s">
        <v>3792</v>
      </c>
      <c r="H11722" s="397"/>
      <c r="I11722" s="397"/>
      <c r="J11722" s="750" t="e">
        <f t="shared" si="154"/>
        <v>#DIV/0!</v>
      </c>
      <c r="K11722" s="398"/>
      <c r="L11722" s="398"/>
      <c r="M11722" s="682"/>
    </row>
    <row r="11723" spans="6:13" hidden="1" x14ac:dyDescent="0.2">
      <c r="F11723" s="494">
        <v>441</v>
      </c>
      <c r="G11723" s="495" t="s">
        <v>4185</v>
      </c>
      <c r="H11723" s="397"/>
      <c r="I11723" s="397"/>
      <c r="J11723" s="750" t="e">
        <f t="shared" si="154"/>
        <v>#DIV/0!</v>
      </c>
      <c r="K11723" s="398"/>
      <c r="L11723" s="398"/>
      <c r="M11723" s="682"/>
    </row>
    <row r="11724" spans="6:13" hidden="1" x14ac:dyDescent="0.2">
      <c r="F11724" s="494">
        <v>442</v>
      </c>
      <c r="G11724" s="495" t="s">
        <v>4186</v>
      </c>
      <c r="H11724" s="397"/>
      <c r="I11724" s="397"/>
      <c r="J11724" s="750" t="e">
        <f t="shared" si="154"/>
        <v>#DIV/0!</v>
      </c>
      <c r="K11724" s="398"/>
      <c r="L11724" s="398"/>
      <c r="M11724" s="682"/>
    </row>
    <row r="11725" spans="6:13" hidden="1" x14ac:dyDescent="0.2">
      <c r="F11725" s="494">
        <v>443</v>
      </c>
      <c r="G11725" s="495" t="s">
        <v>3797</v>
      </c>
      <c r="H11725" s="397"/>
      <c r="I11725" s="397"/>
      <c r="J11725" s="750" t="e">
        <f t="shared" si="154"/>
        <v>#DIV/0!</v>
      </c>
      <c r="K11725" s="398"/>
      <c r="L11725" s="398"/>
      <c r="M11725" s="682"/>
    </row>
    <row r="11726" spans="6:13" hidden="1" x14ac:dyDescent="0.2">
      <c r="F11726" s="494">
        <v>444</v>
      </c>
      <c r="G11726" s="495" t="s">
        <v>3798</v>
      </c>
      <c r="H11726" s="397"/>
      <c r="I11726" s="397"/>
      <c r="J11726" s="750" t="e">
        <f t="shared" ref="J11726:J11789" si="155">SUM(I11726/H11726)*100</f>
        <v>#DIV/0!</v>
      </c>
      <c r="K11726" s="398"/>
      <c r="L11726" s="398"/>
      <c r="M11726" s="682"/>
    </row>
    <row r="11727" spans="6:13" ht="25.5" hidden="1" x14ac:dyDescent="0.2">
      <c r="F11727" s="494">
        <v>4511</v>
      </c>
      <c r="G11727" s="466" t="s">
        <v>1692</v>
      </c>
      <c r="H11727" s="397"/>
      <c r="I11727" s="397"/>
      <c r="J11727" s="750" t="e">
        <f t="shared" si="155"/>
        <v>#DIV/0!</v>
      </c>
      <c r="K11727" s="398"/>
      <c r="L11727" s="398"/>
      <c r="M11727" s="682"/>
    </row>
    <row r="11728" spans="6:13" ht="25.5" hidden="1" x14ac:dyDescent="0.2">
      <c r="F11728" s="494">
        <v>4512</v>
      </c>
      <c r="G11728" s="466" t="s">
        <v>1701</v>
      </c>
      <c r="H11728" s="397"/>
      <c r="I11728" s="397"/>
      <c r="J11728" s="750" t="e">
        <f t="shared" si="155"/>
        <v>#DIV/0!</v>
      </c>
      <c r="K11728" s="398"/>
      <c r="L11728" s="398"/>
      <c r="M11728" s="682"/>
    </row>
    <row r="11729" spans="6:13" ht="25.5" hidden="1" x14ac:dyDescent="0.2">
      <c r="F11729" s="494">
        <v>452</v>
      </c>
      <c r="G11729" s="495" t="s">
        <v>4187</v>
      </c>
      <c r="H11729" s="397"/>
      <c r="I11729" s="397"/>
      <c r="J11729" s="750" t="e">
        <f t="shared" si="155"/>
        <v>#DIV/0!</v>
      </c>
      <c r="K11729" s="398"/>
      <c r="L11729" s="398"/>
      <c r="M11729" s="682"/>
    </row>
    <row r="11730" spans="6:13" ht="25.5" hidden="1" x14ac:dyDescent="0.2">
      <c r="F11730" s="494">
        <v>453</v>
      </c>
      <c r="G11730" s="495" t="s">
        <v>4188</v>
      </c>
      <c r="H11730" s="397"/>
      <c r="I11730" s="397"/>
      <c r="J11730" s="750" t="e">
        <f t="shared" si="155"/>
        <v>#DIV/0!</v>
      </c>
      <c r="K11730" s="398"/>
      <c r="L11730" s="398"/>
      <c r="M11730" s="682"/>
    </row>
    <row r="11731" spans="6:13" hidden="1" x14ac:dyDescent="0.2">
      <c r="F11731" s="494">
        <v>454</v>
      </c>
      <c r="G11731" s="495" t="s">
        <v>3803</v>
      </c>
      <c r="H11731" s="397"/>
      <c r="I11731" s="397"/>
      <c r="J11731" s="750" t="e">
        <f t="shared" si="155"/>
        <v>#DIV/0!</v>
      </c>
      <c r="K11731" s="398"/>
      <c r="L11731" s="398"/>
      <c r="M11731" s="682"/>
    </row>
    <row r="11732" spans="6:13" hidden="1" x14ac:dyDescent="0.2">
      <c r="F11732" s="494">
        <v>461</v>
      </c>
      <c r="G11732" s="495" t="s">
        <v>4169</v>
      </c>
      <c r="H11732" s="397"/>
      <c r="I11732" s="397"/>
      <c r="J11732" s="750" t="e">
        <f t="shared" si="155"/>
        <v>#DIV/0!</v>
      </c>
      <c r="K11732" s="398"/>
      <c r="L11732" s="398"/>
      <c r="M11732" s="682"/>
    </row>
    <row r="11733" spans="6:13" ht="25.5" hidden="1" x14ac:dyDescent="0.2">
      <c r="F11733" s="494">
        <v>462</v>
      </c>
      <c r="G11733" s="495" t="s">
        <v>3806</v>
      </c>
      <c r="H11733" s="397"/>
      <c r="I11733" s="397"/>
      <c r="J11733" s="750" t="e">
        <f t="shared" si="155"/>
        <v>#DIV/0!</v>
      </c>
      <c r="K11733" s="398"/>
      <c r="L11733" s="398"/>
      <c r="M11733" s="682"/>
    </row>
    <row r="11734" spans="6:13" hidden="1" x14ac:dyDescent="0.2">
      <c r="F11734" s="494">
        <v>4631</v>
      </c>
      <c r="G11734" s="495" t="s">
        <v>3807</v>
      </c>
      <c r="H11734" s="397"/>
      <c r="I11734" s="397"/>
      <c r="J11734" s="750" t="e">
        <f t="shared" si="155"/>
        <v>#DIV/0!</v>
      </c>
      <c r="K11734" s="398"/>
      <c r="L11734" s="398"/>
      <c r="M11734" s="682"/>
    </row>
    <row r="11735" spans="6:13" hidden="1" x14ac:dyDescent="0.2">
      <c r="F11735" s="494">
        <v>4632</v>
      </c>
      <c r="G11735" s="495" t="s">
        <v>3808</v>
      </c>
      <c r="H11735" s="397"/>
      <c r="I11735" s="397"/>
      <c r="J11735" s="750" t="e">
        <f t="shared" si="155"/>
        <v>#DIV/0!</v>
      </c>
      <c r="K11735" s="398"/>
      <c r="L11735" s="398"/>
      <c r="M11735" s="682"/>
    </row>
    <row r="11736" spans="6:13" ht="25.5" hidden="1" x14ac:dyDescent="0.2">
      <c r="F11736" s="494">
        <v>464</v>
      </c>
      <c r="G11736" s="495" t="s">
        <v>3809</v>
      </c>
      <c r="H11736" s="397"/>
      <c r="I11736" s="397"/>
      <c r="J11736" s="750" t="e">
        <f t="shared" si="155"/>
        <v>#DIV/0!</v>
      </c>
      <c r="K11736" s="398"/>
      <c r="L11736" s="398"/>
      <c r="M11736" s="682"/>
    </row>
    <row r="11737" spans="6:13" hidden="1" x14ac:dyDescent="0.2">
      <c r="F11737" s="494">
        <v>465</v>
      </c>
      <c r="G11737" s="495" t="s">
        <v>4170</v>
      </c>
      <c r="H11737" s="397"/>
      <c r="I11737" s="397"/>
      <c r="J11737" s="750" t="e">
        <f t="shared" si="155"/>
        <v>#DIV/0!</v>
      </c>
      <c r="K11737" s="398"/>
      <c r="L11737" s="398"/>
      <c r="M11737" s="682"/>
    </row>
    <row r="11738" spans="6:13" hidden="1" x14ac:dyDescent="0.2">
      <c r="F11738" s="494">
        <v>472</v>
      </c>
      <c r="G11738" s="495" t="s">
        <v>3813</v>
      </c>
      <c r="H11738" s="397"/>
      <c r="I11738" s="397"/>
      <c r="J11738" s="750" t="e">
        <f t="shared" si="155"/>
        <v>#DIV/0!</v>
      </c>
      <c r="K11738" s="398"/>
      <c r="L11738" s="398"/>
      <c r="M11738" s="682"/>
    </row>
    <row r="11739" spans="6:13" hidden="1" x14ac:dyDescent="0.2">
      <c r="F11739" s="494">
        <v>481</v>
      </c>
      <c r="G11739" s="495" t="s">
        <v>4189</v>
      </c>
      <c r="H11739" s="397"/>
      <c r="I11739" s="397"/>
      <c r="J11739" s="750" t="e">
        <f t="shared" si="155"/>
        <v>#DIV/0!</v>
      </c>
      <c r="K11739" s="398"/>
      <c r="L11739" s="398"/>
      <c r="M11739" s="682"/>
    </row>
    <row r="11740" spans="6:13" hidden="1" x14ac:dyDescent="0.2">
      <c r="F11740" s="494">
        <v>482</v>
      </c>
      <c r="G11740" s="495" t="s">
        <v>4190</v>
      </c>
      <c r="H11740" s="397"/>
      <c r="I11740" s="397"/>
      <c r="J11740" s="750" t="e">
        <f t="shared" si="155"/>
        <v>#DIV/0!</v>
      </c>
      <c r="K11740" s="398"/>
      <c r="L11740" s="398"/>
      <c r="M11740" s="682"/>
    </row>
    <row r="11741" spans="6:13" hidden="1" x14ac:dyDescent="0.2">
      <c r="F11741" s="494">
        <v>483</v>
      </c>
      <c r="G11741" s="497" t="s">
        <v>4191</v>
      </c>
      <c r="H11741" s="397"/>
      <c r="I11741" s="397"/>
      <c r="J11741" s="750" t="e">
        <f t="shared" si="155"/>
        <v>#DIV/0!</v>
      </c>
      <c r="K11741" s="398"/>
      <c r="L11741" s="398"/>
      <c r="M11741" s="682"/>
    </row>
    <row r="11742" spans="6:13" ht="38.25" hidden="1" x14ac:dyDescent="0.2">
      <c r="F11742" s="494">
        <v>484</v>
      </c>
      <c r="G11742" s="495" t="s">
        <v>4192</v>
      </c>
      <c r="H11742" s="397"/>
      <c r="I11742" s="397"/>
      <c r="J11742" s="750" t="e">
        <f t="shared" si="155"/>
        <v>#DIV/0!</v>
      </c>
      <c r="K11742" s="398"/>
      <c r="L11742" s="398"/>
      <c r="M11742" s="682"/>
    </row>
    <row r="11743" spans="6:13" ht="25.5" hidden="1" x14ac:dyDescent="0.2">
      <c r="F11743" s="494">
        <v>485</v>
      </c>
      <c r="G11743" s="495" t="s">
        <v>4193</v>
      </c>
      <c r="H11743" s="397"/>
      <c r="I11743" s="397"/>
      <c r="J11743" s="750" t="e">
        <f t="shared" si="155"/>
        <v>#DIV/0!</v>
      </c>
      <c r="K11743" s="398"/>
      <c r="L11743" s="398"/>
      <c r="M11743" s="682"/>
    </row>
    <row r="11744" spans="6:13" ht="25.5" hidden="1" x14ac:dyDescent="0.2">
      <c r="F11744" s="494">
        <v>489</v>
      </c>
      <c r="G11744" s="495" t="s">
        <v>3821</v>
      </c>
      <c r="H11744" s="397"/>
      <c r="I11744" s="397"/>
      <c r="J11744" s="750" t="e">
        <f t="shared" si="155"/>
        <v>#DIV/0!</v>
      </c>
      <c r="K11744" s="398"/>
      <c r="L11744" s="398"/>
      <c r="M11744" s="682"/>
    </row>
    <row r="11745" spans="6:13" ht="25.5" hidden="1" x14ac:dyDescent="0.2">
      <c r="F11745" s="494">
        <v>494</v>
      </c>
      <c r="G11745" s="495" t="s">
        <v>4171</v>
      </c>
      <c r="H11745" s="397"/>
      <c r="I11745" s="397"/>
      <c r="J11745" s="750" t="e">
        <f t="shared" si="155"/>
        <v>#DIV/0!</v>
      </c>
      <c r="K11745" s="398"/>
      <c r="L11745" s="398"/>
      <c r="M11745" s="682"/>
    </row>
    <row r="11746" spans="6:13" ht="25.5" hidden="1" x14ac:dyDescent="0.2">
      <c r="F11746" s="494">
        <v>495</v>
      </c>
      <c r="G11746" s="495" t="s">
        <v>4172</v>
      </c>
      <c r="H11746" s="397"/>
      <c r="I11746" s="397"/>
      <c r="J11746" s="750" t="e">
        <f t="shared" si="155"/>
        <v>#DIV/0!</v>
      </c>
      <c r="K11746" s="398"/>
      <c r="L11746" s="398"/>
      <c r="M11746" s="682"/>
    </row>
    <row r="11747" spans="6:13" ht="38.25" hidden="1" x14ac:dyDescent="0.2">
      <c r="F11747" s="494">
        <v>496</v>
      </c>
      <c r="G11747" s="495" t="s">
        <v>4173</v>
      </c>
      <c r="H11747" s="397"/>
      <c r="I11747" s="397"/>
      <c r="J11747" s="750" t="e">
        <f t="shared" si="155"/>
        <v>#DIV/0!</v>
      </c>
      <c r="K11747" s="398"/>
      <c r="L11747" s="398"/>
      <c r="M11747" s="682"/>
    </row>
    <row r="11748" spans="6:13" ht="25.5" hidden="1" x14ac:dyDescent="0.2">
      <c r="F11748" s="494">
        <v>499</v>
      </c>
      <c r="G11748" s="495" t="s">
        <v>4174</v>
      </c>
      <c r="H11748" s="397"/>
      <c r="I11748" s="397"/>
      <c r="J11748" s="750" t="e">
        <f t="shared" si="155"/>
        <v>#DIV/0!</v>
      </c>
      <c r="K11748" s="398"/>
      <c r="L11748" s="398"/>
      <c r="M11748" s="682"/>
    </row>
    <row r="11749" spans="6:13" hidden="1" x14ac:dyDescent="0.2">
      <c r="F11749" s="494">
        <v>511</v>
      </c>
      <c r="G11749" s="497" t="s">
        <v>4194</v>
      </c>
      <c r="H11749" s="397"/>
      <c r="I11749" s="397"/>
      <c r="J11749" s="750" t="e">
        <f t="shared" si="155"/>
        <v>#DIV/0!</v>
      </c>
      <c r="K11749" s="398"/>
      <c r="L11749" s="398"/>
      <c r="M11749" s="682"/>
    </row>
    <row r="11750" spans="6:13" hidden="1" x14ac:dyDescent="0.2">
      <c r="F11750" s="494">
        <v>512</v>
      </c>
      <c r="G11750" s="497" t="s">
        <v>4195</v>
      </c>
      <c r="H11750" s="397"/>
      <c r="I11750" s="397"/>
      <c r="J11750" s="750" t="e">
        <f t="shared" si="155"/>
        <v>#DIV/0!</v>
      </c>
      <c r="K11750" s="398"/>
      <c r="L11750" s="398"/>
      <c r="M11750" s="682"/>
    </row>
    <row r="11751" spans="6:13" hidden="1" x14ac:dyDescent="0.2">
      <c r="F11751" s="494">
        <v>513</v>
      </c>
      <c r="G11751" s="497" t="s">
        <v>4196</v>
      </c>
      <c r="H11751" s="397"/>
      <c r="I11751" s="397"/>
      <c r="J11751" s="750" t="e">
        <f t="shared" si="155"/>
        <v>#DIV/0!</v>
      </c>
      <c r="K11751" s="398"/>
      <c r="L11751" s="398"/>
      <c r="M11751" s="682"/>
    </row>
    <row r="11752" spans="6:13" hidden="1" x14ac:dyDescent="0.2">
      <c r="F11752" s="494">
        <v>514</v>
      </c>
      <c r="G11752" s="495" t="s">
        <v>4197</v>
      </c>
      <c r="H11752" s="397"/>
      <c r="I11752" s="397"/>
      <c r="J11752" s="750" t="e">
        <f t="shared" si="155"/>
        <v>#DIV/0!</v>
      </c>
      <c r="K11752" s="398"/>
      <c r="L11752" s="398"/>
      <c r="M11752" s="682"/>
    </row>
    <row r="11753" spans="6:13" hidden="1" x14ac:dyDescent="0.2">
      <c r="F11753" s="494">
        <v>515</v>
      </c>
      <c r="G11753" s="495" t="s">
        <v>3832</v>
      </c>
      <c r="H11753" s="397"/>
      <c r="I11753" s="397"/>
      <c r="J11753" s="750" t="e">
        <f t="shared" si="155"/>
        <v>#DIV/0!</v>
      </c>
      <c r="K11753" s="398"/>
      <c r="L11753" s="398"/>
      <c r="M11753" s="682"/>
    </row>
    <row r="11754" spans="6:13" hidden="1" x14ac:dyDescent="0.2">
      <c r="F11754" s="494">
        <v>521</v>
      </c>
      <c r="G11754" s="495" t="s">
        <v>4198</v>
      </c>
      <c r="H11754" s="397"/>
      <c r="I11754" s="397"/>
      <c r="J11754" s="750" t="e">
        <f t="shared" si="155"/>
        <v>#DIV/0!</v>
      </c>
      <c r="K11754" s="398"/>
      <c r="L11754" s="398"/>
      <c r="M11754" s="682"/>
    </row>
    <row r="11755" spans="6:13" hidden="1" x14ac:dyDescent="0.2">
      <c r="F11755" s="494">
        <v>522</v>
      </c>
      <c r="G11755" s="495" t="s">
        <v>4199</v>
      </c>
      <c r="H11755" s="397"/>
      <c r="I11755" s="397"/>
      <c r="J11755" s="750" t="e">
        <f t="shared" si="155"/>
        <v>#DIV/0!</v>
      </c>
      <c r="K11755" s="398"/>
      <c r="L11755" s="398"/>
      <c r="M11755" s="682"/>
    </row>
    <row r="11756" spans="6:13" hidden="1" x14ac:dyDescent="0.2">
      <c r="F11756" s="494">
        <v>523</v>
      </c>
      <c r="G11756" s="495" t="s">
        <v>3837</v>
      </c>
      <c r="H11756" s="397"/>
      <c r="I11756" s="397"/>
      <c r="J11756" s="750" t="e">
        <f t="shared" si="155"/>
        <v>#DIV/0!</v>
      </c>
      <c r="K11756" s="398"/>
      <c r="L11756" s="398"/>
      <c r="M11756" s="682"/>
    </row>
    <row r="11757" spans="6:13" hidden="1" x14ac:dyDescent="0.2">
      <c r="F11757" s="494">
        <v>531</v>
      </c>
      <c r="G11757" s="496" t="s">
        <v>4175</v>
      </c>
      <c r="H11757" s="397"/>
      <c r="I11757" s="397"/>
      <c r="J11757" s="750" t="e">
        <f t="shared" si="155"/>
        <v>#DIV/0!</v>
      </c>
      <c r="K11757" s="398"/>
      <c r="L11757" s="398"/>
      <c r="M11757" s="682"/>
    </row>
    <row r="11758" spans="6:13" hidden="1" x14ac:dyDescent="0.2">
      <c r="F11758" s="494">
        <v>541</v>
      </c>
      <c r="G11758" s="495" t="s">
        <v>4200</v>
      </c>
      <c r="H11758" s="397"/>
      <c r="I11758" s="397"/>
      <c r="J11758" s="750" t="e">
        <f t="shared" si="155"/>
        <v>#DIV/0!</v>
      </c>
      <c r="K11758" s="398"/>
      <c r="L11758" s="398"/>
      <c r="M11758" s="682"/>
    </row>
    <row r="11759" spans="6:13" hidden="1" x14ac:dyDescent="0.2">
      <c r="F11759" s="494">
        <v>542</v>
      </c>
      <c r="G11759" s="495" t="s">
        <v>4201</v>
      </c>
      <c r="H11759" s="397"/>
      <c r="I11759" s="397"/>
      <c r="J11759" s="750" t="e">
        <f t="shared" si="155"/>
        <v>#DIV/0!</v>
      </c>
      <c r="K11759" s="398"/>
      <c r="L11759" s="398"/>
      <c r="M11759" s="682"/>
    </row>
    <row r="11760" spans="6:13" hidden="1" x14ac:dyDescent="0.2">
      <c r="F11760" s="494">
        <v>543</v>
      </c>
      <c r="G11760" s="495" t="s">
        <v>3842</v>
      </c>
      <c r="H11760" s="397"/>
      <c r="I11760" s="397"/>
      <c r="J11760" s="750" t="e">
        <f t="shared" si="155"/>
        <v>#DIV/0!</v>
      </c>
      <c r="K11760" s="398"/>
      <c r="L11760" s="398"/>
      <c r="M11760" s="682"/>
    </row>
    <row r="11761" spans="5:13" ht="38.25" hidden="1" x14ac:dyDescent="0.2">
      <c r="F11761" s="494">
        <v>551</v>
      </c>
      <c r="G11761" s="495" t="s">
        <v>4176</v>
      </c>
      <c r="H11761" s="397"/>
      <c r="I11761" s="397"/>
      <c r="J11761" s="750" t="e">
        <f t="shared" si="155"/>
        <v>#DIV/0!</v>
      </c>
      <c r="K11761" s="398"/>
      <c r="L11761" s="398"/>
      <c r="M11761" s="682"/>
    </row>
    <row r="11762" spans="5:13" hidden="1" x14ac:dyDescent="0.2">
      <c r="F11762" s="498">
        <v>611</v>
      </c>
      <c r="G11762" s="499" t="s">
        <v>3848</v>
      </c>
      <c r="H11762" s="403"/>
      <c r="I11762" s="403"/>
      <c r="J11762" s="750" t="e">
        <f t="shared" si="155"/>
        <v>#DIV/0!</v>
      </c>
      <c r="K11762" s="398"/>
      <c r="L11762" s="398"/>
      <c r="M11762" s="682"/>
    </row>
    <row r="11763" spans="5:13" hidden="1" x14ac:dyDescent="0.2">
      <c r="F11763" s="498">
        <v>620</v>
      </c>
      <c r="G11763" s="499" t="s">
        <v>88</v>
      </c>
      <c r="H11763" s="403"/>
      <c r="I11763" s="403"/>
      <c r="J11763" s="750" t="e">
        <f t="shared" si="155"/>
        <v>#DIV/0!</v>
      </c>
      <c r="K11763" s="398"/>
      <c r="L11763" s="398"/>
      <c r="M11763" s="682"/>
    </row>
    <row r="11764" spans="5:13" hidden="1" x14ac:dyDescent="0.2">
      <c r="E11764" s="500"/>
      <c r="F11764" s="498"/>
      <c r="G11764" s="509" t="s">
        <v>4435</v>
      </c>
      <c r="H11764" s="400"/>
      <c r="I11764" s="400"/>
      <c r="J11764" s="750" t="e">
        <f t="shared" si="155"/>
        <v>#DIV/0!</v>
      </c>
      <c r="K11764" s="401"/>
      <c r="L11764" s="402"/>
      <c r="M11764" s="682"/>
    </row>
    <row r="11765" spans="5:13" hidden="1" x14ac:dyDescent="0.2">
      <c r="E11765" s="502"/>
      <c r="F11765" s="503" t="s">
        <v>234</v>
      </c>
      <c r="G11765" s="504" t="s">
        <v>235</v>
      </c>
      <c r="H11765" s="403">
        <f>SUM(H11704:H11763)</f>
        <v>0</v>
      </c>
      <c r="I11765" s="403"/>
      <c r="J11765" s="750" t="e">
        <f t="shared" si="155"/>
        <v>#DIV/0!</v>
      </c>
      <c r="K11765" s="404"/>
      <c r="L11765" s="404"/>
      <c r="M11765" s="682"/>
    </row>
    <row r="11766" spans="5:13" hidden="1" x14ac:dyDescent="0.2">
      <c r="F11766" s="503" t="s">
        <v>236</v>
      </c>
      <c r="G11766" s="504" t="s">
        <v>237</v>
      </c>
      <c r="H11766" s="397"/>
      <c r="I11766" s="397"/>
      <c r="J11766" s="750" t="e">
        <f t="shared" si="155"/>
        <v>#DIV/0!</v>
      </c>
      <c r="K11766" s="398"/>
      <c r="L11766" s="404"/>
      <c r="M11766" s="682"/>
    </row>
    <row r="11767" spans="5:13" hidden="1" x14ac:dyDescent="0.2">
      <c r="F11767" s="503" t="s">
        <v>238</v>
      </c>
      <c r="G11767" s="504" t="s">
        <v>239</v>
      </c>
      <c r="H11767" s="397"/>
      <c r="I11767" s="397"/>
      <c r="J11767" s="750" t="e">
        <f t="shared" si="155"/>
        <v>#DIV/0!</v>
      </c>
      <c r="K11767" s="398"/>
      <c r="L11767" s="404"/>
      <c r="M11767" s="682"/>
    </row>
    <row r="11768" spans="5:13" hidden="1" x14ac:dyDescent="0.2">
      <c r="F11768" s="503" t="s">
        <v>240</v>
      </c>
      <c r="G11768" s="504" t="s">
        <v>241</v>
      </c>
      <c r="H11768" s="397"/>
      <c r="I11768" s="397"/>
      <c r="J11768" s="750" t="e">
        <f t="shared" si="155"/>
        <v>#DIV/0!</v>
      </c>
      <c r="K11768" s="398"/>
      <c r="L11768" s="404"/>
      <c r="M11768" s="682"/>
    </row>
    <row r="11769" spans="5:13" hidden="1" x14ac:dyDescent="0.2">
      <c r="F11769" s="503" t="s">
        <v>242</v>
      </c>
      <c r="G11769" s="504" t="s">
        <v>243</v>
      </c>
      <c r="H11769" s="397"/>
      <c r="I11769" s="397"/>
      <c r="J11769" s="750" t="e">
        <f t="shared" si="155"/>
        <v>#DIV/0!</v>
      </c>
      <c r="K11769" s="398"/>
      <c r="L11769" s="404"/>
      <c r="M11769" s="682"/>
    </row>
    <row r="11770" spans="5:13" hidden="1" x14ac:dyDescent="0.2">
      <c r="F11770" s="503" t="s">
        <v>244</v>
      </c>
      <c r="G11770" s="504" t="s">
        <v>245</v>
      </c>
      <c r="H11770" s="397"/>
      <c r="I11770" s="397"/>
      <c r="J11770" s="750" t="e">
        <f t="shared" si="155"/>
        <v>#DIV/0!</v>
      </c>
      <c r="K11770" s="398"/>
      <c r="L11770" s="404"/>
      <c r="M11770" s="682"/>
    </row>
    <row r="11771" spans="5:13" hidden="1" x14ac:dyDescent="0.2">
      <c r="F11771" s="503" t="s">
        <v>246</v>
      </c>
      <c r="G11771" s="504" t="s">
        <v>247</v>
      </c>
      <c r="H11771" s="397"/>
      <c r="I11771" s="397"/>
      <c r="J11771" s="750" t="e">
        <f t="shared" si="155"/>
        <v>#DIV/0!</v>
      </c>
      <c r="K11771" s="398"/>
      <c r="L11771" s="404"/>
      <c r="M11771" s="682"/>
    </row>
    <row r="11772" spans="5:13" ht="25.5" hidden="1" x14ac:dyDescent="0.2">
      <c r="F11772" s="503" t="s">
        <v>248</v>
      </c>
      <c r="G11772" s="504" t="s">
        <v>249</v>
      </c>
      <c r="H11772" s="397"/>
      <c r="I11772" s="397"/>
      <c r="J11772" s="750" t="e">
        <f t="shared" si="155"/>
        <v>#DIV/0!</v>
      </c>
      <c r="K11772" s="398"/>
      <c r="L11772" s="404"/>
      <c r="M11772" s="682"/>
    </row>
    <row r="11773" spans="5:13" hidden="1" x14ac:dyDescent="0.2">
      <c r="F11773" s="503" t="s">
        <v>250</v>
      </c>
      <c r="G11773" s="504" t="s">
        <v>57</v>
      </c>
      <c r="H11773" s="397"/>
      <c r="I11773" s="397"/>
      <c r="J11773" s="750" t="e">
        <f t="shared" si="155"/>
        <v>#DIV/0!</v>
      </c>
      <c r="K11773" s="398"/>
      <c r="L11773" s="404"/>
      <c r="M11773" s="682"/>
    </row>
    <row r="11774" spans="5:13" hidden="1" x14ac:dyDescent="0.2">
      <c r="F11774" s="503" t="s">
        <v>251</v>
      </c>
      <c r="G11774" s="504" t="s">
        <v>252</v>
      </c>
      <c r="H11774" s="397"/>
      <c r="I11774" s="397"/>
      <c r="J11774" s="750" t="e">
        <f t="shared" si="155"/>
        <v>#DIV/0!</v>
      </c>
      <c r="K11774" s="398"/>
      <c r="L11774" s="404"/>
      <c r="M11774" s="682"/>
    </row>
    <row r="11775" spans="5:13" hidden="1" x14ac:dyDescent="0.2">
      <c r="F11775" s="503" t="s">
        <v>253</v>
      </c>
      <c r="G11775" s="504" t="s">
        <v>254</v>
      </c>
      <c r="H11775" s="397"/>
      <c r="I11775" s="397"/>
      <c r="J11775" s="750" t="e">
        <f t="shared" si="155"/>
        <v>#DIV/0!</v>
      </c>
      <c r="K11775" s="398"/>
      <c r="L11775" s="404"/>
      <c r="M11775" s="682"/>
    </row>
    <row r="11776" spans="5:13" ht="25.5" hidden="1" x14ac:dyDescent="0.2">
      <c r="F11776" s="503" t="s">
        <v>255</v>
      </c>
      <c r="G11776" s="504" t="s">
        <v>256</v>
      </c>
      <c r="H11776" s="397"/>
      <c r="I11776" s="397"/>
      <c r="J11776" s="750" t="e">
        <f t="shared" si="155"/>
        <v>#DIV/0!</v>
      </c>
      <c r="K11776" s="398"/>
      <c r="L11776" s="404"/>
      <c r="M11776" s="682"/>
    </row>
    <row r="11777" spans="5:13" ht="25.5" hidden="1" x14ac:dyDescent="0.2">
      <c r="F11777" s="503" t="s">
        <v>257</v>
      </c>
      <c r="G11777" s="504" t="s">
        <v>258</v>
      </c>
      <c r="H11777" s="397"/>
      <c r="I11777" s="397"/>
      <c r="J11777" s="750" t="e">
        <f t="shared" si="155"/>
        <v>#DIV/0!</v>
      </c>
      <c r="K11777" s="398"/>
      <c r="L11777" s="404"/>
      <c r="M11777" s="682"/>
    </row>
    <row r="11778" spans="5:13" ht="25.5" hidden="1" x14ac:dyDescent="0.2">
      <c r="F11778" s="503" t="s">
        <v>259</v>
      </c>
      <c r="G11778" s="504" t="s">
        <v>260</v>
      </c>
      <c r="H11778" s="397"/>
      <c r="I11778" s="397"/>
      <c r="J11778" s="750" t="e">
        <f t="shared" si="155"/>
        <v>#DIV/0!</v>
      </c>
      <c r="K11778" s="398"/>
      <c r="L11778" s="404"/>
      <c r="M11778" s="682"/>
    </row>
    <row r="11779" spans="5:13" ht="25.5" hidden="1" x14ac:dyDescent="0.2">
      <c r="F11779" s="503" t="s">
        <v>261</v>
      </c>
      <c r="G11779" s="504" t="s">
        <v>262</v>
      </c>
      <c r="H11779" s="397"/>
      <c r="I11779" s="397"/>
      <c r="J11779" s="750" t="e">
        <f t="shared" si="155"/>
        <v>#DIV/0!</v>
      </c>
      <c r="K11779" s="398"/>
      <c r="L11779" s="404"/>
      <c r="M11779" s="682"/>
    </row>
    <row r="11780" spans="5:13" hidden="1" x14ac:dyDescent="0.2">
      <c r="F11780" s="503" t="s">
        <v>263</v>
      </c>
      <c r="G11780" s="504" t="s">
        <v>264</v>
      </c>
      <c r="H11780" s="403"/>
      <c r="I11780" s="403"/>
      <c r="J11780" s="750" t="e">
        <f t="shared" si="155"/>
        <v>#DIV/0!</v>
      </c>
      <c r="K11780" s="404"/>
      <c r="L11780" s="404"/>
      <c r="M11780" s="682"/>
    </row>
    <row r="11781" spans="5:13" ht="13.5" hidden="1" thickBot="1" x14ac:dyDescent="0.25">
      <c r="G11781" s="505" t="s">
        <v>4436</v>
      </c>
      <c r="H11781" s="405">
        <f>SUM(H11765:H11780)</f>
        <v>0</v>
      </c>
      <c r="I11781" s="405"/>
      <c r="J11781" s="750" t="e">
        <f t="shared" si="155"/>
        <v>#DIV/0!</v>
      </c>
      <c r="K11781" s="406">
        <f>SUM(K11766:K11780)</f>
        <v>0</v>
      </c>
      <c r="L11781" s="406"/>
      <c r="M11781" s="682"/>
    </row>
    <row r="11782" spans="5:13" hidden="1" collapsed="1" x14ac:dyDescent="0.2">
      <c r="E11782" s="500"/>
      <c r="F11782" s="498"/>
      <c r="G11782" s="506" t="s">
        <v>4442</v>
      </c>
      <c r="H11782" s="407"/>
      <c r="I11782" s="408"/>
      <c r="J11782" s="750" t="e">
        <f t="shared" si="155"/>
        <v>#DIV/0!</v>
      </c>
      <c r="K11782" s="409"/>
      <c r="L11782" s="410"/>
      <c r="M11782" s="682"/>
    </row>
    <row r="11783" spans="5:13" hidden="1" x14ac:dyDescent="0.2">
      <c r="E11783" s="502"/>
      <c r="F11783" s="503" t="s">
        <v>234</v>
      </c>
      <c r="G11783" s="504" t="s">
        <v>235</v>
      </c>
      <c r="H11783" s="403">
        <f>SUM(H11704:H11763)</f>
        <v>0</v>
      </c>
      <c r="I11783" s="403"/>
      <c r="J11783" s="750" t="e">
        <f t="shared" si="155"/>
        <v>#DIV/0!</v>
      </c>
      <c r="K11783" s="404"/>
      <c r="L11783" s="404"/>
      <c r="M11783" s="682"/>
    </row>
    <row r="11784" spans="5:13" hidden="1" x14ac:dyDescent="0.2">
      <c r="F11784" s="503" t="s">
        <v>236</v>
      </c>
      <c r="G11784" s="504" t="s">
        <v>237</v>
      </c>
      <c r="H11784" s="397"/>
      <c r="I11784" s="397"/>
      <c r="J11784" s="750" t="e">
        <f t="shared" si="155"/>
        <v>#DIV/0!</v>
      </c>
      <c r="K11784" s="398"/>
      <c r="L11784" s="404"/>
      <c r="M11784" s="682"/>
    </row>
    <row r="11785" spans="5:13" hidden="1" x14ac:dyDescent="0.2">
      <c r="F11785" s="503" t="s">
        <v>238</v>
      </c>
      <c r="G11785" s="504" t="s">
        <v>239</v>
      </c>
      <c r="H11785" s="397"/>
      <c r="I11785" s="397"/>
      <c r="J11785" s="750" t="e">
        <f t="shared" si="155"/>
        <v>#DIV/0!</v>
      </c>
      <c r="K11785" s="398"/>
      <c r="L11785" s="404"/>
      <c r="M11785" s="682"/>
    </row>
    <row r="11786" spans="5:13" hidden="1" x14ac:dyDescent="0.2">
      <c r="F11786" s="503" t="s">
        <v>240</v>
      </c>
      <c r="G11786" s="504" t="s">
        <v>241</v>
      </c>
      <c r="H11786" s="397"/>
      <c r="I11786" s="397"/>
      <c r="J11786" s="750" t="e">
        <f t="shared" si="155"/>
        <v>#DIV/0!</v>
      </c>
      <c r="K11786" s="398"/>
      <c r="L11786" s="404"/>
      <c r="M11786" s="682"/>
    </row>
    <row r="11787" spans="5:13" hidden="1" x14ac:dyDescent="0.2">
      <c r="F11787" s="503" t="s">
        <v>242</v>
      </c>
      <c r="G11787" s="504" t="s">
        <v>243</v>
      </c>
      <c r="H11787" s="397"/>
      <c r="I11787" s="397"/>
      <c r="J11787" s="750" t="e">
        <f t="shared" si="155"/>
        <v>#DIV/0!</v>
      </c>
      <c r="K11787" s="398"/>
      <c r="L11787" s="404"/>
      <c r="M11787" s="682"/>
    </row>
    <row r="11788" spans="5:13" hidden="1" x14ac:dyDescent="0.2">
      <c r="F11788" s="503" t="s">
        <v>244</v>
      </c>
      <c r="G11788" s="504" t="s">
        <v>245</v>
      </c>
      <c r="H11788" s="397"/>
      <c r="I11788" s="397"/>
      <c r="J11788" s="750" t="e">
        <f t="shared" si="155"/>
        <v>#DIV/0!</v>
      </c>
      <c r="K11788" s="398"/>
      <c r="L11788" s="404"/>
      <c r="M11788" s="682"/>
    </row>
    <row r="11789" spans="5:13" hidden="1" x14ac:dyDescent="0.2">
      <c r="F11789" s="503" t="s">
        <v>246</v>
      </c>
      <c r="G11789" s="504" t="s">
        <v>247</v>
      </c>
      <c r="H11789" s="397"/>
      <c r="I11789" s="397"/>
      <c r="J11789" s="750" t="e">
        <f t="shared" si="155"/>
        <v>#DIV/0!</v>
      </c>
      <c r="K11789" s="398"/>
      <c r="L11789" s="404"/>
      <c r="M11789" s="682"/>
    </row>
    <row r="11790" spans="5:13" ht="25.5" hidden="1" x14ac:dyDescent="0.2">
      <c r="F11790" s="503" t="s">
        <v>248</v>
      </c>
      <c r="G11790" s="504" t="s">
        <v>249</v>
      </c>
      <c r="H11790" s="397"/>
      <c r="I11790" s="397"/>
      <c r="J11790" s="750" t="e">
        <f t="shared" ref="J11790:J11853" si="156">SUM(I11790/H11790)*100</f>
        <v>#DIV/0!</v>
      </c>
      <c r="K11790" s="398"/>
      <c r="L11790" s="404"/>
      <c r="M11790" s="682"/>
    </row>
    <row r="11791" spans="5:13" hidden="1" x14ac:dyDescent="0.2">
      <c r="F11791" s="503" t="s">
        <v>250</v>
      </c>
      <c r="G11791" s="504" t="s">
        <v>57</v>
      </c>
      <c r="H11791" s="397"/>
      <c r="I11791" s="397"/>
      <c r="J11791" s="750" t="e">
        <f t="shared" si="156"/>
        <v>#DIV/0!</v>
      </c>
      <c r="K11791" s="398"/>
      <c r="L11791" s="404"/>
      <c r="M11791" s="682"/>
    </row>
    <row r="11792" spans="5:13" hidden="1" x14ac:dyDescent="0.2">
      <c r="F11792" s="503" t="s">
        <v>251</v>
      </c>
      <c r="G11792" s="504" t="s">
        <v>252</v>
      </c>
      <c r="H11792" s="397"/>
      <c r="I11792" s="397"/>
      <c r="J11792" s="750" t="e">
        <f t="shared" si="156"/>
        <v>#DIV/0!</v>
      </c>
      <c r="K11792" s="398"/>
      <c r="L11792" s="404"/>
      <c r="M11792" s="682"/>
    </row>
    <row r="11793" spans="3:13" hidden="1" x14ac:dyDescent="0.2">
      <c r="F11793" s="503" t="s">
        <v>253</v>
      </c>
      <c r="G11793" s="504" t="s">
        <v>254</v>
      </c>
      <c r="H11793" s="397"/>
      <c r="I11793" s="397"/>
      <c r="J11793" s="750" t="e">
        <f t="shared" si="156"/>
        <v>#DIV/0!</v>
      </c>
      <c r="K11793" s="398"/>
      <c r="L11793" s="404"/>
      <c r="M11793" s="682"/>
    </row>
    <row r="11794" spans="3:13" ht="25.5" hidden="1" x14ac:dyDescent="0.2">
      <c r="F11794" s="503" t="s">
        <v>255</v>
      </c>
      <c r="G11794" s="504" t="s">
        <v>256</v>
      </c>
      <c r="H11794" s="397"/>
      <c r="I11794" s="397"/>
      <c r="J11794" s="750" t="e">
        <f t="shared" si="156"/>
        <v>#DIV/0!</v>
      </c>
      <c r="K11794" s="398"/>
      <c r="L11794" s="404"/>
      <c r="M11794" s="682"/>
    </row>
    <row r="11795" spans="3:13" ht="25.5" hidden="1" x14ac:dyDescent="0.2">
      <c r="F11795" s="503" t="s">
        <v>257</v>
      </c>
      <c r="G11795" s="504" t="s">
        <v>258</v>
      </c>
      <c r="H11795" s="397"/>
      <c r="I11795" s="397"/>
      <c r="J11795" s="750" t="e">
        <f t="shared" si="156"/>
        <v>#DIV/0!</v>
      </c>
      <c r="K11795" s="398"/>
      <c r="L11795" s="404"/>
      <c r="M11795" s="682"/>
    </row>
    <row r="11796" spans="3:13" ht="25.5" hidden="1" x14ac:dyDescent="0.2">
      <c r="F11796" s="503" t="s">
        <v>259</v>
      </c>
      <c r="G11796" s="504" t="s">
        <v>260</v>
      </c>
      <c r="H11796" s="397"/>
      <c r="I11796" s="397"/>
      <c r="J11796" s="750" t="e">
        <f t="shared" si="156"/>
        <v>#DIV/0!</v>
      </c>
      <c r="K11796" s="398"/>
      <c r="L11796" s="404"/>
      <c r="M11796" s="682"/>
    </row>
    <row r="11797" spans="3:13" ht="25.5" hidden="1" x14ac:dyDescent="0.2">
      <c r="F11797" s="503" t="s">
        <v>261</v>
      </c>
      <c r="G11797" s="504" t="s">
        <v>262</v>
      </c>
      <c r="H11797" s="397"/>
      <c r="I11797" s="397"/>
      <c r="J11797" s="750" t="e">
        <f t="shared" si="156"/>
        <v>#DIV/0!</v>
      </c>
      <c r="K11797" s="398"/>
      <c r="L11797" s="404"/>
      <c r="M11797" s="682"/>
    </row>
    <row r="11798" spans="3:13" hidden="1" x14ac:dyDescent="0.2">
      <c r="F11798" s="503" t="s">
        <v>263</v>
      </c>
      <c r="G11798" s="504" t="s">
        <v>264</v>
      </c>
      <c r="H11798" s="403"/>
      <c r="I11798" s="403"/>
      <c r="J11798" s="750" t="e">
        <f t="shared" si="156"/>
        <v>#DIV/0!</v>
      </c>
      <c r="K11798" s="404"/>
      <c r="L11798" s="404"/>
      <c r="M11798" s="682"/>
    </row>
    <row r="11799" spans="3:13" ht="13.5" hidden="1" thickBot="1" x14ac:dyDescent="0.25">
      <c r="G11799" s="505" t="s">
        <v>5014</v>
      </c>
      <c r="H11799" s="405">
        <f>SUM(H11783:H11798)</f>
        <v>0</v>
      </c>
      <c r="I11799" s="405"/>
      <c r="J11799" s="750" t="e">
        <f t="shared" si="156"/>
        <v>#DIV/0!</v>
      </c>
      <c r="K11799" s="406">
        <f>SUM(K11784:K11798)</f>
        <v>0</v>
      </c>
      <c r="L11799" s="406"/>
      <c r="M11799" s="682"/>
    </row>
    <row r="11800" spans="3:13" hidden="1" x14ac:dyDescent="0.2">
      <c r="H11800" s="397"/>
      <c r="I11800" s="397"/>
      <c r="J11800" s="750" t="e">
        <f t="shared" si="156"/>
        <v>#DIV/0!</v>
      </c>
      <c r="K11800" s="398"/>
      <c r="L11800" s="398"/>
      <c r="M11800" s="682"/>
    </row>
    <row r="11801" spans="3:13" hidden="1" x14ac:dyDescent="0.2">
      <c r="C11801" s="489" t="s">
        <v>4440</v>
      </c>
      <c r="D11801" s="490"/>
      <c r="G11801" s="508" t="s">
        <v>4232</v>
      </c>
      <c r="H11801" s="397"/>
      <c r="I11801" s="397"/>
      <c r="J11801" s="750" t="e">
        <f t="shared" si="156"/>
        <v>#DIV/0!</v>
      </c>
      <c r="K11801" s="398"/>
      <c r="L11801" s="398"/>
      <c r="M11801" s="682"/>
    </row>
    <row r="11802" spans="3:13" hidden="1" x14ac:dyDescent="0.2">
      <c r="C11802" s="489"/>
      <c r="D11802" s="492">
        <v>820</v>
      </c>
      <c r="E11802" s="492"/>
      <c r="F11802" s="492"/>
      <c r="G11802" s="493" t="s">
        <v>207</v>
      </c>
      <c r="H11802" s="397"/>
      <c r="I11802" s="397"/>
      <c r="J11802" s="750" t="e">
        <f t="shared" si="156"/>
        <v>#DIV/0!</v>
      </c>
      <c r="K11802" s="398"/>
      <c r="L11802" s="398"/>
      <c r="M11802" s="682"/>
    </row>
    <row r="11803" spans="3:13" hidden="1" x14ac:dyDescent="0.2">
      <c r="F11803" s="494">
        <v>411</v>
      </c>
      <c r="G11803" s="495" t="s">
        <v>4167</v>
      </c>
      <c r="H11803" s="397"/>
      <c r="I11803" s="397"/>
      <c r="J11803" s="750" t="e">
        <f t="shared" si="156"/>
        <v>#DIV/0!</v>
      </c>
      <c r="K11803" s="398"/>
      <c r="L11803" s="398"/>
      <c r="M11803" s="682"/>
    </row>
    <row r="11804" spans="3:13" hidden="1" x14ac:dyDescent="0.2">
      <c r="F11804" s="494">
        <v>412</v>
      </c>
      <c r="G11804" s="496" t="s">
        <v>3764</v>
      </c>
      <c r="H11804" s="397"/>
      <c r="I11804" s="397"/>
      <c r="J11804" s="750" t="e">
        <f t="shared" si="156"/>
        <v>#DIV/0!</v>
      </c>
      <c r="K11804" s="398"/>
      <c r="L11804" s="398"/>
      <c r="M11804" s="682"/>
    </row>
    <row r="11805" spans="3:13" hidden="1" x14ac:dyDescent="0.2">
      <c r="F11805" s="494">
        <v>413</v>
      </c>
      <c r="G11805" s="495" t="s">
        <v>4168</v>
      </c>
      <c r="H11805" s="397"/>
      <c r="I11805" s="397"/>
      <c r="J11805" s="750" t="e">
        <f t="shared" si="156"/>
        <v>#DIV/0!</v>
      </c>
      <c r="K11805" s="398"/>
      <c r="L11805" s="398"/>
      <c r="M11805" s="682"/>
    </row>
    <row r="11806" spans="3:13" hidden="1" x14ac:dyDescent="0.2">
      <c r="F11806" s="494">
        <v>414</v>
      </c>
      <c r="G11806" s="495" t="s">
        <v>3767</v>
      </c>
      <c r="H11806" s="397"/>
      <c r="I11806" s="397"/>
      <c r="J11806" s="750" t="e">
        <f t="shared" si="156"/>
        <v>#DIV/0!</v>
      </c>
      <c r="K11806" s="398"/>
      <c r="L11806" s="398"/>
      <c r="M11806" s="682"/>
    </row>
    <row r="11807" spans="3:13" hidden="1" x14ac:dyDescent="0.2">
      <c r="F11807" s="494">
        <v>415</v>
      </c>
      <c r="G11807" s="495" t="s">
        <v>4177</v>
      </c>
      <c r="H11807" s="397"/>
      <c r="I11807" s="397"/>
      <c r="J11807" s="750" t="e">
        <f t="shared" si="156"/>
        <v>#DIV/0!</v>
      </c>
      <c r="K11807" s="398"/>
      <c r="L11807" s="398"/>
      <c r="M11807" s="682"/>
    </row>
    <row r="11808" spans="3:13" ht="25.5" hidden="1" x14ac:dyDescent="0.2">
      <c r="F11808" s="494">
        <v>416</v>
      </c>
      <c r="G11808" s="495" t="s">
        <v>4178</v>
      </c>
      <c r="H11808" s="397"/>
      <c r="I11808" s="397"/>
      <c r="J11808" s="750" t="e">
        <f t="shared" si="156"/>
        <v>#DIV/0!</v>
      </c>
      <c r="K11808" s="398"/>
      <c r="L11808" s="398"/>
      <c r="M11808" s="682"/>
    </row>
    <row r="11809" spans="6:13" hidden="1" x14ac:dyDescent="0.2">
      <c r="F11809" s="494">
        <v>417</v>
      </c>
      <c r="G11809" s="495" t="s">
        <v>4179</v>
      </c>
      <c r="H11809" s="397"/>
      <c r="I11809" s="397"/>
      <c r="J11809" s="750" t="e">
        <f t="shared" si="156"/>
        <v>#DIV/0!</v>
      </c>
      <c r="K11809" s="398"/>
      <c r="L11809" s="398"/>
      <c r="M11809" s="682"/>
    </row>
    <row r="11810" spans="6:13" hidden="1" x14ac:dyDescent="0.2">
      <c r="F11810" s="494">
        <v>418</v>
      </c>
      <c r="G11810" s="495" t="s">
        <v>3773</v>
      </c>
      <c r="H11810" s="397"/>
      <c r="I11810" s="397"/>
      <c r="J11810" s="750" t="e">
        <f t="shared" si="156"/>
        <v>#DIV/0!</v>
      </c>
      <c r="K11810" s="398"/>
      <c r="L11810" s="398"/>
      <c r="M11810" s="682"/>
    </row>
    <row r="11811" spans="6:13" hidden="1" x14ac:dyDescent="0.2">
      <c r="F11811" s="494">
        <v>421</v>
      </c>
      <c r="G11811" s="495" t="s">
        <v>3777</v>
      </c>
      <c r="H11811" s="397"/>
      <c r="I11811" s="397"/>
      <c r="J11811" s="750" t="e">
        <f t="shared" si="156"/>
        <v>#DIV/0!</v>
      </c>
      <c r="K11811" s="398"/>
      <c r="L11811" s="398"/>
      <c r="M11811" s="682"/>
    </row>
    <row r="11812" spans="6:13" hidden="1" x14ac:dyDescent="0.2">
      <c r="F11812" s="494">
        <v>422</v>
      </c>
      <c r="G11812" s="495" t="s">
        <v>3778</v>
      </c>
      <c r="H11812" s="397"/>
      <c r="I11812" s="397"/>
      <c r="J11812" s="750" t="e">
        <f t="shared" si="156"/>
        <v>#DIV/0!</v>
      </c>
      <c r="K11812" s="398"/>
      <c r="L11812" s="398"/>
      <c r="M11812" s="682"/>
    </row>
    <row r="11813" spans="6:13" hidden="1" x14ac:dyDescent="0.2">
      <c r="F11813" s="494">
        <v>423</v>
      </c>
      <c r="G11813" s="495" t="s">
        <v>3779</v>
      </c>
      <c r="H11813" s="397"/>
      <c r="I11813" s="397"/>
      <c r="J11813" s="750" t="e">
        <f t="shared" si="156"/>
        <v>#DIV/0!</v>
      </c>
      <c r="K11813" s="398"/>
      <c r="L11813" s="398"/>
      <c r="M11813" s="682"/>
    </row>
    <row r="11814" spans="6:13" hidden="1" x14ac:dyDescent="0.2">
      <c r="F11814" s="494">
        <v>424</v>
      </c>
      <c r="G11814" s="495" t="s">
        <v>3781</v>
      </c>
      <c r="H11814" s="397"/>
      <c r="I11814" s="397"/>
      <c r="J11814" s="750" t="e">
        <f t="shared" si="156"/>
        <v>#DIV/0!</v>
      </c>
      <c r="K11814" s="398"/>
      <c r="L11814" s="398"/>
      <c r="M11814" s="682"/>
    </row>
    <row r="11815" spans="6:13" hidden="1" x14ac:dyDescent="0.2">
      <c r="F11815" s="494">
        <v>425</v>
      </c>
      <c r="G11815" s="495" t="s">
        <v>4180</v>
      </c>
      <c r="H11815" s="397"/>
      <c r="I11815" s="397"/>
      <c r="J11815" s="750" t="e">
        <f t="shared" si="156"/>
        <v>#DIV/0!</v>
      </c>
      <c r="K11815" s="398"/>
      <c r="L11815" s="398"/>
      <c r="M11815" s="682"/>
    </row>
    <row r="11816" spans="6:13" hidden="1" x14ac:dyDescent="0.2">
      <c r="F11816" s="494">
        <v>426</v>
      </c>
      <c r="G11816" s="495" t="s">
        <v>3785</v>
      </c>
      <c r="H11816" s="397"/>
      <c r="I11816" s="397"/>
      <c r="J11816" s="750" t="e">
        <f t="shared" si="156"/>
        <v>#DIV/0!</v>
      </c>
      <c r="K11816" s="398"/>
      <c r="L11816" s="398"/>
      <c r="M11816" s="682"/>
    </row>
    <row r="11817" spans="6:13" hidden="1" x14ac:dyDescent="0.2">
      <c r="F11817" s="494">
        <v>431</v>
      </c>
      <c r="G11817" s="495" t="s">
        <v>4181</v>
      </c>
      <c r="H11817" s="397"/>
      <c r="I11817" s="397"/>
      <c r="J11817" s="750" t="e">
        <f t="shared" si="156"/>
        <v>#DIV/0!</v>
      </c>
      <c r="K11817" s="398"/>
      <c r="L11817" s="398"/>
      <c r="M11817" s="682"/>
    </row>
    <row r="11818" spans="6:13" hidden="1" x14ac:dyDescent="0.2">
      <c r="F11818" s="494">
        <v>432</v>
      </c>
      <c r="G11818" s="495" t="s">
        <v>4182</v>
      </c>
      <c r="H11818" s="397"/>
      <c r="I11818" s="397"/>
      <c r="J11818" s="750" t="e">
        <f t="shared" si="156"/>
        <v>#DIV/0!</v>
      </c>
      <c r="K11818" s="398"/>
      <c r="L11818" s="398"/>
      <c r="M11818" s="682"/>
    </row>
    <row r="11819" spans="6:13" hidden="1" x14ac:dyDescent="0.2">
      <c r="F11819" s="494">
        <v>433</v>
      </c>
      <c r="G11819" s="495" t="s">
        <v>4183</v>
      </c>
      <c r="H11819" s="397"/>
      <c r="I11819" s="397"/>
      <c r="J11819" s="750" t="e">
        <f t="shared" si="156"/>
        <v>#DIV/0!</v>
      </c>
      <c r="K11819" s="398"/>
      <c r="L11819" s="398"/>
      <c r="M11819" s="682"/>
    </row>
    <row r="11820" spans="6:13" hidden="1" x14ac:dyDescent="0.2">
      <c r="F11820" s="494">
        <v>434</v>
      </c>
      <c r="G11820" s="495" t="s">
        <v>4184</v>
      </c>
      <c r="H11820" s="397"/>
      <c r="I11820" s="397"/>
      <c r="J11820" s="750" t="e">
        <f t="shared" si="156"/>
        <v>#DIV/0!</v>
      </c>
      <c r="K11820" s="398"/>
      <c r="L11820" s="398"/>
      <c r="M11820" s="682"/>
    </row>
    <row r="11821" spans="6:13" hidden="1" x14ac:dyDescent="0.2">
      <c r="F11821" s="494">
        <v>435</v>
      </c>
      <c r="G11821" s="495" t="s">
        <v>3792</v>
      </c>
      <c r="H11821" s="397"/>
      <c r="I11821" s="397"/>
      <c r="J11821" s="750" t="e">
        <f t="shared" si="156"/>
        <v>#DIV/0!</v>
      </c>
      <c r="K11821" s="398"/>
      <c r="L11821" s="398"/>
      <c r="M11821" s="682"/>
    </row>
    <row r="11822" spans="6:13" hidden="1" x14ac:dyDescent="0.2">
      <c r="F11822" s="494">
        <v>441</v>
      </c>
      <c r="G11822" s="495" t="s">
        <v>4185</v>
      </c>
      <c r="H11822" s="397"/>
      <c r="I11822" s="397"/>
      <c r="J11822" s="750" t="e">
        <f t="shared" si="156"/>
        <v>#DIV/0!</v>
      </c>
      <c r="K11822" s="398"/>
      <c r="L11822" s="398"/>
      <c r="M11822" s="682"/>
    </row>
    <row r="11823" spans="6:13" hidden="1" x14ac:dyDescent="0.2">
      <c r="F11823" s="494">
        <v>442</v>
      </c>
      <c r="G11823" s="495" t="s">
        <v>4186</v>
      </c>
      <c r="H11823" s="397"/>
      <c r="I11823" s="397"/>
      <c r="J11823" s="750" t="e">
        <f t="shared" si="156"/>
        <v>#DIV/0!</v>
      </c>
      <c r="K11823" s="398"/>
      <c r="L11823" s="398"/>
      <c r="M11823" s="682"/>
    </row>
    <row r="11824" spans="6:13" hidden="1" x14ac:dyDescent="0.2">
      <c r="F11824" s="494">
        <v>443</v>
      </c>
      <c r="G11824" s="495" t="s">
        <v>3797</v>
      </c>
      <c r="H11824" s="397"/>
      <c r="I11824" s="397"/>
      <c r="J11824" s="750" t="e">
        <f t="shared" si="156"/>
        <v>#DIV/0!</v>
      </c>
      <c r="K11824" s="398"/>
      <c r="L11824" s="398"/>
      <c r="M11824" s="682"/>
    </row>
    <row r="11825" spans="6:13" hidden="1" x14ac:dyDescent="0.2">
      <c r="F11825" s="494">
        <v>444</v>
      </c>
      <c r="G11825" s="495" t="s">
        <v>3798</v>
      </c>
      <c r="H11825" s="397"/>
      <c r="I11825" s="397"/>
      <c r="J11825" s="750" t="e">
        <f t="shared" si="156"/>
        <v>#DIV/0!</v>
      </c>
      <c r="K11825" s="398"/>
      <c r="L11825" s="398"/>
      <c r="M11825" s="682"/>
    </row>
    <row r="11826" spans="6:13" ht="25.5" hidden="1" x14ac:dyDescent="0.2">
      <c r="F11826" s="494">
        <v>4511</v>
      </c>
      <c r="G11826" s="466" t="s">
        <v>1692</v>
      </c>
      <c r="H11826" s="397"/>
      <c r="I11826" s="397"/>
      <c r="J11826" s="750" t="e">
        <f t="shared" si="156"/>
        <v>#DIV/0!</v>
      </c>
      <c r="K11826" s="398"/>
      <c r="L11826" s="398"/>
      <c r="M11826" s="682"/>
    </row>
    <row r="11827" spans="6:13" ht="25.5" hidden="1" x14ac:dyDescent="0.2">
      <c r="F11827" s="494">
        <v>4512</v>
      </c>
      <c r="G11827" s="466" t="s">
        <v>1701</v>
      </c>
      <c r="H11827" s="397"/>
      <c r="I11827" s="397"/>
      <c r="J11827" s="750" t="e">
        <f t="shared" si="156"/>
        <v>#DIV/0!</v>
      </c>
      <c r="K11827" s="398"/>
      <c r="L11827" s="398"/>
      <c r="M11827" s="682"/>
    </row>
    <row r="11828" spans="6:13" ht="25.5" hidden="1" x14ac:dyDescent="0.2">
      <c r="F11828" s="494">
        <v>452</v>
      </c>
      <c r="G11828" s="495" t="s">
        <v>4187</v>
      </c>
      <c r="H11828" s="397"/>
      <c r="I11828" s="397"/>
      <c r="J11828" s="750" t="e">
        <f t="shared" si="156"/>
        <v>#DIV/0!</v>
      </c>
      <c r="K11828" s="398"/>
      <c r="L11828" s="398"/>
      <c r="M11828" s="682"/>
    </row>
    <row r="11829" spans="6:13" ht="25.5" hidden="1" x14ac:dyDescent="0.2">
      <c r="F11829" s="494">
        <v>453</v>
      </c>
      <c r="G11829" s="495" t="s">
        <v>4188</v>
      </c>
      <c r="H11829" s="397"/>
      <c r="I11829" s="397"/>
      <c r="J11829" s="750" t="e">
        <f t="shared" si="156"/>
        <v>#DIV/0!</v>
      </c>
      <c r="K11829" s="398"/>
      <c r="L11829" s="398"/>
      <c r="M11829" s="682"/>
    </row>
    <row r="11830" spans="6:13" hidden="1" x14ac:dyDescent="0.2">
      <c r="F11830" s="494">
        <v>454</v>
      </c>
      <c r="G11830" s="495" t="s">
        <v>3803</v>
      </c>
      <c r="H11830" s="397"/>
      <c r="I11830" s="397"/>
      <c r="J11830" s="750" t="e">
        <f t="shared" si="156"/>
        <v>#DIV/0!</v>
      </c>
      <c r="K11830" s="398"/>
      <c r="L11830" s="398"/>
      <c r="M11830" s="682"/>
    </row>
    <row r="11831" spans="6:13" hidden="1" x14ac:dyDescent="0.2">
      <c r="F11831" s="494">
        <v>461</v>
      </c>
      <c r="G11831" s="495" t="s">
        <v>4169</v>
      </c>
      <c r="H11831" s="397"/>
      <c r="I11831" s="397"/>
      <c r="J11831" s="750" t="e">
        <f t="shared" si="156"/>
        <v>#DIV/0!</v>
      </c>
      <c r="K11831" s="398"/>
      <c r="L11831" s="398"/>
      <c r="M11831" s="682"/>
    </row>
    <row r="11832" spans="6:13" ht="25.5" hidden="1" x14ac:dyDescent="0.2">
      <c r="F11832" s="494">
        <v>462</v>
      </c>
      <c r="G11832" s="495" t="s">
        <v>3806</v>
      </c>
      <c r="H11832" s="397"/>
      <c r="I11832" s="397"/>
      <c r="J11832" s="750" t="e">
        <f t="shared" si="156"/>
        <v>#DIV/0!</v>
      </c>
      <c r="K11832" s="398"/>
      <c r="L11832" s="398"/>
      <c r="M11832" s="682"/>
    </row>
    <row r="11833" spans="6:13" hidden="1" x14ac:dyDescent="0.2">
      <c r="F11833" s="494">
        <v>4631</v>
      </c>
      <c r="G11833" s="495" t="s">
        <v>3807</v>
      </c>
      <c r="H11833" s="397"/>
      <c r="I11833" s="397"/>
      <c r="J11833" s="750" t="e">
        <f t="shared" si="156"/>
        <v>#DIV/0!</v>
      </c>
      <c r="K11833" s="398"/>
      <c r="L11833" s="398"/>
      <c r="M11833" s="682"/>
    </row>
    <row r="11834" spans="6:13" hidden="1" x14ac:dyDescent="0.2">
      <c r="F11834" s="494">
        <v>4632</v>
      </c>
      <c r="G11834" s="495" t="s">
        <v>3808</v>
      </c>
      <c r="H11834" s="397"/>
      <c r="I11834" s="397"/>
      <c r="J11834" s="750" t="e">
        <f t="shared" si="156"/>
        <v>#DIV/0!</v>
      </c>
      <c r="K11834" s="398"/>
      <c r="L11834" s="398"/>
      <c r="M11834" s="682"/>
    </row>
    <row r="11835" spans="6:13" ht="25.5" hidden="1" x14ac:dyDescent="0.2">
      <c r="F11835" s="494">
        <v>464</v>
      </c>
      <c r="G11835" s="495" t="s">
        <v>3809</v>
      </c>
      <c r="H11835" s="397"/>
      <c r="I11835" s="397"/>
      <c r="J11835" s="750" t="e">
        <f t="shared" si="156"/>
        <v>#DIV/0!</v>
      </c>
      <c r="K11835" s="398"/>
      <c r="L11835" s="398"/>
      <c r="M11835" s="682"/>
    </row>
    <row r="11836" spans="6:13" hidden="1" x14ac:dyDescent="0.2">
      <c r="F11836" s="494">
        <v>465</v>
      </c>
      <c r="G11836" s="495" t="s">
        <v>4170</v>
      </c>
      <c r="H11836" s="397"/>
      <c r="I11836" s="397"/>
      <c r="J11836" s="750" t="e">
        <f t="shared" si="156"/>
        <v>#DIV/0!</v>
      </c>
      <c r="K11836" s="398"/>
      <c r="L11836" s="398"/>
      <c r="M11836" s="682"/>
    </row>
    <row r="11837" spans="6:13" hidden="1" x14ac:dyDescent="0.2">
      <c r="F11837" s="494">
        <v>472</v>
      </c>
      <c r="G11837" s="495" t="s">
        <v>3813</v>
      </c>
      <c r="H11837" s="397"/>
      <c r="I11837" s="397"/>
      <c r="J11837" s="750" t="e">
        <f t="shared" si="156"/>
        <v>#DIV/0!</v>
      </c>
      <c r="K11837" s="398"/>
      <c r="L11837" s="398"/>
      <c r="M11837" s="682"/>
    </row>
    <row r="11838" spans="6:13" hidden="1" x14ac:dyDescent="0.2">
      <c r="F11838" s="494">
        <v>481</v>
      </c>
      <c r="G11838" s="495" t="s">
        <v>4189</v>
      </c>
      <c r="H11838" s="397"/>
      <c r="I11838" s="397"/>
      <c r="J11838" s="750" t="e">
        <f t="shared" si="156"/>
        <v>#DIV/0!</v>
      </c>
      <c r="K11838" s="398"/>
      <c r="L11838" s="398"/>
      <c r="M11838" s="682"/>
    </row>
    <row r="11839" spans="6:13" hidden="1" x14ac:dyDescent="0.2">
      <c r="F11839" s="494">
        <v>482</v>
      </c>
      <c r="G11839" s="495" t="s">
        <v>4190</v>
      </c>
      <c r="H11839" s="397"/>
      <c r="I11839" s="397"/>
      <c r="J11839" s="750" t="e">
        <f t="shared" si="156"/>
        <v>#DIV/0!</v>
      </c>
      <c r="K11839" s="398"/>
      <c r="L11839" s="398"/>
      <c r="M11839" s="682"/>
    </row>
    <row r="11840" spans="6:13" hidden="1" x14ac:dyDescent="0.2">
      <c r="F11840" s="494">
        <v>483</v>
      </c>
      <c r="G11840" s="497" t="s">
        <v>4191</v>
      </c>
      <c r="H11840" s="397"/>
      <c r="I11840" s="397"/>
      <c r="J11840" s="750" t="e">
        <f t="shared" si="156"/>
        <v>#DIV/0!</v>
      </c>
      <c r="K11840" s="398"/>
      <c r="L11840" s="398"/>
      <c r="M11840" s="682"/>
    </row>
    <row r="11841" spans="6:13" ht="38.25" hidden="1" x14ac:dyDescent="0.2">
      <c r="F11841" s="494">
        <v>484</v>
      </c>
      <c r="G11841" s="495" t="s">
        <v>4192</v>
      </c>
      <c r="H11841" s="397"/>
      <c r="I11841" s="397"/>
      <c r="J11841" s="750" t="e">
        <f t="shared" si="156"/>
        <v>#DIV/0!</v>
      </c>
      <c r="K11841" s="398"/>
      <c r="L11841" s="398"/>
      <c r="M11841" s="682"/>
    </row>
    <row r="11842" spans="6:13" ht="25.5" hidden="1" x14ac:dyDescent="0.2">
      <c r="F11842" s="494">
        <v>485</v>
      </c>
      <c r="G11842" s="495" t="s">
        <v>4193</v>
      </c>
      <c r="H11842" s="397"/>
      <c r="I11842" s="397"/>
      <c r="J11842" s="750" t="e">
        <f t="shared" si="156"/>
        <v>#DIV/0!</v>
      </c>
      <c r="K11842" s="398"/>
      <c r="L11842" s="398"/>
      <c r="M11842" s="682"/>
    </row>
    <row r="11843" spans="6:13" ht="25.5" hidden="1" x14ac:dyDescent="0.2">
      <c r="F11843" s="494">
        <v>489</v>
      </c>
      <c r="G11843" s="495" t="s">
        <v>3821</v>
      </c>
      <c r="H11843" s="397"/>
      <c r="I11843" s="397"/>
      <c r="J11843" s="750" t="e">
        <f t="shared" si="156"/>
        <v>#DIV/0!</v>
      </c>
      <c r="K11843" s="398"/>
      <c r="L11843" s="398"/>
      <c r="M11843" s="682"/>
    </row>
    <row r="11844" spans="6:13" ht="25.5" hidden="1" x14ac:dyDescent="0.2">
      <c r="F11844" s="494">
        <v>494</v>
      </c>
      <c r="G11844" s="495" t="s">
        <v>4171</v>
      </c>
      <c r="H11844" s="397"/>
      <c r="I11844" s="397"/>
      <c r="J11844" s="750" t="e">
        <f t="shared" si="156"/>
        <v>#DIV/0!</v>
      </c>
      <c r="K11844" s="398"/>
      <c r="L11844" s="398"/>
      <c r="M11844" s="682"/>
    </row>
    <row r="11845" spans="6:13" ht="25.5" hidden="1" x14ac:dyDescent="0.2">
      <c r="F11845" s="494">
        <v>495</v>
      </c>
      <c r="G11845" s="495" t="s">
        <v>4172</v>
      </c>
      <c r="H11845" s="397"/>
      <c r="I11845" s="397"/>
      <c r="J11845" s="750" t="e">
        <f t="shared" si="156"/>
        <v>#DIV/0!</v>
      </c>
      <c r="K11845" s="398"/>
      <c r="L11845" s="398"/>
      <c r="M11845" s="682"/>
    </row>
    <row r="11846" spans="6:13" ht="38.25" hidden="1" x14ac:dyDescent="0.2">
      <c r="F11846" s="494">
        <v>496</v>
      </c>
      <c r="G11846" s="495" t="s">
        <v>4173</v>
      </c>
      <c r="H11846" s="397"/>
      <c r="I11846" s="397"/>
      <c r="J11846" s="750" t="e">
        <f t="shared" si="156"/>
        <v>#DIV/0!</v>
      </c>
      <c r="K11846" s="398"/>
      <c r="L11846" s="398"/>
      <c r="M11846" s="682"/>
    </row>
    <row r="11847" spans="6:13" ht="25.5" hidden="1" x14ac:dyDescent="0.2">
      <c r="F11847" s="494">
        <v>499</v>
      </c>
      <c r="G11847" s="495" t="s">
        <v>4174</v>
      </c>
      <c r="H11847" s="397"/>
      <c r="I11847" s="397"/>
      <c r="J11847" s="750" t="e">
        <f t="shared" si="156"/>
        <v>#DIV/0!</v>
      </c>
      <c r="K11847" s="398"/>
      <c r="L11847" s="398"/>
      <c r="M11847" s="682"/>
    </row>
    <row r="11848" spans="6:13" hidden="1" x14ac:dyDescent="0.2">
      <c r="F11848" s="494">
        <v>511</v>
      </c>
      <c r="G11848" s="497" t="s">
        <v>4194</v>
      </c>
      <c r="H11848" s="397"/>
      <c r="I11848" s="397"/>
      <c r="J11848" s="750" t="e">
        <f t="shared" si="156"/>
        <v>#DIV/0!</v>
      </c>
      <c r="K11848" s="398"/>
      <c r="L11848" s="398"/>
      <c r="M11848" s="682"/>
    </row>
    <row r="11849" spans="6:13" hidden="1" x14ac:dyDescent="0.2">
      <c r="F11849" s="494">
        <v>512</v>
      </c>
      <c r="G11849" s="497" t="s">
        <v>4195</v>
      </c>
      <c r="H11849" s="397"/>
      <c r="I11849" s="397"/>
      <c r="J11849" s="750" t="e">
        <f t="shared" si="156"/>
        <v>#DIV/0!</v>
      </c>
      <c r="K11849" s="398"/>
      <c r="L11849" s="398"/>
      <c r="M11849" s="682"/>
    </row>
    <row r="11850" spans="6:13" hidden="1" x14ac:dyDescent="0.2">
      <c r="F11850" s="494">
        <v>513</v>
      </c>
      <c r="G11850" s="497" t="s">
        <v>4196</v>
      </c>
      <c r="H11850" s="397"/>
      <c r="I11850" s="397"/>
      <c r="J11850" s="750" t="e">
        <f t="shared" si="156"/>
        <v>#DIV/0!</v>
      </c>
      <c r="K11850" s="398"/>
      <c r="L11850" s="398"/>
      <c r="M11850" s="682"/>
    </row>
    <row r="11851" spans="6:13" hidden="1" x14ac:dyDescent="0.2">
      <c r="F11851" s="494">
        <v>514</v>
      </c>
      <c r="G11851" s="495" t="s">
        <v>4197</v>
      </c>
      <c r="H11851" s="397"/>
      <c r="I11851" s="397"/>
      <c r="J11851" s="750" t="e">
        <f t="shared" si="156"/>
        <v>#DIV/0!</v>
      </c>
      <c r="K11851" s="398"/>
      <c r="L11851" s="398"/>
      <c r="M11851" s="682"/>
    </row>
    <row r="11852" spans="6:13" hidden="1" x14ac:dyDescent="0.2">
      <c r="F11852" s="494">
        <v>515</v>
      </c>
      <c r="G11852" s="495" t="s">
        <v>3832</v>
      </c>
      <c r="H11852" s="397"/>
      <c r="I11852" s="397"/>
      <c r="J11852" s="750" t="e">
        <f t="shared" si="156"/>
        <v>#DIV/0!</v>
      </c>
      <c r="K11852" s="398"/>
      <c r="L11852" s="398"/>
      <c r="M11852" s="682"/>
    </row>
    <row r="11853" spans="6:13" hidden="1" x14ac:dyDescent="0.2">
      <c r="F11853" s="494">
        <v>521</v>
      </c>
      <c r="G11853" s="495" t="s">
        <v>4198</v>
      </c>
      <c r="H11853" s="397"/>
      <c r="I11853" s="397"/>
      <c r="J11853" s="750" t="e">
        <f t="shared" si="156"/>
        <v>#DIV/0!</v>
      </c>
      <c r="K11853" s="398"/>
      <c r="L11853" s="398"/>
      <c r="M11853" s="682"/>
    </row>
    <row r="11854" spans="6:13" hidden="1" x14ac:dyDescent="0.2">
      <c r="F11854" s="494">
        <v>522</v>
      </c>
      <c r="G11854" s="495" t="s">
        <v>4199</v>
      </c>
      <c r="H11854" s="397"/>
      <c r="I11854" s="397"/>
      <c r="J11854" s="750" t="e">
        <f t="shared" ref="J11854:J11917" si="157">SUM(I11854/H11854)*100</f>
        <v>#DIV/0!</v>
      </c>
      <c r="K11854" s="398"/>
      <c r="L11854" s="398"/>
      <c r="M11854" s="682"/>
    </row>
    <row r="11855" spans="6:13" hidden="1" x14ac:dyDescent="0.2">
      <c r="F11855" s="494">
        <v>523</v>
      </c>
      <c r="G11855" s="495" t="s">
        <v>3837</v>
      </c>
      <c r="H11855" s="397"/>
      <c r="I11855" s="397"/>
      <c r="J11855" s="750" t="e">
        <f t="shared" si="157"/>
        <v>#DIV/0!</v>
      </c>
      <c r="K11855" s="398"/>
      <c r="L11855" s="398"/>
      <c r="M11855" s="682"/>
    </row>
    <row r="11856" spans="6:13" hidden="1" x14ac:dyDescent="0.2">
      <c r="F11856" s="494">
        <v>531</v>
      </c>
      <c r="G11856" s="496" t="s">
        <v>4175</v>
      </c>
      <c r="H11856" s="397"/>
      <c r="I11856" s="397"/>
      <c r="J11856" s="750" t="e">
        <f t="shared" si="157"/>
        <v>#DIV/0!</v>
      </c>
      <c r="K11856" s="398"/>
      <c r="L11856" s="398"/>
      <c r="M11856" s="682"/>
    </row>
    <row r="11857" spans="5:13" hidden="1" x14ac:dyDescent="0.2">
      <c r="F11857" s="494">
        <v>541</v>
      </c>
      <c r="G11857" s="495" t="s">
        <v>4200</v>
      </c>
      <c r="H11857" s="397"/>
      <c r="I11857" s="397"/>
      <c r="J11857" s="750" t="e">
        <f t="shared" si="157"/>
        <v>#DIV/0!</v>
      </c>
      <c r="K11857" s="398"/>
      <c r="L11857" s="398"/>
      <c r="M11857" s="682"/>
    </row>
    <row r="11858" spans="5:13" hidden="1" x14ac:dyDescent="0.2">
      <c r="F11858" s="494">
        <v>542</v>
      </c>
      <c r="G11858" s="495" t="s">
        <v>4201</v>
      </c>
      <c r="H11858" s="397"/>
      <c r="I11858" s="397"/>
      <c r="J11858" s="750" t="e">
        <f t="shared" si="157"/>
        <v>#DIV/0!</v>
      </c>
      <c r="K11858" s="398"/>
      <c r="L11858" s="398"/>
      <c r="M11858" s="682"/>
    </row>
    <row r="11859" spans="5:13" hidden="1" x14ac:dyDescent="0.2">
      <c r="F11859" s="494">
        <v>543</v>
      </c>
      <c r="G11859" s="495" t="s">
        <v>3842</v>
      </c>
      <c r="H11859" s="397"/>
      <c r="I11859" s="397"/>
      <c r="J11859" s="750" t="e">
        <f t="shared" si="157"/>
        <v>#DIV/0!</v>
      </c>
      <c r="K11859" s="398"/>
      <c r="L11859" s="398"/>
      <c r="M11859" s="682"/>
    </row>
    <row r="11860" spans="5:13" ht="38.25" hidden="1" x14ac:dyDescent="0.2">
      <c r="F11860" s="494">
        <v>551</v>
      </c>
      <c r="G11860" s="495" t="s">
        <v>4176</v>
      </c>
      <c r="H11860" s="397"/>
      <c r="I11860" s="397"/>
      <c r="J11860" s="750" t="e">
        <f t="shared" si="157"/>
        <v>#DIV/0!</v>
      </c>
      <c r="K11860" s="398"/>
      <c r="L11860" s="398"/>
      <c r="M11860" s="682"/>
    </row>
    <row r="11861" spans="5:13" hidden="1" x14ac:dyDescent="0.2">
      <c r="F11861" s="498">
        <v>611</v>
      </c>
      <c r="G11861" s="499" t="s">
        <v>3848</v>
      </c>
      <c r="H11861" s="403"/>
      <c r="I11861" s="403"/>
      <c r="J11861" s="750" t="e">
        <f t="shared" si="157"/>
        <v>#DIV/0!</v>
      </c>
      <c r="K11861" s="398"/>
      <c r="L11861" s="398"/>
      <c r="M11861" s="682"/>
    </row>
    <row r="11862" spans="5:13" hidden="1" x14ac:dyDescent="0.2">
      <c r="F11862" s="498">
        <v>620</v>
      </c>
      <c r="G11862" s="499" t="s">
        <v>88</v>
      </c>
      <c r="H11862" s="403"/>
      <c r="I11862" s="403"/>
      <c r="J11862" s="750" t="e">
        <f t="shared" si="157"/>
        <v>#DIV/0!</v>
      </c>
      <c r="K11862" s="398"/>
      <c r="L11862" s="398"/>
      <c r="M11862" s="682"/>
    </row>
    <row r="11863" spans="5:13" hidden="1" x14ac:dyDescent="0.2">
      <c r="E11863" s="500"/>
      <c r="F11863" s="498"/>
      <c r="G11863" s="509" t="s">
        <v>4435</v>
      </c>
      <c r="H11863" s="400"/>
      <c r="I11863" s="400"/>
      <c r="J11863" s="750" t="e">
        <f t="shared" si="157"/>
        <v>#DIV/0!</v>
      </c>
      <c r="K11863" s="401"/>
      <c r="L11863" s="402"/>
      <c r="M11863" s="682"/>
    </row>
    <row r="11864" spans="5:13" hidden="1" x14ac:dyDescent="0.2">
      <c r="E11864" s="502"/>
      <c r="F11864" s="503" t="s">
        <v>234</v>
      </c>
      <c r="G11864" s="504" t="s">
        <v>235</v>
      </c>
      <c r="H11864" s="403">
        <f>SUM(H11803:H11862)</f>
        <v>0</v>
      </c>
      <c r="I11864" s="403"/>
      <c r="J11864" s="750" t="e">
        <f t="shared" si="157"/>
        <v>#DIV/0!</v>
      </c>
      <c r="K11864" s="404"/>
      <c r="L11864" s="404"/>
      <c r="M11864" s="682"/>
    </row>
    <row r="11865" spans="5:13" hidden="1" x14ac:dyDescent="0.2">
      <c r="F11865" s="503" t="s">
        <v>236</v>
      </c>
      <c r="G11865" s="504" t="s">
        <v>237</v>
      </c>
      <c r="H11865" s="397"/>
      <c r="I11865" s="397"/>
      <c r="J11865" s="750" t="e">
        <f t="shared" si="157"/>
        <v>#DIV/0!</v>
      </c>
      <c r="K11865" s="398"/>
      <c r="L11865" s="404"/>
      <c r="M11865" s="682"/>
    </row>
    <row r="11866" spans="5:13" hidden="1" x14ac:dyDescent="0.2">
      <c r="F11866" s="503" t="s">
        <v>238</v>
      </c>
      <c r="G11866" s="504" t="s">
        <v>239</v>
      </c>
      <c r="H11866" s="397"/>
      <c r="I11866" s="397"/>
      <c r="J11866" s="750" t="e">
        <f t="shared" si="157"/>
        <v>#DIV/0!</v>
      </c>
      <c r="K11866" s="398"/>
      <c r="L11866" s="404"/>
      <c r="M11866" s="682"/>
    </row>
    <row r="11867" spans="5:13" hidden="1" x14ac:dyDescent="0.2">
      <c r="F11867" s="503" t="s">
        <v>240</v>
      </c>
      <c r="G11867" s="504" t="s">
        <v>241</v>
      </c>
      <c r="H11867" s="397"/>
      <c r="I11867" s="397"/>
      <c r="J11867" s="750" t="e">
        <f t="shared" si="157"/>
        <v>#DIV/0!</v>
      </c>
      <c r="K11867" s="398"/>
      <c r="L11867" s="404"/>
      <c r="M11867" s="682"/>
    </row>
    <row r="11868" spans="5:13" hidden="1" x14ac:dyDescent="0.2">
      <c r="F11868" s="503" t="s">
        <v>242</v>
      </c>
      <c r="G11868" s="504" t="s">
        <v>243</v>
      </c>
      <c r="H11868" s="397"/>
      <c r="I11868" s="397"/>
      <c r="J11868" s="750" t="e">
        <f t="shared" si="157"/>
        <v>#DIV/0!</v>
      </c>
      <c r="K11868" s="398"/>
      <c r="L11868" s="404"/>
      <c r="M11868" s="682"/>
    </row>
    <row r="11869" spans="5:13" hidden="1" x14ac:dyDescent="0.2">
      <c r="F11869" s="503" t="s">
        <v>244</v>
      </c>
      <c r="G11869" s="504" t="s">
        <v>245</v>
      </c>
      <c r="H11869" s="397"/>
      <c r="I11869" s="397"/>
      <c r="J11869" s="750" t="e">
        <f t="shared" si="157"/>
        <v>#DIV/0!</v>
      </c>
      <c r="K11869" s="398"/>
      <c r="L11869" s="404"/>
      <c r="M11869" s="682"/>
    </row>
    <row r="11870" spans="5:13" hidden="1" x14ac:dyDescent="0.2">
      <c r="F11870" s="503" t="s">
        <v>246</v>
      </c>
      <c r="G11870" s="504" t="s">
        <v>247</v>
      </c>
      <c r="H11870" s="397"/>
      <c r="I11870" s="397"/>
      <c r="J11870" s="750" t="e">
        <f t="shared" si="157"/>
        <v>#DIV/0!</v>
      </c>
      <c r="K11870" s="398"/>
      <c r="L11870" s="404"/>
      <c r="M11870" s="682"/>
    </row>
    <row r="11871" spans="5:13" ht="25.5" hidden="1" x14ac:dyDescent="0.2">
      <c r="F11871" s="503" t="s">
        <v>248</v>
      </c>
      <c r="G11871" s="504" t="s">
        <v>249</v>
      </c>
      <c r="H11871" s="397"/>
      <c r="I11871" s="397"/>
      <c r="J11871" s="750" t="e">
        <f t="shared" si="157"/>
        <v>#DIV/0!</v>
      </c>
      <c r="K11871" s="398"/>
      <c r="L11871" s="404"/>
      <c r="M11871" s="682"/>
    </row>
    <row r="11872" spans="5:13" hidden="1" x14ac:dyDescent="0.2">
      <c r="F11872" s="503" t="s">
        <v>250</v>
      </c>
      <c r="G11872" s="504" t="s">
        <v>57</v>
      </c>
      <c r="H11872" s="397"/>
      <c r="I11872" s="397"/>
      <c r="J11872" s="750" t="e">
        <f t="shared" si="157"/>
        <v>#DIV/0!</v>
      </c>
      <c r="K11872" s="398"/>
      <c r="L11872" s="404"/>
      <c r="M11872" s="682"/>
    </row>
    <row r="11873" spans="5:13" hidden="1" x14ac:dyDescent="0.2">
      <c r="F11873" s="503" t="s">
        <v>251</v>
      </c>
      <c r="G11873" s="504" t="s">
        <v>252</v>
      </c>
      <c r="H11873" s="397"/>
      <c r="I11873" s="397"/>
      <c r="J11873" s="750" t="e">
        <f t="shared" si="157"/>
        <v>#DIV/0!</v>
      </c>
      <c r="K11873" s="398"/>
      <c r="L11873" s="404"/>
      <c r="M11873" s="682"/>
    </row>
    <row r="11874" spans="5:13" hidden="1" x14ac:dyDescent="0.2">
      <c r="F11874" s="503" t="s">
        <v>253</v>
      </c>
      <c r="G11874" s="504" t="s">
        <v>254</v>
      </c>
      <c r="H11874" s="397"/>
      <c r="I11874" s="397"/>
      <c r="J11874" s="750" t="e">
        <f t="shared" si="157"/>
        <v>#DIV/0!</v>
      </c>
      <c r="K11874" s="398"/>
      <c r="L11874" s="404"/>
      <c r="M11874" s="682"/>
    </row>
    <row r="11875" spans="5:13" ht="25.5" hidden="1" x14ac:dyDescent="0.2">
      <c r="F11875" s="503" t="s">
        <v>255</v>
      </c>
      <c r="G11875" s="504" t="s">
        <v>256</v>
      </c>
      <c r="H11875" s="397"/>
      <c r="I11875" s="397"/>
      <c r="J11875" s="750" t="e">
        <f t="shared" si="157"/>
        <v>#DIV/0!</v>
      </c>
      <c r="K11875" s="398"/>
      <c r="L11875" s="404"/>
      <c r="M11875" s="682"/>
    </row>
    <row r="11876" spans="5:13" ht="25.5" hidden="1" x14ac:dyDescent="0.2">
      <c r="F11876" s="503" t="s">
        <v>257</v>
      </c>
      <c r="G11876" s="504" t="s">
        <v>258</v>
      </c>
      <c r="H11876" s="397"/>
      <c r="I11876" s="397"/>
      <c r="J11876" s="750" t="e">
        <f t="shared" si="157"/>
        <v>#DIV/0!</v>
      </c>
      <c r="K11876" s="398"/>
      <c r="L11876" s="404"/>
      <c r="M11876" s="682"/>
    </row>
    <row r="11877" spans="5:13" ht="25.5" hidden="1" x14ac:dyDescent="0.2">
      <c r="F11877" s="503" t="s">
        <v>259</v>
      </c>
      <c r="G11877" s="504" t="s">
        <v>260</v>
      </c>
      <c r="H11877" s="397"/>
      <c r="I11877" s="397"/>
      <c r="J11877" s="750" t="e">
        <f t="shared" si="157"/>
        <v>#DIV/0!</v>
      </c>
      <c r="K11877" s="398"/>
      <c r="L11877" s="404"/>
      <c r="M11877" s="682"/>
    </row>
    <row r="11878" spans="5:13" ht="25.5" hidden="1" x14ac:dyDescent="0.2">
      <c r="F11878" s="503" t="s">
        <v>261</v>
      </c>
      <c r="G11878" s="504" t="s">
        <v>262</v>
      </c>
      <c r="H11878" s="397"/>
      <c r="I11878" s="397"/>
      <c r="J11878" s="750" t="e">
        <f t="shared" si="157"/>
        <v>#DIV/0!</v>
      </c>
      <c r="K11878" s="398"/>
      <c r="L11878" s="404"/>
      <c r="M11878" s="682"/>
    </row>
    <row r="11879" spans="5:13" hidden="1" x14ac:dyDescent="0.2">
      <c r="F11879" s="503" t="s">
        <v>263</v>
      </c>
      <c r="G11879" s="504" t="s">
        <v>264</v>
      </c>
      <c r="H11879" s="403"/>
      <c r="I11879" s="403"/>
      <c r="J11879" s="750" t="e">
        <f t="shared" si="157"/>
        <v>#DIV/0!</v>
      </c>
      <c r="K11879" s="404"/>
      <c r="L11879" s="404"/>
      <c r="M11879" s="682"/>
    </row>
    <row r="11880" spans="5:13" ht="13.5" hidden="1" thickBot="1" x14ac:dyDescent="0.25">
      <c r="G11880" s="505" t="s">
        <v>4436</v>
      </c>
      <c r="H11880" s="405">
        <f>SUM(H11864:H11879)</f>
        <v>0</v>
      </c>
      <c r="I11880" s="405"/>
      <c r="J11880" s="750" t="e">
        <f t="shared" si="157"/>
        <v>#DIV/0!</v>
      </c>
      <c r="K11880" s="406">
        <f>SUM(K11865:K11879)</f>
        <v>0</v>
      </c>
      <c r="L11880" s="406"/>
      <c r="M11880" s="682"/>
    </row>
    <row r="11881" spans="5:13" hidden="1" collapsed="1" x14ac:dyDescent="0.2">
      <c r="E11881" s="500"/>
      <c r="F11881" s="498"/>
      <c r="G11881" s="506" t="s">
        <v>4443</v>
      </c>
      <c r="H11881" s="407"/>
      <c r="I11881" s="408"/>
      <c r="J11881" s="750" t="e">
        <f t="shared" si="157"/>
        <v>#DIV/0!</v>
      </c>
      <c r="K11881" s="409"/>
      <c r="L11881" s="410"/>
      <c r="M11881" s="682"/>
    </row>
    <row r="11882" spans="5:13" hidden="1" x14ac:dyDescent="0.2">
      <c r="E11882" s="502"/>
      <c r="F11882" s="503" t="s">
        <v>234</v>
      </c>
      <c r="G11882" s="504" t="s">
        <v>235</v>
      </c>
      <c r="H11882" s="403">
        <f>SUM(H11803:H11862)</f>
        <v>0</v>
      </c>
      <c r="I11882" s="403"/>
      <c r="J11882" s="750" t="e">
        <f t="shared" si="157"/>
        <v>#DIV/0!</v>
      </c>
      <c r="K11882" s="404"/>
      <c r="L11882" s="404"/>
      <c r="M11882" s="682"/>
    </row>
    <row r="11883" spans="5:13" hidden="1" x14ac:dyDescent="0.2">
      <c r="F11883" s="503" t="s">
        <v>236</v>
      </c>
      <c r="G11883" s="504" t="s">
        <v>237</v>
      </c>
      <c r="H11883" s="397"/>
      <c r="I11883" s="397"/>
      <c r="J11883" s="750" t="e">
        <f t="shared" si="157"/>
        <v>#DIV/0!</v>
      </c>
      <c r="K11883" s="398"/>
      <c r="L11883" s="404"/>
      <c r="M11883" s="682"/>
    </row>
    <row r="11884" spans="5:13" hidden="1" x14ac:dyDescent="0.2">
      <c r="F11884" s="503" t="s">
        <v>238</v>
      </c>
      <c r="G11884" s="504" t="s">
        <v>239</v>
      </c>
      <c r="H11884" s="397"/>
      <c r="I11884" s="397"/>
      <c r="J11884" s="750" t="e">
        <f t="shared" si="157"/>
        <v>#DIV/0!</v>
      </c>
      <c r="K11884" s="398"/>
      <c r="L11884" s="404"/>
      <c r="M11884" s="682"/>
    </row>
    <row r="11885" spans="5:13" hidden="1" x14ac:dyDescent="0.2">
      <c r="F11885" s="503" t="s">
        <v>240</v>
      </c>
      <c r="G11885" s="504" t="s">
        <v>241</v>
      </c>
      <c r="H11885" s="397"/>
      <c r="I11885" s="397"/>
      <c r="J11885" s="750" t="e">
        <f t="shared" si="157"/>
        <v>#DIV/0!</v>
      </c>
      <c r="K11885" s="398"/>
      <c r="L11885" s="404"/>
      <c r="M11885" s="682"/>
    </row>
    <row r="11886" spans="5:13" hidden="1" x14ac:dyDescent="0.2">
      <c r="F11886" s="503" t="s">
        <v>242</v>
      </c>
      <c r="G11886" s="504" t="s">
        <v>243</v>
      </c>
      <c r="H11886" s="397"/>
      <c r="I11886" s="397"/>
      <c r="J11886" s="750" t="e">
        <f t="shared" si="157"/>
        <v>#DIV/0!</v>
      </c>
      <c r="K11886" s="398"/>
      <c r="L11886" s="404"/>
      <c r="M11886" s="682"/>
    </row>
    <row r="11887" spans="5:13" hidden="1" x14ac:dyDescent="0.2">
      <c r="F11887" s="503" t="s">
        <v>244</v>
      </c>
      <c r="G11887" s="504" t="s">
        <v>245</v>
      </c>
      <c r="H11887" s="397"/>
      <c r="I11887" s="397"/>
      <c r="J11887" s="750" t="e">
        <f t="shared" si="157"/>
        <v>#DIV/0!</v>
      </c>
      <c r="K11887" s="398"/>
      <c r="L11887" s="404"/>
      <c r="M11887" s="682"/>
    </row>
    <row r="11888" spans="5:13" hidden="1" x14ac:dyDescent="0.2">
      <c r="F11888" s="503" t="s">
        <v>246</v>
      </c>
      <c r="G11888" s="504" t="s">
        <v>247</v>
      </c>
      <c r="H11888" s="397"/>
      <c r="I11888" s="397"/>
      <c r="J11888" s="750" t="e">
        <f t="shared" si="157"/>
        <v>#DIV/0!</v>
      </c>
      <c r="K11888" s="398"/>
      <c r="L11888" s="404"/>
      <c r="M11888" s="682"/>
    </row>
    <row r="11889" spans="1:13" ht="25.5" hidden="1" x14ac:dyDescent="0.2">
      <c r="F11889" s="503" t="s">
        <v>248</v>
      </c>
      <c r="G11889" s="504" t="s">
        <v>249</v>
      </c>
      <c r="H11889" s="397"/>
      <c r="I11889" s="397"/>
      <c r="J11889" s="750" t="e">
        <f t="shared" si="157"/>
        <v>#DIV/0!</v>
      </c>
      <c r="K11889" s="398"/>
      <c r="L11889" s="404"/>
      <c r="M11889" s="682"/>
    </row>
    <row r="11890" spans="1:13" hidden="1" x14ac:dyDescent="0.2">
      <c r="F11890" s="503" t="s">
        <v>250</v>
      </c>
      <c r="G11890" s="504" t="s">
        <v>57</v>
      </c>
      <c r="H11890" s="397"/>
      <c r="I11890" s="397"/>
      <c r="J11890" s="750" t="e">
        <f t="shared" si="157"/>
        <v>#DIV/0!</v>
      </c>
      <c r="K11890" s="398"/>
      <c r="L11890" s="404"/>
      <c r="M11890" s="682"/>
    </row>
    <row r="11891" spans="1:13" hidden="1" x14ac:dyDescent="0.2">
      <c r="F11891" s="503" t="s">
        <v>251</v>
      </c>
      <c r="G11891" s="504" t="s">
        <v>252</v>
      </c>
      <c r="H11891" s="397"/>
      <c r="I11891" s="397"/>
      <c r="J11891" s="750" t="e">
        <f t="shared" si="157"/>
        <v>#DIV/0!</v>
      </c>
      <c r="K11891" s="398"/>
      <c r="L11891" s="404"/>
      <c r="M11891" s="682"/>
    </row>
    <row r="11892" spans="1:13" hidden="1" x14ac:dyDescent="0.2">
      <c r="F11892" s="503" t="s">
        <v>253</v>
      </c>
      <c r="G11892" s="504" t="s">
        <v>254</v>
      </c>
      <c r="H11892" s="397"/>
      <c r="I11892" s="397"/>
      <c r="J11892" s="750" t="e">
        <f t="shared" si="157"/>
        <v>#DIV/0!</v>
      </c>
      <c r="K11892" s="398"/>
      <c r="L11892" s="404"/>
      <c r="M11892" s="682"/>
    </row>
    <row r="11893" spans="1:13" ht="25.5" hidden="1" x14ac:dyDescent="0.2">
      <c r="F11893" s="503" t="s">
        <v>255</v>
      </c>
      <c r="G11893" s="504" t="s">
        <v>256</v>
      </c>
      <c r="H11893" s="397"/>
      <c r="I11893" s="397"/>
      <c r="J11893" s="750" t="e">
        <f t="shared" si="157"/>
        <v>#DIV/0!</v>
      </c>
      <c r="K11893" s="398"/>
      <c r="L11893" s="404"/>
      <c r="M11893" s="682"/>
    </row>
    <row r="11894" spans="1:13" ht="25.5" hidden="1" x14ac:dyDescent="0.2">
      <c r="F11894" s="503" t="s">
        <v>257</v>
      </c>
      <c r="G11894" s="504" t="s">
        <v>258</v>
      </c>
      <c r="H11894" s="397"/>
      <c r="I11894" s="397"/>
      <c r="J11894" s="750" t="e">
        <f t="shared" si="157"/>
        <v>#DIV/0!</v>
      </c>
      <c r="K11894" s="398"/>
      <c r="L11894" s="404"/>
      <c r="M11894" s="682"/>
    </row>
    <row r="11895" spans="1:13" ht="25.5" hidden="1" x14ac:dyDescent="0.2">
      <c r="F11895" s="503" t="s">
        <v>259</v>
      </c>
      <c r="G11895" s="504" t="s">
        <v>260</v>
      </c>
      <c r="H11895" s="397"/>
      <c r="I11895" s="397"/>
      <c r="J11895" s="750" t="e">
        <f t="shared" si="157"/>
        <v>#DIV/0!</v>
      </c>
      <c r="K11895" s="398"/>
      <c r="L11895" s="404"/>
      <c r="M11895" s="682"/>
    </row>
    <row r="11896" spans="1:13" ht="25.5" hidden="1" x14ac:dyDescent="0.2">
      <c r="F11896" s="503" t="s">
        <v>261</v>
      </c>
      <c r="G11896" s="504" t="s">
        <v>262</v>
      </c>
      <c r="H11896" s="397"/>
      <c r="I11896" s="397"/>
      <c r="J11896" s="750" t="e">
        <f t="shared" si="157"/>
        <v>#DIV/0!</v>
      </c>
      <c r="K11896" s="398"/>
      <c r="L11896" s="404"/>
      <c r="M11896" s="682"/>
    </row>
    <row r="11897" spans="1:13" hidden="1" x14ac:dyDescent="0.2">
      <c r="F11897" s="503" t="s">
        <v>263</v>
      </c>
      <c r="G11897" s="504" t="s">
        <v>264</v>
      </c>
      <c r="H11897" s="403"/>
      <c r="I11897" s="403"/>
      <c r="J11897" s="750" t="e">
        <f t="shared" si="157"/>
        <v>#DIV/0!</v>
      </c>
      <c r="K11897" s="404"/>
      <c r="L11897" s="404"/>
      <c r="M11897" s="682"/>
    </row>
    <row r="11898" spans="1:13" ht="13.5" hidden="1" thickBot="1" x14ac:dyDescent="0.25">
      <c r="G11898" s="505" t="s">
        <v>5014</v>
      </c>
      <c r="H11898" s="405">
        <f>SUM(H11882:H11897)</f>
        <v>0</v>
      </c>
      <c r="I11898" s="405"/>
      <c r="J11898" s="750" t="e">
        <f t="shared" si="157"/>
        <v>#DIV/0!</v>
      </c>
      <c r="K11898" s="406">
        <f>SUM(K11883:K11897)</f>
        <v>0</v>
      </c>
      <c r="L11898" s="406"/>
      <c r="M11898" s="682"/>
    </row>
    <row r="11899" spans="1:13" hidden="1" x14ac:dyDescent="0.2">
      <c r="H11899" s="397"/>
      <c r="I11899" s="397"/>
      <c r="J11899" s="750" t="e">
        <f t="shared" si="157"/>
        <v>#DIV/0!</v>
      </c>
      <c r="K11899" s="398"/>
      <c r="L11899" s="398"/>
      <c r="M11899" s="682"/>
    </row>
    <row r="11900" spans="1:13" hidden="1" x14ac:dyDescent="0.2">
      <c r="H11900" s="397"/>
      <c r="I11900" s="397"/>
      <c r="J11900" s="750" t="e">
        <f t="shared" si="157"/>
        <v>#DIV/0!</v>
      </c>
      <c r="K11900" s="398"/>
      <c r="L11900" s="398"/>
      <c r="M11900" s="682"/>
    </row>
    <row r="11901" spans="1:13" x14ac:dyDescent="0.2">
      <c r="A11901" s="646"/>
      <c r="B11901" s="647" t="s">
        <v>251</v>
      </c>
      <c r="C11901" s="646"/>
      <c r="D11901" s="185"/>
      <c r="E11901" s="185"/>
      <c r="F11901" s="185"/>
      <c r="G11901" s="648" t="s">
        <v>5293</v>
      </c>
      <c r="H11901" s="450"/>
      <c r="I11901" s="450"/>
      <c r="J11901" s="753"/>
      <c r="K11901" s="451"/>
      <c r="L11901" s="452"/>
      <c r="M11901" s="682"/>
    </row>
    <row r="11902" spans="1:13" x14ac:dyDescent="0.2">
      <c r="C11902" s="489" t="s">
        <v>3594</v>
      </c>
      <c r="G11902" s="513" t="s">
        <v>4315</v>
      </c>
      <c r="H11902" s="397"/>
      <c r="I11902" s="397"/>
      <c r="J11902" s="750"/>
      <c r="K11902" s="398"/>
      <c r="L11902" s="398"/>
      <c r="M11902" s="682"/>
    </row>
    <row r="11903" spans="1:13" x14ac:dyDescent="0.2">
      <c r="C11903" s="489" t="s">
        <v>4125</v>
      </c>
      <c r="D11903" s="490"/>
      <c r="G11903" s="513" t="s">
        <v>4316</v>
      </c>
      <c r="H11903" s="397"/>
      <c r="I11903" s="397"/>
      <c r="J11903" s="750"/>
      <c r="K11903" s="398"/>
      <c r="L11903" s="398"/>
      <c r="M11903" s="682"/>
    </row>
    <row r="11904" spans="1:13" x14ac:dyDescent="0.2">
      <c r="C11904" s="489"/>
      <c r="D11904" s="492">
        <v>820</v>
      </c>
      <c r="E11904" s="492"/>
      <c r="F11904" s="492"/>
      <c r="G11904" s="493" t="s">
        <v>207</v>
      </c>
      <c r="H11904" s="397"/>
      <c r="I11904" s="397"/>
      <c r="J11904" s="750"/>
      <c r="K11904" s="398"/>
      <c r="L11904" s="398"/>
      <c r="M11904" s="682"/>
    </row>
    <row r="11905" spans="5:13" x14ac:dyDescent="0.2">
      <c r="E11905" s="464">
        <v>112</v>
      </c>
      <c r="F11905" s="494">
        <v>411</v>
      </c>
      <c r="G11905" s="495" t="s">
        <v>4167</v>
      </c>
      <c r="H11905" s="397">
        <v>4145400</v>
      </c>
      <c r="I11905" s="397">
        <v>4127875.02</v>
      </c>
      <c r="J11905" s="750">
        <f t="shared" si="157"/>
        <v>99.577242726877984</v>
      </c>
      <c r="K11905" s="398"/>
      <c r="L11905" s="398"/>
      <c r="M11905" s="682"/>
    </row>
    <row r="11906" spans="5:13" x14ac:dyDescent="0.2">
      <c r="E11906" s="464">
        <v>113</v>
      </c>
      <c r="F11906" s="494">
        <v>412</v>
      </c>
      <c r="G11906" s="496" t="s">
        <v>3764</v>
      </c>
      <c r="H11906" s="397">
        <v>743000</v>
      </c>
      <c r="I11906" s="397">
        <v>738889.36</v>
      </c>
      <c r="J11906" s="750">
        <f t="shared" si="157"/>
        <v>99.446751009421263</v>
      </c>
      <c r="K11906" s="398"/>
      <c r="L11906" s="398"/>
      <c r="M11906" s="682"/>
    </row>
    <row r="11907" spans="5:13" ht="14.25" customHeight="1" x14ac:dyDescent="0.2">
      <c r="E11907" s="464">
        <v>114</v>
      </c>
      <c r="F11907" s="494">
        <v>413</v>
      </c>
      <c r="G11907" s="495" t="s">
        <v>4168</v>
      </c>
      <c r="H11907" s="397"/>
      <c r="I11907" s="397"/>
      <c r="J11907" s="750"/>
      <c r="K11907" s="398">
        <v>50000</v>
      </c>
      <c r="L11907" s="398">
        <v>39600</v>
      </c>
      <c r="M11907" s="682"/>
    </row>
    <row r="11908" spans="5:13" ht="15.75" customHeight="1" x14ac:dyDescent="0.2">
      <c r="E11908" s="464">
        <v>115</v>
      </c>
      <c r="F11908" s="494">
        <v>414</v>
      </c>
      <c r="G11908" s="495" t="s">
        <v>3767</v>
      </c>
      <c r="H11908" s="397">
        <v>70000</v>
      </c>
      <c r="I11908" s="397">
        <v>0</v>
      </c>
      <c r="J11908" s="750">
        <f t="shared" si="157"/>
        <v>0</v>
      </c>
      <c r="K11908" s="398"/>
      <c r="L11908" s="398"/>
      <c r="M11908" s="682"/>
    </row>
    <row r="11909" spans="5:13" hidden="1" x14ac:dyDescent="0.2">
      <c r="F11909" s="494">
        <v>415</v>
      </c>
      <c r="G11909" s="495" t="s">
        <v>4177</v>
      </c>
      <c r="H11909" s="397"/>
      <c r="I11909" s="397"/>
      <c r="J11909" s="750" t="e">
        <f t="shared" si="157"/>
        <v>#DIV/0!</v>
      </c>
      <c r="K11909" s="398"/>
      <c r="L11909" s="398"/>
      <c r="M11909" s="682"/>
    </row>
    <row r="11910" spans="5:13" ht="25.5" hidden="1" x14ac:dyDescent="0.2">
      <c r="F11910" s="494">
        <v>416</v>
      </c>
      <c r="G11910" s="495" t="s">
        <v>4178</v>
      </c>
      <c r="H11910" s="397"/>
      <c r="I11910" s="397"/>
      <c r="J11910" s="750" t="e">
        <f t="shared" si="157"/>
        <v>#DIV/0!</v>
      </c>
      <c r="K11910" s="398"/>
      <c r="L11910" s="398"/>
      <c r="M11910" s="682"/>
    </row>
    <row r="11911" spans="5:13" hidden="1" x14ac:dyDescent="0.2">
      <c r="F11911" s="494">
        <v>417</v>
      </c>
      <c r="G11911" s="495" t="s">
        <v>4179</v>
      </c>
      <c r="H11911" s="397"/>
      <c r="I11911" s="397"/>
      <c r="J11911" s="750" t="e">
        <f t="shared" si="157"/>
        <v>#DIV/0!</v>
      </c>
      <c r="K11911" s="398"/>
      <c r="L11911" s="398"/>
      <c r="M11911" s="682"/>
    </row>
    <row r="11912" spans="5:13" hidden="1" x14ac:dyDescent="0.2">
      <c r="F11912" s="494">
        <v>418</v>
      </c>
      <c r="G11912" s="495" t="s">
        <v>3773</v>
      </c>
      <c r="H11912" s="397"/>
      <c r="I11912" s="397"/>
      <c r="J11912" s="750" t="e">
        <f t="shared" si="157"/>
        <v>#DIV/0!</v>
      </c>
      <c r="K11912" s="398"/>
      <c r="L11912" s="398"/>
      <c r="M11912" s="682"/>
    </row>
    <row r="11913" spans="5:13" x14ac:dyDescent="0.2">
      <c r="E11913" s="464">
        <v>116</v>
      </c>
      <c r="F11913" s="494">
        <v>421</v>
      </c>
      <c r="G11913" s="495" t="s">
        <v>3777</v>
      </c>
      <c r="H11913" s="397">
        <v>704550</v>
      </c>
      <c r="I11913" s="397">
        <v>545375.26</v>
      </c>
      <c r="J11913" s="750">
        <f t="shared" si="157"/>
        <v>77.407602015470871</v>
      </c>
      <c r="K11913" s="398">
        <v>65000</v>
      </c>
      <c r="L11913" s="398">
        <v>35638.93</v>
      </c>
      <c r="M11913" s="682"/>
    </row>
    <row r="11914" spans="5:13" x14ac:dyDescent="0.2">
      <c r="E11914" s="464">
        <v>117</v>
      </c>
      <c r="F11914" s="494">
        <v>422</v>
      </c>
      <c r="G11914" s="495" t="s">
        <v>3778</v>
      </c>
      <c r="H11914" s="397">
        <v>110000</v>
      </c>
      <c r="I11914" s="397">
        <v>10700</v>
      </c>
      <c r="J11914" s="750">
        <f t="shared" si="157"/>
        <v>9.7272727272727266</v>
      </c>
      <c r="K11914" s="398">
        <v>30000</v>
      </c>
      <c r="L11914" s="398">
        <v>15720</v>
      </c>
      <c r="M11914" s="682"/>
    </row>
    <row r="11915" spans="5:13" x14ac:dyDescent="0.2">
      <c r="E11915" s="464">
        <v>118</v>
      </c>
      <c r="F11915" s="494">
        <v>423</v>
      </c>
      <c r="G11915" s="495" t="s">
        <v>3779</v>
      </c>
      <c r="H11915" s="397">
        <v>662000</v>
      </c>
      <c r="I11915" s="397">
        <v>527800.75</v>
      </c>
      <c r="J11915" s="750">
        <f t="shared" si="157"/>
        <v>79.728209969788523</v>
      </c>
      <c r="K11915" s="398">
        <v>178000</v>
      </c>
      <c r="L11915" s="398">
        <v>126123.7</v>
      </c>
      <c r="M11915" s="682"/>
    </row>
    <row r="11916" spans="5:13" x14ac:dyDescent="0.2">
      <c r="E11916" s="464">
        <v>119</v>
      </c>
      <c r="F11916" s="494">
        <v>424</v>
      </c>
      <c r="G11916" s="495" t="s">
        <v>3781</v>
      </c>
      <c r="H11916" s="397">
        <v>1060000</v>
      </c>
      <c r="I11916" s="397">
        <v>1011744</v>
      </c>
      <c r="J11916" s="750">
        <f t="shared" si="157"/>
        <v>95.447547169811315</v>
      </c>
      <c r="K11916" s="398">
        <v>50000</v>
      </c>
      <c r="L11916" s="398">
        <v>32200</v>
      </c>
      <c r="M11916" s="682"/>
    </row>
    <row r="11917" spans="5:13" x14ac:dyDescent="0.2">
      <c r="E11917" s="464">
        <v>120</v>
      </c>
      <c r="F11917" s="494">
        <v>425</v>
      </c>
      <c r="G11917" s="495" t="s">
        <v>4180</v>
      </c>
      <c r="H11917" s="397">
        <v>525205</v>
      </c>
      <c r="I11917" s="397">
        <v>477566.44</v>
      </c>
      <c r="J11917" s="750">
        <f t="shared" si="157"/>
        <v>90.929530373854021</v>
      </c>
      <c r="K11917" s="398">
        <v>150000</v>
      </c>
      <c r="L11917" s="398">
        <v>149288.81</v>
      </c>
      <c r="M11917" s="682"/>
    </row>
    <row r="11918" spans="5:13" x14ac:dyDescent="0.2">
      <c r="E11918" s="464">
        <v>121</v>
      </c>
      <c r="F11918" s="494">
        <v>426</v>
      </c>
      <c r="G11918" s="495" t="s">
        <v>3785</v>
      </c>
      <c r="H11918" s="397">
        <v>371000</v>
      </c>
      <c r="I11918" s="397">
        <v>259502.1</v>
      </c>
      <c r="J11918" s="750">
        <f t="shared" ref="J11918:J11981" si="158">SUM(I11918/H11918)*100</f>
        <v>69.946657681940707</v>
      </c>
      <c r="K11918" s="398">
        <v>130000</v>
      </c>
      <c r="L11918" s="398">
        <v>91376.73</v>
      </c>
      <c r="M11918" s="682"/>
    </row>
    <row r="11919" spans="5:13" hidden="1" x14ac:dyDescent="0.2">
      <c r="F11919" s="494">
        <v>431</v>
      </c>
      <c r="G11919" s="495" t="s">
        <v>4181</v>
      </c>
      <c r="H11919" s="397"/>
      <c r="I11919" s="397"/>
      <c r="J11919" s="750" t="e">
        <f t="shared" si="158"/>
        <v>#DIV/0!</v>
      </c>
      <c r="K11919" s="398"/>
      <c r="L11919" s="398"/>
      <c r="M11919" s="682"/>
    </row>
    <row r="11920" spans="5:13" hidden="1" x14ac:dyDescent="0.2">
      <c r="F11920" s="494">
        <v>432</v>
      </c>
      <c r="G11920" s="495" t="s">
        <v>4182</v>
      </c>
      <c r="H11920" s="397"/>
      <c r="I11920" s="397"/>
      <c r="J11920" s="750" t="e">
        <f t="shared" si="158"/>
        <v>#DIV/0!</v>
      </c>
      <c r="K11920" s="398"/>
      <c r="L11920" s="398"/>
      <c r="M11920" s="682"/>
    </row>
    <row r="11921" spans="6:13" hidden="1" x14ac:dyDescent="0.2">
      <c r="F11921" s="494">
        <v>433</v>
      </c>
      <c r="G11921" s="495" t="s">
        <v>4183</v>
      </c>
      <c r="H11921" s="397"/>
      <c r="I11921" s="397"/>
      <c r="J11921" s="750" t="e">
        <f t="shared" si="158"/>
        <v>#DIV/0!</v>
      </c>
      <c r="K11921" s="398"/>
      <c r="L11921" s="398"/>
      <c r="M11921" s="682"/>
    </row>
    <row r="11922" spans="6:13" hidden="1" x14ac:dyDescent="0.2">
      <c r="F11922" s="494">
        <v>434</v>
      </c>
      <c r="G11922" s="495" t="s">
        <v>4184</v>
      </c>
      <c r="H11922" s="397"/>
      <c r="I11922" s="397"/>
      <c r="J11922" s="750" t="e">
        <f t="shared" si="158"/>
        <v>#DIV/0!</v>
      </c>
      <c r="K11922" s="398"/>
      <c r="L11922" s="398"/>
      <c r="M11922" s="682"/>
    </row>
    <row r="11923" spans="6:13" hidden="1" x14ac:dyDescent="0.2">
      <c r="F11923" s="494">
        <v>435</v>
      </c>
      <c r="G11923" s="495" t="s">
        <v>3792</v>
      </c>
      <c r="H11923" s="397"/>
      <c r="I11923" s="397"/>
      <c r="J11923" s="750" t="e">
        <f t="shared" si="158"/>
        <v>#DIV/0!</v>
      </c>
      <c r="K11923" s="398"/>
      <c r="L11923" s="398"/>
      <c r="M11923" s="682"/>
    </row>
    <row r="11924" spans="6:13" hidden="1" x14ac:dyDescent="0.2">
      <c r="F11924" s="494">
        <v>441</v>
      </c>
      <c r="G11924" s="495" t="s">
        <v>4185</v>
      </c>
      <c r="H11924" s="397"/>
      <c r="I11924" s="397"/>
      <c r="J11924" s="750" t="e">
        <f t="shared" si="158"/>
        <v>#DIV/0!</v>
      </c>
      <c r="K11924" s="398"/>
      <c r="L11924" s="398"/>
      <c r="M11924" s="682"/>
    </row>
    <row r="11925" spans="6:13" hidden="1" x14ac:dyDescent="0.2">
      <c r="F11925" s="494">
        <v>442</v>
      </c>
      <c r="G11925" s="495" t="s">
        <v>4186</v>
      </c>
      <c r="H11925" s="397"/>
      <c r="I11925" s="397"/>
      <c r="J11925" s="750" t="e">
        <f t="shared" si="158"/>
        <v>#DIV/0!</v>
      </c>
      <c r="K11925" s="398"/>
      <c r="L11925" s="398"/>
      <c r="M11925" s="682"/>
    </row>
    <row r="11926" spans="6:13" hidden="1" x14ac:dyDescent="0.2">
      <c r="F11926" s="494">
        <v>443</v>
      </c>
      <c r="G11926" s="495" t="s">
        <v>3797</v>
      </c>
      <c r="H11926" s="397"/>
      <c r="I11926" s="397"/>
      <c r="J11926" s="750" t="e">
        <f t="shared" si="158"/>
        <v>#DIV/0!</v>
      </c>
      <c r="K11926" s="398"/>
      <c r="L11926" s="398"/>
      <c r="M11926" s="682"/>
    </row>
    <row r="11927" spans="6:13" hidden="1" x14ac:dyDescent="0.2">
      <c r="F11927" s="494">
        <v>444</v>
      </c>
      <c r="G11927" s="495" t="s">
        <v>3798</v>
      </c>
      <c r="H11927" s="397"/>
      <c r="I11927" s="397"/>
      <c r="J11927" s="750" t="e">
        <f t="shared" si="158"/>
        <v>#DIV/0!</v>
      </c>
      <c r="K11927" s="398"/>
      <c r="L11927" s="398"/>
      <c r="M11927" s="682"/>
    </row>
    <row r="11928" spans="6:13" ht="25.5" hidden="1" x14ac:dyDescent="0.2">
      <c r="F11928" s="494">
        <v>4511</v>
      </c>
      <c r="G11928" s="466" t="s">
        <v>1692</v>
      </c>
      <c r="H11928" s="397"/>
      <c r="I11928" s="397"/>
      <c r="J11928" s="750" t="e">
        <f t="shared" si="158"/>
        <v>#DIV/0!</v>
      </c>
      <c r="K11928" s="398"/>
      <c r="L11928" s="398"/>
      <c r="M11928" s="682"/>
    </row>
    <row r="11929" spans="6:13" ht="19.5" hidden="1" customHeight="1" x14ac:dyDescent="0.2">
      <c r="F11929" s="494">
        <v>4512</v>
      </c>
      <c r="G11929" s="466" t="s">
        <v>1701</v>
      </c>
      <c r="H11929" s="397"/>
      <c r="I11929" s="397"/>
      <c r="J11929" s="750" t="e">
        <f t="shared" si="158"/>
        <v>#DIV/0!</v>
      </c>
      <c r="K11929" s="398"/>
      <c r="L11929" s="398"/>
      <c r="M11929" s="682"/>
    </row>
    <row r="11930" spans="6:13" ht="25.5" hidden="1" x14ac:dyDescent="0.2">
      <c r="F11930" s="494">
        <v>452</v>
      </c>
      <c r="G11930" s="495" t="s">
        <v>4187</v>
      </c>
      <c r="H11930" s="397"/>
      <c r="I11930" s="397"/>
      <c r="J11930" s="750" t="e">
        <f t="shared" si="158"/>
        <v>#DIV/0!</v>
      </c>
      <c r="K11930" s="398"/>
      <c r="L11930" s="398"/>
      <c r="M11930" s="682"/>
    </row>
    <row r="11931" spans="6:13" ht="25.5" hidden="1" x14ac:dyDescent="0.2">
      <c r="F11931" s="494">
        <v>453</v>
      </c>
      <c r="G11931" s="495" t="s">
        <v>4188</v>
      </c>
      <c r="H11931" s="397"/>
      <c r="I11931" s="397"/>
      <c r="J11931" s="750" t="e">
        <f t="shared" si="158"/>
        <v>#DIV/0!</v>
      </c>
      <c r="K11931" s="398"/>
      <c r="L11931" s="398"/>
      <c r="M11931" s="682"/>
    </row>
    <row r="11932" spans="6:13" hidden="1" x14ac:dyDescent="0.2">
      <c r="F11932" s="494">
        <v>454</v>
      </c>
      <c r="G11932" s="495" t="s">
        <v>3803</v>
      </c>
      <c r="H11932" s="397"/>
      <c r="I11932" s="397"/>
      <c r="J11932" s="750" t="e">
        <f t="shared" si="158"/>
        <v>#DIV/0!</v>
      </c>
      <c r="K11932" s="398"/>
      <c r="L11932" s="398"/>
      <c r="M11932" s="682"/>
    </row>
    <row r="11933" spans="6:13" hidden="1" x14ac:dyDescent="0.2">
      <c r="F11933" s="494">
        <v>461</v>
      </c>
      <c r="G11933" s="495" t="s">
        <v>4169</v>
      </c>
      <c r="H11933" s="397"/>
      <c r="I11933" s="397"/>
      <c r="J11933" s="750" t="e">
        <f t="shared" si="158"/>
        <v>#DIV/0!</v>
      </c>
      <c r="K11933" s="398"/>
      <c r="L11933" s="398"/>
      <c r="M11933" s="682"/>
    </row>
    <row r="11934" spans="6:13" ht="25.5" hidden="1" x14ac:dyDescent="0.2">
      <c r="F11934" s="494">
        <v>462</v>
      </c>
      <c r="G11934" s="495" t="s">
        <v>3806</v>
      </c>
      <c r="H11934" s="397"/>
      <c r="I11934" s="397"/>
      <c r="J11934" s="750" t="e">
        <f t="shared" si="158"/>
        <v>#DIV/0!</v>
      </c>
      <c r="K11934" s="398"/>
      <c r="L11934" s="398"/>
      <c r="M11934" s="682"/>
    </row>
    <row r="11935" spans="6:13" hidden="1" x14ac:dyDescent="0.2">
      <c r="F11935" s="494">
        <v>4631</v>
      </c>
      <c r="G11935" s="495" t="s">
        <v>3807</v>
      </c>
      <c r="H11935" s="397"/>
      <c r="I11935" s="397"/>
      <c r="J11935" s="750" t="e">
        <f t="shared" si="158"/>
        <v>#DIV/0!</v>
      </c>
      <c r="K11935" s="398"/>
      <c r="L11935" s="398"/>
      <c r="M11935" s="682"/>
    </row>
    <row r="11936" spans="6:13" hidden="1" x14ac:dyDescent="0.2">
      <c r="F11936" s="494">
        <v>4632</v>
      </c>
      <c r="G11936" s="495" t="s">
        <v>3808</v>
      </c>
      <c r="H11936" s="397"/>
      <c r="I11936" s="397"/>
      <c r="J11936" s="750" t="e">
        <f t="shared" si="158"/>
        <v>#DIV/0!</v>
      </c>
      <c r="K11936" s="398"/>
      <c r="L11936" s="398"/>
      <c r="M11936" s="682"/>
    </row>
    <row r="11937" spans="5:13" ht="25.5" hidden="1" x14ac:dyDescent="0.2">
      <c r="F11937" s="494">
        <v>464</v>
      </c>
      <c r="G11937" s="495" t="s">
        <v>3809</v>
      </c>
      <c r="H11937" s="397"/>
      <c r="I11937" s="397"/>
      <c r="J11937" s="750" t="e">
        <f t="shared" si="158"/>
        <v>#DIV/0!</v>
      </c>
      <c r="K11937" s="398"/>
      <c r="L11937" s="398"/>
      <c r="M11937" s="682"/>
    </row>
    <row r="11938" spans="5:13" x14ac:dyDescent="0.2">
      <c r="E11938" s="464">
        <v>122</v>
      </c>
      <c r="F11938" s="494">
        <v>465</v>
      </c>
      <c r="G11938" s="495" t="s">
        <v>4170</v>
      </c>
      <c r="H11938" s="397">
        <v>540000</v>
      </c>
      <c r="I11938" s="397">
        <v>444987.95</v>
      </c>
      <c r="J11938" s="750">
        <f t="shared" si="158"/>
        <v>82.405175925925931</v>
      </c>
      <c r="K11938" s="398"/>
      <c r="L11938" s="398"/>
      <c r="M11938" s="682"/>
    </row>
    <row r="11939" spans="5:13" hidden="1" x14ac:dyDescent="0.2">
      <c r="F11939" s="494">
        <v>472</v>
      </c>
      <c r="G11939" s="495" t="s">
        <v>3813</v>
      </c>
      <c r="H11939" s="397"/>
      <c r="I11939" s="397"/>
      <c r="J11939" s="750" t="e">
        <f t="shared" si="158"/>
        <v>#DIV/0!</v>
      </c>
      <c r="K11939" s="398"/>
      <c r="L11939" s="398"/>
      <c r="M11939" s="682"/>
    </row>
    <row r="11940" spans="5:13" hidden="1" x14ac:dyDescent="0.2">
      <c r="F11940" s="494">
        <v>481</v>
      </c>
      <c r="G11940" s="495" t="s">
        <v>4189</v>
      </c>
      <c r="H11940" s="397"/>
      <c r="I11940" s="397"/>
      <c r="J11940" s="750" t="e">
        <f t="shared" si="158"/>
        <v>#DIV/0!</v>
      </c>
      <c r="K11940" s="398"/>
      <c r="L11940" s="398"/>
      <c r="M11940" s="682"/>
    </row>
    <row r="11941" spans="5:13" ht="15.75" customHeight="1" x14ac:dyDescent="0.2">
      <c r="E11941" s="464">
        <v>123</v>
      </c>
      <c r="F11941" s="494">
        <v>482</v>
      </c>
      <c r="G11941" s="495" t="s">
        <v>4190</v>
      </c>
      <c r="H11941" s="397"/>
      <c r="I11941" s="397"/>
      <c r="J11941" s="750"/>
      <c r="K11941" s="398">
        <v>1000</v>
      </c>
      <c r="L11941" s="398">
        <v>0</v>
      </c>
      <c r="M11941" s="682"/>
    </row>
    <row r="11942" spans="5:13" hidden="1" x14ac:dyDescent="0.2">
      <c r="F11942" s="494">
        <v>483</v>
      </c>
      <c r="G11942" s="497" t="s">
        <v>4191</v>
      </c>
      <c r="H11942" s="397"/>
      <c r="I11942" s="397"/>
      <c r="J11942" s="750" t="e">
        <f t="shared" si="158"/>
        <v>#DIV/0!</v>
      </c>
      <c r="K11942" s="398"/>
      <c r="L11942" s="398"/>
      <c r="M11942" s="682"/>
    </row>
    <row r="11943" spans="5:13" ht="38.25" hidden="1" x14ac:dyDescent="0.2">
      <c r="F11943" s="494">
        <v>484</v>
      </c>
      <c r="G11943" s="495" t="s">
        <v>4192</v>
      </c>
      <c r="H11943" s="397"/>
      <c r="I11943" s="397"/>
      <c r="J11943" s="750" t="e">
        <f t="shared" si="158"/>
        <v>#DIV/0!</v>
      </c>
      <c r="K11943" s="398"/>
      <c r="L11943" s="398"/>
      <c r="M11943" s="682"/>
    </row>
    <row r="11944" spans="5:13" ht="25.5" hidden="1" x14ac:dyDescent="0.2">
      <c r="F11944" s="494">
        <v>485</v>
      </c>
      <c r="G11944" s="495" t="s">
        <v>4193</v>
      </c>
      <c r="H11944" s="397"/>
      <c r="I11944" s="397"/>
      <c r="J11944" s="750" t="e">
        <f t="shared" si="158"/>
        <v>#DIV/0!</v>
      </c>
      <c r="K11944" s="398"/>
      <c r="L11944" s="398"/>
      <c r="M11944" s="682"/>
    </row>
    <row r="11945" spans="5:13" ht="25.5" hidden="1" x14ac:dyDescent="0.2">
      <c r="F11945" s="494">
        <v>489</v>
      </c>
      <c r="G11945" s="495" t="s">
        <v>3821</v>
      </c>
      <c r="H11945" s="397"/>
      <c r="I11945" s="397"/>
      <c r="J11945" s="750" t="e">
        <f t="shared" si="158"/>
        <v>#DIV/0!</v>
      </c>
      <c r="K11945" s="398"/>
      <c r="L11945" s="398"/>
      <c r="M11945" s="682"/>
    </row>
    <row r="11946" spans="5:13" ht="25.5" hidden="1" x14ac:dyDescent="0.2">
      <c r="F11946" s="494">
        <v>494</v>
      </c>
      <c r="G11946" s="495" t="s">
        <v>4171</v>
      </c>
      <c r="H11946" s="397"/>
      <c r="I11946" s="397"/>
      <c r="J11946" s="750" t="e">
        <f t="shared" si="158"/>
        <v>#DIV/0!</v>
      </c>
      <c r="K11946" s="398"/>
      <c r="L11946" s="398"/>
      <c r="M11946" s="682"/>
    </row>
    <row r="11947" spans="5:13" ht="25.5" hidden="1" x14ac:dyDescent="0.2">
      <c r="F11947" s="494">
        <v>495</v>
      </c>
      <c r="G11947" s="495" t="s">
        <v>4172</v>
      </c>
      <c r="H11947" s="397"/>
      <c r="I11947" s="397"/>
      <c r="J11947" s="750" t="e">
        <f t="shared" si="158"/>
        <v>#DIV/0!</v>
      </c>
      <c r="K11947" s="398"/>
      <c r="L11947" s="398"/>
      <c r="M11947" s="682"/>
    </row>
    <row r="11948" spans="5:13" ht="38.25" hidden="1" x14ac:dyDescent="0.2">
      <c r="F11948" s="494">
        <v>496</v>
      </c>
      <c r="G11948" s="495" t="s">
        <v>4173</v>
      </c>
      <c r="H11948" s="397"/>
      <c r="I11948" s="397"/>
      <c r="J11948" s="750" t="e">
        <f t="shared" si="158"/>
        <v>#DIV/0!</v>
      </c>
      <c r="K11948" s="398"/>
      <c r="L11948" s="398"/>
      <c r="M11948" s="682"/>
    </row>
    <row r="11949" spans="5:13" ht="25.5" hidden="1" x14ac:dyDescent="0.2">
      <c r="F11949" s="494">
        <v>499</v>
      </c>
      <c r="G11949" s="495" t="s">
        <v>4174</v>
      </c>
      <c r="H11949" s="397"/>
      <c r="I11949" s="397"/>
      <c r="J11949" s="750" t="e">
        <f t="shared" si="158"/>
        <v>#DIV/0!</v>
      </c>
      <c r="K11949" s="398"/>
      <c r="L11949" s="398"/>
      <c r="M11949" s="682"/>
    </row>
    <row r="11950" spans="5:13" hidden="1" x14ac:dyDescent="0.2">
      <c r="F11950" s="494">
        <v>511</v>
      </c>
      <c r="G11950" s="497" t="s">
        <v>4194</v>
      </c>
      <c r="H11950" s="397"/>
      <c r="I11950" s="397"/>
      <c r="J11950" s="750" t="e">
        <f t="shared" si="158"/>
        <v>#DIV/0!</v>
      </c>
      <c r="K11950" s="398"/>
      <c r="L11950" s="398"/>
      <c r="M11950" s="682"/>
    </row>
    <row r="11951" spans="5:13" x14ac:dyDescent="0.2">
      <c r="E11951" s="464">
        <v>124</v>
      </c>
      <c r="F11951" s="494">
        <v>512</v>
      </c>
      <c r="G11951" s="497" t="s">
        <v>4195</v>
      </c>
      <c r="H11951" s="397">
        <v>101000</v>
      </c>
      <c r="I11951" s="397">
        <v>65804.399999999994</v>
      </c>
      <c r="J11951" s="750">
        <f t="shared" si="158"/>
        <v>65.152871287128704</v>
      </c>
      <c r="K11951" s="398">
        <v>30000</v>
      </c>
      <c r="L11951" s="398">
        <v>0</v>
      </c>
      <c r="M11951" s="682"/>
    </row>
    <row r="11952" spans="5:13" hidden="1" x14ac:dyDescent="0.2">
      <c r="F11952" s="494">
        <v>513</v>
      </c>
      <c r="G11952" s="497" t="s">
        <v>4196</v>
      </c>
      <c r="H11952" s="397"/>
      <c r="I11952" s="397"/>
      <c r="J11952" s="750" t="e">
        <f t="shared" si="158"/>
        <v>#DIV/0!</v>
      </c>
      <c r="K11952" s="398"/>
      <c r="L11952" s="398"/>
      <c r="M11952" s="682"/>
    </row>
    <row r="11953" spans="5:13" hidden="1" x14ac:dyDescent="0.2">
      <c r="F11953" s="494">
        <v>514</v>
      </c>
      <c r="G11953" s="495" t="s">
        <v>4197</v>
      </c>
      <c r="H11953" s="397"/>
      <c r="I11953" s="397"/>
      <c r="J11953" s="750" t="e">
        <f t="shared" si="158"/>
        <v>#DIV/0!</v>
      </c>
      <c r="K11953" s="398"/>
      <c r="L11953" s="398"/>
      <c r="M11953" s="682"/>
    </row>
    <row r="11954" spans="5:13" ht="13.5" thickBot="1" x14ac:dyDescent="0.25">
      <c r="E11954" s="464">
        <v>125</v>
      </c>
      <c r="F11954" s="494">
        <v>515</v>
      </c>
      <c r="G11954" s="495" t="s">
        <v>3832</v>
      </c>
      <c r="H11954" s="397">
        <v>250000</v>
      </c>
      <c r="I11954" s="397">
        <v>249685.59</v>
      </c>
      <c r="J11954" s="750">
        <f t="shared" si="158"/>
        <v>99.874235999999996</v>
      </c>
      <c r="K11954" s="398">
        <v>60000</v>
      </c>
      <c r="L11954" s="398">
        <v>59406.400000000001</v>
      </c>
      <c r="M11954" s="682"/>
    </row>
    <row r="11955" spans="5:13" ht="13.5" hidden="1" thickBot="1" x14ac:dyDescent="0.25">
      <c r="F11955" s="494">
        <v>521</v>
      </c>
      <c r="G11955" s="495" t="s">
        <v>4198</v>
      </c>
      <c r="H11955" s="397"/>
      <c r="I11955" s="397"/>
      <c r="J11955" s="750" t="e">
        <f t="shared" si="158"/>
        <v>#DIV/0!</v>
      </c>
      <c r="K11955" s="398"/>
      <c r="L11955" s="398"/>
      <c r="M11955" s="682"/>
    </row>
    <row r="11956" spans="5:13" ht="13.5" hidden="1" thickBot="1" x14ac:dyDescent="0.25">
      <c r="F11956" s="494">
        <v>522</v>
      </c>
      <c r="G11956" s="495" t="s">
        <v>4199</v>
      </c>
      <c r="H11956" s="397"/>
      <c r="I11956" s="397"/>
      <c r="J11956" s="750" t="e">
        <f t="shared" si="158"/>
        <v>#DIV/0!</v>
      </c>
      <c r="K11956" s="398"/>
      <c r="L11956" s="398"/>
      <c r="M11956" s="682"/>
    </row>
    <row r="11957" spans="5:13" ht="13.5" hidden="1" thickBot="1" x14ac:dyDescent="0.25">
      <c r="F11957" s="494">
        <v>523</v>
      </c>
      <c r="G11957" s="495" t="s">
        <v>3837</v>
      </c>
      <c r="H11957" s="397"/>
      <c r="I11957" s="397"/>
      <c r="J11957" s="750" t="e">
        <f t="shared" si="158"/>
        <v>#DIV/0!</v>
      </c>
      <c r="K11957" s="398"/>
      <c r="L11957" s="398"/>
      <c r="M11957" s="682"/>
    </row>
    <row r="11958" spans="5:13" ht="13.5" hidden="1" thickBot="1" x14ac:dyDescent="0.25">
      <c r="F11958" s="494">
        <v>531</v>
      </c>
      <c r="G11958" s="496" t="s">
        <v>4175</v>
      </c>
      <c r="H11958" s="397"/>
      <c r="I11958" s="397"/>
      <c r="J11958" s="750" t="e">
        <f t="shared" si="158"/>
        <v>#DIV/0!</v>
      </c>
      <c r="K11958" s="398"/>
      <c r="L11958" s="398"/>
      <c r="M11958" s="682"/>
    </row>
    <row r="11959" spans="5:13" ht="13.5" hidden="1" thickBot="1" x14ac:dyDescent="0.25">
      <c r="F11959" s="494">
        <v>541</v>
      </c>
      <c r="G11959" s="495" t="s">
        <v>4200</v>
      </c>
      <c r="H11959" s="397"/>
      <c r="I11959" s="397"/>
      <c r="J11959" s="750" t="e">
        <f t="shared" si="158"/>
        <v>#DIV/0!</v>
      </c>
      <c r="K11959" s="398"/>
      <c r="L11959" s="398"/>
      <c r="M11959" s="682"/>
    </row>
    <row r="11960" spans="5:13" ht="13.5" hidden="1" thickBot="1" x14ac:dyDescent="0.25">
      <c r="F11960" s="494">
        <v>542</v>
      </c>
      <c r="G11960" s="495" t="s">
        <v>4201</v>
      </c>
      <c r="H11960" s="397"/>
      <c r="I11960" s="397"/>
      <c r="J11960" s="750" t="e">
        <f t="shared" si="158"/>
        <v>#DIV/0!</v>
      </c>
      <c r="K11960" s="398"/>
      <c r="L11960" s="398"/>
      <c r="M11960" s="682"/>
    </row>
    <row r="11961" spans="5:13" ht="13.5" hidden="1" thickBot="1" x14ac:dyDescent="0.25">
      <c r="F11961" s="494">
        <v>543</v>
      </c>
      <c r="G11961" s="495" t="s">
        <v>3842</v>
      </c>
      <c r="H11961" s="397"/>
      <c r="I11961" s="397"/>
      <c r="J11961" s="750" t="e">
        <f t="shared" si="158"/>
        <v>#DIV/0!</v>
      </c>
      <c r="K11961" s="398"/>
      <c r="L11961" s="398"/>
      <c r="M11961" s="682"/>
    </row>
    <row r="11962" spans="5:13" ht="39" hidden="1" thickBot="1" x14ac:dyDescent="0.25">
      <c r="F11962" s="494">
        <v>551</v>
      </c>
      <c r="G11962" s="495" t="s">
        <v>4176</v>
      </c>
      <c r="H11962" s="397"/>
      <c r="I11962" s="397"/>
      <c r="J11962" s="750" t="e">
        <f t="shared" si="158"/>
        <v>#DIV/0!</v>
      </c>
      <c r="K11962" s="398"/>
      <c r="L11962" s="398"/>
      <c r="M11962" s="682"/>
    </row>
    <row r="11963" spans="5:13" ht="12.75" hidden="1" customHeight="1" x14ac:dyDescent="0.2">
      <c r="F11963" s="498">
        <v>611</v>
      </c>
      <c r="G11963" s="499" t="s">
        <v>3848</v>
      </c>
      <c r="H11963" s="397"/>
      <c r="I11963" s="397"/>
      <c r="J11963" s="750" t="e">
        <f t="shared" si="158"/>
        <v>#DIV/0!</v>
      </c>
      <c r="K11963" s="398"/>
      <c r="L11963" s="398"/>
      <c r="M11963" s="682"/>
    </row>
    <row r="11964" spans="5:13" ht="12.75" hidden="1" customHeight="1" thickBot="1" x14ac:dyDescent="0.25">
      <c r="F11964" s="498">
        <v>620</v>
      </c>
      <c r="G11964" s="499" t="s">
        <v>88</v>
      </c>
      <c r="H11964" s="397"/>
      <c r="I11964" s="397"/>
      <c r="J11964" s="750" t="e">
        <f t="shared" si="158"/>
        <v>#DIV/0!</v>
      </c>
      <c r="K11964" s="398"/>
      <c r="L11964" s="398"/>
      <c r="M11964" s="682"/>
    </row>
    <row r="11965" spans="5:13" x14ac:dyDescent="0.2">
      <c r="E11965" s="500"/>
      <c r="F11965" s="498"/>
      <c r="G11965" s="501" t="s">
        <v>4435</v>
      </c>
      <c r="H11965" s="400"/>
      <c r="I11965" s="400"/>
      <c r="J11965" s="750"/>
      <c r="K11965" s="401"/>
      <c r="L11965" s="402"/>
      <c r="M11965" s="682"/>
    </row>
    <row r="11966" spans="5:13" x14ac:dyDescent="0.2">
      <c r="E11966" s="502"/>
      <c r="F11966" s="503" t="s">
        <v>234</v>
      </c>
      <c r="G11966" s="504" t="s">
        <v>235</v>
      </c>
      <c r="H11966" s="403">
        <f>SUM(H11905:H11954)</f>
        <v>9282155</v>
      </c>
      <c r="I11966" s="403">
        <f>SUM(I11905:I11954)</f>
        <v>8459930.870000001</v>
      </c>
      <c r="J11966" s="750">
        <f t="shared" si="158"/>
        <v>91.141883215697234</v>
      </c>
      <c r="K11966" s="404"/>
      <c r="L11966" s="404"/>
      <c r="M11966" s="682"/>
    </row>
    <row r="11967" spans="5:13" hidden="1" x14ac:dyDescent="0.2">
      <c r="F11967" s="503" t="s">
        <v>236</v>
      </c>
      <c r="G11967" s="504" t="s">
        <v>237</v>
      </c>
      <c r="H11967" s="397"/>
      <c r="I11967" s="397"/>
      <c r="J11967" s="750" t="e">
        <f t="shared" si="158"/>
        <v>#DIV/0!</v>
      </c>
      <c r="K11967" s="398"/>
      <c r="L11967" s="404"/>
      <c r="M11967" s="682"/>
    </row>
    <row r="11968" spans="5:13" hidden="1" x14ac:dyDescent="0.2">
      <c r="F11968" s="503" t="s">
        <v>238</v>
      </c>
      <c r="G11968" s="504" t="s">
        <v>239</v>
      </c>
      <c r="H11968" s="397"/>
      <c r="I11968" s="397"/>
      <c r="J11968" s="750" t="e">
        <f t="shared" si="158"/>
        <v>#DIV/0!</v>
      </c>
      <c r="K11968" s="398"/>
      <c r="L11968" s="404"/>
      <c r="M11968" s="682"/>
    </row>
    <row r="11969" spans="5:13" ht="13.5" thickBot="1" x14ac:dyDescent="0.25">
      <c r="F11969" s="503" t="s">
        <v>240</v>
      </c>
      <c r="G11969" s="504" t="s">
        <v>241</v>
      </c>
      <c r="H11969" s="397"/>
      <c r="I11969" s="397"/>
      <c r="J11969" s="750"/>
      <c r="K11969" s="398">
        <f>SUM(K11907:K11954)</f>
        <v>744000</v>
      </c>
      <c r="L11969" s="404">
        <f>SUM(L11907:L11954)</f>
        <v>549354.56999999995</v>
      </c>
      <c r="M11969" s="682"/>
    </row>
    <row r="11970" spans="5:13" ht="13.5" hidden="1" thickBot="1" x14ac:dyDescent="0.25">
      <c r="F11970" s="503" t="s">
        <v>242</v>
      </c>
      <c r="G11970" s="504" t="s">
        <v>243</v>
      </c>
      <c r="H11970" s="397"/>
      <c r="I11970" s="397"/>
      <c r="J11970" s="750" t="e">
        <f t="shared" si="158"/>
        <v>#DIV/0!</v>
      </c>
      <c r="K11970" s="398"/>
      <c r="L11970" s="404"/>
      <c r="M11970" s="682"/>
    </row>
    <row r="11971" spans="5:13" ht="13.5" hidden="1" thickBot="1" x14ac:dyDescent="0.25">
      <c r="F11971" s="503" t="s">
        <v>244</v>
      </c>
      <c r="G11971" s="504" t="s">
        <v>245</v>
      </c>
      <c r="H11971" s="397"/>
      <c r="I11971" s="397"/>
      <c r="J11971" s="750" t="e">
        <f t="shared" si="158"/>
        <v>#DIV/0!</v>
      </c>
      <c r="K11971" s="398"/>
      <c r="L11971" s="404"/>
      <c r="M11971" s="682"/>
    </row>
    <row r="11972" spans="5:13" ht="13.5" hidden="1" thickBot="1" x14ac:dyDescent="0.25">
      <c r="F11972" s="503" t="s">
        <v>246</v>
      </c>
      <c r="G11972" s="504" t="s">
        <v>247</v>
      </c>
      <c r="H11972" s="397"/>
      <c r="I11972" s="397"/>
      <c r="J11972" s="750" t="e">
        <f t="shared" si="158"/>
        <v>#DIV/0!</v>
      </c>
      <c r="K11972" s="398"/>
      <c r="L11972" s="404"/>
      <c r="M11972" s="682"/>
    </row>
    <row r="11973" spans="5:13" ht="26.25" hidden="1" thickBot="1" x14ac:dyDescent="0.25">
      <c r="F11973" s="503" t="s">
        <v>248</v>
      </c>
      <c r="G11973" s="504" t="s">
        <v>249</v>
      </c>
      <c r="H11973" s="397"/>
      <c r="I11973" s="397"/>
      <c r="J11973" s="750" t="e">
        <f t="shared" si="158"/>
        <v>#DIV/0!</v>
      </c>
      <c r="K11973" s="398"/>
      <c r="L11973" s="404"/>
      <c r="M11973" s="682"/>
    </row>
    <row r="11974" spans="5:13" ht="13.5" hidden="1" thickBot="1" x14ac:dyDescent="0.25">
      <c r="F11974" s="503" t="s">
        <v>250</v>
      </c>
      <c r="G11974" s="504" t="s">
        <v>57</v>
      </c>
      <c r="H11974" s="397"/>
      <c r="I11974" s="397"/>
      <c r="J11974" s="750" t="e">
        <f t="shared" si="158"/>
        <v>#DIV/0!</v>
      </c>
      <c r="K11974" s="398"/>
      <c r="L11974" s="404"/>
      <c r="M11974" s="682"/>
    </row>
    <row r="11975" spans="5:13" ht="13.5" hidden="1" thickBot="1" x14ac:dyDescent="0.25">
      <c r="F11975" s="503" t="s">
        <v>251</v>
      </c>
      <c r="G11975" s="504" t="s">
        <v>252</v>
      </c>
      <c r="H11975" s="397"/>
      <c r="I11975" s="397"/>
      <c r="J11975" s="750" t="e">
        <f t="shared" si="158"/>
        <v>#DIV/0!</v>
      </c>
      <c r="K11975" s="398"/>
      <c r="L11975" s="404"/>
      <c r="M11975" s="682"/>
    </row>
    <row r="11976" spans="5:13" ht="13.5" hidden="1" thickBot="1" x14ac:dyDescent="0.25">
      <c r="F11976" s="503" t="s">
        <v>253</v>
      </c>
      <c r="G11976" s="504" t="s">
        <v>254</v>
      </c>
      <c r="H11976" s="397"/>
      <c r="I11976" s="397"/>
      <c r="J11976" s="750" t="e">
        <f t="shared" si="158"/>
        <v>#DIV/0!</v>
      </c>
      <c r="K11976" s="398"/>
      <c r="L11976" s="404"/>
      <c r="M11976" s="682"/>
    </row>
    <row r="11977" spans="5:13" ht="26.25" hidden="1" thickBot="1" x14ac:dyDescent="0.25">
      <c r="F11977" s="503" t="s">
        <v>255</v>
      </c>
      <c r="G11977" s="504" t="s">
        <v>256</v>
      </c>
      <c r="H11977" s="397"/>
      <c r="I11977" s="397"/>
      <c r="J11977" s="750" t="e">
        <f t="shared" si="158"/>
        <v>#DIV/0!</v>
      </c>
      <c r="K11977" s="398"/>
      <c r="L11977" s="404"/>
      <c r="M11977" s="682"/>
    </row>
    <row r="11978" spans="5:13" ht="26.25" hidden="1" thickBot="1" x14ac:dyDescent="0.25">
      <c r="F11978" s="503" t="s">
        <v>257</v>
      </c>
      <c r="G11978" s="504" t="s">
        <v>258</v>
      </c>
      <c r="H11978" s="397"/>
      <c r="I11978" s="397"/>
      <c r="J11978" s="750" t="e">
        <f t="shared" si="158"/>
        <v>#DIV/0!</v>
      </c>
      <c r="K11978" s="398"/>
      <c r="L11978" s="404"/>
      <c r="M11978" s="682"/>
    </row>
    <row r="11979" spans="5:13" ht="26.25" hidden="1" thickBot="1" x14ac:dyDescent="0.25">
      <c r="F11979" s="503" t="s">
        <v>259</v>
      </c>
      <c r="G11979" s="504" t="s">
        <v>260</v>
      </c>
      <c r="H11979" s="397"/>
      <c r="I11979" s="397"/>
      <c r="J11979" s="750" t="e">
        <f t="shared" si="158"/>
        <v>#DIV/0!</v>
      </c>
      <c r="K11979" s="398"/>
      <c r="L11979" s="404"/>
      <c r="M11979" s="682"/>
    </row>
    <row r="11980" spans="5:13" ht="26.25" hidden="1" thickBot="1" x14ac:dyDescent="0.25">
      <c r="F11980" s="503" t="s">
        <v>261</v>
      </c>
      <c r="G11980" s="504" t="s">
        <v>262</v>
      </c>
      <c r="H11980" s="397"/>
      <c r="I11980" s="397"/>
      <c r="J11980" s="750" t="e">
        <f t="shared" si="158"/>
        <v>#DIV/0!</v>
      </c>
      <c r="K11980" s="398"/>
      <c r="L11980" s="404"/>
      <c r="M11980" s="682"/>
    </row>
    <row r="11981" spans="5:13" ht="12" hidden="1" customHeight="1" thickBot="1" x14ac:dyDescent="0.25">
      <c r="F11981" s="503" t="s">
        <v>263</v>
      </c>
      <c r="G11981" s="504" t="s">
        <v>264</v>
      </c>
      <c r="H11981" s="403"/>
      <c r="I11981" s="403"/>
      <c r="J11981" s="750" t="e">
        <f t="shared" si="158"/>
        <v>#DIV/0!</v>
      </c>
      <c r="K11981" s="404"/>
      <c r="L11981" s="404"/>
      <c r="M11981" s="682"/>
    </row>
    <row r="11982" spans="5:13" ht="13.5" thickBot="1" x14ac:dyDescent="0.25">
      <c r="G11982" s="505" t="s">
        <v>4436</v>
      </c>
      <c r="H11982" s="405">
        <f>SUM(H11966:H11981)</f>
        <v>9282155</v>
      </c>
      <c r="I11982" s="405">
        <f>SUM(I11966)</f>
        <v>8459930.870000001</v>
      </c>
      <c r="J11982" s="750">
        <f t="shared" ref="J11982:J12000" si="159">SUM(I11982/H11982)*100</f>
        <v>91.141883215697234</v>
      </c>
      <c r="K11982" s="406">
        <f>SUM(K11969)</f>
        <v>744000</v>
      </c>
      <c r="L11982" s="406">
        <f>SUM(L11969)</f>
        <v>549354.56999999995</v>
      </c>
      <c r="M11982" s="682"/>
    </row>
    <row r="11983" spans="5:13" ht="15" customHeight="1" collapsed="1" x14ac:dyDescent="0.2">
      <c r="E11983" s="500"/>
      <c r="F11983" s="498"/>
      <c r="G11983" s="506" t="s">
        <v>4437</v>
      </c>
      <c r="H11983" s="407"/>
      <c r="I11983" s="408"/>
      <c r="J11983" s="750"/>
      <c r="K11983" s="409"/>
      <c r="L11983" s="410"/>
      <c r="M11983" s="682"/>
    </row>
    <row r="11984" spans="5:13" x14ac:dyDescent="0.2">
      <c r="E11984" s="502"/>
      <c r="F11984" s="503" t="s">
        <v>234</v>
      </c>
      <c r="G11984" s="504" t="s">
        <v>235</v>
      </c>
      <c r="H11984" s="403">
        <f>SUM(H11905:H11964)</f>
        <v>9282155</v>
      </c>
      <c r="I11984" s="403">
        <f>SUM(I11982)</f>
        <v>8459930.870000001</v>
      </c>
      <c r="J11984" s="750">
        <f t="shared" si="159"/>
        <v>91.141883215697234</v>
      </c>
      <c r="K11984" s="404"/>
      <c r="L11984" s="404"/>
      <c r="M11984" s="682"/>
    </row>
    <row r="11985" spans="6:13" hidden="1" x14ac:dyDescent="0.2">
      <c r="F11985" s="503" t="s">
        <v>236</v>
      </c>
      <c r="G11985" s="504" t="s">
        <v>237</v>
      </c>
      <c r="H11985" s="397"/>
      <c r="I11985" s="397"/>
      <c r="J11985" s="750" t="e">
        <f t="shared" si="159"/>
        <v>#DIV/0!</v>
      </c>
      <c r="K11985" s="398"/>
      <c r="L11985" s="404"/>
      <c r="M11985" s="682"/>
    </row>
    <row r="11986" spans="6:13" hidden="1" x14ac:dyDescent="0.2">
      <c r="F11986" s="503" t="s">
        <v>238</v>
      </c>
      <c r="G11986" s="504" t="s">
        <v>239</v>
      </c>
      <c r="H11986" s="397"/>
      <c r="I11986" s="397"/>
      <c r="J11986" s="750" t="e">
        <f t="shared" si="159"/>
        <v>#DIV/0!</v>
      </c>
      <c r="K11986" s="398"/>
      <c r="L11986" s="404"/>
      <c r="M11986" s="682"/>
    </row>
    <row r="11987" spans="6:13" ht="13.5" thickBot="1" x14ac:dyDescent="0.25">
      <c r="F11987" s="503" t="s">
        <v>240</v>
      </c>
      <c r="G11987" s="504" t="s">
        <v>241</v>
      </c>
      <c r="H11987" s="397"/>
      <c r="I11987" s="397"/>
      <c r="J11987" s="750"/>
      <c r="K11987" s="398">
        <f>SUM(K11982)</f>
        <v>744000</v>
      </c>
      <c r="L11987" s="404">
        <f>SUM(L11982)</f>
        <v>549354.56999999995</v>
      </c>
      <c r="M11987" s="682"/>
    </row>
    <row r="11988" spans="6:13" ht="13.5" hidden="1" thickBot="1" x14ac:dyDescent="0.25">
      <c r="F11988" s="503" t="s">
        <v>242</v>
      </c>
      <c r="G11988" s="504" t="s">
        <v>243</v>
      </c>
      <c r="H11988" s="397"/>
      <c r="I11988" s="397"/>
      <c r="J11988" s="750" t="e">
        <f t="shared" si="159"/>
        <v>#DIV/0!</v>
      </c>
      <c r="K11988" s="398"/>
      <c r="L11988" s="404"/>
      <c r="M11988" s="682"/>
    </row>
    <row r="11989" spans="6:13" ht="13.5" hidden="1" thickBot="1" x14ac:dyDescent="0.25">
      <c r="F11989" s="503" t="s">
        <v>244</v>
      </c>
      <c r="G11989" s="504" t="s">
        <v>245</v>
      </c>
      <c r="H11989" s="397"/>
      <c r="I11989" s="397"/>
      <c r="J11989" s="750" t="e">
        <f t="shared" si="159"/>
        <v>#DIV/0!</v>
      </c>
      <c r="K11989" s="398"/>
      <c r="L11989" s="404"/>
      <c r="M11989" s="682"/>
    </row>
    <row r="11990" spans="6:13" ht="13.5" hidden="1" thickBot="1" x14ac:dyDescent="0.25">
      <c r="F11990" s="503" t="s">
        <v>246</v>
      </c>
      <c r="G11990" s="504" t="s">
        <v>247</v>
      </c>
      <c r="H11990" s="397"/>
      <c r="I11990" s="397"/>
      <c r="J11990" s="750" t="e">
        <f t="shared" si="159"/>
        <v>#DIV/0!</v>
      </c>
      <c r="K11990" s="398"/>
      <c r="L11990" s="404"/>
      <c r="M11990" s="682"/>
    </row>
    <row r="11991" spans="6:13" ht="26.25" hidden="1" thickBot="1" x14ac:dyDescent="0.25">
      <c r="F11991" s="503" t="s">
        <v>248</v>
      </c>
      <c r="G11991" s="504" t="s">
        <v>249</v>
      </c>
      <c r="H11991" s="397"/>
      <c r="I11991" s="397"/>
      <c r="J11991" s="750" t="e">
        <f t="shared" si="159"/>
        <v>#DIV/0!</v>
      </c>
      <c r="K11991" s="398"/>
      <c r="L11991" s="404"/>
      <c r="M11991" s="682"/>
    </row>
    <row r="11992" spans="6:13" ht="13.5" hidden="1" thickBot="1" x14ac:dyDescent="0.25">
      <c r="F11992" s="503" t="s">
        <v>250</v>
      </c>
      <c r="G11992" s="504" t="s">
        <v>57</v>
      </c>
      <c r="H11992" s="397"/>
      <c r="I11992" s="397"/>
      <c r="J11992" s="750" t="e">
        <f t="shared" si="159"/>
        <v>#DIV/0!</v>
      </c>
      <c r="K11992" s="398"/>
      <c r="L11992" s="404"/>
      <c r="M11992" s="682"/>
    </row>
    <row r="11993" spans="6:13" ht="13.5" hidden="1" thickBot="1" x14ac:dyDescent="0.25">
      <c r="F11993" s="503" t="s">
        <v>251</v>
      </c>
      <c r="G11993" s="504" t="s">
        <v>252</v>
      </c>
      <c r="H11993" s="397"/>
      <c r="I11993" s="397"/>
      <c r="J11993" s="750" t="e">
        <f t="shared" si="159"/>
        <v>#DIV/0!</v>
      </c>
      <c r="K11993" s="398"/>
      <c r="L11993" s="404"/>
      <c r="M11993" s="682"/>
    </row>
    <row r="11994" spans="6:13" ht="13.5" hidden="1" thickBot="1" x14ac:dyDescent="0.25">
      <c r="F11994" s="503" t="s">
        <v>253</v>
      </c>
      <c r="G11994" s="504" t="s">
        <v>254</v>
      </c>
      <c r="H11994" s="397"/>
      <c r="I11994" s="397"/>
      <c r="J11994" s="750" t="e">
        <f t="shared" si="159"/>
        <v>#DIV/0!</v>
      </c>
      <c r="K11994" s="398"/>
      <c r="L11994" s="404"/>
      <c r="M11994" s="682"/>
    </row>
    <row r="11995" spans="6:13" ht="26.25" hidden="1" thickBot="1" x14ac:dyDescent="0.25">
      <c r="F11995" s="503" t="s">
        <v>255</v>
      </c>
      <c r="G11995" s="504" t="s">
        <v>256</v>
      </c>
      <c r="H11995" s="397"/>
      <c r="I11995" s="397"/>
      <c r="J11995" s="750" t="e">
        <f t="shared" si="159"/>
        <v>#DIV/0!</v>
      </c>
      <c r="K11995" s="398"/>
      <c r="L11995" s="404"/>
      <c r="M11995" s="682"/>
    </row>
    <row r="11996" spans="6:13" ht="26.25" hidden="1" thickBot="1" x14ac:dyDescent="0.25">
      <c r="F11996" s="503" t="s">
        <v>257</v>
      </c>
      <c r="G11996" s="504" t="s">
        <v>258</v>
      </c>
      <c r="H11996" s="397"/>
      <c r="I11996" s="397"/>
      <c r="J11996" s="750" t="e">
        <f t="shared" si="159"/>
        <v>#DIV/0!</v>
      </c>
      <c r="K11996" s="398"/>
      <c r="L11996" s="404"/>
      <c r="M11996" s="682"/>
    </row>
    <row r="11997" spans="6:13" ht="26.25" hidden="1" thickBot="1" x14ac:dyDescent="0.25">
      <c r="F11997" s="503" t="s">
        <v>259</v>
      </c>
      <c r="G11997" s="504" t="s">
        <v>260</v>
      </c>
      <c r="H11997" s="397"/>
      <c r="I11997" s="397"/>
      <c r="J11997" s="750" t="e">
        <f t="shared" si="159"/>
        <v>#DIV/0!</v>
      </c>
      <c r="K11997" s="398"/>
      <c r="L11997" s="404"/>
      <c r="M11997" s="682"/>
    </row>
    <row r="11998" spans="6:13" ht="26.25" hidden="1" thickBot="1" x14ac:dyDescent="0.25">
      <c r="F11998" s="503" t="s">
        <v>261</v>
      </c>
      <c r="G11998" s="504" t="s">
        <v>262</v>
      </c>
      <c r="H11998" s="397"/>
      <c r="I11998" s="397"/>
      <c r="J11998" s="750" t="e">
        <f t="shared" si="159"/>
        <v>#DIV/0!</v>
      </c>
      <c r="K11998" s="398"/>
      <c r="L11998" s="404"/>
      <c r="M11998" s="682"/>
    </row>
    <row r="11999" spans="6:13" ht="13.5" hidden="1" thickBot="1" x14ac:dyDescent="0.25">
      <c r="F11999" s="503" t="s">
        <v>263</v>
      </c>
      <c r="G11999" s="504" t="s">
        <v>264</v>
      </c>
      <c r="H11999" s="403"/>
      <c r="I11999" s="403"/>
      <c r="J11999" s="750" t="e">
        <f t="shared" si="159"/>
        <v>#DIV/0!</v>
      </c>
      <c r="K11999" s="404"/>
      <c r="L11999" s="404"/>
      <c r="M11999" s="682"/>
    </row>
    <row r="12000" spans="6:13" ht="13.5" collapsed="1" thickBot="1" x14ac:dyDescent="0.25">
      <c r="G12000" s="505" t="s">
        <v>4438</v>
      </c>
      <c r="H12000" s="405">
        <f>SUM(H11984:H11999)</f>
        <v>9282155</v>
      </c>
      <c r="I12000" s="405">
        <f>SUM(I11984)</f>
        <v>8459930.870000001</v>
      </c>
      <c r="J12000" s="750">
        <f t="shared" si="159"/>
        <v>91.141883215697234</v>
      </c>
      <c r="K12000" s="406">
        <f>SUM(K11987)</f>
        <v>744000</v>
      </c>
      <c r="L12000" s="406">
        <f>SUM(L11987)</f>
        <v>549354.56999999995</v>
      </c>
      <c r="M12000" s="682"/>
    </row>
    <row r="12001" spans="3:13" ht="5.25" customHeight="1" x14ac:dyDescent="0.2">
      <c r="H12001" s="397"/>
      <c r="I12001" s="397"/>
      <c r="J12001" s="750"/>
      <c r="K12001" s="398"/>
      <c r="L12001" s="398"/>
      <c r="M12001" s="682"/>
    </row>
    <row r="12002" spans="3:13" hidden="1" x14ac:dyDescent="0.2">
      <c r="C12002" s="489" t="s">
        <v>4830</v>
      </c>
      <c r="D12002" s="490"/>
      <c r="G12002" s="508" t="s">
        <v>5085</v>
      </c>
      <c r="H12002" s="397"/>
      <c r="I12002" s="397"/>
      <c r="J12002" s="750"/>
      <c r="K12002" s="398"/>
      <c r="L12002" s="398"/>
      <c r="M12002" s="682"/>
    </row>
    <row r="12003" spans="3:13" hidden="1" x14ac:dyDescent="0.2">
      <c r="C12003" s="489"/>
      <c r="D12003" s="492">
        <v>820</v>
      </c>
      <c r="E12003" s="492"/>
      <c r="F12003" s="492"/>
      <c r="G12003" s="493" t="s">
        <v>207</v>
      </c>
      <c r="H12003" s="397"/>
      <c r="I12003" s="397"/>
      <c r="J12003" s="750"/>
      <c r="K12003" s="398"/>
      <c r="L12003" s="398"/>
      <c r="M12003" s="682"/>
    </row>
    <row r="12004" spans="3:13" hidden="1" x14ac:dyDescent="0.2">
      <c r="F12004" s="494">
        <v>411</v>
      </c>
      <c r="G12004" s="495" t="s">
        <v>4167</v>
      </c>
      <c r="H12004" s="397"/>
      <c r="I12004" s="397"/>
      <c r="J12004" s="750"/>
      <c r="K12004" s="398"/>
      <c r="L12004" s="398"/>
      <c r="M12004" s="682"/>
    </row>
    <row r="12005" spans="3:13" hidden="1" x14ac:dyDescent="0.2">
      <c r="F12005" s="494">
        <v>412</v>
      </c>
      <c r="G12005" s="496" t="s">
        <v>3764</v>
      </c>
      <c r="H12005" s="397"/>
      <c r="I12005" s="397"/>
      <c r="J12005" s="750"/>
      <c r="K12005" s="398"/>
      <c r="L12005" s="398"/>
      <c r="M12005" s="682"/>
    </row>
    <row r="12006" spans="3:13" hidden="1" x14ac:dyDescent="0.2">
      <c r="F12006" s="494">
        <v>413</v>
      </c>
      <c r="G12006" s="495" t="s">
        <v>4168</v>
      </c>
      <c r="H12006" s="397"/>
      <c r="I12006" s="397"/>
      <c r="J12006" s="750"/>
      <c r="K12006" s="398"/>
      <c r="L12006" s="398"/>
      <c r="M12006" s="682"/>
    </row>
    <row r="12007" spans="3:13" hidden="1" x14ac:dyDescent="0.2">
      <c r="F12007" s="494">
        <v>414</v>
      </c>
      <c r="G12007" s="495" t="s">
        <v>3767</v>
      </c>
      <c r="H12007" s="397"/>
      <c r="I12007" s="397"/>
      <c r="J12007" s="750"/>
      <c r="K12007" s="398"/>
      <c r="L12007" s="398"/>
      <c r="M12007" s="682"/>
    </row>
    <row r="12008" spans="3:13" hidden="1" x14ac:dyDescent="0.2">
      <c r="F12008" s="494">
        <v>415</v>
      </c>
      <c r="G12008" s="495" t="s">
        <v>4177</v>
      </c>
      <c r="H12008" s="397"/>
      <c r="I12008" s="397"/>
      <c r="J12008" s="750"/>
      <c r="K12008" s="398"/>
      <c r="L12008" s="398"/>
      <c r="M12008" s="682"/>
    </row>
    <row r="12009" spans="3:13" ht="25.5" hidden="1" x14ac:dyDescent="0.2">
      <c r="F12009" s="494">
        <v>416</v>
      </c>
      <c r="G12009" s="495" t="s">
        <v>4178</v>
      </c>
      <c r="H12009" s="397"/>
      <c r="I12009" s="397"/>
      <c r="J12009" s="750"/>
      <c r="K12009" s="398"/>
      <c r="L12009" s="398"/>
      <c r="M12009" s="682"/>
    </row>
    <row r="12010" spans="3:13" hidden="1" x14ac:dyDescent="0.2">
      <c r="F12010" s="494">
        <v>417</v>
      </c>
      <c r="G12010" s="495" t="s">
        <v>4179</v>
      </c>
      <c r="H12010" s="397"/>
      <c r="I12010" s="397"/>
      <c r="J12010" s="750"/>
      <c r="K12010" s="398"/>
      <c r="L12010" s="398"/>
      <c r="M12010" s="682"/>
    </row>
    <row r="12011" spans="3:13" hidden="1" x14ac:dyDescent="0.2">
      <c r="F12011" s="494">
        <v>418</v>
      </c>
      <c r="G12011" s="495" t="s">
        <v>3773</v>
      </c>
      <c r="H12011" s="397"/>
      <c r="I12011" s="397"/>
      <c r="J12011" s="750"/>
      <c r="K12011" s="398"/>
      <c r="L12011" s="398"/>
      <c r="M12011" s="682"/>
    </row>
    <row r="12012" spans="3:13" hidden="1" x14ac:dyDescent="0.2">
      <c r="F12012" s="494">
        <v>421</v>
      </c>
      <c r="G12012" s="495" t="s">
        <v>3777</v>
      </c>
      <c r="H12012" s="397"/>
      <c r="I12012" s="397"/>
      <c r="J12012" s="750"/>
      <c r="K12012" s="398"/>
      <c r="L12012" s="398"/>
      <c r="M12012" s="682"/>
    </row>
    <row r="12013" spans="3:13" hidden="1" x14ac:dyDescent="0.2">
      <c r="F12013" s="494">
        <v>422</v>
      </c>
      <c r="G12013" s="495" t="s">
        <v>3778</v>
      </c>
      <c r="H12013" s="397"/>
      <c r="I12013" s="397"/>
      <c r="J12013" s="750"/>
      <c r="K12013" s="398"/>
      <c r="L12013" s="398"/>
      <c r="M12013" s="682"/>
    </row>
    <row r="12014" spans="3:13" hidden="1" x14ac:dyDescent="0.2">
      <c r="F12014" s="494">
        <v>423</v>
      </c>
      <c r="G12014" s="495" t="s">
        <v>3779</v>
      </c>
      <c r="H12014" s="397"/>
      <c r="I12014" s="397"/>
      <c r="J12014" s="750"/>
      <c r="K12014" s="398"/>
      <c r="L12014" s="398"/>
      <c r="M12014" s="682"/>
    </row>
    <row r="12015" spans="3:13" hidden="1" x14ac:dyDescent="0.2">
      <c r="F12015" s="494">
        <v>424</v>
      </c>
      <c r="G12015" s="495" t="s">
        <v>3781</v>
      </c>
      <c r="H12015" s="397"/>
      <c r="I12015" s="397"/>
      <c r="J12015" s="750"/>
      <c r="K12015" s="398"/>
      <c r="L12015" s="398"/>
      <c r="M12015" s="682"/>
    </row>
    <row r="12016" spans="3:13" hidden="1" x14ac:dyDescent="0.2">
      <c r="F12016" s="494">
        <v>425</v>
      </c>
      <c r="G12016" s="495" t="s">
        <v>4180</v>
      </c>
      <c r="H12016" s="397"/>
      <c r="I12016" s="397"/>
      <c r="J12016" s="750"/>
      <c r="K12016" s="398"/>
      <c r="L12016" s="398"/>
      <c r="M12016" s="682"/>
    </row>
    <row r="12017" spans="6:13" hidden="1" x14ac:dyDescent="0.2">
      <c r="F12017" s="494">
        <v>426</v>
      </c>
      <c r="G12017" s="495" t="s">
        <v>3785</v>
      </c>
      <c r="H12017" s="397"/>
      <c r="I12017" s="397"/>
      <c r="J12017" s="750"/>
      <c r="K12017" s="398"/>
      <c r="L12017" s="398"/>
      <c r="M12017" s="682"/>
    </row>
    <row r="12018" spans="6:13" hidden="1" x14ac:dyDescent="0.2">
      <c r="F12018" s="494">
        <v>431</v>
      </c>
      <c r="G12018" s="495" t="s">
        <v>4181</v>
      </c>
      <c r="H12018" s="397"/>
      <c r="I12018" s="397"/>
      <c r="J12018" s="750"/>
      <c r="K12018" s="398"/>
      <c r="L12018" s="398"/>
      <c r="M12018" s="682"/>
    </row>
    <row r="12019" spans="6:13" hidden="1" x14ac:dyDescent="0.2">
      <c r="F12019" s="494">
        <v>432</v>
      </c>
      <c r="G12019" s="495" t="s">
        <v>4182</v>
      </c>
      <c r="H12019" s="397"/>
      <c r="I12019" s="397"/>
      <c r="J12019" s="750"/>
      <c r="K12019" s="398"/>
      <c r="L12019" s="398"/>
      <c r="M12019" s="682"/>
    </row>
    <row r="12020" spans="6:13" hidden="1" x14ac:dyDescent="0.2">
      <c r="F12020" s="494">
        <v>433</v>
      </c>
      <c r="G12020" s="495" t="s">
        <v>4183</v>
      </c>
      <c r="H12020" s="397"/>
      <c r="I12020" s="397"/>
      <c r="J12020" s="750"/>
      <c r="K12020" s="398"/>
      <c r="L12020" s="398"/>
      <c r="M12020" s="682"/>
    </row>
    <row r="12021" spans="6:13" hidden="1" x14ac:dyDescent="0.2">
      <c r="F12021" s="494">
        <v>434</v>
      </c>
      <c r="G12021" s="495" t="s">
        <v>4184</v>
      </c>
      <c r="H12021" s="397"/>
      <c r="I12021" s="397"/>
      <c r="J12021" s="750"/>
      <c r="K12021" s="398"/>
      <c r="L12021" s="398"/>
      <c r="M12021" s="682"/>
    </row>
    <row r="12022" spans="6:13" hidden="1" x14ac:dyDescent="0.2">
      <c r="F12022" s="494">
        <v>435</v>
      </c>
      <c r="G12022" s="495" t="s">
        <v>3792</v>
      </c>
      <c r="H12022" s="397"/>
      <c r="I12022" s="397"/>
      <c r="J12022" s="750"/>
      <c r="K12022" s="398"/>
      <c r="L12022" s="398"/>
      <c r="M12022" s="682"/>
    </row>
    <row r="12023" spans="6:13" hidden="1" x14ac:dyDescent="0.2">
      <c r="F12023" s="494">
        <v>441</v>
      </c>
      <c r="G12023" s="495" t="s">
        <v>4185</v>
      </c>
      <c r="H12023" s="397"/>
      <c r="I12023" s="397"/>
      <c r="J12023" s="750"/>
      <c r="K12023" s="398"/>
      <c r="L12023" s="398"/>
      <c r="M12023" s="682"/>
    </row>
    <row r="12024" spans="6:13" hidden="1" x14ac:dyDescent="0.2">
      <c r="F12024" s="494">
        <v>442</v>
      </c>
      <c r="G12024" s="495" t="s">
        <v>4186</v>
      </c>
      <c r="H12024" s="397"/>
      <c r="I12024" s="397"/>
      <c r="J12024" s="750"/>
      <c r="K12024" s="398"/>
      <c r="L12024" s="398"/>
      <c r="M12024" s="682"/>
    </row>
    <row r="12025" spans="6:13" hidden="1" x14ac:dyDescent="0.2">
      <c r="F12025" s="494">
        <v>443</v>
      </c>
      <c r="G12025" s="495" t="s">
        <v>3797</v>
      </c>
      <c r="H12025" s="397"/>
      <c r="I12025" s="397"/>
      <c r="J12025" s="750"/>
      <c r="K12025" s="398"/>
      <c r="L12025" s="398"/>
      <c r="M12025" s="682"/>
    </row>
    <row r="12026" spans="6:13" hidden="1" x14ac:dyDescent="0.2">
      <c r="F12026" s="494">
        <v>444</v>
      </c>
      <c r="G12026" s="495" t="s">
        <v>3798</v>
      </c>
      <c r="H12026" s="397"/>
      <c r="I12026" s="397"/>
      <c r="J12026" s="750"/>
      <c r="K12026" s="398"/>
      <c r="L12026" s="398"/>
      <c r="M12026" s="682"/>
    </row>
    <row r="12027" spans="6:13" ht="25.5" hidden="1" x14ac:dyDescent="0.2">
      <c r="F12027" s="494">
        <v>4511</v>
      </c>
      <c r="G12027" s="466" t="s">
        <v>1692</v>
      </c>
      <c r="H12027" s="397"/>
      <c r="I12027" s="397"/>
      <c r="J12027" s="750"/>
      <c r="K12027" s="398"/>
      <c r="L12027" s="398"/>
      <c r="M12027" s="682"/>
    </row>
    <row r="12028" spans="6:13" ht="25.5" hidden="1" x14ac:dyDescent="0.2">
      <c r="F12028" s="494">
        <v>4512</v>
      </c>
      <c r="G12028" s="466" t="s">
        <v>1701</v>
      </c>
      <c r="H12028" s="397"/>
      <c r="I12028" s="397"/>
      <c r="J12028" s="750"/>
      <c r="K12028" s="398"/>
      <c r="L12028" s="398"/>
      <c r="M12028" s="682"/>
    </row>
    <row r="12029" spans="6:13" ht="25.5" hidden="1" x14ac:dyDescent="0.2">
      <c r="F12029" s="494">
        <v>452</v>
      </c>
      <c r="G12029" s="495" t="s">
        <v>4187</v>
      </c>
      <c r="H12029" s="397"/>
      <c r="I12029" s="397"/>
      <c r="J12029" s="750"/>
      <c r="K12029" s="398"/>
      <c r="L12029" s="398"/>
      <c r="M12029" s="682"/>
    </row>
    <row r="12030" spans="6:13" ht="25.5" hidden="1" x14ac:dyDescent="0.2">
      <c r="F12030" s="494">
        <v>453</v>
      </c>
      <c r="G12030" s="495" t="s">
        <v>4188</v>
      </c>
      <c r="H12030" s="397"/>
      <c r="I12030" s="397"/>
      <c r="J12030" s="750"/>
      <c r="K12030" s="398"/>
      <c r="L12030" s="398"/>
      <c r="M12030" s="682"/>
    </row>
    <row r="12031" spans="6:13" hidden="1" x14ac:dyDescent="0.2">
      <c r="F12031" s="494">
        <v>454</v>
      </c>
      <c r="G12031" s="495" t="s">
        <v>3803</v>
      </c>
      <c r="H12031" s="397"/>
      <c r="I12031" s="397"/>
      <c r="J12031" s="750"/>
      <c r="K12031" s="398"/>
      <c r="L12031" s="398"/>
      <c r="M12031" s="682"/>
    </row>
    <row r="12032" spans="6:13" hidden="1" x14ac:dyDescent="0.2">
      <c r="F12032" s="494">
        <v>461</v>
      </c>
      <c r="G12032" s="495" t="s">
        <v>4169</v>
      </c>
      <c r="H12032" s="397"/>
      <c r="I12032" s="397"/>
      <c r="J12032" s="750"/>
      <c r="K12032" s="398"/>
      <c r="L12032" s="398"/>
      <c r="M12032" s="682"/>
    </row>
    <row r="12033" spans="6:13" ht="25.5" hidden="1" x14ac:dyDescent="0.2">
      <c r="F12033" s="494">
        <v>462</v>
      </c>
      <c r="G12033" s="495" t="s">
        <v>3806</v>
      </c>
      <c r="H12033" s="397"/>
      <c r="I12033" s="397"/>
      <c r="J12033" s="750"/>
      <c r="K12033" s="398"/>
      <c r="L12033" s="398"/>
      <c r="M12033" s="682"/>
    </row>
    <row r="12034" spans="6:13" hidden="1" x14ac:dyDescent="0.2">
      <c r="F12034" s="494">
        <v>4631</v>
      </c>
      <c r="G12034" s="495" t="s">
        <v>3807</v>
      </c>
      <c r="H12034" s="397"/>
      <c r="I12034" s="397"/>
      <c r="J12034" s="750"/>
      <c r="K12034" s="398"/>
      <c r="L12034" s="398"/>
      <c r="M12034" s="682"/>
    </row>
    <row r="12035" spans="6:13" hidden="1" x14ac:dyDescent="0.2">
      <c r="F12035" s="494">
        <v>4632</v>
      </c>
      <c r="G12035" s="495" t="s">
        <v>3808</v>
      </c>
      <c r="H12035" s="397"/>
      <c r="I12035" s="397"/>
      <c r="J12035" s="750"/>
      <c r="K12035" s="398"/>
      <c r="L12035" s="398"/>
      <c r="M12035" s="682"/>
    </row>
    <row r="12036" spans="6:13" ht="25.5" hidden="1" x14ac:dyDescent="0.2">
      <c r="F12036" s="494">
        <v>464</v>
      </c>
      <c r="G12036" s="495" t="s">
        <v>3809</v>
      </c>
      <c r="H12036" s="397"/>
      <c r="I12036" s="397"/>
      <c r="J12036" s="750"/>
      <c r="K12036" s="398"/>
      <c r="L12036" s="398"/>
      <c r="M12036" s="682"/>
    </row>
    <row r="12037" spans="6:13" hidden="1" x14ac:dyDescent="0.2">
      <c r="F12037" s="494">
        <v>465</v>
      </c>
      <c r="G12037" s="495" t="s">
        <v>4170</v>
      </c>
      <c r="H12037" s="397"/>
      <c r="I12037" s="397"/>
      <c r="J12037" s="750"/>
      <c r="K12037" s="398"/>
      <c r="L12037" s="398"/>
      <c r="M12037" s="682"/>
    </row>
    <row r="12038" spans="6:13" hidden="1" x14ac:dyDescent="0.2">
      <c r="F12038" s="494">
        <v>472</v>
      </c>
      <c r="G12038" s="495" t="s">
        <v>3813</v>
      </c>
      <c r="H12038" s="397"/>
      <c r="I12038" s="397"/>
      <c r="J12038" s="750"/>
      <c r="K12038" s="398"/>
      <c r="L12038" s="398"/>
      <c r="M12038" s="682"/>
    </row>
    <row r="12039" spans="6:13" hidden="1" x14ac:dyDescent="0.2">
      <c r="F12039" s="494">
        <v>481</v>
      </c>
      <c r="G12039" s="495" t="s">
        <v>4189</v>
      </c>
      <c r="H12039" s="397"/>
      <c r="I12039" s="397"/>
      <c r="J12039" s="750"/>
      <c r="K12039" s="398"/>
      <c r="L12039" s="398"/>
      <c r="M12039" s="682"/>
    </row>
    <row r="12040" spans="6:13" hidden="1" x14ac:dyDescent="0.2">
      <c r="F12040" s="494">
        <v>482</v>
      </c>
      <c r="G12040" s="495" t="s">
        <v>4190</v>
      </c>
      <c r="H12040" s="397"/>
      <c r="I12040" s="397"/>
      <c r="J12040" s="750"/>
      <c r="K12040" s="398"/>
      <c r="L12040" s="398"/>
      <c r="M12040" s="682"/>
    </row>
    <row r="12041" spans="6:13" hidden="1" x14ac:dyDescent="0.2">
      <c r="F12041" s="494">
        <v>483</v>
      </c>
      <c r="G12041" s="497" t="s">
        <v>4191</v>
      </c>
      <c r="H12041" s="397"/>
      <c r="I12041" s="397"/>
      <c r="J12041" s="750"/>
      <c r="K12041" s="398"/>
      <c r="L12041" s="398"/>
      <c r="M12041" s="682"/>
    </row>
    <row r="12042" spans="6:13" ht="38.25" hidden="1" x14ac:dyDescent="0.2">
      <c r="F12042" s="494">
        <v>484</v>
      </c>
      <c r="G12042" s="495" t="s">
        <v>4192</v>
      </c>
      <c r="H12042" s="397"/>
      <c r="I12042" s="397"/>
      <c r="J12042" s="750"/>
      <c r="K12042" s="398"/>
      <c r="L12042" s="398"/>
      <c r="M12042" s="682"/>
    </row>
    <row r="12043" spans="6:13" ht="25.5" hidden="1" x14ac:dyDescent="0.2">
      <c r="F12043" s="494">
        <v>485</v>
      </c>
      <c r="G12043" s="495" t="s">
        <v>4193</v>
      </c>
      <c r="H12043" s="397"/>
      <c r="I12043" s="397"/>
      <c r="J12043" s="750"/>
      <c r="K12043" s="398"/>
      <c r="L12043" s="398"/>
      <c r="M12043" s="682"/>
    </row>
    <row r="12044" spans="6:13" ht="25.5" hidden="1" x14ac:dyDescent="0.2">
      <c r="F12044" s="494">
        <v>489</v>
      </c>
      <c r="G12044" s="495" t="s">
        <v>3821</v>
      </c>
      <c r="H12044" s="397"/>
      <c r="I12044" s="397"/>
      <c r="J12044" s="750"/>
      <c r="K12044" s="398"/>
      <c r="L12044" s="398"/>
      <c r="M12044" s="682"/>
    </row>
    <row r="12045" spans="6:13" ht="25.5" hidden="1" x14ac:dyDescent="0.2">
      <c r="F12045" s="494">
        <v>494</v>
      </c>
      <c r="G12045" s="495" t="s">
        <v>4171</v>
      </c>
      <c r="H12045" s="397"/>
      <c r="I12045" s="397"/>
      <c r="J12045" s="750"/>
      <c r="K12045" s="398"/>
      <c r="L12045" s="398"/>
      <c r="M12045" s="682"/>
    </row>
    <row r="12046" spans="6:13" ht="25.5" hidden="1" x14ac:dyDescent="0.2">
      <c r="F12046" s="494">
        <v>495</v>
      </c>
      <c r="G12046" s="495" t="s">
        <v>4172</v>
      </c>
      <c r="H12046" s="397"/>
      <c r="I12046" s="397"/>
      <c r="J12046" s="750"/>
      <c r="K12046" s="398"/>
      <c r="L12046" s="398"/>
      <c r="M12046" s="682"/>
    </row>
    <row r="12047" spans="6:13" ht="38.25" hidden="1" x14ac:dyDescent="0.2">
      <c r="F12047" s="494">
        <v>496</v>
      </c>
      <c r="G12047" s="495" t="s">
        <v>4173</v>
      </c>
      <c r="H12047" s="397"/>
      <c r="I12047" s="397"/>
      <c r="J12047" s="750"/>
      <c r="K12047" s="398"/>
      <c r="L12047" s="398"/>
      <c r="M12047" s="682"/>
    </row>
    <row r="12048" spans="6:13" ht="25.5" hidden="1" x14ac:dyDescent="0.2">
      <c r="F12048" s="494">
        <v>499</v>
      </c>
      <c r="G12048" s="495" t="s">
        <v>4174</v>
      </c>
      <c r="H12048" s="397"/>
      <c r="I12048" s="397"/>
      <c r="J12048" s="750"/>
      <c r="K12048" s="398"/>
      <c r="L12048" s="398"/>
      <c r="M12048" s="682"/>
    </row>
    <row r="12049" spans="5:13" hidden="1" x14ac:dyDescent="0.2">
      <c r="F12049" s="494">
        <v>511</v>
      </c>
      <c r="G12049" s="497" t="s">
        <v>4194</v>
      </c>
      <c r="H12049" s="397"/>
      <c r="I12049" s="397"/>
      <c r="J12049" s="750"/>
      <c r="K12049" s="398"/>
      <c r="L12049" s="398"/>
      <c r="M12049" s="682"/>
    </row>
    <row r="12050" spans="5:13" hidden="1" x14ac:dyDescent="0.2">
      <c r="F12050" s="494">
        <v>512</v>
      </c>
      <c r="G12050" s="497" t="s">
        <v>4195</v>
      </c>
      <c r="H12050" s="397"/>
      <c r="I12050" s="397"/>
      <c r="J12050" s="750"/>
      <c r="K12050" s="398"/>
      <c r="L12050" s="398"/>
      <c r="M12050" s="682"/>
    </row>
    <row r="12051" spans="5:13" hidden="1" x14ac:dyDescent="0.2">
      <c r="F12051" s="494">
        <v>513</v>
      </c>
      <c r="G12051" s="497" t="s">
        <v>4196</v>
      </c>
      <c r="H12051" s="397"/>
      <c r="I12051" s="397"/>
      <c r="J12051" s="750"/>
      <c r="K12051" s="398"/>
      <c r="L12051" s="398"/>
      <c r="M12051" s="682"/>
    </row>
    <row r="12052" spans="5:13" hidden="1" x14ac:dyDescent="0.2">
      <c r="F12052" s="494">
        <v>514</v>
      </c>
      <c r="G12052" s="495" t="s">
        <v>4197</v>
      </c>
      <c r="H12052" s="397"/>
      <c r="I12052" s="397"/>
      <c r="J12052" s="750"/>
      <c r="K12052" s="398"/>
      <c r="L12052" s="398"/>
      <c r="M12052" s="682"/>
    </row>
    <row r="12053" spans="5:13" hidden="1" x14ac:dyDescent="0.2">
      <c r="F12053" s="494">
        <v>515</v>
      </c>
      <c r="G12053" s="495" t="s">
        <v>3832</v>
      </c>
      <c r="H12053" s="397"/>
      <c r="I12053" s="397"/>
      <c r="J12053" s="750"/>
      <c r="K12053" s="398"/>
      <c r="L12053" s="398"/>
      <c r="M12053" s="682"/>
    </row>
    <row r="12054" spans="5:13" hidden="1" x14ac:dyDescent="0.2">
      <c r="F12054" s="494">
        <v>521</v>
      </c>
      <c r="G12054" s="495" t="s">
        <v>4198</v>
      </c>
      <c r="H12054" s="397"/>
      <c r="I12054" s="397"/>
      <c r="J12054" s="750"/>
      <c r="K12054" s="398"/>
      <c r="L12054" s="398"/>
      <c r="M12054" s="682"/>
    </row>
    <row r="12055" spans="5:13" hidden="1" x14ac:dyDescent="0.2">
      <c r="F12055" s="494">
        <v>522</v>
      </c>
      <c r="G12055" s="495" t="s">
        <v>4199</v>
      </c>
      <c r="H12055" s="397"/>
      <c r="I12055" s="397"/>
      <c r="J12055" s="750"/>
      <c r="K12055" s="398"/>
      <c r="L12055" s="398"/>
      <c r="M12055" s="682"/>
    </row>
    <row r="12056" spans="5:13" hidden="1" x14ac:dyDescent="0.2">
      <c r="F12056" s="494">
        <v>523</v>
      </c>
      <c r="G12056" s="495" t="s">
        <v>3837</v>
      </c>
      <c r="H12056" s="397"/>
      <c r="I12056" s="397"/>
      <c r="J12056" s="750"/>
      <c r="K12056" s="398"/>
      <c r="L12056" s="398"/>
      <c r="M12056" s="682"/>
    </row>
    <row r="12057" spans="5:13" hidden="1" x14ac:dyDescent="0.2">
      <c r="F12057" s="494">
        <v>531</v>
      </c>
      <c r="G12057" s="496" t="s">
        <v>4175</v>
      </c>
      <c r="H12057" s="397"/>
      <c r="I12057" s="397"/>
      <c r="J12057" s="750"/>
      <c r="K12057" s="398"/>
      <c r="L12057" s="398"/>
      <c r="M12057" s="682"/>
    </row>
    <row r="12058" spans="5:13" hidden="1" x14ac:dyDescent="0.2">
      <c r="F12058" s="494">
        <v>541</v>
      </c>
      <c r="G12058" s="495" t="s">
        <v>4200</v>
      </c>
      <c r="H12058" s="397"/>
      <c r="I12058" s="397"/>
      <c r="J12058" s="750"/>
      <c r="K12058" s="398"/>
      <c r="L12058" s="398"/>
      <c r="M12058" s="682"/>
    </row>
    <row r="12059" spans="5:13" hidden="1" x14ac:dyDescent="0.2">
      <c r="F12059" s="494">
        <v>542</v>
      </c>
      <c r="G12059" s="495" t="s">
        <v>4201</v>
      </c>
      <c r="H12059" s="397"/>
      <c r="I12059" s="397"/>
      <c r="J12059" s="750"/>
      <c r="K12059" s="398"/>
      <c r="L12059" s="398"/>
      <c r="M12059" s="682"/>
    </row>
    <row r="12060" spans="5:13" hidden="1" x14ac:dyDescent="0.2">
      <c r="F12060" s="494">
        <v>543</v>
      </c>
      <c r="G12060" s="495" t="s">
        <v>3842</v>
      </c>
      <c r="H12060" s="397"/>
      <c r="I12060" s="397"/>
      <c r="J12060" s="750"/>
      <c r="K12060" s="398"/>
      <c r="L12060" s="398"/>
      <c r="M12060" s="682"/>
    </row>
    <row r="12061" spans="5:13" ht="38.25" hidden="1" x14ac:dyDescent="0.2">
      <c r="F12061" s="494">
        <v>551</v>
      </c>
      <c r="G12061" s="495" t="s">
        <v>4176</v>
      </c>
      <c r="H12061" s="397"/>
      <c r="I12061" s="397"/>
      <c r="J12061" s="750"/>
      <c r="K12061" s="398"/>
      <c r="L12061" s="398"/>
      <c r="M12061" s="682"/>
    </row>
    <row r="12062" spans="5:13" hidden="1" x14ac:dyDescent="0.2">
      <c r="F12062" s="498">
        <v>611</v>
      </c>
      <c r="G12062" s="499" t="s">
        <v>3848</v>
      </c>
      <c r="H12062" s="397"/>
      <c r="I12062" s="397"/>
      <c r="J12062" s="750"/>
      <c r="K12062" s="398"/>
      <c r="L12062" s="398"/>
      <c r="M12062" s="682"/>
    </row>
    <row r="12063" spans="5:13" hidden="1" x14ac:dyDescent="0.2">
      <c r="F12063" s="498">
        <v>620</v>
      </c>
      <c r="G12063" s="499" t="s">
        <v>88</v>
      </c>
      <c r="H12063" s="397"/>
      <c r="I12063" s="397"/>
      <c r="J12063" s="750"/>
      <c r="K12063" s="398"/>
      <c r="L12063" s="398"/>
      <c r="M12063" s="682"/>
    </row>
    <row r="12064" spans="5:13" hidden="1" x14ac:dyDescent="0.2">
      <c r="E12064" s="500"/>
      <c r="F12064" s="498"/>
      <c r="G12064" s="509" t="s">
        <v>4435</v>
      </c>
      <c r="H12064" s="400"/>
      <c r="I12064" s="400"/>
      <c r="J12064" s="750"/>
      <c r="K12064" s="401"/>
      <c r="L12064" s="402"/>
      <c r="M12064" s="682"/>
    </row>
    <row r="12065" spans="5:13" hidden="1" x14ac:dyDescent="0.2">
      <c r="E12065" s="502"/>
      <c r="F12065" s="503" t="s">
        <v>234</v>
      </c>
      <c r="G12065" s="504" t="s">
        <v>235</v>
      </c>
      <c r="H12065" s="403">
        <f>SUM(H12004:H12063)</f>
        <v>0</v>
      </c>
      <c r="I12065" s="403"/>
      <c r="J12065" s="750"/>
      <c r="K12065" s="404"/>
      <c r="L12065" s="404"/>
      <c r="M12065" s="682"/>
    </row>
    <row r="12066" spans="5:13" hidden="1" x14ac:dyDescent="0.2">
      <c r="F12066" s="503" t="s">
        <v>236</v>
      </c>
      <c r="G12066" s="504" t="s">
        <v>237</v>
      </c>
      <c r="H12066" s="397"/>
      <c r="I12066" s="397"/>
      <c r="J12066" s="750"/>
      <c r="K12066" s="398"/>
      <c r="L12066" s="404"/>
      <c r="M12066" s="682"/>
    </row>
    <row r="12067" spans="5:13" hidden="1" x14ac:dyDescent="0.2">
      <c r="F12067" s="503" t="s">
        <v>238</v>
      </c>
      <c r="G12067" s="504" t="s">
        <v>239</v>
      </c>
      <c r="H12067" s="397"/>
      <c r="I12067" s="397"/>
      <c r="J12067" s="750"/>
      <c r="K12067" s="398"/>
      <c r="L12067" s="404"/>
      <c r="M12067" s="682"/>
    </row>
    <row r="12068" spans="5:13" hidden="1" x14ac:dyDescent="0.2">
      <c r="F12068" s="503" t="s">
        <v>240</v>
      </c>
      <c r="G12068" s="504" t="s">
        <v>241</v>
      </c>
      <c r="H12068" s="397"/>
      <c r="I12068" s="397"/>
      <c r="J12068" s="750"/>
      <c r="K12068" s="398"/>
      <c r="L12068" s="404"/>
      <c r="M12068" s="682"/>
    </row>
    <row r="12069" spans="5:13" hidden="1" x14ac:dyDescent="0.2">
      <c r="F12069" s="503" t="s">
        <v>242</v>
      </c>
      <c r="G12069" s="504" t="s">
        <v>243</v>
      </c>
      <c r="H12069" s="397"/>
      <c r="I12069" s="397"/>
      <c r="J12069" s="750"/>
      <c r="K12069" s="398"/>
      <c r="L12069" s="404"/>
      <c r="M12069" s="682"/>
    </row>
    <row r="12070" spans="5:13" hidden="1" x14ac:dyDescent="0.2">
      <c r="F12070" s="503" t="s">
        <v>244</v>
      </c>
      <c r="G12070" s="504" t="s">
        <v>245</v>
      </c>
      <c r="H12070" s="397"/>
      <c r="I12070" s="397"/>
      <c r="J12070" s="750"/>
      <c r="K12070" s="398"/>
      <c r="L12070" s="404"/>
      <c r="M12070" s="682"/>
    </row>
    <row r="12071" spans="5:13" hidden="1" x14ac:dyDescent="0.2">
      <c r="F12071" s="503" t="s">
        <v>246</v>
      </c>
      <c r="G12071" s="504" t="s">
        <v>247</v>
      </c>
      <c r="H12071" s="397"/>
      <c r="I12071" s="397"/>
      <c r="J12071" s="750"/>
      <c r="K12071" s="398"/>
      <c r="L12071" s="404"/>
      <c r="M12071" s="682"/>
    </row>
    <row r="12072" spans="5:13" ht="25.5" hidden="1" x14ac:dyDescent="0.2">
      <c r="F12072" s="503" t="s">
        <v>248</v>
      </c>
      <c r="G12072" s="504" t="s">
        <v>249</v>
      </c>
      <c r="H12072" s="397"/>
      <c r="I12072" s="397"/>
      <c r="J12072" s="750"/>
      <c r="K12072" s="398"/>
      <c r="L12072" s="404"/>
      <c r="M12072" s="682"/>
    </row>
    <row r="12073" spans="5:13" hidden="1" x14ac:dyDescent="0.2">
      <c r="F12073" s="503" t="s">
        <v>250</v>
      </c>
      <c r="G12073" s="504" t="s">
        <v>57</v>
      </c>
      <c r="H12073" s="397"/>
      <c r="I12073" s="397"/>
      <c r="J12073" s="750"/>
      <c r="K12073" s="398"/>
      <c r="L12073" s="404"/>
      <c r="M12073" s="682"/>
    </row>
    <row r="12074" spans="5:13" hidden="1" x14ac:dyDescent="0.2">
      <c r="F12074" s="503" t="s">
        <v>251</v>
      </c>
      <c r="G12074" s="504" t="s">
        <v>252</v>
      </c>
      <c r="H12074" s="397"/>
      <c r="I12074" s="397"/>
      <c r="J12074" s="750"/>
      <c r="K12074" s="398"/>
      <c r="L12074" s="404"/>
      <c r="M12074" s="682"/>
    </row>
    <row r="12075" spans="5:13" hidden="1" x14ac:dyDescent="0.2">
      <c r="F12075" s="503" t="s">
        <v>253</v>
      </c>
      <c r="G12075" s="504" t="s">
        <v>254</v>
      </c>
      <c r="H12075" s="397"/>
      <c r="I12075" s="397"/>
      <c r="J12075" s="750"/>
      <c r="K12075" s="398"/>
      <c r="L12075" s="404"/>
      <c r="M12075" s="682"/>
    </row>
    <row r="12076" spans="5:13" ht="25.5" hidden="1" x14ac:dyDescent="0.2">
      <c r="F12076" s="503" t="s">
        <v>255</v>
      </c>
      <c r="G12076" s="504" t="s">
        <v>256</v>
      </c>
      <c r="H12076" s="397"/>
      <c r="I12076" s="397"/>
      <c r="J12076" s="750"/>
      <c r="K12076" s="398"/>
      <c r="L12076" s="404"/>
      <c r="M12076" s="682"/>
    </row>
    <row r="12077" spans="5:13" ht="25.5" hidden="1" x14ac:dyDescent="0.2">
      <c r="F12077" s="503" t="s">
        <v>257</v>
      </c>
      <c r="G12077" s="504" t="s">
        <v>258</v>
      </c>
      <c r="H12077" s="397"/>
      <c r="I12077" s="397"/>
      <c r="J12077" s="750"/>
      <c r="K12077" s="398"/>
      <c r="L12077" s="404"/>
      <c r="M12077" s="682"/>
    </row>
    <row r="12078" spans="5:13" ht="25.5" hidden="1" x14ac:dyDescent="0.2">
      <c r="F12078" s="503" t="s">
        <v>259</v>
      </c>
      <c r="G12078" s="504" t="s">
        <v>260</v>
      </c>
      <c r="H12078" s="397"/>
      <c r="I12078" s="397"/>
      <c r="J12078" s="750"/>
      <c r="K12078" s="398"/>
      <c r="L12078" s="404"/>
      <c r="M12078" s="682"/>
    </row>
    <row r="12079" spans="5:13" ht="25.5" hidden="1" x14ac:dyDescent="0.2">
      <c r="F12079" s="503" t="s">
        <v>261</v>
      </c>
      <c r="G12079" s="504" t="s">
        <v>262</v>
      </c>
      <c r="H12079" s="397"/>
      <c r="I12079" s="397"/>
      <c r="J12079" s="750"/>
      <c r="K12079" s="398"/>
      <c r="L12079" s="404"/>
      <c r="M12079" s="682"/>
    </row>
    <row r="12080" spans="5:13" hidden="1" x14ac:dyDescent="0.2">
      <c r="F12080" s="503" t="s">
        <v>263</v>
      </c>
      <c r="G12080" s="504" t="s">
        <v>264</v>
      </c>
      <c r="H12080" s="403"/>
      <c r="I12080" s="403"/>
      <c r="J12080" s="750"/>
      <c r="K12080" s="404"/>
      <c r="L12080" s="404"/>
      <c r="M12080" s="682"/>
    </row>
    <row r="12081" spans="5:13" ht="13.5" hidden="1" thickBot="1" x14ac:dyDescent="0.25">
      <c r="G12081" s="505" t="s">
        <v>4436</v>
      </c>
      <c r="H12081" s="405">
        <f>SUM(H12065:H12080)</f>
        <v>0</v>
      </c>
      <c r="I12081" s="405"/>
      <c r="J12081" s="750"/>
      <c r="K12081" s="406">
        <f>SUM(K12066:K12080)</f>
        <v>0</v>
      </c>
      <c r="L12081" s="406"/>
      <c r="M12081" s="682"/>
    </row>
    <row r="12082" spans="5:13" hidden="1" collapsed="1" x14ac:dyDescent="0.2">
      <c r="E12082" s="500"/>
      <c r="F12082" s="498"/>
      <c r="G12082" s="506" t="s">
        <v>5026</v>
      </c>
      <c r="H12082" s="407"/>
      <c r="I12082" s="408"/>
      <c r="J12082" s="750"/>
      <c r="K12082" s="409"/>
      <c r="L12082" s="410"/>
      <c r="M12082" s="682"/>
    </row>
    <row r="12083" spans="5:13" hidden="1" x14ac:dyDescent="0.2">
      <c r="E12083" s="502"/>
      <c r="F12083" s="503" t="s">
        <v>234</v>
      </c>
      <c r="G12083" s="504" t="s">
        <v>235</v>
      </c>
      <c r="H12083" s="403">
        <f>SUM(H12004:H12063)</f>
        <v>0</v>
      </c>
      <c r="I12083" s="403"/>
      <c r="J12083" s="750"/>
      <c r="K12083" s="404"/>
      <c r="L12083" s="404"/>
      <c r="M12083" s="682"/>
    </row>
    <row r="12084" spans="5:13" hidden="1" x14ac:dyDescent="0.2">
      <c r="F12084" s="503" t="s">
        <v>236</v>
      </c>
      <c r="G12084" s="504" t="s">
        <v>237</v>
      </c>
      <c r="H12084" s="397"/>
      <c r="I12084" s="397"/>
      <c r="J12084" s="750"/>
      <c r="K12084" s="398"/>
      <c r="L12084" s="404"/>
      <c r="M12084" s="682"/>
    </row>
    <row r="12085" spans="5:13" hidden="1" x14ac:dyDescent="0.2">
      <c r="F12085" s="503" t="s">
        <v>238</v>
      </c>
      <c r="G12085" s="504" t="s">
        <v>239</v>
      </c>
      <c r="H12085" s="397"/>
      <c r="I12085" s="397"/>
      <c r="J12085" s="750"/>
      <c r="K12085" s="398"/>
      <c r="L12085" s="404"/>
      <c r="M12085" s="682"/>
    </row>
    <row r="12086" spans="5:13" hidden="1" x14ac:dyDescent="0.2">
      <c r="F12086" s="503" t="s">
        <v>240</v>
      </c>
      <c r="G12086" s="504" t="s">
        <v>241</v>
      </c>
      <c r="H12086" s="397"/>
      <c r="I12086" s="397"/>
      <c r="J12086" s="750"/>
      <c r="K12086" s="398"/>
      <c r="L12086" s="404"/>
      <c r="M12086" s="682"/>
    </row>
    <row r="12087" spans="5:13" hidden="1" x14ac:dyDescent="0.2">
      <c r="F12087" s="503" t="s">
        <v>242</v>
      </c>
      <c r="G12087" s="504" t="s">
        <v>243</v>
      </c>
      <c r="H12087" s="397"/>
      <c r="I12087" s="397"/>
      <c r="J12087" s="750"/>
      <c r="K12087" s="398"/>
      <c r="L12087" s="404"/>
      <c r="M12087" s="682"/>
    </row>
    <row r="12088" spans="5:13" hidden="1" x14ac:dyDescent="0.2">
      <c r="F12088" s="503" t="s">
        <v>244</v>
      </c>
      <c r="G12088" s="504" t="s">
        <v>245</v>
      </c>
      <c r="H12088" s="397"/>
      <c r="I12088" s="397"/>
      <c r="J12088" s="750"/>
      <c r="K12088" s="398"/>
      <c r="L12088" s="404"/>
      <c r="M12088" s="682"/>
    </row>
    <row r="12089" spans="5:13" hidden="1" x14ac:dyDescent="0.2">
      <c r="F12089" s="503" t="s">
        <v>246</v>
      </c>
      <c r="G12089" s="504" t="s">
        <v>247</v>
      </c>
      <c r="H12089" s="397"/>
      <c r="I12089" s="397"/>
      <c r="J12089" s="750"/>
      <c r="K12089" s="398"/>
      <c r="L12089" s="404"/>
      <c r="M12089" s="682"/>
    </row>
    <row r="12090" spans="5:13" ht="25.5" hidden="1" x14ac:dyDescent="0.2">
      <c r="F12090" s="503" t="s">
        <v>248</v>
      </c>
      <c r="G12090" s="504" t="s">
        <v>249</v>
      </c>
      <c r="H12090" s="397"/>
      <c r="I12090" s="397"/>
      <c r="J12090" s="750"/>
      <c r="K12090" s="398"/>
      <c r="L12090" s="404"/>
      <c r="M12090" s="682"/>
    </row>
    <row r="12091" spans="5:13" hidden="1" x14ac:dyDescent="0.2">
      <c r="F12091" s="503" t="s">
        <v>250</v>
      </c>
      <c r="G12091" s="504" t="s">
        <v>57</v>
      </c>
      <c r="H12091" s="397"/>
      <c r="I12091" s="397"/>
      <c r="J12091" s="750"/>
      <c r="K12091" s="398"/>
      <c r="L12091" s="404"/>
      <c r="M12091" s="682"/>
    </row>
    <row r="12092" spans="5:13" hidden="1" x14ac:dyDescent="0.2">
      <c r="F12092" s="503" t="s">
        <v>251</v>
      </c>
      <c r="G12092" s="504" t="s">
        <v>252</v>
      </c>
      <c r="H12092" s="397"/>
      <c r="I12092" s="397"/>
      <c r="J12092" s="750"/>
      <c r="K12092" s="398"/>
      <c r="L12092" s="404"/>
      <c r="M12092" s="682"/>
    </row>
    <row r="12093" spans="5:13" hidden="1" x14ac:dyDescent="0.2">
      <c r="F12093" s="503" t="s">
        <v>253</v>
      </c>
      <c r="G12093" s="504" t="s">
        <v>254</v>
      </c>
      <c r="H12093" s="397"/>
      <c r="I12093" s="397"/>
      <c r="J12093" s="750"/>
      <c r="K12093" s="398"/>
      <c r="L12093" s="404"/>
      <c r="M12093" s="682"/>
    </row>
    <row r="12094" spans="5:13" ht="25.5" hidden="1" x14ac:dyDescent="0.2">
      <c r="F12094" s="503" t="s">
        <v>255</v>
      </c>
      <c r="G12094" s="504" t="s">
        <v>256</v>
      </c>
      <c r="H12094" s="397"/>
      <c r="I12094" s="397"/>
      <c r="J12094" s="750"/>
      <c r="K12094" s="398"/>
      <c r="L12094" s="404"/>
      <c r="M12094" s="682"/>
    </row>
    <row r="12095" spans="5:13" ht="25.5" hidden="1" x14ac:dyDescent="0.2">
      <c r="F12095" s="503" t="s">
        <v>257</v>
      </c>
      <c r="G12095" s="504" t="s">
        <v>258</v>
      </c>
      <c r="H12095" s="397"/>
      <c r="I12095" s="397"/>
      <c r="J12095" s="750"/>
      <c r="K12095" s="398"/>
      <c r="L12095" s="404"/>
      <c r="M12095" s="682"/>
    </row>
    <row r="12096" spans="5:13" ht="25.5" hidden="1" x14ac:dyDescent="0.2">
      <c r="F12096" s="503" t="s">
        <v>259</v>
      </c>
      <c r="G12096" s="504" t="s">
        <v>260</v>
      </c>
      <c r="H12096" s="397"/>
      <c r="I12096" s="397"/>
      <c r="J12096" s="750"/>
      <c r="K12096" s="398"/>
      <c r="L12096" s="404"/>
      <c r="M12096" s="682"/>
    </row>
    <row r="12097" spans="5:13" ht="25.5" hidden="1" x14ac:dyDescent="0.2">
      <c r="F12097" s="503" t="s">
        <v>261</v>
      </c>
      <c r="G12097" s="504" t="s">
        <v>262</v>
      </c>
      <c r="H12097" s="397"/>
      <c r="I12097" s="397"/>
      <c r="J12097" s="750"/>
      <c r="K12097" s="398"/>
      <c r="L12097" s="404"/>
      <c r="M12097" s="682"/>
    </row>
    <row r="12098" spans="5:13" hidden="1" x14ac:dyDescent="0.2">
      <c r="F12098" s="503" t="s">
        <v>263</v>
      </c>
      <c r="G12098" s="504" t="s">
        <v>264</v>
      </c>
      <c r="H12098" s="403"/>
      <c r="I12098" s="403"/>
      <c r="J12098" s="750"/>
      <c r="K12098" s="404"/>
      <c r="L12098" s="404"/>
      <c r="M12098" s="682"/>
    </row>
    <row r="12099" spans="5:13" ht="13.5" hidden="1" thickBot="1" x14ac:dyDescent="0.25">
      <c r="G12099" s="505" t="s">
        <v>5011</v>
      </c>
      <c r="H12099" s="405">
        <f>SUM(H12083:H12098)</f>
        <v>0</v>
      </c>
      <c r="I12099" s="405"/>
      <c r="J12099" s="750"/>
      <c r="K12099" s="406">
        <f>SUM(K12084:K12098)</f>
        <v>0</v>
      </c>
      <c r="L12099" s="406"/>
      <c r="M12099" s="682"/>
    </row>
    <row r="12100" spans="5:13" hidden="1" x14ac:dyDescent="0.2">
      <c r="H12100" s="397"/>
      <c r="I12100" s="397"/>
      <c r="J12100" s="750"/>
      <c r="K12100" s="398"/>
      <c r="L12100" s="398"/>
      <c r="M12100" s="682"/>
    </row>
    <row r="12101" spans="5:13" x14ac:dyDescent="0.2">
      <c r="E12101" s="500"/>
      <c r="F12101" s="498"/>
      <c r="G12101" s="511" t="s">
        <v>4323</v>
      </c>
      <c r="H12101" s="413"/>
      <c r="I12101" s="413"/>
      <c r="J12101" s="750"/>
      <c r="K12101" s="414"/>
      <c r="L12101" s="415"/>
      <c r="M12101" s="682"/>
    </row>
    <row r="12102" spans="5:13" x14ac:dyDescent="0.2">
      <c r="E12102" s="502"/>
      <c r="F12102" s="503" t="s">
        <v>234</v>
      </c>
      <c r="G12102" s="504" t="s">
        <v>235</v>
      </c>
      <c r="H12102" s="403">
        <f>SUM(H12083,H11984)</f>
        <v>9282155</v>
      </c>
      <c r="I12102" s="403">
        <f>SUM(I12000)</f>
        <v>8459930.870000001</v>
      </c>
      <c r="J12102" s="750">
        <f t="shared" ref="J12102:J12109" si="160">SUM(I12102/H12102)*100</f>
        <v>91.141883215697234</v>
      </c>
      <c r="K12102" s="404"/>
      <c r="L12102" s="404"/>
      <c r="M12102" s="682"/>
    </row>
    <row r="12103" spans="5:13" hidden="1" x14ac:dyDescent="0.2">
      <c r="F12103" s="503" t="s">
        <v>236</v>
      </c>
      <c r="G12103" s="504" t="s">
        <v>237</v>
      </c>
      <c r="H12103" s="397"/>
      <c r="I12103" s="397"/>
      <c r="J12103" s="750" t="e">
        <f t="shared" si="160"/>
        <v>#DIV/0!</v>
      </c>
      <c r="K12103" s="398"/>
      <c r="L12103" s="404"/>
      <c r="M12103" s="682"/>
    </row>
    <row r="12104" spans="5:13" hidden="1" x14ac:dyDescent="0.2">
      <c r="F12104" s="503" t="s">
        <v>238</v>
      </c>
      <c r="G12104" s="504" t="s">
        <v>239</v>
      </c>
      <c r="H12104" s="397"/>
      <c r="I12104" s="397"/>
      <c r="J12104" s="750" t="e">
        <f t="shared" si="160"/>
        <v>#DIV/0!</v>
      </c>
      <c r="K12104" s="398"/>
      <c r="L12104" s="404"/>
      <c r="M12104" s="682"/>
    </row>
    <row r="12105" spans="5:13" ht="13.5" thickBot="1" x14ac:dyDescent="0.25">
      <c r="F12105" s="503" t="s">
        <v>240</v>
      </c>
      <c r="G12105" s="504" t="s">
        <v>241</v>
      </c>
      <c r="H12105" s="397"/>
      <c r="I12105" s="397"/>
      <c r="J12105" s="750"/>
      <c r="K12105" s="398">
        <f>SUM(K11987)</f>
        <v>744000</v>
      </c>
      <c r="L12105" s="404">
        <f>SUM(L12000)</f>
        <v>549354.56999999995</v>
      </c>
      <c r="M12105" s="682"/>
    </row>
    <row r="12106" spans="5:13" ht="13.5" hidden="1" thickBot="1" x14ac:dyDescent="0.25">
      <c r="F12106" s="503" t="s">
        <v>242</v>
      </c>
      <c r="G12106" s="504" t="s">
        <v>243</v>
      </c>
      <c r="H12106" s="397"/>
      <c r="I12106" s="397"/>
      <c r="J12106" s="750" t="e">
        <f t="shared" si="160"/>
        <v>#DIV/0!</v>
      </c>
      <c r="K12106" s="398"/>
      <c r="L12106" s="404"/>
      <c r="M12106" s="682"/>
    </row>
    <row r="12107" spans="5:13" ht="13.5" hidden="1" thickBot="1" x14ac:dyDescent="0.25">
      <c r="F12107" s="503" t="s">
        <v>244</v>
      </c>
      <c r="G12107" s="504" t="s">
        <v>245</v>
      </c>
      <c r="H12107" s="397"/>
      <c r="I12107" s="397"/>
      <c r="J12107" s="750" t="e">
        <f t="shared" si="160"/>
        <v>#DIV/0!</v>
      </c>
      <c r="K12107" s="398"/>
      <c r="L12107" s="404"/>
      <c r="M12107" s="682"/>
    </row>
    <row r="12108" spans="5:13" ht="13.5" hidden="1" thickBot="1" x14ac:dyDescent="0.25">
      <c r="F12108" s="503" t="s">
        <v>246</v>
      </c>
      <c r="G12108" s="504" t="s">
        <v>247</v>
      </c>
      <c r="H12108" s="397"/>
      <c r="I12108" s="397"/>
      <c r="J12108" s="750" t="e">
        <f t="shared" si="160"/>
        <v>#DIV/0!</v>
      </c>
      <c r="K12108" s="398"/>
      <c r="L12108" s="404"/>
      <c r="M12108" s="682"/>
    </row>
    <row r="12109" spans="5:13" ht="26.25" hidden="1" thickBot="1" x14ac:dyDescent="0.25">
      <c r="F12109" s="503" t="s">
        <v>248</v>
      </c>
      <c r="G12109" s="504" t="s">
        <v>249</v>
      </c>
      <c r="H12109" s="397"/>
      <c r="I12109" s="397"/>
      <c r="J12109" s="750" t="e">
        <f t="shared" si="160"/>
        <v>#DIV/0!</v>
      </c>
      <c r="K12109" s="398"/>
      <c r="L12109" s="404"/>
      <c r="M12109" s="682"/>
    </row>
    <row r="12110" spans="5:13" ht="13.5" hidden="1" thickBot="1" x14ac:dyDescent="0.25">
      <c r="F12110" s="503" t="s">
        <v>250</v>
      </c>
      <c r="G12110" s="504" t="s">
        <v>57</v>
      </c>
      <c r="H12110" s="397"/>
      <c r="I12110" s="397"/>
      <c r="J12110" s="750" t="e">
        <f t="shared" ref="J12110:J12137" si="161">SUM(I12110/H12110)*100</f>
        <v>#DIV/0!</v>
      </c>
      <c r="K12110" s="398"/>
      <c r="L12110" s="404"/>
      <c r="M12110" s="682"/>
    </row>
    <row r="12111" spans="5:13" ht="13.5" hidden="1" thickBot="1" x14ac:dyDescent="0.25">
      <c r="F12111" s="503" t="s">
        <v>251</v>
      </c>
      <c r="G12111" s="504" t="s">
        <v>252</v>
      </c>
      <c r="H12111" s="397"/>
      <c r="I12111" s="397"/>
      <c r="J12111" s="750" t="e">
        <f t="shared" si="161"/>
        <v>#DIV/0!</v>
      </c>
      <c r="K12111" s="398"/>
      <c r="L12111" s="404"/>
      <c r="M12111" s="682"/>
    </row>
    <row r="12112" spans="5:13" ht="13.5" hidden="1" thickBot="1" x14ac:dyDescent="0.25">
      <c r="F12112" s="503" t="s">
        <v>253</v>
      </c>
      <c r="G12112" s="504" t="s">
        <v>254</v>
      </c>
      <c r="H12112" s="397"/>
      <c r="I12112" s="397"/>
      <c r="J12112" s="750" t="e">
        <f t="shared" si="161"/>
        <v>#DIV/0!</v>
      </c>
      <c r="K12112" s="398"/>
      <c r="L12112" s="404"/>
      <c r="M12112" s="682"/>
    </row>
    <row r="12113" spans="5:13" ht="26.25" hidden="1" thickBot="1" x14ac:dyDescent="0.25">
      <c r="F12113" s="503" t="s">
        <v>255</v>
      </c>
      <c r="G12113" s="504" t="s">
        <v>256</v>
      </c>
      <c r="H12113" s="397"/>
      <c r="I12113" s="397"/>
      <c r="J12113" s="750" t="e">
        <f t="shared" si="161"/>
        <v>#DIV/0!</v>
      </c>
      <c r="K12113" s="398"/>
      <c r="L12113" s="404"/>
      <c r="M12113" s="682"/>
    </row>
    <row r="12114" spans="5:13" ht="26.25" hidden="1" thickBot="1" x14ac:dyDescent="0.25">
      <c r="F12114" s="503" t="s">
        <v>257</v>
      </c>
      <c r="G12114" s="504" t="s">
        <v>258</v>
      </c>
      <c r="H12114" s="397"/>
      <c r="I12114" s="397"/>
      <c r="J12114" s="750" t="e">
        <f t="shared" si="161"/>
        <v>#DIV/0!</v>
      </c>
      <c r="K12114" s="398"/>
      <c r="L12114" s="404"/>
      <c r="M12114" s="682"/>
    </row>
    <row r="12115" spans="5:13" ht="26.25" hidden="1" thickBot="1" x14ac:dyDescent="0.25">
      <c r="F12115" s="503" t="s">
        <v>259</v>
      </c>
      <c r="G12115" s="504" t="s">
        <v>260</v>
      </c>
      <c r="H12115" s="397"/>
      <c r="I12115" s="397"/>
      <c r="J12115" s="750" t="e">
        <f t="shared" si="161"/>
        <v>#DIV/0!</v>
      </c>
      <c r="K12115" s="398"/>
      <c r="L12115" s="404"/>
      <c r="M12115" s="682"/>
    </row>
    <row r="12116" spans="5:13" ht="26.25" hidden="1" thickBot="1" x14ac:dyDescent="0.25">
      <c r="F12116" s="503" t="s">
        <v>261</v>
      </c>
      <c r="G12116" s="504" t="s">
        <v>262</v>
      </c>
      <c r="H12116" s="397"/>
      <c r="I12116" s="397"/>
      <c r="J12116" s="750" t="e">
        <f t="shared" si="161"/>
        <v>#DIV/0!</v>
      </c>
      <c r="K12116" s="398"/>
      <c r="L12116" s="404"/>
      <c r="M12116" s="682"/>
    </row>
    <row r="12117" spans="5:13" ht="13.5" hidden="1" thickBot="1" x14ac:dyDescent="0.25">
      <c r="F12117" s="503" t="s">
        <v>263</v>
      </c>
      <c r="G12117" s="504" t="s">
        <v>264</v>
      </c>
      <c r="H12117" s="403"/>
      <c r="I12117" s="403"/>
      <c r="J12117" s="750" t="e">
        <f t="shared" si="161"/>
        <v>#DIV/0!</v>
      </c>
      <c r="K12117" s="404"/>
      <c r="L12117" s="404"/>
      <c r="M12117" s="682"/>
    </row>
    <row r="12118" spans="5:13" ht="13.5" thickBot="1" x14ac:dyDescent="0.25">
      <c r="G12118" s="505" t="s">
        <v>4324</v>
      </c>
      <c r="H12118" s="405">
        <f>SUM(H12102:H12117)</f>
        <v>9282155</v>
      </c>
      <c r="I12118" s="405">
        <f>SUM(I12102)</f>
        <v>8459930.870000001</v>
      </c>
      <c r="J12118" s="750">
        <f t="shared" si="161"/>
        <v>91.141883215697234</v>
      </c>
      <c r="K12118" s="406">
        <f>SUM(K12103:K12117)</f>
        <v>744000</v>
      </c>
      <c r="L12118" s="406">
        <f>SUM(L12105)</f>
        <v>549354.56999999995</v>
      </c>
      <c r="M12118" s="682"/>
    </row>
    <row r="12119" spans="5:13" ht="3" customHeight="1" x14ac:dyDescent="0.2">
      <c r="H12119" s="397"/>
      <c r="I12119" s="397"/>
      <c r="J12119" s="750"/>
      <c r="K12119" s="398"/>
      <c r="L12119" s="398"/>
      <c r="M12119" s="682"/>
    </row>
    <row r="12120" spans="5:13" x14ac:dyDescent="0.2">
      <c r="E12120" s="500"/>
      <c r="F12120" s="498"/>
      <c r="G12120" s="511" t="s">
        <v>4452</v>
      </c>
      <c r="H12120" s="413"/>
      <c r="I12120" s="413"/>
      <c r="J12120" s="750"/>
      <c r="K12120" s="414"/>
      <c r="L12120" s="415"/>
      <c r="M12120" s="682"/>
    </row>
    <row r="12121" spans="5:13" x14ac:dyDescent="0.2">
      <c r="E12121" s="502"/>
      <c r="F12121" s="503" t="s">
        <v>234</v>
      </c>
      <c r="G12121" s="504" t="s">
        <v>235</v>
      </c>
      <c r="H12121" s="403">
        <f>SUM(H12102)</f>
        <v>9282155</v>
      </c>
      <c r="I12121" s="403">
        <f>SUM(I12118)</f>
        <v>8459930.870000001</v>
      </c>
      <c r="J12121" s="750">
        <f t="shared" si="161"/>
        <v>91.141883215697234</v>
      </c>
      <c r="K12121" s="404"/>
      <c r="L12121" s="404"/>
      <c r="M12121" s="682"/>
    </row>
    <row r="12122" spans="5:13" hidden="1" x14ac:dyDescent="0.2">
      <c r="F12122" s="503" t="s">
        <v>236</v>
      </c>
      <c r="G12122" s="504" t="s">
        <v>237</v>
      </c>
      <c r="H12122" s="397"/>
      <c r="I12122" s="397"/>
      <c r="J12122" s="750" t="e">
        <f t="shared" si="161"/>
        <v>#DIV/0!</v>
      </c>
      <c r="K12122" s="398"/>
      <c r="L12122" s="404"/>
      <c r="M12122" s="682"/>
    </row>
    <row r="12123" spans="5:13" hidden="1" x14ac:dyDescent="0.2">
      <c r="F12123" s="503" t="s">
        <v>238</v>
      </c>
      <c r="G12123" s="504" t="s">
        <v>239</v>
      </c>
      <c r="H12123" s="397"/>
      <c r="I12123" s="397"/>
      <c r="J12123" s="750" t="e">
        <f t="shared" si="161"/>
        <v>#DIV/0!</v>
      </c>
      <c r="K12123" s="398"/>
      <c r="L12123" s="404"/>
      <c r="M12123" s="682"/>
    </row>
    <row r="12124" spans="5:13" ht="13.5" thickBot="1" x14ac:dyDescent="0.25">
      <c r="F12124" s="503" t="s">
        <v>240</v>
      </c>
      <c r="G12124" s="504" t="s">
        <v>241</v>
      </c>
      <c r="H12124" s="397"/>
      <c r="I12124" s="397"/>
      <c r="J12124" s="750"/>
      <c r="K12124" s="398">
        <f>SUM(K12118)</f>
        <v>744000</v>
      </c>
      <c r="L12124" s="404">
        <f>SUM(L12118)</f>
        <v>549354.56999999995</v>
      </c>
      <c r="M12124" s="682"/>
    </row>
    <row r="12125" spans="5:13" ht="13.5" hidden="1" thickBot="1" x14ac:dyDescent="0.25">
      <c r="F12125" s="503" t="s">
        <v>242</v>
      </c>
      <c r="G12125" s="504" t="s">
        <v>243</v>
      </c>
      <c r="H12125" s="397"/>
      <c r="I12125" s="397"/>
      <c r="J12125" s="750" t="e">
        <f t="shared" si="161"/>
        <v>#DIV/0!</v>
      </c>
      <c r="K12125" s="398"/>
      <c r="L12125" s="404"/>
      <c r="M12125" s="682"/>
    </row>
    <row r="12126" spans="5:13" ht="13.5" hidden="1" thickBot="1" x14ac:dyDescent="0.25">
      <c r="F12126" s="503" t="s">
        <v>244</v>
      </c>
      <c r="G12126" s="504" t="s">
        <v>245</v>
      </c>
      <c r="H12126" s="397"/>
      <c r="I12126" s="397"/>
      <c r="J12126" s="750" t="e">
        <f t="shared" si="161"/>
        <v>#DIV/0!</v>
      </c>
      <c r="K12126" s="398"/>
      <c r="L12126" s="404"/>
      <c r="M12126" s="682"/>
    </row>
    <row r="12127" spans="5:13" ht="13.5" hidden="1" thickBot="1" x14ac:dyDescent="0.25">
      <c r="F12127" s="503" t="s">
        <v>246</v>
      </c>
      <c r="G12127" s="504" t="s">
        <v>247</v>
      </c>
      <c r="H12127" s="397"/>
      <c r="I12127" s="397"/>
      <c r="J12127" s="750" t="e">
        <f t="shared" si="161"/>
        <v>#DIV/0!</v>
      </c>
      <c r="K12127" s="398"/>
      <c r="L12127" s="404"/>
      <c r="M12127" s="682"/>
    </row>
    <row r="12128" spans="5:13" ht="26.25" hidden="1" thickBot="1" x14ac:dyDescent="0.25">
      <c r="F12128" s="503" t="s">
        <v>248</v>
      </c>
      <c r="G12128" s="504" t="s">
        <v>249</v>
      </c>
      <c r="H12128" s="397"/>
      <c r="I12128" s="397"/>
      <c r="J12128" s="750" t="e">
        <f t="shared" si="161"/>
        <v>#DIV/0!</v>
      </c>
      <c r="K12128" s="398"/>
      <c r="L12128" s="404"/>
      <c r="M12128" s="682"/>
    </row>
    <row r="12129" spans="1:13" ht="13.5" hidden="1" thickBot="1" x14ac:dyDescent="0.25">
      <c r="F12129" s="503" t="s">
        <v>250</v>
      </c>
      <c r="G12129" s="504" t="s">
        <v>57</v>
      </c>
      <c r="H12129" s="397"/>
      <c r="I12129" s="397"/>
      <c r="J12129" s="750" t="e">
        <f t="shared" si="161"/>
        <v>#DIV/0!</v>
      </c>
      <c r="K12129" s="398"/>
      <c r="L12129" s="404"/>
      <c r="M12129" s="682"/>
    </row>
    <row r="12130" spans="1:13" ht="13.5" hidden="1" thickBot="1" x14ac:dyDescent="0.25">
      <c r="F12130" s="503" t="s">
        <v>251</v>
      </c>
      <c r="G12130" s="504" t="s">
        <v>252</v>
      </c>
      <c r="H12130" s="397"/>
      <c r="I12130" s="397"/>
      <c r="J12130" s="750" t="e">
        <f t="shared" si="161"/>
        <v>#DIV/0!</v>
      </c>
      <c r="K12130" s="398"/>
      <c r="L12130" s="404"/>
      <c r="M12130" s="682"/>
    </row>
    <row r="12131" spans="1:13" ht="13.5" hidden="1" thickBot="1" x14ac:dyDescent="0.25">
      <c r="F12131" s="503" t="s">
        <v>253</v>
      </c>
      <c r="G12131" s="504" t="s">
        <v>254</v>
      </c>
      <c r="H12131" s="397"/>
      <c r="I12131" s="397"/>
      <c r="J12131" s="750" t="e">
        <f t="shared" si="161"/>
        <v>#DIV/0!</v>
      </c>
      <c r="K12131" s="398"/>
      <c r="L12131" s="404"/>
      <c r="M12131" s="682"/>
    </row>
    <row r="12132" spans="1:13" ht="26.25" hidden="1" thickBot="1" x14ac:dyDescent="0.25">
      <c r="F12132" s="503" t="s">
        <v>255</v>
      </c>
      <c r="G12132" s="504" t="s">
        <v>256</v>
      </c>
      <c r="H12132" s="397"/>
      <c r="I12132" s="397"/>
      <c r="J12132" s="750" t="e">
        <f t="shared" si="161"/>
        <v>#DIV/0!</v>
      </c>
      <c r="K12132" s="398"/>
      <c r="L12132" s="404"/>
      <c r="M12132" s="682"/>
    </row>
    <row r="12133" spans="1:13" ht="26.25" hidden="1" thickBot="1" x14ac:dyDescent="0.25">
      <c r="F12133" s="503" t="s">
        <v>257</v>
      </c>
      <c r="G12133" s="504" t="s">
        <v>258</v>
      </c>
      <c r="H12133" s="397"/>
      <c r="I12133" s="397"/>
      <c r="J12133" s="750" t="e">
        <f t="shared" si="161"/>
        <v>#DIV/0!</v>
      </c>
      <c r="K12133" s="398"/>
      <c r="L12133" s="404"/>
      <c r="M12133" s="682"/>
    </row>
    <row r="12134" spans="1:13" ht="26.25" hidden="1" thickBot="1" x14ac:dyDescent="0.25">
      <c r="F12134" s="503" t="s">
        <v>259</v>
      </c>
      <c r="G12134" s="504" t="s">
        <v>260</v>
      </c>
      <c r="H12134" s="397"/>
      <c r="I12134" s="397"/>
      <c r="J12134" s="750" t="e">
        <f t="shared" si="161"/>
        <v>#DIV/0!</v>
      </c>
      <c r="K12134" s="398"/>
      <c r="L12134" s="404"/>
      <c r="M12134" s="682"/>
    </row>
    <row r="12135" spans="1:13" ht="26.25" hidden="1" thickBot="1" x14ac:dyDescent="0.25">
      <c r="F12135" s="503" t="s">
        <v>261</v>
      </c>
      <c r="G12135" s="504" t="s">
        <v>262</v>
      </c>
      <c r="H12135" s="397"/>
      <c r="I12135" s="397"/>
      <c r="J12135" s="750" t="e">
        <f t="shared" si="161"/>
        <v>#DIV/0!</v>
      </c>
      <c r="K12135" s="398"/>
      <c r="L12135" s="404"/>
      <c r="M12135" s="682"/>
    </row>
    <row r="12136" spans="1:13" ht="13.5" hidden="1" thickBot="1" x14ac:dyDescent="0.25">
      <c r="F12136" s="503" t="s">
        <v>263</v>
      </c>
      <c r="G12136" s="504" t="s">
        <v>264</v>
      </c>
      <c r="H12136" s="403"/>
      <c r="I12136" s="403"/>
      <c r="J12136" s="750" t="e">
        <f t="shared" si="161"/>
        <v>#DIV/0!</v>
      </c>
      <c r="K12136" s="404"/>
      <c r="L12136" s="404"/>
      <c r="M12136" s="682"/>
    </row>
    <row r="12137" spans="1:13" ht="13.5" thickBot="1" x14ac:dyDescent="0.25">
      <c r="G12137" s="505" t="s">
        <v>4453</v>
      </c>
      <c r="H12137" s="405">
        <f>SUM(H12121:H12136)</f>
        <v>9282155</v>
      </c>
      <c r="I12137" s="405">
        <f>SUM(I12121)</f>
        <v>8459930.870000001</v>
      </c>
      <c r="J12137" s="750">
        <f t="shared" si="161"/>
        <v>91.141883215697234</v>
      </c>
      <c r="K12137" s="406">
        <f>SUM(K12122:K12136)</f>
        <v>744000</v>
      </c>
      <c r="L12137" s="406">
        <f>SUM(L12124)</f>
        <v>549354.56999999995</v>
      </c>
      <c r="M12137" s="682"/>
    </row>
    <row r="12138" spans="1:13" ht="25.5" customHeight="1" x14ac:dyDescent="0.2">
      <c r="H12138" s="397"/>
      <c r="I12138" s="397"/>
      <c r="J12138" s="750"/>
      <c r="K12138" s="398"/>
      <c r="L12138" s="398"/>
      <c r="M12138" s="682"/>
    </row>
    <row r="12139" spans="1:13" hidden="1" x14ac:dyDescent="0.2">
      <c r="A12139" s="646">
        <v>4</v>
      </c>
      <c r="B12139" s="647" t="s">
        <v>4336</v>
      </c>
      <c r="C12139" s="646" t="s">
        <v>4011</v>
      </c>
      <c r="D12139" s="185"/>
      <c r="E12139" s="185"/>
      <c r="F12139" s="185"/>
      <c r="G12139" s="648" t="s">
        <v>4317</v>
      </c>
      <c r="H12139" s="450"/>
      <c r="I12139" s="450"/>
      <c r="J12139" s="750"/>
      <c r="K12139" s="451"/>
      <c r="L12139" s="452"/>
      <c r="M12139" s="682"/>
    </row>
    <row r="12140" spans="1:13" ht="16.5" hidden="1" customHeight="1" x14ac:dyDescent="0.2">
      <c r="C12140" s="489" t="s">
        <v>3594</v>
      </c>
      <c r="G12140" s="513" t="s">
        <v>4315</v>
      </c>
      <c r="H12140" s="397"/>
      <c r="I12140" s="397"/>
      <c r="J12140" s="750"/>
      <c r="K12140" s="398"/>
      <c r="L12140" s="398"/>
      <c r="M12140" s="682"/>
    </row>
    <row r="12141" spans="1:13" hidden="1" x14ac:dyDescent="0.2">
      <c r="C12141" s="489" t="s">
        <v>4125</v>
      </c>
      <c r="D12141" s="490"/>
      <c r="G12141" s="513" t="s">
        <v>4316</v>
      </c>
      <c r="H12141" s="397"/>
      <c r="I12141" s="397"/>
      <c r="J12141" s="750"/>
      <c r="K12141" s="398"/>
      <c r="L12141" s="398"/>
      <c r="M12141" s="682"/>
    </row>
    <row r="12142" spans="1:13" hidden="1" x14ac:dyDescent="0.2">
      <c r="C12142" s="489"/>
      <c r="D12142" s="492">
        <v>820</v>
      </c>
      <c r="E12142" s="492"/>
      <c r="F12142" s="492"/>
      <c r="G12142" s="493" t="s">
        <v>207</v>
      </c>
      <c r="H12142" s="397"/>
      <c r="I12142" s="397"/>
      <c r="J12142" s="750"/>
      <c r="K12142" s="398"/>
      <c r="L12142" s="398"/>
      <c r="M12142" s="682"/>
    </row>
    <row r="12143" spans="1:13" hidden="1" x14ac:dyDescent="0.2">
      <c r="F12143" s="494">
        <v>411</v>
      </c>
      <c r="G12143" s="495" t="s">
        <v>4167</v>
      </c>
      <c r="H12143" s="397"/>
      <c r="I12143" s="397"/>
      <c r="J12143" s="750"/>
      <c r="K12143" s="398"/>
      <c r="L12143" s="398"/>
      <c r="M12143" s="682"/>
    </row>
    <row r="12144" spans="1:13" hidden="1" x14ac:dyDescent="0.2">
      <c r="F12144" s="494">
        <v>412</v>
      </c>
      <c r="G12144" s="496" t="s">
        <v>3764</v>
      </c>
      <c r="H12144" s="397"/>
      <c r="I12144" s="397"/>
      <c r="J12144" s="750"/>
      <c r="K12144" s="398"/>
      <c r="L12144" s="398"/>
      <c r="M12144" s="682"/>
    </row>
    <row r="12145" spans="6:13" hidden="1" x14ac:dyDescent="0.2">
      <c r="F12145" s="494">
        <v>413</v>
      </c>
      <c r="G12145" s="495" t="s">
        <v>4168</v>
      </c>
      <c r="H12145" s="397"/>
      <c r="I12145" s="397"/>
      <c r="J12145" s="750"/>
      <c r="K12145" s="398"/>
      <c r="L12145" s="398"/>
      <c r="M12145" s="682"/>
    </row>
    <row r="12146" spans="6:13" hidden="1" x14ac:dyDescent="0.2">
      <c r="F12146" s="494">
        <v>414</v>
      </c>
      <c r="G12146" s="495" t="s">
        <v>3767</v>
      </c>
      <c r="H12146" s="397"/>
      <c r="I12146" s="397"/>
      <c r="J12146" s="750"/>
      <c r="K12146" s="398"/>
      <c r="L12146" s="398"/>
      <c r="M12146" s="682"/>
    </row>
    <row r="12147" spans="6:13" hidden="1" x14ac:dyDescent="0.2">
      <c r="F12147" s="494">
        <v>415</v>
      </c>
      <c r="G12147" s="495" t="s">
        <v>4177</v>
      </c>
      <c r="H12147" s="397"/>
      <c r="I12147" s="397"/>
      <c r="J12147" s="750"/>
      <c r="K12147" s="398"/>
      <c r="L12147" s="398"/>
      <c r="M12147" s="682"/>
    </row>
    <row r="12148" spans="6:13" ht="25.5" hidden="1" x14ac:dyDescent="0.2">
      <c r="F12148" s="494">
        <v>416</v>
      </c>
      <c r="G12148" s="495" t="s">
        <v>4178</v>
      </c>
      <c r="H12148" s="397"/>
      <c r="I12148" s="397"/>
      <c r="J12148" s="750"/>
      <c r="K12148" s="398"/>
      <c r="L12148" s="398"/>
      <c r="M12148" s="682"/>
    </row>
    <row r="12149" spans="6:13" hidden="1" x14ac:dyDescent="0.2">
      <c r="F12149" s="494">
        <v>417</v>
      </c>
      <c r="G12149" s="495" t="s">
        <v>4179</v>
      </c>
      <c r="H12149" s="397"/>
      <c r="I12149" s="397"/>
      <c r="J12149" s="750"/>
      <c r="K12149" s="398"/>
      <c r="L12149" s="398"/>
      <c r="M12149" s="682"/>
    </row>
    <row r="12150" spans="6:13" hidden="1" x14ac:dyDescent="0.2">
      <c r="F12150" s="494">
        <v>418</v>
      </c>
      <c r="G12150" s="495" t="s">
        <v>3773</v>
      </c>
      <c r="H12150" s="397"/>
      <c r="I12150" s="397"/>
      <c r="J12150" s="750"/>
      <c r="K12150" s="398"/>
      <c r="L12150" s="398"/>
      <c r="M12150" s="682"/>
    </row>
    <row r="12151" spans="6:13" hidden="1" x14ac:dyDescent="0.2">
      <c r="F12151" s="494">
        <v>421</v>
      </c>
      <c r="G12151" s="495" t="s">
        <v>3777</v>
      </c>
      <c r="H12151" s="397"/>
      <c r="I12151" s="397"/>
      <c r="J12151" s="750"/>
      <c r="K12151" s="398"/>
      <c r="L12151" s="398"/>
      <c r="M12151" s="682"/>
    </row>
    <row r="12152" spans="6:13" hidden="1" x14ac:dyDescent="0.2">
      <c r="F12152" s="494">
        <v>422</v>
      </c>
      <c r="G12152" s="495" t="s">
        <v>3778</v>
      </c>
      <c r="H12152" s="397"/>
      <c r="I12152" s="397"/>
      <c r="J12152" s="750"/>
      <c r="K12152" s="398"/>
      <c r="L12152" s="398"/>
      <c r="M12152" s="682"/>
    </row>
    <row r="12153" spans="6:13" hidden="1" x14ac:dyDescent="0.2">
      <c r="F12153" s="494">
        <v>423</v>
      </c>
      <c r="G12153" s="495" t="s">
        <v>3779</v>
      </c>
      <c r="H12153" s="397"/>
      <c r="I12153" s="397"/>
      <c r="J12153" s="750"/>
      <c r="K12153" s="398"/>
      <c r="L12153" s="398"/>
      <c r="M12153" s="682"/>
    </row>
    <row r="12154" spans="6:13" hidden="1" x14ac:dyDescent="0.2">
      <c r="F12154" s="494">
        <v>424</v>
      </c>
      <c r="G12154" s="495" t="s">
        <v>3781</v>
      </c>
      <c r="H12154" s="397"/>
      <c r="I12154" s="397"/>
      <c r="J12154" s="750"/>
      <c r="K12154" s="398"/>
      <c r="L12154" s="398"/>
      <c r="M12154" s="682"/>
    </row>
    <row r="12155" spans="6:13" hidden="1" x14ac:dyDescent="0.2">
      <c r="F12155" s="494">
        <v>425</v>
      </c>
      <c r="G12155" s="495" t="s">
        <v>4180</v>
      </c>
      <c r="H12155" s="397"/>
      <c r="I12155" s="397"/>
      <c r="J12155" s="750"/>
      <c r="K12155" s="398"/>
      <c r="L12155" s="398"/>
      <c r="M12155" s="682"/>
    </row>
    <row r="12156" spans="6:13" hidden="1" x14ac:dyDescent="0.2">
      <c r="F12156" s="494">
        <v>426</v>
      </c>
      <c r="G12156" s="495" t="s">
        <v>3785</v>
      </c>
      <c r="H12156" s="397"/>
      <c r="I12156" s="397"/>
      <c r="J12156" s="750"/>
      <c r="K12156" s="398"/>
      <c r="L12156" s="398"/>
      <c r="M12156" s="682"/>
    </row>
    <row r="12157" spans="6:13" hidden="1" x14ac:dyDescent="0.2">
      <c r="F12157" s="494">
        <v>431</v>
      </c>
      <c r="G12157" s="495" t="s">
        <v>4181</v>
      </c>
      <c r="H12157" s="397"/>
      <c r="I12157" s="397"/>
      <c r="J12157" s="750"/>
      <c r="K12157" s="398"/>
      <c r="L12157" s="398"/>
      <c r="M12157" s="682"/>
    </row>
    <row r="12158" spans="6:13" hidden="1" x14ac:dyDescent="0.2">
      <c r="F12158" s="494">
        <v>432</v>
      </c>
      <c r="G12158" s="495" t="s">
        <v>4182</v>
      </c>
      <c r="H12158" s="397"/>
      <c r="I12158" s="397"/>
      <c r="J12158" s="750"/>
      <c r="K12158" s="398"/>
      <c r="L12158" s="398"/>
      <c r="M12158" s="682"/>
    </row>
    <row r="12159" spans="6:13" hidden="1" x14ac:dyDescent="0.2">
      <c r="F12159" s="494">
        <v>433</v>
      </c>
      <c r="G12159" s="495" t="s">
        <v>4183</v>
      </c>
      <c r="H12159" s="397"/>
      <c r="I12159" s="397"/>
      <c r="J12159" s="750"/>
      <c r="K12159" s="398"/>
      <c r="L12159" s="398"/>
      <c r="M12159" s="682"/>
    </row>
    <row r="12160" spans="6:13" hidden="1" x14ac:dyDescent="0.2">
      <c r="F12160" s="494">
        <v>434</v>
      </c>
      <c r="G12160" s="495" t="s">
        <v>4184</v>
      </c>
      <c r="H12160" s="397"/>
      <c r="I12160" s="397"/>
      <c r="J12160" s="750"/>
      <c r="K12160" s="398"/>
      <c r="L12160" s="398"/>
      <c r="M12160" s="682"/>
    </row>
    <row r="12161" spans="6:13" hidden="1" x14ac:dyDescent="0.2">
      <c r="F12161" s="494">
        <v>435</v>
      </c>
      <c r="G12161" s="495" t="s">
        <v>3792</v>
      </c>
      <c r="H12161" s="397"/>
      <c r="I12161" s="397"/>
      <c r="J12161" s="750"/>
      <c r="K12161" s="398"/>
      <c r="L12161" s="398"/>
      <c r="M12161" s="682"/>
    </row>
    <row r="12162" spans="6:13" hidden="1" x14ac:dyDescent="0.2">
      <c r="F12162" s="494">
        <v>441</v>
      </c>
      <c r="G12162" s="495" t="s">
        <v>4185</v>
      </c>
      <c r="H12162" s="397"/>
      <c r="I12162" s="397"/>
      <c r="J12162" s="750"/>
      <c r="K12162" s="398"/>
      <c r="L12162" s="398"/>
      <c r="M12162" s="682"/>
    </row>
    <row r="12163" spans="6:13" hidden="1" x14ac:dyDescent="0.2">
      <c r="F12163" s="494">
        <v>442</v>
      </c>
      <c r="G12163" s="495" t="s">
        <v>4186</v>
      </c>
      <c r="H12163" s="397"/>
      <c r="I12163" s="397"/>
      <c r="J12163" s="750"/>
      <c r="K12163" s="398"/>
      <c r="L12163" s="398"/>
      <c r="M12163" s="682"/>
    </row>
    <row r="12164" spans="6:13" hidden="1" x14ac:dyDescent="0.2">
      <c r="F12164" s="494">
        <v>443</v>
      </c>
      <c r="G12164" s="495" t="s">
        <v>3797</v>
      </c>
      <c r="H12164" s="397"/>
      <c r="I12164" s="397"/>
      <c r="J12164" s="750"/>
      <c r="K12164" s="398"/>
      <c r="L12164" s="398"/>
      <c r="M12164" s="682"/>
    </row>
    <row r="12165" spans="6:13" hidden="1" x14ac:dyDescent="0.2">
      <c r="F12165" s="494">
        <v>444</v>
      </c>
      <c r="G12165" s="495" t="s">
        <v>3798</v>
      </c>
      <c r="H12165" s="397"/>
      <c r="I12165" s="397"/>
      <c r="J12165" s="750"/>
      <c r="K12165" s="398"/>
      <c r="L12165" s="398"/>
      <c r="M12165" s="682"/>
    </row>
    <row r="12166" spans="6:13" ht="25.5" hidden="1" x14ac:dyDescent="0.2">
      <c r="F12166" s="494">
        <v>4511</v>
      </c>
      <c r="G12166" s="466" t="s">
        <v>1692</v>
      </c>
      <c r="H12166" s="397"/>
      <c r="I12166" s="397"/>
      <c r="J12166" s="750"/>
      <c r="K12166" s="398"/>
      <c r="L12166" s="398"/>
      <c r="M12166" s="682"/>
    </row>
    <row r="12167" spans="6:13" ht="19.5" hidden="1" customHeight="1" x14ac:dyDescent="0.2">
      <c r="F12167" s="494">
        <v>4512</v>
      </c>
      <c r="G12167" s="466" t="s">
        <v>1701</v>
      </c>
      <c r="H12167" s="397"/>
      <c r="I12167" s="397"/>
      <c r="J12167" s="750"/>
      <c r="K12167" s="398"/>
      <c r="L12167" s="398"/>
      <c r="M12167" s="682"/>
    </row>
    <row r="12168" spans="6:13" ht="25.5" hidden="1" x14ac:dyDescent="0.2">
      <c r="F12168" s="494">
        <v>452</v>
      </c>
      <c r="G12168" s="495" t="s">
        <v>4187</v>
      </c>
      <c r="H12168" s="397"/>
      <c r="I12168" s="397"/>
      <c r="J12168" s="750"/>
      <c r="K12168" s="398"/>
      <c r="L12168" s="398"/>
      <c r="M12168" s="682"/>
    </row>
    <row r="12169" spans="6:13" ht="25.5" hidden="1" x14ac:dyDescent="0.2">
      <c r="F12169" s="494">
        <v>453</v>
      </c>
      <c r="G12169" s="495" t="s">
        <v>4188</v>
      </c>
      <c r="H12169" s="397"/>
      <c r="I12169" s="397"/>
      <c r="J12169" s="750"/>
      <c r="K12169" s="398"/>
      <c r="L12169" s="398"/>
      <c r="M12169" s="682"/>
    </row>
    <row r="12170" spans="6:13" hidden="1" x14ac:dyDescent="0.2">
      <c r="F12170" s="494">
        <v>454</v>
      </c>
      <c r="G12170" s="495" t="s">
        <v>3803</v>
      </c>
      <c r="H12170" s="397"/>
      <c r="I12170" s="397"/>
      <c r="J12170" s="750"/>
      <c r="K12170" s="398"/>
      <c r="L12170" s="398"/>
      <c r="M12170" s="682"/>
    </row>
    <row r="12171" spans="6:13" hidden="1" x14ac:dyDescent="0.2">
      <c r="F12171" s="494">
        <v>461</v>
      </c>
      <c r="G12171" s="495" t="s">
        <v>4169</v>
      </c>
      <c r="H12171" s="397"/>
      <c r="I12171" s="397"/>
      <c r="J12171" s="750"/>
      <c r="K12171" s="398"/>
      <c r="L12171" s="398"/>
      <c r="M12171" s="682"/>
    </row>
    <row r="12172" spans="6:13" ht="25.5" hidden="1" x14ac:dyDescent="0.2">
      <c r="F12172" s="494">
        <v>462</v>
      </c>
      <c r="G12172" s="495" t="s">
        <v>3806</v>
      </c>
      <c r="H12172" s="397"/>
      <c r="I12172" s="397"/>
      <c r="J12172" s="750"/>
      <c r="K12172" s="398"/>
      <c r="L12172" s="398"/>
      <c r="M12172" s="682"/>
    </row>
    <row r="12173" spans="6:13" hidden="1" x14ac:dyDescent="0.2">
      <c r="F12173" s="494">
        <v>4631</v>
      </c>
      <c r="G12173" s="495" t="s">
        <v>3807</v>
      </c>
      <c r="H12173" s="397"/>
      <c r="I12173" s="397"/>
      <c r="J12173" s="750"/>
      <c r="K12173" s="398"/>
      <c r="L12173" s="398"/>
      <c r="M12173" s="682"/>
    </row>
    <row r="12174" spans="6:13" hidden="1" x14ac:dyDescent="0.2">
      <c r="F12174" s="494">
        <v>4632</v>
      </c>
      <c r="G12174" s="495" t="s">
        <v>3808</v>
      </c>
      <c r="H12174" s="397"/>
      <c r="I12174" s="397"/>
      <c r="J12174" s="750"/>
      <c r="K12174" s="398"/>
      <c r="L12174" s="398"/>
      <c r="M12174" s="682"/>
    </row>
    <row r="12175" spans="6:13" ht="25.5" hidden="1" x14ac:dyDescent="0.2">
      <c r="F12175" s="494">
        <v>464</v>
      </c>
      <c r="G12175" s="495" t="s">
        <v>3809</v>
      </c>
      <c r="H12175" s="397"/>
      <c r="I12175" s="397"/>
      <c r="J12175" s="750"/>
      <c r="K12175" s="398"/>
      <c r="L12175" s="398"/>
      <c r="M12175" s="682"/>
    </row>
    <row r="12176" spans="6:13" hidden="1" x14ac:dyDescent="0.2">
      <c r="F12176" s="494">
        <v>465</v>
      </c>
      <c r="G12176" s="495" t="s">
        <v>4170</v>
      </c>
      <c r="H12176" s="397"/>
      <c r="I12176" s="397"/>
      <c r="J12176" s="750"/>
      <c r="K12176" s="398"/>
      <c r="L12176" s="398"/>
      <c r="M12176" s="682"/>
    </row>
    <row r="12177" spans="6:13" hidden="1" x14ac:dyDescent="0.2">
      <c r="F12177" s="494">
        <v>472</v>
      </c>
      <c r="G12177" s="495" t="s">
        <v>3813</v>
      </c>
      <c r="H12177" s="397"/>
      <c r="I12177" s="397"/>
      <c r="J12177" s="750"/>
      <c r="K12177" s="398"/>
      <c r="L12177" s="398"/>
      <c r="M12177" s="682"/>
    </row>
    <row r="12178" spans="6:13" hidden="1" x14ac:dyDescent="0.2">
      <c r="F12178" s="494">
        <v>481</v>
      </c>
      <c r="G12178" s="495" t="s">
        <v>4189</v>
      </c>
      <c r="H12178" s="397"/>
      <c r="I12178" s="397"/>
      <c r="J12178" s="750"/>
      <c r="K12178" s="398"/>
      <c r="L12178" s="398"/>
      <c r="M12178" s="682"/>
    </row>
    <row r="12179" spans="6:13" hidden="1" x14ac:dyDescent="0.2">
      <c r="F12179" s="494">
        <v>482</v>
      </c>
      <c r="G12179" s="495" t="s">
        <v>4190</v>
      </c>
      <c r="H12179" s="397"/>
      <c r="I12179" s="397"/>
      <c r="J12179" s="750"/>
      <c r="K12179" s="398"/>
      <c r="L12179" s="398"/>
      <c r="M12179" s="682"/>
    </row>
    <row r="12180" spans="6:13" hidden="1" x14ac:dyDescent="0.2">
      <c r="F12180" s="494">
        <v>483</v>
      </c>
      <c r="G12180" s="497" t="s">
        <v>4191</v>
      </c>
      <c r="H12180" s="397"/>
      <c r="I12180" s="397"/>
      <c r="J12180" s="750"/>
      <c r="K12180" s="398"/>
      <c r="L12180" s="398"/>
      <c r="M12180" s="682"/>
    </row>
    <row r="12181" spans="6:13" ht="38.25" hidden="1" x14ac:dyDescent="0.2">
      <c r="F12181" s="494">
        <v>484</v>
      </c>
      <c r="G12181" s="495" t="s">
        <v>4192</v>
      </c>
      <c r="H12181" s="397"/>
      <c r="I12181" s="397"/>
      <c r="J12181" s="750"/>
      <c r="K12181" s="398"/>
      <c r="L12181" s="398"/>
      <c r="M12181" s="682"/>
    </row>
    <row r="12182" spans="6:13" ht="25.5" hidden="1" x14ac:dyDescent="0.2">
      <c r="F12182" s="494">
        <v>485</v>
      </c>
      <c r="G12182" s="495" t="s">
        <v>4193</v>
      </c>
      <c r="H12182" s="397"/>
      <c r="I12182" s="397"/>
      <c r="J12182" s="750"/>
      <c r="K12182" s="398"/>
      <c r="L12182" s="398"/>
      <c r="M12182" s="682"/>
    </row>
    <row r="12183" spans="6:13" ht="25.5" hidden="1" x14ac:dyDescent="0.2">
      <c r="F12183" s="494">
        <v>489</v>
      </c>
      <c r="G12183" s="495" t="s">
        <v>3821</v>
      </c>
      <c r="H12183" s="397"/>
      <c r="I12183" s="397"/>
      <c r="J12183" s="750"/>
      <c r="K12183" s="398"/>
      <c r="L12183" s="398"/>
      <c r="M12183" s="682"/>
    </row>
    <row r="12184" spans="6:13" ht="25.5" hidden="1" x14ac:dyDescent="0.2">
      <c r="F12184" s="494">
        <v>494</v>
      </c>
      <c r="G12184" s="495" t="s">
        <v>4171</v>
      </c>
      <c r="H12184" s="397"/>
      <c r="I12184" s="397"/>
      <c r="J12184" s="750"/>
      <c r="K12184" s="398"/>
      <c r="L12184" s="398"/>
      <c r="M12184" s="682"/>
    </row>
    <row r="12185" spans="6:13" ht="25.5" hidden="1" x14ac:dyDescent="0.2">
      <c r="F12185" s="494">
        <v>495</v>
      </c>
      <c r="G12185" s="495" t="s">
        <v>4172</v>
      </c>
      <c r="H12185" s="397"/>
      <c r="I12185" s="397"/>
      <c r="J12185" s="750"/>
      <c r="K12185" s="398"/>
      <c r="L12185" s="398"/>
      <c r="M12185" s="682"/>
    </row>
    <row r="12186" spans="6:13" ht="38.25" hidden="1" x14ac:dyDescent="0.2">
      <c r="F12186" s="494">
        <v>496</v>
      </c>
      <c r="G12186" s="495" t="s">
        <v>4173</v>
      </c>
      <c r="H12186" s="397"/>
      <c r="I12186" s="397"/>
      <c r="J12186" s="750"/>
      <c r="K12186" s="398"/>
      <c r="L12186" s="398"/>
      <c r="M12186" s="682"/>
    </row>
    <row r="12187" spans="6:13" ht="25.5" hidden="1" x14ac:dyDescent="0.2">
      <c r="F12187" s="494">
        <v>499</v>
      </c>
      <c r="G12187" s="495" t="s">
        <v>4174</v>
      </c>
      <c r="H12187" s="397"/>
      <c r="I12187" s="397"/>
      <c r="J12187" s="750"/>
      <c r="K12187" s="398"/>
      <c r="L12187" s="398"/>
      <c r="M12187" s="682"/>
    </row>
    <row r="12188" spans="6:13" hidden="1" x14ac:dyDescent="0.2">
      <c r="F12188" s="494">
        <v>511</v>
      </c>
      <c r="G12188" s="497" t="s">
        <v>4194</v>
      </c>
      <c r="H12188" s="397"/>
      <c r="I12188" s="397"/>
      <c r="J12188" s="750"/>
      <c r="K12188" s="398"/>
      <c r="L12188" s="398"/>
      <c r="M12188" s="682"/>
    </row>
    <row r="12189" spans="6:13" hidden="1" x14ac:dyDescent="0.2">
      <c r="F12189" s="494">
        <v>512</v>
      </c>
      <c r="G12189" s="497" t="s">
        <v>4195</v>
      </c>
      <c r="H12189" s="397"/>
      <c r="I12189" s="397"/>
      <c r="J12189" s="750"/>
      <c r="K12189" s="398"/>
      <c r="L12189" s="398"/>
      <c r="M12189" s="682"/>
    </row>
    <row r="12190" spans="6:13" hidden="1" x14ac:dyDescent="0.2">
      <c r="F12190" s="494">
        <v>513</v>
      </c>
      <c r="G12190" s="497" t="s">
        <v>4196</v>
      </c>
      <c r="H12190" s="397"/>
      <c r="I12190" s="397"/>
      <c r="J12190" s="750"/>
      <c r="K12190" s="398"/>
      <c r="L12190" s="398"/>
      <c r="M12190" s="682"/>
    </row>
    <row r="12191" spans="6:13" hidden="1" x14ac:dyDescent="0.2">
      <c r="F12191" s="494">
        <v>514</v>
      </c>
      <c r="G12191" s="495" t="s">
        <v>4197</v>
      </c>
      <c r="H12191" s="397"/>
      <c r="I12191" s="397"/>
      <c r="J12191" s="750"/>
      <c r="K12191" s="398"/>
      <c r="L12191" s="398"/>
      <c r="M12191" s="682"/>
    </row>
    <row r="12192" spans="6:13" hidden="1" x14ac:dyDescent="0.2">
      <c r="F12192" s="494">
        <v>515</v>
      </c>
      <c r="G12192" s="495" t="s">
        <v>3832</v>
      </c>
      <c r="H12192" s="397"/>
      <c r="I12192" s="397"/>
      <c r="J12192" s="750"/>
      <c r="K12192" s="398"/>
      <c r="L12192" s="398"/>
      <c r="M12192" s="682"/>
    </row>
    <row r="12193" spans="5:13" hidden="1" x14ac:dyDescent="0.2">
      <c r="F12193" s="494">
        <v>521</v>
      </c>
      <c r="G12193" s="495" t="s">
        <v>4198</v>
      </c>
      <c r="H12193" s="397"/>
      <c r="I12193" s="397"/>
      <c r="J12193" s="750"/>
      <c r="K12193" s="398"/>
      <c r="L12193" s="398"/>
      <c r="M12193" s="682"/>
    </row>
    <row r="12194" spans="5:13" hidden="1" x14ac:dyDescent="0.2">
      <c r="F12194" s="494">
        <v>522</v>
      </c>
      <c r="G12194" s="495" t="s">
        <v>4199</v>
      </c>
      <c r="H12194" s="397"/>
      <c r="I12194" s="397"/>
      <c r="J12194" s="750"/>
      <c r="K12194" s="398"/>
      <c r="L12194" s="398"/>
      <c r="M12194" s="682"/>
    </row>
    <row r="12195" spans="5:13" hidden="1" x14ac:dyDescent="0.2">
      <c r="F12195" s="494">
        <v>523</v>
      </c>
      <c r="G12195" s="495" t="s">
        <v>3837</v>
      </c>
      <c r="H12195" s="397"/>
      <c r="I12195" s="397"/>
      <c r="J12195" s="750"/>
      <c r="K12195" s="398"/>
      <c r="L12195" s="398"/>
      <c r="M12195" s="682"/>
    </row>
    <row r="12196" spans="5:13" hidden="1" x14ac:dyDescent="0.2">
      <c r="F12196" s="494">
        <v>531</v>
      </c>
      <c r="G12196" s="496" t="s">
        <v>4175</v>
      </c>
      <c r="H12196" s="397"/>
      <c r="I12196" s="397"/>
      <c r="J12196" s="750"/>
      <c r="K12196" s="398"/>
      <c r="L12196" s="398"/>
      <c r="M12196" s="682"/>
    </row>
    <row r="12197" spans="5:13" hidden="1" x14ac:dyDescent="0.2">
      <c r="F12197" s="494">
        <v>541</v>
      </c>
      <c r="G12197" s="495" t="s">
        <v>4200</v>
      </c>
      <c r="H12197" s="397"/>
      <c r="I12197" s="397"/>
      <c r="J12197" s="750"/>
      <c r="K12197" s="398"/>
      <c r="L12197" s="398"/>
      <c r="M12197" s="682"/>
    </row>
    <row r="12198" spans="5:13" hidden="1" x14ac:dyDescent="0.2">
      <c r="F12198" s="494">
        <v>542</v>
      </c>
      <c r="G12198" s="495" t="s">
        <v>4201</v>
      </c>
      <c r="H12198" s="397"/>
      <c r="I12198" s="397"/>
      <c r="J12198" s="750"/>
      <c r="K12198" s="398"/>
      <c r="L12198" s="398"/>
      <c r="M12198" s="682"/>
    </row>
    <row r="12199" spans="5:13" hidden="1" x14ac:dyDescent="0.2">
      <c r="F12199" s="494">
        <v>543</v>
      </c>
      <c r="G12199" s="495" t="s">
        <v>3842</v>
      </c>
      <c r="H12199" s="397"/>
      <c r="I12199" s="397"/>
      <c r="J12199" s="750"/>
      <c r="K12199" s="398"/>
      <c r="L12199" s="398"/>
      <c r="M12199" s="682"/>
    </row>
    <row r="12200" spans="5:13" ht="38.25" hidden="1" x14ac:dyDescent="0.2">
      <c r="F12200" s="494">
        <v>551</v>
      </c>
      <c r="G12200" s="495" t="s">
        <v>4176</v>
      </c>
      <c r="H12200" s="397"/>
      <c r="I12200" s="397"/>
      <c r="J12200" s="750"/>
      <c r="K12200" s="398"/>
      <c r="L12200" s="398"/>
      <c r="M12200" s="682"/>
    </row>
    <row r="12201" spans="5:13" hidden="1" x14ac:dyDescent="0.2">
      <c r="F12201" s="498">
        <v>611</v>
      </c>
      <c r="G12201" s="499" t="s">
        <v>3848</v>
      </c>
      <c r="H12201" s="397"/>
      <c r="I12201" s="397"/>
      <c r="J12201" s="750"/>
      <c r="K12201" s="398"/>
      <c r="L12201" s="398"/>
      <c r="M12201" s="682"/>
    </row>
    <row r="12202" spans="5:13" hidden="1" x14ac:dyDescent="0.2">
      <c r="F12202" s="498">
        <v>620</v>
      </c>
      <c r="G12202" s="499" t="s">
        <v>88</v>
      </c>
      <c r="H12202" s="397"/>
      <c r="I12202" s="397"/>
      <c r="J12202" s="750"/>
      <c r="K12202" s="398"/>
      <c r="L12202" s="398"/>
      <c r="M12202" s="682"/>
    </row>
    <row r="12203" spans="5:13" hidden="1" x14ac:dyDescent="0.2">
      <c r="E12203" s="500"/>
      <c r="F12203" s="498"/>
      <c r="G12203" s="501" t="s">
        <v>4435</v>
      </c>
      <c r="H12203" s="400"/>
      <c r="I12203" s="400"/>
      <c r="J12203" s="750"/>
      <c r="K12203" s="401"/>
      <c r="L12203" s="402"/>
      <c r="M12203" s="682"/>
    </row>
    <row r="12204" spans="5:13" hidden="1" x14ac:dyDescent="0.2">
      <c r="E12204" s="502"/>
      <c r="F12204" s="503" t="s">
        <v>234</v>
      </c>
      <c r="G12204" s="504" t="s">
        <v>235</v>
      </c>
      <c r="H12204" s="403">
        <f>SUM(H12143:H12202)</f>
        <v>0</v>
      </c>
      <c r="I12204" s="403"/>
      <c r="J12204" s="750"/>
      <c r="K12204" s="404"/>
      <c r="L12204" s="404"/>
      <c r="M12204" s="682"/>
    </row>
    <row r="12205" spans="5:13" hidden="1" x14ac:dyDescent="0.2">
      <c r="F12205" s="503" t="s">
        <v>236</v>
      </c>
      <c r="G12205" s="504" t="s">
        <v>237</v>
      </c>
      <c r="H12205" s="397"/>
      <c r="I12205" s="397"/>
      <c r="J12205" s="750"/>
      <c r="K12205" s="398"/>
      <c r="L12205" s="404"/>
      <c r="M12205" s="682"/>
    </row>
    <row r="12206" spans="5:13" hidden="1" x14ac:dyDescent="0.2">
      <c r="F12206" s="503" t="s">
        <v>238</v>
      </c>
      <c r="G12206" s="504" t="s">
        <v>239</v>
      </c>
      <c r="H12206" s="397"/>
      <c r="I12206" s="397"/>
      <c r="J12206" s="750"/>
      <c r="K12206" s="398"/>
      <c r="L12206" s="404"/>
      <c r="M12206" s="682"/>
    </row>
    <row r="12207" spans="5:13" hidden="1" x14ac:dyDescent="0.2">
      <c r="F12207" s="503" t="s">
        <v>240</v>
      </c>
      <c r="G12207" s="504" t="s">
        <v>241</v>
      </c>
      <c r="H12207" s="397"/>
      <c r="I12207" s="397"/>
      <c r="J12207" s="750"/>
      <c r="K12207" s="398"/>
      <c r="L12207" s="404"/>
      <c r="M12207" s="682"/>
    </row>
    <row r="12208" spans="5:13" hidden="1" x14ac:dyDescent="0.2">
      <c r="F12208" s="503" t="s">
        <v>242</v>
      </c>
      <c r="G12208" s="504" t="s">
        <v>243</v>
      </c>
      <c r="H12208" s="397"/>
      <c r="I12208" s="397"/>
      <c r="J12208" s="750"/>
      <c r="K12208" s="398"/>
      <c r="L12208" s="404"/>
      <c r="M12208" s="682"/>
    </row>
    <row r="12209" spans="5:13" hidden="1" x14ac:dyDescent="0.2">
      <c r="F12209" s="503" t="s">
        <v>244</v>
      </c>
      <c r="G12209" s="504" t="s">
        <v>245</v>
      </c>
      <c r="H12209" s="397"/>
      <c r="I12209" s="397"/>
      <c r="J12209" s="750"/>
      <c r="K12209" s="398"/>
      <c r="L12209" s="404"/>
      <c r="M12209" s="682"/>
    </row>
    <row r="12210" spans="5:13" hidden="1" x14ac:dyDescent="0.2">
      <c r="F12210" s="503" t="s">
        <v>246</v>
      </c>
      <c r="G12210" s="504" t="s">
        <v>247</v>
      </c>
      <c r="H12210" s="397"/>
      <c r="I12210" s="397"/>
      <c r="J12210" s="750"/>
      <c r="K12210" s="398"/>
      <c r="L12210" s="404"/>
      <c r="M12210" s="682"/>
    </row>
    <row r="12211" spans="5:13" ht="25.5" hidden="1" x14ac:dyDescent="0.2">
      <c r="F12211" s="503" t="s">
        <v>248</v>
      </c>
      <c r="G12211" s="504" t="s">
        <v>249</v>
      </c>
      <c r="H12211" s="397"/>
      <c r="I12211" s="397"/>
      <c r="J12211" s="750"/>
      <c r="K12211" s="398"/>
      <c r="L12211" s="404"/>
      <c r="M12211" s="682"/>
    </row>
    <row r="12212" spans="5:13" hidden="1" x14ac:dyDescent="0.2">
      <c r="F12212" s="503" t="s">
        <v>250</v>
      </c>
      <c r="G12212" s="504" t="s">
        <v>57</v>
      </c>
      <c r="H12212" s="397"/>
      <c r="I12212" s="397"/>
      <c r="J12212" s="750"/>
      <c r="K12212" s="398"/>
      <c r="L12212" s="404"/>
      <c r="M12212" s="682"/>
    </row>
    <row r="12213" spans="5:13" hidden="1" x14ac:dyDescent="0.2">
      <c r="F12213" s="503" t="s">
        <v>251</v>
      </c>
      <c r="G12213" s="504" t="s">
        <v>252</v>
      </c>
      <c r="H12213" s="397"/>
      <c r="I12213" s="397"/>
      <c r="J12213" s="750"/>
      <c r="K12213" s="398"/>
      <c r="L12213" s="404"/>
      <c r="M12213" s="682"/>
    </row>
    <row r="12214" spans="5:13" hidden="1" x14ac:dyDescent="0.2">
      <c r="F12214" s="503" t="s">
        <v>253</v>
      </c>
      <c r="G12214" s="504" t="s">
        <v>254</v>
      </c>
      <c r="H12214" s="397"/>
      <c r="I12214" s="397"/>
      <c r="J12214" s="750"/>
      <c r="K12214" s="398"/>
      <c r="L12214" s="404"/>
      <c r="M12214" s="682"/>
    </row>
    <row r="12215" spans="5:13" ht="25.5" hidden="1" x14ac:dyDescent="0.2">
      <c r="F12215" s="503" t="s">
        <v>255</v>
      </c>
      <c r="G12215" s="504" t="s">
        <v>256</v>
      </c>
      <c r="H12215" s="397"/>
      <c r="I12215" s="397"/>
      <c r="J12215" s="750"/>
      <c r="K12215" s="398"/>
      <c r="L12215" s="404"/>
      <c r="M12215" s="682"/>
    </row>
    <row r="12216" spans="5:13" ht="25.5" hidden="1" x14ac:dyDescent="0.2">
      <c r="F12216" s="503" t="s">
        <v>257</v>
      </c>
      <c r="G12216" s="504" t="s">
        <v>258</v>
      </c>
      <c r="H12216" s="397"/>
      <c r="I12216" s="397"/>
      <c r="J12216" s="750"/>
      <c r="K12216" s="398"/>
      <c r="L12216" s="404"/>
      <c r="M12216" s="682"/>
    </row>
    <row r="12217" spans="5:13" ht="25.5" hidden="1" x14ac:dyDescent="0.2">
      <c r="F12217" s="503" t="s">
        <v>259</v>
      </c>
      <c r="G12217" s="504" t="s">
        <v>260</v>
      </c>
      <c r="H12217" s="397"/>
      <c r="I12217" s="397"/>
      <c r="J12217" s="750"/>
      <c r="K12217" s="398"/>
      <c r="L12217" s="404"/>
      <c r="M12217" s="682"/>
    </row>
    <row r="12218" spans="5:13" ht="25.5" hidden="1" x14ac:dyDescent="0.2">
      <c r="F12218" s="503" t="s">
        <v>261</v>
      </c>
      <c r="G12218" s="504" t="s">
        <v>262</v>
      </c>
      <c r="H12218" s="397"/>
      <c r="I12218" s="397"/>
      <c r="J12218" s="750"/>
      <c r="K12218" s="398"/>
      <c r="L12218" s="404"/>
      <c r="M12218" s="682"/>
    </row>
    <row r="12219" spans="5:13" hidden="1" x14ac:dyDescent="0.2">
      <c r="F12219" s="503" t="s">
        <v>263</v>
      </c>
      <c r="G12219" s="504" t="s">
        <v>264</v>
      </c>
      <c r="H12219" s="403"/>
      <c r="I12219" s="403"/>
      <c r="J12219" s="750"/>
      <c r="K12219" s="404"/>
      <c r="L12219" s="404"/>
      <c r="M12219" s="682"/>
    </row>
    <row r="12220" spans="5:13" ht="13.5" hidden="1" thickBot="1" x14ac:dyDescent="0.25">
      <c r="G12220" s="505" t="s">
        <v>4436</v>
      </c>
      <c r="H12220" s="405">
        <f>SUM(H12204:H12219)</f>
        <v>0</v>
      </c>
      <c r="I12220" s="405"/>
      <c r="J12220" s="750"/>
      <c r="K12220" s="406">
        <f>SUM(K12205:K12219)</f>
        <v>0</v>
      </c>
      <c r="L12220" s="406"/>
      <c r="M12220" s="682"/>
    </row>
    <row r="12221" spans="5:13" ht="25.5" hidden="1" collapsed="1" x14ac:dyDescent="0.2">
      <c r="E12221" s="500"/>
      <c r="F12221" s="498"/>
      <c r="G12221" s="506" t="s">
        <v>4437</v>
      </c>
      <c r="H12221" s="407"/>
      <c r="I12221" s="408"/>
      <c r="J12221" s="750"/>
      <c r="K12221" s="409"/>
      <c r="L12221" s="410"/>
      <c r="M12221" s="682"/>
    </row>
    <row r="12222" spans="5:13" hidden="1" x14ac:dyDescent="0.2">
      <c r="E12222" s="502"/>
      <c r="F12222" s="503" t="s">
        <v>234</v>
      </c>
      <c r="G12222" s="504" t="s">
        <v>235</v>
      </c>
      <c r="H12222" s="403">
        <f>SUM(H12143:H12202)</f>
        <v>0</v>
      </c>
      <c r="I12222" s="403"/>
      <c r="J12222" s="750"/>
      <c r="K12222" s="404"/>
      <c r="L12222" s="404"/>
      <c r="M12222" s="682"/>
    </row>
    <row r="12223" spans="5:13" hidden="1" x14ac:dyDescent="0.2">
      <c r="F12223" s="503" t="s">
        <v>236</v>
      </c>
      <c r="G12223" s="504" t="s">
        <v>237</v>
      </c>
      <c r="H12223" s="397"/>
      <c r="I12223" s="397"/>
      <c r="J12223" s="750"/>
      <c r="K12223" s="398"/>
      <c r="L12223" s="404"/>
      <c r="M12223" s="682"/>
    </row>
    <row r="12224" spans="5:13" hidden="1" x14ac:dyDescent="0.2">
      <c r="F12224" s="503" t="s">
        <v>238</v>
      </c>
      <c r="G12224" s="504" t="s">
        <v>239</v>
      </c>
      <c r="H12224" s="397"/>
      <c r="I12224" s="397"/>
      <c r="J12224" s="750"/>
      <c r="K12224" s="398"/>
      <c r="L12224" s="404"/>
      <c r="M12224" s="682"/>
    </row>
    <row r="12225" spans="3:13" hidden="1" x14ac:dyDescent="0.2">
      <c r="F12225" s="503" t="s">
        <v>240</v>
      </c>
      <c r="G12225" s="504" t="s">
        <v>241</v>
      </c>
      <c r="H12225" s="397"/>
      <c r="I12225" s="397"/>
      <c r="J12225" s="750"/>
      <c r="K12225" s="398"/>
      <c r="L12225" s="404"/>
      <c r="M12225" s="682"/>
    </row>
    <row r="12226" spans="3:13" hidden="1" x14ac:dyDescent="0.2">
      <c r="F12226" s="503" t="s">
        <v>242</v>
      </c>
      <c r="G12226" s="504" t="s">
        <v>243</v>
      </c>
      <c r="H12226" s="397"/>
      <c r="I12226" s="397"/>
      <c r="J12226" s="750"/>
      <c r="K12226" s="398"/>
      <c r="L12226" s="404"/>
      <c r="M12226" s="682"/>
    </row>
    <row r="12227" spans="3:13" hidden="1" x14ac:dyDescent="0.2">
      <c r="F12227" s="503" t="s">
        <v>244</v>
      </c>
      <c r="G12227" s="504" t="s">
        <v>245</v>
      </c>
      <c r="H12227" s="397"/>
      <c r="I12227" s="397"/>
      <c r="J12227" s="750"/>
      <c r="K12227" s="398"/>
      <c r="L12227" s="404"/>
      <c r="M12227" s="682"/>
    </row>
    <row r="12228" spans="3:13" hidden="1" x14ac:dyDescent="0.2">
      <c r="F12228" s="503" t="s">
        <v>246</v>
      </c>
      <c r="G12228" s="504" t="s">
        <v>247</v>
      </c>
      <c r="H12228" s="397"/>
      <c r="I12228" s="397"/>
      <c r="J12228" s="750"/>
      <c r="K12228" s="398"/>
      <c r="L12228" s="404"/>
      <c r="M12228" s="682"/>
    </row>
    <row r="12229" spans="3:13" ht="25.5" hidden="1" x14ac:dyDescent="0.2">
      <c r="F12229" s="503" t="s">
        <v>248</v>
      </c>
      <c r="G12229" s="504" t="s">
        <v>249</v>
      </c>
      <c r="H12229" s="397"/>
      <c r="I12229" s="397"/>
      <c r="J12229" s="750"/>
      <c r="K12229" s="398"/>
      <c r="L12229" s="404"/>
      <c r="M12229" s="682"/>
    </row>
    <row r="12230" spans="3:13" hidden="1" x14ac:dyDescent="0.2">
      <c r="F12230" s="503" t="s">
        <v>250</v>
      </c>
      <c r="G12230" s="504" t="s">
        <v>57</v>
      </c>
      <c r="H12230" s="397"/>
      <c r="I12230" s="397"/>
      <c r="J12230" s="750"/>
      <c r="K12230" s="398"/>
      <c r="L12230" s="404"/>
      <c r="M12230" s="682"/>
    </row>
    <row r="12231" spans="3:13" hidden="1" x14ac:dyDescent="0.2">
      <c r="F12231" s="503" t="s">
        <v>251</v>
      </c>
      <c r="G12231" s="504" t="s">
        <v>252</v>
      </c>
      <c r="H12231" s="397"/>
      <c r="I12231" s="397"/>
      <c r="J12231" s="750"/>
      <c r="K12231" s="398"/>
      <c r="L12231" s="404"/>
      <c r="M12231" s="682"/>
    </row>
    <row r="12232" spans="3:13" hidden="1" x14ac:dyDescent="0.2">
      <c r="F12232" s="503" t="s">
        <v>253</v>
      </c>
      <c r="G12232" s="504" t="s">
        <v>254</v>
      </c>
      <c r="H12232" s="397"/>
      <c r="I12232" s="397"/>
      <c r="J12232" s="750"/>
      <c r="K12232" s="398"/>
      <c r="L12232" s="404"/>
      <c r="M12232" s="682"/>
    </row>
    <row r="12233" spans="3:13" ht="25.5" hidden="1" x14ac:dyDescent="0.2">
      <c r="F12233" s="503" t="s">
        <v>255</v>
      </c>
      <c r="G12233" s="504" t="s">
        <v>256</v>
      </c>
      <c r="H12233" s="397"/>
      <c r="I12233" s="397"/>
      <c r="J12233" s="750"/>
      <c r="K12233" s="398"/>
      <c r="L12233" s="404"/>
      <c r="M12233" s="682"/>
    </row>
    <row r="12234" spans="3:13" ht="25.5" hidden="1" x14ac:dyDescent="0.2">
      <c r="F12234" s="503" t="s">
        <v>257</v>
      </c>
      <c r="G12234" s="504" t="s">
        <v>258</v>
      </c>
      <c r="H12234" s="397"/>
      <c r="I12234" s="397"/>
      <c r="J12234" s="750"/>
      <c r="K12234" s="398"/>
      <c r="L12234" s="404"/>
      <c r="M12234" s="682"/>
    </row>
    <row r="12235" spans="3:13" ht="25.5" hidden="1" x14ac:dyDescent="0.2">
      <c r="F12235" s="503" t="s">
        <v>259</v>
      </c>
      <c r="G12235" s="504" t="s">
        <v>260</v>
      </c>
      <c r="H12235" s="397"/>
      <c r="I12235" s="397"/>
      <c r="J12235" s="750"/>
      <c r="K12235" s="398"/>
      <c r="L12235" s="404"/>
      <c r="M12235" s="682"/>
    </row>
    <row r="12236" spans="3:13" ht="25.5" hidden="1" x14ac:dyDescent="0.2">
      <c r="F12236" s="503" t="s">
        <v>261</v>
      </c>
      <c r="G12236" s="504" t="s">
        <v>262</v>
      </c>
      <c r="H12236" s="397"/>
      <c r="I12236" s="397"/>
      <c r="J12236" s="750"/>
      <c r="K12236" s="398"/>
      <c r="L12236" s="404"/>
      <c r="M12236" s="682"/>
    </row>
    <row r="12237" spans="3:13" hidden="1" x14ac:dyDescent="0.2">
      <c r="F12237" s="503" t="s">
        <v>263</v>
      </c>
      <c r="G12237" s="504" t="s">
        <v>264</v>
      </c>
      <c r="H12237" s="403"/>
      <c r="I12237" s="403"/>
      <c r="J12237" s="750"/>
      <c r="K12237" s="404"/>
      <c r="L12237" s="404"/>
      <c r="M12237" s="682"/>
    </row>
    <row r="12238" spans="3:13" ht="13.5" hidden="1" collapsed="1" thickBot="1" x14ac:dyDescent="0.25">
      <c r="G12238" s="505" t="s">
        <v>4438</v>
      </c>
      <c r="H12238" s="405">
        <f>SUM(H12222:H12237)</f>
        <v>0</v>
      </c>
      <c r="I12238" s="405"/>
      <c r="J12238" s="750"/>
      <c r="K12238" s="406">
        <f>SUM(K12223:K12237)</f>
        <v>0</v>
      </c>
      <c r="L12238" s="406"/>
      <c r="M12238" s="682"/>
    </row>
    <row r="12239" spans="3:13" hidden="1" x14ac:dyDescent="0.2">
      <c r="H12239" s="397"/>
      <c r="I12239" s="397"/>
      <c r="J12239" s="750"/>
      <c r="K12239" s="398"/>
      <c r="L12239" s="398"/>
      <c r="M12239" s="682"/>
    </row>
    <row r="12240" spans="3:13" hidden="1" x14ac:dyDescent="0.2">
      <c r="C12240" s="489" t="s">
        <v>4831</v>
      </c>
      <c r="D12240" s="490"/>
      <c r="G12240" s="508" t="s">
        <v>5086</v>
      </c>
      <c r="H12240" s="397"/>
      <c r="I12240" s="397"/>
      <c r="J12240" s="750"/>
      <c r="K12240" s="398"/>
      <c r="L12240" s="398"/>
      <c r="M12240" s="682"/>
    </row>
    <row r="12241" spans="3:13" hidden="1" x14ac:dyDescent="0.2">
      <c r="C12241" s="489"/>
      <c r="D12241" s="492">
        <v>820</v>
      </c>
      <c r="E12241" s="492"/>
      <c r="F12241" s="492"/>
      <c r="G12241" s="493" t="s">
        <v>207</v>
      </c>
      <c r="H12241" s="397"/>
      <c r="I12241" s="397"/>
      <c r="J12241" s="750"/>
      <c r="K12241" s="398"/>
      <c r="L12241" s="398"/>
      <c r="M12241" s="682"/>
    </row>
    <row r="12242" spans="3:13" hidden="1" x14ac:dyDescent="0.2">
      <c r="F12242" s="494">
        <v>411</v>
      </c>
      <c r="G12242" s="495" t="s">
        <v>4167</v>
      </c>
      <c r="H12242" s="397"/>
      <c r="I12242" s="397"/>
      <c r="J12242" s="750"/>
      <c r="K12242" s="398"/>
      <c r="L12242" s="398"/>
      <c r="M12242" s="682"/>
    </row>
    <row r="12243" spans="3:13" hidden="1" x14ac:dyDescent="0.2">
      <c r="F12243" s="494">
        <v>412</v>
      </c>
      <c r="G12243" s="496" t="s">
        <v>3764</v>
      </c>
      <c r="H12243" s="397"/>
      <c r="I12243" s="397"/>
      <c r="J12243" s="750"/>
      <c r="K12243" s="398"/>
      <c r="L12243" s="398"/>
      <c r="M12243" s="682"/>
    </row>
    <row r="12244" spans="3:13" hidden="1" x14ac:dyDescent="0.2">
      <c r="F12244" s="494">
        <v>413</v>
      </c>
      <c r="G12244" s="495" t="s">
        <v>4168</v>
      </c>
      <c r="H12244" s="397"/>
      <c r="I12244" s="397"/>
      <c r="J12244" s="750"/>
      <c r="K12244" s="398"/>
      <c r="L12244" s="398"/>
      <c r="M12244" s="682"/>
    </row>
    <row r="12245" spans="3:13" hidden="1" x14ac:dyDescent="0.2">
      <c r="F12245" s="494">
        <v>414</v>
      </c>
      <c r="G12245" s="495" t="s">
        <v>3767</v>
      </c>
      <c r="H12245" s="397"/>
      <c r="I12245" s="397"/>
      <c r="J12245" s="750"/>
      <c r="K12245" s="398"/>
      <c r="L12245" s="398"/>
      <c r="M12245" s="682"/>
    </row>
    <row r="12246" spans="3:13" hidden="1" x14ac:dyDescent="0.2">
      <c r="F12246" s="494">
        <v>415</v>
      </c>
      <c r="G12246" s="495" t="s">
        <v>4177</v>
      </c>
      <c r="H12246" s="397"/>
      <c r="I12246" s="397"/>
      <c r="J12246" s="750"/>
      <c r="K12246" s="398"/>
      <c r="L12246" s="398"/>
      <c r="M12246" s="682"/>
    </row>
    <row r="12247" spans="3:13" ht="25.5" hidden="1" x14ac:dyDescent="0.2">
      <c r="F12247" s="494">
        <v>416</v>
      </c>
      <c r="G12247" s="495" t="s">
        <v>4178</v>
      </c>
      <c r="H12247" s="397"/>
      <c r="I12247" s="397"/>
      <c r="J12247" s="750"/>
      <c r="K12247" s="398"/>
      <c r="L12247" s="398"/>
      <c r="M12247" s="682"/>
    </row>
    <row r="12248" spans="3:13" hidden="1" x14ac:dyDescent="0.2">
      <c r="F12248" s="494">
        <v>417</v>
      </c>
      <c r="G12248" s="495" t="s">
        <v>4179</v>
      </c>
      <c r="H12248" s="397"/>
      <c r="I12248" s="397"/>
      <c r="J12248" s="750"/>
      <c r="K12248" s="398"/>
      <c r="L12248" s="398"/>
      <c r="M12248" s="682"/>
    </row>
    <row r="12249" spans="3:13" hidden="1" x14ac:dyDescent="0.2">
      <c r="F12249" s="494">
        <v>418</v>
      </c>
      <c r="G12249" s="495" t="s">
        <v>3773</v>
      </c>
      <c r="H12249" s="397"/>
      <c r="I12249" s="397"/>
      <c r="J12249" s="750"/>
      <c r="K12249" s="398"/>
      <c r="L12249" s="398"/>
      <c r="M12249" s="682"/>
    </row>
    <row r="12250" spans="3:13" hidden="1" x14ac:dyDescent="0.2">
      <c r="F12250" s="494">
        <v>421</v>
      </c>
      <c r="G12250" s="495" t="s">
        <v>3777</v>
      </c>
      <c r="H12250" s="397"/>
      <c r="I12250" s="397"/>
      <c r="J12250" s="750"/>
      <c r="K12250" s="398"/>
      <c r="L12250" s="398"/>
      <c r="M12250" s="682"/>
    </row>
    <row r="12251" spans="3:13" hidden="1" x14ac:dyDescent="0.2">
      <c r="F12251" s="494">
        <v>422</v>
      </c>
      <c r="G12251" s="495" t="s">
        <v>3778</v>
      </c>
      <c r="H12251" s="397"/>
      <c r="I12251" s="397"/>
      <c r="J12251" s="750"/>
      <c r="K12251" s="398"/>
      <c r="L12251" s="398"/>
      <c r="M12251" s="682"/>
    </row>
    <row r="12252" spans="3:13" hidden="1" x14ac:dyDescent="0.2">
      <c r="F12252" s="494">
        <v>423</v>
      </c>
      <c r="G12252" s="495" t="s">
        <v>3779</v>
      </c>
      <c r="H12252" s="397"/>
      <c r="I12252" s="397"/>
      <c r="J12252" s="750"/>
      <c r="K12252" s="398"/>
      <c r="L12252" s="398"/>
      <c r="M12252" s="682"/>
    </row>
    <row r="12253" spans="3:13" hidden="1" x14ac:dyDescent="0.2">
      <c r="F12253" s="494">
        <v>424</v>
      </c>
      <c r="G12253" s="495" t="s">
        <v>3781</v>
      </c>
      <c r="H12253" s="397"/>
      <c r="I12253" s="397"/>
      <c r="J12253" s="750"/>
      <c r="K12253" s="398"/>
      <c r="L12253" s="398"/>
      <c r="M12253" s="682"/>
    </row>
    <row r="12254" spans="3:13" hidden="1" x14ac:dyDescent="0.2">
      <c r="F12254" s="494">
        <v>425</v>
      </c>
      <c r="G12254" s="495" t="s">
        <v>4180</v>
      </c>
      <c r="H12254" s="397"/>
      <c r="I12254" s="397"/>
      <c r="J12254" s="750"/>
      <c r="K12254" s="398"/>
      <c r="L12254" s="398"/>
      <c r="M12254" s="682"/>
    </row>
    <row r="12255" spans="3:13" hidden="1" x14ac:dyDescent="0.2">
      <c r="F12255" s="494">
        <v>426</v>
      </c>
      <c r="G12255" s="495" t="s">
        <v>3785</v>
      </c>
      <c r="H12255" s="397"/>
      <c r="I12255" s="397"/>
      <c r="J12255" s="750"/>
      <c r="K12255" s="398"/>
      <c r="L12255" s="398"/>
      <c r="M12255" s="682"/>
    </row>
    <row r="12256" spans="3:13" hidden="1" x14ac:dyDescent="0.2">
      <c r="F12256" s="494">
        <v>431</v>
      </c>
      <c r="G12256" s="495" t="s">
        <v>4181</v>
      </c>
      <c r="H12256" s="397"/>
      <c r="I12256" s="397"/>
      <c r="J12256" s="750"/>
      <c r="K12256" s="398"/>
      <c r="L12256" s="398"/>
      <c r="M12256" s="682"/>
    </row>
    <row r="12257" spans="6:13" hidden="1" x14ac:dyDescent="0.2">
      <c r="F12257" s="494">
        <v>432</v>
      </c>
      <c r="G12257" s="495" t="s">
        <v>4182</v>
      </c>
      <c r="H12257" s="397"/>
      <c r="I12257" s="397"/>
      <c r="J12257" s="750"/>
      <c r="K12257" s="398"/>
      <c r="L12257" s="398"/>
      <c r="M12257" s="682"/>
    </row>
    <row r="12258" spans="6:13" hidden="1" x14ac:dyDescent="0.2">
      <c r="F12258" s="494">
        <v>433</v>
      </c>
      <c r="G12258" s="495" t="s">
        <v>4183</v>
      </c>
      <c r="H12258" s="397"/>
      <c r="I12258" s="397"/>
      <c r="J12258" s="750"/>
      <c r="K12258" s="398"/>
      <c r="L12258" s="398"/>
      <c r="M12258" s="682"/>
    </row>
    <row r="12259" spans="6:13" hidden="1" x14ac:dyDescent="0.2">
      <c r="F12259" s="494">
        <v>434</v>
      </c>
      <c r="G12259" s="495" t="s">
        <v>4184</v>
      </c>
      <c r="H12259" s="397"/>
      <c r="I12259" s="397"/>
      <c r="J12259" s="750"/>
      <c r="K12259" s="398"/>
      <c r="L12259" s="398"/>
      <c r="M12259" s="682"/>
    </row>
    <row r="12260" spans="6:13" hidden="1" x14ac:dyDescent="0.2">
      <c r="F12260" s="494">
        <v>435</v>
      </c>
      <c r="G12260" s="495" t="s">
        <v>3792</v>
      </c>
      <c r="H12260" s="397"/>
      <c r="I12260" s="397"/>
      <c r="J12260" s="750"/>
      <c r="K12260" s="398"/>
      <c r="L12260" s="398"/>
      <c r="M12260" s="682"/>
    </row>
    <row r="12261" spans="6:13" hidden="1" x14ac:dyDescent="0.2">
      <c r="F12261" s="494">
        <v>441</v>
      </c>
      <c r="G12261" s="495" t="s">
        <v>4185</v>
      </c>
      <c r="H12261" s="397"/>
      <c r="I12261" s="397"/>
      <c r="J12261" s="750"/>
      <c r="K12261" s="398"/>
      <c r="L12261" s="398"/>
      <c r="M12261" s="682"/>
    </row>
    <row r="12262" spans="6:13" hidden="1" x14ac:dyDescent="0.2">
      <c r="F12262" s="494">
        <v>442</v>
      </c>
      <c r="G12262" s="495" t="s">
        <v>4186</v>
      </c>
      <c r="H12262" s="397"/>
      <c r="I12262" s="397"/>
      <c r="J12262" s="750"/>
      <c r="K12262" s="398"/>
      <c r="L12262" s="398"/>
      <c r="M12262" s="682"/>
    </row>
    <row r="12263" spans="6:13" hidden="1" x14ac:dyDescent="0.2">
      <c r="F12263" s="494">
        <v>443</v>
      </c>
      <c r="G12263" s="495" t="s">
        <v>3797</v>
      </c>
      <c r="H12263" s="397"/>
      <c r="I12263" s="397"/>
      <c r="J12263" s="750"/>
      <c r="K12263" s="398"/>
      <c r="L12263" s="398"/>
      <c r="M12263" s="682"/>
    </row>
    <row r="12264" spans="6:13" hidden="1" x14ac:dyDescent="0.2">
      <c r="F12264" s="494">
        <v>444</v>
      </c>
      <c r="G12264" s="495" t="s">
        <v>3798</v>
      </c>
      <c r="H12264" s="397"/>
      <c r="I12264" s="397"/>
      <c r="J12264" s="750"/>
      <c r="K12264" s="398"/>
      <c r="L12264" s="398"/>
      <c r="M12264" s="682"/>
    </row>
    <row r="12265" spans="6:13" ht="25.5" hidden="1" x14ac:dyDescent="0.2">
      <c r="F12265" s="494">
        <v>4511</v>
      </c>
      <c r="G12265" s="466" t="s">
        <v>1692</v>
      </c>
      <c r="H12265" s="397"/>
      <c r="I12265" s="397"/>
      <c r="J12265" s="750"/>
      <c r="K12265" s="398"/>
      <c r="L12265" s="398"/>
      <c r="M12265" s="682"/>
    </row>
    <row r="12266" spans="6:13" ht="25.5" hidden="1" x14ac:dyDescent="0.2">
      <c r="F12266" s="494">
        <v>4512</v>
      </c>
      <c r="G12266" s="466" t="s">
        <v>1701</v>
      </c>
      <c r="H12266" s="397"/>
      <c r="I12266" s="397"/>
      <c r="J12266" s="750"/>
      <c r="K12266" s="398"/>
      <c r="L12266" s="398"/>
      <c r="M12266" s="682"/>
    </row>
    <row r="12267" spans="6:13" ht="25.5" hidden="1" x14ac:dyDescent="0.2">
      <c r="F12267" s="494">
        <v>452</v>
      </c>
      <c r="G12267" s="495" t="s">
        <v>4187</v>
      </c>
      <c r="H12267" s="397"/>
      <c r="I12267" s="397"/>
      <c r="J12267" s="750"/>
      <c r="K12267" s="398"/>
      <c r="L12267" s="398"/>
      <c r="M12267" s="682"/>
    </row>
    <row r="12268" spans="6:13" ht="25.5" hidden="1" x14ac:dyDescent="0.2">
      <c r="F12268" s="494">
        <v>453</v>
      </c>
      <c r="G12268" s="495" t="s">
        <v>4188</v>
      </c>
      <c r="H12268" s="397"/>
      <c r="I12268" s="397"/>
      <c r="J12268" s="750"/>
      <c r="K12268" s="398"/>
      <c r="L12268" s="398"/>
      <c r="M12268" s="682"/>
    </row>
    <row r="12269" spans="6:13" hidden="1" x14ac:dyDescent="0.2">
      <c r="F12269" s="494">
        <v>454</v>
      </c>
      <c r="G12269" s="495" t="s">
        <v>3803</v>
      </c>
      <c r="H12269" s="397"/>
      <c r="I12269" s="397"/>
      <c r="J12269" s="750"/>
      <c r="K12269" s="398"/>
      <c r="L12269" s="398"/>
      <c r="M12269" s="682"/>
    </row>
    <row r="12270" spans="6:13" hidden="1" x14ac:dyDescent="0.2">
      <c r="F12270" s="494">
        <v>461</v>
      </c>
      <c r="G12270" s="495" t="s">
        <v>4169</v>
      </c>
      <c r="H12270" s="397"/>
      <c r="I12270" s="397"/>
      <c r="J12270" s="750"/>
      <c r="K12270" s="398"/>
      <c r="L12270" s="398"/>
      <c r="M12270" s="682"/>
    </row>
    <row r="12271" spans="6:13" ht="25.5" hidden="1" x14ac:dyDescent="0.2">
      <c r="F12271" s="494">
        <v>462</v>
      </c>
      <c r="G12271" s="495" t="s">
        <v>3806</v>
      </c>
      <c r="H12271" s="397"/>
      <c r="I12271" s="397"/>
      <c r="J12271" s="750"/>
      <c r="K12271" s="398"/>
      <c r="L12271" s="398"/>
      <c r="M12271" s="682"/>
    </row>
    <row r="12272" spans="6:13" hidden="1" x14ac:dyDescent="0.2">
      <c r="F12272" s="494">
        <v>4631</v>
      </c>
      <c r="G12272" s="495" t="s">
        <v>3807</v>
      </c>
      <c r="H12272" s="397"/>
      <c r="I12272" s="397"/>
      <c r="J12272" s="750"/>
      <c r="K12272" s="398"/>
      <c r="L12272" s="398"/>
      <c r="M12272" s="682"/>
    </row>
    <row r="12273" spans="6:13" hidden="1" x14ac:dyDescent="0.2">
      <c r="F12273" s="494">
        <v>4632</v>
      </c>
      <c r="G12273" s="495" t="s">
        <v>3808</v>
      </c>
      <c r="H12273" s="397"/>
      <c r="I12273" s="397"/>
      <c r="J12273" s="750"/>
      <c r="K12273" s="398"/>
      <c r="L12273" s="398"/>
      <c r="M12273" s="682"/>
    </row>
    <row r="12274" spans="6:13" ht="25.5" hidden="1" x14ac:dyDescent="0.2">
      <c r="F12274" s="494">
        <v>464</v>
      </c>
      <c r="G12274" s="495" t="s">
        <v>3809</v>
      </c>
      <c r="H12274" s="397"/>
      <c r="I12274" s="397"/>
      <c r="J12274" s="750"/>
      <c r="K12274" s="398"/>
      <c r="L12274" s="398"/>
      <c r="M12274" s="682"/>
    </row>
    <row r="12275" spans="6:13" hidden="1" x14ac:dyDescent="0.2">
      <c r="F12275" s="494">
        <v>465</v>
      </c>
      <c r="G12275" s="495" t="s">
        <v>4170</v>
      </c>
      <c r="H12275" s="397"/>
      <c r="I12275" s="397"/>
      <c r="J12275" s="750"/>
      <c r="K12275" s="398"/>
      <c r="L12275" s="398"/>
      <c r="M12275" s="682"/>
    </row>
    <row r="12276" spans="6:13" hidden="1" x14ac:dyDescent="0.2">
      <c r="F12276" s="494">
        <v>472</v>
      </c>
      <c r="G12276" s="495" t="s">
        <v>3813</v>
      </c>
      <c r="H12276" s="397"/>
      <c r="I12276" s="397"/>
      <c r="J12276" s="750"/>
      <c r="K12276" s="398"/>
      <c r="L12276" s="398"/>
      <c r="M12276" s="682"/>
    </row>
    <row r="12277" spans="6:13" hidden="1" x14ac:dyDescent="0.2">
      <c r="F12277" s="494">
        <v>481</v>
      </c>
      <c r="G12277" s="495" t="s">
        <v>4189</v>
      </c>
      <c r="H12277" s="397"/>
      <c r="I12277" s="397"/>
      <c r="J12277" s="750"/>
      <c r="K12277" s="398"/>
      <c r="L12277" s="398"/>
      <c r="M12277" s="682"/>
    </row>
    <row r="12278" spans="6:13" hidden="1" x14ac:dyDescent="0.2">
      <c r="F12278" s="494">
        <v>482</v>
      </c>
      <c r="G12278" s="495" t="s">
        <v>4190</v>
      </c>
      <c r="H12278" s="397"/>
      <c r="I12278" s="397"/>
      <c r="J12278" s="750"/>
      <c r="K12278" s="398"/>
      <c r="L12278" s="398"/>
      <c r="M12278" s="682"/>
    </row>
    <row r="12279" spans="6:13" hidden="1" x14ac:dyDescent="0.2">
      <c r="F12279" s="494">
        <v>483</v>
      </c>
      <c r="G12279" s="497" t="s">
        <v>4191</v>
      </c>
      <c r="H12279" s="397"/>
      <c r="I12279" s="397"/>
      <c r="J12279" s="750"/>
      <c r="K12279" s="398"/>
      <c r="L12279" s="398"/>
      <c r="M12279" s="682"/>
    </row>
    <row r="12280" spans="6:13" ht="38.25" hidden="1" x14ac:dyDescent="0.2">
      <c r="F12280" s="494">
        <v>484</v>
      </c>
      <c r="G12280" s="495" t="s">
        <v>4192</v>
      </c>
      <c r="H12280" s="397"/>
      <c r="I12280" s="397"/>
      <c r="J12280" s="750"/>
      <c r="K12280" s="398"/>
      <c r="L12280" s="398"/>
      <c r="M12280" s="682"/>
    </row>
    <row r="12281" spans="6:13" ht="25.5" hidden="1" x14ac:dyDescent="0.2">
      <c r="F12281" s="494">
        <v>485</v>
      </c>
      <c r="G12281" s="495" t="s">
        <v>4193</v>
      </c>
      <c r="H12281" s="397"/>
      <c r="I12281" s="397"/>
      <c r="J12281" s="750"/>
      <c r="K12281" s="398"/>
      <c r="L12281" s="398"/>
      <c r="M12281" s="682"/>
    </row>
    <row r="12282" spans="6:13" ht="25.5" hidden="1" x14ac:dyDescent="0.2">
      <c r="F12282" s="494">
        <v>489</v>
      </c>
      <c r="G12282" s="495" t="s">
        <v>3821</v>
      </c>
      <c r="H12282" s="397"/>
      <c r="I12282" s="397"/>
      <c r="J12282" s="750"/>
      <c r="K12282" s="398"/>
      <c r="L12282" s="398"/>
      <c r="M12282" s="682"/>
    </row>
    <row r="12283" spans="6:13" ht="25.5" hidden="1" x14ac:dyDescent="0.2">
      <c r="F12283" s="494">
        <v>494</v>
      </c>
      <c r="G12283" s="495" t="s">
        <v>4171</v>
      </c>
      <c r="H12283" s="397"/>
      <c r="I12283" s="397"/>
      <c r="J12283" s="750"/>
      <c r="K12283" s="398"/>
      <c r="L12283" s="398"/>
      <c r="M12283" s="682"/>
    </row>
    <row r="12284" spans="6:13" ht="25.5" hidden="1" x14ac:dyDescent="0.2">
      <c r="F12284" s="494">
        <v>495</v>
      </c>
      <c r="G12284" s="495" t="s">
        <v>4172</v>
      </c>
      <c r="H12284" s="397"/>
      <c r="I12284" s="397"/>
      <c r="J12284" s="750"/>
      <c r="K12284" s="398"/>
      <c r="L12284" s="398"/>
      <c r="M12284" s="682"/>
    </row>
    <row r="12285" spans="6:13" ht="38.25" hidden="1" x14ac:dyDescent="0.2">
      <c r="F12285" s="494">
        <v>496</v>
      </c>
      <c r="G12285" s="495" t="s">
        <v>4173</v>
      </c>
      <c r="H12285" s="397"/>
      <c r="I12285" s="397"/>
      <c r="J12285" s="750"/>
      <c r="K12285" s="398"/>
      <c r="L12285" s="398"/>
      <c r="M12285" s="682"/>
    </row>
    <row r="12286" spans="6:13" ht="25.5" hidden="1" x14ac:dyDescent="0.2">
      <c r="F12286" s="494">
        <v>499</v>
      </c>
      <c r="G12286" s="495" t="s">
        <v>4174</v>
      </c>
      <c r="H12286" s="397"/>
      <c r="I12286" s="397"/>
      <c r="J12286" s="750"/>
      <c r="K12286" s="398"/>
      <c r="L12286" s="398"/>
      <c r="M12286" s="682"/>
    </row>
    <row r="12287" spans="6:13" hidden="1" x14ac:dyDescent="0.2">
      <c r="F12287" s="494">
        <v>511</v>
      </c>
      <c r="G12287" s="497" t="s">
        <v>4194</v>
      </c>
      <c r="H12287" s="397"/>
      <c r="I12287" s="397"/>
      <c r="J12287" s="750"/>
      <c r="K12287" s="398"/>
      <c r="L12287" s="398"/>
      <c r="M12287" s="682"/>
    </row>
    <row r="12288" spans="6:13" hidden="1" x14ac:dyDescent="0.2">
      <c r="F12288" s="494">
        <v>512</v>
      </c>
      <c r="G12288" s="497" t="s">
        <v>4195</v>
      </c>
      <c r="H12288" s="397"/>
      <c r="I12288" s="397"/>
      <c r="J12288" s="750"/>
      <c r="K12288" s="398"/>
      <c r="L12288" s="398"/>
      <c r="M12288" s="682"/>
    </row>
    <row r="12289" spans="5:13" hidden="1" x14ac:dyDescent="0.2">
      <c r="F12289" s="494">
        <v>513</v>
      </c>
      <c r="G12289" s="497" t="s">
        <v>4196</v>
      </c>
      <c r="H12289" s="397"/>
      <c r="I12289" s="397"/>
      <c r="J12289" s="750"/>
      <c r="K12289" s="398"/>
      <c r="L12289" s="398"/>
      <c r="M12289" s="682"/>
    </row>
    <row r="12290" spans="5:13" hidden="1" x14ac:dyDescent="0.2">
      <c r="F12290" s="494">
        <v>514</v>
      </c>
      <c r="G12290" s="495" t="s">
        <v>4197</v>
      </c>
      <c r="H12290" s="397"/>
      <c r="I12290" s="397"/>
      <c r="J12290" s="750"/>
      <c r="K12290" s="398"/>
      <c r="L12290" s="398"/>
      <c r="M12290" s="682"/>
    </row>
    <row r="12291" spans="5:13" hidden="1" x14ac:dyDescent="0.2">
      <c r="F12291" s="494">
        <v>515</v>
      </c>
      <c r="G12291" s="495" t="s">
        <v>3832</v>
      </c>
      <c r="H12291" s="397"/>
      <c r="I12291" s="397"/>
      <c r="J12291" s="750"/>
      <c r="K12291" s="398"/>
      <c r="L12291" s="398"/>
      <c r="M12291" s="682"/>
    </row>
    <row r="12292" spans="5:13" hidden="1" x14ac:dyDescent="0.2">
      <c r="F12292" s="494">
        <v>521</v>
      </c>
      <c r="G12292" s="495" t="s">
        <v>4198</v>
      </c>
      <c r="H12292" s="397"/>
      <c r="I12292" s="397"/>
      <c r="J12292" s="750"/>
      <c r="K12292" s="398"/>
      <c r="L12292" s="398"/>
      <c r="M12292" s="682"/>
    </row>
    <row r="12293" spans="5:13" hidden="1" x14ac:dyDescent="0.2">
      <c r="F12293" s="494">
        <v>522</v>
      </c>
      <c r="G12293" s="495" t="s">
        <v>4199</v>
      </c>
      <c r="H12293" s="397"/>
      <c r="I12293" s="397"/>
      <c r="J12293" s="750"/>
      <c r="K12293" s="398"/>
      <c r="L12293" s="398"/>
      <c r="M12293" s="682"/>
    </row>
    <row r="12294" spans="5:13" hidden="1" x14ac:dyDescent="0.2">
      <c r="F12294" s="494">
        <v>523</v>
      </c>
      <c r="G12294" s="495" t="s">
        <v>3837</v>
      </c>
      <c r="H12294" s="397"/>
      <c r="I12294" s="397"/>
      <c r="J12294" s="750"/>
      <c r="K12294" s="398"/>
      <c r="L12294" s="398"/>
      <c r="M12294" s="682"/>
    </row>
    <row r="12295" spans="5:13" hidden="1" x14ac:dyDescent="0.2">
      <c r="F12295" s="494">
        <v>531</v>
      </c>
      <c r="G12295" s="496" t="s">
        <v>4175</v>
      </c>
      <c r="H12295" s="397"/>
      <c r="I12295" s="397"/>
      <c r="J12295" s="750"/>
      <c r="K12295" s="398"/>
      <c r="L12295" s="398"/>
      <c r="M12295" s="682"/>
    </row>
    <row r="12296" spans="5:13" hidden="1" x14ac:dyDescent="0.2">
      <c r="F12296" s="494">
        <v>541</v>
      </c>
      <c r="G12296" s="495" t="s">
        <v>4200</v>
      </c>
      <c r="H12296" s="397"/>
      <c r="I12296" s="397"/>
      <c r="J12296" s="750"/>
      <c r="K12296" s="398"/>
      <c r="L12296" s="398"/>
      <c r="M12296" s="682"/>
    </row>
    <row r="12297" spans="5:13" hidden="1" x14ac:dyDescent="0.2">
      <c r="F12297" s="494">
        <v>542</v>
      </c>
      <c r="G12297" s="495" t="s">
        <v>4201</v>
      </c>
      <c r="H12297" s="397"/>
      <c r="I12297" s="397"/>
      <c r="J12297" s="750"/>
      <c r="K12297" s="398"/>
      <c r="L12297" s="398"/>
      <c r="M12297" s="682"/>
    </row>
    <row r="12298" spans="5:13" hidden="1" x14ac:dyDescent="0.2">
      <c r="F12298" s="494">
        <v>543</v>
      </c>
      <c r="G12298" s="495" t="s">
        <v>3842</v>
      </c>
      <c r="H12298" s="397"/>
      <c r="I12298" s="397"/>
      <c r="J12298" s="750"/>
      <c r="K12298" s="398"/>
      <c r="L12298" s="398"/>
      <c r="M12298" s="682"/>
    </row>
    <row r="12299" spans="5:13" ht="38.25" hidden="1" x14ac:dyDescent="0.2">
      <c r="F12299" s="494">
        <v>551</v>
      </c>
      <c r="G12299" s="495" t="s">
        <v>4176</v>
      </c>
      <c r="H12299" s="397"/>
      <c r="I12299" s="397"/>
      <c r="J12299" s="750"/>
      <c r="K12299" s="398"/>
      <c r="L12299" s="398"/>
      <c r="M12299" s="682"/>
    </row>
    <row r="12300" spans="5:13" hidden="1" x14ac:dyDescent="0.2">
      <c r="F12300" s="498">
        <v>611</v>
      </c>
      <c r="G12300" s="499" t="s">
        <v>3848</v>
      </c>
      <c r="H12300" s="397"/>
      <c r="I12300" s="397"/>
      <c r="J12300" s="750"/>
      <c r="K12300" s="398"/>
      <c r="L12300" s="398"/>
      <c r="M12300" s="682"/>
    </row>
    <row r="12301" spans="5:13" hidden="1" x14ac:dyDescent="0.2">
      <c r="F12301" s="498">
        <v>620</v>
      </c>
      <c r="G12301" s="499" t="s">
        <v>88</v>
      </c>
      <c r="H12301" s="397"/>
      <c r="I12301" s="397"/>
      <c r="J12301" s="750"/>
      <c r="K12301" s="398"/>
      <c r="L12301" s="398"/>
      <c r="M12301" s="682"/>
    </row>
    <row r="12302" spans="5:13" hidden="1" x14ac:dyDescent="0.2">
      <c r="E12302" s="500"/>
      <c r="F12302" s="498"/>
      <c r="G12302" s="509" t="s">
        <v>4435</v>
      </c>
      <c r="H12302" s="400"/>
      <c r="I12302" s="400"/>
      <c r="J12302" s="750"/>
      <c r="K12302" s="401"/>
      <c r="L12302" s="402"/>
      <c r="M12302" s="682"/>
    </row>
    <row r="12303" spans="5:13" hidden="1" x14ac:dyDescent="0.2">
      <c r="E12303" s="502"/>
      <c r="F12303" s="503" t="s">
        <v>234</v>
      </c>
      <c r="G12303" s="504" t="s">
        <v>235</v>
      </c>
      <c r="H12303" s="403">
        <f>SUM(H12242:H12301)</f>
        <v>0</v>
      </c>
      <c r="I12303" s="403"/>
      <c r="J12303" s="750"/>
      <c r="K12303" s="404"/>
      <c r="L12303" s="404"/>
      <c r="M12303" s="682"/>
    </row>
    <row r="12304" spans="5:13" hidden="1" x14ac:dyDescent="0.2">
      <c r="F12304" s="503" t="s">
        <v>236</v>
      </c>
      <c r="G12304" s="504" t="s">
        <v>237</v>
      </c>
      <c r="H12304" s="397"/>
      <c r="I12304" s="397"/>
      <c r="J12304" s="750"/>
      <c r="K12304" s="398"/>
      <c r="L12304" s="404"/>
      <c r="M12304" s="682"/>
    </row>
    <row r="12305" spans="5:13" hidden="1" x14ac:dyDescent="0.2">
      <c r="F12305" s="503" t="s">
        <v>238</v>
      </c>
      <c r="G12305" s="504" t="s">
        <v>239</v>
      </c>
      <c r="H12305" s="397"/>
      <c r="I12305" s="397"/>
      <c r="J12305" s="750"/>
      <c r="K12305" s="398"/>
      <c r="L12305" s="404"/>
      <c r="M12305" s="682"/>
    </row>
    <row r="12306" spans="5:13" hidden="1" x14ac:dyDescent="0.2">
      <c r="F12306" s="503" t="s">
        <v>240</v>
      </c>
      <c r="G12306" s="504" t="s">
        <v>241</v>
      </c>
      <c r="H12306" s="397"/>
      <c r="I12306" s="397"/>
      <c r="J12306" s="750"/>
      <c r="K12306" s="398"/>
      <c r="L12306" s="404"/>
      <c r="M12306" s="682"/>
    </row>
    <row r="12307" spans="5:13" hidden="1" x14ac:dyDescent="0.2">
      <c r="F12307" s="503" t="s">
        <v>242</v>
      </c>
      <c r="G12307" s="504" t="s">
        <v>243</v>
      </c>
      <c r="H12307" s="397"/>
      <c r="I12307" s="397"/>
      <c r="J12307" s="750"/>
      <c r="K12307" s="398"/>
      <c r="L12307" s="404"/>
      <c r="M12307" s="682"/>
    </row>
    <row r="12308" spans="5:13" hidden="1" x14ac:dyDescent="0.2">
      <c r="F12308" s="503" t="s">
        <v>244</v>
      </c>
      <c r="G12308" s="504" t="s">
        <v>245</v>
      </c>
      <c r="H12308" s="397"/>
      <c r="I12308" s="397"/>
      <c r="J12308" s="750"/>
      <c r="K12308" s="398"/>
      <c r="L12308" s="404"/>
      <c r="M12308" s="682"/>
    </row>
    <row r="12309" spans="5:13" hidden="1" x14ac:dyDescent="0.2">
      <c r="F12309" s="503" t="s">
        <v>246</v>
      </c>
      <c r="G12309" s="504" t="s">
        <v>247</v>
      </c>
      <c r="H12309" s="397"/>
      <c r="I12309" s="397"/>
      <c r="J12309" s="750"/>
      <c r="K12309" s="398"/>
      <c r="L12309" s="404"/>
      <c r="M12309" s="682"/>
    </row>
    <row r="12310" spans="5:13" ht="25.5" hidden="1" x14ac:dyDescent="0.2">
      <c r="F12310" s="503" t="s">
        <v>248</v>
      </c>
      <c r="G12310" s="504" t="s">
        <v>249</v>
      </c>
      <c r="H12310" s="397"/>
      <c r="I12310" s="397"/>
      <c r="J12310" s="750"/>
      <c r="K12310" s="398"/>
      <c r="L12310" s="404"/>
      <c r="M12310" s="682"/>
    </row>
    <row r="12311" spans="5:13" hidden="1" x14ac:dyDescent="0.2">
      <c r="F12311" s="503" t="s">
        <v>250</v>
      </c>
      <c r="G12311" s="504" t="s">
        <v>57</v>
      </c>
      <c r="H12311" s="397"/>
      <c r="I12311" s="397"/>
      <c r="J12311" s="750"/>
      <c r="K12311" s="398"/>
      <c r="L12311" s="404"/>
      <c r="M12311" s="682"/>
    </row>
    <row r="12312" spans="5:13" hidden="1" x14ac:dyDescent="0.2">
      <c r="F12312" s="503" t="s">
        <v>251</v>
      </c>
      <c r="G12312" s="504" t="s">
        <v>252</v>
      </c>
      <c r="H12312" s="397"/>
      <c r="I12312" s="397"/>
      <c r="J12312" s="750"/>
      <c r="K12312" s="398"/>
      <c r="L12312" s="404"/>
      <c r="M12312" s="682"/>
    </row>
    <row r="12313" spans="5:13" hidden="1" x14ac:dyDescent="0.2">
      <c r="F12313" s="503" t="s">
        <v>253</v>
      </c>
      <c r="G12313" s="504" t="s">
        <v>254</v>
      </c>
      <c r="H12313" s="397"/>
      <c r="I12313" s="397"/>
      <c r="J12313" s="750"/>
      <c r="K12313" s="398"/>
      <c r="L12313" s="404"/>
      <c r="M12313" s="682"/>
    </row>
    <row r="12314" spans="5:13" ht="25.5" hidden="1" x14ac:dyDescent="0.2">
      <c r="F12314" s="503" t="s">
        <v>255</v>
      </c>
      <c r="G12314" s="504" t="s">
        <v>256</v>
      </c>
      <c r="H12314" s="397"/>
      <c r="I12314" s="397"/>
      <c r="J12314" s="750"/>
      <c r="K12314" s="398"/>
      <c r="L12314" s="404"/>
      <c r="M12314" s="682"/>
    </row>
    <row r="12315" spans="5:13" ht="25.5" hidden="1" x14ac:dyDescent="0.2">
      <c r="F12315" s="503" t="s">
        <v>257</v>
      </c>
      <c r="G12315" s="504" t="s">
        <v>258</v>
      </c>
      <c r="H12315" s="397"/>
      <c r="I12315" s="397"/>
      <c r="J12315" s="750"/>
      <c r="K12315" s="398"/>
      <c r="L12315" s="404"/>
      <c r="M12315" s="682"/>
    </row>
    <row r="12316" spans="5:13" ht="25.5" hidden="1" x14ac:dyDescent="0.2">
      <c r="F12316" s="503" t="s">
        <v>259</v>
      </c>
      <c r="G12316" s="504" t="s">
        <v>260</v>
      </c>
      <c r="H12316" s="397"/>
      <c r="I12316" s="397"/>
      <c r="J12316" s="750"/>
      <c r="K12316" s="398"/>
      <c r="L12316" s="404"/>
      <c r="M12316" s="682"/>
    </row>
    <row r="12317" spans="5:13" ht="25.5" hidden="1" x14ac:dyDescent="0.2">
      <c r="F12317" s="503" t="s">
        <v>261</v>
      </c>
      <c r="G12317" s="504" t="s">
        <v>262</v>
      </c>
      <c r="H12317" s="397"/>
      <c r="I12317" s="397"/>
      <c r="J12317" s="750"/>
      <c r="K12317" s="398"/>
      <c r="L12317" s="404"/>
      <c r="M12317" s="682"/>
    </row>
    <row r="12318" spans="5:13" hidden="1" x14ac:dyDescent="0.2">
      <c r="F12318" s="503" t="s">
        <v>263</v>
      </c>
      <c r="G12318" s="504" t="s">
        <v>264</v>
      </c>
      <c r="H12318" s="403"/>
      <c r="I12318" s="403"/>
      <c r="J12318" s="750"/>
      <c r="K12318" s="404"/>
      <c r="L12318" s="404"/>
      <c r="M12318" s="682"/>
    </row>
    <row r="12319" spans="5:13" ht="13.5" hidden="1" thickBot="1" x14ac:dyDescent="0.25">
      <c r="G12319" s="505" t="s">
        <v>4436</v>
      </c>
      <c r="H12319" s="405">
        <f>SUM(H12303:H12318)</f>
        <v>0</v>
      </c>
      <c r="I12319" s="405"/>
      <c r="J12319" s="750"/>
      <c r="K12319" s="406">
        <f>SUM(K12304:K12318)</f>
        <v>0</v>
      </c>
      <c r="L12319" s="406"/>
      <c r="M12319" s="682"/>
    </row>
    <row r="12320" spans="5:13" hidden="1" collapsed="1" x14ac:dyDescent="0.2">
      <c r="E12320" s="500"/>
      <c r="F12320" s="498"/>
      <c r="G12320" s="506" t="s">
        <v>5027</v>
      </c>
      <c r="H12320" s="407"/>
      <c r="I12320" s="408"/>
      <c r="J12320" s="750"/>
      <c r="K12320" s="409"/>
      <c r="L12320" s="410"/>
      <c r="M12320" s="682"/>
    </row>
    <row r="12321" spans="5:13" hidden="1" x14ac:dyDescent="0.2">
      <c r="E12321" s="502"/>
      <c r="F12321" s="503" t="s">
        <v>234</v>
      </c>
      <c r="G12321" s="504" t="s">
        <v>235</v>
      </c>
      <c r="H12321" s="403">
        <f>SUM(H12242:H12301)</f>
        <v>0</v>
      </c>
      <c r="I12321" s="403"/>
      <c r="J12321" s="750"/>
      <c r="K12321" s="404"/>
      <c r="L12321" s="404"/>
      <c r="M12321" s="682"/>
    </row>
    <row r="12322" spans="5:13" hidden="1" x14ac:dyDescent="0.2">
      <c r="F12322" s="503" t="s">
        <v>236</v>
      </c>
      <c r="G12322" s="504" t="s">
        <v>237</v>
      </c>
      <c r="H12322" s="397"/>
      <c r="I12322" s="397"/>
      <c r="J12322" s="750"/>
      <c r="K12322" s="398"/>
      <c r="L12322" s="404"/>
      <c r="M12322" s="682"/>
    </row>
    <row r="12323" spans="5:13" hidden="1" x14ac:dyDescent="0.2">
      <c r="F12323" s="503" t="s">
        <v>238</v>
      </c>
      <c r="G12323" s="504" t="s">
        <v>239</v>
      </c>
      <c r="H12323" s="397"/>
      <c r="I12323" s="397"/>
      <c r="J12323" s="750"/>
      <c r="K12323" s="398"/>
      <c r="L12323" s="404"/>
      <c r="M12323" s="682"/>
    </row>
    <row r="12324" spans="5:13" hidden="1" x14ac:dyDescent="0.2">
      <c r="F12324" s="503" t="s">
        <v>240</v>
      </c>
      <c r="G12324" s="504" t="s">
        <v>241</v>
      </c>
      <c r="H12324" s="397"/>
      <c r="I12324" s="397"/>
      <c r="J12324" s="750"/>
      <c r="K12324" s="398"/>
      <c r="L12324" s="404"/>
      <c r="M12324" s="682"/>
    </row>
    <row r="12325" spans="5:13" hidden="1" x14ac:dyDescent="0.2">
      <c r="F12325" s="503" t="s">
        <v>242</v>
      </c>
      <c r="G12325" s="504" t="s">
        <v>243</v>
      </c>
      <c r="H12325" s="397"/>
      <c r="I12325" s="397"/>
      <c r="J12325" s="750"/>
      <c r="K12325" s="398"/>
      <c r="L12325" s="404"/>
      <c r="M12325" s="682"/>
    </row>
    <row r="12326" spans="5:13" hidden="1" x14ac:dyDescent="0.2">
      <c r="F12326" s="503" t="s">
        <v>244</v>
      </c>
      <c r="G12326" s="504" t="s">
        <v>245</v>
      </c>
      <c r="H12326" s="397"/>
      <c r="I12326" s="397"/>
      <c r="J12326" s="750"/>
      <c r="K12326" s="398"/>
      <c r="L12326" s="404"/>
      <c r="M12326" s="682"/>
    </row>
    <row r="12327" spans="5:13" hidden="1" x14ac:dyDescent="0.2">
      <c r="F12327" s="503" t="s">
        <v>246</v>
      </c>
      <c r="G12327" s="504" t="s">
        <v>247</v>
      </c>
      <c r="H12327" s="397"/>
      <c r="I12327" s="397"/>
      <c r="J12327" s="750"/>
      <c r="K12327" s="398"/>
      <c r="L12327" s="404"/>
      <c r="M12327" s="682"/>
    </row>
    <row r="12328" spans="5:13" ht="25.5" hidden="1" x14ac:dyDescent="0.2">
      <c r="F12328" s="503" t="s">
        <v>248</v>
      </c>
      <c r="G12328" s="504" t="s">
        <v>249</v>
      </c>
      <c r="H12328" s="397"/>
      <c r="I12328" s="397"/>
      <c r="J12328" s="750"/>
      <c r="K12328" s="398"/>
      <c r="L12328" s="404"/>
      <c r="M12328" s="682"/>
    </row>
    <row r="12329" spans="5:13" hidden="1" x14ac:dyDescent="0.2">
      <c r="F12329" s="503" t="s">
        <v>250</v>
      </c>
      <c r="G12329" s="504" t="s">
        <v>57</v>
      </c>
      <c r="H12329" s="397"/>
      <c r="I12329" s="397"/>
      <c r="J12329" s="750"/>
      <c r="K12329" s="398"/>
      <c r="L12329" s="404"/>
      <c r="M12329" s="682"/>
    </row>
    <row r="12330" spans="5:13" hidden="1" x14ac:dyDescent="0.2">
      <c r="F12330" s="503" t="s">
        <v>251</v>
      </c>
      <c r="G12330" s="504" t="s">
        <v>252</v>
      </c>
      <c r="H12330" s="397"/>
      <c r="I12330" s="397"/>
      <c r="J12330" s="750"/>
      <c r="K12330" s="398"/>
      <c r="L12330" s="404"/>
      <c r="M12330" s="682"/>
    </row>
    <row r="12331" spans="5:13" hidden="1" x14ac:dyDescent="0.2">
      <c r="F12331" s="503" t="s">
        <v>253</v>
      </c>
      <c r="G12331" s="504" t="s">
        <v>254</v>
      </c>
      <c r="H12331" s="397"/>
      <c r="I12331" s="397"/>
      <c r="J12331" s="750"/>
      <c r="K12331" s="398"/>
      <c r="L12331" s="404"/>
      <c r="M12331" s="682"/>
    </row>
    <row r="12332" spans="5:13" ht="25.5" hidden="1" x14ac:dyDescent="0.2">
      <c r="F12332" s="503" t="s">
        <v>255</v>
      </c>
      <c r="G12332" s="504" t="s">
        <v>256</v>
      </c>
      <c r="H12332" s="397"/>
      <c r="I12332" s="397"/>
      <c r="J12332" s="750"/>
      <c r="K12332" s="398"/>
      <c r="L12332" s="404"/>
      <c r="M12332" s="682"/>
    </row>
    <row r="12333" spans="5:13" ht="25.5" hidden="1" x14ac:dyDescent="0.2">
      <c r="F12333" s="503" t="s">
        <v>257</v>
      </c>
      <c r="G12333" s="504" t="s">
        <v>258</v>
      </c>
      <c r="H12333" s="397"/>
      <c r="I12333" s="397"/>
      <c r="J12333" s="750"/>
      <c r="K12333" s="398"/>
      <c r="L12333" s="404"/>
      <c r="M12333" s="682"/>
    </row>
    <row r="12334" spans="5:13" ht="25.5" hidden="1" x14ac:dyDescent="0.2">
      <c r="F12334" s="503" t="s">
        <v>259</v>
      </c>
      <c r="G12334" s="504" t="s">
        <v>260</v>
      </c>
      <c r="H12334" s="397"/>
      <c r="I12334" s="397"/>
      <c r="J12334" s="750"/>
      <c r="K12334" s="398"/>
      <c r="L12334" s="404"/>
      <c r="M12334" s="682"/>
    </row>
    <row r="12335" spans="5:13" ht="25.5" hidden="1" x14ac:dyDescent="0.2">
      <c r="F12335" s="503" t="s">
        <v>261</v>
      </c>
      <c r="G12335" s="504" t="s">
        <v>262</v>
      </c>
      <c r="H12335" s="397"/>
      <c r="I12335" s="397"/>
      <c r="J12335" s="750"/>
      <c r="K12335" s="398"/>
      <c r="L12335" s="404"/>
      <c r="M12335" s="682"/>
    </row>
    <row r="12336" spans="5:13" hidden="1" x14ac:dyDescent="0.2">
      <c r="F12336" s="503" t="s">
        <v>263</v>
      </c>
      <c r="G12336" s="504" t="s">
        <v>264</v>
      </c>
      <c r="H12336" s="403"/>
      <c r="I12336" s="403"/>
      <c r="J12336" s="750"/>
      <c r="K12336" s="404"/>
      <c r="L12336" s="404"/>
      <c r="M12336" s="682"/>
    </row>
    <row r="12337" spans="5:13" ht="13.5" hidden="1" thickBot="1" x14ac:dyDescent="0.25">
      <c r="G12337" s="505" t="s">
        <v>5012</v>
      </c>
      <c r="H12337" s="405">
        <f>SUM(H12321:H12336)</f>
        <v>0</v>
      </c>
      <c r="I12337" s="405"/>
      <c r="J12337" s="750"/>
      <c r="K12337" s="406">
        <f>SUM(K12322:K12336)</f>
        <v>0</v>
      </c>
      <c r="L12337" s="406"/>
      <c r="M12337" s="682"/>
    </row>
    <row r="12338" spans="5:13" hidden="1" x14ac:dyDescent="0.2">
      <c r="H12338" s="397"/>
      <c r="I12338" s="397"/>
      <c r="J12338" s="750"/>
      <c r="K12338" s="398"/>
      <c r="L12338" s="398"/>
      <c r="M12338" s="682"/>
    </row>
    <row r="12339" spans="5:13" hidden="1" x14ac:dyDescent="0.2">
      <c r="E12339" s="500"/>
      <c r="F12339" s="498"/>
      <c r="G12339" s="511" t="s">
        <v>4323</v>
      </c>
      <c r="H12339" s="413"/>
      <c r="I12339" s="413"/>
      <c r="J12339" s="750"/>
      <c r="K12339" s="414"/>
      <c r="L12339" s="415"/>
      <c r="M12339" s="682"/>
    </row>
    <row r="12340" spans="5:13" hidden="1" x14ac:dyDescent="0.2">
      <c r="E12340" s="502"/>
      <c r="F12340" s="503" t="s">
        <v>234</v>
      </c>
      <c r="G12340" s="504" t="s">
        <v>235</v>
      </c>
      <c r="H12340" s="403">
        <f>SUM(H12321,H12222)</f>
        <v>0</v>
      </c>
      <c r="I12340" s="403"/>
      <c r="J12340" s="750"/>
      <c r="K12340" s="404"/>
      <c r="L12340" s="404"/>
      <c r="M12340" s="682"/>
    </row>
    <row r="12341" spans="5:13" hidden="1" x14ac:dyDescent="0.2">
      <c r="F12341" s="503" t="s">
        <v>236</v>
      </c>
      <c r="G12341" s="504" t="s">
        <v>237</v>
      </c>
      <c r="H12341" s="397"/>
      <c r="I12341" s="397"/>
      <c r="J12341" s="750"/>
      <c r="K12341" s="398"/>
      <c r="L12341" s="404"/>
      <c r="M12341" s="682"/>
    </row>
    <row r="12342" spans="5:13" hidden="1" x14ac:dyDescent="0.2">
      <c r="F12342" s="503" t="s">
        <v>238</v>
      </c>
      <c r="G12342" s="504" t="s">
        <v>239</v>
      </c>
      <c r="H12342" s="397"/>
      <c r="I12342" s="397"/>
      <c r="J12342" s="750"/>
      <c r="K12342" s="398"/>
      <c r="L12342" s="404"/>
      <c r="M12342" s="682"/>
    </row>
    <row r="12343" spans="5:13" hidden="1" x14ac:dyDescent="0.2">
      <c r="F12343" s="503" t="s">
        <v>240</v>
      </c>
      <c r="G12343" s="504" t="s">
        <v>241</v>
      </c>
      <c r="H12343" s="397"/>
      <c r="I12343" s="397"/>
      <c r="J12343" s="750"/>
      <c r="K12343" s="398"/>
      <c r="L12343" s="404"/>
      <c r="M12343" s="682"/>
    </row>
    <row r="12344" spans="5:13" hidden="1" x14ac:dyDescent="0.2">
      <c r="F12344" s="503" t="s">
        <v>242</v>
      </c>
      <c r="G12344" s="504" t="s">
        <v>243</v>
      </c>
      <c r="H12344" s="397"/>
      <c r="I12344" s="397"/>
      <c r="J12344" s="750"/>
      <c r="K12344" s="398"/>
      <c r="L12344" s="404"/>
      <c r="M12344" s="682"/>
    </row>
    <row r="12345" spans="5:13" hidden="1" x14ac:dyDescent="0.2">
      <c r="F12345" s="503" t="s">
        <v>244</v>
      </c>
      <c r="G12345" s="504" t="s">
        <v>245</v>
      </c>
      <c r="H12345" s="397"/>
      <c r="I12345" s="397"/>
      <c r="J12345" s="750"/>
      <c r="K12345" s="398"/>
      <c r="L12345" s="404"/>
      <c r="M12345" s="682"/>
    </row>
    <row r="12346" spans="5:13" hidden="1" x14ac:dyDescent="0.2">
      <c r="F12346" s="503" t="s">
        <v>246</v>
      </c>
      <c r="G12346" s="504" t="s">
        <v>247</v>
      </c>
      <c r="H12346" s="397"/>
      <c r="I12346" s="397"/>
      <c r="J12346" s="750"/>
      <c r="K12346" s="398"/>
      <c r="L12346" s="404"/>
      <c r="M12346" s="682"/>
    </row>
    <row r="12347" spans="5:13" ht="25.5" hidden="1" x14ac:dyDescent="0.2">
      <c r="F12347" s="503" t="s">
        <v>248</v>
      </c>
      <c r="G12347" s="504" t="s">
        <v>249</v>
      </c>
      <c r="H12347" s="397"/>
      <c r="I12347" s="397"/>
      <c r="J12347" s="750"/>
      <c r="K12347" s="398"/>
      <c r="L12347" s="404"/>
      <c r="M12347" s="682"/>
    </row>
    <row r="12348" spans="5:13" hidden="1" x14ac:dyDescent="0.2">
      <c r="F12348" s="503" t="s">
        <v>250</v>
      </c>
      <c r="G12348" s="504" t="s">
        <v>57</v>
      </c>
      <c r="H12348" s="397"/>
      <c r="I12348" s="397"/>
      <c r="J12348" s="750"/>
      <c r="K12348" s="398"/>
      <c r="L12348" s="404"/>
      <c r="M12348" s="682"/>
    </row>
    <row r="12349" spans="5:13" hidden="1" x14ac:dyDescent="0.2">
      <c r="F12349" s="503" t="s">
        <v>251</v>
      </c>
      <c r="G12349" s="504" t="s">
        <v>252</v>
      </c>
      <c r="H12349" s="397"/>
      <c r="I12349" s="397"/>
      <c r="J12349" s="750"/>
      <c r="K12349" s="398"/>
      <c r="L12349" s="404"/>
      <c r="M12349" s="682"/>
    </row>
    <row r="12350" spans="5:13" hidden="1" x14ac:dyDescent="0.2">
      <c r="F12350" s="503" t="s">
        <v>253</v>
      </c>
      <c r="G12350" s="504" t="s">
        <v>254</v>
      </c>
      <c r="H12350" s="397"/>
      <c r="I12350" s="397"/>
      <c r="J12350" s="750"/>
      <c r="K12350" s="398"/>
      <c r="L12350" s="404"/>
      <c r="M12350" s="682"/>
    </row>
    <row r="12351" spans="5:13" ht="25.5" hidden="1" x14ac:dyDescent="0.2">
      <c r="F12351" s="503" t="s">
        <v>255</v>
      </c>
      <c r="G12351" s="504" t="s">
        <v>256</v>
      </c>
      <c r="H12351" s="397"/>
      <c r="I12351" s="397"/>
      <c r="J12351" s="750"/>
      <c r="K12351" s="398"/>
      <c r="L12351" s="404"/>
      <c r="M12351" s="682"/>
    </row>
    <row r="12352" spans="5:13" ht="25.5" hidden="1" x14ac:dyDescent="0.2">
      <c r="F12352" s="503" t="s">
        <v>257</v>
      </c>
      <c r="G12352" s="504" t="s">
        <v>258</v>
      </c>
      <c r="H12352" s="397"/>
      <c r="I12352" s="397"/>
      <c r="J12352" s="750"/>
      <c r="K12352" s="398"/>
      <c r="L12352" s="404"/>
      <c r="M12352" s="682"/>
    </row>
    <row r="12353" spans="5:13" ht="25.5" hidden="1" x14ac:dyDescent="0.2">
      <c r="F12353" s="503" t="s">
        <v>259</v>
      </c>
      <c r="G12353" s="504" t="s">
        <v>260</v>
      </c>
      <c r="H12353" s="397"/>
      <c r="I12353" s="397"/>
      <c r="J12353" s="750"/>
      <c r="K12353" s="398"/>
      <c r="L12353" s="404"/>
      <c r="M12353" s="682"/>
    </row>
    <row r="12354" spans="5:13" ht="25.5" hidden="1" x14ac:dyDescent="0.2">
      <c r="F12354" s="503" t="s">
        <v>261</v>
      </c>
      <c r="G12354" s="504" t="s">
        <v>262</v>
      </c>
      <c r="H12354" s="397"/>
      <c r="I12354" s="397"/>
      <c r="J12354" s="750"/>
      <c r="K12354" s="398"/>
      <c r="L12354" s="404"/>
      <c r="M12354" s="682"/>
    </row>
    <row r="12355" spans="5:13" hidden="1" x14ac:dyDescent="0.2">
      <c r="F12355" s="503" t="s">
        <v>263</v>
      </c>
      <c r="G12355" s="504" t="s">
        <v>264</v>
      </c>
      <c r="H12355" s="403"/>
      <c r="I12355" s="403"/>
      <c r="J12355" s="750"/>
      <c r="K12355" s="404"/>
      <c r="L12355" s="404"/>
      <c r="M12355" s="682"/>
    </row>
    <row r="12356" spans="5:13" ht="13.5" hidden="1" thickBot="1" x14ac:dyDescent="0.25">
      <c r="G12356" s="505" t="s">
        <v>4324</v>
      </c>
      <c r="H12356" s="405">
        <f>SUM(H12340:H12355)</f>
        <v>0</v>
      </c>
      <c r="I12356" s="405"/>
      <c r="J12356" s="750"/>
      <c r="K12356" s="406">
        <f>SUM(K12341:K12355)</f>
        <v>0</v>
      </c>
      <c r="L12356" s="406"/>
      <c r="M12356" s="682"/>
    </row>
    <row r="12357" spans="5:13" hidden="1" x14ac:dyDescent="0.2">
      <c r="H12357" s="397"/>
      <c r="I12357" s="397"/>
      <c r="J12357" s="750"/>
      <c r="K12357" s="398"/>
      <c r="L12357" s="398"/>
      <c r="M12357" s="682"/>
    </row>
    <row r="12358" spans="5:13" hidden="1" x14ac:dyDescent="0.2">
      <c r="E12358" s="500"/>
      <c r="F12358" s="498"/>
      <c r="G12358" s="511" t="s">
        <v>5052</v>
      </c>
      <c r="H12358" s="413"/>
      <c r="I12358" s="413"/>
      <c r="J12358" s="750"/>
      <c r="K12358" s="414"/>
      <c r="L12358" s="415"/>
      <c r="M12358" s="682"/>
    </row>
    <row r="12359" spans="5:13" hidden="1" x14ac:dyDescent="0.2">
      <c r="E12359" s="502"/>
      <c r="F12359" s="503" t="s">
        <v>234</v>
      </c>
      <c r="G12359" s="504" t="s">
        <v>235</v>
      </c>
      <c r="H12359" s="403">
        <f>SUM(H12340)</f>
        <v>0</v>
      </c>
      <c r="I12359" s="403"/>
      <c r="J12359" s="750"/>
      <c r="K12359" s="404"/>
      <c r="L12359" s="404"/>
      <c r="M12359" s="682"/>
    </row>
    <row r="12360" spans="5:13" hidden="1" x14ac:dyDescent="0.2">
      <c r="F12360" s="503" t="s">
        <v>236</v>
      </c>
      <c r="G12360" s="504" t="s">
        <v>237</v>
      </c>
      <c r="H12360" s="397"/>
      <c r="I12360" s="397"/>
      <c r="J12360" s="750"/>
      <c r="K12360" s="398"/>
      <c r="L12360" s="404"/>
      <c r="M12360" s="682"/>
    </row>
    <row r="12361" spans="5:13" hidden="1" x14ac:dyDescent="0.2">
      <c r="F12361" s="503" t="s">
        <v>238</v>
      </c>
      <c r="G12361" s="504" t="s">
        <v>239</v>
      </c>
      <c r="H12361" s="397"/>
      <c r="I12361" s="397"/>
      <c r="J12361" s="750"/>
      <c r="K12361" s="398"/>
      <c r="L12361" s="404"/>
      <c r="M12361" s="682"/>
    </row>
    <row r="12362" spans="5:13" hidden="1" x14ac:dyDescent="0.2">
      <c r="F12362" s="503" t="s">
        <v>240</v>
      </c>
      <c r="G12362" s="504" t="s">
        <v>241</v>
      </c>
      <c r="H12362" s="397"/>
      <c r="I12362" s="397"/>
      <c r="J12362" s="750"/>
      <c r="K12362" s="398"/>
      <c r="L12362" s="404"/>
      <c r="M12362" s="682"/>
    </row>
    <row r="12363" spans="5:13" hidden="1" x14ac:dyDescent="0.2">
      <c r="F12363" s="503" t="s">
        <v>242</v>
      </c>
      <c r="G12363" s="504" t="s">
        <v>243</v>
      </c>
      <c r="H12363" s="397"/>
      <c r="I12363" s="397"/>
      <c r="J12363" s="750"/>
      <c r="K12363" s="398"/>
      <c r="L12363" s="404"/>
      <c r="M12363" s="682"/>
    </row>
    <row r="12364" spans="5:13" hidden="1" x14ac:dyDescent="0.2">
      <c r="F12364" s="503" t="s">
        <v>244</v>
      </c>
      <c r="G12364" s="504" t="s">
        <v>245</v>
      </c>
      <c r="H12364" s="397"/>
      <c r="I12364" s="397"/>
      <c r="J12364" s="750"/>
      <c r="K12364" s="398"/>
      <c r="L12364" s="404"/>
      <c r="M12364" s="682"/>
    </row>
    <row r="12365" spans="5:13" hidden="1" x14ac:dyDescent="0.2">
      <c r="F12365" s="503" t="s">
        <v>246</v>
      </c>
      <c r="G12365" s="504" t="s">
        <v>247</v>
      </c>
      <c r="H12365" s="397"/>
      <c r="I12365" s="397"/>
      <c r="J12365" s="750"/>
      <c r="K12365" s="398"/>
      <c r="L12365" s="404"/>
      <c r="M12365" s="682"/>
    </row>
    <row r="12366" spans="5:13" ht="25.5" hidden="1" x14ac:dyDescent="0.2">
      <c r="F12366" s="503" t="s">
        <v>248</v>
      </c>
      <c r="G12366" s="504" t="s">
        <v>249</v>
      </c>
      <c r="H12366" s="397"/>
      <c r="I12366" s="397"/>
      <c r="J12366" s="750"/>
      <c r="K12366" s="398"/>
      <c r="L12366" s="404"/>
      <c r="M12366" s="682"/>
    </row>
    <row r="12367" spans="5:13" hidden="1" x14ac:dyDescent="0.2">
      <c r="F12367" s="503" t="s">
        <v>250</v>
      </c>
      <c r="G12367" s="504" t="s">
        <v>57</v>
      </c>
      <c r="H12367" s="397"/>
      <c r="I12367" s="397"/>
      <c r="J12367" s="750"/>
      <c r="K12367" s="398"/>
      <c r="L12367" s="404"/>
      <c r="M12367" s="682"/>
    </row>
    <row r="12368" spans="5:13" hidden="1" x14ac:dyDescent="0.2">
      <c r="F12368" s="503" t="s">
        <v>251</v>
      </c>
      <c r="G12368" s="504" t="s">
        <v>252</v>
      </c>
      <c r="H12368" s="397"/>
      <c r="I12368" s="397"/>
      <c r="J12368" s="750"/>
      <c r="K12368" s="398"/>
      <c r="L12368" s="404"/>
      <c r="M12368" s="682"/>
    </row>
    <row r="12369" spans="1:13" hidden="1" x14ac:dyDescent="0.2">
      <c r="F12369" s="503" t="s">
        <v>253</v>
      </c>
      <c r="G12369" s="504" t="s">
        <v>254</v>
      </c>
      <c r="H12369" s="397"/>
      <c r="I12369" s="397"/>
      <c r="J12369" s="750"/>
      <c r="K12369" s="398"/>
      <c r="L12369" s="404"/>
      <c r="M12369" s="682"/>
    </row>
    <row r="12370" spans="1:13" ht="25.5" hidden="1" x14ac:dyDescent="0.2">
      <c r="F12370" s="503" t="s">
        <v>255</v>
      </c>
      <c r="G12370" s="504" t="s">
        <v>256</v>
      </c>
      <c r="H12370" s="397"/>
      <c r="I12370" s="397"/>
      <c r="J12370" s="750"/>
      <c r="K12370" s="398"/>
      <c r="L12370" s="404"/>
      <c r="M12370" s="682"/>
    </row>
    <row r="12371" spans="1:13" ht="25.5" hidden="1" x14ac:dyDescent="0.2">
      <c r="F12371" s="503" t="s">
        <v>257</v>
      </c>
      <c r="G12371" s="504" t="s">
        <v>258</v>
      </c>
      <c r="H12371" s="397"/>
      <c r="I12371" s="397"/>
      <c r="J12371" s="750"/>
      <c r="K12371" s="398"/>
      <c r="L12371" s="404"/>
      <c r="M12371" s="682"/>
    </row>
    <row r="12372" spans="1:13" ht="25.5" hidden="1" x14ac:dyDescent="0.2">
      <c r="F12372" s="503" t="s">
        <v>259</v>
      </c>
      <c r="G12372" s="504" t="s">
        <v>260</v>
      </c>
      <c r="H12372" s="397"/>
      <c r="I12372" s="397"/>
      <c r="J12372" s="750"/>
      <c r="K12372" s="398"/>
      <c r="L12372" s="404"/>
      <c r="M12372" s="682"/>
    </row>
    <row r="12373" spans="1:13" ht="25.5" hidden="1" x14ac:dyDescent="0.2">
      <c r="F12373" s="503" t="s">
        <v>261</v>
      </c>
      <c r="G12373" s="504" t="s">
        <v>262</v>
      </c>
      <c r="H12373" s="397"/>
      <c r="I12373" s="397"/>
      <c r="J12373" s="750"/>
      <c r="K12373" s="398"/>
      <c r="L12373" s="404"/>
      <c r="M12373" s="682"/>
    </row>
    <row r="12374" spans="1:13" hidden="1" x14ac:dyDescent="0.2">
      <c r="F12374" s="503" t="s">
        <v>263</v>
      </c>
      <c r="G12374" s="504" t="s">
        <v>264</v>
      </c>
      <c r="H12374" s="403"/>
      <c r="I12374" s="403"/>
      <c r="J12374" s="750"/>
      <c r="K12374" s="404"/>
      <c r="L12374" s="404"/>
      <c r="M12374" s="682"/>
    </row>
    <row r="12375" spans="1:13" ht="13.5" hidden="1" thickBot="1" x14ac:dyDescent="0.25">
      <c r="G12375" s="505" t="s">
        <v>5053</v>
      </c>
      <c r="H12375" s="405">
        <f>SUM(H12359:H12374)</f>
        <v>0</v>
      </c>
      <c r="I12375" s="405"/>
      <c r="J12375" s="750"/>
      <c r="K12375" s="406">
        <f>SUM(K12360:K12374)</f>
        <v>0</v>
      </c>
      <c r="L12375" s="406"/>
      <c r="M12375" s="682"/>
    </row>
    <row r="12376" spans="1:13" hidden="1" x14ac:dyDescent="0.2">
      <c r="H12376" s="397"/>
      <c r="I12376" s="397"/>
      <c r="J12376" s="750"/>
      <c r="K12376" s="398"/>
      <c r="L12376" s="398"/>
      <c r="M12376" s="682"/>
    </row>
    <row r="12377" spans="1:13" hidden="1" x14ac:dyDescent="0.2">
      <c r="H12377" s="397"/>
      <c r="I12377" s="397"/>
      <c r="J12377" s="750"/>
      <c r="K12377" s="398"/>
      <c r="L12377" s="398"/>
      <c r="M12377" s="682"/>
    </row>
    <row r="12378" spans="1:13" hidden="1" x14ac:dyDescent="0.2">
      <c r="A12378" s="646">
        <v>4</v>
      </c>
      <c r="B12378" s="647" t="s">
        <v>4337</v>
      </c>
      <c r="C12378" s="646" t="s">
        <v>4011</v>
      </c>
      <c r="D12378" s="185"/>
      <c r="E12378" s="185"/>
      <c r="F12378" s="185"/>
      <c r="G12378" s="648" t="s">
        <v>4318</v>
      </c>
      <c r="H12378" s="450"/>
      <c r="I12378" s="450"/>
      <c r="J12378" s="750"/>
      <c r="K12378" s="451"/>
      <c r="L12378" s="452"/>
      <c r="M12378" s="682"/>
    </row>
    <row r="12379" spans="1:13" ht="16.5" hidden="1" customHeight="1" x14ac:dyDescent="0.2">
      <c r="C12379" s="489" t="s">
        <v>3594</v>
      </c>
      <c r="G12379" s="513" t="s">
        <v>4315</v>
      </c>
      <c r="H12379" s="397"/>
      <c r="I12379" s="397"/>
      <c r="J12379" s="750"/>
      <c r="K12379" s="398"/>
      <c r="L12379" s="398"/>
      <c r="M12379" s="682"/>
    </row>
    <row r="12380" spans="1:13" hidden="1" x14ac:dyDescent="0.2">
      <c r="C12380" s="489" t="s">
        <v>4125</v>
      </c>
      <c r="D12380" s="490"/>
      <c r="G12380" s="513" t="s">
        <v>4316</v>
      </c>
      <c r="H12380" s="397"/>
      <c r="I12380" s="397"/>
      <c r="J12380" s="750"/>
      <c r="K12380" s="398"/>
      <c r="L12380" s="398"/>
      <c r="M12380" s="682"/>
    </row>
    <row r="12381" spans="1:13" hidden="1" x14ac:dyDescent="0.2">
      <c r="C12381" s="489"/>
      <c r="D12381" s="492">
        <v>820</v>
      </c>
      <c r="E12381" s="492"/>
      <c r="F12381" s="492"/>
      <c r="G12381" s="493" t="s">
        <v>207</v>
      </c>
      <c r="H12381" s="397"/>
      <c r="I12381" s="397"/>
      <c r="J12381" s="750"/>
      <c r="K12381" s="398"/>
      <c r="L12381" s="398"/>
      <c r="M12381" s="682"/>
    </row>
    <row r="12382" spans="1:13" hidden="1" x14ac:dyDescent="0.2">
      <c r="F12382" s="494">
        <v>411</v>
      </c>
      <c r="G12382" s="495" t="s">
        <v>4167</v>
      </c>
      <c r="H12382" s="397"/>
      <c r="I12382" s="397"/>
      <c r="J12382" s="750"/>
      <c r="K12382" s="398"/>
      <c r="L12382" s="398"/>
      <c r="M12382" s="682"/>
    </row>
    <row r="12383" spans="1:13" hidden="1" x14ac:dyDescent="0.2">
      <c r="F12383" s="494">
        <v>412</v>
      </c>
      <c r="G12383" s="496" t="s">
        <v>3764</v>
      </c>
      <c r="H12383" s="397"/>
      <c r="I12383" s="397"/>
      <c r="J12383" s="750"/>
      <c r="K12383" s="398"/>
      <c r="L12383" s="398"/>
      <c r="M12383" s="682"/>
    </row>
    <row r="12384" spans="1:13" hidden="1" x14ac:dyDescent="0.2">
      <c r="F12384" s="494">
        <v>413</v>
      </c>
      <c r="G12384" s="495" t="s">
        <v>4168</v>
      </c>
      <c r="H12384" s="397"/>
      <c r="I12384" s="397"/>
      <c r="J12384" s="750"/>
      <c r="K12384" s="398"/>
      <c r="L12384" s="398"/>
      <c r="M12384" s="682"/>
    </row>
    <row r="12385" spans="6:13" hidden="1" x14ac:dyDescent="0.2">
      <c r="F12385" s="494">
        <v>414</v>
      </c>
      <c r="G12385" s="495" t="s">
        <v>3767</v>
      </c>
      <c r="H12385" s="397"/>
      <c r="I12385" s="397"/>
      <c r="J12385" s="750"/>
      <c r="K12385" s="398"/>
      <c r="L12385" s="398"/>
      <c r="M12385" s="682"/>
    </row>
    <row r="12386" spans="6:13" hidden="1" x14ac:dyDescent="0.2">
      <c r="F12386" s="494">
        <v>415</v>
      </c>
      <c r="G12386" s="495" t="s">
        <v>4177</v>
      </c>
      <c r="H12386" s="397"/>
      <c r="I12386" s="397"/>
      <c r="J12386" s="750"/>
      <c r="K12386" s="398"/>
      <c r="L12386" s="398"/>
      <c r="M12386" s="682"/>
    </row>
    <row r="12387" spans="6:13" ht="25.5" hidden="1" x14ac:dyDescent="0.2">
      <c r="F12387" s="494">
        <v>416</v>
      </c>
      <c r="G12387" s="495" t="s">
        <v>4178</v>
      </c>
      <c r="H12387" s="397"/>
      <c r="I12387" s="397"/>
      <c r="J12387" s="750"/>
      <c r="K12387" s="398"/>
      <c r="L12387" s="398"/>
      <c r="M12387" s="682"/>
    </row>
    <row r="12388" spans="6:13" hidden="1" x14ac:dyDescent="0.2">
      <c r="F12388" s="494">
        <v>417</v>
      </c>
      <c r="G12388" s="495" t="s">
        <v>4179</v>
      </c>
      <c r="H12388" s="397"/>
      <c r="I12388" s="397"/>
      <c r="J12388" s="750"/>
      <c r="K12388" s="398"/>
      <c r="L12388" s="398"/>
      <c r="M12388" s="682"/>
    </row>
    <row r="12389" spans="6:13" hidden="1" x14ac:dyDescent="0.2">
      <c r="F12389" s="494">
        <v>418</v>
      </c>
      <c r="G12389" s="495" t="s">
        <v>3773</v>
      </c>
      <c r="H12389" s="397"/>
      <c r="I12389" s="397"/>
      <c r="J12389" s="750"/>
      <c r="K12389" s="398"/>
      <c r="L12389" s="398"/>
      <c r="M12389" s="682"/>
    </row>
    <row r="12390" spans="6:13" hidden="1" x14ac:dyDescent="0.2">
      <c r="F12390" s="494">
        <v>421</v>
      </c>
      <c r="G12390" s="495" t="s">
        <v>3777</v>
      </c>
      <c r="H12390" s="397"/>
      <c r="I12390" s="397"/>
      <c r="J12390" s="750"/>
      <c r="K12390" s="398"/>
      <c r="L12390" s="398"/>
      <c r="M12390" s="682"/>
    </row>
    <row r="12391" spans="6:13" hidden="1" x14ac:dyDescent="0.2">
      <c r="F12391" s="494">
        <v>422</v>
      </c>
      <c r="G12391" s="495" t="s">
        <v>3778</v>
      </c>
      <c r="H12391" s="397"/>
      <c r="I12391" s="397"/>
      <c r="J12391" s="750"/>
      <c r="K12391" s="398"/>
      <c r="L12391" s="398"/>
      <c r="M12391" s="682"/>
    </row>
    <row r="12392" spans="6:13" hidden="1" x14ac:dyDescent="0.2">
      <c r="F12392" s="494">
        <v>423</v>
      </c>
      <c r="G12392" s="495" t="s">
        <v>3779</v>
      </c>
      <c r="H12392" s="397"/>
      <c r="I12392" s="397"/>
      <c r="J12392" s="750"/>
      <c r="K12392" s="398"/>
      <c r="L12392" s="398"/>
      <c r="M12392" s="682"/>
    </row>
    <row r="12393" spans="6:13" hidden="1" x14ac:dyDescent="0.2">
      <c r="F12393" s="494">
        <v>424</v>
      </c>
      <c r="G12393" s="495" t="s">
        <v>3781</v>
      </c>
      <c r="H12393" s="397"/>
      <c r="I12393" s="397"/>
      <c r="J12393" s="750"/>
      <c r="K12393" s="398"/>
      <c r="L12393" s="398"/>
      <c r="M12393" s="682"/>
    </row>
    <row r="12394" spans="6:13" hidden="1" x14ac:dyDescent="0.2">
      <c r="F12394" s="494">
        <v>425</v>
      </c>
      <c r="G12394" s="495" t="s">
        <v>4180</v>
      </c>
      <c r="H12394" s="397"/>
      <c r="I12394" s="397"/>
      <c r="J12394" s="750"/>
      <c r="K12394" s="398"/>
      <c r="L12394" s="398"/>
      <c r="M12394" s="682"/>
    </row>
    <row r="12395" spans="6:13" hidden="1" x14ac:dyDescent="0.2">
      <c r="F12395" s="494">
        <v>426</v>
      </c>
      <c r="G12395" s="495" t="s">
        <v>3785</v>
      </c>
      <c r="H12395" s="397"/>
      <c r="I12395" s="397"/>
      <c r="J12395" s="750"/>
      <c r="K12395" s="398"/>
      <c r="L12395" s="398"/>
      <c r="M12395" s="682"/>
    </row>
    <row r="12396" spans="6:13" hidden="1" x14ac:dyDescent="0.2">
      <c r="F12396" s="494">
        <v>431</v>
      </c>
      <c r="G12396" s="495" t="s">
        <v>4181</v>
      </c>
      <c r="H12396" s="397"/>
      <c r="I12396" s="397"/>
      <c r="J12396" s="750"/>
      <c r="K12396" s="398"/>
      <c r="L12396" s="398"/>
      <c r="M12396" s="682"/>
    </row>
    <row r="12397" spans="6:13" hidden="1" x14ac:dyDescent="0.2">
      <c r="F12397" s="494">
        <v>432</v>
      </c>
      <c r="G12397" s="495" t="s">
        <v>4182</v>
      </c>
      <c r="H12397" s="397"/>
      <c r="I12397" s="397"/>
      <c r="J12397" s="750"/>
      <c r="K12397" s="398"/>
      <c r="L12397" s="398"/>
      <c r="M12397" s="682"/>
    </row>
    <row r="12398" spans="6:13" hidden="1" x14ac:dyDescent="0.2">
      <c r="F12398" s="494">
        <v>433</v>
      </c>
      <c r="G12398" s="495" t="s">
        <v>4183</v>
      </c>
      <c r="H12398" s="397"/>
      <c r="I12398" s="397"/>
      <c r="J12398" s="750"/>
      <c r="K12398" s="398"/>
      <c r="L12398" s="398"/>
      <c r="M12398" s="682"/>
    </row>
    <row r="12399" spans="6:13" hidden="1" x14ac:dyDescent="0.2">
      <c r="F12399" s="494">
        <v>434</v>
      </c>
      <c r="G12399" s="495" t="s">
        <v>4184</v>
      </c>
      <c r="H12399" s="397"/>
      <c r="I12399" s="397"/>
      <c r="J12399" s="750"/>
      <c r="K12399" s="398"/>
      <c r="L12399" s="398"/>
      <c r="M12399" s="682"/>
    </row>
    <row r="12400" spans="6:13" hidden="1" x14ac:dyDescent="0.2">
      <c r="F12400" s="494">
        <v>435</v>
      </c>
      <c r="G12400" s="495" t="s">
        <v>3792</v>
      </c>
      <c r="H12400" s="397"/>
      <c r="I12400" s="397"/>
      <c r="J12400" s="750"/>
      <c r="K12400" s="398"/>
      <c r="L12400" s="398"/>
      <c r="M12400" s="682"/>
    </row>
    <row r="12401" spans="6:13" hidden="1" x14ac:dyDescent="0.2">
      <c r="F12401" s="494">
        <v>441</v>
      </c>
      <c r="G12401" s="495" t="s">
        <v>4185</v>
      </c>
      <c r="H12401" s="397"/>
      <c r="I12401" s="397"/>
      <c r="J12401" s="750"/>
      <c r="K12401" s="398"/>
      <c r="L12401" s="398"/>
      <c r="M12401" s="682"/>
    </row>
    <row r="12402" spans="6:13" hidden="1" x14ac:dyDescent="0.2">
      <c r="F12402" s="494">
        <v>442</v>
      </c>
      <c r="G12402" s="495" t="s">
        <v>4186</v>
      </c>
      <c r="H12402" s="397"/>
      <c r="I12402" s="397"/>
      <c r="J12402" s="750"/>
      <c r="K12402" s="398"/>
      <c r="L12402" s="398"/>
      <c r="M12402" s="682"/>
    </row>
    <row r="12403" spans="6:13" hidden="1" x14ac:dyDescent="0.2">
      <c r="F12403" s="494">
        <v>443</v>
      </c>
      <c r="G12403" s="495" t="s">
        <v>3797</v>
      </c>
      <c r="H12403" s="397"/>
      <c r="I12403" s="397"/>
      <c r="J12403" s="750"/>
      <c r="K12403" s="398"/>
      <c r="L12403" s="398"/>
      <c r="M12403" s="682"/>
    </row>
    <row r="12404" spans="6:13" hidden="1" x14ac:dyDescent="0.2">
      <c r="F12404" s="494">
        <v>444</v>
      </c>
      <c r="G12404" s="495" t="s">
        <v>3798</v>
      </c>
      <c r="H12404" s="397"/>
      <c r="I12404" s="397"/>
      <c r="J12404" s="750"/>
      <c r="K12404" s="398"/>
      <c r="L12404" s="398"/>
      <c r="M12404" s="682"/>
    </row>
    <row r="12405" spans="6:13" ht="25.5" hidden="1" x14ac:dyDescent="0.2">
      <c r="F12405" s="494">
        <v>4511</v>
      </c>
      <c r="G12405" s="466" t="s">
        <v>1692</v>
      </c>
      <c r="H12405" s="397"/>
      <c r="I12405" s="397"/>
      <c r="J12405" s="750"/>
      <c r="K12405" s="398"/>
      <c r="L12405" s="398"/>
      <c r="M12405" s="682"/>
    </row>
    <row r="12406" spans="6:13" ht="19.5" hidden="1" customHeight="1" x14ac:dyDescent="0.2">
      <c r="F12406" s="494">
        <v>4512</v>
      </c>
      <c r="G12406" s="466" t="s">
        <v>1701</v>
      </c>
      <c r="H12406" s="397"/>
      <c r="I12406" s="397"/>
      <c r="J12406" s="750"/>
      <c r="K12406" s="398"/>
      <c r="L12406" s="398"/>
      <c r="M12406" s="682"/>
    </row>
    <row r="12407" spans="6:13" ht="25.5" hidden="1" x14ac:dyDescent="0.2">
      <c r="F12407" s="494">
        <v>452</v>
      </c>
      <c r="G12407" s="495" t="s">
        <v>4187</v>
      </c>
      <c r="H12407" s="397"/>
      <c r="I12407" s="397"/>
      <c r="J12407" s="750"/>
      <c r="K12407" s="398"/>
      <c r="L12407" s="398"/>
      <c r="M12407" s="682"/>
    </row>
    <row r="12408" spans="6:13" ht="25.5" hidden="1" x14ac:dyDescent="0.2">
      <c r="F12408" s="494">
        <v>453</v>
      </c>
      <c r="G12408" s="495" t="s">
        <v>4188</v>
      </c>
      <c r="H12408" s="397"/>
      <c r="I12408" s="397"/>
      <c r="J12408" s="750"/>
      <c r="K12408" s="398"/>
      <c r="L12408" s="398"/>
      <c r="M12408" s="682"/>
    </row>
    <row r="12409" spans="6:13" hidden="1" x14ac:dyDescent="0.2">
      <c r="F12409" s="494">
        <v>454</v>
      </c>
      <c r="G12409" s="495" t="s">
        <v>3803</v>
      </c>
      <c r="H12409" s="397"/>
      <c r="I12409" s="397"/>
      <c r="J12409" s="750"/>
      <c r="K12409" s="398"/>
      <c r="L12409" s="398"/>
      <c r="M12409" s="682"/>
    </row>
    <row r="12410" spans="6:13" hidden="1" x14ac:dyDescent="0.2">
      <c r="F12410" s="494">
        <v>461</v>
      </c>
      <c r="G12410" s="495" t="s">
        <v>4169</v>
      </c>
      <c r="H12410" s="397"/>
      <c r="I12410" s="397"/>
      <c r="J12410" s="750"/>
      <c r="K12410" s="398"/>
      <c r="L12410" s="398"/>
      <c r="M12410" s="682"/>
    </row>
    <row r="12411" spans="6:13" ht="25.5" hidden="1" x14ac:dyDescent="0.2">
      <c r="F12411" s="494">
        <v>462</v>
      </c>
      <c r="G12411" s="495" t="s">
        <v>3806</v>
      </c>
      <c r="H12411" s="397"/>
      <c r="I12411" s="397"/>
      <c r="J12411" s="750"/>
      <c r="K12411" s="398"/>
      <c r="L12411" s="398"/>
      <c r="M12411" s="682"/>
    </row>
    <row r="12412" spans="6:13" hidden="1" x14ac:dyDescent="0.2">
      <c r="F12412" s="494">
        <v>4631</v>
      </c>
      <c r="G12412" s="495" t="s">
        <v>3807</v>
      </c>
      <c r="H12412" s="397"/>
      <c r="I12412" s="397"/>
      <c r="J12412" s="750"/>
      <c r="K12412" s="398"/>
      <c r="L12412" s="398"/>
      <c r="M12412" s="682"/>
    </row>
    <row r="12413" spans="6:13" hidden="1" x14ac:dyDescent="0.2">
      <c r="F12413" s="494">
        <v>4632</v>
      </c>
      <c r="G12413" s="495" t="s">
        <v>3808</v>
      </c>
      <c r="H12413" s="397"/>
      <c r="I12413" s="397"/>
      <c r="J12413" s="750"/>
      <c r="K12413" s="398"/>
      <c r="L12413" s="398"/>
      <c r="M12413" s="682"/>
    </row>
    <row r="12414" spans="6:13" ht="25.5" hidden="1" x14ac:dyDescent="0.2">
      <c r="F12414" s="494">
        <v>464</v>
      </c>
      <c r="G12414" s="495" t="s">
        <v>3809</v>
      </c>
      <c r="H12414" s="397"/>
      <c r="I12414" s="397"/>
      <c r="J12414" s="750"/>
      <c r="K12414" s="398"/>
      <c r="L12414" s="398"/>
      <c r="M12414" s="682"/>
    </row>
    <row r="12415" spans="6:13" hidden="1" x14ac:dyDescent="0.2">
      <c r="F12415" s="494">
        <v>465</v>
      </c>
      <c r="G12415" s="495" t="s">
        <v>4170</v>
      </c>
      <c r="H12415" s="397"/>
      <c r="I12415" s="397"/>
      <c r="J12415" s="750"/>
      <c r="K12415" s="398"/>
      <c r="L12415" s="398"/>
      <c r="M12415" s="682"/>
    </row>
    <row r="12416" spans="6:13" hidden="1" x14ac:dyDescent="0.2">
      <c r="F12416" s="494">
        <v>472</v>
      </c>
      <c r="G12416" s="495" t="s">
        <v>3813</v>
      </c>
      <c r="H12416" s="397"/>
      <c r="I12416" s="397"/>
      <c r="J12416" s="750"/>
      <c r="K12416" s="398"/>
      <c r="L12416" s="398"/>
      <c r="M12416" s="682"/>
    </row>
    <row r="12417" spans="6:13" hidden="1" x14ac:dyDescent="0.2">
      <c r="F12417" s="494">
        <v>481</v>
      </c>
      <c r="G12417" s="495" t="s">
        <v>4189</v>
      </c>
      <c r="H12417" s="397"/>
      <c r="I12417" s="397"/>
      <c r="J12417" s="750"/>
      <c r="K12417" s="398"/>
      <c r="L12417" s="398"/>
      <c r="M12417" s="682"/>
    </row>
    <row r="12418" spans="6:13" hidden="1" x14ac:dyDescent="0.2">
      <c r="F12418" s="494">
        <v>482</v>
      </c>
      <c r="G12418" s="495" t="s">
        <v>4190</v>
      </c>
      <c r="H12418" s="397"/>
      <c r="I12418" s="397"/>
      <c r="J12418" s="750"/>
      <c r="K12418" s="398"/>
      <c r="L12418" s="398"/>
      <c r="M12418" s="682"/>
    </row>
    <row r="12419" spans="6:13" hidden="1" x14ac:dyDescent="0.2">
      <c r="F12419" s="494">
        <v>483</v>
      </c>
      <c r="G12419" s="497" t="s">
        <v>4191</v>
      </c>
      <c r="H12419" s="397"/>
      <c r="I12419" s="397"/>
      <c r="J12419" s="750"/>
      <c r="K12419" s="398"/>
      <c r="L12419" s="398"/>
      <c r="M12419" s="682"/>
    </row>
    <row r="12420" spans="6:13" ht="38.25" hidden="1" x14ac:dyDescent="0.2">
      <c r="F12420" s="494">
        <v>484</v>
      </c>
      <c r="G12420" s="495" t="s">
        <v>4192</v>
      </c>
      <c r="H12420" s="397"/>
      <c r="I12420" s="397"/>
      <c r="J12420" s="750"/>
      <c r="K12420" s="398"/>
      <c r="L12420" s="398"/>
      <c r="M12420" s="682"/>
    </row>
    <row r="12421" spans="6:13" ht="25.5" hidden="1" x14ac:dyDescent="0.2">
      <c r="F12421" s="494">
        <v>485</v>
      </c>
      <c r="G12421" s="495" t="s">
        <v>4193</v>
      </c>
      <c r="H12421" s="397"/>
      <c r="I12421" s="397"/>
      <c r="J12421" s="750"/>
      <c r="K12421" s="398"/>
      <c r="L12421" s="398"/>
      <c r="M12421" s="682"/>
    </row>
    <row r="12422" spans="6:13" ht="25.5" hidden="1" x14ac:dyDescent="0.2">
      <c r="F12422" s="494">
        <v>489</v>
      </c>
      <c r="G12422" s="495" t="s">
        <v>3821</v>
      </c>
      <c r="H12422" s="397"/>
      <c r="I12422" s="397"/>
      <c r="J12422" s="750"/>
      <c r="K12422" s="398"/>
      <c r="L12422" s="398"/>
      <c r="M12422" s="682"/>
    </row>
    <row r="12423" spans="6:13" ht="25.5" hidden="1" x14ac:dyDescent="0.2">
      <c r="F12423" s="494">
        <v>494</v>
      </c>
      <c r="G12423" s="495" t="s">
        <v>4171</v>
      </c>
      <c r="H12423" s="397"/>
      <c r="I12423" s="397"/>
      <c r="J12423" s="750"/>
      <c r="K12423" s="398"/>
      <c r="L12423" s="398"/>
      <c r="M12423" s="682"/>
    </row>
    <row r="12424" spans="6:13" ht="25.5" hidden="1" x14ac:dyDescent="0.2">
      <c r="F12424" s="494">
        <v>495</v>
      </c>
      <c r="G12424" s="495" t="s">
        <v>4172</v>
      </c>
      <c r="H12424" s="397"/>
      <c r="I12424" s="397"/>
      <c r="J12424" s="750"/>
      <c r="K12424" s="398"/>
      <c r="L12424" s="398"/>
      <c r="M12424" s="682"/>
    </row>
    <row r="12425" spans="6:13" ht="38.25" hidden="1" x14ac:dyDescent="0.2">
      <c r="F12425" s="494">
        <v>496</v>
      </c>
      <c r="G12425" s="495" t="s">
        <v>4173</v>
      </c>
      <c r="H12425" s="397"/>
      <c r="I12425" s="397"/>
      <c r="J12425" s="750"/>
      <c r="K12425" s="398"/>
      <c r="L12425" s="398"/>
      <c r="M12425" s="682"/>
    </row>
    <row r="12426" spans="6:13" ht="25.5" hidden="1" x14ac:dyDescent="0.2">
      <c r="F12426" s="494">
        <v>499</v>
      </c>
      <c r="G12426" s="495" t="s">
        <v>4174</v>
      </c>
      <c r="H12426" s="397"/>
      <c r="I12426" s="397"/>
      <c r="J12426" s="750"/>
      <c r="K12426" s="398"/>
      <c r="L12426" s="398"/>
      <c r="M12426" s="682"/>
    </row>
    <row r="12427" spans="6:13" hidden="1" x14ac:dyDescent="0.2">
      <c r="F12427" s="494">
        <v>511</v>
      </c>
      <c r="G12427" s="497" t="s">
        <v>4194</v>
      </c>
      <c r="H12427" s="397"/>
      <c r="I12427" s="397"/>
      <c r="J12427" s="750"/>
      <c r="K12427" s="398"/>
      <c r="L12427" s="398"/>
      <c r="M12427" s="682"/>
    </row>
    <row r="12428" spans="6:13" hidden="1" x14ac:dyDescent="0.2">
      <c r="F12428" s="494">
        <v>512</v>
      </c>
      <c r="G12428" s="497" t="s">
        <v>4195</v>
      </c>
      <c r="H12428" s="397"/>
      <c r="I12428" s="397"/>
      <c r="J12428" s="750"/>
      <c r="K12428" s="398"/>
      <c r="L12428" s="398"/>
      <c r="M12428" s="682"/>
    </row>
    <row r="12429" spans="6:13" hidden="1" x14ac:dyDescent="0.2">
      <c r="F12429" s="494">
        <v>513</v>
      </c>
      <c r="G12429" s="497" t="s">
        <v>4196</v>
      </c>
      <c r="H12429" s="397"/>
      <c r="I12429" s="397"/>
      <c r="J12429" s="750"/>
      <c r="K12429" s="398"/>
      <c r="L12429" s="398"/>
      <c r="M12429" s="682"/>
    </row>
    <row r="12430" spans="6:13" hidden="1" x14ac:dyDescent="0.2">
      <c r="F12430" s="494">
        <v>514</v>
      </c>
      <c r="G12430" s="495" t="s">
        <v>4197</v>
      </c>
      <c r="H12430" s="397"/>
      <c r="I12430" s="397"/>
      <c r="J12430" s="750"/>
      <c r="K12430" s="398"/>
      <c r="L12430" s="398"/>
      <c r="M12430" s="682"/>
    </row>
    <row r="12431" spans="6:13" hidden="1" x14ac:dyDescent="0.2">
      <c r="F12431" s="494">
        <v>515</v>
      </c>
      <c r="G12431" s="495" t="s">
        <v>3832</v>
      </c>
      <c r="H12431" s="397"/>
      <c r="I12431" s="397"/>
      <c r="J12431" s="750"/>
      <c r="K12431" s="398"/>
      <c r="L12431" s="398"/>
      <c r="M12431" s="682"/>
    </row>
    <row r="12432" spans="6:13" hidden="1" x14ac:dyDescent="0.2">
      <c r="F12432" s="494">
        <v>521</v>
      </c>
      <c r="G12432" s="495" t="s">
        <v>4198</v>
      </c>
      <c r="H12432" s="397"/>
      <c r="I12432" s="397"/>
      <c r="J12432" s="750"/>
      <c r="K12432" s="398"/>
      <c r="L12432" s="398"/>
      <c r="M12432" s="682"/>
    </row>
    <row r="12433" spans="5:13" hidden="1" x14ac:dyDescent="0.2">
      <c r="F12433" s="494">
        <v>522</v>
      </c>
      <c r="G12433" s="495" t="s">
        <v>4199</v>
      </c>
      <c r="H12433" s="397"/>
      <c r="I12433" s="397"/>
      <c r="J12433" s="750"/>
      <c r="K12433" s="398"/>
      <c r="L12433" s="398"/>
      <c r="M12433" s="682"/>
    </row>
    <row r="12434" spans="5:13" hidden="1" x14ac:dyDescent="0.2">
      <c r="F12434" s="494">
        <v>523</v>
      </c>
      <c r="G12434" s="495" t="s">
        <v>3837</v>
      </c>
      <c r="H12434" s="397"/>
      <c r="I12434" s="397"/>
      <c r="J12434" s="750"/>
      <c r="K12434" s="398"/>
      <c r="L12434" s="398"/>
      <c r="M12434" s="682"/>
    </row>
    <row r="12435" spans="5:13" hidden="1" x14ac:dyDescent="0.2">
      <c r="F12435" s="494">
        <v>531</v>
      </c>
      <c r="G12435" s="496" t="s">
        <v>4175</v>
      </c>
      <c r="H12435" s="397"/>
      <c r="I12435" s="397"/>
      <c r="J12435" s="750"/>
      <c r="K12435" s="398"/>
      <c r="L12435" s="398"/>
      <c r="M12435" s="682"/>
    </row>
    <row r="12436" spans="5:13" hidden="1" x14ac:dyDescent="0.2">
      <c r="F12436" s="494">
        <v>541</v>
      </c>
      <c r="G12436" s="495" t="s">
        <v>4200</v>
      </c>
      <c r="H12436" s="397"/>
      <c r="I12436" s="397"/>
      <c r="J12436" s="750"/>
      <c r="K12436" s="398"/>
      <c r="L12436" s="398"/>
      <c r="M12436" s="682"/>
    </row>
    <row r="12437" spans="5:13" hidden="1" x14ac:dyDescent="0.2">
      <c r="F12437" s="494">
        <v>542</v>
      </c>
      <c r="G12437" s="495" t="s">
        <v>4201</v>
      </c>
      <c r="H12437" s="397"/>
      <c r="I12437" s="397"/>
      <c r="J12437" s="750"/>
      <c r="K12437" s="398"/>
      <c r="L12437" s="398"/>
      <c r="M12437" s="682"/>
    </row>
    <row r="12438" spans="5:13" hidden="1" x14ac:dyDescent="0.2">
      <c r="F12438" s="494">
        <v>543</v>
      </c>
      <c r="G12438" s="495" t="s">
        <v>3842</v>
      </c>
      <c r="H12438" s="397"/>
      <c r="I12438" s="397"/>
      <c r="J12438" s="750"/>
      <c r="K12438" s="398"/>
      <c r="L12438" s="398"/>
      <c r="M12438" s="682"/>
    </row>
    <row r="12439" spans="5:13" ht="38.25" hidden="1" x14ac:dyDescent="0.2">
      <c r="F12439" s="494">
        <v>551</v>
      </c>
      <c r="G12439" s="495" t="s">
        <v>4176</v>
      </c>
      <c r="H12439" s="397"/>
      <c r="I12439" s="397"/>
      <c r="J12439" s="750"/>
      <c r="K12439" s="398"/>
      <c r="L12439" s="398"/>
      <c r="M12439" s="682"/>
    </row>
    <row r="12440" spans="5:13" hidden="1" x14ac:dyDescent="0.2">
      <c r="F12440" s="498">
        <v>611</v>
      </c>
      <c r="G12440" s="499" t="s">
        <v>3848</v>
      </c>
      <c r="H12440" s="397"/>
      <c r="I12440" s="397"/>
      <c r="J12440" s="750"/>
      <c r="K12440" s="398"/>
      <c r="L12440" s="398"/>
      <c r="M12440" s="682"/>
    </row>
    <row r="12441" spans="5:13" hidden="1" x14ac:dyDescent="0.2">
      <c r="F12441" s="498">
        <v>620</v>
      </c>
      <c r="G12441" s="499" t="s">
        <v>88</v>
      </c>
      <c r="H12441" s="397"/>
      <c r="I12441" s="397"/>
      <c r="J12441" s="750"/>
      <c r="K12441" s="398"/>
      <c r="L12441" s="398"/>
      <c r="M12441" s="682"/>
    </row>
    <row r="12442" spans="5:13" hidden="1" x14ac:dyDescent="0.2">
      <c r="E12442" s="500"/>
      <c r="F12442" s="498"/>
      <c r="G12442" s="501" t="s">
        <v>4435</v>
      </c>
      <c r="H12442" s="400"/>
      <c r="I12442" s="400"/>
      <c r="J12442" s="750"/>
      <c r="K12442" s="401"/>
      <c r="L12442" s="402"/>
      <c r="M12442" s="682"/>
    </row>
    <row r="12443" spans="5:13" hidden="1" x14ac:dyDescent="0.2">
      <c r="E12443" s="502"/>
      <c r="F12443" s="503" t="s">
        <v>234</v>
      </c>
      <c r="G12443" s="504" t="s">
        <v>235</v>
      </c>
      <c r="H12443" s="403">
        <f>SUM(H12382:H12441)</f>
        <v>0</v>
      </c>
      <c r="I12443" s="403"/>
      <c r="J12443" s="750"/>
      <c r="K12443" s="404"/>
      <c r="L12443" s="404"/>
      <c r="M12443" s="682"/>
    </row>
    <row r="12444" spans="5:13" hidden="1" x14ac:dyDescent="0.2">
      <c r="F12444" s="503" t="s">
        <v>236</v>
      </c>
      <c r="G12444" s="504" t="s">
        <v>237</v>
      </c>
      <c r="H12444" s="397"/>
      <c r="I12444" s="397"/>
      <c r="J12444" s="750"/>
      <c r="K12444" s="398"/>
      <c r="L12444" s="404"/>
      <c r="M12444" s="682"/>
    </row>
    <row r="12445" spans="5:13" hidden="1" x14ac:dyDescent="0.2">
      <c r="F12445" s="503" t="s">
        <v>238</v>
      </c>
      <c r="G12445" s="504" t="s">
        <v>239</v>
      </c>
      <c r="H12445" s="397"/>
      <c r="I12445" s="397"/>
      <c r="J12445" s="750"/>
      <c r="K12445" s="398"/>
      <c r="L12445" s="404"/>
      <c r="M12445" s="682"/>
    </row>
    <row r="12446" spans="5:13" hidden="1" x14ac:dyDescent="0.2">
      <c r="F12446" s="503" t="s">
        <v>240</v>
      </c>
      <c r="G12446" s="504" t="s">
        <v>241</v>
      </c>
      <c r="H12446" s="397"/>
      <c r="I12446" s="397"/>
      <c r="J12446" s="750"/>
      <c r="K12446" s="398"/>
      <c r="L12446" s="404"/>
      <c r="M12446" s="682"/>
    </row>
    <row r="12447" spans="5:13" hidden="1" x14ac:dyDescent="0.2">
      <c r="F12447" s="503" t="s">
        <v>242</v>
      </c>
      <c r="G12447" s="504" t="s">
        <v>243</v>
      </c>
      <c r="H12447" s="397"/>
      <c r="I12447" s="397"/>
      <c r="J12447" s="750"/>
      <c r="K12447" s="398"/>
      <c r="L12447" s="404"/>
      <c r="M12447" s="682"/>
    </row>
    <row r="12448" spans="5:13" hidden="1" x14ac:dyDescent="0.2">
      <c r="F12448" s="503" t="s">
        <v>244</v>
      </c>
      <c r="G12448" s="504" t="s">
        <v>245</v>
      </c>
      <c r="H12448" s="397"/>
      <c r="I12448" s="397"/>
      <c r="J12448" s="750"/>
      <c r="K12448" s="398"/>
      <c r="L12448" s="404"/>
      <c r="M12448" s="682"/>
    </row>
    <row r="12449" spans="5:13" hidden="1" x14ac:dyDescent="0.2">
      <c r="F12449" s="503" t="s">
        <v>246</v>
      </c>
      <c r="G12449" s="504" t="s">
        <v>247</v>
      </c>
      <c r="H12449" s="397"/>
      <c r="I12449" s="397"/>
      <c r="J12449" s="750"/>
      <c r="K12449" s="398"/>
      <c r="L12449" s="404"/>
      <c r="M12449" s="682"/>
    </row>
    <row r="12450" spans="5:13" ht="25.5" hidden="1" x14ac:dyDescent="0.2">
      <c r="F12450" s="503" t="s">
        <v>248</v>
      </c>
      <c r="G12450" s="504" t="s">
        <v>249</v>
      </c>
      <c r="H12450" s="397"/>
      <c r="I12450" s="397"/>
      <c r="J12450" s="750"/>
      <c r="K12450" s="398"/>
      <c r="L12450" s="404"/>
      <c r="M12450" s="682"/>
    </row>
    <row r="12451" spans="5:13" hidden="1" x14ac:dyDescent="0.2">
      <c r="F12451" s="503" t="s">
        <v>250</v>
      </c>
      <c r="G12451" s="504" t="s">
        <v>57</v>
      </c>
      <c r="H12451" s="397"/>
      <c r="I12451" s="397"/>
      <c r="J12451" s="750"/>
      <c r="K12451" s="398"/>
      <c r="L12451" s="404"/>
      <c r="M12451" s="682"/>
    </row>
    <row r="12452" spans="5:13" hidden="1" x14ac:dyDescent="0.2">
      <c r="F12452" s="503" t="s">
        <v>251</v>
      </c>
      <c r="G12452" s="504" t="s">
        <v>252</v>
      </c>
      <c r="H12452" s="397"/>
      <c r="I12452" s="397"/>
      <c r="J12452" s="750"/>
      <c r="K12452" s="398"/>
      <c r="L12452" s="404"/>
      <c r="M12452" s="682"/>
    </row>
    <row r="12453" spans="5:13" hidden="1" x14ac:dyDescent="0.2">
      <c r="F12453" s="503" t="s">
        <v>253</v>
      </c>
      <c r="G12453" s="504" t="s">
        <v>254</v>
      </c>
      <c r="H12453" s="397"/>
      <c r="I12453" s="397"/>
      <c r="J12453" s="750"/>
      <c r="K12453" s="398"/>
      <c r="L12453" s="404"/>
      <c r="M12453" s="682"/>
    </row>
    <row r="12454" spans="5:13" ht="25.5" hidden="1" x14ac:dyDescent="0.2">
      <c r="F12454" s="503" t="s">
        <v>255</v>
      </c>
      <c r="G12454" s="504" t="s">
        <v>256</v>
      </c>
      <c r="H12454" s="397"/>
      <c r="I12454" s="397"/>
      <c r="J12454" s="750"/>
      <c r="K12454" s="398"/>
      <c r="L12454" s="404"/>
      <c r="M12454" s="682"/>
    </row>
    <row r="12455" spans="5:13" ht="25.5" hidden="1" x14ac:dyDescent="0.2">
      <c r="F12455" s="503" t="s">
        <v>257</v>
      </c>
      <c r="G12455" s="504" t="s">
        <v>258</v>
      </c>
      <c r="H12455" s="397"/>
      <c r="I12455" s="397"/>
      <c r="J12455" s="750"/>
      <c r="K12455" s="398"/>
      <c r="L12455" s="404"/>
      <c r="M12455" s="682"/>
    </row>
    <row r="12456" spans="5:13" ht="25.5" hidden="1" x14ac:dyDescent="0.2">
      <c r="F12456" s="503" t="s">
        <v>259</v>
      </c>
      <c r="G12456" s="504" t="s">
        <v>260</v>
      </c>
      <c r="H12456" s="397"/>
      <c r="I12456" s="397"/>
      <c r="J12456" s="750"/>
      <c r="K12456" s="398"/>
      <c r="L12456" s="404"/>
      <c r="M12456" s="682"/>
    </row>
    <row r="12457" spans="5:13" ht="25.5" hidden="1" x14ac:dyDescent="0.2">
      <c r="F12457" s="503" t="s">
        <v>261</v>
      </c>
      <c r="G12457" s="504" t="s">
        <v>262</v>
      </c>
      <c r="H12457" s="397"/>
      <c r="I12457" s="397"/>
      <c r="J12457" s="750"/>
      <c r="K12457" s="398"/>
      <c r="L12457" s="404"/>
      <c r="M12457" s="682"/>
    </row>
    <row r="12458" spans="5:13" hidden="1" x14ac:dyDescent="0.2">
      <c r="F12458" s="503" t="s">
        <v>263</v>
      </c>
      <c r="G12458" s="504" t="s">
        <v>264</v>
      </c>
      <c r="H12458" s="403"/>
      <c r="I12458" s="403"/>
      <c r="J12458" s="750"/>
      <c r="K12458" s="404"/>
      <c r="L12458" s="404"/>
      <c r="M12458" s="682"/>
    </row>
    <row r="12459" spans="5:13" ht="13.5" hidden="1" thickBot="1" x14ac:dyDescent="0.25">
      <c r="G12459" s="505" t="s">
        <v>4436</v>
      </c>
      <c r="H12459" s="405">
        <f>SUM(H12443:H12458)</f>
        <v>0</v>
      </c>
      <c r="I12459" s="405"/>
      <c r="J12459" s="750"/>
      <c r="K12459" s="406">
        <f>SUM(K12444:K12458)</f>
        <v>0</v>
      </c>
      <c r="L12459" s="406"/>
      <c r="M12459" s="682"/>
    </row>
    <row r="12460" spans="5:13" ht="25.5" hidden="1" collapsed="1" x14ac:dyDescent="0.2">
      <c r="E12460" s="500"/>
      <c r="F12460" s="498"/>
      <c r="G12460" s="506" t="s">
        <v>4437</v>
      </c>
      <c r="H12460" s="407"/>
      <c r="I12460" s="408"/>
      <c r="J12460" s="750"/>
      <c r="K12460" s="409"/>
      <c r="L12460" s="410"/>
      <c r="M12460" s="682"/>
    </row>
    <row r="12461" spans="5:13" hidden="1" x14ac:dyDescent="0.2">
      <c r="E12461" s="502"/>
      <c r="F12461" s="503" t="s">
        <v>234</v>
      </c>
      <c r="G12461" s="504" t="s">
        <v>235</v>
      </c>
      <c r="H12461" s="403">
        <f>SUM(H12382:H12441)</f>
        <v>0</v>
      </c>
      <c r="I12461" s="403"/>
      <c r="J12461" s="750"/>
      <c r="K12461" s="404"/>
      <c r="L12461" s="404"/>
      <c r="M12461" s="682"/>
    </row>
    <row r="12462" spans="5:13" hidden="1" x14ac:dyDescent="0.2">
      <c r="F12462" s="503" t="s">
        <v>236</v>
      </c>
      <c r="G12462" s="504" t="s">
        <v>237</v>
      </c>
      <c r="H12462" s="397"/>
      <c r="I12462" s="397"/>
      <c r="J12462" s="750"/>
      <c r="K12462" s="398"/>
      <c r="L12462" s="404"/>
      <c r="M12462" s="682"/>
    </row>
    <row r="12463" spans="5:13" hidden="1" x14ac:dyDescent="0.2">
      <c r="F12463" s="503" t="s">
        <v>238</v>
      </c>
      <c r="G12463" s="504" t="s">
        <v>239</v>
      </c>
      <c r="H12463" s="397"/>
      <c r="I12463" s="397"/>
      <c r="J12463" s="750"/>
      <c r="K12463" s="398"/>
      <c r="L12463" s="404"/>
      <c r="M12463" s="682"/>
    </row>
    <row r="12464" spans="5:13" hidden="1" x14ac:dyDescent="0.2">
      <c r="F12464" s="503" t="s">
        <v>240</v>
      </c>
      <c r="G12464" s="504" t="s">
        <v>241</v>
      </c>
      <c r="H12464" s="397"/>
      <c r="I12464" s="397"/>
      <c r="J12464" s="750"/>
      <c r="K12464" s="398"/>
      <c r="L12464" s="404"/>
      <c r="M12464" s="682"/>
    </row>
    <row r="12465" spans="3:13" hidden="1" x14ac:dyDescent="0.2">
      <c r="F12465" s="503" t="s">
        <v>242</v>
      </c>
      <c r="G12465" s="504" t="s">
        <v>243</v>
      </c>
      <c r="H12465" s="397"/>
      <c r="I12465" s="397"/>
      <c r="J12465" s="750"/>
      <c r="K12465" s="398"/>
      <c r="L12465" s="404"/>
      <c r="M12465" s="682"/>
    </row>
    <row r="12466" spans="3:13" hidden="1" x14ac:dyDescent="0.2">
      <c r="F12466" s="503" t="s">
        <v>244</v>
      </c>
      <c r="G12466" s="504" t="s">
        <v>245</v>
      </c>
      <c r="H12466" s="397"/>
      <c r="I12466" s="397"/>
      <c r="J12466" s="750"/>
      <c r="K12466" s="398"/>
      <c r="L12466" s="404"/>
      <c r="M12466" s="682"/>
    </row>
    <row r="12467" spans="3:13" hidden="1" x14ac:dyDescent="0.2">
      <c r="F12467" s="503" t="s">
        <v>246</v>
      </c>
      <c r="G12467" s="504" t="s">
        <v>247</v>
      </c>
      <c r="H12467" s="397"/>
      <c r="I12467" s="397"/>
      <c r="J12467" s="750"/>
      <c r="K12467" s="398"/>
      <c r="L12467" s="404"/>
      <c r="M12467" s="682"/>
    </row>
    <row r="12468" spans="3:13" ht="25.5" hidden="1" x14ac:dyDescent="0.2">
      <c r="F12468" s="503" t="s">
        <v>248</v>
      </c>
      <c r="G12468" s="504" t="s">
        <v>249</v>
      </c>
      <c r="H12468" s="397"/>
      <c r="I12468" s="397"/>
      <c r="J12468" s="750"/>
      <c r="K12468" s="398"/>
      <c r="L12468" s="404"/>
      <c r="M12468" s="682"/>
    </row>
    <row r="12469" spans="3:13" hidden="1" x14ac:dyDescent="0.2">
      <c r="F12469" s="503" t="s">
        <v>250</v>
      </c>
      <c r="G12469" s="504" t="s">
        <v>57</v>
      </c>
      <c r="H12469" s="397"/>
      <c r="I12469" s="397"/>
      <c r="J12469" s="750"/>
      <c r="K12469" s="398"/>
      <c r="L12469" s="404"/>
      <c r="M12469" s="682"/>
    </row>
    <row r="12470" spans="3:13" hidden="1" x14ac:dyDescent="0.2">
      <c r="F12470" s="503" t="s">
        <v>251</v>
      </c>
      <c r="G12470" s="504" t="s">
        <v>252</v>
      </c>
      <c r="H12470" s="397"/>
      <c r="I12470" s="397"/>
      <c r="J12470" s="750"/>
      <c r="K12470" s="398"/>
      <c r="L12470" s="404"/>
      <c r="M12470" s="682"/>
    </row>
    <row r="12471" spans="3:13" hidden="1" x14ac:dyDescent="0.2">
      <c r="F12471" s="503" t="s">
        <v>253</v>
      </c>
      <c r="G12471" s="504" t="s">
        <v>254</v>
      </c>
      <c r="H12471" s="397"/>
      <c r="I12471" s="397"/>
      <c r="J12471" s="750"/>
      <c r="K12471" s="398"/>
      <c r="L12471" s="404"/>
      <c r="M12471" s="682"/>
    </row>
    <row r="12472" spans="3:13" ht="25.5" hidden="1" x14ac:dyDescent="0.2">
      <c r="F12472" s="503" t="s">
        <v>255</v>
      </c>
      <c r="G12472" s="504" t="s">
        <v>256</v>
      </c>
      <c r="H12472" s="397"/>
      <c r="I12472" s="397"/>
      <c r="J12472" s="750"/>
      <c r="K12472" s="398"/>
      <c r="L12472" s="404"/>
      <c r="M12472" s="682"/>
    </row>
    <row r="12473" spans="3:13" ht="25.5" hidden="1" x14ac:dyDescent="0.2">
      <c r="F12473" s="503" t="s">
        <v>257</v>
      </c>
      <c r="G12473" s="504" t="s">
        <v>258</v>
      </c>
      <c r="H12473" s="397"/>
      <c r="I12473" s="397"/>
      <c r="J12473" s="750"/>
      <c r="K12473" s="398"/>
      <c r="L12473" s="404"/>
      <c r="M12473" s="682"/>
    </row>
    <row r="12474" spans="3:13" ht="25.5" hidden="1" x14ac:dyDescent="0.2">
      <c r="F12474" s="503" t="s">
        <v>259</v>
      </c>
      <c r="G12474" s="504" t="s">
        <v>260</v>
      </c>
      <c r="H12474" s="397"/>
      <c r="I12474" s="397"/>
      <c r="J12474" s="750"/>
      <c r="K12474" s="398"/>
      <c r="L12474" s="404"/>
      <c r="M12474" s="682"/>
    </row>
    <row r="12475" spans="3:13" ht="25.5" hidden="1" x14ac:dyDescent="0.2">
      <c r="F12475" s="503" t="s">
        <v>261</v>
      </c>
      <c r="G12475" s="504" t="s">
        <v>262</v>
      </c>
      <c r="H12475" s="397"/>
      <c r="I12475" s="397"/>
      <c r="J12475" s="750"/>
      <c r="K12475" s="398"/>
      <c r="L12475" s="404"/>
      <c r="M12475" s="682"/>
    </row>
    <row r="12476" spans="3:13" hidden="1" x14ac:dyDescent="0.2">
      <c r="F12476" s="503" t="s">
        <v>263</v>
      </c>
      <c r="G12476" s="504" t="s">
        <v>264</v>
      </c>
      <c r="H12476" s="403"/>
      <c r="I12476" s="403"/>
      <c r="J12476" s="750"/>
      <c r="K12476" s="404"/>
      <c r="L12476" s="404"/>
      <c r="M12476" s="682"/>
    </row>
    <row r="12477" spans="3:13" ht="13.5" hidden="1" collapsed="1" thickBot="1" x14ac:dyDescent="0.25">
      <c r="G12477" s="505" t="s">
        <v>4438</v>
      </c>
      <c r="H12477" s="405">
        <f>SUM(H12461:H12476)</f>
        <v>0</v>
      </c>
      <c r="I12477" s="405"/>
      <c r="J12477" s="750"/>
      <c r="K12477" s="406">
        <f>SUM(K12462:K12476)</f>
        <v>0</v>
      </c>
      <c r="L12477" s="406"/>
      <c r="M12477" s="682"/>
    </row>
    <row r="12478" spans="3:13" hidden="1" x14ac:dyDescent="0.2">
      <c r="H12478" s="397"/>
      <c r="I12478" s="397"/>
      <c r="J12478" s="750"/>
      <c r="K12478" s="398"/>
      <c r="L12478" s="398"/>
      <c r="M12478" s="682"/>
    </row>
    <row r="12479" spans="3:13" hidden="1" x14ac:dyDescent="0.2">
      <c r="C12479" s="489" t="s">
        <v>4832</v>
      </c>
      <c r="D12479" s="490"/>
      <c r="G12479" s="508" t="s">
        <v>4232</v>
      </c>
      <c r="H12479" s="397"/>
      <c r="I12479" s="397"/>
      <c r="J12479" s="750"/>
      <c r="K12479" s="398"/>
      <c r="L12479" s="398"/>
      <c r="M12479" s="682"/>
    </row>
    <row r="12480" spans="3:13" hidden="1" x14ac:dyDescent="0.2">
      <c r="C12480" s="489"/>
      <c r="D12480" s="492">
        <v>820</v>
      </c>
      <c r="E12480" s="492"/>
      <c r="F12480" s="492"/>
      <c r="G12480" s="493" t="s">
        <v>207</v>
      </c>
      <c r="H12480" s="397"/>
      <c r="I12480" s="397"/>
      <c r="J12480" s="750"/>
      <c r="K12480" s="398"/>
      <c r="L12480" s="398"/>
      <c r="M12480" s="682"/>
    </row>
    <row r="12481" spans="6:13" hidden="1" x14ac:dyDescent="0.2">
      <c r="F12481" s="494">
        <v>411</v>
      </c>
      <c r="G12481" s="495" t="s">
        <v>4167</v>
      </c>
      <c r="H12481" s="397"/>
      <c r="I12481" s="397"/>
      <c r="J12481" s="750"/>
      <c r="K12481" s="398"/>
      <c r="L12481" s="398"/>
      <c r="M12481" s="682"/>
    </row>
    <row r="12482" spans="6:13" hidden="1" x14ac:dyDescent="0.2">
      <c r="F12482" s="494">
        <v>412</v>
      </c>
      <c r="G12482" s="496" t="s">
        <v>3764</v>
      </c>
      <c r="H12482" s="397"/>
      <c r="I12482" s="397"/>
      <c r="J12482" s="750"/>
      <c r="K12482" s="398"/>
      <c r="L12482" s="398"/>
      <c r="M12482" s="682"/>
    </row>
    <row r="12483" spans="6:13" hidden="1" x14ac:dyDescent="0.2">
      <c r="F12483" s="494">
        <v>413</v>
      </c>
      <c r="G12483" s="495" t="s">
        <v>4168</v>
      </c>
      <c r="H12483" s="397"/>
      <c r="I12483" s="397"/>
      <c r="J12483" s="750"/>
      <c r="K12483" s="398"/>
      <c r="L12483" s="398"/>
      <c r="M12483" s="682"/>
    </row>
    <row r="12484" spans="6:13" hidden="1" x14ac:dyDescent="0.2">
      <c r="F12484" s="494">
        <v>414</v>
      </c>
      <c r="G12484" s="495" t="s">
        <v>3767</v>
      </c>
      <c r="H12484" s="397"/>
      <c r="I12484" s="397"/>
      <c r="J12484" s="750"/>
      <c r="K12484" s="398"/>
      <c r="L12484" s="398"/>
      <c r="M12484" s="682"/>
    </row>
    <row r="12485" spans="6:13" hidden="1" x14ac:dyDescent="0.2">
      <c r="F12485" s="494">
        <v>415</v>
      </c>
      <c r="G12485" s="495" t="s">
        <v>4177</v>
      </c>
      <c r="H12485" s="397"/>
      <c r="I12485" s="397"/>
      <c r="J12485" s="750"/>
      <c r="K12485" s="398"/>
      <c r="L12485" s="398"/>
      <c r="M12485" s="682"/>
    </row>
    <row r="12486" spans="6:13" ht="25.5" hidden="1" x14ac:dyDescent="0.2">
      <c r="F12486" s="494">
        <v>416</v>
      </c>
      <c r="G12486" s="495" t="s">
        <v>4178</v>
      </c>
      <c r="H12486" s="397"/>
      <c r="I12486" s="397"/>
      <c r="J12486" s="750"/>
      <c r="K12486" s="398"/>
      <c r="L12486" s="398"/>
      <c r="M12486" s="682"/>
    </row>
    <row r="12487" spans="6:13" hidden="1" x14ac:dyDescent="0.2">
      <c r="F12487" s="494">
        <v>417</v>
      </c>
      <c r="G12487" s="495" t="s">
        <v>4179</v>
      </c>
      <c r="H12487" s="397"/>
      <c r="I12487" s="397"/>
      <c r="J12487" s="750"/>
      <c r="K12487" s="398"/>
      <c r="L12487" s="398"/>
      <c r="M12487" s="682"/>
    </row>
    <row r="12488" spans="6:13" hidden="1" x14ac:dyDescent="0.2">
      <c r="F12488" s="494">
        <v>418</v>
      </c>
      <c r="G12488" s="495" t="s">
        <v>3773</v>
      </c>
      <c r="H12488" s="397"/>
      <c r="I12488" s="397"/>
      <c r="J12488" s="750"/>
      <c r="K12488" s="398"/>
      <c r="L12488" s="398"/>
      <c r="M12488" s="682"/>
    </row>
    <row r="12489" spans="6:13" hidden="1" x14ac:dyDescent="0.2">
      <c r="F12489" s="494">
        <v>421</v>
      </c>
      <c r="G12489" s="495" t="s">
        <v>3777</v>
      </c>
      <c r="H12489" s="397"/>
      <c r="I12489" s="397"/>
      <c r="J12489" s="750"/>
      <c r="K12489" s="398"/>
      <c r="L12489" s="398"/>
      <c r="M12489" s="682"/>
    </row>
    <row r="12490" spans="6:13" hidden="1" x14ac:dyDescent="0.2">
      <c r="F12490" s="494">
        <v>422</v>
      </c>
      <c r="G12490" s="495" t="s">
        <v>3778</v>
      </c>
      <c r="H12490" s="397"/>
      <c r="I12490" s="397"/>
      <c r="J12490" s="750"/>
      <c r="K12490" s="398"/>
      <c r="L12490" s="398"/>
      <c r="M12490" s="682"/>
    </row>
    <row r="12491" spans="6:13" hidden="1" x14ac:dyDescent="0.2">
      <c r="F12491" s="494">
        <v>423</v>
      </c>
      <c r="G12491" s="495" t="s">
        <v>3779</v>
      </c>
      <c r="H12491" s="397"/>
      <c r="I12491" s="397"/>
      <c r="J12491" s="750"/>
      <c r="K12491" s="398"/>
      <c r="L12491" s="398"/>
      <c r="M12491" s="682"/>
    </row>
    <row r="12492" spans="6:13" hidden="1" x14ac:dyDescent="0.2">
      <c r="F12492" s="494">
        <v>424</v>
      </c>
      <c r="G12492" s="495" t="s">
        <v>3781</v>
      </c>
      <c r="H12492" s="397"/>
      <c r="I12492" s="397"/>
      <c r="J12492" s="750"/>
      <c r="K12492" s="398"/>
      <c r="L12492" s="398"/>
      <c r="M12492" s="682"/>
    </row>
    <row r="12493" spans="6:13" hidden="1" x14ac:dyDescent="0.2">
      <c r="F12493" s="494">
        <v>425</v>
      </c>
      <c r="G12493" s="495" t="s">
        <v>4180</v>
      </c>
      <c r="H12493" s="397"/>
      <c r="I12493" s="397"/>
      <c r="J12493" s="750"/>
      <c r="K12493" s="398"/>
      <c r="L12493" s="398"/>
      <c r="M12493" s="682"/>
    </row>
    <row r="12494" spans="6:13" hidden="1" x14ac:dyDescent="0.2">
      <c r="F12494" s="494">
        <v>426</v>
      </c>
      <c r="G12494" s="495" t="s">
        <v>3785</v>
      </c>
      <c r="H12494" s="397"/>
      <c r="I12494" s="397"/>
      <c r="J12494" s="750"/>
      <c r="K12494" s="398"/>
      <c r="L12494" s="398"/>
      <c r="M12494" s="682"/>
    </row>
    <row r="12495" spans="6:13" hidden="1" x14ac:dyDescent="0.2">
      <c r="F12495" s="494">
        <v>431</v>
      </c>
      <c r="G12495" s="495" t="s">
        <v>4181</v>
      </c>
      <c r="H12495" s="397"/>
      <c r="I12495" s="397"/>
      <c r="J12495" s="750"/>
      <c r="K12495" s="398"/>
      <c r="L12495" s="398"/>
      <c r="M12495" s="682"/>
    </row>
    <row r="12496" spans="6:13" hidden="1" x14ac:dyDescent="0.2">
      <c r="F12496" s="494">
        <v>432</v>
      </c>
      <c r="G12496" s="495" t="s">
        <v>4182</v>
      </c>
      <c r="H12496" s="397"/>
      <c r="I12496" s="397"/>
      <c r="J12496" s="750"/>
      <c r="K12496" s="398"/>
      <c r="L12496" s="398"/>
      <c r="M12496" s="682"/>
    </row>
    <row r="12497" spans="6:13" hidden="1" x14ac:dyDescent="0.2">
      <c r="F12497" s="494">
        <v>433</v>
      </c>
      <c r="G12497" s="495" t="s">
        <v>4183</v>
      </c>
      <c r="H12497" s="397"/>
      <c r="I12497" s="397"/>
      <c r="J12497" s="750"/>
      <c r="K12497" s="398"/>
      <c r="L12497" s="398"/>
      <c r="M12497" s="682"/>
    </row>
    <row r="12498" spans="6:13" hidden="1" x14ac:dyDescent="0.2">
      <c r="F12498" s="494">
        <v>434</v>
      </c>
      <c r="G12498" s="495" t="s">
        <v>4184</v>
      </c>
      <c r="H12498" s="397"/>
      <c r="I12498" s="397"/>
      <c r="J12498" s="750"/>
      <c r="K12498" s="398"/>
      <c r="L12498" s="398"/>
      <c r="M12498" s="682"/>
    </row>
    <row r="12499" spans="6:13" hidden="1" x14ac:dyDescent="0.2">
      <c r="F12499" s="494">
        <v>435</v>
      </c>
      <c r="G12499" s="495" t="s">
        <v>3792</v>
      </c>
      <c r="H12499" s="397"/>
      <c r="I12499" s="397"/>
      <c r="J12499" s="750"/>
      <c r="K12499" s="398"/>
      <c r="L12499" s="398"/>
      <c r="M12499" s="682"/>
    </row>
    <row r="12500" spans="6:13" hidden="1" x14ac:dyDescent="0.2">
      <c r="F12500" s="494">
        <v>441</v>
      </c>
      <c r="G12500" s="495" t="s">
        <v>4185</v>
      </c>
      <c r="H12500" s="397"/>
      <c r="I12500" s="397"/>
      <c r="J12500" s="750"/>
      <c r="K12500" s="398"/>
      <c r="L12500" s="398"/>
      <c r="M12500" s="682"/>
    </row>
    <row r="12501" spans="6:13" hidden="1" x14ac:dyDescent="0.2">
      <c r="F12501" s="494">
        <v>442</v>
      </c>
      <c r="G12501" s="495" t="s">
        <v>4186</v>
      </c>
      <c r="H12501" s="397"/>
      <c r="I12501" s="397"/>
      <c r="J12501" s="750"/>
      <c r="K12501" s="398"/>
      <c r="L12501" s="398"/>
      <c r="M12501" s="682"/>
    </row>
    <row r="12502" spans="6:13" hidden="1" x14ac:dyDescent="0.2">
      <c r="F12502" s="494">
        <v>443</v>
      </c>
      <c r="G12502" s="495" t="s">
        <v>3797</v>
      </c>
      <c r="H12502" s="397"/>
      <c r="I12502" s="397"/>
      <c r="J12502" s="750"/>
      <c r="K12502" s="398"/>
      <c r="L12502" s="398"/>
      <c r="M12502" s="682"/>
    </row>
    <row r="12503" spans="6:13" hidden="1" x14ac:dyDescent="0.2">
      <c r="F12503" s="494">
        <v>444</v>
      </c>
      <c r="G12503" s="495" t="s">
        <v>3798</v>
      </c>
      <c r="H12503" s="397"/>
      <c r="I12503" s="397"/>
      <c r="J12503" s="750"/>
      <c r="K12503" s="398"/>
      <c r="L12503" s="398"/>
      <c r="M12503" s="682"/>
    </row>
    <row r="12504" spans="6:13" ht="25.5" hidden="1" x14ac:dyDescent="0.2">
      <c r="F12504" s="494">
        <v>4511</v>
      </c>
      <c r="G12504" s="466" t="s">
        <v>1692</v>
      </c>
      <c r="H12504" s="397"/>
      <c r="I12504" s="397"/>
      <c r="J12504" s="750"/>
      <c r="K12504" s="398"/>
      <c r="L12504" s="398"/>
      <c r="M12504" s="682"/>
    </row>
    <row r="12505" spans="6:13" ht="25.5" hidden="1" x14ac:dyDescent="0.2">
      <c r="F12505" s="494">
        <v>4512</v>
      </c>
      <c r="G12505" s="466" t="s">
        <v>1701</v>
      </c>
      <c r="H12505" s="397"/>
      <c r="I12505" s="397"/>
      <c r="J12505" s="750"/>
      <c r="K12505" s="398"/>
      <c r="L12505" s="398"/>
      <c r="M12505" s="682"/>
    </row>
    <row r="12506" spans="6:13" ht="25.5" hidden="1" x14ac:dyDescent="0.2">
      <c r="F12506" s="494">
        <v>452</v>
      </c>
      <c r="G12506" s="495" t="s">
        <v>4187</v>
      </c>
      <c r="H12506" s="397"/>
      <c r="I12506" s="397"/>
      <c r="J12506" s="750"/>
      <c r="K12506" s="398"/>
      <c r="L12506" s="398"/>
      <c r="M12506" s="682"/>
    </row>
    <row r="12507" spans="6:13" ht="25.5" hidden="1" x14ac:dyDescent="0.2">
      <c r="F12507" s="494">
        <v>453</v>
      </c>
      <c r="G12507" s="495" t="s">
        <v>4188</v>
      </c>
      <c r="H12507" s="397"/>
      <c r="I12507" s="397"/>
      <c r="J12507" s="750"/>
      <c r="K12507" s="398"/>
      <c r="L12507" s="398"/>
      <c r="M12507" s="682"/>
    </row>
    <row r="12508" spans="6:13" hidden="1" x14ac:dyDescent="0.2">
      <c r="F12508" s="494">
        <v>454</v>
      </c>
      <c r="G12508" s="495" t="s">
        <v>3803</v>
      </c>
      <c r="H12508" s="397"/>
      <c r="I12508" s="397"/>
      <c r="J12508" s="750"/>
      <c r="K12508" s="398"/>
      <c r="L12508" s="398"/>
      <c r="M12508" s="682"/>
    </row>
    <row r="12509" spans="6:13" hidden="1" x14ac:dyDescent="0.2">
      <c r="F12509" s="494">
        <v>461</v>
      </c>
      <c r="G12509" s="495" t="s">
        <v>4169</v>
      </c>
      <c r="H12509" s="397"/>
      <c r="I12509" s="397"/>
      <c r="J12509" s="750"/>
      <c r="K12509" s="398"/>
      <c r="L12509" s="398"/>
      <c r="M12509" s="682"/>
    </row>
    <row r="12510" spans="6:13" ht="25.5" hidden="1" x14ac:dyDescent="0.2">
      <c r="F12510" s="494">
        <v>462</v>
      </c>
      <c r="G12510" s="495" t="s">
        <v>3806</v>
      </c>
      <c r="H12510" s="397"/>
      <c r="I12510" s="397"/>
      <c r="J12510" s="750"/>
      <c r="K12510" s="398"/>
      <c r="L12510" s="398"/>
      <c r="M12510" s="682"/>
    </row>
    <row r="12511" spans="6:13" hidden="1" x14ac:dyDescent="0.2">
      <c r="F12511" s="494">
        <v>4631</v>
      </c>
      <c r="G12511" s="495" t="s">
        <v>3807</v>
      </c>
      <c r="H12511" s="397"/>
      <c r="I12511" s="397"/>
      <c r="J12511" s="750"/>
      <c r="K12511" s="398"/>
      <c r="L12511" s="398"/>
      <c r="M12511" s="682"/>
    </row>
    <row r="12512" spans="6:13" hidden="1" x14ac:dyDescent="0.2">
      <c r="F12512" s="494">
        <v>4632</v>
      </c>
      <c r="G12512" s="495" t="s">
        <v>3808</v>
      </c>
      <c r="H12512" s="397"/>
      <c r="I12512" s="397"/>
      <c r="J12512" s="750"/>
      <c r="K12512" s="398"/>
      <c r="L12512" s="398"/>
      <c r="M12512" s="682"/>
    </row>
    <row r="12513" spans="6:13" ht="25.5" hidden="1" x14ac:dyDescent="0.2">
      <c r="F12513" s="494">
        <v>464</v>
      </c>
      <c r="G12513" s="495" t="s">
        <v>3809</v>
      </c>
      <c r="H12513" s="397"/>
      <c r="I12513" s="397"/>
      <c r="J12513" s="750"/>
      <c r="K12513" s="398"/>
      <c r="L12513" s="398"/>
      <c r="M12513" s="682"/>
    </row>
    <row r="12514" spans="6:13" hidden="1" x14ac:dyDescent="0.2">
      <c r="F12514" s="494">
        <v>465</v>
      </c>
      <c r="G12514" s="495" t="s">
        <v>4170</v>
      </c>
      <c r="H12514" s="397"/>
      <c r="I12514" s="397"/>
      <c r="J12514" s="750"/>
      <c r="K12514" s="398"/>
      <c r="L12514" s="398"/>
      <c r="M12514" s="682"/>
    </row>
    <row r="12515" spans="6:13" hidden="1" x14ac:dyDescent="0.2">
      <c r="F12515" s="494">
        <v>472</v>
      </c>
      <c r="G12515" s="495" t="s">
        <v>3813</v>
      </c>
      <c r="H12515" s="397"/>
      <c r="I12515" s="397"/>
      <c r="J12515" s="750"/>
      <c r="K12515" s="398"/>
      <c r="L12515" s="398"/>
      <c r="M12515" s="682"/>
    </row>
    <row r="12516" spans="6:13" hidden="1" x14ac:dyDescent="0.2">
      <c r="F12516" s="494">
        <v>481</v>
      </c>
      <c r="G12516" s="495" t="s">
        <v>4189</v>
      </c>
      <c r="H12516" s="397"/>
      <c r="I12516" s="397"/>
      <c r="J12516" s="750"/>
      <c r="K12516" s="398"/>
      <c r="L12516" s="398"/>
      <c r="M12516" s="682"/>
    </row>
    <row r="12517" spans="6:13" hidden="1" x14ac:dyDescent="0.2">
      <c r="F12517" s="494">
        <v>482</v>
      </c>
      <c r="G12517" s="495" t="s">
        <v>4190</v>
      </c>
      <c r="H12517" s="397"/>
      <c r="I12517" s="397"/>
      <c r="J12517" s="750"/>
      <c r="K12517" s="398"/>
      <c r="L12517" s="398"/>
      <c r="M12517" s="682"/>
    </row>
    <row r="12518" spans="6:13" hidden="1" x14ac:dyDescent="0.2">
      <c r="F12518" s="494">
        <v>483</v>
      </c>
      <c r="G12518" s="497" t="s">
        <v>4191</v>
      </c>
      <c r="H12518" s="397"/>
      <c r="I12518" s="397"/>
      <c r="J12518" s="750"/>
      <c r="K12518" s="398"/>
      <c r="L12518" s="398"/>
      <c r="M12518" s="682"/>
    </row>
    <row r="12519" spans="6:13" ht="38.25" hidden="1" x14ac:dyDescent="0.2">
      <c r="F12519" s="494">
        <v>484</v>
      </c>
      <c r="G12519" s="495" t="s">
        <v>4192</v>
      </c>
      <c r="H12519" s="397"/>
      <c r="I12519" s="397"/>
      <c r="J12519" s="750"/>
      <c r="K12519" s="398"/>
      <c r="L12519" s="398"/>
      <c r="M12519" s="682"/>
    </row>
    <row r="12520" spans="6:13" ht="25.5" hidden="1" x14ac:dyDescent="0.2">
      <c r="F12520" s="494">
        <v>485</v>
      </c>
      <c r="G12520" s="495" t="s">
        <v>4193</v>
      </c>
      <c r="H12520" s="397"/>
      <c r="I12520" s="397"/>
      <c r="J12520" s="750"/>
      <c r="K12520" s="398"/>
      <c r="L12520" s="398"/>
      <c r="M12520" s="682"/>
    </row>
    <row r="12521" spans="6:13" ht="25.5" hidden="1" x14ac:dyDescent="0.2">
      <c r="F12521" s="494">
        <v>489</v>
      </c>
      <c r="G12521" s="495" t="s">
        <v>3821</v>
      </c>
      <c r="H12521" s="397"/>
      <c r="I12521" s="397"/>
      <c r="J12521" s="750"/>
      <c r="K12521" s="398"/>
      <c r="L12521" s="398"/>
      <c r="M12521" s="682"/>
    </row>
    <row r="12522" spans="6:13" ht="25.5" hidden="1" x14ac:dyDescent="0.2">
      <c r="F12522" s="494">
        <v>494</v>
      </c>
      <c r="G12522" s="495" t="s">
        <v>4171</v>
      </c>
      <c r="H12522" s="397"/>
      <c r="I12522" s="397"/>
      <c r="J12522" s="750"/>
      <c r="K12522" s="398"/>
      <c r="L12522" s="398"/>
      <c r="M12522" s="682"/>
    </row>
    <row r="12523" spans="6:13" ht="25.5" hidden="1" x14ac:dyDescent="0.2">
      <c r="F12523" s="494">
        <v>495</v>
      </c>
      <c r="G12523" s="495" t="s">
        <v>4172</v>
      </c>
      <c r="H12523" s="397"/>
      <c r="I12523" s="397"/>
      <c r="J12523" s="750"/>
      <c r="K12523" s="398"/>
      <c r="L12523" s="398"/>
      <c r="M12523" s="682"/>
    </row>
    <row r="12524" spans="6:13" ht="38.25" hidden="1" x14ac:dyDescent="0.2">
      <c r="F12524" s="494">
        <v>496</v>
      </c>
      <c r="G12524" s="495" t="s">
        <v>4173</v>
      </c>
      <c r="H12524" s="397"/>
      <c r="I12524" s="397"/>
      <c r="J12524" s="750"/>
      <c r="K12524" s="398"/>
      <c r="L12524" s="398"/>
      <c r="M12524" s="682"/>
    </row>
    <row r="12525" spans="6:13" ht="25.5" hidden="1" x14ac:dyDescent="0.2">
      <c r="F12525" s="494">
        <v>499</v>
      </c>
      <c r="G12525" s="495" t="s">
        <v>4174</v>
      </c>
      <c r="H12525" s="397"/>
      <c r="I12525" s="397"/>
      <c r="J12525" s="750"/>
      <c r="K12525" s="398"/>
      <c r="L12525" s="398"/>
      <c r="M12525" s="682"/>
    </row>
    <row r="12526" spans="6:13" hidden="1" x14ac:dyDescent="0.2">
      <c r="F12526" s="494">
        <v>511</v>
      </c>
      <c r="G12526" s="497" t="s">
        <v>4194</v>
      </c>
      <c r="H12526" s="397"/>
      <c r="I12526" s="397"/>
      <c r="J12526" s="750"/>
      <c r="K12526" s="398"/>
      <c r="L12526" s="398"/>
      <c r="M12526" s="682"/>
    </row>
    <row r="12527" spans="6:13" hidden="1" x14ac:dyDescent="0.2">
      <c r="F12527" s="494">
        <v>512</v>
      </c>
      <c r="G12527" s="497" t="s">
        <v>4195</v>
      </c>
      <c r="H12527" s="397"/>
      <c r="I12527" s="397"/>
      <c r="J12527" s="750"/>
      <c r="K12527" s="398"/>
      <c r="L12527" s="398"/>
      <c r="M12527" s="682"/>
    </row>
    <row r="12528" spans="6:13" hidden="1" x14ac:dyDescent="0.2">
      <c r="F12528" s="494">
        <v>513</v>
      </c>
      <c r="G12528" s="497" t="s">
        <v>4196</v>
      </c>
      <c r="H12528" s="397"/>
      <c r="I12528" s="397"/>
      <c r="J12528" s="750"/>
      <c r="K12528" s="398"/>
      <c r="L12528" s="398"/>
      <c r="M12528" s="682"/>
    </row>
    <row r="12529" spans="5:13" hidden="1" x14ac:dyDescent="0.2">
      <c r="F12529" s="494">
        <v>514</v>
      </c>
      <c r="G12529" s="495" t="s">
        <v>4197</v>
      </c>
      <c r="H12529" s="397"/>
      <c r="I12529" s="397"/>
      <c r="J12529" s="750"/>
      <c r="K12529" s="398"/>
      <c r="L12529" s="398"/>
      <c r="M12529" s="682"/>
    </row>
    <row r="12530" spans="5:13" hidden="1" x14ac:dyDescent="0.2">
      <c r="F12530" s="494">
        <v>515</v>
      </c>
      <c r="G12530" s="495" t="s">
        <v>3832</v>
      </c>
      <c r="H12530" s="397"/>
      <c r="I12530" s="397"/>
      <c r="J12530" s="750"/>
      <c r="K12530" s="398"/>
      <c r="L12530" s="398"/>
      <c r="M12530" s="682"/>
    </row>
    <row r="12531" spans="5:13" hidden="1" x14ac:dyDescent="0.2">
      <c r="F12531" s="494">
        <v>521</v>
      </c>
      <c r="G12531" s="495" t="s">
        <v>4198</v>
      </c>
      <c r="H12531" s="397"/>
      <c r="I12531" s="397"/>
      <c r="J12531" s="750"/>
      <c r="K12531" s="398"/>
      <c r="L12531" s="398"/>
      <c r="M12531" s="682"/>
    </row>
    <row r="12532" spans="5:13" hidden="1" x14ac:dyDescent="0.2">
      <c r="F12532" s="494">
        <v>522</v>
      </c>
      <c r="G12532" s="495" t="s">
        <v>4199</v>
      </c>
      <c r="H12532" s="397"/>
      <c r="I12532" s="397"/>
      <c r="J12532" s="750"/>
      <c r="K12532" s="398"/>
      <c r="L12532" s="398"/>
      <c r="M12532" s="682"/>
    </row>
    <row r="12533" spans="5:13" hidden="1" x14ac:dyDescent="0.2">
      <c r="F12533" s="494">
        <v>523</v>
      </c>
      <c r="G12533" s="495" t="s">
        <v>3837</v>
      </c>
      <c r="H12533" s="397"/>
      <c r="I12533" s="397"/>
      <c r="J12533" s="750"/>
      <c r="K12533" s="398"/>
      <c r="L12533" s="398"/>
      <c r="M12533" s="682"/>
    </row>
    <row r="12534" spans="5:13" hidden="1" x14ac:dyDescent="0.2">
      <c r="F12534" s="494">
        <v>531</v>
      </c>
      <c r="G12534" s="496" t="s">
        <v>4175</v>
      </c>
      <c r="H12534" s="397"/>
      <c r="I12534" s="397"/>
      <c r="J12534" s="750"/>
      <c r="K12534" s="398"/>
      <c r="L12534" s="398"/>
      <c r="M12534" s="682"/>
    </row>
    <row r="12535" spans="5:13" hidden="1" x14ac:dyDescent="0.2">
      <c r="F12535" s="494">
        <v>541</v>
      </c>
      <c r="G12535" s="495" t="s">
        <v>4200</v>
      </c>
      <c r="H12535" s="397"/>
      <c r="I12535" s="397"/>
      <c r="J12535" s="750"/>
      <c r="K12535" s="398"/>
      <c r="L12535" s="398"/>
      <c r="M12535" s="682"/>
    </row>
    <row r="12536" spans="5:13" hidden="1" x14ac:dyDescent="0.2">
      <c r="F12536" s="494">
        <v>542</v>
      </c>
      <c r="G12536" s="495" t="s">
        <v>4201</v>
      </c>
      <c r="H12536" s="397"/>
      <c r="I12536" s="397"/>
      <c r="J12536" s="750"/>
      <c r="K12536" s="398"/>
      <c r="L12536" s="398"/>
      <c r="M12536" s="682"/>
    </row>
    <row r="12537" spans="5:13" hidden="1" x14ac:dyDescent="0.2">
      <c r="F12537" s="494">
        <v>543</v>
      </c>
      <c r="G12537" s="495" t="s">
        <v>3842</v>
      </c>
      <c r="H12537" s="397"/>
      <c r="I12537" s="397"/>
      <c r="J12537" s="750"/>
      <c r="K12537" s="398"/>
      <c r="L12537" s="398"/>
      <c r="M12537" s="682"/>
    </row>
    <row r="12538" spans="5:13" ht="38.25" hidden="1" x14ac:dyDescent="0.2">
      <c r="F12538" s="494">
        <v>551</v>
      </c>
      <c r="G12538" s="495" t="s">
        <v>4176</v>
      </c>
      <c r="H12538" s="397"/>
      <c r="I12538" s="397"/>
      <c r="J12538" s="750"/>
      <c r="K12538" s="398"/>
      <c r="L12538" s="398"/>
      <c r="M12538" s="682"/>
    </row>
    <row r="12539" spans="5:13" hidden="1" x14ac:dyDescent="0.2">
      <c r="F12539" s="498">
        <v>611</v>
      </c>
      <c r="G12539" s="499" t="s">
        <v>3848</v>
      </c>
      <c r="H12539" s="397"/>
      <c r="I12539" s="397"/>
      <c r="J12539" s="750"/>
      <c r="K12539" s="398"/>
      <c r="L12539" s="398"/>
      <c r="M12539" s="682"/>
    </row>
    <row r="12540" spans="5:13" hidden="1" x14ac:dyDescent="0.2">
      <c r="F12540" s="498">
        <v>620</v>
      </c>
      <c r="G12540" s="499" t="s">
        <v>88</v>
      </c>
      <c r="H12540" s="397"/>
      <c r="I12540" s="397"/>
      <c r="J12540" s="750"/>
      <c r="K12540" s="398"/>
      <c r="L12540" s="398"/>
      <c r="M12540" s="682"/>
    </row>
    <row r="12541" spans="5:13" hidden="1" x14ac:dyDescent="0.2">
      <c r="E12541" s="500"/>
      <c r="F12541" s="498"/>
      <c r="G12541" s="509" t="s">
        <v>4435</v>
      </c>
      <c r="H12541" s="400"/>
      <c r="I12541" s="400"/>
      <c r="J12541" s="750"/>
      <c r="K12541" s="401"/>
      <c r="L12541" s="402"/>
      <c r="M12541" s="682"/>
    </row>
    <row r="12542" spans="5:13" hidden="1" x14ac:dyDescent="0.2">
      <c r="E12542" s="502"/>
      <c r="F12542" s="503" t="s">
        <v>234</v>
      </c>
      <c r="G12542" s="504" t="s">
        <v>235</v>
      </c>
      <c r="H12542" s="403">
        <f>SUM(H12481:H12540)</f>
        <v>0</v>
      </c>
      <c r="I12542" s="403"/>
      <c r="J12542" s="750"/>
      <c r="K12542" s="404"/>
      <c r="L12542" s="404"/>
      <c r="M12542" s="682"/>
    </row>
    <row r="12543" spans="5:13" hidden="1" x14ac:dyDescent="0.2">
      <c r="F12543" s="503" t="s">
        <v>236</v>
      </c>
      <c r="G12543" s="504" t="s">
        <v>237</v>
      </c>
      <c r="H12543" s="397"/>
      <c r="I12543" s="397"/>
      <c r="J12543" s="750"/>
      <c r="K12543" s="398"/>
      <c r="L12543" s="404"/>
      <c r="M12543" s="682"/>
    </row>
    <row r="12544" spans="5:13" hidden="1" x14ac:dyDescent="0.2">
      <c r="F12544" s="503" t="s">
        <v>238</v>
      </c>
      <c r="G12544" s="504" t="s">
        <v>239</v>
      </c>
      <c r="H12544" s="397"/>
      <c r="I12544" s="397"/>
      <c r="J12544" s="750"/>
      <c r="K12544" s="398"/>
      <c r="L12544" s="404"/>
      <c r="M12544" s="682"/>
    </row>
    <row r="12545" spans="5:13" hidden="1" x14ac:dyDescent="0.2">
      <c r="F12545" s="503" t="s">
        <v>240</v>
      </c>
      <c r="G12545" s="504" t="s">
        <v>241</v>
      </c>
      <c r="H12545" s="397"/>
      <c r="I12545" s="397"/>
      <c r="J12545" s="750"/>
      <c r="K12545" s="398"/>
      <c r="L12545" s="404"/>
      <c r="M12545" s="682"/>
    </row>
    <row r="12546" spans="5:13" hidden="1" x14ac:dyDescent="0.2">
      <c r="F12546" s="503" t="s">
        <v>242</v>
      </c>
      <c r="G12546" s="504" t="s">
        <v>243</v>
      </c>
      <c r="H12546" s="397"/>
      <c r="I12546" s="397"/>
      <c r="J12546" s="750"/>
      <c r="K12546" s="398"/>
      <c r="L12546" s="404"/>
      <c r="M12546" s="682"/>
    </row>
    <row r="12547" spans="5:13" hidden="1" x14ac:dyDescent="0.2">
      <c r="F12547" s="503" t="s">
        <v>244</v>
      </c>
      <c r="G12547" s="504" t="s">
        <v>245</v>
      </c>
      <c r="H12547" s="397"/>
      <c r="I12547" s="397"/>
      <c r="J12547" s="750"/>
      <c r="K12547" s="398"/>
      <c r="L12547" s="404"/>
      <c r="M12547" s="682"/>
    </row>
    <row r="12548" spans="5:13" hidden="1" x14ac:dyDescent="0.2">
      <c r="F12548" s="503" t="s">
        <v>246</v>
      </c>
      <c r="G12548" s="504" t="s">
        <v>247</v>
      </c>
      <c r="H12548" s="397"/>
      <c r="I12548" s="397"/>
      <c r="J12548" s="750"/>
      <c r="K12548" s="398"/>
      <c r="L12548" s="404"/>
      <c r="M12548" s="682"/>
    </row>
    <row r="12549" spans="5:13" ht="25.5" hidden="1" x14ac:dyDescent="0.2">
      <c r="F12549" s="503" t="s">
        <v>248</v>
      </c>
      <c r="G12549" s="504" t="s">
        <v>249</v>
      </c>
      <c r="H12549" s="397"/>
      <c r="I12549" s="397"/>
      <c r="J12549" s="750"/>
      <c r="K12549" s="398"/>
      <c r="L12549" s="404"/>
      <c r="M12549" s="682"/>
    </row>
    <row r="12550" spans="5:13" hidden="1" x14ac:dyDescent="0.2">
      <c r="F12550" s="503" t="s">
        <v>250</v>
      </c>
      <c r="G12550" s="504" t="s">
        <v>57</v>
      </c>
      <c r="H12550" s="397"/>
      <c r="I12550" s="397"/>
      <c r="J12550" s="750"/>
      <c r="K12550" s="398"/>
      <c r="L12550" s="404"/>
      <c r="M12550" s="682"/>
    </row>
    <row r="12551" spans="5:13" hidden="1" x14ac:dyDescent="0.2">
      <c r="F12551" s="503" t="s">
        <v>251</v>
      </c>
      <c r="G12551" s="504" t="s">
        <v>252</v>
      </c>
      <c r="H12551" s="397"/>
      <c r="I12551" s="397"/>
      <c r="J12551" s="750"/>
      <c r="K12551" s="398"/>
      <c r="L12551" s="404"/>
      <c r="M12551" s="682"/>
    </row>
    <row r="12552" spans="5:13" hidden="1" x14ac:dyDescent="0.2">
      <c r="F12552" s="503" t="s">
        <v>253</v>
      </c>
      <c r="G12552" s="504" t="s">
        <v>254</v>
      </c>
      <c r="H12552" s="397"/>
      <c r="I12552" s="397"/>
      <c r="J12552" s="750"/>
      <c r="K12552" s="398"/>
      <c r="L12552" s="404"/>
      <c r="M12552" s="682"/>
    </row>
    <row r="12553" spans="5:13" ht="25.5" hidden="1" x14ac:dyDescent="0.2">
      <c r="F12553" s="503" t="s">
        <v>255</v>
      </c>
      <c r="G12553" s="504" t="s">
        <v>256</v>
      </c>
      <c r="H12553" s="397"/>
      <c r="I12553" s="397"/>
      <c r="J12553" s="750"/>
      <c r="K12553" s="398"/>
      <c r="L12553" s="404"/>
      <c r="M12553" s="682"/>
    </row>
    <row r="12554" spans="5:13" ht="25.5" hidden="1" x14ac:dyDescent="0.2">
      <c r="F12554" s="503" t="s">
        <v>257</v>
      </c>
      <c r="G12554" s="504" t="s">
        <v>258</v>
      </c>
      <c r="H12554" s="397"/>
      <c r="I12554" s="397"/>
      <c r="J12554" s="750"/>
      <c r="K12554" s="398"/>
      <c r="L12554" s="404"/>
      <c r="M12554" s="682"/>
    </row>
    <row r="12555" spans="5:13" ht="25.5" hidden="1" x14ac:dyDescent="0.2">
      <c r="F12555" s="503" t="s">
        <v>259</v>
      </c>
      <c r="G12555" s="504" t="s">
        <v>260</v>
      </c>
      <c r="H12555" s="397"/>
      <c r="I12555" s="397"/>
      <c r="J12555" s="750"/>
      <c r="K12555" s="398"/>
      <c r="L12555" s="404"/>
      <c r="M12555" s="682"/>
    </row>
    <row r="12556" spans="5:13" ht="25.5" hidden="1" x14ac:dyDescent="0.2">
      <c r="F12556" s="503" t="s">
        <v>261</v>
      </c>
      <c r="G12556" s="504" t="s">
        <v>262</v>
      </c>
      <c r="H12556" s="397"/>
      <c r="I12556" s="397"/>
      <c r="J12556" s="750"/>
      <c r="K12556" s="398"/>
      <c r="L12556" s="404"/>
      <c r="M12556" s="682"/>
    </row>
    <row r="12557" spans="5:13" hidden="1" x14ac:dyDescent="0.2">
      <c r="F12557" s="503" t="s">
        <v>263</v>
      </c>
      <c r="G12557" s="504" t="s">
        <v>264</v>
      </c>
      <c r="H12557" s="403"/>
      <c r="I12557" s="403"/>
      <c r="J12557" s="750"/>
      <c r="K12557" s="404"/>
      <c r="L12557" s="404"/>
      <c r="M12557" s="682"/>
    </row>
    <row r="12558" spans="5:13" ht="13.5" hidden="1" thickBot="1" x14ac:dyDescent="0.25">
      <c r="G12558" s="505" t="s">
        <v>4436</v>
      </c>
      <c r="H12558" s="405">
        <f>SUM(H12542:H12557)</f>
        <v>0</v>
      </c>
      <c r="I12558" s="405"/>
      <c r="J12558" s="750"/>
      <c r="K12558" s="406">
        <f>SUM(K12543:K12557)</f>
        <v>0</v>
      </c>
      <c r="L12558" s="406"/>
      <c r="M12558" s="682"/>
    </row>
    <row r="12559" spans="5:13" hidden="1" collapsed="1" x14ac:dyDescent="0.2">
      <c r="E12559" s="500"/>
      <c r="F12559" s="498"/>
      <c r="G12559" s="506" t="s">
        <v>5028</v>
      </c>
      <c r="H12559" s="407"/>
      <c r="I12559" s="408"/>
      <c r="J12559" s="750"/>
      <c r="K12559" s="409"/>
      <c r="L12559" s="410"/>
      <c r="M12559" s="682"/>
    </row>
    <row r="12560" spans="5:13" hidden="1" x14ac:dyDescent="0.2">
      <c r="E12560" s="502"/>
      <c r="F12560" s="503" t="s">
        <v>234</v>
      </c>
      <c r="G12560" s="504" t="s">
        <v>235</v>
      </c>
      <c r="H12560" s="403">
        <f>SUM(H12481:H12540)</f>
        <v>0</v>
      </c>
      <c r="I12560" s="403"/>
      <c r="J12560" s="750"/>
      <c r="K12560" s="404"/>
      <c r="L12560" s="404"/>
      <c r="M12560" s="682"/>
    </row>
    <row r="12561" spans="6:13" hidden="1" x14ac:dyDescent="0.2">
      <c r="F12561" s="503" t="s">
        <v>236</v>
      </c>
      <c r="G12561" s="504" t="s">
        <v>237</v>
      </c>
      <c r="H12561" s="397"/>
      <c r="I12561" s="397"/>
      <c r="J12561" s="750"/>
      <c r="K12561" s="398"/>
      <c r="L12561" s="404"/>
      <c r="M12561" s="682"/>
    </row>
    <row r="12562" spans="6:13" hidden="1" x14ac:dyDescent="0.2">
      <c r="F12562" s="503" t="s">
        <v>238</v>
      </c>
      <c r="G12562" s="504" t="s">
        <v>239</v>
      </c>
      <c r="H12562" s="397"/>
      <c r="I12562" s="397"/>
      <c r="J12562" s="750"/>
      <c r="K12562" s="398"/>
      <c r="L12562" s="404"/>
      <c r="M12562" s="682"/>
    </row>
    <row r="12563" spans="6:13" hidden="1" x14ac:dyDescent="0.2">
      <c r="F12563" s="503" t="s">
        <v>240</v>
      </c>
      <c r="G12563" s="504" t="s">
        <v>241</v>
      </c>
      <c r="H12563" s="397"/>
      <c r="I12563" s="397"/>
      <c r="J12563" s="750"/>
      <c r="K12563" s="398"/>
      <c r="L12563" s="404"/>
      <c r="M12563" s="682"/>
    </row>
    <row r="12564" spans="6:13" hidden="1" x14ac:dyDescent="0.2">
      <c r="F12564" s="503" t="s">
        <v>242</v>
      </c>
      <c r="G12564" s="504" t="s">
        <v>243</v>
      </c>
      <c r="H12564" s="397"/>
      <c r="I12564" s="397"/>
      <c r="J12564" s="750"/>
      <c r="K12564" s="398"/>
      <c r="L12564" s="404"/>
      <c r="M12564" s="682"/>
    </row>
    <row r="12565" spans="6:13" hidden="1" x14ac:dyDescent="0.2">
      <c r="F12565" s="503" t="s">
        <v>244</v>
      </c>
      <c r="G12565" s="504" t="s">
        <v>245</v>
      </c>
      <c r="H12565" s="397"/>
      <c r="I12565" s="397"/>
      <c r="J12565" s="750"/>
      <c r="K12565" s="398"/>
      <c r="L12565" s="404"/>
      <c r="M12565" s="682"/>
    </row>
    <row r="12566" spans="6:13" hidden="1" x14ac:dyDescent="0.2">
      <c r="F12566" s="503" t="s">
        <v>246</v>
      </c>
      <c r="G12566" s="504" t="s">
        <v>247</v>
      </c>
      <c r="H12566" s="397"/>
      <c r="I12566" s="397"/>
      <c r="J12566" s="750"/>
      <c r="K12566" s="398"/>
      <c r="L12566" s="404"/>
      <c r="M12566" s="682"/>
    </row>
    <row r="12567" spans="6:13" ht="25.5" hidden="1" x14ac:dyDescent="0.2">
      <c r="F12567" s="503" t="s">
        <v>248</v>
      </c>
      <c r="G12567" s="504" t="s">
        <v>249</v>
      </c>
      <c r="H12567" s="397"/>
      <c r="I12567" s="397"/>
      <c r="J12567" s="750"/>
      <c r="K12567" s="398"/>
      <c r="L12567" s="404"/>
      <c r="M12567" s="682"/>
    </row>
    <row r="12568" spans="6:13" hidden="1" x14ac:dyDescent="0.2">
      <c r="F12568" s="503" t="s">
        <v>250</v>
      </c>
      <c r="G12568" s="504" t="s">
        <v>57</v>
      </c>
      <c r="H12568" s="397"/>
      <c r="I12568" s="397"/>
      <c r="J12568" s="750"/>
      <c r="K12568" s="398"/>
      <c r="L12568" s="404"/>
      <c r="M12568" s="682"/>
    </row>
    <row r="12569" spans="6:13" hidden="1" x14ac:dyDescent="0.2">
      <c r="F12569" s="503" t="s">
        <v>251</v>
      </c>
      <c r="G12569" s="504" t="s">
        <v>252</v>
      </c>
      <c r="H12569" s="397"/>
      <c r="I12569" s="397"/>
      <c r="J12569" s="750"/>
      <c r="K12569" s="398"/>
      <c r="L12569" s="404"/>
      <c r="M12569" s="682"/>
    </row>
    <row r="12570" spans="6:13" hidden="1" x14ac:dyDescent="0.2">
      <c r="F12570" s="503" t="s">
        <v>253</v>
      </c>
      <c r="G12570" s="504" t="s">
        <v>254</v>
      </c>
      <c r="H12570" s="397"/>
      <c r="I12570" s="397"/>
      <c r="J12570" s="750"/>
      <c r="K12570" s="398"/>
      <c r="L12570" s="404"/>
      <c r="M12570" s="682"/>
    </row>
    <row r="12571" spans="6:13" ht="25.5" hidden="1" x14ac:dyDescent="0.2">
      <c r="F12571" s="503" t="s">
        <v>255</v>
      </c>
      <c r="G12571" s="504" t="s">
        <v>256</v>
      </c>
      <c r="H12571" s="397"/>
      <c r="I12571" s="397"/>
      <c r="J12571" s="750"/>
      <c r="K12571" s="398"/>
      <c r="L12571" s="404"/>
      <c r="M12571" s="682"/>
    </row>
    <row r="12572" spans="6:13" ht="25.5" hidden="1" x14ac:dyDescent="0.2">
      <c r="F12572" s="503" t="s">
        <v>257</v>
      </c>
      <c r="G12572" s="504" t="s">
        <v>258</v>
      </c>
      <c r="H12572" s="397"/>
      <c r="I12572" s="397"/>
      <c r="J12572" s="750"/>
      <c r="K12572" s="398"/>
      <c r="L12572" s="404"/>
      <c r="M12572" s="682"/>
    </row>
    <row r="12573" spans="6:13" ht="25.5" hidden="1" x14ac:dyDescent="0.2">
      <c r="F12573" s="503" t="s">
        <v>259</v>
      </c>
      <c r="G12573" s="504" t="s">
        <v>260</v>
      </c>
      <c r="H12573" s="397"/>
      <c r="I12573" s="397"/>
      <c r="J12573" s="750"/>
      <c r="K12573" s="398"/>
      <c r="L12573" s="404"/>
      <c r="M12573" s="682"/>
    </row>
    <row r="12574" spans="6:13" ht="25.5" hidden="1" x14ac:dyDescent="0.2">
      <c r="F12574" s="503" t="s">
        <v>261</v>
      </c>
      <c r="G12574" s="504" t="s">
        <v>262</v>
      </c>
      <c r="H12574" s="397"/>
      <c r="I12574" s="397"/>
      <c r="J12574" s="750"/>
      <c r="K12574" s="398"/>
      <c r="L12574" s="404"/>
      <c r="M12574" s="682"/>
    </row>
    <row r="12575" spans="6:13" hidden="1" x14ac:dyDescent="0.2">
      <c r="F12575" s="503" t="s">
        <v>263</v>
      </c>
      <c r="G12575" s="504" t="s">
        <v>264</v>
      </c>
      <c r="H12575" s="403"/>
      <c r="I12575" s="403"/>
      <c r="J12575" s="750"/>
      <c r="K12575" s="404"/>
      <c r="L12575" s="404"/>
      <c r="M12575" s="682"/>
    </row>
    <row r="12576" spans="6:13" ht="13.5" hidden="1" thickBot="1" x14ac:dyDescent="0.25">
      <c r="G12576" s="505" t="s">
        <v>5013</v>
      </c>
      <c r="H12576" s="405">
        <f>SUM(H12560:H12575)</f>
        <v>0</v>
      </c>
      <c r="I12576" s="405"/>
      <c r="J12576" s="750"/>
      <c r="K12576" s="406">
        <f>SUM(K12561:K12575)</f>
        <v>0</v>
      </c>
      <c r="L12576" s="406"/>
      <c r="M12576" s="682"/>
    </row>
    <row r="12577" spans="5:13" hidden="1" x14ac:dyDescent="0.2">
      <c r="H12577" s="397"/>
      <c r="I12577" s="397"/>
      <c r="J12577" s="750"/>
      <c r="K12577" s="398"/>
      <c r="L12577" s="398"/>
      <c r="M12577" s="682"/>
    </row>
    <row r="12578" spans="5:13" hidden="1" x14ac:dyDescent="0.2">
      <c r="E12578" s="500"/>
      <c r="F12578" s="498"/>
      <c r="G12578" s="511" t="s">
        <v>4323</v>
      </c>
      <c r="H12578" s="413"/>
      <c r="I12578" s="413"/>
      <c r="J12578" s="750"/>
      <c r="K12578" s="414"/>
      <c r="L12578" s="415"/>
      <c r="M12578" s="682"/>
    </row>
    <row r="12579" spans="5:13" hidden="1" x14ac:dyDescent="0.2">
      <c r="E12579" s="502"/>
      <c r="F12579" s="503" t="s">
        <v>234</v>
      </c>
      <c r="G12579" s="504" t="s">
        <v>235</v>
      </c>
      <c r="H12579" s="403">
        <f>SUM(H12560,H12461)</f>
        <v>0</v>
      </c>
      <c r="I12579" s="403"/>
      <c r="J12579" s="750"/>
      <c r="K12579" s="404"/>
      <c r="L12579" s="404"/>
      <c r="M12579" s="682"/>
    </row>
    <row r="12580" spans="5:13" hidden="1" x14ac:dyDescent="0.2">
      <c r="F12580" s="503" t="s">
        <v>236</v>
      </c>
      <c r="G12580" s="504" t="s">
        <v>237</v>
      </c>
      <c r="H12580" s="397"/>
      <c r="I12580" s="397"/>
      <c r="J12580" s="750"/>
      <c r="K12580" s="398"/>
      <c r="L12580" s="404"/>
      <c r="M12580" s="682"/>
    </row>
    <row r="12581" spans="5:13" hidden="1" x14ac:dyDescent="0.2">
      <c r="F12581" s="503" t="s">
        <v>238</v>
      </c>
      <c r="G12581" s="504" t="s">
        <v>239</v>
      </c>
      <c r="H12581" s="397"/>
      <c r="I12581" s="397"/>
      <c r="J12581" s="750"/>
      <c r="K12581" s="398"/>
      <c r="L12581" s="404"/>
      <c r="M12581" s="682"/>
    </row>
    <row r="12582" spans="5:13" hidden="1" x14ac:dyDescent="0.2">
      <c r="F12582" s="503" t="s">
        <v>240</v>
      </c>
      <c r="G12582" s="504" t="s">
        <v>241</v>
      </c>
      <c r="H12582" s="397"/>
      <c r="I12582" s="397"/>
      <c r="J12582" s="750"/>
      <c r="K12582" s="398"/>
      <c r="L12582" s="404"/>
      <c r="M12582" s="682"/>
    </row>
    <row r="12583" spans="5:13" hidden="1" x14ac:dyDescent="0.2">
      <c r="F12583" s="503" t="s">
        <v>242</v>
      </c>
      <c r="G12583" s="504" t="s">
        <v>243</v>
      </c>
      <c r="H12583" s="397"/>
      <c r="I12583" s="397"/>
      <c r="J12583" s="750"/>
      <c r="K12583" s="398"/>
      <c r="L12583" s="404"/>
      <c r="M12583" s="682"/>
    </row>
    <row r="12584" spans="5:13" hidden="1" x14ac:dyDescent="0.2">
      <c r="F12584" s="503" t="s">
        <v>244</v>
      </c>
      <c r="G12584" s="504" t="s">
        <v>245</v>
      </c>
      <c r="H12584" s="397"/>
      <c r="I12584" s="397"/>
      <c r="J12584" s="750"/>
      <c r="K12584" s="398"/>
      <c r="L12584" s="404"/>
      <c r="M12584" s="682"/>
    </row>
    <row r="12585" spans="5:13" hidden="1" x14ac:dyDescent="0.2">
      <c r="F12585" s="503" t="s">
        <v>246</v>
      </c>
      <c r="G12585" s="504" t="s">
        <v>247</v>
      </c>
      <c r="H12585" s="397"/>
      <c r="I12585" s="397"/>
      <c r="J12585" s="750"/>
      <c r="K12585" s="398"/>
      <c r="L12585" s="404"/>
      <c r="M12585" s="682"/>
    </row>
    <row r="12586" spans="5:13" ht="25.5" hidden="1" x14ac:dyDescent="0.2">
      <c r="F12586" s="503" t="s">
        <v>248</v>
      </c>
      <c r="G12586" s="504" t="s">
        <v>249</v>
      </c>
      <c r="H12586" s="397"/>
      <c r="I12586" s="397"/>
      <c r="J12586" s="750"/>
      <c r="K12586" s="398"/>
      <c r="L12586" s="404"/>
      <c r="M12586" s="682"/>
    </row>
    <row r="12587" spans="5:13" hidden="1" x14ac:dyDescent="0.2">
      <c r="F12587" s="503" t="s">
        <v>250</v>
      </c>
      <c r="G12587" s="504" t="s">
        <v>57</v>
      </c>
      <c r="H12587" s="397"/>
      <c r="I12587" s="397"/>
      <c r="J12587" s="750"/>
      <c r="K12587" s="398"/>
      <c r="L12587" s="404"/>
      <c r="M12587" s="682"/>
    </row>
    <row r="12588" spans="5:13" hidden="1" x14ac:dyDescent="0.2">
      <c r="F12588" s="503" t="s">
        <v>251</v>
      </c>
      <c r="G12588" s="504" t="s">
        <v>252</v>
      </c>
      <c r="H12588" s="397"/>
      <c r="I12588" s="397"/>
      <c r="J12588" s="750"/>
      <c r="K12588" s="398"/>
      <c r="L12588" s="404"/>
      <c r="M12588" s="682"/>
    </row>
    <row r="12589" spans="5:13" hidden="1" x14ac:dyDescent="0.2">
      <c r="F12589" s="503" t="s">
        <v>253</v>
      </c>
      <c r="G12589" s="504" t="s">
        <v>254</v>
      </c>
      <c r="H12589" s="397"/>
      <c r="I12589" s="397"/>
      <c r="J12589" s="750"/>
      <c r="K12589" s="398"/>
      <c r="L12589" s="404"/>
      <c r="M12589" s="682"/>
    </row>
    <row r="12590" spans="5:13" ht="25.5" hidden="1" x14ac:dyDescent="0.2">
      <c r="F12590" s="503" t="s">
        <v>255</v>
      </c>
      <c r="G12590" s="504" t="s">
        <v>256</v>
      </c>
      <c r="H12590" s="397"/>
      <c r="I12590" s="397"/>
      <c r="J12590" s="750"/>
      <c r="K12590" s="398"/>
      <c r="L12590" s="404"/>
      <c r="M12590" s="682"/>
    </row>
    <row r="12591" spans="5:13" ht="25.5" hidden="1" x14ac:dyDescent="0.2">
      <c r="F12591" s="503" t="s">
        <v>257</v>
      </c>
      <c r="G12591" s="504" t="s">
        <v>258</v>
      </c>
      <c r="H12591" s="397"/>
      <c r="I12591" s="397"/>
      <c r="J12591" s="750"/>
      <c r="K12591" s="398"/>
      <c r="L12591" s="404"/>
      <c r="M12591" s="682"/>
    </row>
    <row r="12592" spans="5:13" ht="25.5" hidden="1" x14ac:dyDescent="0.2">
      <c r="F12592" s="503" t="s">
        <v>259</v>
      </c>
      <c r="G12592" s="504" t="s">
        <v>260</v>
      </c>
      <c r="H12592" s="397"/>
      <c r="I12592" s="397"/>
      <c r="J12592" s="750"/>
      <c r="K12592" s="398"/>
      <c r="L12592" s="404"/>
      <c r="M12592" s="682"/>
    </row>
    <row r="12593" spans="5:13" ht="25.5" hidden="1" x14ac:dyDescent="0.2">
      <c r="F12593" s="503" t="s">
        <v>261</v>
      </c>
      <c r="G12593" s="504" t="s">
        <v>262</v>
      </c>
      <c r="H12593" s="397"/>
      <c r="I12593" s="397"/>
      <c r="J12593" s="750"/>
      <c r="K12593" s="398"/>
      <c r="L12593" s="404"/>
      <c r="M12593" s="682"/>
    </row>
    <row r="12594" spans="5:13" hidden="1" x14ac:dyDescent="0.2">
      <c r="F12594" s="503" t="s">
        <v>263</v>
      </c>
      <c r="G12594" s="504" t="s">
        <v>264</v>
      </c>
      <c r="H12594" s="403"/>
      <c r="I12594" s="403"/>
      <c r="J12594" s="750"/>
      <c r="K12594" s="404"/>
      <c r="L12594" s="404"/>
      <c r="M12594" s="682"/>
    </row>
    <row r="12595" spans="5:13" ht="13.5" hidden="1" thickBot="1" x14ac:dyDescent="0.25">
      <c r="G12595" s="505" t="s">
        <v>4324</v>
      </c>
      <c r="H12595" s="405">
        <f>SUM(H12579:H12594)</f>
        <v>0</v>
      </c>
      <c r="I12595" s="405"/>
      <c r="J12595" s="750"/>
      <c r="K12595" s="406">
        <f>SUM(K12580:K12594)</f>
        <v>0</v>
      </c>
      <c r="L12595" s="406"/>
      <c r="M12595" s="682"/>
    </row>
    <row r="12596" spans="5:13" hidden="1" x14ac:dyDescent="0.2">
      <c r="H12596" s="397"/>
      <c r="I12596" s="397"/>
      <c r="J12596" s="750"/>
      <c r="K12596" s="398"/>
      <c r="L12596" s="398"/>
      <c r="M12596" s="682"/>
    </row>
    <row r="12597" spans="5:13" hidden="1" x14ac:dyDescent="0.2">
      <c r="E12597" s="500"/>
      <c r="F12597" s="498"/>
      <c r="G12597" s="511" t="s">
        <v>5054</v>
      </c>
      <c r="H12597" s="413"/>
      <c r="I12597" s="413"/>
      <c r="J12597" s="750"/>
      <c r="K12597" s="414"/>
      <c r="L12597" s="415"/>
      <c r="M12597" s="682"/>
    </row>
    <row r="12598" spans="5:13" hidden="1" x14ac:dyDescent="0.2">
      <c r="E12598" s="502"/>
      <c r="F12598" s="503" t="s">
        <v>234</v>
      </c>
      <c r="G12598" s="504" t="s">
        <v>235</v>
      </c>
      <c r="H12598" s="403">
        <f>SUM(H12579)</f>
        <v>0</v>
      </c>
      <c r="I12598" s="403"/>
      <c r="J12598" s="750"/>
      <c r="K12598" s="404"/>
      <c r="L12598" s="404"/>
      <c r="M12598" s="682"/>
    </row>
    <row r="12599" spans="5:13" hidden="1" x14ac:dyDescent="0.2">
      <c r="F12599" s="503" t="s">
        <v>236</v>
      </c>
      <c r="G12599" s="504" t="s">
        <v>237</v>
      </c>
      <c r="H12599" s="397"/>
      <c r="I12599" s="397"/>
      <c r="J12599" s="750"/>
      <c r="K12599" s="398"/>
      <c r="L12599" s="404"/>
      <c r="M12599" s="682"/>
    </row>
    <row r="12600" spans="5:13" hidden="1" x14ac:dyDescent="0.2">
      <c r="F12600" s="503" t="s">
        <v>238</v>
      </c>
      <c r="G12600" s="504" t="s">
        <v>239</v>
      </c>
      <c r="H12600" s="397"/>
      <c r="I12600" s="397"/>
      <c r="J12600" s="750"/>
      <c r="K12600" s="398"/>
      <c r="L12600" s="404"/>
      <c r="M12600" s="682"/>
    </row>
    <row r="12601" spans="5:13" hidden="1" x14ac:dyDescent="0.2">
      <c r="F12601" s="503" t="s">
        <v>240</v>
      </c>
      <c r="G12601" s="504" t="s">
        <v>241</v>
      </c>
      <c r="H12601" s="397"/>
      <c r="I12601" s="397"/>
      <c r="J12601" s="750"/>
      <c r="K12601" s="398"/>
      <c r="L12601" s="404"/>
      <c r="M12601" s="682"/>
    </row>
    <row r="12602" spans="5:13" hidden="1" x14ac:dyDescent="0.2">
      <c r="F12602" s="503" t="s">
        <v>242</v>
      </c>
      <c r="G12602" s="504" t="s">
        <v>243</v>
      </c>
      <c r="H12602" s="397"/>
      <c r="I12602" s="397"/>
      <c r="J12602" s="750"/>
      <c r="K12602" s="398"/>
      <c r="L12602" s="404"/>
      <c r="M12602" s="682"/>
    </row>
    <row r="12603" spans="5:13" hidden="1" x14ac:dyDescent="0.2">
      <c r="F12603" s="503" t="s">
        <v>244</v>
      </c>
      <c r="G12603" s="504" t="s">
        <v>245</v>
      </c>
      <c r="H12603" s="397"/>
      <c r="I12603" s="397"/>
      <c r="J12603" s="750"/>
      <c r="K12603" s="398"/>
      <c r="L12603" s="404"/>
      <c r="M12603" s="682"/>
    </row>
    <row r="12604" spans="5:13" hidden="1" x14ac:dyDescent="0.2">
      <c r="F12604" s="503" t="s">
        <v>246</v>
      </c>
      <c r="G12604" s="504" t="s">
        <v>247</v>
      </c>
      <c r="H12604" s="397"/>
      <c r="I12604" s="397"/>
      <c r="J12604" s="750"/>
      <c r="K12604" s="398"/>
      <c r="L12604" s="404"/>
      <c r="M12604" s="682"/>
    </row>
    <row r="12605" spans="5:13" ht="25.5" hidden="1" x14ac:dyDescent="0.2">
      <c r="F12605" s="503" t="s">
        <v>248</v>
      </c>
      <c r="G12605" s="504" t="s">
        <v>249</v>
      </c>
      <c r="H12605" s="397"/>
      <c r="I12605" s="397"/>
      <c r="J12605" s="750"/>
      <c r="K12605" s="398"/>
      <c r="L12605" s="404"/>
      <c r="M12605" s="682"/>
    </row>
    <row r="12606" spans="5:13" hidden="1" x14ac:dyDescent="0.2">
      <c r="F12606" s="503" t="s">
        <v>250</v>
      </c>
      <c r="G12606" s="504" t="s">
        <v>57</v>
      </c>
      <c r="H12606" s="397"/>
      <c r="I12606" s="397"/>
      <c r="J12606" s="750"/>
      <c r="K12606" s="398"/>
      <c r="L12606" s="404"/>
      <c r="M12606" s="682"/>
    </row>
    <row r="12607" spans="5:13" hidden="1" x14ac:dyDescent="0.2">
      <c r="F12607" s="503" t="s">
        <v>251</v>
      </c>
      <c r="G12607" s="504" t="s">
        <v>252</v>
      </c>
      <c r="H12607" s="397"/>
      <c r="I12607" s="397"/>
      <c r="J12607" s="750"/>
      <c r="K12607" s="398"/>
      <c r="L12607" s="404"/>
      <c r="M12607" s="682"/>
    </row>
    <row r="12608" spans="5:13" hidden="1" x14ac:dyDescent="0.2">
      <c r="F12608" s="503" t="s">
        <v>253</v>
      </c>
      <c r="G12608" s="504" t="s">
        <v>254</v>
      </c>
      <c r="H12608" s="397"/>
      <c r="I12608" s="397"/>
      <c r="J12608" s="750"/>
      <c r="K12608" s="398"/>
      <c r="L12608" s="404"/>
      <c r="M12608" s="682"/>
    </row>
    <row r="12609" spans="1:13" ht="25.5" hidden="1" x14ac:dyDescent="0.2">
      <c r="F12609" s="503" t="s">
        <v>255</v>
      </c>
      <c r="G12609" s="504" t="s">
        <v>256</v>
      </c>
      <c r="H12609" s="397"/>
      <c r="I12609" s="397"/>
      <c r="J12609" s="750"/>
      <c r="K12609" s="398"/>
      <c r="L12609" s="404"/>
      <c r="M12609" s="682"/>
    </row>
    <row r="12610" spans="1:13" ht="25.5" hidden="1" x14ac:dyDescent="0.2">
      <c r="F12610" s="503" t="s">
        <v>257</v>
      </c>
      <c r="G12610" s="504" t="s">
        <v>258</v>
      </c>
      <c r="H12610" s="397"/>
      <c r="I12610" s="397"/>
      <c r="J12610" s="750"/>
      <c r="K12610" s="398"/>
      <c r="L12610" s="404"/>
      <c r="M12610" s="682"/>
    </row>
    <row r="12611" spans="1:13" ht="25.5" hidden="1" x14ac:dyDescent="0.2">
      <c r="F12611" s="503" t="s">
        <v>259</v>
      </c>
      <c r="G12611" s="504" t="s">
        <v>260</v>
      </c>
      <c r="H12611" s="397"/>
      <c r="I12611" s="397"/>
      <c r="J12611" s="750"/>
      <c r="K12611" s="398"/>
      <c r="L12611" s="404"/>
      <c r="M12611" s="682"/>
    </row>
    <row r="12612" spans="1:13" ht="25.5" hidden="1" x14ac:dyDescent="0.2">
      <c r="F12612" s="503" t="s">
        <v>261</v>
      </c>
      <c r="G12612" s="504" t="s">
        <v>262</v>
      </c>
      <c r="H12612" s="397"/>
      <c r="I12612" s="397"/>
      <c r="J12612" s="750"/>
      <c r="K12612" s="398"/>
      <c r="L12612" s="404"/>
      <c r="M12612" s="682"/>
    </row>
    <row r="12613" spans="1:13" hidden="1" x14ac:dyDescent="0.2">
      <c r="F12613" s="503" t="s">
        <v>263</v>
      </c>
      <c r="G12613" s="504" t="s">
        <v>264</v>
      </c>
      <c r="H12613" s="403"/>
      <c r="I12613" s="403"/>
      <c r="J12613" s="750"/>
      <c r="K12613" s="404"/>
      <c r="L12613" s="404"/>
      <c r="M12613" s="682"/>
    </row>
    <row r="12614" spans="1:13" ht="13.5" hidden="1" thickBot="1" x14ac:dyDescent="0.25">
      <c r="G12614" s="505" t="s">
        <v>5055</v>
      </c>
      <c r="H12614" s="405">
        <f>SUM(H12598:H12613)</f>
        <v>0</v>
      </c>
      <c r="I12614" s="405"/>
      <c r="J12614" s="750"/>
      <c r="K12614" s="406">
        <f>SUM(K12599:K12613)</f>
        <v>0</v>
      </c>
      <c r="L12614" s="406"/>
      <c r="M12614" s="682"/>
    </row>
    <row r="12615" spans="1:13" hidden="1" x14ac:dyDescent="0.2">
      <c r="H12615" s="397"/>
      <c r="I12615" s="397"/>
      <c r="J12615" s="750"/>
      <c r="K12615" s="398"/>
      <c r="L12615" s="398"/>
      <c r="M12615" s="682"/>
    </row>
    <row r="12616" spans="1:13" hidden="1" x14ac:dyDescent="0.2">
      <c r="A12616" s="646">
        <v>4</v>
      </c>
      <c r="B12616" s="647" t="s">
        <v>4338</v>
      </c>
      <c r="C12616" s="646"/>
      <c r="D12616" s="185"/>
      <c r="E12616" s="185"/>
      <c r="F12616" s="185"/>
      <c r="G12616" s="648" t="s">
        <v>4319</v>
      </c>
      <c r="H12616" s="450"/>
      <c r="I12616" s="450"/>
      <c r="J12616" s="750"/>
      <c r="K12616" s="451"/>
      <c r="L12616" s="452"/>
      <c r="M12616" s="682"/>
    </row>
    <row r="12617" spans="1:13" ht="16.5" hidden="1" customHeight="1" x14ac:dyDescent="0.2">
      <c r="C12617" s="489" t="s">
        <v>3594</v>
      </c>
      <c r="G12617" s="513" t="s">
        <v>4315</v>
      </c>
      <c r="H12617" s="397"/>
      <c r="I12617" s="397"/>
      <c r="J12617" s="750"/>
      <c r="K12617" s="398"/>
      <c r="L12617" s="398"/>
      <c r="M12617" s="682"/>
    </row>
    <row r="12618" spans="1:13" hidden="1" x14ac:dyDescent="0.2">
      <c r="C12618" s="489" t="s">
        <v>4125</v>
      </c>
      <c r="D12618" s="490"/>
      <c r="G12618" s="513" t="s">
        <v>4316</v>
      </c>
      <c r="H12618" s="397"/>
      <c r="I12618" s="397"/>
      <c r="J12618" s="750"/>
      <c r="K12618" s="398"/>
      <c r="L12618" s="398"/>
      <c r="M12618" s="682"/>
    </row>
    <row r="12619" spans="1:13" hidden="1" x14ac:dyDescent="0.2">
      <c r="C12619" s="489"/>
      <c r="D12619" s="492">
        <v>820</v>
      </c>
      <c r="E12619" s="492"/>
      <c r="F12619" s="492"/>
      <c r="G12619" s="493" t="s">
        <v>207</v>
      </c>
      <c r="H12619" s="397"/>
      <c r="I12619" s="397"/>
      <c r="J12619" s="750"/>
      <c r="K12619" s="398"/>
      <c r="L12619" s="398"/>
      <c r="M12619" s="682"/>
    </row>
    <row r="12620" spans="1:13" hidden="1" x14ac:dyDescent="0.2">
      <c r="F12620" s="494">
        <v>411</v>
      </c>
      <c r="G12620" s="495" t="s">
        <v>4167</v>
      </c>
      <c r="H12620" s="397"/>
      <c r="I12620" s="397"/>
      <c r="J12620" s="750"/>
      <c r="K12620" s="398"/>
      <c r="L12620" s="398"/>
      <c r="M12620" s="682"/>
    </row>
    <row r="12621" spans="1:13" hidden="1" x14ac:dyDescent="0.2">
      <c r="F12621" s="494">
        <v>412</v>
      </c>
      <c r="G12621" s="496" t="s">
        <v>3764</v>
      </c>
      <c r="H12621" s="397"/>
      <c r="I12621" s="397"/>
      <c r="J12621" s="750"/>
      <c r="K12621" s="398"/>
      <c r="L12621" s="398"/>
      <c r="M12621" s="682"/>
    </row>
    <row r="12622" spans="1:13" hidden="1" x14ac:dyDescent="0.2">
      <c r="F12622" s="494">
        <v>413</v>
      </c>
      <c r="G12622" s="495" t="s">
        <v>4168</v>
      </c>
      <c r="H12622" s="397"/>
      <c r="I12622" s="397"/>
      <c r="J12622" s="750"/>
      <c r="K12622" s="398"/>
      <c r="L12622" s="398"/>
      <c r="M12622" s="682"/>
    </row>
    <row r="12623" spans="1:13" hidden="1" x14ac:dyDescent="0.2">
      <c r="F12623" s="494">
        <v>414</v>
      </c>
      <c r="G12623" s="495" t="s">
        <v>3767</v>
      </c>
      <c r="H12623" s="397"/>
      <c r="I12623" s="397"/>
      <c r="J12623" s="750"/>
      <c r="K12623" s="398"/>
      <c r="L12623" s="398"/>
      <c r="M12623" s="682"/>
    </row>
    <row r="12624" spans="1:13" hidden="1" x14ac:dyDescent="0.2">
      <c r="F12624" s="494">
        <v>415</v>
      </c>
      <c r="G12624" s="495" t="s">
        <v>4177</v>
      </c>
      <c r="H12624" s="397"/>
      <c r="I12624" s="397"/>
      <c r="J12624" s="750"/>
      <c r="K12624" s="398"/>
      <c r="L12624" s="398"/>
      <c r="M12624" s="682"/>
    </row>
    <row r="12625" spans="6:13" ht="25.5" hidden="1" x14ac:dyDescent="0.2">
      <c r="F12625" s="494">
        <v>416</v>
      </c>
      <c r="G12625" s="495" t="s">
        <v>4178</v>
      </c>
      <c r="H12625" s="397"/>
      <c r="I12625" s="397"/>
      <c r="J12625" s="750"/>
      <c r="K12625" s="398"/>
      <c r="L12625" s="398"/>
      <c r="M12625" s="682"/>
    </row>
    <row r="12626" spans="6:13" hidden="1" x14ac:dyDescent="0.2">
      <c r="F12626" s="494">
        <v>417</v>
      </c>
      <c r="G12626" s="495" t="s">
        <v>4179</v>
      </c>
      <c r="H12626" s="397"/>
      <c r="I12626" s="397"/>
      <c r="J12626" s="750"/>
      <c r="K12626" s="398"/>
      <c r="L12626" s="398"/>
      <c r="M12626" s="682"/>
    </row>
    <row r="12627" spans="6:13" hidden="1" x14ac:dyDescent="0.2">
      <c r="F12627" s="494">
        <v>418</v>
      </c>
      <c r="G12627" s="495" t="s">
        <v>3773</v>
      </c>
      <c r="H12627" s="397"/>
      <c r="I12627" s="397"/>
      <c r="J12627" s="750"/>
      <c r="K12627" s="398"/>
      <c r="L12627" s="398"/>
      <c r="M12627" s="682"/>
    </row>
    <row r="12628" spans="6:13" hidden="1" x14ac:dyDescent="0.2">
      <c r="F12628" s="494">
        <v>421</v>
      </c>
      <c r="G12628" s="495" t="s">
        <v>3777</v>
      </c>
      <c r="H12628" s="397"/>
      <c r="I12628" s="397"/>
      <c r="J12628" s="750"/>
      <c r="K12628" s="398"/>
      <c r="L12628" s="398"/>
      <c r="M12628" s="682"/>
    </row>
    <row r="12629" spans="6:13" hidden="1" x14ac:dyDescent="0.2">
      <c r="F12629" s="494">
        <v>422</v>
      </c>
      <c r="G12629" s="495" t="s">
        <v>3778</v>
      </c>
      <c r="H12629" s="397"/>
      <c r="I12629" s="397"/>
      <c r="J12629" s="750"/>
      <c r="K12629" s="398"/>
      <c r="L12629" s="398"/>
      <c r="M12629" s="682"/>
    </row>
    <row r="12630" spans="6:13" hidden="1" x14ac:dyDescent="0.2">
      <c r="F12630" s="494">
        <v>423</v>
      </c>
      <c r="G12630" s="495" t="s">
        <v>3779</v>
      </c>
      <c r="H12630" s="397"/>
      <c r="I12630" s="397"/>
      <c r="J12630" s="750"/>
      <c r="K12630" s="398"/>
      <c r="L12630" s="398"/>
      <c r="M12630" s="682"/>
    </row>
    <row r="12631" spans="6:13" hidden="1" x14ac:dyDescent="0.2">
      <c r="F12631" s="494">
        <v>424</v>
      </c>
      <c r="G12631" s="495" t="s">
        <v>3781</v>
      </c>
      <c r="H12631" s="397"/>
      <c r="I12631" s="397"/>
      <c r="J12631" s="750"/>
      <c r="K12631" s="398"/>
      <c r="L12631" s="398"/>
      <c r="M12631" s="682"/>
    </row>
    <row r="12632" spans="6:13" hidden="1" x14ac:dyDescent="0.2">
      <c r="F12632" s="494">
        <v>425</v>
      </c>
      <c r="G12632" s="495" t="s">
        <v>4180</v>
      </c>
      <c r="H12632" s="397"/>
      <c r="I12632" s="397"/>
      <c r="J12632" s="750"/>
      <c r="K12632" s="398"/>
      <c r="L12632" s="398"/>
      <c r="M12632" s="682"/>
    </row>
    <row r="12633" spans="6:13" hidden="1" x14ac:dyDescent="0.2">
      <c r="F12633" s="494">
        <v>426</v>
      </c>
      <c r="G12633" s="495" t="s">
        <v>3785</v>
      </c>
      <c r="H12633" s="397"/>
      <c r="I12633" s="397"/>
      <c r="J12633" s="750"/>
      <c r="K12633" s="398"/>
      <c r="L12633" s="398"/>
      <c r="M12633" s="682"/>
    </row>
    <row r="12634" spans="6:13" hidden="1" x14ac:dyDescent="0.2">
      <c r="F12634" s="494">
        <v>431</v>
      </c>
      <c r="G12634" s="495" t="s">
        <v>4181</v>
      </c>
      <c r="H12634" s="397"/>
      <c r="I12634" s="397"/>
      <c r="J12634" s="750"/>
      <c r="K12634" s="398"/>
      <c r="L12634" s="398"/>
      <c r="M12634" s="682"/>
    </row>
    <row r="12635" spans="6:13" hidden="1" x14ac:dyDescent="0.2">
      <c r="F12635" s="494">
        <v>432</v>
      </c>
      <c r="G12635" s="495" t="s">
        <v>4182</v>
      </c>
      <c r="H12635" s="397"/>
      <c r="I12635" s="397"/>
      <c r="J12635" s="750"/>
      <c r="K12635" s="398"/>
      <c r="L12635" s="398"/>
      <c r="M12635" s="682"/>
    </row>
    <row r="12636" spans="6:13" hidden="1" x14ac:dyDescent="0.2">
      <c r="F12636" s="494">
        <v>433</v>
      </c>
      <c r="G12636" s="495" t="s">
        <v>4183</v>
      </c>
      <c r="H12636" s="397"/>
      <c r="I12636" s="397"/>
      <c r="J12636" s="750"/>
      <c r="K12636" s="398"/>
      <c r="L12636" s="398"/>
      <c r="M12636" s="682"/>
    </row>
    <row r="12637" spans="6:13" hidden="1" x14ac:dyDescent="0.2">
      <c r="F12637" s="494">
        <v>434</v>
      </c>
      <c r="G12637" s="495" t="s">
        <v>4184</v>
      </c>
      <c r="H12637" s="397"/>
      <c r="I12637" s="397"/>
      <c r="J12637" s="750"/>
      <c r="K12637" s="398"/>
      <c r="L12637" s="398"/>
      <c r="M12637" s="682"/>
    </row>
    <row r="12638" spans="6:13" hidden="1" x14ac:dyDescent="0.2">
      <c r="F12638" s="494">
        <v>435</v>
      </c>
      <c r="G12638" s="495" t="s">
        <v>3792</v>
      </c>
      <c r="H12638" s="397"/>
      <c r="I12638" s="397"/>
      <c r="J12638" s="750"/>
      <c r="K12638" s="398"/>
      <c r="L12638" s="398"/>
      <c r="M12638" s="682"/>
    </row>
    <row r="12639" spans="6:13" hidden="1" x14ac:dyDescent="0.2">
      <c r="F12639" s="494">
        <v>441</v>
      </c>
      <c r="G12639" s="495" t="s">
        <v>4185</v>
      </c>
      <c r="H12639" s="397"/>
      <c r="I12639" s="397"/>
      <c r="J12639" s="750"/>
      <c r="K12639" s="398"/>
      <c r="L12639" s="398"/>
      <c r="M12639" s="682"/>
    </row>
    <row r="12640" spans="6:13" hidden="1" x14ac:dyDescent="0.2">
      <c r="F12640" s="494">
        <v>442</v>
      </c>
      <c r="G12640" s="495" t="s">
        <v>4186</v>
      </c>
      <c r="H12640" s="397"/>
      <c r="I12640" s="397"/>
      <c r="J12640" s="750"/>
      <c r="K12640" s="398"/>
      <c r="L12640" s="398"/>
      <c r="M12640" s="682"/>
    </row>
    <row r="12641" spans="6:13" hidden="1" x14ac:dyDescent="0.2">
      <c r="F12641" s="494">
        <v>443</v>
      </c>
      <c r="G12641" s="495" t="s">
        <v>3797</v>
      </c>
      <c r="H12641" s="397"/>
      <c r="I12641" s="397"/>
      <c r="J12641" s="750"/>
      <c r="K12641" s="398"/>
      <c r="L12641" s="398"/>
      <c r="M12641" s="682"/>
    </row>
    <row r="12642" spans="6:13" hidden="1" x14ac:dyDescent="0.2">
      <c r="F12642" s="494">
        <v>444</v>
      </c>
      <c r="G12642" s="495" t="s">
        <v>3798</v>
      </c>
      <c r="H12642" s="397"/>
      <c r="I12642" s="397"/>
      <c r="J12642" s="750"/>
      <c r="K12642" s="398"/>
      <c r="L12642" s="398"/>
      <c r="M12642" s="682"/>
    </row>
    <row r="12643" spans="6:13" ht="25.5" hidden="1" x14ac:dyDescent="0.2">
      <c r="F12643" s="494">
        <v>4511</v>
      </c>
      <c r="G12643" s="466" t="s">
        <v>1692</v>
      </c>
      <c r="H12643" s="397"/>
      <c r="I12643" s="397"/>
      <c r="J12643" s="750"/>
      <c r="K12643" s="398"/>
      <c r="L12643" s="398"/>
      <c r="M12643" s="682"/>
    </row>
    <row r="12644" spans="6:13" ht="19.5" hidden="1" customHeight="1" x14ac:dyDescent="0.2">
      <c r="F12644" s="494">
        <v>4512</v>
      </c>
      <c r="G12644" s="466" t="s">
        <v>1701</v>
      </c>
      <c r="H12644" s="397"/>
      <c r="I12644" s="397"/>
      <c r="J12644" s="750"/>
      <c r="K12644" s="398"/>
      <c r="L12644" s="398"/>
      <c r="M12644" s="682"/>
    </row>
    <row r="12645" spans="6:13" ht="25.5" hidden="1" x14ac:dyDescent="0.2">
      <c r="F12645" s="494">
        <v>452</v>
      </c>
      <c r="G12645" s="495" t="s">
        <v>4187</v>
      </c>
      <c r="H12645" s="397"/>
      <c r="I12645" s="397"/>
      <c r="J12645" s="750"/>
      <c r="K12645" s="398"/>
      <c r="L12645" s="398"/>
      <c r="M12645" s="682"/>
    </row>
    <row r="12646" spans="6:13" ht="25.5" hidden="1" x14ac:dyDescent="0.2">
      <c r="F12646" s="494">
        <v>453</v>
      </c>
      <c r="G12646" s="495" t="s">
        <v>4188</v>
      </c>
      <c r="H12646" s="397"/>
      <c r="I12646" s="397"/>
      <c r="J12646" s="750"/>
      <c r="K12646" s="398"/>
      <c r="L12646" s="398"/>
      <c r="M12646" s="682"/>
    </row>
    <row r="12647" spans="6:13" hidden="1" x14ac:dyDescent="0.2">
      <c r="F12647" s="494">
        <v>454</v>
      </c>
      <c r="G12647" s="495" t="s">
        <v>3803</v>
      </c>
      <c r="H12647" s="397"/>
      <c r="I12647" s="397"/>
      <c r="J12647" s="750"/>
      <c r="K12647" s="398"/>
      <c r="L12647" s="398"/>
      <c r="M12647" s="682"/>
    </row>
    <row r="12648" spans="6:13" hidden="1" x14ac:dyDescent="0.2">
      <c r="F12648" s="494">
        <v>461</v>
      </c>
      <c r="G12648" s="495" t="s">
        <v>4169</v>
      </c>
      <c r="H12648" s="397"/>
      <c r="I12648" s="397"/>
      <c r="J12648" s="750"/>
      <c r="K12648" s="398"/>
      <c r="L12648" s="398"/>
      <c r="M12648" s="682"/>
    </row>
    <row r="12649" spans="6:13" ht="25.5" hidden="1" x14ac:dyDescent="0.2">
      <c r="F12649" s="494">
        <v>462</v>
      </c>
      <c r="G12649" s="495" t="s">
        <v>3806</v>
      </c>
      <c r="H12649" s="397"/>
      <c r="I12649" s="397"/>
      <c r="J12649" s="750"/>
      <c r="K12649" s="398"/>
      <c r="L12649" s="398"/>
      <c r="M12649" s="682"/>
    </row>
    <row r="12650" spans="6:13" hidden="1" x14ac:dyDescent="0.2">
      <c r="F12650" s="494">
        <v>4631</v>
      </c>
      <c r="G12650" s="495" t="s">
        <v>3807</v>
      </c>
      <c r="H12650" s="397"/>
      <c r="I12650" s="397"/>
      <c r="J12650" s="750"/>
      <c r="K12650" s="398"/>
      <c r="L12650" s="398"/>
      <c r="M12650" s="682"/>
    </row>
    <row r="12651" spans="6:13" hidden="1" x14ac:dyDescent="0.2">
      <c r="F12651" s="494">
        <v>4632</v>
      </c>
      <c r="G12651" s="495" t="s">
        <v>3808</v>
      </c>
      <c r="H12651" s="397"/>
      <c r="I12651" s="397"/>
      <c r="J12651" s="750"/>
      <c r="K12651" s="398"/>
      <c r="L12651" s="398"/>
      <c r="M12651" s="682"/>
    </row>
    <row r="12652" spans="6:13" ht="25.5" hidden="1" x14ac:dyDescent="0.2">
      <c r="F12652" s="494">
        <v>464</v>
      </c>
      <c r="G12652" s="495" t="s">
        <v>3809</v>
      </c>
      <c r="H12652" s="397"/>
      <c r="I12652" s="397"/>
      <c r="J12652" s="750"/>
      <c r="K12652" s="398"/>
      <c r="L12652" s="398"/>
      <c r="M12652" s="682"/>
    </row>
    <row r="12653" spans="6:13" hidden="1" x14ac:dyDescent="0.2">
      <c r="F12653" s="494">
        <v>465</v>
      </c>
      <c r="G12653" s="495" t="s">
        <v>4170</v>
      </c>
      <c r="H12653" s="397"/>
      <c r="I12653" s="397"/>
      <c r="J12653" s="750"/>
      <c r="K12653" s="398"/>
      <c r="L12653" s="398"/>
      <c r="M12653" s="682"/>
    </row>
    <row r="12654" spans="6:13" hidden="1" x14ac:dyDescent="0.2">
      <c r="F12654" s="494">
        <v>472</v>
      </c>
      <c r="G12654" s="495" t="s">
        <v>3813</v>
      </c>
      <c r="H12654" s="397"/>
      <c r="I12654" s="397"/>
      <c r="J12654" s="750"/>
      <c r="K12654" s="398"/>
      <c r="L12654" s="398"/>
      <c r="M12654" s="682"/>
    </row>
    <row r="12655" spans="6:13" hidden="1" x14ac:dyDescent="0.2">
      <c r="F12655" s="494">
        <v>481</v>
      </c>
      <c r="G12655" s="495" t="s">
        <v>4189</v>
      </c>
      <c r="H12655" s="397"/>
      <c r="I12655" s="397"/>
      <c r="J12655" s="750"/>
      <c r="K12655" s="398"/>
      <c r="L12655" s="398"/>
      <c r="M12655" s="682"/>
    </row>
    <row r="12656" spans="6:13" hidden="1" x14ac:dyDescent="0.2">
      <c r="F12656" s="494">
        <v>482</v>
      </c>
      <c r="G12656" s="495" t="s">
        <v>4190</v>
      </c>
      <c r="H12656" s="397"/>
      <c r="I12656" s="397"/>
      <c r="J12656" s="750"/>
      <c r="K12656" s="398"/>
      <c r="L12656" s="398"/>
      <c r="M12656" s="682"/>
    </row>
    <row r="12657" spans="6:13" hidden="1" x14ac:dyDescent="0.2">
      <c r="F12657" s="494">
        <v>483</v>
      </c>
      <c r="G12657" s="497" t="s">
        <v>4191</v>
      </c>
      <c r="H12657" s="397"/>
      <c r="I12657" s="397"/>
      <c r="J12657" s="750"/>
      <c r="K12657" s="398"/>
      <c r="L12657" s="398"/>
      <c r="M12657" s="682"/>
    </row>
    <row r="12658" spans="6:13" ht="38.25" hidden="1" x14ac:dyDescent="0.2">
      <c r="F12658" s="494">
        <v>484</v>
      </c>
      <c r="G12658" s="495" t="s">
        <v>4192</v>
      </c>
      <c r="H12658" s="397"/>
      <c r="I12658" s="397"/>
      <c r="J12658" s="750"/>
      <c r="K12658" s="398"/>
      <c r="L12658" s="398"/>
      <c r="M12658" s="682"/>
    </row>
    <row r="12659" spans="6:13" ht="25.5" hidden="1" x14ac:dyDescent="0.2">
      <c r="F12659" s="494">
        <v>485</v>
      </c>
      <c r="G12659" s="495" t="s">
        <v>4193</v>
      </c>
      <c r="H12659" s="397"/>
      <c r="I12659" s="397"/>
      <c r="J12659" s="750"/>
      <c r="K12659" s="398"/>
      <c r="L12659" s="398"/>
      <c r="M12659" s="682"/>
    </row>
    <row r="12660" spans="6:13" ht="25.5" hidden="1" x14ac:dyDescent="0.2">
      <c r="F12660" s="494">
        <v>489</v>
      </c>
      <c r="G12660" s="495" t="s">
        <v>3821</v>
      </c>
      <c r="H12660" s="397"/>
      <c r="I12660" s="397"/>
      <c r="J12660" s="750"/>
      <c r="K12660" s="398"/>
      <c r="L12660" s="398"/>
      <c r="M12660" s="682"/>
    </row>
    <row r="12661" spans="6:13" ht="25.5" hidden="1" x14ac:dyDescent="0.2">
      <c r="F12661" s="494">
        <v>494</v>
      </c>
      <c r="G12661" s="495" t="s">
        <v>4171</v>
      </c>
      <c r="H12661" s="397"/>
      <c r="I12661" s="397"/>
      <c r="J12661" s="750"/>
      <c r="K12661" s="398"/>
      <c r="L12661" s="398"/>
      <c r="M12661" s="682"/>
    </row>
    <row r="12662" spans="6:13" ht="25.5" hidden="1" x14ac:dyDescent="0.2">
      <c r="F12662" s="494">
        <v>495</v>
      </c>
      <c r="G12662" s="495" t="s">
        <v>4172</v>
      </c>
      <c r="H12662" s="397"/>
      <c r="I12662" s="397"/>
      <c r="J12662" s="750"/>
      <c r="K12662" s="398"/>
      <c r="L12662" s="398"/>
      <c r="M12662" s="682"/>
    </row>
    <row r="12663" spans="6:13" ht="38.25" hidden="1" x14ac:dyDescent="0.2">
      <c r="F12663" s="494">
        <v>496</v>
      </c>
      <c r="G12663" s="495" t="s">
        <v>4173</v>
      </c>
      <c r="H12663" s="397"/>
      <c r="I12663" s="397"/>
      <c r="J12663" s="750"/>
      <c r="K12663" s="398"/>
      <c r="L12663" s="398"/>
      <c r="M12663" s="682"/>
    </row>
    <row r="12664" spans="6:13" ht="25.5" hidden="1" x14ac:dyDescent="0.2">
      <c r="F12664" s="494">
        <v>499</v>
      </c>
      <c r="G12664" s="495" t="s">
        <v>4174</v>
      </c>
      <c r="H12664" s="397"/>
      <c r="I12664" s="397"/>
      <c r="J12664" s="750"/>
      <c r="K12664" s="398"/>
      <c r="L12664" s="398"/>
      <c r="M12664" s="682"/>
    </row>
    <row r="12665" spans="6:13" hidden="1" x14ac:dyDescent="0.2">
      <c r="F12665" s="494">
        <v>511</v>
      </c>
      <c r="G12665" s="497" t="s">
        <v>4194</v>
      </c>
      <c r="H12665" s="397"/>
      <c r="I12665" s="397"/>
      <c r="J12665" s="750"/>
      <c r="K12665" s="398"/>
      <c r="L12665" s="398"/>
      <c r="M12665" s="682"/>
    </row>
    <row r="12666" spans="6:13" hidden="1" x14ac:dyDescent="0.2">
      <c r="F12666" s="494">
        <v>512</v>
      </c>
      <c r="G12666" s="497" t="s">
        <v>4195</v>
      </c>
      <c r="H12666" s="397"/>
      <c r="I12666" s="397"/>
      <c r="J12666" s="750"/>
      <c r="K12666" s="398"/>
      <c r="L12666" s="398"/>
      <c r="M12666" s="682"/>
    </row>
    <row r="12667" spans="6:13" hidden="1" x14ac:dyDescent="0.2">
      <c r="F12667" s="494">
        <v>513</v>
      </c>
      <c r="G12667" s="497" t="s">
        <v>4196</v>
      </c>
      <c r="H12667" s="397"/>
      <c r="I12667" s="397"/>
      <c r="J12667" s="750"/>
      <c r="K12667" s="398"/>
      <c r="L12667" s="398"/>
      <c r="M12667" s="682"/>
    </row>
    <row r="12668" spans="6:13" hidden="1" x14ac:dyDescent="0.2">
      <c r="F12668" s="494">
        <v>514</v>
      </c>
      <c r="G12668" s="495" t="s">
        <v>4197</v>
      </c>
      <c r="H12668" s="397"/>
      <c r="I12668" s="397"/>
      <c r="J12668" s="750"/>
      <c r="K12668" s="398"/>
      <c r="L12668" s="398"/>
      <c r="M12668" s="682"/>
    </row>
    <row r="12669" spans="6:13" hidden="1" x14ac:dyDescent="0.2">
      <c r="F12669" s="494">
        <v>515</v>
      </c>
      <c r="G12669" s="495" t="s">
        <v>3832</v>
      </c>
      <c r="H12669" s="397"/>
      <c r="I12669" s="397"/>
      <c r="J12669" s="750"/>
      <c r="K12669" s="398"/>
      <c r="L12669" s="398"/>
      <c r="M12669" s="682"/>
    </row>
    <row r="12670" spans="6:13" hidden="1" x14ac:dyDescent="0.2">
      <c r="F12670" s="494">
        <v>521</v>
      </c>
      <c r="G12670" s="495" t="s">
        <v>4198</v>
      </c>
      <c r="H12670" s="397"/>
      <c r="I12670" s="397"/>
      <c r="J12670" s="750"/>
      <c r="K12670" s="398"/>
      <c r="L12670" s="398"/>
      <c r="M12670" s="682"/>
    </row>
    <row r="12671" spans="6:13" hidden="1" x14ac:dyDescent="0.2">
      <c r="F12671" s="494">
        <v>522</v>
      </c>
      <c r="G12671" s="495" t="s">
        <v>4199</v>
      </c>
      <c r="H12671" s="397"/>
      <c r="I12671" s="397"/>
      <c r="J12671" s="750"/>
      <c r="K12671" s="398"/>
      <c r="L12671" s="398"/>
      <c r="M12671" s="682"/>
    </row>
    <row r="12672" spans="6:13" hidden="1" x14ac:dyDescent="0.2">
      <c r="F12672" s="494">
        <v>523</v>
      </c>
      <c r="G12672" s="495" t="s">
        <v>3837</v>
      </c>
      <c r="H12672" s="397"/>
      <c r="I12672" s="397"/>
      <c r="J12672" s="750"/>
      <c r="K12672" s="398"/>
      <c r="L12672" s="398"/>
      <c r="M12672" s="682"/>
    </row>
    <row r="12673" spans="5:13" hidden="1" x14ac:dyDescent="0.2">
      <c r="F12673" s="494">
        <v>531</v>
      </c>
      <c r="G12673" s="496" t="s">
        <v>4175</v>
      </c>
      <c r="H12673" s="397"/>
      <c r="I12673" s="397"/>
      <c r="J12673" s="750"/>
      <c r="K12673" s="398"/>
      <c r="L12673" s="398"/>
      <c r="M12673" s="682"/>
    </row>
    <row r="12674" spans="5:13" hidden="1" x14ac:dyDescent="0.2">
      <c r="F12674" s="494">
        <v>541</v>
      </c>
      <c r="G12674" s="495" t="s">
        <v>4200</v>
      </c>
      <c r="H12674" s="397"/>
      <c r="I12674" s="397"/>
      <c r="J12674" s="750"/>
      <c r="K12674" s="398"/>
      <c r="L12674" s="398"/>
      <c r="M12674" s="682"/>
    </row>
    <row r="12675" spans="5:13" hidden="1" x14ac:dyDescent="0.2">
      <c r="F12675" s="494">
        <v>542</v>
      </c>
      <c r="G12675" s="495" t="s">
        <v>4201</v>
      </c>
      <c r="H12675" s="397"/>
      <c r="I12675" s="397"/>
      <c r="J12675" s="750"/>
      <c r="K12675" s="398"/>
      <c r="L12675" s="398"/>
      <c r="M12675" s="682"/>
    </row>
    <row r="12676" spans="5:13" hidden="1" x14ac:dyDescent="0.2">
      <c r="F12676" s="494">
        <v>543</v>
      </c>
      <c r="G12676" s="495" t="s">
        <v>3842</v>
      </c>
      <c r="H12676" s="397"/>
      <c r="I12676" s="397"/>
      <c r="J12676" s="750"/>
      <c r="K12676" s="398"/>
      <c r="L12676" s="398"/>
      <c r="M12676" s="682"/>
    </row>
    <row r="12677" spans="5:13" ht="38.25" hidden="1" x14ac:dyDescent="0.2">
      <c r="F12677" s="494">
        <v>551</v>
      </c>
      <c r="G12677" s="495" t="s">
        <v>4176</v>
      </c>
      <c r="H12677" s="397"/>
      <c r="I12677" s="397"/>
      <c r="J12677" s="750"/>
      <c r="K12677" s="398"/>
      <c r="L12677" s="398"/>
      <c r="M12677" s="682"/>
    </row>
    <row r="12678" spans="5:13" hidden="1" x14ac:dyDescent="0.2">
      <c r="F12678" s="498">
        <v>611</v>
      </c>
      <c r="G12678" s="499" t="s">
        <v>3848</v>
      </c>
      <c r="H12678" s="397"/>
      <c r="I12678" s="397"/>
      <c r="J12678" s="750"/>
      <c r="K12678" s="398"/>
      <c r="L12678" s="398"/>
      <c r="M12678" s="682"/>
    </row>
    <row r="12679" spans="5:13" hidden="1" x14ac:dyDescent="0.2">
      <c r="F12679" s="498">
        <v>620</v>
      </c>
      <c r="G12679" s="499" t="s">
        <v>88</v>
      </c>
      <c r="H12679" s="397"/>
      <c r="I12679" s="397"/>
      <c r="J12679" s="750"/>
      <c r="K12679" s="398"/>
      <c r="L12679" s="398"/>
      <c r="M12679" s="682"/>
    </row>
    <row r="12680" spans="5:13" hidden="1" x14ac:dyDescent="0.2">
      <c r="E12680" s="500"/>
      <c r="F12680" s="498"/>
      <c r="G12680" s="501" t="s">
        <v>4435</v>
      </c>
      <c r="H12680" s="400"/>
      <c r="I12680" s="400"/>
      <c r="J12680" s="750"/>
      <c r="K12680" s="401"/>
      <c r="L12680" s="402"/>
      <c r="M12680" s="682"/>
    </row>
    <row r="12681" spans="5:13" hidden="1" x14ac:dyDescent="0.2">
      <c r="E12681" s="502"/>
      <c r="F12681" s="503" t="s">
        <v>234</v>
      </c>
      <c r="G12681" s="504" t="s">
        <v>235</v>
      </c>
      <c r="H12681" s="403">
        <f>SUM(H12620:H12679)</f>
        <v>0</v>
      </c>
      <c r="I12681" s="403"/>
      <c r="J12681" s="750"/>
      <c r="K12681" s="404"/>
      <c r="L12681" s="404"/>
      <c r="M12681" s="682"/>
    </row>
    <row r="12682" spans="5:13" hidden="1" x14ac:dyDescent="0.2">
      <c r="F12682" s="503" t="s">
        <v>236</v>
      </c>
      <c r="G12682" s="504" t="s">
        <v>237</v>
      </c>
      <c r="H12682" s="397"/>
      <c r="I12682" s="397"/>
      <c r="J12682" s="750"/>
      <c r="K12682" s="398"/>
      <c r="L12682" s="404"/>
      <c r="M12682" s="682"/>
    </row>
    <row r="12683" spans="5:13" hidden="1" x14ac:dyDescent="0.2">
      <c r="F12683" s="503" t="s">
        <v>238</v>
      </c>
      <c r="G12683" s="504" t="s">
        <v>239</v>
      </c>
      <c r="H12683" s="397"/>
      <c r="I12683" s="397"/>
      <c r="J12683" s="750"/>
      <c r="K12683" s="398"/>
      <c r="L12683" s="404"/>
      <c r="M12683" s="682"/>
    </row>
    <row r="12684" spans="5:13" hidden="1" x14ac:dyDescent="0.2">
      <c r="F12684" s="503" t="s">
        <v>240</v>
      </c>
      <c r="G12684" s="504" t="s">
        <v>241</v>
      </c>
      <c r="H12684" s="397"/>
      <c r="I12684" s="397"/>
      <c r="J12684" s="750"/>
      <c r="K12684" s="398"/>
      <c r="L12684" s="404"/>
      <c r="M12684" s="682"/>
    </row>
    <row r="12685" spans="5:13" hidden="1" x14ac:dyDescent="0.2">
      <c r="F12685" s="503" t="s">
        <v>242</v>
      </c>
      <c r="G12685" s="504" t="s">
        <v>243</v>
      </c>
      <c r="H12685" s="397"/>
      <c r="I12685" s="397"/>
      <c r="J12685" s="750"/>
      <c r="K12685" s="398"/>
      <c r="L12685" s="404"/>
      <c r="M12685" s="682"/>
    </row>
    <row r="12686" spans="5:13" hidden="1" x14ac:dyDescent="0.2">
      <c r="F12686" s="503" t="s">
        <v>244</v>
      </c>
      <c r="G12686" s="504" t="s">
        <v>245</v>
      </c>
      <c r="H12686" s="397"/>
      <c r="I12686" s="397"/>
      <c r="J12686" s="750"/>
      <c r="K12686" s="398"/>
      <c r="L12686" s="404"/>
      <c r="M12686" s="682"/>
    </row>
    <row r="12687" spans="5:13" hidden="1" x14ac:dyDescent="0.2">
      <c r="F12687" s="503" t="s">
        <v>246</v>
      </c>
      <c r="G12687" s="504" t="s">
        <v>247</v>
      </c>
      <c r="H12687" s="397"/>
      <c r="I12687" s="397"/>
      <c r="J12687" s="750"/>
      <c r="K12687" s="398"/>
      <c r="L12687" s="404"/>
      <c r="M12687" s="682"/>
    </row>
    <row r="12688" spans="5:13" ht="25.5" hidden="1" x14ac:dyDescent="0.2">
      <c r="F12688" s="503" t="s">
        <v>248</v>
      </c>
      <c r="G12688" s="504" t="s">
        <v>249</v>
      </c>
      <c r="H12688" s="397"/>
      <c r="I12688" s="397"/>
      <c r="J12688" s="750"/>
      <c r="K12688" s="398"/>
      <c r="L12688" s="404"/>
      <c r="M12688" s="682"/>
    </row>
    <row r="12689" spans="5:13" hidden="1" x14ac:dyDescent="0.2">
      <c r="F12689" s="503" t="s">
        <v>250</v>
      </c>
      <c r="G12689" s="504" t="s">
        <v>57</v>
      </c>
      <c r="H12689" s="397"/>
      <c r="I12689" s="397"/>
      <c r="J12689" s="750"/>
      <c r="K12689" s="398"/>
      <c r="L12689" s="404"/>
      <c r="M12689" s="682"/>
    </row>
    <row r="12690" spans="5:13" hidden="1" x14ac:dyDescent="0.2">
      <c r="F12690" s="503" t="s">
        <v>251</v>
      </c>
      <c r="G12690" s="504" t="s">
        <v>252</v>
      </c>
      <c r="H12690" s="397"/>
      <c r="I12690" s="397"/>
      <c r="J12690" s="750"/>
      <c r="K12690" s="398"/>
      <c r="L12690" s="404"/>
      <c r="M12690" s="682"/>
    </row>
    <row r="12691" spans="5:13" hidden="1" x14ac:dyDescent="0.2">
      <c r="F12691" s="503" t="s">
        <v>253</v>
      </c>
      <c r="G12691" s="504" t="s">
        <v>254</v>
      </c>
      <c r="H12691" s="397"/>
      <c r="I12691" s="397"/>
      <c r="J12691" s="750"/>
      <c r="K12691" s="398"/>
      <c r="L12691" s="404"/>
      <c r="M12691" s="682"/>
    </row>
    <row r="12692" spans="5:13" ht="25.5" hidden="1" x14ac:dyDescent="0.2">
      <c r="F12692" s="503" t="s">
        <v>255</v>
      </c>
      <c r="G12692" s="504" t="s">
        <v>256</v>
      </c>
      <c r="H12692" s="397"/>
      <c r="I12692" s="397"/>
      <c r="J12692" s="750"/>
      <c r="K12692" s="398"/>
      <c r="L12692" s="404"/>
      <c r="M12692" s="682"/>
    </row>
    <row r="12693" spans="5:13" ht="25.5" hidden="1" x14ac:dyDescent="0.2">
      <c r="F12693" s="503" t="s">
        <v>257</v>
      </c>
      <c r="G12693" s="504" t="s">
        <v>258</v>
      </c>
      <c r="H12693" s="397"/>
      <c r="I12693" s="397"/>
      <c r="J12693" s="750"/>
      <c r="K12693" s="398"/>
      <c r="L12693" s="404"/>
      <c r="M12693" s="682"/>
    </row>
    <row r="12694" spans="5:13" ht="25.5" hidden="1" x14ac:dyDescent="0.2">
      <c r="F12694" s="503" t="s">
        <v>259</v>
      </c>
      <c r="G12694" s="504" t="s">
        <v>260</v>
      </c>
      <c r="H12694" s="397"/>
      <c r="I12694" s="397"/>
      <c r="J12694" s="750"/>
      <c r="K12694" s="398"/>
      <c r="L12694" s="404"/>
      <c r="M12694" s="682"/>
    </row>
    <row r="12695" spans="5:13" ht="25.5" hidden="1" x14ac:dyDescent="0.2">
      <c r="F12695" s="503" t="s">
        <v>261</v>
      </c>
      <c r="G12695" s="504" t="s">
        <v>262</v>
      </c>
      <c r="H12695" s="397"/>
      <c r="I12695" s="397"/>
      <c r="J12695" s="750"/>
      <c r="K12695" s="398"/>
      <c r="L12695" s="404"/>
      <c r="M12695" s="682"/>
    </row>
    <row r="12696" spans="5:13" hidden="1" x14ac:dyDescent="0.2">
      <c r="F12696" s="503" t="s">
        <v>263</v>
      </c>
      <c r="G12696" s="504" t="s">
        <v>264</v>
      </c>
      <c r="H12696" s="403"/>
      <c r="I12696" s="403"/>
      <c r="J12696" s="750"/>
      <c r="K12696" s="404"/>
      <c r="L12696" s="404"/>
      <c r="M12696" s="682"/>
    </row>
    <row r="12697" spans="5:13" ht="13.5" hidden="1" thickBot="1" x14ac:dyDescent="0.25">
      <c r="G12697" s="505" t="s">
        <v>4436</v>
      </c>
      <c r="H12697" s="405">
        <f>SUM(H12681:H12696)</f>
        <v>0</v>
      </c>
      <c r="I12697" s="405"/>
      <c r="J12697" s="750"/>
      <c r="K12697" s="406">
        <f>SUM(K12682:K12696)</f>
        <v>0</v>
      </c>
      <c r="L12697" s="406"/>
      <c r="M12697" s="682"/>
    </row>
    <row r="12698" spans="5:13" ht="25.5" hidden="1" collapsed="1" x14ac:dyDescent="0.2">
      <c r="E12698" s="500"/>
      <c r="F12698" s="498"/>
      <c r="G12698" s="506" t="s">
        <v>4437</v>
      </c>
      <c r="H12698" s="407"/>
      <c r="I12698" s="408"/>
      <c r="J12698" s="750"/>
      <c r="K12698" s="409"/>
      <c r="L12698" s="410"/>
      <c r="M12698" s="682"/>
    </row>
    <row r="12699" spans="5:13" hidden="1" x14ac:dyDescent="0.2">
      <c r="E12699" s="502"/>
      <c r="F12699" s="503" t="s">
        <v>234</v>
      </c>
      <c r="G12699" s="504" t="s">
        <v>235</v>
      </c>
      <c r="H12699" s="403">
        <f>SUM(H12620:H12679)</f>
        <v>0</v>
      </c>
      <c r="I12699" s="403"/>
      <c r="J12699" s="750"/>
      <c r="K12699" s="404"/>
      <c r="L12699" s="404"/>
      <c r="M12699" s="682"/>
    </row>
    <row r="12700" spans="5:13" hidden="1" x14ac:dyDescent="0.2">
      <c r="F12700" s="503" t="s">
        <v>236</v>
      </c>
      <c r="G12700" s="504" t="s">
        <v>237</v>
      </c>
      <c r="H12700" s="397"/>
      <c r="I12700" s="397"/>
      <c r="J12700" s="750"/>
      <c r="K12700" s="398"/>
      <c r="L12700" s="404"/>
      <c r="M12700" s="682"/>
    </row>
    <row r="12701" spans="5:13" hidden="1" x14ac:dyDescent="0.2">
      <c r="F12701" s="503" t="s">
        <v>238</v>
      </c>
      <c r="G12701" s="504" t="s">
        <v>239</v>
      </c>
      <c r="H12701" s="397"/>
      <c r="I12701" s="397"/>
      <c r="J12701" s="750"/>
      <c r="K12701" s="398"/>
      <c r="L12701" s="404"/>
      <c r="M12701" s="682"/>
    </row>
    <row r="12702" spans="5:13" hidden="1" x14ac:dyDescent="0.2">
      <c r="F12702" s="503" t="s">
        <v>240</v>
      </c>
      <c r="G12702" s="504" t="s">
        <v>241</v>
      </c>
      <c r="H12702" s="397"/>
      <c r="I12702" s="397"/>
      <c r="J12702" s="750"/>
      <c r="K12702" s="398"/>
      <c r="L12702" s="404"/>
      <c r="M12702" s="682"/>
    </row>
    <row r="12703" spans="5:13" hidden="1" x14ac:dyDescent="0.2">
      <c r="F12703" s="503" t="s">
        <v>242</v>
      </c>
      <c r="G12703" s="504" t="s">
        <v>243</v>
      </c>
      <c r="H12703" s="397"/>
      <c r="I12703" s="397"/>
      <c r="J12703" s="750"/>
      <c r="K12703" s="398"/>
      <c r="L12703" s="404"/>
      <c r="M12703" s="682"/>
    </row>
    <row r="12704" spans="5:13" hidden="1" x14ac:dyDescent="0.2">
      <c r="F12704" s="503" t="s">
        <v>244</v>
      </c>
      <c r="G12704" s="504" t="s">
        <v>245</v>
      </c>
      <c r="H12704" s="397"/>
      <c r="I12704" s="397"/>
      <c r="J12704" s="750"/>
      <c r="K12704" s="398"/>
      <c r="L12704" s="404"/>
      <c r="M12704" s="682"/>
    </row>
    <row r="12705" spans="3:13" hidden="1" x14ac:dyDescent="0.2">
      <c r="F12705" s="503" t="s">
        <v>246</v>
      </c>
      <c r="G12705" s="504" t="s">
        <v>247</v>
      </c>
      <c r="H12705" s="397"/>
      <c r="I12705" s="397"/>
      <c r="J12705" s="750"/>
      <c r="K12705" s="398"/>
      <c r="L12705" s="404"/>
      <c r="M12705" s="682"/>
    </row>
    <row r="12706" spans="3:13" ht="25.5" hidden="1" x14ac:dyDescent="0.2">
      <c r="F12706" s="503" t="s">
        <v>248</v>
      </c>
      <c r="G12706" s="504" t="s">
        <v>249</v>
      </c>
      <c r="H12706" s="397"/>
      <c r="I12706" s="397"/>
      <c r="J12706" s="750"/>
      <c r="K12706" s="398"/>
      <c r="L12706" s="404"/>
      <c r="M12706" s="682"/>
    </row>
    <row r="12707" spans="3:13" hidden="1" x14ac:dyDescent="0.2">
      <c r="F12707" s="503" t="s">
        <v>250</v>
      </c>
      <c r="G12707" s="504" t="s">
        <v>57</v>
      </c>
      <c r="H12707" s="397"/>
      <c r="I12707" s="397"/>
      <c r="J12707" s="750"/>
      <c r="K12707" s="398"/>
      <c r="L12707" s="404"/>
      <c r="M12707" s="682"/>
    </row>
    <row r="12708" spans="3:13" hidden="1" x14ac:dyDescent="0.2">
      <c r="F12708" s="503" t="s">
        <v>251</v>
      </c>
      <c r="G12708" s="504" t="s">
        <v>252</v>
      </c>
      <c r="H12708" s="397"/>
      <c r="I12708" s="397"/>
      <c r="J12708" s="750"/>
      <c r="K12708" s="398"/>
      <c r="L12708" s="404"/>
      <c r="M12708" s="682"/>
    </row>
    <row r="12709" spans="3:13" hidden="1" x14ac:dyDescent="0.2">
      <c r="F12709" s="503" t="s">
        <v>253</v>
      </c>
      <c r="G12709" s="504" t="s">
        <v>254</v>
      </c>
      <c r="H12709" s="397"/>
      <c r="I12709" s="397"/>
      <c r="J12709" s="750"/>
      <c r="K12709" s="398"/>
      <c r="L12709" s="404"/>
      <c r="M12709" s="682"/>
    </row>
    <row r="12710" spans="3:13" ht="25.5" hidden="1" x14ac:dyDescent="0.2">
      <c r="F12710" s="503" t="s">
        <v>255</v>
      </c>
      <c r="G12710" s="504" t="s">
        <v>256</v>
      </c>
      <c r="H12710" s="397"/>
      <c r="I12710" s="397"/>
      <c r="J12710" s="750"/>
      <c r="K12710" s="398"/>
      <c r="L12710" s="404"/>
      <c r="M12710" s="682"/>
    </row>
    <row r="12711" spans="3:13" ht="25.5" hidden="1" x14ac:dyDescent="0.2">
      <c r="F12711" s="503" t="s">
        <v>257</v>
      </c>
      <c r="G12711" s="504" t="s">
        <v>258</v>
      </c>
      <c r="H12711" s="397"/>
      <c r="I12711" s="397"/>
      <c r="J12711" s="750"/>
      <c r="K12711" s="398"/>
      <c r="L12711" s="404"/>
      <c r="M12711" s="682"/>
    </row>
    <row r="12712" spans="3:13" ht="25.5" hidden="1" x14ac:dyDescent="0.2">
      <c r="F12712" s="503" t="s">
        <v>259</v>
      </c>
      <c r="G12712" s="504" t="s">
        <v>260</v>
      </c>
      <c r="H12712" s="397"/>
      <c r="I12712" s="397"/>
      <c r="J12712" s="750"/>
      <c r="K12712" s="398"/>
      <c r="L12712" s="404"/>
      <c r="M12712" s="682"/>
    </row>
    <row r="12713" spans="3:13" ht="25.5" hidden="1" x14ac:dyDescent="0.2">
      <c r="F12713" s="503" t="s">
        <v>261</v>
      </c>
      <c r="G12713" s="504" t="s">
        <v>262</v>
      </c>
      <c r="H12713" s="397"/>
      <c r="I12713" s="397"/>
      <c r="J12713" s="750"/>
      <c r="K12713" s="398"/>
      <c r="L12713" s="404"/>
      <c r="M12713" s="682"/>
    </row>
    <row r="12714" spans="3:13" hidden="1" x14ac:dyDescent="0.2">
      <c r="F12714" s="503" t="s">
        <v>263</v>
      </c>
      <c r="G12714" s="504" t="s">
        <v>264</v>
      </c>
      <c r="H12714" s="403"/>
      <c r="I12714" s="403"/>
      <c r="J12714" s="750"/>
      <c r="K12714" s="404"/>
      <c r="L12714" s="404"/>
      <c r="M12714" s="682"/>
    </row>
    <row r="12715" spans="3:13" ht="13.5" hidden="1" collapsed="1" thickBot="1" x14ac:dyDescent="0.25">
      <c r="G12715" s="505" t="s">
        <v>4438</v>
      </c>
      <c r="H12715" s="405">
        <f>SUM(H12699:H12714)</f>
        <v>0</v>
      </c>
      <c r="I12715" s="405"/>
      <c r="J12715" s="750"/>
      <c r="K12715" s="406">
        <f>SUM(K12700:K12714)</f>
        <v>0</v>
      </c>
      <c r="L12715" s="406"/>
      <c r="M12715" s="682"/>
    </row>
    <row r="12716" spans="3:13" hidden="1" x14ac:dyDescent="0.2">
      <c r="H12716" s="397"/>
      <c r="I12716" s="397"/>
      <c r="J12716" s="750"/>
      <c r="K12716" s="398"/>
      <c r="L12716" s="398"/>
      <c r="M12716" s="682"/>
    </row>
    <row r="12717" spans="3:13" hidden="1" x14ac:dyDescent="0.2">
      <c r="C12717" s="489" t="s">
        <v>4833</v>
      </c>
      <c r="D12717" s="490"/>
      <c r="G12717" s="508" t="s">
        <v>4232</v>
      </c>
      <c r="H12717" s="397"/>
      <c r="I12717" s="397"/>
      <c r="J12717" s="750"/>
      <c r="K12717" s="398"/>
      <c r="L12717" s="398"/>
      <c r="M12717" s="682"/>
    </row>
    <row r="12718" spans="3:13" hidden="1" x14ac:dyDescent="0.2">
      <c r="C12718" s="489"/>
      <c r="D12718" s="492">
        <v>820</v>
      </c>
      <c r="E12718" s="492"/>
      <c r="F12718" s="492"/>
      <c r="G12718" s="493" t="s">
        <v>207</v>
      </c>
      <c r="H12718" s="397"/>
      <c r="I12718" s="397"/>
      <c r="J12718" s="750"/>
      <c r="K12718" s="398"/>
      <c r="L12718" s="398"/>
      <c r="M12718" s="682"/>
    </row>
    <row r="12719" spans="3:13" hidden="1" x14ac:dyDescent="0.2">
      <c r="F12719" s="494">
        <v>411</v>
      </c>
      <c r="G12719" s="495" t="s">
        <v>4167</v>
      </c>
      <c r="H12719" s="397"/>
      <c r="I12719" s="397"/>
      <c r="J12719" s="750"/>
      <c r="K12719" s="398"/>
      <c r="L12719" s="398"/>
      <c r="M12719" s="682"/>
    </row>
    <row r="12720" spans="3:13" hidden="1" x14ac:dyDescent="0.2">
      <c r="F12720" s="494">
        <v>412</v>
      </c>
      <c r="G12720" s="496" t="s">
        <v>3764</v>
      </c>
      <c r="H12720" s="397"/>
      <c r="I12720" s="397"/>
      <c r="J12720" s="750"/>
      <c r="K12720" s="398"/>
      <c r="L12720" s="398"/>
      <c r="M12720" s="682"/>
    </row>
    <row r="12721" spans="6:13" hidden="1" x14ac:dyDescent="0.2">
      <c r="F12721" s="494">
        <v>413</v>
      </c>
      <c r="G12721" s="495" t="s">
        <v>4168</v>
      </c>
      <c r="H12721" s="397"/>
      <c r="I12721" s="397"/>
      <c r="J12721" s="750"/>
      <c r="K12721" s="398"/>
      <c r="L12721" s="398"/>
      <c r="M12721" s="682"/>
    </row>
    <row r="12722" spans="6:13" hidden="1" x14ac:dyDescent="0.2">
      <c r="F12722" s="494">
        <v>414</v>
      </c>
      <c r="G12722" s="495" t="s">
        <v>3767</v>
      </c>
      <c r="H12722" s="397"/>
      <c r="I12722" s="397"/>
      <c r="J12722" s="750"/>
      <c r="K12722" s="398"/>
      <c r="L12722" s="398"/>
      <c r="M12722" s="682"/>
    </row>
    <row r="12723" spans="6:13" hidden="1" x14ac:dyDescent="0.2">
      <c r="F12723" s="494">
        <v>415</v>
      </c>
      <c r="G12723" s="495" t="s">
        <v>4177</v>
      </c>
      <c r="H12723" s="397"/>
      <c r="I12723" s="397"/>
      <c r="J12723" s="750"/>
      <c r="K12723" s="398"/>
      <c r="L12723" s="398"/>
      <c r="M12723" s="682"/>
    </row>
    <row r="12724" spans="6:13" ht="25.5" hidden="1" x14ac:dyDescent="0.2">
      <c r="F12724" s="494">
        <v>416</v>
      </c>
      <c r="G12724" s="495" t="s">
        <v>4178</v>
      </c>
      <c r="H12724" s="397"/>
      <c r="I12724" s="397"/>
      <c r="J12724" s="750"/>
      <c r="K12724" s="398"/>
      <c r="L12724" s="398"/>
      <c r="M12724" s="682"/>
    </row>
    <row r="12725" spans="6:13" hidden="1" x14ac:dyDescent="0.2">
      <c r="F12725" s="494">
        <v>417</v>
      </c>
      <c r="G12725" s="495" t="s">
        <v>4179</v>
      </c>
      <c r="H12725" s="397"/>
      <c r="I12725" s="397"/>
      <c r="J12725" s="750"/>
      <c r="K12725" s="398"/>
      <c r="L12725" s="398"/>
      <c r="M12725" s="682"/>
    </row>
    <row r="12726" spans="6:13" hidden="1" x14ac:dyDescent="0.2">
      <c r="F12726" s="494">
        <v>418</v>
      </c>
      <c r="G12726" s="495" t="s">
        <v>3773</v>
      </c>
      <c r="H12726" s="397"/>
      <c r="I12726" s="397"/>
      <c r="J12726" s="750"/>
      <c r="K12726" s="398"/>
      <c r="L12726" s="398"/>
      <c r="M12726" s="682"/>
    </row>
    <row r="12727" spans="6:13" hidden="1" x14ac:dyDescent="0.2">
      <c r="F12727" s="494">
        <v>421</v>
      </c>
      <c r="G12727" s="495" t="s">
        <v>3777</v>
      </c>
      <c r="H12727" s="397"/>
      <c r="I12727" s="397"/>
      <c r="J12727" s="750"/>
      <c r="K12727" s="398"/>
      <c r="L12727" s="398"/>
      <c r="M12727" s="682"/>
    </row>
    <row r="12728" spans="6:13" hidden="1" x14ac:dyDescent="0.2">
      <c r="F12728" s="494">
        <v>422</v>
      </c>
      <c r="G12728" s="495" t="s">
        <v>3778</v>
      </c>
      <c r="H12728" s="397"/>
      <c r="I12728" s="397"/>
      <c r="J12728" s="750"/>
      <c r="K12728" s="398"/>
      <c r="L12728" s="398"/>
      <c r="M12728" s="682"/>
    </row>
    <row r="12729" spans="6:13" hidden="1" x14ac:dyDescent="0.2">
      <c r="F12729" s="494">
        <v>423</v>
      </c>
      <c r="G12729" s="495" t="s">
        <v>3779</v>
      </c>
      <c r="H12729" s="397"/>
      <c r="I12729" s="397"/>
      <c r="J12729" s="750"/>
      <c r="K12729" s="398"/>
      <c r="L12729" s="398"/>
      <c r="M12729" s="682"/>
    </row>
    <row r="12730" spans="6:13" hidden="1" x14ac:dyDescent="0.2">
      <c r="F12730" s="494">
        <v>424</v>
      </c>
      <c r="G12730" s="495" t="s">
        <v>3781</v>
      </c>
      <c r="H12730" s="397"/>
      <c r="I12730" s="397"/>
      <c r="J12730" s="750"/>
      <c r="K12730" s="398"/>
      <c r="L12730" s="398"/>
      <c r="M12730" s="682"/>
    </row>
    <row r="12731" spans="6:13" hidden="1" x14ac:dyDescent="0.2">
      <c r="F12731" s="494">
        <v>425</v>
      </c>
      <c r="G12731" s="495" t="s">
        <v>4180</v>
      </c>
      <c r="H12731" s="397"/>
      <c r="I12731" s="397"/>
      <c r="J12731" s="750"/>
      <c r="K12731" s="398"/>
      <c r="L12731" s="398"/>
      <c r="M12731" s="682"/>
    </row>
    <row r="12732" spans="6:13" hidden="1" x14ac:dyDescent="0.2">
      <c r="F12732" s="494">
        <v>426</v>
      </c>
      <c r="G12732" s="495" t="s">
        <v>3785</v>
      </c>
      <c r="H12732" s="397"/>
      <c r="I12732" s="397"/>
      <c r="J12732" s="750"/>
      <c r="K12732" s="398"/>
      <c r="L12732" s="398"/>
      <c r="M12732" s="682"/>
    </row>
    <row r="12733" spans="6:13" hidden="1" x14ac:dyDescent="0.2">
      <c r="F12733" s="494">
        <v>431</v>
      </c>
      <c r="G12733" s="495" t="s">
        <v>4181</v>
      </c>
      <c r="H12733" s="397"/>
      <c r="I12733" s="397"/>
      <c r="J12733" s="750"/>
      <c r="K12733" s="398"/>
      <c r="L12733" s="398"/>
      <c r="M12733" s="682"/>
    </row>
    <row r="12734" spans="6:13" hidden="1" x14ac:dyDescent="0.2">
      <c r="F12734" s="494">
        <v>432</v>
      </c>
      <c r="G12734" s="495" t="s">
        <v>4182</v>
      </c>
      <c r="H12734" s="397"/>
      <c r="I12734" s="397"/>
      <c r="J12734" s="750"/>
      <c r="K12734" s="398"/>
      <c r="L12734" s="398"/>
      <c r="M12734" s="682"/>
    </row>
    <row r="12735" spans="6:13" hidden="1" x14ac:dyDescent="0.2">
      <c r="F12735" s="494">
        <v>433</v>
      </c>
      <c r="G12735" s="495" t="s">
        <v>4183</v>
      </c>
      <c r="H12735" s="397"/>
      <c r="I12735" s="397"/>
      <c r="J12735" s="750"/>
      <c r="K12735" s="398"/>
      <c r="L12735" s="398"/>
      <c r="M12735" s="682"/>
    </row>
    <row r="12736" spans="6:13" hidden="1" x14ac:dyDescent="0.2">
      <c r="F12736" s="494">
        <v>434</v>
      </c>
      <c r="G12736" s="495" t="s">
        <v>4184</v>
      </c>
      <c r="H12736" s="397"/>
      <c r="I12736" s="397"/>
      <c r="J12736" s="750"/>
      <c r="K12736" s="398"/>
      <c r="L12736" s="398"/>
      <c r="M12736" s="682"/>
    </row>
    <row r="12737" spans="6:13" hidden="1" x14ac:dyDescent="0.2">
      <c r="F12737" s="494">
        <v>435</v>
      </c>
      <c r="G12737" s="495" t="s">
        <v>3792</v>
      </c>
      <c r="H12737" s="397"/>
      <c r="I12737" s="397"/>
      <c r="J12737" s="750"/>
      <c r="K12737" s="398"/>
      <c r="L12737" s="398"/>
      <c r="M12737" s="682"/>
    </row>
    <row r="12738" spans="6:13" hidden="1" x14ac:dyDescent="0.2">
      <c r="F12738" s="494">
        <v>441</v>
      </c>
      <c r="G12738" s="495" t="s">
        <v>4185</v>
      </c>
      <c r="H12738" s="397"/>
      <c r="I12738" s="397"/>
      <c r="J12738" s="750"/>
      <c r="K12738" s="398"/>
      <c r="L12738" s="398"/>
      <c r="M12738" s="682"/>
    </row>
    <row r="12739" spans="6:13" hidden="1" x14ac:dyDescent="0.2">
      <c r="F12739" s="494">
        <v>442</v>
      </c>
      <c r="G12739" s="495" t="s">
        <v>4186</v>
      </c>
      <c r="H12739" s="397"/>
      <c r="I12739" s="397"/>
      <c r="J12739" s="750"/>
      <c r="K12739" s="398"/>
      <c r="L12739" s="398"/>
      <c r="M12739" s="682"/>
    </row>
    <row r="12740" spans="6:13" hidden="1" x14ac:dyDescent="0.2">
      <c r="F12740" s="494">
        <v>443</v>
      </c>
      <c r="G12740" s="495" t="s">
        <v>3797</v>
      </c>
      <c r="H12740" s="397"/>
      <c r="I12740" s="397"/>
      <c r="J12740" s="750"/>
      <c r="K12740" s="398"/>
      <c r="L12740" s="398"/>
      <c r="M12740" s="682"/>
    </row>
    <row r="12741" spans="6:13" hidden="1" x14ac:dyDescent="0.2">
      <c r="F12741" s="494">
        <v>444</v>
      </c>
      <c r="G12741" s="495" t="s">
        <v>3798</v>
      </c>
      <c r="H12741" s="397"/>
      <c r="I12741" s="397"/>
      <c r="J12741" s="750"/>
      <c r="K12741" s="398"/>
      <c r="L12741" s="398"/>
      <c r="M12741" s="682"/>
    </row>
    <row r="12742" spans="6:13" ht="25.5" hidden="1" x14ac:dyDescent="0.2">
      <c r="F12742" s="494">
        <v>4511</v>
      </c>
      <c r="G12742" s="466" t="s">
        <v>1692</v>
      </c>
      <c r="H12742" s="397"/>
      <c r="I12742" s="397"/>
      <c r="J12742" s="750"/>
      <c r="K12742" s="398"/>
      <c r="L12742" s="398"/>
      <c r="M12742" s="682"/>
    </row>
    <row r="12743" spans="6:13" ht="25.5" hidden="1" x14ac:dyDescent="0.2">
      <c r="F12743" s="494">
        <v>4512</v>
      </c>
      <c r="G12743" s="466" t="s">
        <v>1701</v>
      </c>
      <c r="H12743" s="397"/>
      <c r="I12743" s="397"/>
      <c r="J12743" s="750"/>
      <c r="K12743" s="398"/>
      <c r="L12743" s="398"/>
      <c r="M12743" s="682"/>
    </row>
    <row r="12744" spans="6:13" ht="25.5" hidden="1" x14ac:dyDescent="0.2">
      <c r="F12744" s="494">
        <v>452</v>
      </c>
      <c r="G12744" s="495" t="s">
        <v>4187</v>
      </c>
      <c r="H12744" s="397"/>
      <c r="I12744" s="397"/>
      <c r="J12744" s="750"/>
      <c r="K12744" s="398"/>
      <c r="L12744" s="398"/>
      <c r="M12744" s="682"/>
    </row>
    <row r="12745" spans="6:13" ht="25.5" hidden="1" x14ac:dyDescent="0.2">
      <c r="F12745" s="494">
        <v>453</v>
      </c>
      <c r="G12745" s="495" t="s">
        <v>4188</v>
      </c>
      <c r="H12745" s="397"/>
      <c r="I12745" s="397"/>
      <c r="J12745" s="750"/>
      <c r="K12745" s="398"/>
      <c r="L12745" s="398"/>
      <c r="M12745" s="682"/>
    </row>
    <row r="12746" spans="6:13" hidden="1" x14ac:dyDescent="0.2">
      <c r="F12746" s="494">
        <v>454</v>
      </c>
      <c r="G12746" s="495" t="s">
        <v>3803</v>
      </c>
      <c r="H12746" s="397"/>
      <c r="I12746" s="397"/>
      <c r="J12746" s="750"/>
      <c r="K12746" s="398"/>
      <c r="L12746" s="398"/>
      <c r="M12746" s="682"/>
    </row>
    <row r="12747" spans="6:13" hidden="1" x14ac:dyDescent="0.2">
      <c r="F12747" s="494">
        <v>461</v>
      </c>
      <c r="G12747" s="495" t="s">
        <v>4169</v>
      </c>
      <c r="H12747" s="397"/>
      <c r="I12747" s="397"/>
      <c r="J12747" s="750"/>
      <c r="K12747" s="398"/>
      <c r="L12747" s="398"/>
      <c r="M12747" s="682"/>
    </row>
    <row r="12748" spans="6:13" ht="25.5" hidden="1" x14ac:dyDescent="0.2">
      <c r="F12748" s="494">
        <v>462</v>
      </c>
      <c r="G12748" s="495" t="s">
        <v>3806</v>
      </c>
      <c r="H12748" s="397"/>
      <c r="I12748" s="397"/>
      <c r="J12748" s="750"/>
      <c r="K12748" s="398"/>
      <c r="L12748" s="398"/>
      <c r="M12748" s="682"/>
    </row>
    <row r="12749" spans="6:13" hidden="1" x14ac:dyDescent="0.2">
      <c r="F12749" s="494">
        <v>4631</v>
      </c>
      <c r="G12749" s="495" t="s">
        <v>3807</v>
      </c>
      <c r="H12749" s="397"/>
      <c r="I12749" s="397"/>
      <c r="J12749" s="750"/>
      <c r="K12749" s="398"/>
      <c r="L12749" s="398"/>
      <c r="M12749" s="682"/>
    </row>
    <row r="12750" spans="6:13" hidden="1" x14ac:dyDescent="0.2">
      <c r="F12750" s="494">
        <v>4632</v>
      </c>
      <c r="G12750" s="495" t="s">
        <v>3808</v>
      </c>
      <c r="H12750" s="397"/>
      <c r="I12750" s="397"/>
      <c r="J12750" s="750"/>
      <c r="K12750" s="398"/>
      <c r="L12750" s="398"/>
      <c r="M12750" s="682"/>
    </row>
    <row r="12751" spans="6:13" ht="25.5" hidden="1" x14ac:dyDescent="0.2">
      <c r="F12751" s="494">
        <v>464</v>
      </c>
      <c r="G12751" s="495" t="s">
        <v>3809</v>
      </c>
      <c r="H12751" s="397"/>
      <c r="I12751" s="397"/>
      <c r="J12751" s="750"/>
      <c r="K12751" s="398"/>
      <c r="L12751" s="398"/>
      <c r="M12751" s="682"/>
    </row>
    <row r="12752" spans="6:13" hidden="1" x14ac:dyDescent="0.2">
      <c r="F12752" s="494">
        <v>465</v>
      </c>
      <c r="G12752" s="495" t="s">
        <v>4170</v>
      </c>
      <c r="H12752" s="397"/>
      <c r="I12752" s="397"/>
      <c r="J12752" s="750"/>
      <c r="K12752" s="398"/>
      <c r="L12752" s="398"/>
      <c r="M12752" s="682"/>
    </row>
    <row r="12753" spans="6:13" hidden="1" x14ac:dyDescent="0.2">
      <c r="F12753" s="494">
        <v>472</v>
      </c>
      <c r="G12753" s="495" t="s">
        <v>3813</v>
      </c>
      <c r="H12753" s="397"/>
      <c r="I12753" s="397"/>
      <c r="J12753" s="750"/>
      <c r="K12753" s="398"/>
      <c r="L12753" s="398"/>
      <c r="M12753" s="682"/>
    </row>
    <row r="12754" spans="6:13" hidden="1" x14ac:dyDescent="0.2">
      <c r="F12754" s="494">
        <v>481</v>
      </c>
      <c r="G12754" s="495" t="s">
        <v>4189</v>
      </c>
      <c r="H12754" s="397"/>
      <c r="I12754" s="397"/>
      <c r="J12754" s="750"/>
      <c r="K12754" s="398"/>
      <c r="L12754" s="398"/>
      <c r="M12754" s="682"/>
    </row>
    <row r="12755" spans="6:13" hidden="1" x14ac:dyDescent="0.2">
      <c r="F12755" s="494">
        <v>482</v>
      </c>
      <c r="G12755" s="495" t="s">
        <v>4190</v>
      </c>
      <c r="H12755" s="397"/>
      <c r="I12755" s="397"/>
      <c r="J12755" s="750"/>
      <c r="K12755" s="398"/>
      <c r="L12755" s="398"/>
      <c r="M12755" s="682"/>
    </row>
    <row r="12756" spans="6:13" hidden="1" x14ac:dyDescent="0.2">
      <c r="F12756" s="494">
        <v>483</v>
      </c>
      <c r="G12756" s="497" t="s">
        <v>4191</v>
      </c>
      <c r="H12756" s="397"/>
      <c r="I12756" s="397"/>
      <c r="J12756" s="750"/>
      <c r="K12756" s="398"/>
      <c r="L12756" s="398"/>
      <c r="M12756" s="682"/>
    </row>
    <row r="12757" spans="6:13" ht="38.25" hidden="1" x14ac:dyDescent="0.2">
      <c r="F12757" s="494">
        <v>484</v>
      </c>
      <c r="G12757" s="495" t="s">
        <v>4192</v>
      </c>
      <c r="H12757" s="397"/>
      <c r="I12757" s="397"/>
      <c r="J12757" s="750"/>
      <c r="K12757" s="398"/>
      <c r="L12757" s="398"/>
      <c r="M12757" s="682"/>
    </row>
    <row r="12758" spans="6:13" ht="25.5" hidden="1" x14ac:dyDescent="0.2">
      <c r="F12758" s="494">
        <v>485</v>
      </c>
      <c r="G12758" s="495" t="s">
        <v>4193</v>
      </c>
      <c r="H12758" s="397"/>
      <c r="I12758" s="397"/>
      <c r="J12758" s="750"/>
      <c r="K12758" s="398"/>
      <c r="L12758" s="398"/>
      <c r="M12758" s="682"/>
    </row>
    <row r="12759" spans="6:13" ht="25.5" hidden="1" x14ac:dyDescent="0.2">
      <c r="F12759" s="494">
        <v>489</v>
      </c>
      <c r="G12759" s="495" t="s">
        <v>3821</v>
      </c>
      <c r="H12759" s="397"/>
      <c r="I12759" s="397"/>
      <c r="J12759" s="750"/>
      <c r="K12759" s="398"/>
      <c r="L12759" s="398"/>
      <c r="M12759" s="682"/>
    </row>
    <row r="12760" spans="6:13" ht="25.5" hidden="1" x14ac:dyDescent="0.2">
      <c r="F12760" s="494">
        <v>494</v>
      </c>
      <c r="G12760" s="495" t="s">
        <v>4171</v>
      </c>
      <c r="H12760" s="397"/>
      <c r="I12760" s="397"/>
      <c r="J12760" s="750"/>
      <c r="K12760" s="398"/>
      <c r="L12760" s="398"/>
      <c r="M12760" s="682"/>
    </row>
    <row r="12761" spans="6:13" ht="25.5" hidden="1" x14ac:dyDescent="0.2">
      <c r="F12761" s="494">
        <v>495</v>
      </c>
      <c r="G12761" s="495" t="s">
        <v>4172</v>
      </c>
      <c r="H12761" s="397"/>
      <c r="I12761" s="397"/>
      <c r="J12761" s="750"/>
      <c r="K12761" s="398"/>
      <c r="L12761" s="398"/>
      <c r="M12761" s="682"/>
    </row>
    <row r="12762" spans="6:13" ht="38.25" hidden="1" x14ac:dyDescent="0.2">
      <c r="F12762" s="494">
        <v>496</v>
      </c>
      <c r="G12762" s="495" t="s">
        <v>4173</v>
      </c>
      <c r="H12762" s="397"/>
      <c r="I12762" s="397"/>
      <c r="J12762" s="750"/>
      <c r="K12762" s="398"/>
      <c r="L12762" s="398"/>
      <c r="M12762" s="682"/>
    </row>
    <row r="12763" spans="6:13" ht="25.5" hidden="1" x14ac:dyDescent="0.2">
      <c r="F12763" s="494">
        <v>499</v>
      </c>
      <c r="G12763" s="495" t="s">
        <v>4174</v>
      </c>
      <c r="H12763" s="397"/>
      <c r="I12763" s="397"/>
      <c r="J12763" s="750"/>
      <c r="K12763" s="398"/>
      <c r="L12763" s="398"/>
      <c r="M12763" s="682"/>
    </row>
    <row r="12764" spans="6:13" hidden="1" x14ac:dyDescent="0.2">
      <c r="F12764" s="494">
        <v>511</v>
      </c>
      <c r="G12764" s="497" t="s">
        <v>4194</v>
      </c>
      <c r="H12764" s="397"/>
      <c r="I12764" s="397"/>
      <c r="J12764" s="750"/>
      <c r="K12764" s="398"/>
      <c r="L12764" s="398"/>
      <c r="M12764" s="682"/>
    </row>
    <row r="12765" spans="6:13" hidden="1" x14ac:dyDescent="0.2">
      <c r="F12765" s="494">
        <v>512</v>
      </c>
      <c r="G12765" s="497" t="s">
        <v>4195</v>
      </c>
      <c r="H12765" s="397"/>
      <c r="I12765" s="397"/>
      <c r="J12765" s="750"/>
      <c r="K12765" s="398"/>
      <c r="L12765" s="398"/>
      <c r="M12765" s="682"/>
    </row>
    <row r="12766" spans="6:13" hidden="1" x14ac:dyDescent="0.2">
      <c r="F12766" s="494">
        <v>513</v>
      </c>
      <c r="G12766" s="497" t="s">
        <v>4196</v>
      </c>
      <c r="H12766" s="397"/>
      <c r="I12766" s="397"/>
      <c r="J12766" s="750"/>
      <c r="K12766" s="398"/>
      <c r="L12766" s="398"/>
      <c r="M12766" s="682"/>
    </row>
    <row r="12767" spans="6:13" hidden="1" x14ac:dyDescent="0.2">
      <c r="F12767" s="494">
        <v>514</v>
      </c>
      <c r="G12767" s="495" t="s">
        <v>4197</v>
      </c>
      <c r="H12767" s="397"/>
      <c r="I12767" s="397"/>
      <c r="J12767" s="750"/>
      <c r="K12767" s="398"/>
      <c r="L12767" s="398"/>
      <c r="M12767" s="682"/>
    </row>
    <row r="12768" spans="6:13" hidden="1" x14ac:dyDescent="0.2">
      <c r="F12768" s="494">
        <v>515</v>
      </c>
      <c r="G12768" s="495" t="s">
        <v>3832</v>
      </c>
      <c r="H12768" s="397"/>
      <c r="I12768" s="397"/>
      <c r="J12768" s="750"/>
      <c r="K12768" s="398"/>
      <c r="L12768" s="398"/>
      <c r="M12768" s="682"/>
    </row>
    <row r="12769" spans="5:13" hidden="1" x14ac:dyDescent="0.2">
      <c r="F12769" s="494">
        <v>521</v>
      </c>
      <c r="G12769" s="495" t="s">
        <v>4198</v>
      </c>
      <c r="H12769" s="397"/>
      <c r="I12769" s="397"/>
      <c r="J12769" s="750"/>
      <c r="K12769" s="398"/>
      <c r="L12769" s="398"/>
      <c r="M12769" s="682"/>
    </row>
    <row r="12770" spans="5:13" hidden="1" x14ac:dyDescent="0.2">
      <c r="F12770" s="494">
        <v>522</v>
      </c>
      <c r="G12770" s="495" t="s">
        <v>4199</v>
      </c>
      <c r="H12770" s="397"/>
      <c r="I12770" s="397"/>
      <c r="J12770" s="750"/>
      <c r="K12770" s="398"/>
      <c r="L12770" s="398"/>
      <c r="M12770" s="682"/>
    </row>
    <row r="12771" spans="5:13" hidden="1" x14ac:dyDescent="0.2">
      <c r="F12771" s="494">
        <v>523</v>
      </c>
      <c r="G12771" s="495" t="s">
        <v>3837</v>
      </c>
      <c r="H12771" s="397"/>
      <c r="I12771" s="397"/>
      <c r="J12771" s="750"/>
      <c r="K12771" s="398"/>
      <c r="L12771" s="398"/>
      <c r="M12771" s="682"/>
    </row>
    <row r="12772" spans="5:13" hidden="1" x14ac:dyDescent="0.2">
      <c r="F12772" s="494">
        <v>531</v>
      </c>
      <c r="G12772" s="496" t="s">
        <v>4175</v>
      </c>
      <c r="H12772" s="397"/>
      <c r="I12772" s="397"/>
      <c r="J12772" s="750"/>
      <c r="K12772" s="398"/>
      <c r="L12772" s="398"/>
      <c r="M12772" s="682"/>
    </row>
    <row r="12773" spans="5:13" hidden="1" x14ac:dyDescent="0.2">
      <c r="F12773" s="494">
        <v>541</v>
      </c>
      <c r="G12773" s="495" t="s">
        <v>4200</v>
      </c>
      <c r="H12773" s="397"/>
      <c r="I12773" s="397"/>
      <c r="J12773" s="750"/>
      <c r="K12773" s="398"/>
      <c r="L12773" s="398"/>
      <c r="M12773" s="682"/>
    </row>
    <row r="12774" spans="5:13" hidden="1" x14ac:dyDescent="0.2">
      <c r="F12774" s="494">
        <v>542</v>
      </c>
      <c r="G12774" s="495" t="s">
        <v>4201</v>
      </c>
      <c r="H12774" s="397"/>
      <c r="I12774" s="397"/>
      <c r="J12774" s="750"/>
      <c r="K12774" s="398"/>
      <c r="L12774" s="398"/>
      <c r="M12774" s="682"/>
    </row>
    <row r="12775" spans="5:13" hidden="1" x14ac:dyDescent="0.2">
      <c r="F12775" s="494">
        <v>543</v>
      </c>
      <c r="G12775" s="495" t="s">
        <v>3842</v>
      </c>
      <c r="H12775" s="397"/>
      <c r="I12775" s="397"/>
      <c r="J12775" s="750"/>
      <c r="K12775" s="398"/>
      <c r="L12775" s="398"/>
      <c r="M12775" s="682"/>
    </row>
    <row r="12776" spans="5:13" ht="38.25" hidden="1" x14ac:dyDescent="0.2">
      <c r="F12776" s="494">
        <v>551</v>
      </c>
      <c r="G12776" s="495" t="s">
        <v>4176</v>
      </c>
      <c r="H12776" s="397"/>
      <c r="I12776" s="397"/>
      <c r="J12776" s="750"/>
      <c r="K12776" s="398"/>
      <c r="L12776" s="398"/>
      <c r="M12776" s="682"/>
    </row>
    <row r="12777" spans="5:13" hidden="1" x14ac:dyDescent="0.2">
      <c r="F12777" s="498">
        <v>611</v>
      </c>
      <c r="G12777" s="499" t="s">
        <v>3848</v>
      </c>
      <c r="H12777" s="397"/>
      <c r="I12777" s="397"/>
      <c r="J12777" s="750"/>
      <c r="K12777" s="398"/>
      <c r="L12777" s="398"/>
      <c r="M12777" s="682"/>
    </row>
    <row r="12778" spans="5:13" hidden="1" x14ac:dyDescent="0.2">
      <c r="F12778" s="498">
        <v>620</v>
      </c>
      <c r="G12778" s="499" t="s">
        <v>88</v>
      </c>
      <c r="H12778" s="397"/>
      <c r="I12778" s="397"/>
      <c r="J12778" s="750"/>
      <c r="K12778" s="398"/>
      <c r="L12778" s="398"/>
      <c r="M12778" s="682"/>
    </row>
    <row r="12779" spans="5:13" hidden="1" x14ac:dyDescent="0.2">
      <c r="E12779" s="500"/>
      <c r="F12779" s="498"/>
      <c r="G12779" s="509" t="s">
        <v>4435</v>
      </c>
      <c r="H12779" s="400"/>
      <c r="I12779" s="400"/>
      <c r="J12779" s="750"/>
      <c r="K12779" s="401"/>
      <c r="L12779" s="402"/>
      <c r="M12779" s="682"/>
    </row>
    <row r="12780" spans="5:13" hidden="1" x14ac:dyDescent="0.2">
      <c r="E12780" s="502"/>
      <c r="F12780" s="503" t="s">
        <v>234</v>
      </c>
      <c r="G12780" s="504" t="s">
        <v>235</v>
      </c>
      <c r="H12780" s="403">
        <f>SUM(H12719:H12778)</f>
        <v>0</v>
      </c>
      <c r="I12780" s="403"/>
      <c r="J12780" s="750"/>
      <c r="K12780" s="404"/>
      <c r="L12780" s="404"/>
      <c r="M12780" s="682"/>
    </row>
    <row r="12781" spans="5:13" hidden="1" x14ac:dyDescent="0.2">
      <c r="F12781" s="503" t="s">
        <v>236</v>
      </c>
      <c r="G12781" s="504" t="s">
        <v>237</v>
      </c>
      <c r="H12781" s="397"/>
      <c r="I12781" s="397"/>
      <c r="J12781" s="750"/>
      <c r="K12781" s="398"/>
      <c r="L12781" s="404"/>
      <c r="M12781" s="682"/>
    </row>
    <row r="12782" spans="5:13" hidden="1" x14ac:dyDescent="0.2">
      <c r="F12782" s="503" t="s">
        <v>238</v>
      </c>
      <c r="G12782" s="504" t="s">
        <v>239</v>
      </c>
      <c r="H12782" s="397"/>
      <c r="I12782" s="397"/>
      <c r="J12782" s="750"/>
      <c r="K12782" s="398"/>
      <c r="L12782" s="404"/>
      <c r="M12782" s="682"/>
    </row>
    <row r="12783" spans="5:13" hidden="1" x14ac:dyDescent="0.2">
      <c r="F12783" s="503" t="s">
        <v>240</v>
      </c>
      <c r="G12783" s="504" t="s">
        <v>241</v>
      </c>
      <c r="H12783" s="397"/>
      <c r="I12783" s="397"/>
      <c r="J12783" s="750"/>
      <c r="K12783" s="398"/>
      <c r="L12783" s="404"/>
      <c r="M12783" s="682"/>
    </row>
    <row r="12784" spans="5:13" hidden="1" x14ac:dyDescent="0.2">
      <c r="F12784" s="503" t="s">
        <v>242</v>
      </c>
      <c r="G12784" s="504" t="s">
        <v>243</v>
      </c>
      <c r="H12784" s="397"/>
      <c r="I12784" s="397"/>
      <c r="J12784" s="750"/>
      <c r="K12784" s="398"/>
      <c r="L12784" s="404"/>
      <c r="M12784" s="682"/>
    </row>
    <row r="12785" spans="5:13" hidden="1" x14ac:dyDescent="0.2">
      <c r="F12785" s="503" t="s">
        <v>244</v>
      </c>
      <c r="G12785" s="504" t="s">
        <v>245</v>
      </c>
      <c r="H12785" s="397"/>
      <c r="I12785" s="397"/>
      <c r="J12785" s="750"/>
      <c r="K12785" s="398"/>
      <c r="L12785" s="404"/>
      <c r="M12785" s="682"/>
    </row>
    <row r="12786" spans="5:13" hidden="1" x14ac:dyDescent="0.2">
      <c r="F12786" s="503" t="s">
        <v>246</v>
      </c>
      <c r="G12786" s="504" t="s">
        <v>247</v>
      </c>
      <c r="H12786" s="397"/>
      <c r="I12786" s="397"/>
      <c r="J12786" s="750"/>
      <c r="K12786" s="398"/>
      <c r="L12786" s="404"/>
      <c r="M12786" s="682"/>
    </row>
    <row r="12787" spans="5:13" ht="25.5" hidden="1" x14ac:dyDescent="0.2">
      <c r="F12787" s="503" t="s">
        <v>248</v>
      </c>
      <c r="G12787" s="504" t="s">
        <v>249</v>
      </c>
      <c r="H12787" s="397"/>
      <c r="I12787" s="397"/>
      <c r="J12787" s="750"/>
      <c r="K12787" s="398"/>
      <c r="L12787" s="404"/>
      <c r="M12787" s="682"/>
    </row>
    <row r="12788" spans="5:13" hidden="1" x14ac:dyDescent="0.2">
      <c r="F12788" s="503" t="s">
        <v>250</v>
      </c>
      <c r="G12788" s="504" t="s">
        <v>57</v>
      </c>
      <c r="H12788" s="397"/>
      <c r="I12788" s="397"/>
      <c r="J12788" s="750"/>
      <c r="K12788" s="398"/>
      <c r="L12788" s="404"/>
      <c r="M12788" s="682"/>
    </row>
    <row r="12789" spans="5:13" hidden="1" x14ac:dyDescent="0.2">
      <c r="F12789" s="503" t="s">
        <v>251</v>
      </c>
      <c r="G12789" s="504" t="s">
        <v>252</v>
      </c>
      <c r="H12789" s="397"/>
      <c r="I12789" s="397"/>
      <c r="J12789" s="750"/>
      <c r="K12789" s="398"/>
      <c r="L12789" s="404"/>
      <c r="M12789" s="682"/>
    </row>
    <row r="12790" spans="5:13" hidden="1" x14ac:dyDescent="0.2">
      <c r="F12790" s="503" t="s">
        <v>253</v>
      </c>
      <c r="G12790" s="504" t="s">
        <v>254</v>
      </c>
      <c r="H12790" s="397"/>
      <c r="I12790" s="397"/>
      <c r="J12790" s="750"/>
      <c r="K12790" s="398"/>
      <c r="L12790" s="404"/>
      <c r="M12790" s="682"/>
    </row>
    <row r="12791" spans="5:13" ht="25.5" hidden="1" x14ac:dyDescent="0.2">
      <c r="F12791" s="503" t="s">
        <v>255</v>
      </c>
      <c r="G12791" s="504" t="s">
        <v>256</v>
      </c>
      <c r="H12791" s="397"/>
      <c r="I12791" s="397"/>
      <c r="J12791" s="750"/>
      <c r="K12791" s="398"/>
      <c r="L12791" s="404"/>
      <c r="M12791" s="682"/>
    </row>
    <row r="12792" spans="5:13" ht="25.5" hidden="1" x14ac:dyDescent="0.2">
      <c r="F12792" s="503" t="s">
        <v>257</v>
      </c>
      <c r="G12792" s="504" t="s">
        <v>258</v>
      </c>
      <c r="H12792" s="397"/>
      <c r="I12792" s="397"/>
      <c r="J12792" s="750"/>
      <c r="K12792" s="398"/>
      <c r="L12792" s="404"/>
      <c r="M12792" s="682"/>
    </row>
    <row r="12793" spans="5:13" ht="25.5" hidden="1" x14ac:dyDescent="0.2">
      <c r="F12793" s="503" t="s">
        <v>259</v>
      </c>
      <c r="G12793" s="504" t="s">
        <v>260</v>
      </c>
      <c r="H12793" s="397"/>
      <c r="I12793" s="397"/>
      <c r="J12793" s="750"/>
      <c r="K12793" s="398"/>
      <c r="L12793" s="404"/>
      <c r="M12793" s="682"/>
    </row>
    <row r="12794" spans="5:13" ht="25.5" hidden="1" x14ac:dyDescent="0.2">
      <c r="F12794" s="503" t="s">
        <v>261</v>
      </c>
      <c r="G12794" s="504" t="s">
        <v>262</v>
      </c>
      <c r="H12794" s="397"/>
      <c r="I12794" s="397"/>
      <c r="J12794" s="750"/>
      <c r="K12794" s="398"/>
      <c r="L12794" s="404"/>
      <c r="M12794" s="682"/>
    </row>
    <row r="12795" spans="5:13" hidden="1" x14ac:dyDescent="0.2">
      <c r="F12795" s="503" t="s">
        <v>263</v>
      </c>
      <c r="G12795" s="504" t="s">
        <v>264</v>
      </c>
      <c r="H12795" s="403"/>
      <c r="I12795" s="403"/>
      <c r="J12795" s="750"/>
      <c r="K12795" s="404"/>
      <c r="L12795" s="404"/>
      <c r="M12795" s="682"/>
    </row>
    <row r="12796" spans="5:13" ht="13.5" hidden="1" thickBot="1" x14ac:dyDescent="0.25">
      <c r="G12796" s="505" t="s">
        <v>4436</v>
      </c>
      <c r="H12796" s="405">
        <f>SUM(H12780:H12795)</f>
        <v>0</v>
      </c>
      <c r="I12796" s="405"/>
      <c r="J12796" s="750"/>
      <c r="K12796" s="406">
        <f>SUM(K12781:K12795)</f>
        <v>0</v>
      </c>
      <c r="L12796" s="406"/>
      <c r="M12796" s="682"/>
    </row>
    <row r="12797" spans="5:13" hidden="1" collapsed="1" x14ac:dyDescent="0.2">
      <c r="E12797" s="500"/>
      <c r="F12797" s="498"/>
      <c r="G12797" s="506" t="s">
        <v>5029</v>
      </c>
      <c r="H12797" s="407"/>
      <c r="I12797" s="408"/>
      <c r="J12797" s="750"/>
      <c r="K12797" s="409"/>
      <c r="L12797" s="410"/>
      <c r="M12797" s="682"/>
    </row>
    <row r="12798" spans="5:13" hidden="1" x14ac:dyDescent="0.2">
      <c r="E12798" s="502"/>
      <c r="F12798" s="503" t="s">
        <v>234</v>
      </c>
      <c r="G12798" s="504" t="s">
        <v>235</v>
      </c>
      <c r="H12798" s="403">
        <f>SUM(H12719:H12778)</f>
        <v>0</v>
      </c>
      <c r="I12798" s="403"/>
      <c r="J12798" s="750"/>
      <c r="K12798" s="404"/>
      <c r="L12798" s="404"/>
      <c r="M12798" s="682"/>
    </row>
    <row r="12799" spans="5:13" hidden="1" x14ac:dyDescent="0.2">
      <c r="F12799" s="503" t="s">
        <v>236</v>
      </c>
      <c r="G12799" s="504" t="s">
        <v>237</v>
      </c>
      <c r="H12799" s="397"/>
      <c r="I12799" s="397"/>
      <c r="J12799" s="750"/>
      <c r="K12799" s="398"/>
      <c r="L12799" s="404"/>
      <c r="M12799" s="682"/>
    </row>
    <row r="12800" spans="5:13" hidden="1" x14ac:dyDescent="0.2">
      <c r="F12800" s="503" t="s">
        <v>238</v>
      </c>
      <c r="G12800" s="504" t="s">
        <v>239</v>
      </c>
      <c r="H12800" s="397"/>
      <c r="I12800" s="397"/>
      <c r="J12800" s="750"/>
      <c r="K12800" s="398"/>
      <c r="L12800" s="404"/>
      <c r="M12800" s="682"/>
    </row>
    <row r="12801" spans="5:13" hidden="1" x14ac:dyDescent="0.2">
      <c r="F12801" s="503" t="s">
        <v>240</v>
      </c>
      <c r="G12801" s="504" t="s">
        <v>241</v>
      </c>
      <c r="H12801" s="397"/>
      <c r="I12801" s="397"/>
      <c r="J12801" s="750"/>
      <c r="K12801" s="398"/>
      <c r="L12801" s="404"/>
      <c r="M12801" s="682"/>
    </row>
    <row r="12802" spans="5:13" hidden="1" x14ac:dyDescent="0.2">
      <c r="F12802" s="503" t="s">
        <v>242</v>
      </c>
      <c r="G12802" s="504" t="s">
        <v>243</v>
      </c>
      <c r="H12802" s="397"/>
      <c r="I12802" s="397"/>
      <c r="J12802" s="750"/>
      <c r="K12802" s="398"/>
      <c r="L12802" s="404"/>
      <c r="M12802" s="682"/>
    </row>
    <row r="12803" spans="5:13" hidden="1" x14ac:dyDescent="0.2">
      <c r="F12803" s="503" t="s">
        <v>244</v>
      </c>
      <c r="G12803" s="504" t="s">
        <v>245</v>
      </c>
      <c r="H12803" s="397"/>
      <c r="I12803" s="397"/>
      <c r="J12803" s="750"/>
      <c r="K12803" s="398"/>
      <c r="L12803" s="404"/>
      <c r="M12803" s="682"/>
    </row>
    <row r="12804" spans="5:13" hidden="1" x14ac:dyDescent="0.2">
      <c r="F12804" s="503" t="s">
        <v>246</v>
      </c>
      <c r="G12804" s="504" t="s">
        <v>247</v>
      </c>
      <c r="H12804" s="397"/>
      <c r="I12804" s="397"/>
      <c r="J12804" s="750"/>
      <c r="K12804" s="398"/>
      <c r="L12804" s="404"/>
      <c r="M12804" s="682"/>
    </row>
    <row r="12805" spans="5:13" ht="25.5" hidden="1" x14ac:dyDescent="0.2">
      <c r="F12805" s="503" t="s">
        <v>248</v>
      </c>
      <c r="G12805" s="504" t="s">
        <v>249</v>
      </c>
      <c r="H12805" s="397"/>
      <c r="I12805" s="397"/>
      <c r="J12805" s="750"/>
      <c r="K12805" s="398"/>
      <c r="L12805" s="404"/>
      <c r="M12805" s="682"/>
    </row>
    <row r="12806" spans="5:13" hidden="1" x14ac:dyDescent="0.2">
      <c r="F12806" s="503" t="s">
        <v>250</v>
      </c>
      <c r="G12806" s="504" t="s">
        <v>57</v>
      </c>
      <c r="H12806" s="397"/>
      <c r="I12806" s="397"/>
      <c r="J12806" s="750"/>
      <c r="K12806" s="398"/>
      <c r="L12806" s="404"/>
      <c r="M12806" s="682"/>
    </row>
    <row r="12807" spans="5:13" hidden="1" x14ac:dyDescent="0.2">
      <c r="F12807" s="503" t="s">
        <v>251</v>
      </c>
      <c r="G12807" s="504" t="s">
        <v>252</v>
      </c>
      <c r="H12807" s="397"/>
      <c r="I12807" s="397"/>
      <c r="J12807" s="750"/>
      <c r="K12807" s="398"/>
      <c r="L12807" s="404"/>
      <c r="M12807" s="682"/>
    </row>
    <row r="12808" spans="5:13" hidden="1" x14ac:dyDescent="0.2">
      <c r="F12808" s="503" t="s">
        <v>253</v>
      </c>
      <c r="G12808" s="504" t="s">
        <v>254</v>
      </c>
      <c r="H12808" s="397"/>
      <c r="I12808" s="397"/>
      <c r="J12808" s="750"/>
      <c r="K12808" s="398"/>
      <c r="L12808" s="404"/>
      <c r="M12808" s="682"/>
    </row>
    <row r="12809" spans="5:13" ht="25.5" hidden="1" x14ac:dyDescent="0.2">
      <c r="F12809" s="503" t="s">
        <v>255</v>
      </c>
      <c r="G12809" s="504" t="s">
        <v>256</v>
      </c>
      <c r="H12809" s="397"/>
      <c r="I12809" s="397"/>
      <c r="J12809" s="750"/>
      <c r="K12809" s="398"/>
      <c r="L12809" s="404"/>
      <c r="M12809" s="682"/>
    </row>
    <row r="12810" spans="5:13" ht="25.5" hidden="1" x14ac:dyDescent="0.2">
      <c r="F12810" s="503" t="s">
        <v>257</v>
      </c>
      <c r="G12810" s="504" t="s">
        <v>258</v>
      </c>
      <c r="H12810" s="397"/>
      <c r="I12810" s="397"/>
      <c r="J12810" s="750"/>
      <c r="K12810" s="398"/>
      <c r="L12810" s="404"/>
      <c r="M12810" s="682"/>
    </row>
    <row r="12811" spans="5:13" ht="25.5" hidden="1" x14ac:dyDescent="0.2">
      <c r="F12811" s="503" t="s">
        <v>259</v>
      </c>
      <c r="G12811" s="504" t="s">
        <v>260</v>
      </c>
      <c r="H12811" s="397"/>
      <c r="I12811" s="397"/>
      <c r="J12811" s="750"/>
      <c r="K12811" s="398"/>
      <c r="L12811" s="404"/>
      <c r="M12811" s="682"/>
    </row>
    <row r="12812" spans="5:13" ht="25.5" hidden="1" x14ac:dyDescent="0.2">
      <c r="F12812" s="503" t="s">
        <v>261</v>
      </c>
      <c r="G12812" s="504" t="s">
        <v>262</v>
      </c>
      <c r="H12812" s="397"/>
      <c r="I12812" s="397"/>
      <c r="J12812" s="750"/>
      <c r="K12812" s="398"/>
      <c r="L12812" s="404"/>
      <c r="M12812" s="682"/>
    </row>
    <row r="12813" spans="5:13" hidden="1" x14ac:dyDescent="0.2">
      <c r="F12813" s="503" t="s">
        <v>263</v>
      </c>
      <c r="G12813" s="504" t="s">
        <v>264</v>
      </c>
      <c r="H12813" s="403"/>
      <c r="I12813" s="403"/>
      <c r="J12813" s="750"/>
      <c r="K12813" s="404"/>
      <c r="L12813" s="404"/>
      <c r="M12813" s="682"/>
    </row>
    <row r="12814" spans="5:13" ht="13.5" hidden="1" thickBot="1" x14ac:dyDescent="0.25">
      <c r="G12814" s="505" t="s">
        <v>5016</v>
      </c>
      <c r="H12814" s="405">
        <f>SUM(H12798:H12813)</f>
        <v>0</v>
      </c>
      <c r="I12814" s="405"/>
      <c r="J12814" s="750"/>
      <c r="K12814" s="406">
        <f>SUM(K12799:K12813)</f>
        <v>0</v>
      </c>
      <c r="L12814" s="406"/>
      <c r="M12814" s="682"/>
    </row>
    <row r="12815" spans="5:13" hidden="1" x14ac:dyDescent="0.2">
      <c r="H12815" s="397"/>
      <c r="I12815" s="397"/>
      <c r="J12815" s="750"/>
      <c r="K12815" s="398"/>
      <c r="L12815" s="398"/>
      <c r="M12815" s="682"/>
    </row>
    <row r="12816" spans="5:13" hidden="1" x14ac:dyDescent="0.2">
      <c r="E12816" s="500"/>
      <c r="F12816" s="498"/>
      <c r="G12816" s="511" t="s">
        <v>4323</v>
      </c>
      <c r="H12816" s="413"/>
      <c r="I12816" s="413"/>
      <c r="J12816" s="750"/>
      <c r="K12816" s="414"/>
      <c r="L12816" s="415"/>
      <c r="M12816" s="682"/>
    </row>
    <row r="12817" spans="5:13" hidden="1" x14ac:dyDescent="0.2">
      <c r="E12817" s="502"/>
      <c r="F12817" s="503" t="s">
        <v>234</v>
      </c>
      <c r="G12817" s="504" t="s">
        <v>235</v>
      </c>
      <c r="H12817" s="403">
        <f>SUM(H12798,H12699)</f>
        <v>0</v>
      </c>
      <c r="I12817" s="403"/>
      <c r="J12817" s="750"/>
      <c r="K12817" s="404"/>
      <c r="L12817" s="404"/>
      <c r="M12817" s="682"/>
    </row>
    <row r="12818" spans="5:13" hidden="1" x14ac:dyDescent="0.2">
      <c r="F12818" s="503" t="s">
        <v>236</v>
      </c>
      <c r="G12818" s="504" t="s">
        <v>237</v>
      </c>
      <c r="H12818" s="397"/>
      <c r="I12818" s="397"/>
      <c r="J12818" s="750"/>
      <c r="K12818" s="398"/>
      <c r="L12818" s="404"/>
      <c r="M12818" s="682"/>
    </row>
    <row r="12819" spans="5:13" hidden="1" x14ac:dyDescent="0.2">
      <c r="F12819" s="503" t="s">
        <v>238</v>
      </c>
      <c r="G12819" s="504" t="s">
        <v>239</v>
      </c>
      <c r="H12819" s="397"/>
      <c r="I12819" s="397"/>
      <c r="J12819" s="750"/>
      <c r="K12819" s="398"/>
      <c r="L12819" s="404"/>
      <c r="M12819" s="682"/>
    </row>
    <row r="12820" spans="5:13" hidden="1" x14ac:dyDescent="0.2">
      <c r="F12820" s="503" t="s">
        <v>240</v>
      </c>
      <c r="G12820" s="504" t="s">
        <v>241</v>
      </c>
      <c r="H12820" s="397"/>
      <c r="I12820" s="397"/>
      <c r="J12820" s="750"/>
      <c r="K12820" s="398"/>
      <c r="L12820" s="404"/>
      <c r="M12820" s="682"/>
    </row>
    <row r="12821" spans="5:13" hidden="1" x14ac:dyDescent="0.2">
      <c r="F12821" s="503" t="s">
        <v>242</v>
      </c>
      <c r="G12821" s="504" t="s">
        <v>243</v>
      </c>
      <c r="H12821" s="397"/>
      <c r="I12821" s="397"/>
      <c r="J12821" s="750"/>
      <c r="K12821" s="398"/>
      <c r="L12821" s="404"/>
      <c r="M12821" s="682"/>
    </row>
    <row r="12822" spans="5:13" hidden="1" x14ac:dyDescent="0.2">
      <c r="F12822" s="503" t="s">
        <v>244</v>
      </c>
      <c r="G12822" s="504" t="s">
        <v>245</v>
      </c>
      <c r="H12822" s="397"/>
      <c r="I12822" s="397"/>
      <c r="J12822" s="750"/>
      <c r="K12822" s="398"/>
      <c r="L12822" s="404"/>
      <c r="M12822" s="682"/>
    </row>
    <row r="12823" spans="5:13" hidden="1" x14ac:dyDescent="0.2">
      <c r="F12823" s="503" t="s">
        <v>246</v>
      </c>
      <c r="G12823" s="504" t="s">
        <v>247</v>
      </c>
      <c r="H12823" s="397"/>
      <c r="I12823" s="397"/>
      <c r="J12823" s="750"/>
      <c r="K12823" s="398"/>
      <c r="L12823" s="404"/>
      <c r="M12823" s="682"/>
    </row>
    <row r="12824" spans="5:13" ht="25.5" hidden="1" x14ac:dyDescent="0.2">
      <c r="F12824" s="503" t="s">
        <v>248</v>
      </c>
      <c r="G12824" s="504" t="s">
        <v>249</v>
      </c>
      <c r="H12824" s="397"/>
      <c r="I12824" s="397"/>
      <c r="J12824" s="750"/>
      <c r="K12824" s="398"/>
      <c r="L12824" s="404"/>
      <c r="M12824" s="682"/>
    </row>
    <row r="12825" spans="5:13" hidden="1" x14ac:dyDescent="0.2">
      <c r="F12825" s="503" t="s">
        <v>250</v>
      </c>
      <c r="G12825" s="504" t="s">
        <v>57</v>
      </c>
      <c r="H12825" s="397"/>
      <c r="I12825" s="397"/>
      <c r="J12825" s="750"/>
      <c r="K12825" s="398"/>
      <c r="L12825" s="404"/>
      <c r="M12825" s="682"/>
    </row>
    <row r="12826" spans="5:13" hidden="1" x14ac:dyDescent="0.2">
      <c r="F12826" s="503" t="s">
        <v>251</v>
      </c>
      <c r="G12826" s="504" t="s">
        <v>252</v>
      </c>
      <c r="H12826" s="397"/>
      <c r="I12826" s="397"/>
      <c r="J12826" s="750"/>
      <c r="K12826" s="398"/>
      <c r="L12826" s="404"/>
      <c r="M12826" s="682"/>
    </row>
    <row r="12827" spans="5:13" hidden="1" x14ac:dyDescent="0.2">
      <c r="F12827" s="503" t="s">
        <v>253</v>
      </c>
      <c r="G12827" s="504" t="s">
        <v>254</v>
      </c>
      <c r="H12827" s="397"/>
      <c r="I12827" s="397"/>
      <c r="J12827" s="750"/>
      <c r="K12827" s="398"/>
      <c r="L12827" s="404"/>
      <c r="M12827" s="682"/>
    </row>
    <row r="12828" spans="5:13" ht="25.5" hidden="1" x14ac:dyDescent="0.2">
      <c r="F12828" s="503" t="s">
        <v>255</v>
      </c>
      <c r="G12828" s="504" t="s">
        <v>256</v>
      </c>
      <c r="H12828" s="397"/>
      <c r="I12828" s="397"/>
      <c r="J12828" s="750"/>
      <c r="K12828" s="398"/>
      <c r="L12828" s="404"/>
      <c r="M12828" s="682"/>
    </row>
    <row r="12829" spans="5:13" ht="25.5" hidden="1" x14ac:dyDescent="0.2">
      <c r="F12829" s="503" t="s">
        <v>257</v>
      </c>
      <c r="G12829" s="504" t="s">
        <v>258</v>
      </c>
      <c r="H12829" s="397"/>
      <c r="I12829" s="397"/>
      <c r="J12829" s="750"/>
      <c r="K12829" s="398"/>
      <c r="L12829" s="404"/>
      <c r="M12829" s="682"/>
    </row>
    <row r="12830" spans="5:13" ht="25.5" hidden="1" x14ac:dyDescent="0.2">
      <c r="F12830" s="503" t="s">
        <v>259</v>
      </c>
      <c r="G12830" s="504" t="s">
        <v>260</v>
      </c>
      <c r="H12830" s="397"/>
      <c r="I12830" s="397"/>
      <c r="J12830" s="750"/>
      <c r="K12830" s="398"/>
      <c r="L12830" s="404"/>
      <c r="M12830" s="682"/>
    </row>
    <row r="12831" spans="5:13" ht="25.5" hidden="1" x14ac:dyDescent="0.2">
      <c r="F12831" s="503" t="s">
        <v>261</v>
      </c>
      <c r="G12831" s="504" t="s">
        <v>262</v>
      </c>
      <c r="H12831" s="397"/>
      <c r="I12831" s="397"/>
      <c r="J12831" s="750"/>
      <c r="K12831" s="398"/>
      <c r="L12831" s="404"/>
      <c r="M12831" s="682"/>
    </row>
    <row r="12832" spans="5:13" hidden="1" x14ac:dyDescent="0.2">
      <c r="F12832" s="503" t="s">
        <v>263</v>
      </c>
      <c r="G12832" s="504" t="s">
        <v>264</v>
      </c>
      <c r="H12832" s="403"/>
      <c r="I12832" s="403"/>
      <c r="J12832" s="750"/>
      <c r="K12832" s="404"/>
      <c r="L12832" s="404"/>
      <c r="M12832" s="682"/>
    </row>
    <row r="12833" spans="5:13" ht="13.5" hidden="1" thickBot="1" x14ac:dyDescent="0.25">
      <c r="G12833" s="505" t="s">
        <v>4324</v>
      </c>
      <c r="H12833" s="405">
        <f>SUM(H12817:H12832)</f>
        <v>0</v>
      </c>
      <c r="I12833" s="405"/>
      <c r="J12833" s="750"/>
      <c r="K12833" s="406">
        <f>SUM(K12818:K12832)</f>
        <v>0</v>
      </c>
      <c r="L12833" s="406"/>
      <c r="M12833" s="682"/>
    </row>
    <row r="12834" spans="5:13" hidden="1" x14ac:dyDescent="0.2">
      <c r="H12834" s="397"/>
      <c r="I12834" s="397"/>
      <c r="J12834" s="750"/>
      <c r="K12834" s="398"/>
      <c r="L12834" s="398"/>
      <c r="M12834" s="682"/>
    </row>
    <row r="12835" spans="5:13" hidden="1" x14ac:dyDescent="0.2">
      <c r="E12835" s="500"/>
      <c r="F12835" s="498"/>
      <c r="G12835" s="511" t="s">
        <v>5056</v>
      </c>
      <c r="H12835" s="413"/>
      <c r="I12835" s="413"/>
      <c r="J12835" s="750"/>
      <c r="K12835" s="414"/>
      <c r="L12835" s="415"/>
      <c r="M12835" s="682"/>
    </row>
    <row r="12836" spans="5:13" hidden="1" x14ac:dyDescent="0.2">
      <c r="E12836" s="502"/>
      <c r="F12836" s="503" t="s">
        <v>234</v>
      </c>
      <c r="G12836" s="504" t="s">
        <v>235</v>
      </c>
      <c r="H12836" s="403">
        <f>SUM(H12817)</f>
        <v>0</v>
      </c>
      <c r="I12836" s="403"/>
      <c r="J12836" s="750"/>
      <c r="K12836" s="404"/>
      <c r="L12836" s="404"/>
      <c r="M12836" s="682"/>
    </row>
    <row r="12837" spans="5:13" hidden="1" x14ac:dyDescent="0.2">
      <c r="F12837" s="503" t="s">
        <v>236</v>
      </c>
      <c r="G12837" s="504" t="s">
        <v>237</v>
      </c>
      <c r="H12837" s="397"/>
      <c r="I12837" s="397"/>
      <c r="J12837" s="750"/>
      <c r="K12837" s="398"/>
      <c r="L12837" s="404"/>
      <c r="M12837" s="682"/>
    </row>
    <row r="12838" spans="5:13" hidden="1" x14ac:dyDescent="0.2">
      <c r="F12838" s="503" t="s">
        <v>238</v>
      </c>
      <c r="G12838" s="504" t="s">
        <v>239</v>
      </c>
      <c r="H12838" s="397"/>
      <c r="I12838" s="397"/>
      <c r="J12838" s="750"/>
      <c r="K12838" s="398"/>
      <c r="L12838" s="404"/>
      <c r="M12838" s="682"/>
    </row>
    <row r="12839" spans="5:13" hidden="1" x14ac:dyDescent="0.2">
      <c r="F12839" s="503" t="s">
        <v>240</v>
      </c>
      <c r="G12839" s="504" t="s">
        <v>241</v>
      </c>
      <c r="H12839" s="397"/>
      <c r="I12839" s="397"/>
      <c r="J12839" s="750"/>
      <c r="K12839" s="398"/>
      <c r="L12839" s="404"/>
      <c r="M12839" s="682"/>
    </row>
    <row r="12840" spans="5:13" hidden="1" x14ac:dyDescent="0.2">
      <c r="F12840" s="503" t="s">
        <v>242</v>
      </c>
      <c r="G12840" s="504" t="s">
        <v>243</v>
      </c>
      <c r="H12840" s="397"/>
      <c r="I12840" s="397"/>
      <c r="J12840" s="750"/>
      <c r="K12840" s="398"/>
      <c r="L12840" s="404"/>
      <c r="M12840" s="682"/>
    </row>
    <row r="12841" spans="5:13" hidden="1" x14ac:dyDescent="0.2">
      <c r="F12841" s="503" t="s">
        <v>244</v>
      </c>
      <c r="G12841" s="504" t="s">
        <v>245</v>
      </c>
      <c r="H12841" s="397"/>
      <c r="I12841" s="397"/>
      <c r="J12841" s="750"/>
      <c r="K12841" s="398"/>
      <c r="L12841" s="404"/>
      <c r="M12841" s="682"/>
    </row>
    <row r="12842" spans="5:13" hidden="1" x14ac:dyDescent="0.2">
      <c r="F12842" s="503" t="s">
        <v>246</v>
      </c>
      <c r="G12842" s="504" t="s">
        <v>247</v>
      </c>
      <c r="H12842" s="397"/>
      <c r="I12842" s="397"/>
      <c r="J12842" s="750"/>
      <c r="K12842" s="398"/>
      <c r="L12842" s="404"/>
      <c r="M12842" s="682"/>
    </row>
    <row r="12843" spans="5:13" ht="25.5" hidden="1" x14ac:dyDescent="0.2">
      <c r="F12843" s="503" t="s">
        <v>248</v>
      </c>
      <c r="G12843" s="504" t="s">
        <v>249</v>
      </c>
      <c r="H12843" s="397"/>
      <c r="I12843" s="397"/>
      <c r="J12843" s="750"/>
      <c r="K12843" s="398"/>
      <c r="L12843" s="404"/>
      <c r="M12843" s="682"/>
    </row>
    <row r="12844" spans="5:13" hidden="1" x14ac:dyDescent="0.2">
      <c r="F12844" s="503" t="s">
        <v>250</v>
      </c>
      <c r="G12844" s="504" t="s">
        <v>57</v>
      </c>
      <c r="H12844" s="397"/>
      <c r="I12844" s="397"/>
      <c r="J12844" s="750"/>
      <c r="K12844" s="398"/>
      <c r="L12844" s="404"/>
      <c r="M12844" s="682"/>
    </row>
    <row r="12845" spans="5:13" hidden="1" x14ac:dyDescent="0.2">
      <c r="F12845" s="503" t="s">
        <v>251</v>
      </c>
      <c r="G12845" s="504" t="s">
        <v>252</v>
      </c>
      <c r="H12845" s="397"/>
      <c r="I12845" s="397"/>
      <c r="J12845" s="750"/>
      <c r="K12845" s="398"/>
      <c r="L12845" s="404"/>
      <c r="M12845" s="682"/>
    </row>
    <row r="12846" spans="5:13" hidden="1" x14ac:dyDescent="0.2">
      <c r="F12846" s="503" t="s">
        <v>253</v>
      </c>
      <c r="G12846" s="504" t="s">
        <v>254</v>
      </c>
      <c r="H12846" s="397"/>
      <c r="I12846" s="397"/>
      <c r="J12846" s="750"/>
      <c r="K12846" s="398"/>
      <c r="L12846" s="404"/>
      <c r="M12846" s="682"/>
    </row>
    <row r="12847" spans="5:13" ht="25.5" hidden="1" x14ac:dyDescent="0.2">
      <c r="F12847" s="503" t="s">
        <v>255</v>
      </c>
      <c r="G12847" s="504" t="s">
        <v>256</v>
      </c>
      <c r="H12847" s="397"/>
      <c r="I12847" s="397"/>
      <c r="J12847" s="750"/>
      <c r="K12847" s="398"/>
      <c r="L12847" s="404"/>
      <c r="M12847" s="682"/>
    </row>
    <row r="12848" spans="5:13" ht="25.5" hidden="1" x14ac:dyDescent="0.2">
      <c r="F12848" s="503" t="s">
        <v>257</v>
      </c>
      <c r="G12848" s="504" t="s">
        <v>258</v>
      </c>
      <c r="H12848" s="397"/>
      <c r="I12848" s="397"/>
      <c r="J12848" s="750"/>
      <c r="K12848" s="398"/>
      <c r="L12848" s="404"/>
      <c r="M12848" s="682"/>
    </row>
    <row r="12849" spans="1:13" ht="25.5" hidden="1" x14ac:dyDescent="0.2">
      <c r="F12849" s="503" t="s">
        <v>259</v>
      </c>
      <c r="G12849" s="504" t="s">
        <v>260</v>
      </c>
      <c r="H12849" s="397"/>
      <c r="I12849" s="397"/>
      <c r="J12849" s="750"/>
      <c r="K12849" s="398"/>
      <c r="L12849" s="404"/>
      <c r="M12849" s="682"/>
    </row>
    <row r="12850" spans="1:13" ht="25.5" hidden="1" x14ac:dyDescent="0.2">
      <c r="F12850" s="503" t="s">
        <v>261</v>
      </c>
      <c r="G12850" s="504" t="s">
        <v>262</v>
      </c>
      <c r="H12850" s="397"/>
      <c r="I12850" s="397"/>
      <c r="J12850" s="750"/>
      <c r="K12850" s="398"/>
      <c r="L12850" s="404"/>
      <c r="M12850" s="682"/>
    </row>
    <row r="12851" spans="1:13" hidden="1" x14ac:dyDescent="0.2">
      <c r="F12851" s="503" t="s">
        <v>263</v>
      </c>
      <c r="G12851" s="504" t="s">
        <v>264</v>
      </c>
      <c r="H12851" s="403"/>
      <c r="I12851" s="403"/>
      <c r="J12851" s="750"/>
      <c r="K12851" s="404"/>
      <c r="L12851" s="404"/>
      <c r="M12851" s="682"/>
    </row>
    <row r="12852" spans="1:13" ht="13.5" hidden="1" thickBot="1" x14ac:dyDescent="0.25">
      <c r="G12852" s="505" t="s">
        <v>5057</v>
      </c>
      <c r="H12852" s="405">
        <f>SUM(H12836:H12851)</f>
        <v>0</v>
      </c>
      <c r="I12852" s="405"/>
      <c r="J12852" s="750"/>
      <c r="K12852" s="406">
        <f>SUM(K12837:K12851)</f>
        <v>0</v>
      </c>
      <c r="L12852" s="406"/>
      <c r="M12852" s="682"/>
    </row>
    <row r="12853" spans="1:13" hidden="1" x14ac:dyDescent="0.2">
      <c r="H12853" s="397"/>
      <c r="I12853" s="397"/>
      <c r="J12853" s="750"/>
      <c r="K12853" s="398"/>
      <c r="L12853" s="398"/>
      <c r="M12853" s="682"/>
    </row>
    <row r="12854" spans="1:13" hidden="1" x14ac:dyDescent="0.2">
      <c r="A12854" s="646">
        <v>4</v>
      </c>
      <c r="B12854" s="647" t="s">
        <v>4339</v>
      </c>
      <c r="C12854" s="646" t="s">
        <v>4011</v>
      </c>
      <c r="D12854" s="185"/>
      <c r="E12854" s="185"/>
      <c r="F12854" s="185"/>
      <c r="G12854" s="648" t="s">
        <v>4320</v>
      </c>
      <c r="H12854" s="450"/>
      <c r="I12854" s="450"/>
      <c r="J12854" s="750"/>
      <c r="K12854" s="451"/>
      <c r="L12854" s="452"/>
      <c r="M12854" s="682"/>
    </row>
    <row r="12855" spans="1:13" ht="16.5" hidden="1" customHeight="1" x14ac:dyDescent="0.2">
      <c r="C12855" s="489" t="s">
        <v>3594</v>
      </c>
      <c r="G12855" s="513" t="s">
        <v>4315</v>
      </c>
      <c r="H12855" s="397"/>
      <c r="I12855" s="397"/>
      <c r="J12855" s="750"/>
      <c r="K12855" s="398"/>
      <c r="L12855" s="398"/>
      <c r="M12855" s="682"/>
    </row>
    <row r="12856" spans="1:13" hidden="1" x14ac:dyDescent="0.2">
      <c r="C12856" s="489" t="s">
        <v>4125</v>
      </c>
      <c r="D12856" s="490"/>
      <c r="G12856" s="513" t="s">
        <v>4316</v>
      </c>
      <c r="H12856" s="397"/>
      <c r="I12856" s="397"/>
      <c r="J12856" s="750"/>
      <c r="K12856" s="398"/>
      <c r="L12856" s="398"/>
      <c r="M12856" s="682"/>
    </row>
    <row r="12857" spans="1:13" hidden="1" x14ac:dyDescent="0.2">
      <c r="C12857" s="489"/>
      <c r="D12857" s="492">
        <v>820</v>
      </c>
      <c r="E12857" s="492"/>
      <c r="F12857" s="492"/>
      <c r="G12857" s="493" t="s">
        <v>207</v>
      </c>
      <c r="H12857" s="397"/>
      <c r="I12857" s="397"/>
      <c r="J12857" s="750"/>
      <c r="K12857" s="398"/>
      <c r="L12857" s="398"/>
      <c r="M12857" s="682"/>
    </row>
    <row r="12858" spans="1:13" hidden="1" x14ac:dyDescent="0.2">
      <c r="F12858" s="494">
        <v>411</v>
      </c>
      <c r="G12858" s="495" t="s">
        <v>4167</v>
      </c>
      <c r="H12858" s="397"/>
      <c r="I12858" s="397"/>
      <c r="J12858" s="750"/>
      <c r="K12858" s="398"/>
      <c r="L12858" s="398"/>
      <c r="M12858" s="682"/>
    </row>
    <row r="12859" spans="1:13" hidden="1" x14ac:dyDescent="0.2">
      <c r="F12859" s="494">
        <v>412</v>
      </c>
      <c r="G12859" s="496" t="s">
        <v>3764</v>
      </c>
      <c r="H12859" s="397"/>
      <c r="I12859" s="397"/>
      <c r="J12859" s="750"/>
      <c r="K12859" s="398"/>
      <c r="L12859" s="398"/>
      <c r="M12859" s="682"/>
    </row>
    <row r="12860" spans="1:13" hidden="1" x14ac:dyDescent="0.2">
      <c r="F12860" s="494">
        <v>413</v>
      </c>
      <c r="G12860" s="495" t="s">
        <v>4168</v>
      </c>
      <c r="H12860" s="397"/>
      <c r="I12860" s="397"/>
      <c r="J12860" s="750"/>
      <c r="K12860" s="398"/>
      <c r="L12860" s="398"/>
      <c r="M12860" s="682"/>
    </row>
    <row r="12861" spans="1:13" hidden="1" x14ac:dyDescent="0.2">
      <c r="F12861" s="494">
        <v>414</v>
      </c>
      <c r="G12861" s="495" t="s">
        <v>3767</v>
      </c>
      <c r="H12861" s="397"/>
      <c r="I12861" s="397"/>
      <c r="J12861" s="750"/>
      <c r="K12861" s="398"/>
      <c r="L12861" s="398"/>
      <c r="M12861" s="682"/>
    </row>
    <row r="12862" spans="1:13" hidden="1" x14ac:dyDescent="0.2">
      <c r="F12862" s="494">
        <v>415</v>
      </c>
      <c r="G12862" s="495" t="s">
        <v>4177</v>
      </c>
      <c r="H12862" s="397"/>
      <c r="I12862" s="397"/>
      <c r="J12862" s="750"/>
      <c r="K12862" s="398"/>
      <c r="L12862" s="398"/>
      <c r="M12862" s="682"/>
    </row>
    <row r="12863" spans="1:13" ht="25.5" hidden="1" x14ac:dyDescent="0.2">
      <c r="F12863" s="494">
        <v>416</v>
      </c>
      <c r="G12863" s="495" t="s">
        <v>4178</v>
      </c>
      <c r="H12863" s="397"/>
      <c r="I12863" s="397"/>
      <c r="J12863" s="750"/>
      <c r="K12863" s="398"/>
      <c r="L12863" s="398"/>
      <c r="M12863" s="682"/>
    </row>
    <row r="12864" spans="1:13" hidden="1" x14ac:dyDescent="0.2">
      <c r="F12864" s="494">
        <v>417</v>
      </c>
      <c r="G12864" s="495" t="s">
        <v>4179</v>
      </c>
      <c r="H12864" s="397"/>
      <c r="I12864" s="397"/>
      <c r="J12864" s="750"/>
      <c r="K12864" s="398"/>
      <c r="L12864" s="398"/>
      <c r="M12864" s="682"/>
    </row>
    <row r="12865" spans="6:13" hidden="1" x14ac:dyDescent="0.2">
      <c r="F12865" s="494">
        <v>418</v>
      </c>
      <c r="G12865" s="495" t="s">
        <v>3773</v>
      </c>
      <c r="H12865" s="397"/>
      <c r="I12865" s="397"/>
      <c r="J12865" s="750"/>
      <c r="K12865" s="398"/>
      <c r="L12865" s="398"/>
      <c r="M12865" s="682"/>
    </row>
    <row r="12866" spans="6:13" hidden="1" x14ac:dyDescent="0.2">
      <c r="F12866" s="494">
        <v>421</v>
      </c>
      <c r="G12866" s="495" t="s">
        <v>3777</v>
      </c>
      <c r="H12866" s="397"/>
      <c r="I12866" s="397"/>
      <c r="J12866" s="750"/>
      <c r="K12866" s="398"/>
      <c r="L12866" s="398"/>
      <c r="M12866" s="682"/>
    </row>
    <row r="12867" spans="6:13" hidden="1" x14ac:dyDescent="0.2">
      <c r="F12867" s="494">
        <v>422</v>
      </c>
      <c r="G12867" s="495" t="s">
        <v>3778</v>
      </c>
      <c r="H12867" s="397"/>
      <c r="I12867" s="397"/>
      <c r="J12867" s="750"/>
      <c r="K12867" s="398"/>
      <c r="L12867" s="398"/>
      <c r="M12867" s="682"/>
    </row>
    <row r="12868" spans="6:13" hidden="1" x14ac:dyDescent="0.2">
      <c r="F12868" s="494">
        <v>423</v>
      </c>
      <c r="G12868" s="495" t="s">
        <v>3779</v>
      </c>
      <c r="H12868" s="397"/>
      <c r="I12868" s="397"/>
      <c r="J12868" s="750"/>
      <c r="K12868" s="398"/>
      <c r="L12868" s="398"/>
      <c r="M12868" s="682"/>
    </row>
    <row r="12869" spans="6:13" hidden="1" x14ac:dyDescent="0.2">
      <c r="F12869" s="494">
        <v>424</v>
      </c>
      <c r="G12869" s="495" t="s">
        <v>3781</v>
      </c>
      <c r="H12869" s="397"/>
      <c r="I12869" s="397"/>
      <c r="J12869" s="750"/>
      <c r="K12869" s="398"/>
      <c r="L12869" s="398"/>
      <c r="M12869" s="682"/>
    </row>
    <row r="12870" spans="6:13" hidden="1" x14ac:dyDescent="0.2">
      <c r="F12870" s="494">
        <v>425</v>
      </c>
      <c r="G12870" s="495" t="s">
        <v>4180</v>
      </c>
      <c r="H12870" s="397"/>
      <c r="I12870" s="397"/>
      <c r="J12870" s="750"/>
      <c r="K12870" s="398"/>
      <c r="L12870" s="398"/>
      <c r="M12870" s="682"/>
    </row>
    <row r="12871" spans="6:13" hidden="1" x14ac:dyDescent="0.2">
      <c r="F12871" s="494">
        <v>426</v>
      </c>
      <c r="G12871" s="495" t="s">
        <v>3785</v>
      </c>
      <c r="H12871" s="397"/>
      <c r="I12871" s="397"/>
      <c r="J12871" s="750"/>
      <c r="K12871" s="398"/>
      <c r="L12871" s="398"/>
      <c r="M12871" s="682"/>
    </row>
    <row r="12872" spans="6:13" hidden="1" x14ac:dyDescent="0.2">
      <c r="F12872" s="494">
        <v>431</v>
      </c>
      <c r="G12872" s="495" t="s">
        <v>4181</v>
      </c>
      <c r="H12872" s="397"/>
      <c r="I12872" s="397"/>
      <c r="J12872" s="750"/>
      <c r="K12872" s="398"/>
      <c r="L12872" s="398"/>
      <c r="M12872" s="682"/>
    </row>
    <row r="12873" spans="6:13" hidden="1" x14ac:dyDescent="0.2">
      <c r="F12873" s="494">
        <v>432</v>
      </c>
      <c r="G12873" s="495" t="s">
        <v>4182</v>
      </c>
      <c r="H12873" s="397"/>
      <c r="I12873" s="397"/>
      <c r="J12873" s="750"/>
      <c r="K12873" s="398"/>
      <c r="L12873" s="398"/>
      <c r="M12873" s="682"/>
    </row>
    <row r="12874" spans="6:13" hidden="1" x14ac:dyDescent="0.2">
      <c r="F12874" s="494">
        <v>433</v>
      </c>
      <c r="G12874" s="495" t="s">
        <v>4183</v>
      </c>
      <c r="H12874" s="397"/>
      <c r="I12874" s="397"/>
      <c r="J12874" s="750"/>
      <c r="K12874" s="398"/>
      <c r="L12874" s="398"/>
      <c r="M12874" s="682"/>
    </row>
    <row r="12875" spans="6:13" hidden="1" x14ac:dyDescent="0.2">
      <c r="F12875" s="494">
        <v>434</v>
      </c>
      <c r="G12875" s="495" t="s">
        <v>4184</v>
      </c>
      <c r="H12875" s="397"/>
      <c r="I12875" s="397"/>
      <c r="J12875" s="750"/>
      <c r="K12875" s="398"/>
      <c r="L12875" s="398"/>
      <c r="M12875" s="682"/>
    </row>
    <row r="12876" spans="6:13" hidden="1" x14ac:dyDescent="0.2">
      <c r="F12876" s="494">
        <v>435</v>
      </c>
      <c r="G12876" s="495" t="s">
        <v>3792</v>
      </c>
      <c r="H12876" s="397"/>
      <c r="I12876" s="397"/>
      <c r="J12876" s="750"/>
      <c r="K12876" s="398"/>
      <c r="L12876" s="398"/>
      <c r="M12876" s="682"/>
    </row>
    <row r="12877" spans="6:13" hidden="1" x14ac:dyDescent="0.2">
      <c r="F12877" s="494">
        <v>441</v>
      </c>
      <c r="G12877" s="495" t="s">
        <v>4185</v>
      </c>
      <c r="H12877" s="397"/>
      <c r="I12877" s="397"/>
      <c r="J12877" s="750"/>
      <c r="K12877" s="398"/>
      <c r="L12877" s="398"/>
      <c r="M12877" s="682"/>
    </row>
    <row r="12878" spans="6:13" hidden="1" x14ac:dyDescent="0.2">
      <c r="F12878" s="494">
        <v>442</v>
      </c>
      <c r="G12878" s="495" t="s">
        <v>4186</v>
      </c>
      <c r="H12878" s="397"/>
      <c r="I12878" s="397"/>
      <c r="J12878" s="750"/>
      <c r="K12878" s="398"/>
      <c r="L12878" s="398"/>
      <c r="M12878" s="682"/>
    </row>
    <row r="12879" spans="6:13" hidden="1" x14ac:dyDescent="0.2">
      <c r="F12879" s="494">
        <v>443</v>
      </c>
      <c r="G12879" s="495" t="s">
        <v>3797</v>
      </c>
      <c r="H12879" s="397"/>
      <c r="I12879" s="397"/>
      <c r="J12879" s="750"/>
      <c r="K12879" s="398"/>
      <c r="L12879" s="398"/>
      <c r="M12879" s="682"/>
    </row>
    <row r="12880" spans="6:13" hidden="1" x14ac:dyDescent="0.2">
      <c r="F12880" s="494">
        <v>444</v>
      </c>
      <c r="G12880" s="495" t="s">
        <v>3798</v>
      </c>
      <c r="H12880" s="397"/>
      <c r="I12880" s="397"/>
      <c r="J12880" s="750"/>
      <c r="K12880" s="398"/>
      <c r="L12880" s="398"/>
      <c r="M12880" s="682"/>
    </row>
    <row r="12881" spans="6:13" ht="25.5" hidden="1" x14ac:dyDescent="0.2">
      <c r="F12881" s="494">
        <v>4511</v>
      </c>
      <c r="G12881" s="466" t="s">
        <v>1692</v>
      </c>
      <c r="H12881" s="397"/>
      <c r="I12881" s="397"/>
      <c r="J12881" s="750"/>
      <c r="K12881" s="398"/>
      <c r="L12881" s="398"/>
      <c r="M12881" s="682"/>
    </row>
    <row r="12882" spans="6:13" ht="19.5" hidden="1" customHeight="1" x14ac:dyDescent="0.2">
      <c r="F12882" s="494">
        <v>4512</v>
      </c>
      <c r="G12882" s="466" t="s">
        <v>1701</v>
      </c>
      <c r="H12882" s="397"/>
      <c r="I12882" s="397"/>
      <c r="J12882" s="750"/>
      <c r="K12882" s="398"/>
      <c r="L12882" s="398"/>
      <c r="M12882" s="682"/>
    </row>
    <row r="12883" spans="6:13" ht="25.5" hidden="1" x14ac:dyDescent="0.2">
      <c r="F12883" s="494">
        <v>452</v>
      </c>
      <c r="G12883" s="495" t="s">
        <v>4187</v>
      </c>
      <c r="H12883" s="397"/>
      <c r="I12883" s="397"/>
      <c r="J12883" s="750"/>
      <c r="K12883" s="398"/>
      <c r="L12883" s="398"/>
      <c r="M12883" s="682"/>
    </row>
    <row r="12884" spans="6:13" ht="25.5" hidden="1" x14ac:dyDescent="0.2">
      <c r="F12884" s="494">
        <v>453</v>
      </c>
      <c r="G12884" s="495" t="s">
        <v>4188</v>
      </c>
      <c r="H12884" s="397"/>
      <c r="I12884" s="397"/>
      <c r="J12884" s="750"/>
      <c r="K12884" s="398"/>
      <c r="L12884" s="398"/>
      <c r="M12884" s="682"/>
    </row>
    <row r="12885" spans="6:13" hidden="1" x14ac:dyDescent="0.2">
      <c r="F12885" s="494">
        <v>454</v>
      </c>
      <c r="G12885" s="495" t="s">
        <v>3803</v>
      </c>
      <c r="H12885" s="397"/>
      <c r="I12885" s="397"/>
      <c r="J12885" s="750"/>
      <c r="K12885" s="398"/>
      <c r="L12885" s="398"/>
      <c r="M12885" s="682"/>
    </row>
    <row r="12886" spans="6:13" hidden="1" x14ac:dyDescent="0.2">
      <c r="F12886" s="494">
        <v>461</v>
      </c>
      <c r="G12886" s="495" t="s">
        <v>4169</v>
      </c>
      <c r="H12886" s="397"/>
      <c r="I12886" s="397"/>
      <c r="J12886" s="750"/>
      <c r="K12886" s="398"/>
      <c r="L12886" s="398"/>
      <c r="M12886" s="682"/>
    </row>
    <row r="12887" spans="6:13" ht="25.5" hidden="1" x14ac:dyDescent="0.2">
      <c r="F12887" s="494">
        <v>462</v>
      </c>
      <c r="G12887" s="495" t="s">
        <v>3806</v>
      </c>
      <c r="H12887" s="397"/>
      <c r="I12887" s="397"/>
      <c r="J12887" s="750"/>
      <c r="K12887" s="398"/>
      <c r="L12887" s="398"/>
      <c r="M12887" s="682"/>
    </row>
    <row r="12888" spans="6:13" hidden="1" x14ac:dyDescent="0.2">
      <c r="F12888" s="494">
        <v>4631</v>
      </c>
      <c r="G12888" s="495" t="s">
        <v>3807</v>
      </c>
      <c r="H12888" s="397"/>
      <c r="I12888" s="397"/>
      <c r="J12888" s="750"/>
      <c r="K12888" s="398"/>
      <c r="L12888" s="398"/>
      <c r="M12888" s="682"/>
    </row>
    <row r="12889" spans="6:13" hidden="1" x14ac:dyDescent="0.2">
      <c r="F12889" s="494">
        <v>4632</v>
      </c>
      <c r="G12889" s="495" t="s">
        <v>3808</v>
      </c>
      <c r="H12889" s="397"/>
      <c r="I12889" s="397"/>
      <c r="J12889" s="750"/>
      <c r="K12889" s="398"/>
      <c r="L12889" s="398"/>
      <c r="M12889" s="682"/>
    </row>
    <row r="12890" spans="6:13" ht="25.5" hidden="1" x14ac:dyDescent="0.2">
      <c r="F12890" s="494">
        <v>464</v>
      </c>
      <c r="G12890" s="495" t="s">
        <v>3809</v>
      </c>
      <c r="H12890" s="397"/>
      <c r="I12890" s="397"/>
      <c r="J12890" s="750"/>
      <c r="K12890" s="398"/>
      <c r="L12890" s="398"/>
      <c r="M12890" s="682"/>
    </row>
    <row r="12891" spans="6:13" hidden="1" x14ac:dyDescent="0.2">
      <c r="F12891" s="494">
        <v>465</v>
      </c>
      <c r="G12891" s="495" t="s">
        <v>4170</v>
      </c>
      <c r="H12891" s="397"/>
      <c r="I12891" s="397"/>
      <c r="J12891" s="750"/>
      <c r="K12891" s="398"/>
      <c r="L12891" s="398"/>
      <c r="M12891" s="682"/>
    </row>
    <row r="12892" spans="6:13" hidden="1" x14ac:dyDescent="0.2">
      <c r="F12892" s="494">
        <v>472</v>
      </c>
      <c r="G12892" s="495" t="s">
        <v>3813</v>
      </c>
      <c r="H12892" s="397"/>
      <c r="I12892" s="397"/>
      <c r="J12892" s="750"/>
      <c r="K12892" s="398"/>
      <c r="L12892" s="398"/>
      <c r="M12892" s="682"/>
    </row>
    <row r="12893" spans="6:13" hidden="1" x14ac:dyDescent="0.2">
      <c r="F12893" s="494">
        <v>481</v>
      </c>
      <c r="G12893" s="495" t="s">
        <v>4189</v>
      </c>
      <c r="H12893" s="397"/>
      <c r="I12893" s="397"/>
      <c r="J12893" s="750"/>
      <c r="K12893" s="398"/>
      <c r="L12893" s="398"/>
      <c r="M12893" s="682"/>
    </row>
    <row r="12894" spans="6:13" hidden="1" x14ac:dyDescent="0.2">
      <c r="F12894" s="494">
        <v>482</v>
      </c>
      <c r="G12894" s="495" t="s">
        <v>4190</v>
      </c>
      <c r="H12894" s="397"/>
      <c r="I12894" s="397"/>
      <c r="J12894" s="750"/>
      <c r="K12894" s="398"/>
      <c r="L12894" s="398"/>
      <c r="M12894" s="682"/>
    </row>
    <row r="12895" spans="6:13" hidden="1" x14ac:dyDescent="0.2">
      <c r="F12895" s="494">
        <v>483</v>
      </c>
      <c r="G12895" s="497" t="s">
        <v>4191</v>
      </c>
      <c r="H12895" s="397"/>
      <c r="I12895" s="397"/>
      <c r="J12895" s="750"/>
      <c r="K12895" s="398"/>
      <c r="L12895" s="398"/>
      <c r="M12895" s="682"/>
    </row>
    <row r="12896" spans="6:13" ht="38.25" hidden="1" x14ac:dyDescent="0.2">
      <c r="F12896" s="494">
        <v>484</v>
      </c>
      <c r="G12896" s="495" t="s">
        <v>4192</v>
      </c>
      <c r="H12896" s="397"/>
      <c r="I12896" s="397"/>
      <c r="J12896" s="750"/>
      <c r="K12896" s="398"/>
      <c r="L12896" s="398"/>
      <c r="M12896" s="682"/>
    </row>
    <row r="12897" spans="6:13" ht="25.5" hidden="1" x14ac:dyDescent="0.2">
      <c r="F12897" s="494">
        <v>485</v>
      </c>
      <c r="G12897" s="495" t="s">
        <v>4193</v>
      </c>
      <c r="H12897" s="397"/>
      <c r="I12897" s="397"/>
      <c r="J12897" s="750"/>
      <c r="K12897" s="398"/>
      <c r="L12897" s="398"/>
      <c r="M12897" s="682"/>
    </row>
    <row r="12898" spans="6:13" ht="25.5" hidden="1" x14ac:dyDescent="0.2">
      <c r="F12898" s="494">
        <v>489</v>
      </c>
      <c r="G12898" s="495" t="s">
        <v>3821</v>
      </c>
      <c r="H12898" s="397"/>
      <c r="I12898" s="397"/>
      <c r="J12898" s="750"/>
      <c r="K12898" s="398"/>
      <c r="L12898" s="398"/>
      <c r="M12898" s="682"/>
    </row>
    <row r="12899" spans="6:13" ht="25.5" hidden="1" x14ac:dyDescent="0.2">
      <c r="F12899" s="494">
        <v>494</v>
      </c>
      <c r="G12899" s="495" t="s">
        <v>4171</v>
      </c>
      <c r="H12899" s="397"/>
      <c r="I12899" s="397"/>
      <c r="J12899" s="750"/>
      <c r="K12899" s="398"/>
      <c r="L12899" s="398"/>
      <c r="M12899" s="682"/>
    </row>
    <row r="12900" spans="6:13" ht="25.5" hidden="1" x14ac:dyDescent="0.2">
      <c r="F12900" s="494">
        <v>495</v>
      </c>
      <c r="G12900" s="495" t="s">
        <v>4172</v>
      </c>
      <c r="H12900" s="397"/>
      <c r="I12900" s="397"/>
      <c r="J12900" s="750"/>
      <c r="K12900" s="398"/>
      <c r="L12900" s="398"/>
      <c r="M12900" s="682"/>
    </row>
    <row r="12901" spans="6:13" ht="38.25" hidden="1" x14ac:dyDescent="0.2">
      <c r="F12901" s="494">
        <v>496</v>
      </c>
      <c r="G12901" s="495" t="s">
        <v>4173</v>
      </c>
      <c r="H12901" s="397"/>
      <c r="I12901" s="397"/>
      <c r="J12901" s="750"/>
      <c r="K12901" s="398"/>
      <c r="L12901" s="398"/>
      <c r="M12901" s="682"/>
    </row>
    <row r="12902" spans="6:13" ht="25.5" hidden="1" x14ac:dyDescent="0.2">
      <c r="F12902" s="494">
        <v>499</v>
      </c>
      <c r="G12902" s="495" t="s">
        <v>4174</v>
      </c>
      <c r="H12902" s="397"/>
      <c r="I12902" s="397"/>
      <c r="J12902" s="750"/>
      <c r="K12902" s="398"/>
      <c r="L12902" s="398"/>
      <c r="M12902" s="682"/>
    </row>
    <row r="12903" spans="6:13" hidden="1" x14ac:dyDescent="0.2">
      <c r="F12903" s="494">
        <v>511</v>
      </c>
      <c r="G12903" s="497" t="s">
        <v>4194</v>
      </c>
      <c r="H12903" s="397"/>
      <c r="I12903" s="397"/>
      <c r="J12903" s="750"/>
      <c r="K12903" s="398"/>
      <c r="L12903" s="398"/>
      <c r="M12903" s="682"/>
    </row>
    <row r="12904" spans="6:13" hidden="1" x14ac:dyDescent="0.2">
      <c r="F12904" s="494">
        <v>512</v>
      </c>
      <c r="G12904" s="497" t="s">
        <v>4195</v>
      </c>
      <c r="H12904" s="397"/>
      <c r="I12904" s="397"/>
      <c r="J12904" s="750"/>
      <c r="K12904" s="398"/>
      <c r="L12904" s="398"/>
      <c r="M12904" s="682"/>
    </row>
    <row r="12905" spans="6:13" hidden="1" x14ac:dyDescent="0.2">
      <c r="F12905" s="494">
        <v>513</v>
      </c>
      <c r="G12905" s="497" t="s">
        <v>4196</v>
      </c>
      <c r="H12905" s="397"/>
      <c r="I12905" s="397"/>
      <c r="J12905" s="750"/>
      <c r="K12905" s="398"/>
      <c r="L12905" s="398"/>
      <c r="M12905" s="682"/>
    </row>
    <row r="12906" spans="6:13" hidden="1" x14ac:dyDescent="0.2">
      <c r="F12906" s="494">
        <v>514</v>
      </c>
      <c r="G12906" s="495" t="s">
        <v>4197</v>
      </c>
      <c r="H12906" s="397"/>
      <c r="I12906" s="397"/>
      <c r="J12906" s="750"/>
      <c r="K12906" s="398"/>
      <c r="L12906" s="398"/>
      <c r="M12906" s="682"/>
    </row>
    <row r="12907" spans="6:13" hidden="1" x14ac:dyDescent="0.2">
      <c r="F12907" s="494">
        <v>515</v>
      </c>
      <c r="G12907" s="495" t="s">
        <v>3832</v>
      </c>
      <c r="H12907" s="397"/>
      <c r="I12907" s="397"/>
      <c r="J12907" s="750"/>
      <c r="K12907" s="398"/>
      <c r="L12907" s="398"/>
      <c r="M12907" s="682"/>
    </row>
    <row r="12908" spans="6:13" hidden="1" x14ac:dyDescent="0.2">
      <c r="F12908" s="494">
        <v>521</v>
      </c>
      <c r="G12908" s="495" t="s">
        <v>4198</v>
      </c>
      <c r="H12908" s="397"/>
      <c r="I12908" s="397"/>
      <c r="J12908" s="750"/>
      <c r="K12908" s="398"/>
      <c r="L12908" s="398"/>
      <c r="M12908" s="682"/>
    </row>
    <row r="12909" spans="6:13" hidden="1" x14ac:dyDescent="0.2">
      <c r="F12909" s="494">
        <v>522</v>
      </c>
      <c r="G12909" s="495" t="s">
        <v>4199</v>
      </c>
      <c r="H12909" s="397"/>
      <c r="I12909" s="397"/>
      <c r="J12909" s="750"/>
      <c r="K12909" s="398"/>
      <c r="L12909" s="398"/>
      <c r="M12909" s="682"/>
    </row>
    <row r="12910" spans="6:13" hidden="1" x14ac:dyDescent="0.2">
      <c r="F12910" s="494">
        <v>523</v>
      </c>
      <c r="G12910" s="495" t="s">
        <v>3837</v>
      </c>
      <c r="H12910" s="397"/>
      <c r="I12910" s="397"/>
      <c r="J12910" s="750"/>
      <c r="K12910" s="398"/>
      <c r="L12910" s="398"/>
      <c r="M12910" s="682"/>
    </row>
    <row r="12911" spans="6:13" hidden="1" x14ac:dyDescent="0.2">
      <c r="F12911" s="494">
        <v>531</v>
      </c>
      <c r="G12911" s="496" t="s">
        <v>4175</v>
      </c>
      <c r="H12911" s="397"/>
      <c r="I12911" s="397"/>
      <c r="J12911" s="750"/>
      <c r="K12911" s="398"/>
      <c r="L12911" s="398"/>
      <c r="M12911" s="682"/>
    </row>
    <row r="12912" spans="6:13" hidden="1" x14ac:dyDescent="0.2">
      <c r="F12912" s="494">
        <v>541</v>
      </c>
      <c r="G12912" s="495" t="s">
        <v>4200</v>
      </c>
      <c r="H12912" s="397"/>
      <c r="I12912" s="397"/>
      <c r="J12912" s="750"/>
      <c r="K12912" s="398"/>
      <c r="L12912" s="398"/>
      <c r="M12912" s="682"/>
    </row>
    <row r="12913" spans="5:13" hidden="1" x14ac:dyDescent="0.2">
      <c r="F12913" s="494">
        <v>542</v>
      </c>
      <c r="G12913" s="495" t="s">
        <v>4201</v>
      </c>
      <c r="H12913" s="397"/>
      <c r="I12913" s="397"/>
      <c r="J12913" s="750"/>
      <c r="K12913" s="398"/>
      <c r="L12913" s="398"/>
      <c r="M12913" s="682"/>
    </row>
    <row r="12914" spans="5:13" hidden="1" x14ac:dyDescent="0.2">
      <c r="F12914" s="494">
        <v>543</v>
      </c>
      <c r="G12914" s="495" t="s">
        <v>3842</v>
      </c>
      <c r="H12914" s="397"/>
      <c r="I12914" s="397"/>
      <c r="J12914" s="750"/>
      <c r="K12914" s="398"/>
      <c r="L12914" s="398"/>
      <c r="M12914" s="682"/>
    </row>
    <row r="12915" spans="5:13" ht="38.25" hidden="1" x14ac:dyDescent="0.2">
      <c r="F12915" s="494">
        <v>551</v>
      </c>
      <c r="G12915" s="495" t="s">
        <v>4176</v>
      </c>
      <c r="H12915" s="397"/>
      <c r="I12915" s="397"/>
      <c r="J12915" s="750"/>
      <c r="K12915" s="398"/>
      <c r="L12915" s="398"/>
      <c r="M12915" s="682"/>
    </row>
    <row r="12916" spans="5:13" hidden="1" x14ac:dyDescent="0.2">
      <c r="F12916" s="498">
        <v>611</v>
      </c>
      <c r="G12916" s="499" t="s">
        <v>3848</v>
      </c>
      <c r="H12916" s="397"/>
      <c r="I12916" s="397"/>
      <c r="J12916" s="750"/>
      <c r="K12916" s="398"/>
      <c r="L12916" s="398"/>
      <c r="M12916" s="682"/>
    </row>
    <row r="12917" spans="5:13" hidden="1" x14ac:dyDescent="0.2">
      <c r="F12917" s="498">
        <v>620</v>
      </c>
      <c r="G12917" s="499" t="s">
        <v>88</v>
      </c>
      <c r="H12917" s="397"/>
      <c r="I12917" s="397"/>
      <c r="J12917" s="750"/>
      <c r="K12917" s="398"/>
      <c r="L12917" s="398"/>
      <c r="M12917" s="682"/>
    </row>
    <row r="12918" spans="5:13" hidden="1" x14ac:dyDescent="0.2">
      <c r="E12918" s="500"/>
      <c r="F12918" s="498"/>
      <c r="G12918" s="501" t="s">
        <v>4435</v>
      </c>
      <c r="H12918" s="400"/>
      <c r="I12918" s="400"/>
      <c r="J12918" s="750"/>
      <c r="K12918" s="401"/>
      <c r="L12918" s="402"/>
      <c r="M12918" s="682"/>
    </row>
    <row r="12919" spans="5:13" hidden="1" x14ac:dyDescent="0.2">
      <c r="E12919" s="502"/>
      <c r="F12919" s="503" t="s">
        <v>234</v>
      </c>
      <c r="G12919" s="504" t="s">
        <v>235</v>
      </c>
      <c r="H12919" s="403">
        <f>SUM(H12858:H12917)</f>
        <v>0</v>
      </c>
      <c r="I12919" s="403"/>
      <c r="J12919" s="750"/>
      <c r="K12919" s="404"/>
      <c r="L12919" s="404"/>
      <c r="M12919" s="682"/>
    </row>
    <row r="12920" spans="5:13" hidden="1" x14ac:dyDescent="0.2">
      <c r="F12920" s="503" t="s">
        <v>236</v>
      </c>
      <c r="G12920" s="504" t="s">
        <v>237</v>
      </c>
      <c r="H12920" s="397"/>
      <c r="I12920" s="397"/>
      <c r="J12920" s="750"/>
      <c r="K12920" s="398"/>
      <c r="L12920" s="404"/>
      <c r="M12920" s="682"/>
    </row>
    <row r="12921" spans="5:13" hidden="1" x14ac:dyDescent="0.2">
      <c r="F12921" s="503" t="s">
        <v>238</v>
      </c>
      <c r="G12921" s="504" t="s">
        <v>239</v>
      </c>
      <c r="H12921" s="397"/>
      <c r="I12921" s="397"/>
      <c r="J12921" s="750"/>
      <c r="K12921" s="398"/>
      <c r="L12921" s="404"/>
      <c r="M12921" s="682"/>
    </row>
    <row r="12922" spans="5:13" hidden="1" x14ac:dyDescent="0.2">
      <c r="F12922" s="503" t="s">
        <v>240</v>
      </c>
      <c r="G12922" s="504" t="s">
        <v>241</v>
      </c>
      <c r="H12922" s="397"/>
      <c r="I12922" s="397"/>
      <c r="J12922" s="750"/>
      <c r="K12922" s="398"/>
      <c r="L12922" s="404"/>
      <c r="M12922" s="682"/>
    </row>
    <row r="12923" spans="5:13" hidden="1" x14ac:dyDescent="0.2">
      <c r="F12923" s="503" t="s">
        <v>242</v>
      </c>
      <c r="G12923" s="504" t="s">
        <v>243</v>
      </c>
      <c r="H12923" s="397"/>
      <c r="I12923" s="397"/>
      <c r="J12923" s="750"/>
      <c r="K12923" s="398"/>
      <c r="L12923" s="404"/>
      <c r="M12923" s="682"/>
    </row>
    <row r="12924" spans="5:13" hidden="1" x14ac:dyDescent="0.2">
      <c r="F12924" s="503" t="s">
        <v>244</v>
      </c>
      <c r="G12924" s="504" t="s">
        <v>245</v>
      </c>
      <c r="H12924" s="397"/>
      <c r="I12924" s="397"/>
      <c r="J12924" s="750"/>
      <c r="K12924" s="398"/>
      <c r="L12924" s="404"/>
      <c r="M12924" s="682"/>
    </row>
    <row r="12925" spans="5:13" hidden="1" x14ac:dyDescent="0.2">
      <c r="F12925" s="503" t="s">
        <v>246</v>
      </c>
      <c r="G12925" s="504" t="s">
        <v>247</v>
      </c>
      <c r="H12925" s="397"/>
      <c r="I12925" s="397"/>
      <c r="J12925" s="750"/>
      <c r="K12925" s="398"/>
      <c r="L12925" s="404"/>
      <c r="M12925" s="682"/>
    </row>
    <row r="12926" spans="5:13" ht="25.5" hidden="1" x14ac:dyDescent="0.2">
      <c r="F12926" s="503" t="s">
        <v>248</v>
      </c>
      <c r="G12926" s="504" t="s">
        <v>249</v>
      </c>
      <c r="H12926" s="397"/>
      <c r="I12926" s="397"/>
      <c r="J12926" s="750"/>
      <c r="K12926" s="398"/>
      <c r="L12926" s="404"/>
      <c r="M12926" s="682"/>
    </row>
    <row r="12927" spans="5:13" hidden="1" x14ac:dyDescent="0.2">
      <c r="F12927" s="503" t="s">
        <v>250</v>
      </c>
      <c r="G12927" s="504" t="s">
        <v>57</v>
      </c>
      <c r="H12927" s="397"/>
      <c r="I12927" s="397"/>
      <c r="J12927" s="750"/>
      <c r="K12927" s="398"/>
      <c r="L12927" s="404"/>
      <c r="M12927" s="682"/>
    </row>
    <row r="12928" spans="5:13" hidden="1" x14ac:dyDescent="0.2">
      <c r="F12928" s="503" t="s">
        <v>251</v>
      </c>
      <c r="G12928" s="504" t="s">
        <v>252</v>
      </c>
      <c r="H12928" s="397"/>
      <c r="I12928" s="397"/>
      <c r="J12928" s="750"/>
      <c r="K12928" s="398"/>
      <c r="L12928" s="404"/>
      <c r="M12928" s="682"/>
    </row>
    <row r="12929" spans="5:13" hidden="1" x14ac:dyDescent="0.2">
      <c r="F12929" s="503" t="s">
        <v>253</v>
      </c>
      <c r="G12929" s="504" t="s">
        <v>254</v>
      </c>
      <c r="H12929" s="397"/>
      <c r="I12929" s="397"/>
      <c r="J12929" s="750"/>
      <c r="K12929" s="398"/>
      <c r="L12929" s="404"/>
      <c r="M12929" s="682"/>
    </row>
    <row r="12930" spans="5:13" ht="25.5" hidden="1" x14ac:dyDescent="0.2">
      <c r="F12930" s="503" t="s">
        <v>255</v>
      </c>
      <c r="G12930" s="504" t="s">
        <v>256</v>
      </c>
      <c r="H12930" s="397"/>
      <c r="I12930" s="397"/>
      <c r="J12930" s="750"/>
      <c r="K12930" s="398"/>
      <c r="L12930" s="404"/>
      <c r="M12930" s="682"/>
    </row>
    <row r="12931" spans="5:13" ht="25.5" hidden="1" x14ac:dyDescent="0.2">
      <c r="F12931" s="503" t="s">
        <v>257</v>
      </c>
      <c r="G12931" s="504" t="s">
        <v>258</v>
      </c>
      <c r="H12931" s="397"/>
      <c r="I12931" s="397"/>
      <c r="J12931" s="750"/>
      <c r="K12931" s="398"/>
      <c r="L12931" s="404"/>
      <c r="M12931" s="682"/>
    </row>
    <row r="12932" spans="5:13" ht="25.5" hidden="1" x14ac:dyDescent="0.2">
      <c r="F12932" s="503" t="s">
        <v>259</v>
      </c>
      <c r="G12932" s="504" t="s">
        <v>260</v>
      </c>
      <c r="H12932" s="397"/>
      <c r="I12932" s="397"/>
      <c r="J12932" s="750"/>
      <c r="K12932" s="398"/>
      <c r="L12932" s="404"/>
      <c r="M12932" s="682"/>
    </row>
    <row r="12933" spans="5:13" ht="25.5" hidden="1" x14ac:dyDescent="0.2">
      <c r="F12933" s="503" t="s">
        <v>261</v>
      </c>
      <c r="G12933" s="504" t="s">
        <v>262</v>
      </c>
      <c r="H12933" s="397"/>
      <c r="I12933" s="397"/>
      <c r="J12933" s="750"/>
      <c r="K12933" s="398"/>
      <c r="L12933" s="404"/>
      <c r="M12933" s="682"/>
    </row>
    <row r="12934" spans="5:13" hidden="1" x14ac:dyDescent="0.2">
      <c r="F12934" s="503" t="s">
        <v>263</v>
      </c>
      <c r="G12934" s="504" t="s">
        <v>264</v>
      </c>
      <c r="H12934" s="403"/>
      <c r="I12934" s="403"/>
      <c r="J12934" s="750"/>
      <c r="K12934" s="404"/>
      <c r="L12934" s="404"/>
      <c r="M12934" s="682"/>
    </row>
    <row r="12935" spans="5:13" ht="13.5" hidden="1" thickBot="1" x14ac:dyDescent="0.25">
      <c r="G12935" s="505" t="s">
        <v>4436</v>
      </c>
      <c r="H12935" s="405">
        <f>SUM(H12919:H12934)</f>
        <v>0</v>
      </c>
      <c r="I12935" s="405"/>
      <c r="J12935" s="750"/>
      <c r="K12935" s="406">
        <f>SUM(K12920:K12934)</f>
        <v>0</v>
      </c>
      <c r="L12935" s="406"/>
      <c r="M12935" s="682"/>
    </row>
    <row r="12936" spans="5:13" ht="25.5" hidden="1" collapsed="1" x14ac:dyDescent="0.2">
      <c r="E12936" s="500"/>
      <c r="F12936" s="498"/>
      <c r="G12936" s="506" t="s">
        <v>4437</v>
      </c>
      <c r="H12936" s="407"/>
      <c r="I12936" s="408"/>
      <c r="J12936" s="750"/>
      <c r="K12936" s="409"/>
      <c r="L12936" s="410"/>
      <c r="M12936" s="682"/>
    </row>
    <row r="12937" spans="5:13" hidden="1" x14ac:dyDescent="0.2">
      <c r="E12937" s="502"/>
      <c r="F12937" s="503" t="s">
        <v>234</v>
      </c>
      <c r="G12937" s="504" t="s">
        <v>235</v>
      </c>
      <c r="H12937" s="403">
        <f>SUM(H12858:H12917)</f>
        <v>0</v>
      </c>
      <c r="I12937" s="403"/>
      <c r="J12937" s="750"/>
      <c r="K12937" s="404"/>
      <c r="L12937" s="404"/>
      <c r="M12937" s="682"/>
    </row>
    <row r="12938" spans="5:13" hidden="1" x14ac:dyDescent="0.2">
      <c r="F12938" s="503" t="s">
        <v>236</v>
      </c>
      <c r="G12938" s="504" t="s">
        <v>237</v>
      </c>
      <c r="H12938" s="397"/>
      <c r="I12938" s="397"/>
      <c r="J12938" s="750"/>
      <c r="K12938" s="398"/>
      <c r="L12938" s="404"/>
      <c r="M12938" s="682"/>
    </row>
    <row r="12939" spans="5:13" hidden="1" x14ac:dyDescent="0.2">
      <c r="F12939" s="503" t="s">
        <v>238</v>
      </c>
      <c r="G12939" s="504" t="s">
        <v>239</v>
      </c>
      <c r="H12939" s="397"/>
      <c r="I12939" s="397"/>
      <c r="J12939" s="750"/>
      <c r="K12939" s="398"/>
      <c r="L12939" s="404"/>
      <c r="M12939" s="682"/>
    </row>
    <row r="12940" spans="5:13" hidden="1" x14ac:dyDescent="0.2">
      <c r="F12940" s="503" t="s">
        <v>240</v>
      </c>
      <c r="G12940" s="504" t="s">
        <v>241</v>
      </c>
      <c r="H12940" s="397"/>
      <c r="I12940" s="397"/>
      <c r="J12940" s="750"/>
      <c r="K12940" s="398"/>
      <c r="L12940" s="404"/>
      <c r="M12940" s="682"/>
    </row>
    <row r="12941" spans="5:13" hidden="1" x14ac:dyDescent="0.2">
      <c r="F12941" s="503" t="s">
        <v>242</v>
      </c>
      <c r="G12941" s="504" t="s">
        <v>243</v>
      </c>
      <c r="H12941" s="397"/>
      <c r="I12941" s="397"/>
      <c r="J12941" s="750"/>
      <c r="K12941" s="398"/>
      <c r="L12941" s="404"/>
      <c r="M12941" s="682"/>
    </row>
    <row r="12942" spans="5:13" hidden="1" x14ac:dyDescent="0.2">
      <c r="F12942" s="503" t="s">
        <v>244</v>
      </c>
      <c r="G12942" s="504" t="s">
        <v>245</v>
      </c>
      <c r="H12942" s="397"/>
      <c r="I12942" s="397"/>
      <c r="J12942" s="750"/>
      <c r="K12942" s="398"/>
      <c r="L12942" s="404"/>
      <c r="M12942" s="682"/>
    </row>
    <row r="12943" spans="5:13" hidden="1" x14ac:dyDescent="0.2">
      <c r="F12943" s="503" t="s">
        <v>246</v>
      </c>
      <c r="G12943" s="504" t="s">
        <v>247</v>
      </c>
      <c r="H12943" s="397"/>
      <c r="I12943" s="397"/>
      <c r="J12943" s="750"/>
      <c r="K12943" s="398"/>
      <c r="L12943" s="404"/>
      <c r="M12943" s="682"/>
    </row>
    <row r="12944" spans="5:13" ht="25.5" hidden="1" x14ac:dyDescent="0.2">
      <c r="F12944" s="503" t="s">
        <v>248</v>
      </c>
      <c r="G12944" s="504" t="s">
        <v>249</v>
      </c>
      <c r="H12944" s="397"/>
      <c r="I12944" s="397"/>
      <c r="J12944" s="750"/>
      <c r="K12944" s="398"/>
      <c r="L12944" s="404"/>
      <c r="M12944" s="682"/>
    </row>
    <row r="12945" spans="3:13" hidden="1" x14ac:dyDescent="0.2">
      <c r="F12945" s="503" t="s">
        <v>250</v>
      </c>
      <c r="G12945" s="504" t="s">
        <v>57</v>
      </c>
      <c r="H12945" s="397"/>
      <c r="I12945" s="397"/>
      <c r="J12945" s="750"/>
      <c r="K12945" s="398"/>
      <c r="L12945" s="404"/>
      <c r="M12945" s="682"/>
    </row>
    <row r="12946" spans="3:13" hidden="1" x14ac:dyDescent="0.2">
      <c r="F12946" s="503" t="s">
        <v>251</v>
      </c>
      <c r="G12946" s="504" t="s">
        <v>252</v>
      </c>
      <c r="H12946" s="397"/>
      <c r="I12946" s="397"/>
      <c r="J12946" s="750"/>
      <c r="K12946" s="398"/>
      <c r="L12946" s="404"/>
      <c r="M12946" s="682"/>
    </row>
    <row r="12947" spans="3:13" hidden="1" x14ac:dyDescent="0.2">
      <c r="F12947" s="503" t="s">
        <v>253</v>
      </c>
      <c r="G12947" s="504" t="s">
        <v>254</v>
      </c>
      <c r="H12947" s="397"/>
      <c r="I12947" s="397"/>
      <c r="J12947" s="750"/>
      <c r="K12947" s="398"/>
      <c r="L12947" s="404"/>
      <c r="M12947" s="682"/>
    </row>
    <row r="12948" spans="3:13" ht="25.5" hidden="1" x14ac:dyDescent="0.2">
      <c r="F12948" s="503" t="s">
        <v>255</v>
      </c>
      <c r="G12948" s="504" t="s">
        <v>256</v>
      </c>
      <c r="H12948" s="397"/>
      <c r="I12948" s="397"/>
      <c r="J12948" s="750"/>
      <c r="K12948" s="398"/>
      <c r="L12948" s="404"/>
      <c r="M12948" s="682"/>
    </row>
    <row r="12949" spans="3:13" ht="25.5" hidden="1" x14ac:dyDescent="0.2">
      <c r="F12949" s="503" t="s">
        <v>257</v>
      </c>
      <c r="G12949" s="504" t="s">
        <v>258</v>
      </c>
      <c r="H12949" s="397"/>
      <c r="I12949" s="397"/>
      <c r="J12949" s="750"/>
      <c r="K12949" s="398"/>
      <c r="L12949" s="404"/>
      <c r="M12949" s="682"/>
    </row>
    <row r="12950" spans="3:13" ht="25.5" hidden="1" x14ac:dyDescent="0.2">
      <c r="F12950" s="503" t="s">
        <v>259</v>
      </c>
      <c r="G12950" s="504" t="s">
        <v>260</v>
      </c>
      <c r="H12950" s="397"/>
      <c r="I12950" s="397"/>
      <c r="J12950" s="750"/>
      <c r="K12950" s="398"/>
      <c r="L12950" s="404"/>
      <c r="M12950" s="682"/>
    </row>
    <row r="12951" spans="3:13" ht="25.5" hidden="1" x14ac:dyDescent="0.2">
      <c r="F12951" s="503" t="s">
        <v>261</v>
      </c>
      <c r="G12951" s="504" t="s">
        <v>262</v>
      </c>
      <c r="H12951" s="397"/>
      <c r="I12951" s="397"/>
      <c r="J12951" s="750"/>
      <c r="K12951" s="398"/>
      <c r="L12951" s="404"/>
      <c r="M12951" s="682"/>
    </row>
    <row r="12952" spans="3:13" hidden="1" x14ac:dyDescent="0.2">
      <c r="F12952" s="503" t="s">
        <v>263</v>
      </c>
      <c r="G12952" s="504" t="s">
        <v>264</v>
      </c>
      <c r="H12952" s="403"/>
      <c r="I12952" s="403"/>
      <c r="J12952" s="750"/>
      <c r="K12952" s="404"/>
      <c r="L12952" s="404"/>
      <c r="M12952" s="682"/>
    </row>
    <row r="12953" spans="3:13" ht="13.5" hidden="1" collapsed="1" thickBot="1" x14ac:dyDescent="0.25">
      <c r="G12953" s="505" t="s">
        <v>4438</v>
      </c>
      <c r="H12953" s="405">
        <f>SUM(H12937:H12952)</f>
        <v>0</v>
      </c>
      <c r="I12953" s="405"/>
      <c r="J12953" s="750"/>
      <c r="K12953" s="406">
        <f>SUM(K12938:K12952)</f>
        <v>0</v>
      </c>
      <c r="L12953" s="406"/>
      <c r="M12953" s="682"/>
    </row>
    <row r="12954" spans="3:13" hidden="1" x14ac:dyDescent="0.2">
      <c r="H12954" s="397"/>
      <c r="I12954" s="397"/>
      <c r="J12954" s="750"/>
      <c r="K12954" s="398"/>
      <c r="L12954" s="398"/>
      <c r="M12954" s="682"/>
    </row>
    <row r="12955" spans="3:13" hidden="1" x14ac:dyDescent="0.2">
      <c r="C12955" s="489" t="s">
        <v>4834</v>
      </c>
      <c r="D12955" s="490"/>
      <c r="G12955" s="508" t="s">
        <v>4232</v>
      </c>
      <c r="H12955" s="397"/>
      <c r="I12955" s="397"/>
      <c r="J12955" s="750"/>
      <c r="K12955" s="398"/>
      <c r="L12955" s="398"/>
      <c r="M12955" s="682"/>
    </row>
    <row r="12956" spans="3:13" hidden="1" x14ac:dyDescent="0.2">
      <c r="C12956" s="489"/>
      <c r="D12956" s="492">
        <v>820</v>
      </c>
      <c r="E12956" s="492"/>
      <c r="F12956" s="492"/>
      <c r="G12956" s="493" t="s">
        <v>207</v>
      </c>
      <c r="H12956" s="397"/>
      <c r="I12956" s="397"/>
      <c r="J12956" s="750"/>
      <c r="K12956" s="398"/>
      <c r="L12956" s="398"/>
      <c r="M12956" s="682"/>
    </row>
    <row r="12957" spans="3:13" hidden="1" x14ac:dyDescent="0.2">
      <c r="F12957" s="494">
        <v>411</v>
      </c>
      <c r="G12957" s="495" t="s">
        <v>4167</v>
      </c>
      <c r="H12957" s="397"/>
      <c r="I12957" s="397"/>
      <c r="J12957" s="750"/>
      <c r="K12957" s="398"/>
      <c r="L12957" s="398"/>
      <c r="M12957" s="682"/>
    </row>
    <row r="12958" spans="3:13" hidden="1" x14ac:dyDescent="0.2">
      <c r="F12958" s="494">
        <v>412</v>
      </c>
      <c r="G12958" s="496" t="s">
        <v>3764</v>
      </c>
      <c r="H12958" s="397"/>
      <c r="I12958" s="397"/>
      <c r="J12958" s="750"/>
      <c r="K12958" s="398"/>
      <c r="L12958" s="398"/>
      <c r="M12958" s="682"/>
    </row>
    <row r="12959" spans="3:13" hidden="1" x14ac:dyDescent="0.2">
      <c r="F12959" s="494">
        <v>413</v>
      </c>
      <c r="G12959" s="495" t="s">
        <v>4168</v>
      </c>
      <c r="H12959" s="397"/>
      <c r="I12959" s="397"/>
      <c r="J12959" s="750"/>
      <c r="K12959" s="398"/>
      <c r="L12959" s="398"/>
      <c r="M12959" s="682"/>
    </row>
    <row r="12960" spans="3:13" hidden="1" x14ac:dyDescent="0.2">
      <c r="F12960" s="494">
        <v>414</v>
      </c>
      <c r="G12960" s="495" t="s">
        <v>3767</v>
      </c>
      <c r="H12960" s="397"/>
      <c r="I12960" s="397"/>
      <c r="J12960" s="750"/>
      <c r="K12960" s="398"/>
      <c r="L12960" s="398"/>
      <c r="M12960" s="682"/>
    </row>
    <row r="12961" spans="6:13" hidden="1" x14ac:dyDescent="0.2">
      <c r="F12961" s="494">
        <v>415</v>
      </c>
      <c r="G12961" s="495" t="s">
        <v>4177</v>
      </c>
      <c r="H12961" s="397"/>
      <c r="I12961" s="397"/>
      <c r="J12961" s="750"/>
      <c r="K12961" s="398"/>
      <c r="L12961" s="398"/>
      <c r="M12961" s="682"/>
    </row>
    <row r="12962" spans="6:13" ht="25.5" hidden="1" x14ac:dyDescent="0.2">
      <c r="F12962" s="494">
        <v>416</v>
      </c>
      <c r="G12962" s="495" t="s">
        <v>4178</v>
      </c>
      <c r="H12962" s="397"/>
      <c r="I12962" s="397"/>
      <c r="J12962" s="750"/>
      <c r="K12962" s="398"/>
      <c r="L12962" s="398"/>
      <c r="M12962" s="682"/>
    </row>
    <row r="12963" spans="6:13" hidden="1" x14ac:dyDescent="0.2">
      <c r="F12963" s="494">
        <v>417</v>
      </c>
      <c r="G12963" s="495" t="s">
        <v>4179</v>
      </c>
      <c r="H12963" s="397"/>
      <c r="I12963" s="397"/>
      <c r="J12963" s="750"/>
      <c r="K12963" s="398"/>
      <c r="L12963" s="398"/>
      <c r="M12963" s="682"/>
    </row>
    <row r="12964" spans="6:13" hidden="1" x14ac:dyDescent="0.2">
      <c r="F12964" s="494">
        <v>418</v>
      </c>
      <c r="G12964" s="495" t="s">
        <v>3773</v>
      </c>
      <c r="H12964" s="397"/>
      <c r="I12964" s="397"/>
      <c r="J12964" s="750"/>
      <c r="K12964" s="398"/>
      <c r="L12964" s="398"/>
      <c r="M12964" s="682"/>
    </row>
    <row r="12965" spans="6:13" hidden="1" x14ac:dyDescent="0.2">
      <c r="F12965" s="494">
        <v>421</v>
      </c>
      <c r="G12965" s="495" t="s">
        <v>3777</v>
      </c>
      <c r="H12965" s="397"/>
      <c r="I12965" s="397"/>
      <c r="J12965" s="750"/>
      <c r="K12965" s="398"/>
      <c r="L12965" s="398"/>
      <c r="M12965" s="682"/>
    </row>
    <row r="12966" spans="6:13" hidden="1" x14ac:dyDescent="0.2">
      <c r="F12966" s="494">
        <v>422</v>
      </c>
      <c r="G12966" s="495" t="s">
        <v>3778</v>
      </c>
      <c r="H12966" s="397"/>
      <c r="I12966" s="397"/>
      <c r="J12966" s="750"/>
      <c r="K12966" s="398"/>
      <c r="L12966" s="398"/>
      <c r="M12966" s="682"/>
    </row>
    <row r="12967" spans="6:13" hidden="1" x14ac:dyDescent="0.2">
      <c r="F12967" s="494">
        <v>423</v>
      </c>
      <c r="G12967" s="495" t="s">
        <v>3779</v>
      </c>
      <c r="H12967" s="397"/>
      <c r="I12967" s="397"/>
      <c r="J12967" s="750"/>
      <c r="K12967" s="398"/>
      <c r="L12967" s="398"/>
      <c r="M12967" s="682"/>
    </row>
    <row r="12968" spans="6:13" hidden="1" x14ac:dyDescent="0.2">
      <c r="F12968" s="494">
        <v>424</v>
      </c>
      <c r="G12968" s="495" t="s">
        <v>3781</v>
      </c>
      <c r="H12968" s="397"/>
      <c r="I12968" s="397"/>
      <c r="J12968" s="750"/>
      <c r="K12968" s="398"/>
      <c r="L12968" s="398"/>
      <c r="M12968" s="682"/>
    </row>
    <row r="12969" spans="6:13" hidden="1" x14ac:dyDescent="0.2">
      <c r="F12969" s="494">
        <v>425</v>
      </c>
      <c r="G12969" s="495" t="s">
        <v>4180</v>
      </c>
      <c r="H12969" s="397"/>
      <c r="I12969" s="397"/>
      <c r="J12969" s="750"/>
      <c r="K12969" s="398"/>
      <c r="L12969" s="398"/>
      <c r="M12969" s="682"/>
    </row>
    <row r="12970" spans="6:13" hidden="1" x14ac:dyDescent="0.2">
      <c r="F12970" s="494">
        <v>426</v>
      </c>
      <c r="G12970" s="495" t="s">
        <v>3785</v>
      </c>
      <c r="H12970" s="397"/>
      <c r="I12970" s="397"/>
      <c r="J12970" s="750"/>
      <c r="K12970" s="398"/>
      <c r="L12970" s="398"/>
      <c r="M12970" s="682"/>
    </row>
    <row r="12971" spans="6:13" hidden="1" x14ac:dyDescent="0.2">
      <c r="F12971" s="494">
        <v>431</v>
      </c>
      <c r="G12971" s="495" t="s">
        <v>4181</v>
      </c>
      <c r="H12971" s="397"/>
      <c r="I12971" s="397"/>
      <c r="J12971" s="750"/>
      <c r="K12971" s="398"/>
      <c r="L12971" s="398"/>
      <c r="M12971" s="682"/>
    </row>
    <row r="12972" spans="6:13" hidden="1" x14ac:dyDescent="0.2">
      <c r="F12972" s="494">
        <v>432</v>
      </c>
      <c r="G12972" s="495" t="s">
        <v>4182</v>
      </c>
      <c r="H12972" s="397"/>
      <c r="I12972" s="397"/>
      <c r="J12972" s="750"/>
      <c r="K12972" s="398"/>
      <c r="L12972" s="398"/>
      <c r="M12972" s="682"/>
    </row>
    <row r="12973" spans="6:13" hidden="1" x14ac:dyDescent="0.2">
      <c r="F12973" s="494">
        <v>433</v>
      </c>
      <c r="G12973" s="495" t="s">
        <v>4183</v>
      </c>
      <c r="H12973" s="397"/>
      <c r="I12973" s="397"/>
      <c r="J12973" s="750"/>
      <c r="K12973" s="398"/>
      <c r="L12973" s="398"/>
      <c r="M12973" s="682"/>
    </row>
    <row r="12974" spans="6:13" hidden="1" x14ac:dyDescent="0.2">
      <c r="F12974" s="494">
        <v>434</v>
      </c>
      <c r="G12974" s="495" t="s">
        <v>4184</v>
      </c>
      <c r="H12974" s="397"/>
      <c r="I12974" s="397"/>
      <c r="J12974" s="750"/>
      <c r="K12974" s="398"/>
      <c r="L12974" s="398"/>
      <c r="M12974" s="682"/>
    </row>
    <row r="12975" spans="6:13" hidden="1" x14ac:dyDescent="0.2">
      <c r="F12975" s="494">
        <v>435</v>
      </c>
      <c r="G12975" s="495" t="s">
        <v>3792</v>
      </c>
      <c r="H12975" s="397"/>
      <c r="I12975" s="397"/>
      <c r="J12975" s="750"/>
      <c r="K12975" s="398"/>
      <c r="L12975" s="398"/>
      <c r="M12975" s="682"/>
    </row>
    <row r="12976" spans="6:13" hidden="1" x14ac:dyDescent="0.2">
      <c r="F12976" s="494">
        <v>441</v>
      </c>
      <c r="G12976" s="495" t="s">
        <v>4185</v>
      </c>
      <c r="H12976" s="397"/>
      <c r="I12976" s="397"/>
      <c r="J12976" s="750"/>
      <c r="K12976" s="398"/>
      <c r="L12976" s="398"/>
      <c r="M12976" s="682"/>
    </row>
    <row r="12977" spans="6:13" hidden="1" x14ac:dyDescent="0.2">
      <c r="F12977" s="494">
        <v>442</v>
      </c>
      <c r="G12977" s="495" t="s">
        <v>4186</v>
      </c>
      <c r="H12977" s="397"/>
      <c r="I12977" s="397"/>
      <c r="J12977" s="750"/>
      <c r="K12977" s="398"/>
      <c r="L12977" s="398"/>
      <c r="M12977" s="682"/>
    </row>
    <row r="12978" spans="6:13" hidden="1" x14ac:dyDescent="0.2">
      <c r="F12978" s="494">
        <v>443</v>
      </c>
      <c r="G12978" s="495" t="s">
        <v>3797</v>
      </c>
      <c r="H12978" s="397"/>
      <c r="I12978" s="397"/>
      <c r="J12978" s="750"/>
      <c r="K12978" s="398"/>
      <c r="L12978" s="398"/>
      <c r="M12978" s="682"/>
    </row>
    <row r="12979" spans="6:13" hidden="1" x14ac:dyDescent="0.2">
      <c r="F12979" s="494">
        <v>444</v>
      </c>
      <c r="G12979" s="495" t="s">
        <v>3798</v>
      </c>
      <c r="H12979" s="397"/>
      <c r="I12979" s="397"/>
      <c r="J12979" s="750"/>
      <c r="K12979" s="398"/>
      <c r="L12979" s="398"/>
      <c r="M12979" s="682"/>
    </row>
    <row r="12980" spans="6:13" ht="25.5" hidden="1" x14ac:dyDescent="0.2">
      <c r="F12980" s="494">
        <v>4511</v>
      </c>
      <c r="G12980" s="466" t="s">
        <v>1692</v>
      </c>
      <c r="H12980" s="397"/>
      <c r="I12980" s="397"/>
      <c r="J12980" s="750"/>
      <c r="K12980" s="398"/>
      <c r="L12980" s="398"/>
      <c r="M12980" s="682"/>
    </row>
    <row r="12981" spans="6:13" ht="25.5" hidden="1" x14ac:dyDescent="0.2">
      <c r="F12981" s="494">
        <v>4512</v>
      </c>
      <c r="G12981" s="466" t="s">
        <v>1701</v>
      </c>
      <c r="H12981" s="397"/>
      <c r="I12981" s="397"/>
      <c r="J12981" s="750"/>
      <c r="K12981" s="398"/>
      <c r="L12981" s="398"/>
      <c r="M12981" s="682"/>
    </row>
    <row r="12982" spans="6:13" ht="25.5" hidden="1" x14ac:dyDescent="0.2">
      <c r="F12982" s="494">
        <v>452</v>
      </c>
      <c r="G12982" s="495" t="s">
        <v>4187</v>
      </c>
      <c r="H12982" s="397"/>
      <c r="I12982" s="397"/>
      <c r="J12982" s="750"/>
      <c r="K12982" s="398"/>
      <c r="L12982" s="398"/>
      <c r="M12982" s="682"/>
    </row>
    <row r="12983" spans="6:13" ht="25.5" hidden="1" x14ac:dyDescent="0.2">
      <c r="F12983" s="494">
        <v>453</v>
      </c>
      <c r="G12983" s="495" t="s">
        <v>4188</v>
      </c>
      <c r="H12983" s="397"/>
      <c r="I12983" s="397"/>
      <c r="J12983" s="750"/>
      <c r="K12983" s="398"/>
      <c r="L12983" s="398"/>
      <c r="M12983" s="682"/>
    </row>
    <row r="12984" spans="6:13" hidden="1" x14ac:dyDescent="0.2">
      <c r="F12984" s="494">
        <v>454</v>
      </c>
      <c r="G12984" s="495" t="s">
        <v>3803</v>
      </c>
      <c r="H12984" s="397"/>
      <c r="I12984" s="397"/>
      <c r="J12984" s="750"/>
      <c r="K12984" s="398"/>
      <c r="L12984" s="398"/>
      <c r="M12984" s="682"/>
    </row>
    <row r="12985" spans="6:13" hidden="1" x14ac:dyDescent="0.2">
      <c r="F12985" s="494">
        <v>461</v>
      </c>
      <c r="G12985" s="495" t="s">
        <v>4169</v>
      </c>
      <c r="H12985" s="397"/>
      <c r="I12985" s="397"/>
      <c r="J12985" s="750"/>
      <c r="K12985" s="398"/>
      <c r="L12985" s="398"/>
      <c r="M12985" s="682"/>
    </row>
    <row r="12986" spans="6:13" ht="25.5" hidden="1" x14ac:dyDescent="0.2">
      <c r="F12986" s="494">
        <v>462</v>
      </c>
      <c r="G12986" s="495" t="s">
        <v>3806</v>
      </c>
      <c r="H12986" s="397"/>
      <c r="I12986" s="397"/>
      <c r="J12986" s="750"/>
      <c r="K12986" s="398"/>
      <c r="L12986" s="398"/>
      <c r="M12986" s="682"/>
    </row>
    <row r="12987" spans="6:13" hidden="1" x14ac:dyDescent="0.2">
      <c r="F12987" s="494">
        <v>4631</v>
      </c>
      <c r="G12987" s="495" t="s">
        <v>3807</v>
      </c>
      <c r="H12987" s="397"/>
      <c r="I12987" s="397"/>
      <c r="J12987" s="750"/>
      <c r="K12987" s="398"/>
      <c r="L12987" s="398"/>
      <c r="M12987" s="682"/>
    </row>
    <row r="12988" spans="6:13" hidden="1" x14ac:dyDescent="0.2">
      <c r="F12988" s="494">
        <v>4632</v>
      </c>
      <c r="G12988" s="495" t="s">
        <v>3808</v>
      </c>
      <c r="H12988" s="397"/>
      <c r="I12988" s="397"/>
      <c r="J12988" s="750"/>
      <c r="K12988" s="398"/>
      <c r="L12988" s="398"/>
      <c r="M12988" s="682"/>
    </row>
    <row r="12989" spans="6:13" ht="25.5" hidden="1" x14ac:dyDescent="0.2">
      <c r="F12989" s="494">
        <v>464</v>
      </c>
      <c r="G12989" s="495" t="s">
        <v>3809</v>
      </c>
      <c r="H12989" s="397"/>
      <c r="I12989" s="397"/>
      <c r="J12989" s="750"/>
      <c r="K12989" s="398"/>
      <c r="L12989" s="398"/>
      <c r="M12989" s="682"/>
    </row>
    <row r="12990" spans="6:13" hidden="1" x14ac:dyDescent="0.2">
      <c r="F12990" s="494">
        <v>465</v>
      </c>
      <c r="G12990" s="495" t="s">
        <v>4170</v>
      </c>
      <c r="H12990" s="397"/>
      <c r="I12990" s="397"/>
      <c r="J12990" s="750"/>
      <c r="K12990" s="398"/>
      <c r="L12990" s="398"/>
      <c r="M12990" s="682"/>
    </row>
    <row r="12991" spans="6:13" hidden="1" x14ac:dyDescent="0.2">
      <c r="F12991" s="494">
        <v>472</v>
      </c>
      <c r="G12991" s="495" t="s">
        <v>3813</v>
      </c>
      <c r="H12991" s="397"/>
      <c r="I12991" s="397"/>
      <c r="J12991" s="750"/>
      <c r="K12991" s="398"/>
      <c r="L12991" s="398"/>
      <c r="M12991" s="682"/>
    </row>
    <row r="12992" spans="6:13" hidden="1" x14ac:dyDescent="0.2">
      <c r="F12992" s="494">
        <v>481</v>
      </c>
      <c r="G12992" s="495" t="s">
        <v>4189</v>
      </c>
      <c r="H12992" s="397"/>
      <c r="I12992" s="397"/>
      <c r="J12992" s="750"/>
      <c r="K12992" s="398"/>
      <c r="L12992" s="398"/>
      <c r="M12992" s="682"/>
    </row>
    <row r="12993" spans="6:13" hidden="1" x14ac:dyDescent="0.2">
      <c r="F12993" s="494">
        <v>482</v>
      </c>
      <c r="G12993" s="495" t="s">
        <v>4190</v>
      </c>
      <c r="H12993" s="397"/>
      <c r="I12993" s="397"/>
      <c r="J12993" s="750"/>
      <c r="K12993" s="398"/>
      <c r="L12993" s="398"/>
      <c r="M12993" s="682"/>
    </row>
    <row r="12994" spans="6:13" hidden="1" x14ac:dyDescent="0.2">
      <c r="F12994" s="494">
        <v>483</v>
      </c>
      <c r="G12994" s="497" t="s">
        <v>4191</v>
      </c>
      <c r="H12994" s="397"/>
      <c r="I12994" s="397"/>
      <c r="J12994" s="750"/>
      <c r="K12994" s="398"/>
      <c r="L12994" s="398"/>
      <c r="M12994" s="682"/>
    </row>
    <row r="12995" spans="6:13" ht="38.25" hidden="1" x14ac:dyDescent="0.2">
      <c r="F12995" s="494">
        <v>484</v>
      </c>
      <c r="G12995" s="495" t="s">
        <v>4192</v>
      </c>
      <c r="H12995" s="397"/>
      <c r="I12995" s="397"/>
      <c r="J12995" s="750"/>
      <c r="K12995" s="398"/>
      <c r="L12995" s="398"/>
      <c r="M12995" s="682"/>
    </row>
    <row r="12996" spans="6:13" ht="25.5" hidden="1" x14ac:dyDescent="0.2">
      <c r="F12996" s="494">
        <v>485</v>
      </c>
      <c r="G12996" s="495" t="s">
        <v>4193</v>
      </c>
      <c r="H12996" s="397"/>
      <c r="I12996" s="397"/>
      <c r="J12996" s="750"/>
      <c r="K12996" s="398"/>
      <c r="L12996" s="398"/>
      <c r="M12996" s="682"/>
    </row>
    <row r="12997" spans="6:13" ht="25.5" hidden="1" x14ac:dyDescent="0.2">
      <c r="F12997" s="494">
        <v>489</v>
      </c>
      <c r="G12997" s="495" t="s">
        <v>3821</v>
      </c>
      <c r="H12997" s="397"/>
      <c r="I12997" s="397"/>
      <c r="J12997" s="750"/>
      <c r="K12997" s="398"/>
      <c r="L12997" s="398"/>
      <c r="M12997" s="682"/>
    </row>
    <row r="12998" spans="6:13" ht="25.5" hidden="1" x14ac:dyDescent="0.2">
      <c r="F12998" s="494">
        <v>494</v>
      </c>
      <c r="G12998" s="495" t="s">
        <v>4171</v>
      </c>
      <c r="H12998" s="397"/>
      <c r="I12998" s="397"/>
      <c r="J12998" s="750"/>
      <c r="K12998" s="398"/>
      <c r="L12998" s="398"/>
      <c r="M12998" s="682"/>
    </row>
    <row r="12999" spans="6:13" ht="25.5" hidden="1" x14ac:dyDescent="0.2">
      <c r="F12999" s="494">
        <v>495</v>
      </c>
      <c r="G12999" s="495" t="s">
        <v>4172</v>
      </c>
      <c r="H12999" s="397"/>
      <c r="I12999" s="397"/>
      <c r="J12999" s="750"/>
      <c r="K12999" s="398"/>
      <c r="L12999" s="398"/>
      <c r="M12999" s="682"/>
    </row>
    <row r="13000" spans="6:13" ht="38.25" hidden="1" x14ac:dyDescent="0.2">
      <c r="F13000" s="494">
        <v>496</v>
      </c>
      <c r="G13000" s="495" t="s">
        <v>4173</v>
      </c>
      <c r="H13000" s="397"/>
      <c r="I13000" s="397"/>
      <c r="J13000" s="750"/>
      <c r="K13000" s="398"/>
      <c r="L13000" s="398"/>
      <c r="M13000" s="682"/>
    </row>
    <row r="13001" spans="6:13" ht="25.5" hidden="1" x14ac:dyDescent="0.2">
      <c r="F13001" s="494">
        <v>499</v>
      </c>
      <c r="G13001" s="495" t="s">
        <v>4174</v>
      </c>
      <c r="H13001" s="397"/>
      <c r="I13001" s="397"/>
      <c r="J13001" s="750"/>
      <c r="K13001" s="398"/>
      <c r="L13001" s="398"/>
      <c r="M13001" s="682"/>
    </row>
    <row r="13002" spans="6:13" hidden="1" x14ac:dyDescent="0.2">
      <c r="F13002" s="494">
        <v>511</v>
      </c>
      <c r="G13002" s="497" t="s">
        <v>4194</v>
      </c>
      <c r="H13002" s="397"/>
      <c r="I13002" s="397"/>
      <c r="J13002" s="750"/>
      <c r="K13002" s="398"/>
      <c r="L13002" s="398"/>
      <c r="M13002" s="682"/>
    </row>
    <row r="13003" spans="6:13" hidden="1" x14ac:dyDescent="0.2">
      <c r="F13003" s="494">
        <v>512</v>
      </c>
      <c r="G13003" s="497" t="s">
        <v>4195</v>
      </c>
      <c r="H13003" s="397"/>
      <c r="I13003" s="397"/>
      <c r="J13003" s="750"/>
      <c r="K13003" s="398"/>
      <c r="L13003" s="398"/>
      <c r="M13003" s="682"/>
    </row>
    <row r="13004" spans="6:13" hidden="1" x14ac:dyDescent="0.2">
      <c r="F13004" s="494">
        <v>513</v>
      </c>
      <c r="G13004" s="497" t="s">
        <v>4196</v>
      </c>
      <c r="H13004" s="397"/>
      <c r="I13004" s="397"/>
      <c r="J13004" s="750"/>
      <c r="K13004" s="398"/>
      <c r="L13004" s="398"/>
      <c r="M13004" s="682"/>
    </row>
    <row r="13005" spans="6:13" hidden="1" x14ac:dyDescent="0.2">
      <c r="F13005" s="494">
        <v>514</v>
      </c>
      <c r="G13005" s="495" t="s">
        <v>4197</v>
      </c>
      <c r="H13005" s="397"/>
      <c r="I13005" s="397"/>
      <c r="J13005" s="750"/>
      <c r="K13005" s="398"/>
      <c r="L13005" s="398"/>
      <c r="M13005" s="682"/>
    </row>
    <row r="13006" spans="6:13" hidden="1" x14ac:dyDescent="0.2">
      <c r="F13006" s="494">
        <v>515</v>
      </c>
      <c r="G13006" s="495" t="s">
        <v>3832</v>
      </c>
      <c r="H13006" s="397"/>
      <c r="I13006" s="397"/>
      <c r="J13006" s="750"/>
      <c r="K13006" s="398"/>
      <c r="L13006" s="398"/>
      <c r="M13006" s="682"/>
    </row>
    <row r="13007" spans="6:13" hidden="1" x14ac:dyDescent="0.2">
      <c r="F13007" s="494">
        <v>521</v>
      </c>
      <c r="G13007" s="495" t="s">
        <v>4198</v>
      </c>
      <c r="H13007" s="397"/>
      <c r="I13007" s="397"/>
      <c r="J13007" s="750"/>
      <c r="K13007" s="398"/>
      <c r="L13007" s="398"/>
      <c r="M13007" s="682"/>
    </row>
    <row r="13008" spans="6:13" hidden="1" x14ac:dyDescent="0.2">
      <c r="F13008" s="494">
        <v>522</v>
      </c>
      <c r="G13008" s="495" t="s">
        <v>4199</v>
      </c>
      <c r="H13008" s="397"/>
      <c r="I13008" s="397"/>
      <c r="J13008" s="750"/>
      <c r="K13008" s="398"/>
      <c r="L13008" s="398"/>
      <c r="M13008" s="682"/>
    </row>
    <row r="13009" spans="5:13" hidden="1" x14ac:dyDescent="0.2">
      <c r="F13009" s="494">
        <v>523</v>
      </c>
      <c r="G13009" s="495" t="s">
        <v>3837</v>
      </c>
      <c r="H13009" s="397"/>
      <c r="I13009" s="397"/>
      <c r="J13009" s="750"/>
      <c r="K13009" s="398"/>
      <c r="L13009" s="398"/>
      <c r="M13009" s="682"/>
    </row>
    <row r="13010" spans="5:13" hidden="1" x14ac:dyDescent="0.2">
      <c r="F13010" s="494">
        <v>531</v>
      </c>
      <c r="G13010" s="496" t="s">
        <v>4175</v>
      </c>
      <c r="H13010" s="397"/>
      <c r="I13010" s="397"/>
      <c r="J13010" s="750"/>
      <c r="K13010" s="398"/>
      <c r="L13010" s="398"/>
      <c r="M13010" s="682"/>
    </row>
    <row r="13011" spans="5:13" hidden="1" x14ac:dyDescent="0.2">
      <c r="F13011" s="494">
        <v>541</v>
      </c>
      <c r="G13011" s="495" t="s">
        <v>4200</v>
      </c>
      <c r="H13011" s="397"/>
      <c r="I13011" s="397"/>
      <c r="J13011" s="750"/>
      <c r="K13011" s="398"/>
      <c r="L13011" s="398"/>
      <c r="M13011" s="682"/>
    </row>
    <row r="13012" spans="5:13" hidden="1" x14ac:dyDescent="0.2">
      <c r="F13012" s="494">
        <v>542</v>
      </c>
      <c r="G13012" s="495" t="s">
        <v>4201</v>
      </c>
      <c r="H13012" s="397"/>
      <c r="I13012" s="397"/>
      <c r="J13012" s="750"/>
      <c r="K13012" s="398"/>
      <c r="L13012" s="398"/>
      <c r="M13012" s="682"/>
    </row>
    <row r="13013" spans="5:13" hidden="1" x14ac:dyDescent="0.2">
      <c r="F13013" s="494">
        <v>543</v>
      </c>
      <c r="G13013" s="495" t="s">
        <v>3842</v>
      </c>
      <c r="H13013" s="397"/>
      <c r="I13013" s="397"/>
      <c r="J13013" s="750"/>
      <c r="K13013" s="398"/>
      <c r="L13013" s="398"/>
      <c r="M13013" s="682"/>
    </row>
    <row r="13014" spans="5:13" ht="38.25" hidden="1" x14ac:dyDescent="0.2">
      <c r="F13014" s="494">
        <v>551</v>
      </c>
      <c r="G13014" s="495" t="s">
        <v>4176</v>
      </c>
      <c r="H13014" s="397"/>
      <c r="I13014" s="397"/>
      <c r="J13014" s="750"/>
      <c r="K13014" s="398"/>
      <c r="L13014" s="398"/>
      <c r="M13014" s="682"/>
    </row>
    <row r="13015" spans="5:13" hidden="1" x14ac:dyDescent="0.2">
      <c r="F13015" s="498">
        <v>611</v>
      </c>
      <c r="G13015" s="499" t="s">
        <v>3848</v>
      </c>
      <c r="H13015" s="397"/>
      <c r="I13015" s="397"/>
      <c r="J13015" s="750"/>
      <c r="K13015" s="398"/>
      <c r="L13015" s="398"/>
      <c r="M13015" s="682"/>
    </row>
    <row r="13016" spans="5:13" hidden="1" x14ac:dyDescent="0.2">
      <c r="F13016" s="498">
        <v>620</v>
      </c>
      <c r="G13016" s="499" t="s">
        <v>88</v>
      </c>
      <c r="H13016" s="397"/>
      <c r="I13016" s="397"/>
      <c r="J13016" s="750"/>
      <c r="K13016" s="398"/>
      <c r="L13016" s="398"/>
      <c r="M13016" s="682"/>
    </row>
    <row r="13017" spans="5:13" hidden="1" x14ac:dyDescent="0.2">
      <c r="E13017" s="500"/>
      <c r="F13017" s="498"/>
      <c r="G13017" s="509" t="s">
        <v>4435</v>
      </c>
      <c r="H13017" s="400"/>
      <c r="I13017" s="400"/>
      <c r="J13017" s="750"/>
      <c r="K13017" s="401"/>
      <c r="L13017" s="402"/>
      <c r="M13017" s="682"/>
    </row>
    <row r="13018" spans="5:13" hidden="1" x14ac:dyDescent="0.2">
      <c r="E13018" s="502"/>
      <c r="F13018" s="503" t="s">
        <v>234</v>
      </c>
      <c r="G13018" s="504" t="s">
        <v>235</v>
      </c>
      <c r="H13018" s="403">
        <f>SUM(H12957:H13016)</f>
        <v>0</v>
      </c>
      <c r="I13018" s="403"/>
      <c r="J13018" s="750"/>
      <c r="K13018" s="404"/>
      <c r="L13018" s="404"/>
      <c r="M13018" s="682"/>
    </row>
    <row r="13019" spans="5:13" hidden="1" x14ac:dyDescent="0.2">
      <c r="F13019" s="503" t="s">
        <v>236</v>
      </c>
      <c r="G13019" s="504" t="s">
        <v>237</v>
      </c>
      <c r="H13019" s="397"/>
      <c r="I13019" s="397"/>
      <c r="J13019" s="750"/>
      <c r="K13019" s="398"/>
      <c r="L13019" s="404"/>
      <c r="M13019" s="682"/>
    </row>
    <row r="13020" spans="5:13" hidden="1" x14ac:dyDescent="0.2">
      <c r="F13020" s="503" t="s">
        <v>238</v>
      </c>
      <c r="G13020" s="504" t="s">
        <v>239</v>
      </c>
      <c r="H13020" s="397"/>
      <c r="I13020" s="397"/>
      <c r="J13020" s="750"/>
      <c r="K13020" s="398"/>
      <c r="L13020" s="404"/>
      <c r="M13020" s="682"/>
    </row>
    <row r="13021" spans="5:13" hidden="1" x14ac:dyDescent="0.2">
      <c r="F13021" s="503" t="s">
        <v>240</v>
      </c>
      <c r="G13021" s="504" t="s">
        <v>241</v>
      </c>
      <c r="H13021" s="397"/>
      <c r="I13021" s="397"/>
      <c r="J13021" s="750"/>
      <c r="K13021" s="398"/>
      <c r="L13021" s="404"/>
      <c r="M13021" s="682"/>
    </row>
    <row r="13022" spans="5:13" hidden="1" x14ac:dyDescent="0.2">
      <c r="F13022" s="503" t="s">
        <v>242</v>
      </c>
      <c r="G13022" s="504" t="s">
        <v>243</v>
      </c>
      <c r="H13022" s="397"/>
      <c r="I13022" s="397"/>
      <c r="J13022" s="750"/>
      <c r="K13022" s="398"/>
      <c r="L13022" s="404"/>
      <c r="M13022" s="682"/>
    </row>
    <row r="13023" spans="5:13" hidden="1" x14ac:dyDescent="0.2">
      <c r="F13023" s="503" t="s">
        <v>244</v>
      </c>
      <c r="G13023" s="504" t="s">
        <v>245</v>
      </c>
      <c r="H13023" s="397"/>
      <c r="I13023" s="397"/>
      <c r="J13023" s="750"/>
      <c r="K13023" s="398"/>
      <c r="L13023" s="404"/>
      <c r="M13023" s="682"/>
    </row>
    <row r="13024" spans="5:13" hidden="1" x14ac:dyDescent="0.2">
      <c r="F13024" s="503" t="s">
        <v>246</v>
      </c>
      <c r="G13024" s="504" t="s">
        <v>247</v>
      </c>
      <c r="H13024" s="397"/>
      <c r="I13024" s="397"/>
      <c r="J13024" s="750"/>
      <c r="K13024" s="398"/>
      <c r="L13024" s="404"/>
      <c r="M13024" s="682"/>
    </row>
    <row r="13025" spans="5:13" ht="25.5" hidden="1" x14ac:dyDescent="0.2">
      <c r="F13025" s="503" t="s">
        <v>248</v>
      </c>
      <c r="G13025" s="504" t="s">
        <v>249</v>
      </c>
      <c r="H13025" s="397"/>
      <c r="I13025" s="397"/>
      <c r="J13025" s="750"/>
      <c r="K13025" s="398"/>
      <c r="L13025" s="404"/>
      <c r="M13025" s="682"/>
    </row>
    <row r="13026" spans="5:13" hidden="1" x14ac:dyDescent="0.2">
      <c r="F13026" s="503" t="s">
        <v>250</v>
      </c>
      <c r="G13026" s="504" t="s">
        <v>57</v>
      </c>
      <c r="H13026" s="397"/>
      <c r="I13026" s="397"/>
      <c r="J13026" s="750"/>
      <c r="K13026" s="398"/>
      <c r="L13026" s="404"/>
      <c r="M13026" s="682"/>
    </row>
    <row r="13027" spans="5:13" hidden="1" x14ac:dyDescent="0.2">
      <c r="F13027" s="503" t="s">
        <v>251</v>
      </c>
      <c r="G13027" s="504" t="s">
        <v>252</v>
      </c>
      <c r="H13027" s="397"/>
      <c r="I13027" s="397"/>
      <c r="J13027" s="750"/>
      <c r="K13027" s="398"/>
      <c r="L13027" s="404"/>
      <c r="M13027" s="682"/>
    </row>
    <row r="13028" spans="5:13" hidden="1" x14ac:dyDescent="0.2">
      <c r="F13028" s="503" t="s">
        <v>253</v>
      </c>
      <c r="G13028" s="504" t="s">
        <v>254</v>
      </c>
      <c r="H13028" s="397"/>
      <c r="I13028" s="397"/>
      <c r="J13028" s="750"/>
      <c r="K13028" s="398"/>
      <c r="L13028" s="404"/>
      <c r="M13028" s="682"/>
    </row>
    <row r="13029" spans="5:13" ht="25.5" hidden="1" x14ac:dyDescent="0.2">
      <c r="F13029" s="503" t="s">
        <v>255</v>
      </c>
      <c r="G13029" s="504" t="s">
        <v>256</v>
      </c>
      <c r="H13029" s="397"/>
      <c r="I13029" s="397"/>
      <c r="J13029" s="750"/>
      <c r="K13029" s="398"/>
      <c r="L13029" s="404"/>
      <c r="M13029" s="682"/>
    </row>
    <row r="13030" spans="5:13" ht="25.5" hidden="1" x14ac:dyDescent="0.2">
      <c r="F13030" s="503" t="s">
        <v>257</v>
      </c>
      <c r="G13030" s="504" t="s">
        <v>258</v>
      </c>
      <c r="H13030" s="397"/>
      <c r="I13030" s="397"/>
      <c r="J13030" s="750"/>
      <c r="K13030" s="398"/>
      <c r="L13030" s="404"/>
      <c r="M13030" s="682"/>
    </row>
    <row r="13031" spans="5:13" ht="25.5" hidden="1" x14ac:dyDescent="0.2">
      <c r="F13031" s="503" t="s">
        <v>259</v>
      </c>
      <c r="G13031" s="504" t="s">
        <v>260</v>
      </c>
      <c r="H13031" s="397"/>
      <c r="I13031" s="397"/>
      <c r="J13031" s="750"/>
      <c r="K13031" s="398"/>
      <c r="L13031" s="404"/>
      <c r="M13031" s="682"/>
    </row>
    <row r="13032" spans="5:13" ht="25.5" hidden="1" x14ac:dyDescent="0.2">
      <c r="F13032" s="503" t="s">
        <v>261</v>
      </c>
      <c r="G13032" s="504" t="s">
        <v>262</v>
      </c>
      <c r="H13032" s="397"/>
      <c r="I13032" s="397"/>
      <c r="J13032" s="750"/>
      <c r="K13032" s="398"/>
      <c r="L13032" s="404"/>
      <c r="M13032" s="682"/>
    </row>
    <row r="13033" spans="5:13" hidden="1" x14ac:dyDescent="0.2">
      <c r="F13033" s="503" t="s">
        <v>263</v>
      </c>
      <c r="G13033" s="504" t="s">
        <v>264</v>
      </c>
      <c r="H13033" s="403"/>
      <c r="I13033" s="403"/>
      <c r="J13033" s="750"/>
      <c r="K13033" s="404"/>
      <c r="L13033" s="404"/>
      <c r="M13033" s="682"/>
    </row>
    <row r="13034" spans="5:13" ht="13.5" hidden="1" thickBot="1" x14ac:dyDescent="0.25">
      <c r="G13034" s="505" t="s">
        <v>4436</v>
      </c>
      <c r="H13034" s="405">
        <f>SUM(H13018:H13033)</f>
        <v>0</v>
      </c>
      <c r="I13034" s="405"/>
      <c r="J13034" s="750"/>
      <c r="K13034" s="406">
        <f>SUM(K13019:K13033)</f>
        <v>0</v>
      </c>
      <c r="L13034" s="406"/>
      <c r="M13034" s="682"/>
    </row>
    <row r="13035" spans="5:13" hidden="1" collapsed="1" x14ac:dyDescent="0.2">
      <c r="E13035" s="500"/>
      <c r="F13035" s="498"/>
      <c r="G13035" s="506" t="s">
        <v>5030</v>
      </c>
      <c r="H13035" s="407"/>
      <c r="I13035" s="408"/>
      <c r="J13035" s="750"/>
      <c r="K13035" s="409"/>
      <c r="L13035" s="410"/>
      <c r="M13035" s="682"/>
    </row>
    <row r="13036" spans="5:13" hidden="1" x14ac:dyDescent="0.2">
      <c r="E13036" s="502"/>
      <c r="F13036" s="503" t="s">
        <v>234</v>
      </c>
      <c r="G13036" s="504" t="s">
        <v>235</v>
      </c>
      <c r="H13036" s="403">
        <f>SUM(H12957:H13016)</f>
        <v>0</v>
      </c>
      <c r="I13036" s="403"/>
      <c r="J13036" s="750"/>
      <c r="K13036" s="404"/>
      <c r="L13036" s="404"/>
      <c r="M13036" s="682"/>
    </row>
    <row r="13037" spans="5:13" hidden="1" x14ac:dyDescent="0.2">
      <c r="F13037" s="503" t="s">
        <v>236</v>
      </c>
      <c r="G13037" s="504" t="s">
        <v>237</v>
      </c>
      <c r="H13037" s="397"/>
      <c r="I13037" s="397"/>
      <c r="J13037" s="750"/>
      <c r="K13037" s="398"/>
      <c r="L13037" s="404"/>
      <c r="M13037" s="682"/>
    </row>
    <row r="13038" spans="5:13" hidden="1" x14ac:dyDescent="0.2">
      <c r="F13038" s="503" t="s">
        <v>238</v>
      </c>
      <c r="G13038" s="504" t="s">
        <v>239</v>
      </c>
      <c r="H13038" s="397"/>
      <c r="I13038" s="397"/>
      <c r="J13038" s="750"/>
      <c r="K13038" s="398"/>
      <c r="L13038" s="404"/>
      <c r="M13038" s="682"/>
    </row>
    <row r="13039" spans="5:13" hidden="1" x14ac:dyDescent="0.2">
      <c r="F13039" s="503" t="s">
        <v>240</v>
      </c>
      <c r="G13039" s="504" t="s">
        <v>241</v>
      </c>
      <c r="H13039" s="397"/>
      <c r="I13039" s="397"/>
      <c r="J13039" s="750"/>
      <c r="K13039" s="398"/>
      <c r="L13039" s="404"/>
      <c r="M13039" s="682"/>
    </row>
    <row r="13040" spans="5:13" hidden="1" x14ac:dyDescent="0.2">
      <c r="F13040" s="503" t="s">
        <v>242</v>
      </c>
      <c r="G13040" s="504" t="s">
        <v>243</v>
      </c>
      <c r="H13040" s="397"/>
      <c r="I13040" s="397"/>
      <c r="J13040" s="750"/>
      <c r="K13040" s="398"/>
      <c r="L13040" s="404"/>
      <c r="M13040" s="682"/>
    </row>
    <row r="13041" spans="3:13" hidden="1" x14ac:dyDescent="0.2">
      <c r="F13041" s="503" t="s">
        <v>244</v>
      </c>
      <c r="G13041" s="504" t="s">
        <v>245</v>
      </c>
      <c r="H13041" s="397"/>
      <c r="I13041" s="397"/>
      <c r="J13041" s="750"/>
      <c r="K13041" s="398"/>
      <c r="L13041" s="404"/>
      <c r="M13041" s="682"/>
    </row>
    <row r="13042" spans="3:13" hidden="1" x14ac:dyDescent="0.2">
      <c r="F13042" s="503" t="s">
        <v>246</v>
      </c>
      <c r="G13042" s="504" t="s">
        <v>247</v>
      </c>
      <c r="H13042" s="397"/>
      <c r="I13042" s="397"/>
      <c r="J13042" s="750"/>
      <c r="K13042" s="398"/>
      <c r="L13042" s="404"/>
      <c r="M13042" s="682"/>
    </row>
    <row r="13043" spans="3:13" ht="25.5" hidden="1" x14ac:dyDescent="0.2">
      <c r="F13043" s="503" t="s">
        <v>248</v>
      </c>
      <c r="G13043" s="504" t="s">
        <v>249</v>
      </c>
      <c r="H13043" s="397"/>
      <c r="I13043" s="397"/>
      <c r="J13043" s="750"/>
      <c r="K13043" s="398"/>
      <c r="L13043" s="404"/>
      <c r="M13043" s="682"/>
    </row>
    <row r="13044" spans="3:13" hidden="1" x14ac:dyDescent="0.2">
      <c r="F13044" s="503" t="s">
        <v>250</v>
      </c>
      <c r="G13044" s="504" t="s">
        <v>57</v>
      </c>
      <c r="H13044" s="397"/>
      <c r="I13044" s="397"/>
      <c r="J13044" s="750"/>
      <c r="K13044" s="398"/>
      <c r="L13044" s="404"/>
      <c r="M13044" s="682"/>
    </row>
    <row r="13045" spans="3:13" hidden="1" x14ac:dyDescent="0.2">
      <c r="F13045" s="503" t="s">
        <v>251</v>
      </c>
      <c r="G13045" s="504" t="s">
        <v>252</v>
      </c>
      <c r="H13045" s="397"/>
      <c r="I13045" s="397"/>
      <c r="J13045" s="750"/>
      <c r="K13045" s="398"/>
      <c r="L13045" s="404"/>
      <c r="M13045" s="682"/>
    </row>
    <row r="13046" spans="3:13" hidden="1" x14ac:dyDescent="0.2">
      <c r="F13046" s="503" t="s">
        <v>253</v>
      </c>
      <c r="G13046" s="504" t="s">
        <v>254</v>
      </c>
      <c r="H13046" s="397"/>
      <c r="I13046" s="397"/>
      <c r="J13046" s="750"/>
      <c r="K13046" s="398"/>
      <c r="L13046" s="404"/>
      <c r="M13046" s="682"/>
    </row>
    <row r="13047" spans="3:13" ht="25.5" hidden="1" x14ac:dyDescent="0.2">
      <c r="F13047" s="503" t="s">
        <v>255</v>
      </c>
      <c r="G13047" s="504" t="s">
        <v>256</v>
      </c>
      <c r="H13047" s="397"/>
      <c r="I13047" s="397"/>
      <c r="J13047" s="750"/>
      <c r="K13047" s="398"/>
      <c r="L13047" s="404"/>
      <c r="M13047" s="682"/>
    </row>
    <row r="13048" spans="3:13" ht="25.5" hidden="1" x14ac:dyDescent="0.2">
      <c r="F13048" s="503" t="s">
        <v>257</v>
      </c>
      <c r="G13048" s="504" t="s">
        <v>258</v>
      </c>
      <c r="H13048" s="397"/>
      <c r="I13048" s="397"/>
      <c r="J13048" s="750"/>
      <c r="K13048" s="398"/>
      <c r="L13048" s="404"/>
      <c r="M13048" s="682"/>
    </row>
    <row r="13049" spans="3:13" ht="25.5" hidden="1" x14ac:dyDescent="0.2">
      <c r="F13049" s="503" t="s">
        <v>259</v>
      </c>
      <c r="G13049" s="504" t="s">
        <v>260</v>
      </c>
      <c r="H13049" s="397"/>
      <c r="I13049" s="397"/>
      <c r="J13049" s="750"/>
      <c r="K13049" s="398"/>
      <c r="L13049" s="404"/>
      <c r="M13049" s="682"/>
    </row>
    <row r="13050" spans="3:13" ht="25.5" hidden="1" x14ac:dyDescent="0.2">
      <c r="F13050" s="503" t="s">
        <v>261</v>
      </c>
      <c r="G13050" s="504" t="s">
        <v>262</v>
      </c>
      <c r="H13050" s="397"/>
      <c r="I13050" s="397"/>
      <c r="J13050" s="750"/>
      <c r="K13050" s="398"/>
      <c r="L13050" s="404"/>
      <c r="M13050" s="682"/>
    </row>
    <row r="13051" spans="3:13" hidden="1" x14ac:dyDescent="0.2">
      <c r="F13051" s="503" t="s">
        <v>263</v>
      </c>
      <c r="G13051" s="504" t="s">
        <v>264</v>
      </c>
      <c r="H13051" s="403"/>
      <c r="I13051" s="403"/>
      <c r="J13051" s="750"/>
      <c r="K13051" s="404"/>
      <c r="L13051" s="404"/>
      <c r="M13051" s="682"/>
    </row>
    <row r="13052" spans="3:13" ht="13.5" hidden="1" thickBot="1" x14ac:dyDescent="0.25">
      <c r="G13052" s="505" t="s">
        <v>5017</v>
      </c>
      <c r="H13052" s="405">
        <f>SUM(H13036:H13051)</f>
        <v>0</v>
      </c>
      <c r="I13052" s="405"/>
      <c r="J13052" s="750"/>
      <c r="K13052" s="406">
        <f>SUM(K13037:K13051)</f>
        <v>0</v>
      </c>
      <c r="L13052" s="406"/>
      <c r="M13052" s="682"/>
    </row>
    <row r="13053" spans="3:13" hidden="1" x14ac:dyDescent="0.2">
      <c r="H13053" s="397"/>
      <c r="I13053" s="397"/>
      <c r="J13053" s="750"/>
      <c r="K13053" s="398"/>
      <c r="L13053" s="398"/>
      <c r="M13053" s="682"/>
    </row>
    <row r="13054" spans="3:13" hidden="1" x14ac:dyDescent="0.2">
      <c r="C13054" s="489" t="s">
        <v>4835</v>
      </c>
      <c r="D13054" s="490"/>
      <c r="G13054" s="508" t="s">
        <v>4232</v>
      </c>
      <c r="H13054" s="397"/>
      <c r="I13054" s="397"/>
      <c r="J13054" s="750"/>
      <c r="K13054" s="398"/>
      <c r="L13054" s="398"/>
      <c r="M13054" s="682"/>
    </row>
    <row r="13055" spans="3:13" hidden="1" x14ac:dyDescent="0.2">
      <c r="C13055" s="489"/>
      <c r="D13055" s="492">
        <v>820</v>
      </c>
      <c r="E13055" s="492"/>
      <c r="F13055" s="492"/>
      <c r="G13055" s="493" t="s">
        <v>207</v>
      </c>
      <c r="H13055" s="397"/>
      <c r="I13055" s="397"/>
      <c r="J13055" s="750"/>
      <c r="K13055" s="398"/>
      <c r="L13055" s="398"/>
      <c r="M13055" s="682"/>
    </row>
    <row r="13056" spans="3:13" hidden="1" x14ac:dyDescent="0.2">
      <c r="F13056" s="494">
        <v>411</v>
      </c>
      <c r="G13056" s="495" t="s">
        <v>4167</v>
      </c>
      <c r="H13056" s="397"/>
      <c r="I13056" s="397"/>
      <c r="J13056" s="750"/>
      <c r="K13056" s="398"/>
      <c r="L13056" s="398"/>
      <c r="M13056" s="682"/>
    </row>
    <row r="13057" spans="6:13" hidden="1" x14ac:dyDescent="0.2">
      <c r="F13057" s="494">
        <v>412</v>
      </c>
      <c r="G13057" s="496" t="s">
        <v>3764</v>
      </c>
      <c r="H13057" s="397"/>
      <c r="I13057" s="397"/>
      <c r="J13057" s="750"/>
      <c r="K13057" s="398"/>
      <c r="L13057" s="398"/>
      <c r="M13057" s="682"/>
    </row>
    <row r="13058" spans="6:13" hidden="1" x14ac:dyDescent="0.2">
      <c r="F13058" s="494">
        <v>413</v>
      </c>
      <c r="G13058" s="495" t="s">
        <v>4168</v>
      </c>
      <c r="H13058" s="397"/>
      <c r="I13058" s="397"/>
      <c r="J13058" s="750"/>
      <c r="K13058" s="398"/>
      <c r="L13058" s="398"/>
      <c r="M13058" s="682"/>
    </row>
    <row r="13059" spans="6:13" hidden="1" x14ac:dyDescent="0.2">
      <c r="F13059" s="494">
        <v>414</v>
      </c>
      <c r="G13059" s="495" t="s">
        <v>3767</v>
      </c>
      <c r="H13059" s="397"/>
      <c r="I13059" s="397"/>
      <c r="J13059" s="750"/>
      <c r="K13059" s="398"/>
      <c r="L13059" s="398"/>
      <c r="M13059" s="682"/>
    </row>
    <row r="13060" spans="6:13" hidden="1" x14ac:dyDescent="0.2">
      <c r="F13060" s="494">
        <v>415</v>
      </c>
      <c r="G13060" s="495" t="s">
        <v>4177</v>
      </c>
      <c r="H13060" s="397"/>
      <c r="I13060" s="397"/>
      <c r="J13060" s="750"/>
      <c r="K13060" s="398"/>
      <c r="L13060" s="398"/>
      <c r="M13060" s="682"/>
    </row>
    <row r="13061" spans="6:13" ht="25.5" hidden="1" x14ac:dyDescent="0.2">
      <c r="F13061" s="494">
        <v>416</v>
      </c>
      <c r="G13061" s="495" t="s">
        <v>4178</v>
      </c>
      <c r="H13061" s="397"/>
      <c r="I13061" s="397"/>
      <c r="J13061" s="750"/>
      <c r="K13061" s="398"/>
      <c r="L13061" s="398"/>
      <c r="M13061" s="682"/>
    </row>
    <row r="13062" spans="6:13" hidden="1" x14ac:dyDescent="0.2">
      <c r="F13062" s="494">
        <v>417</v>
      </c>
      <c r="G13062" s="495" t="s">
        <v>4179</v>
      </c>
      <c r="H13062" s="397"/>
      <c r="I13062" s="397"/>
      <c r="J13062" s="750"/>
      <c r="K13062" s="398"/>
      <c r="L13062" s="398"/>
      <c r="M13062" s="682"/>
    </row>
    <row r="13063" spans="6:13" hidden="1" x14ac:dyDescent="0.2">
      <c r="F13063" s="494">
        <v>418</v>
      </c>
      <c r="G13063" s="495" t="s">
        <v>3773</v>
      </c>
      <c r="H13063" s="397"/>
      <c r="I13063" s="397"/>
      <c r="J13063" s="750"/>
      <c r="K13063" s="398"/>
      <c r="L13063" s="398"/>
      <c r="M13063" s="682"/>
    </row>
    <row r="13064" spans="6:13" hidden="1" x14ac:dyDescent="0.2">
      <c r="F13064" s="494">
        <v>421</v>
      </c>
      <c r="G13064" s="495" t="s">
        <v>3777</v>
      </c>
      <c r="H13064" s="397"/>
      <c r="I13064" s="397"/>
      <c r="J13064" s="750"/>
      <c r="K13064" s="398"/>
      <c r="L13064" s="398"/>
      <c r="M13064" s="682"/>
    </row>
    <row r="13065" spans="6:13" hidden="1" x14ac:dyDescent="0.2">
      <c r="F13065" s="494">
        <v>422</v>
      </c>
      <c r="G13065" s="495" t="s">
        <v>3778</v>
      </c>
      <c r="H13065" s="397"/>
      <c r="I13065" s="397"/>
      <c r="J13065" s="750"/>
      <c r="K13065" s="398"/>
      <c r="L13065" s="398"/>
      <c r="M13065" s="682"/>
    </row>
    <row r="13066" spans="6:13" hidden="1" x14ac:dyDescent="0.2">
      <c r="F13066" s="494">
        <v>423</v>
      </c>
      <c r="G13066" s="495" t="s">
        <v>3779</v>
      </c>
      <c r="H13066" s="397"/>
      <c r="I13066" s="397"/>
      <c r="J13066" s="750"/>
      <c r="K13066" s="398"/>
      <c r="L13066" s="398"/>
      <c r="M13066" s="682"/>
    </row>
    <row r="13067" spans="6:13" hidden="1" x14ac:dyDescent="0.2">
      <c r="F13067" s="494">
        <v>424</v>
      </c>
      <c r="G13067" s="495" t="s">
        <v>3781</v>
      </c>
      <c r="H13067" s="397"/>
      <c r="I13067" s="397"/>
      <c r="J13067" s="750"/>
      <c r="K13067" s="398"/>
      <c r="L13067" s="398"/>
      <c r="M13067" s="682"/>
    </row>
    <row r="13068" spans="6:13" hidden="1" x14ac:dyDescent="0.2">
      <c r="F13068" s="494">
        <v>425</v>
      </c>
      <c r="G13068" s="495" t="s">
        <v>4180</v>
      </c>
      <c r="H13068" s="397"/>
      <c r="I13068" s="397"/>
      <c r="J13068" s="750"/>
      <c r="K13068" s="398"/>
      <c r="L13068" s="398"/>
      <c r="M13068" s="682"/>
    </row>
    <row r="13069" spans="6:13" hidden="1" x14ac:dyDescent="0.2">
      <c r="F13069" s="494">
        <v>426</v>
      </c>
      <c r="G13069" s="495" t="s">
        <v>3785</v>
      </c>
      <c r="H13069" s="397"/>
      <c r="I13069" s="397"/>
      <c r="J13069" s="750"/>
      <c r="K13069" s="398"/>
      <c r="L13069" s="398"/>
      <c r="M13069" s="682"/>
    </row>
    <row r="13070" spans="6:13" hidden="1" x14ac:dyDescent="0.2">
      <c r="F13070" s="494">
        <v>431</v>
      </c>
      <c r="G13070" s="495" t="s">
        <v>4181</v>
      </c>
      <c r="H13070" s="397"/>
      <c r="I13070" s="397"/>
      <c r="J13070" s="750"/>
      <c r="K13070" s="398"/>
      <c r="L13070" s="398"/>
      <c r="M13070" s="682"/>
    </row>
    <row r="13071" spans="6:13" hidden="1" x14ac:dyDescent="0.2">
      <c r="F13071" s="494">
        <v>432</v>
      </c>
      <c r="G13071" s="495" t="s">
        <v>4182</v>
      </c>
      <c r="H13071" s="397"/>
      <c r="I13071" s="397"/>
      <c r="J13071" s="750"/>
      <c r="K13071" s="398"/>
      <c r="L13071" s="398"/>
      <c r="M13071" s="682"/>
    </row>
    <row r="13072" spans="6:13" hidden="1" x14ac:dyDescent="0.2">
      <c r="F13072" s="494">
        <v>433</v>
      </c>
      <c r="G13072" s="495" t="s">
        <v>4183</v>
      </c>
      <c r="H13072" s="397"/>
      <c r="I13072" s="397"/>
      <c r="J13072" s="750"/>
      <c r="K13072" s="398"/>
      <c r="L13072" s="398"/>
      <c r="M13072" s="682"/>
    </row>
    <row r="13073" spans="6:13" hidden="1" x14ac:dyDescent="0.2">
      <c r="F13073" s="494">
        <v>434</v>
      </c>
      <c r="G13073" s="495" t="s">
        <v>4184</v>
      </c>
      <c r="H13073" s="397"/>
      <c r="I13073" s="397"/>
      <c r="J13073" s="750"/>
      <c r="K13073" s="398"/>
      <c r="L13073" s="398"/>
      <c r="M13073" s="682"/>
    </row>
    <row r="13074" spans="6:13" hidden="1" x14ac:dyDescent="0.2">
      <c r="F13074" s="494">
        <v>435</v>
      </c>
      <c r="G13074" s="495" t="s">
        <v>3792</v>
      </c>
      <c r="H13074" s="397"/>
      <c r="I13074" s="397"/>
      <c r="J13074" s="750"/>
      <c r="K13074" s="398"/>
      <c r="L13074" s="398"/>
      <c r="M13074" s="682"/>
    </row>
    <row r="13075" spans="6:13" hidden="1" x14ac:dyDescent="0.2">
      <c r="F13075" s="494">
        <v>441</v>
      </c>
      <c r="G13075" s="495" t="s">
        <v>4185</v>
      </c>
      <c r="H13075" s="397"/>
      <c r="I13075" s="397"/>
      <c r="J13075" s="750"/>
      <c r="K13075" s="398"/>
      <c r="L13075" s="398"/>
      <c r="M13075" s="682"/>
    </row>
    <row r="13076" spans="6:13" hidden="1" x14ac:dyDescent="0.2">
      <c r="F13076" s="494">
        <v>442</v>
      </c>
      <c r="G13076" s="495" t="s">
        <v>4186</v>
      </c>
      <c r="H13076" s="397"/>
      <c r="I13076" s="397"/>
      <c r="J13076" s="750"/>
      <c r="K13076" s="398"/>
      <c r="L13076" s="398"/>
      <c r="M13076" s="682"/>
    </row>
    <row r="13077" spans="6:13" hidden="1" x14ac:dyDescent="0.2">
      <c r="F13077" s="494">
        <v>443</v>
      </c>
      <c r="G13077" s="495" t="s">
        <v>3797</v>
      </c>
      <c r="H13077" s="397"/>
      <c r="I13077" s="397"/>
      <c r="J13077" s="750"/>
      <c r="K13077" s="398"/>
      <c r="L13077" s="398"/>
      <c r="M13077" s="682"/>
    </row>
    <row r="13078" spans="6:13" hidden="1" x14ac:dyDescent="0.2">
      <c r="F13078" s="494">
        <v>444</v>
      </c>
      <c r="G13078" s="495" t="s">
        <v>3798</v>
      </c>
      <c r="H13078" s="397"/>
      <c r="I13078" s="397"/>
      <c r="J13078" s="750"/>
      <c r="K13078" s="398"/>
      <c r="L13078" s="398"/>
      <c r="M13078" s="682"/>
    </row>
    <row r="13079" spans="6:13" ht="25.5" hidden="1" x14ac:dyDescent="0.2">
      <c r="F13079" s="494">
        <v>4511</v>
      </c>
      <c r="G13079" s="466" t="s">
        <v>1692</v>
      </c>
      <c r="H13079" s="397"/>
      <c r="I13079" s="397"/>
      <c r="J13079" s="750"/>
      <c r="K13079" s="398"/>
      <c r="L13079" s="398"/>
      <c r="M13079" s="682"/>
    </row>
    <row r="13080" spans="6:13" ht="25.5" hidden="1" x14ac:dyDescent="0.2">
      <c r="F13080" s="494">
        <v>4512</v>
      </c>
      <c r="G13080" s="466" t="s">
        <v>1701</v>
      </c>
      <c r="H13080" s="397"/>
      <c r="I13080" s="397"/>
      <c r="J13080" s="750"/>
      <c r="K13080" s="398"/>
      <c r="L13080" s="398"/>
      <c r="M13080" s="682"/>
    </row>
    <row r="13081" spans="6:13" ht="25.5" hidden="1" x14ac:dyDescent="0.2">
      <c r="F13081" s="494">
        <v>452</v>
      </c>
      <c r="G13081" s="495" t="s">
        <v>4187</v>
      </c>
      <c r="H13081" s="397"/>
      <c r="I13081" s="397"/>
      <c r="J13081" s="750"/>
      <c r="K13081" s="398"/>
      <c r="L13081" s="398"/>
      <c r="M13081" s="682"/>
    </row>
    <row r="13082" spans="6:13" ht="25.5" hidden="1" x14ac:dyDescent="0.2">
      <c r="F13082" s="494">
        <v>453</v>
      </c>
      <c r="G13082" s="495" t="s">
        <v>4188</v>
      </c>
      <c r="H13082" s="397"/>
      <c r="I13082" s="397"/>
      <c r="J13082" s="750"/>
      <c r="K13082" s="398"/>
      <c r="L13082" s="398"/>
      <c r="M13082" s="682"/>
    </row>
    <row r="13083" spans="6:13" hidden="1" x14ac:dyDescent="0.2">
      <c r="F13083" s="494">
        <v>454</v>
      </c>
      <c r="G13083" s="495" t="s">
        <v>3803</v>
      </c>
      <c r="H13083" s="397"/>
      <c r="I13083" s="397"/>
      <c r="J13083" s="750"/>
      <c r="K13083" s="398"/>
      <c r="L13083" s="398"/>
      <c r="M13083" s="682"/>
    </row>
    <row r="13084" spans="6:13" hidden="1" x14ac:dyDescent="0.2">
      <c r="F13084" s="494">
        <v>461</v>
      </c>
      <c r="G13084" s="495" t="s">
        <v>4169</v>
      </c>
      <c r="H13084" s="397"/>
      <c r="I13084" s="397"/>
      <c r="J13084" s="750"/>
      <c r="K13084" s="398"/>
      <c r="L13084" s="398"/>
      <c r="M13084" s="682"/>
    </row>
    <row r="13085" spans="6:13" ht="25.5" hidden="1" x14ac:dyDescent="0.2">
      <c r="F13085" s="494">
        <v>462</v>
      </c>
      <c r="G13085" s="495" t="s">
        <v>3806</v>
      </c>
      <c r="H13085" s="397"/>
      <c r="I13085" s="397"/>
      <c r="J13085" s="750"/>
      <c r="K13085" s="398"/>
      <c r="L13085" s="398"/>
      <c r="M13085" s="682"/>
    </row>
    <row r="13086" spans="6:13" hidden="1" x14ac:dyDescent="0.2">
      <c r="F13086" s="494">
        <v>4631</v>
      </c>
      <c r="G13086" s="495" t="s">
        <v>3807</v>
      </c>
      <c r="H13086" s="397"/>
      <c r="I13086" s="397"/>
      <c r="J13086" s="750"/>
      <c r="K13086" s="398"/>
      <c r="L13086" s="398"/>
      <c r="M13086" s="682"/>
    </row>
    <row r="13087" spans="6:13" hidden="1" x14ac:dyDescent="0.2">
      <c r="F13087" s="494">
        <v>4632</v>
      </c>
      <c r="G13087" s="495" t="s">
        <v>3808</v>
      </c>
      <c r="H13087" s="397"/>
      <c r="I13087" s="397"/>
      <c r="J13087" s="750"/>
      <c r="K13087" s="398"/>
      <c r="L13087" s="398"/>
      <c r="M13087" s="682"/>
    </row>
    <row r="13088" spans="6:13" ht="25.5" hidden="1" x14ac:dyDescent="0.2">
      <c r="F13088" s="494">
        <v>464</v>
      </c>
      <c r="G13088" s="495" t="s">
        <v>3809</v>
      </c>
      <c r="H13088" s="397"/>
      <c r="I13088" s="397"/>
      <c r="J13088" s="750"/>
      <c r="K13088" s="398"/>
      <c r="L13088" s="398"/>
      <c r="M13088" s="682"/>
    </row>
    <row r="13089" spans="6:13" hidden="1" x14ac:dyDescent="0.2">
      <c r="F13089" s="494">
        <v>465</v>
      </c>
      <c r="G13089" s="495" t="s">
        <v>4170</v>
      </c>
      <c r="H13089" s="397"/>
      <c r="I13089" s="397"/>
      <c r="J13089" s="750"/>
      <c r="K13089" s="398"/>
      <c r="L13089" s="398"/>
      <c r="M13089" s="682"/>
    </row>
    <row r="13090" spans="6:13" hidden="1" x14ac:dyDescent="0.2">
      <c r="F13090" s="494">
        <v>472</v>
      </c>
      <c r="G13090" s="495" t="s">
        <v>3813</v>
      </c>
      <c r="H13090" s="397"/>
      <c r="I13090" s="397"/>
      <c r="J13090" s="750"/>
      <c r="K13090" s="398"/>
      <c r="L13090" s="398"/>
      <c r="M13090" s="682"/>
    </row>
    <row r="13091" spans="6:13" hidden="1" x14ac:dyDescent="0.2">
      <c r="F13091" s="494">
        <v>481</v>
      </c>
      <c r="G13091" s="495" t="s">
        <v>4189</v>
      </c>
      <c r="H13091" s="397"/>
      <c r="I13091" s="397"/>
      <c r="J13091" s="750"/>
      <c r="K13091" s="398"/>
      <c r="L13091" s="398"/>
      <c r="M13091" s="682"/>
    </row>
    <row r="13092" spans="6:13" hidden="1" x14ac:dyDescent="0.2">
      <c r="F13092" s="494">
        <v>482</v>
      </c>
      <c r="G13092" s="495" t="s">
        <v>4190</v>
      </c>
      <c r="H13092" s="397"/>
      <c r="I13092" s="397"/>
      <c r="J13092" s="750"/>
      <c r="K13092" s="398"/>
      <c r="L13092" s="398"/>
      <c r="M13092" s="682"/>
    </row>
    <row r="13093" spans="6:13" hidden="1" x14ac:dyDescent="0.2">
      <c r="F13093" s="494">
        <v>483</v>
      </c>
      <c r="G13093" s="497" t="s">
        <v>4191</v>
      </c>
      <c r="H13093" s="397"/>
      <c r="I13093" s="397"/>
      <c r="J13093" s="750"/>
      <c r="K13093" s="398"/>
      <c r="L13093" s="398"/>
      <c r="M13093" s="682"/>
    </row>
    <row r="13094" spans="6:13" ht="38.25" hidden="1" x14ac:dyDescent="0.2">
      <c r="F13094" s="494">
        <v>484</v>
      </c>
      <c r="G13094" s="495" t="s">
        <v>4192</v>
      </c>
      <c r="H13094" s="397"/>
      <c r="I13094" s="397"/>
      <c r="J13094" s="750"/>
      <c r="K13094" s="398"/>
      <c r="L13094" s="398"/>
      <c r="M13094" s="682"/>
    </row>
    <row r="13095" spans="6:13" ht="25.5" hidden="1" x14ac:dyDescent="0.2">
      <c r="F13095" s="494">
        <v>485</v>
      </c>
      <c r="G13095" s="495" t="s">
        <v>4193</v>
      </c>
      <c r="H13095" s="397"/>
      <c r="I13095" s="397"/>
      <c r="J13095" s="750"/>
      <c r="K13095" s="398"/>
      <c r="L13095" s="398"/>
      <c r="M13095" s="682"/>
    </row>
    <row r="13096" spans="6:13" ht="25.5" hidden="1" x14ac:dyDescent="0.2">
      <c r="F13096" s="494">
        <v>489</v>
      </c>
      <c r="G13096" s="495" t="s">
        <v>3821</v>
      </c>
      <c r="H13096" s="397"/>
      <c r="I13096" s="397"/>
      <c r="J13096" s="750"/>
      <c r="K13096" s="398"/>
      <c r="L13096" s="398"/>
      <c r="M13096" s="682"/>
    </row>
    <row r="13097" spans="6:13" ht="25.5" hidden="1" x14ac:dyDescent="0.2">
      <c r="F13097" s="494">
        <v>494</v>
      </c>
      <c r="G13097" s="495" t="s">
        <v>4171</v>
      </c>
      <c r="H13097" s="397"/>
      <c r="I13097" s="397"/>
      <c r="J13097" s="750"/>
      <c r="K13097" s="398"/>
      <c r="L13097" s="398"/>
      <c r="M13097" s="682"/>
    </row>
    <row r="13098" spans="6:13" ht="25.5" hidden="1" x14ac:dyDescent="0.2">
      <c r="F13098" s="494">
        <v>495</v>
      </c>
      <c r="G13098" s="495" t="s">
        <v>4172</v>
      </c>
      <c r="H13098" s="397"/>
      <c r="I13098" s="397"/>
      <c r="J13098" s="750"/>
      <c r="K13098" s="398"/>
      <c r="L13098" s="398"/>
      <c r="M13098" s="682"/>
    </row>
    <row r="13099" spans="6:13" ht="38.25" hidden="1" x14ac:dyDescent="0.2">
      <c r="F13099" s="494">
        <v>496</v>
      </c>
      <c r="G13099" s="495" t="s">
        <v>4173</v>
      </c>
      <c r="H13099" s="397"/>
      <c r="I13099" s="397"/>
      <c r="J13099" s="750"/>
      <c r="K13099" s="398"/>
      <c r="L13099" s="398"/>
      <c r="M13099" s="682"/>
    </row>
    <row r="13100" spans="6:13" ht="25.5" hidden="1" x14ac:dyDescent="0.2">
      <c r="F13100" s="494">
        <v>499</v>
      </c>
      <c r="G13100" s="495" t="s">
        <v>4174</v>
      </c>
      <c r="H13100" s="397"/>
      <c r="I13100" s="397"/>
      <c r="J13100" s="750"/>
      <c r="K13100" s="398"/>
      <c r="L13100" s="398"/>
      <c r="M13100" s="682"/>
    </row>
    <row r="13101" spans="6:13" hidden="1" x14ac:dyDescent="0.2">
      <c r="F13101" s="494">
        <v>511</v>
      </c>
      <c r="G13101" s="497" t="s">
        <v>4194</v>
      </c>
      <c r="H13101" s="397"/>
      <c r="I13101" s="397"/>
      <c r="J13101" s="750"/>
      <c r="K13101" s="398"/>
      <c r="L13101" s="398"/>
      <c r="M13101" s="682"/>
    </row>
    <row r="13102" spans="6:13" hidden="1" x14ac:dyDescent="0.2">
      <c r="F13102" s="494">
        <v>512</v>
      </c>
      <c r="G13102" s="497" t="s">
        <v>4195</v>
      </c>
      <c r="H13102" s="397"/>
      <c r="I13102" s="397"/>
      <c r="J13102" s="750"/>
      <c r="K13102" s="398"/>
      <c r="L13102" s="398"/>
      <c r="M13102" s="682"/>
    </row>
    <row r="13103" spans="6:13" hidden="1" x14ac:dyDescent="0.2">
      <c r="F13103" s="494">
        <v>513</v>
      </c>
      <c r="G13103" s="497" t="s">
        <v>4196</v>
      </c>
      <c r="H13103" s="397"/>
      <c r="I13103" s="397"/>
      <c r="J13103" s="750"/>
      <c r="K13103" s="398"/>
      <c r="L13103" s="398"/>
      <c r="M13103" s="682"/>
    </row>
    <row r="13104" spans="6:13" hidden="1" x14ac:dyDescent="0.2">
      <c r="F13104" s="494">
        <v>514</v>
      </c>
      <c r="G13104" s="495" t="s">
        <v>4197</v>
      </c>
      <c r="H13104" s="397"/>
      <c r="I13104" s="397"/>
      <c r="J13104" s="750"/>
      <c r="K13104" s="398"/>
      <c r="L13104" s="398"/>
      <c r="M13104" s="682"/>
    </row>
    <row r="13105" spans="5:13" hidden="1" x14ac:dyDescent="0.2">
      <c r="F13105" s="494">
        <v>515</v>
      </c>
      <c r="G13105" s="495" t="s">
        <v>3832</v>
      </c>
      <c r="H13105" s="397"/>
      <c r="I13105" s="397"/>
      <c r="J13105" s="750"/>
      <c r="K13105" s="398"/>
      <c r="L13105" s="398"/>
      <c r="M13105" s="682"/>
    </row>
    <row r="13106" spans="5:13" hidden="1" x14ac:dyDescent="0.2">
      <c r="F13106" s="494">
        <v>521</v>
      </c>
      <c r="G13106" s="495" t="s">
        <v>4198</v>
      </c>
      <c r="H13106" s="397"/>
      <c r="I13106" s="397"/>
      <c r="J13106" s="750"/>
      <c r="K13106" s="398"/>
      <c r="L13106" s="398"/>
      <c r="M13106" s="682"/>
    </row>
    <row r="13107" spans="5:13" hidden="1" x14ac:dyDescent="0.2">
      <c r="F13107" s="494">
        <v>522</v>
      </c>
      <c r="G13107" s="495" t="s">
        <v>4199</v>
      </c>
      <c r="H13107" s="397"/>
      <c r="I13107" s="397"/>
      <c r="J13107" s="750"/>
      <c r="K13107" s="398"/>
      <c r="L13107" s="398"/>
      <c r="M13107" s="682"/>
    </row>
    <row r="13108" spans="5:13" hidden="1" x14ac:dyDescent="0.2">
      <c r="F13108" s="494">
        <v>523</v>
      </c>
      <c r="G13108" s="495" t="s">
        <v>3837</v>
      </c>
      <c r="H13108" s="397"/>
      <c r="I13108" s="397"/>
      <c r="J13108" s="750"/>
      <c r="K13108" s="398"/>
      <c r="L13108" s="398"/>
      <c r="M13108" s="682"/>
    </row>
    <row r="13109" spans="5:13" hidden="1" x14ac:dyDescent="0.2">
      <c r="F13109" s="494">
        <v>531</v>
      </c>
      <c r="G13109" s="496" t="s">
        <v>4175</v>
      </c>
      <c r="H13109" s="397"/>
      <c r="I13109" s="397"/>
      <c r="J13109" s="750"/>
      <c r="K13109" s="398"/>
      <c r="L13109" s="398"/>
      <c r="M13109" s="682"/>
    </row>
    <row r="13110" spans="5:13" hidden="1" x14ac:dyDescent="0.2">
      <c r="F13110" s="494">
        <v>541</v>
      </c>
      <c r="G13110" s="495" t="s">
        <v>4200</v>
      </c>
      <c r="H13110" s="397"/>
      <c r="I13110" s="397"/>
      <c r="J13110" s="750"/>
      <c r="K13110" s="398"/>
      <c r="L13110" s="398"/>
      <c r="M13110" s="682"/>
    </row>
    <row r="13111" spans="5:13" hidden="1" x14ac:dyDescent="0.2">
      <c r="F13111" s="494">
        <v>542</v>
      </c>
      <c r="G13111" s="495" t="s">
        <v>4201</v>
      </c>
      <c r="H13111" s="397"/>
      <c r="I13111" s="397"/>
      <c r="J13111" s="750"/>
      <c r="K13111" s="398"/>
      <c r="L13111" s="398"/>
      <c r="M13111" s="682"/>
    </row>
    <row r="13112" spans="5:13" hidden="1" x14ac:dyDescent="0.2">
      <c r="F13112" s="494">
        <v>543</v>
      </c>
      <c r="G13112" s="495" t="s">
        <v>3842</v>
      </c>
      <c r="H13112" s="397"/>
      <c r="I13112" s="397"/>
      <c r="J13112" s="750"/>
      <c r="K13112" s="398"/>
      <c r="L13112" s="398"/>
      <c r="M13112" s="682"/>
    </row>
    <row r="13113" spans="5:13" ht="38.25" hidden="1" x14ac:dyDescent="0.2">
      <c r="F13113" s="494">
        <v>551</v>
      </c>
      <c r="G13113" s="495" t="s">
        <v>4176</v>
      </c>
      <c r="H13113" s="397"/>
      <c r="I13113" s="397"/>
      <c r="J13113" s="750"/>
      <c r="K13113" s="398"/>
      <c r="L13113" s="398"/>
      <c r="M13113" s="682"/>
    </row>
    <row r="13114" spans="5:13" hidden="1" x14ac:dyDescent="0.2">
      <c r="F13114" s="498">
        <v>611</v>
      </c>
      <c r="G13114" s="499" t="s">
        <v>3848</v>
      </c>
      <c r="H13114" s="397"/>
      <c r="I13114" s="397"/>
      <c r="J13114" s="750"/>
      <c r="K13114" s="398"/>
      <c r="L13114" s="398"/>
      <c r="M13114" s="682"/>
    </row>
    <row r="13115" spans="5:13" hidden="1" x14ac:dyDescent="0.2">
      <c r="F13115" s="498">
        <v>620</v>
      </c>
      <c r="G13115" s="499" t="s">
        <v>88</v>
      </c>
      <c r="H13115" s="397"/>
      <c r="I13115" s="397"/>
      <c r="J13115" s="750"/>
      <c r="K13115" s="398"/>
      <c r="L13115" s="398"/>
      <c r="M13115" s="682"/>
    </row>
    <row r="13116" spans="5:13" hidden="1" x14ac:dyDescent="0.2">
      <c r="E13116" s="500"/>
      <c r="F13116" s="498"/>
      <c r="G13116" s="509" t="s">
        <v>4435</v>
      </c>
      <c r="H13116" s="400"/>
      <c r="I13116" s="400"/>
      <c r="J13116" s="750"/>
      <c r="K13116" s="401"/>
      <c r="L13116" s="402"/>
      <c r="M13116" s="682"/>
    </row>
    <row r="13117" spans="5:13" hidden="1" x14ac:dyDescent="0.2">
      <c r="E13117" s="502"/>
      <c r="F13117" s="503" t="s">
        <v>234</v>
      </c>
      <c r="G13117" s="504" t="s">
        <v>235</v>
      </c>
      <c r="H13117" s="403">
        <f>SUM(H13056:H13115)</f>
        <v>0</v>
      </c>
      <c r="I13117" s="403"/>
      <c r="J13117" s="750"/>
      <c r="K13117" s="404"/>
      <c r="L13117" s="404"/>
      <c r="M13117" s="682"/>
    </row>
    <row r="13118" spans="5:13" hidden="1" x14ac:dyDescent="0.2">
      <c r="F13118" s="503" t="s">
        <v>236</v>
      </c>
      <c r="G13118" s="504" t="s">
        <v>237</v>
      </c>
      <c r="H13118" s="397"/>
      <c r="I13118" s="397"/>
      <c r="J13118" s="750"/>
      <c r="K13118" s="398"/>
      <c r="L13118" s="404"/>
      <c r="M13118" s="682"/>
    </row>
    <row r="13119" spans="5:13" hidden="1" x14ac:dyDescent="0.2">
      <c r="F13119" s="503" t="s">
        <v>238</v>
      </c>
      <c r="G13119" s="504" t="s">
        <v>239</v>
      </c>
      <c r="H13119" s="397"/>
      <c r="I13119" s="397"/>
      <c r="J13119" s="750"/>
      <c r="K13119" s="398"/>
      <c r="L13119" s="404"/>
      <c r="M13119" s="682"/>
    </row>
    <row r="13120" spans="5:13" hidden="1" x14ac:dyDescent="0.2">
      <c r="F13120" s="503" t="s">
        <v>240</v>
      </c>
      <c r="G13120" s="504" t="s">
        <v>241</v>
      </c>
      <c r="H13120" s="397"/>
      <c r="I13120" s="397"/>
      <c r="J13120" s="750"/>
      <c r="K13120" s="398"/>
      <c r="L13120" s="404"/>
      <c r="M13120" s="682"/>
    </row>
    <row r="13121" spans="5:13" hidden="1" x14ac:dyDescent="0.2">
      <c r="F13121" s="503" t="s">
        <v>242</v>
      </c>
      <c r="G13121" s="504" t="s">
        <v>243</v>
      </c>
      <c r="H13121" s="397"/>
      <c r="I13121" s="397"/>
      <c r="J13121" s="750"/>
      <c r="K13121" s="398"/>
      <c r="L13121" s="404"/>
      <c r="M13121" s="682"/>
    </row>
    <row r="13122" spans="5:13" hidden="1" x14ac:dyDescent="0.2">
      <c r="F13122" s="503" t="s">
        <v>244</v>
      </c>
      <c r="G13122" s="504" t="s">
        <v>245</v>
      </c>
      <c r="H13122" s="397"/>
      <c r="I13122" s="397"/>
      <c r="J13122" s="750"/>
      <c r="K13122" s="398"/>
      <c r="L13122" s="404"/>
      <c r="M13122" s="682"/>
    </row>
    <row r="13123" spans="5:13" hidden="1" x14ac:dyDescent="0.2">
      <c r="F13123" s="503" t="s">
        <v>246</v>
      </c>
      <c r="G13123" s="504" t="s">
        <v>247</v>
      </c>
      <c r="H13123" s="397"/>
      <c r="I13123" s="397"/>
      <c r="J13123" s="750"/>
      <c r="K13123" s="398"/>
      <c r="L13123" s="404"/>
      <c r="M13123" s="682"/>
    </row>
    <row r="13124" spans="5:13" ht="25.5" hidden="1" x14ac:dyDescent="0.2">
      <c r="F13124" s="503" t="s">
        <v>248</v>
      </c>
      <c r="G13124" s="504" t="s">
        <v>249</v>
      </c>
      <c r="H13124" s="397"/>
      <c r="I13124" s="397"/>
      <c r="J13124" s="750"/>
      <c r="K13124" s="398"/>
      <c r="L13124" s="404"/>
      <c r="M13124" s="682"/>
    </row>
    <row r="13125" spans="5:13" hidden="1" x14ac:dyDescent="0.2">
      <c r="F13125" s="503" t="s">
        <v>250</v>
      </c>
      <c r="G13125" s="504" t="s">
        <v>57</v>
      </c>
      <c r="H13125" s="397"/>
      <c r="I13125" s="397"/>
      <c r="J13125" s="750"/>
      <c r="K13125" s="398"/>
      <c r="L13125" s="404"/>
      <c r="M13125" s="682"/>
    </row>
    <row r="13126" spans="5:13" hidden="1" x14ac:dyDescent="0.2">
      <c r="F13126" s="503" t="s">
        <v>251</v>
      </c>
      <c r="G13126" s="504" t="s">
        <v>252</v>
      </c>
      <c r="H13126" s="397"/>
      <c r="I13126" s="397"/>
      <c r="J13126" s="750"/>
      <c r="K13126" s="398"/>
      <c r="L13126" s="404"/>
      <c r="M13126" s="682"/>
    </row>
    <row r="13127" spans="5:13" hidden="1" x14ac:dyDescent="0.2">
      <c r="F13127" s="503" t="s">
        <v>253</v>
      </c>
      <c r="G13127" s="504" t="s">
        <v>254</v>
      </c>
      <c r="H13127" s="397"/>
      <c r="I13127" s="397"/>
      <c r="J13127" s="750"/>
      <c r="K13127" s="398"/>
      <c r="L13127" s="404"/>
      <c r="M13127" s="682"/>
    </row>
    <row r="13128" spans="5:13" ht="25.5" hidden="1" x14ac:dyDescent="0.2">
      <c r="F13128" s="503" t="s">
        <v>255</v>
      </c>
      <c r="G13128" s="504" t="s">
        <v>256</v>
      </c>
      <c r="H13128" s="397"/>
      <c r="I13128" s="397"/>
      <c r="J13128" s="750"/>
      <c r="K13128" s="398"/>
      <c r="L13128" s="404"/>
      <c r="M13128" s="682"/>
    </row>
    <row r="13129" spans="5:13" ht="25.5" hidden="1" x14ac:dyDescent="0.2">
      <c r="F13129" s="503" t="s">
        <v>257</v>
      </c>
      <c r="G13129" s="504" t="s">
        <v>258</v>
      </c>
      <c r="H13129" s="397"/>
      <c r="I13129" s="397"/>
      <c r="J13129" s="750"/>
      <c r="K13129" s="398"/>
      <c r="L13129" s="404"/>
      <c r="M13129" s="682"/>
    </row>
    <row r="13130" spans="5:13" ht="25.5" hidden="1" x14ac:dyDescent="0.2">
      <c r="F13130" s="503" t="s">
        <v>259</v>
      </c>
      <c r="G13130" s="504" t="s">
        <v>260</v>
      </c>
      <c r="H13130" s="397"/>
      <c r="I13130" s="397"/>
      <c r="J13130" s="750"/>
      <c r="K13130" s="398"/>
      <c r="L13130" s="404"/>
      <c r="M13130" s="682"/>
    </row>
    <row r="13131" spans="5:13" ht="25.5" hidden="1" x14ac:dyDescent="0.2">
      <c r="F13131" s="503" t="s">
        <v>261</v>
      </c>
      <c r="G13131" s="504" t="s">
        <v>262</v>
      </c>
      <c r="H13131" s="397"/>
      <c r="I13131" s="397"/>
      <c r="J13131" s="750"/>
      <c r="K13131" s="398"/>
      <c r="L13131" s="404"/>
      <c r="M13131" s="682"/>
    </row>
    <row r="13132" spans="5:13" hidden="1" x14ac:dyDescent="0.2">
      <c r="F13132" s="503" t="s">
        <v>263</v>
      </c>
      <c r="G13132" s="504" t="s">
        <v>264</v>
      </c>
      <c r="H13132" s="403"/>
      <c r="I13132" s="403"/>
      <c r="J13132" s="750"/>
      <c r="K13132" s="404"/>
      <c r="L13132" s="404"/>
      <c r="M13132" s="682"/>
    </row>
    <row r="13133" spans="5:13" ht="13.5" hidden="1" thickBot="1" x14ac:dyDescent="0.25">
      <c r="G13133" s="505" t="s">
        <v>4436</v>
      </c>
      <c r="H13133" s="405">
        <f>SUM(H13117:H13132)</f>
        <v>0</v>
      </c>
      <c r="I13133" s="405"/>
      <c r="J13133" s="750"/>
      <c r="K13133" s="406">
        <f>SUM(K13118:K13132)</f>
        <v>0</v>
      </c>
      <c r="L13133" s="406"/>
      <c r="M13133" s="682"/>
    </row>
    <row r="13134" spans="5:13" hidden="1" collapsed="1" x14ac:dyDescent="0.2">
      <c r="E13134" s="500"/>
      <c r="F13134" s="498"/>
      <c r="G13134" s="506" t="s">
        <v>5031</v>
      </c>
      <c r="H13134" s="407"/>
      <c r="I13134" s="408"/>
      <c r="J13134" s="750"/>
      <c r="K13134" s="409"/>
      <c r="L13134" s="410"/>
      <c r="M13134" s="682"/>
    </row>
    <row r="13135" spans="5:13" hidden="1" x14ac:dyDescent="0.2">
      <c r="E13135" s="502"/>
      <c r="F13135" s="503" t="s">
        <v>234</v>
      </c>
      <c r="G13135" s="504" t="s">
        <v>235</v>
      </c>
      <c r="H13135" s="403">
        <f>SUM(H13056:H13115)</f>
        <v>0</v>
      </c>
      <c r="I13135" s="403"/>
      <c r="J13135" s="750"/>
      <c r="K13135" s="404"/>
      <c r="L13135" s="404"/>
      <c r="M13135" s="682"/>
    </row>
    <row r="13136" spans="5:13" hidden="1" x14ac:dyDescent="0.2">
      <c r="F13136" s="503" t="s">
        <v>236</v>
      </c>
      <c r="G13136" s="504" t="s">
        <v>237</v>
      </c>
      <c r="H13136" s="397"/>
      <c r="I13136" s="397"/>
      <c r="J13136" s="750"/>
      <c r="K13136" s="398"/>
      <c r="L13136" s="404"/>
      <c r="M13136" s="682"/>
    </row>
    <row r="13137" spans="6:13" hidden="1" x14ac:dyDescent="0.2">
      <c r="F13137" s="503" t="s">
        <v>238</v>
      </c>
      <c r="G13137" s="504" t="s">
        <v>239</v>
      </c>
      <c r="H13137" s="397"/>
      <c r="I13137" s="397"/>
      <c r="J13137" s="750"/>
      <c r="K13137" s="398"/>
      <c r="L13137" s="404"/>
      <c r="M13137" s="682"/>
    </row>
    <row r="13138" spans="6:13" hidden="1" x14ac:dyDescent="0.2">
      <c r="F13138" s="503" t="s">
        <v>240</v>
      </c>
      <c r="G13138" s="504" t="s">
        <v>241</v>
      </c>
      <c r="H13138" s="397"/>
      <c r="I13138" s="397"/>
      <c r="J13138" s="750"/>
      <c r="K13138" s="398"/>
      <c r="L13138" s="404"/>
      <c r="M13138" s="682"/>
    </row>
    <row r="13139" spans="6:13" hidden="1" x14ac:dyDescent="0.2">
      <c r="F13139" s="503" t="s">
        <v>242</v>
      </c>
      <c r="G13139" s="504" t="s">
        <v>243</v>
      </c>
      <c r="H13139" s="397"/>
      <c r="I13139" s="397"/>
      <c r="J13139" s="750"/>
      <c r="K13139" s="398"/>
      <c r="L13139" s="404"/>
      <c r="M13139" s="682"/>
    </row>
    <row r="13140" spans="6:13" hidden="1" x14ac:dyDescent="0.2">
      <c r="F13140" s="503" t="s">
        <v>244</v>
      </c>
      <c r="G13140" s="504" t="s">
        <v>245</v>
      </c>
      <c r="H13140" s="397"/>
      <c r="I13140" s="397"/>
      <c r="J13140" s="750"/>
      <c r="K13140" s="398"/>
      <c r="L13140" s="404"/>
      <c r="M13140" s="682"/>
    </row>
    <row r="13141" spans="6:13" hidden="1" x14ac:dyDescent="0.2">
      <c r="F13141" s="503" t="s">
        <v>246</v>
      </c>
      <c r="G13141" s="504" t="s">
        <v>247</v>
      </c>
      <c r="H13141" s="397"/>
      <c r="I13141" s="397"/>
      <c r="J13141" s="750"/>
      <c r="K13141" s="398"/>
      <c r="L13141" s="404"/>
      <c r="M13141" s="682"/>
    </row>
    <row r="13142" spans="6:13" ht="25.5" hidden="1" x14ac:dyDescent="0.2">
      <c r="F13142" s="503" t="s">
        <v>248</v>
      </c>
      <c r="G13142" s="504" t="s">
        <v>249</v>
      </c>
      <c r="H13142" s="397"/>
      <c r="I13142" s="397"/>
      <c r="J13142" s="750"/>
      <c r="K13142" s="398"/>
      <c r="L13142" s="404"/>
      <c r="M13142" s="682"/>
    </row>
    <row r="13143" spans="6:13" hidden="1" x14ac:dyDescent="0.2">
      <c r="F13143" s="503" t="s">
        <v>250</v>
      </c>
      <c r="G13143" s="504" t="s">
        <v>57</v>
      </c>
      <c r="H13143" s="397"/>
      <c r="I13143" s="397"/>
      <c r="J13143" s="750"/>
      <c r="K13143" s="398"/>
      <c r="L13143" s="404"/>
      <c r="M13143" s="682"/>
    </row>
    <row r="13144" spans="6:13" hidden="1" x14ac:dyDescent="0.2">
      <c r="F13144" s="503" t="s">
        <v>251</v>
      </c>
      <c r="G13144" s="504" t="s">
        <v>252</v>
      </c>
      <c r="H13144" s="397"/>
      <c r="I13144" s="397"/>
      <c r="J13144" s="750"/>
      <c r="K13144" s="398"/>
      <c r="L13144" s="404"/>
      <c r="M13144" s="682"/>
    </row>
    <row r="13145" spans="6:13" hidden="1" x14ac:dyDescent="0.2">
      <c r="F13145" s="503" t="s">
        <v>253</v>
      </c>
      <c r="G13145" s="504" t="s">
        <v>254</v>
      </c>
      <c r="H13145" s="397"/>
      <c r="I13145" s="397"/>
      <c r="J13145" s="750"/>
      <c r="K13145" s="398"/>
      <c r="L13145" s="404"/>
      <c r="M13145" s="682"/>
    </row>
    <row r="13146" spans="6:13" ht="25.5" hidden="1" x14ac:dyDescent="0.2">
      <c r="F13146" s="503" t="s">
        <v>255</v>
      </c>
      <c r="G13146" s="504" t="s">
        <v>256</v>
      </c>
      <c r="H13146" s="397"/>
      <c r="I13146" s="397"/>
      <c r="J13146" s="750"/>
      <c r="K13146" s="398"/>
      <c r="L13146" s="404"/>
      <c r="M13146" s="682"/>
    </row>
    <row r="13147" spans="6:13" ht="25.5" hidden="1" x14ac:dyDescent="0.2">
      <c r="F13147" s="503" t="s">
        <v>257</v>
      </c>
      <c r="G13147" s="504" t="s">
        <v>258</v>
      </c>
      <c r="H13147" s="397"/>
      <c r="I13147" s="397"/>
      <c r="J13147" s="750"/>
      <c r="K13147" s="398"/>
      <c r="L13147" s="404"/>
      <c r="M13147" s="682"/>
    </row>
    <row r="13148" spans="6:13" ht="25.5" hidden="1" x14ac:dyDescent="0.2">
      <c r="F13148" s="503" t="s">
        <v>259</v>
      </c>
      <c r="G13148" s="504" t="s">
        <v>260</v>
      </c>
      <c r="H13148" s="397"/>
      <c r="I13148" s="397"/>
      <c r="J13148" s="750"/>
      <c r="K13148" s="398"/>
      <c r="L13148" s="404"/>
      <c r="M13148" s="682"/>
    </row>
    <row r="13149" spans="6:13" ht="25.5" hidden="1" x14ac:dyDescent="0.2">
      <c r="F13149" s="503" t="s">
        <v>261</v>
      </c>
      <c r="G13149" s="504" t="s">
        <v>262</v>
      </c>
      <c r="H13149" s="397"/>
      <c r="I13149" s="397"/>
      <c r="J13149" s="750"/>
      <c r="K13149" s="398"/>
      <c r="L13149" s="404"/>
      <c r="M13149" s="682"/>
    </row>
    <row r="13150" spans="6:13" hidden="1" x14ac:dyDescent="0.2">
      <c r="F13150" s="503" t="s">
        <v>263</v>
      </c>
      <c r="G13150" s="504" t="s">
        <v>264</v>
      </c>
      <c r="H13150" s="403"/>
      <c r="I13150" s="403"/>
      <c r="J13150" s="750"/>
      <c r="K13150" s="404"/>
      <c r="L13150" s="404"/>
      <c r="M13150" s="682"/>
    </row>
    <row r="13151" spans="6:13" ht="13.5" hidden="1" thickBot="1" x14ac:dyDescent="0.25">
      <c r="G13151" s="505" t="s">
        <v>5018</v>
      </c>
      <c r="H13151" s="405">
        <f>SUM(H13135:H13150)</f>
        <v>0</v>
      </c>
      <c r="I13151" s="405"/>
      <c r="J13151" s="750"/>
      <c r="K13151" s="406">
        <f>SUM(K13136:K13150)</f>
        <v>0</v>
      </c>
      <c r="L13151" s="406"/>
      <c r="M13151" s="682"/>
    </row>
    <row r="13152" spans="6:13" hidden="1" x14ac:dyDescent="0.2">
      <c r="G13152" s="510"/>
      <c r="H13152" s="411"/>
      <c r="I13152" s="411"/>
      <c r="J13152" s="750"/>
      <c r="K13152" s="412"/>
      <c r="L13152" s="412"/>
      <c r="M13152" s="682"/>
    </row>
    <row r="13153" spans="3:13" hidden="1" x14ac:dyDescent="0.2">
      <c r="C13153" s="489" t="s">
        <v>4836</v>
      </c>
      <c r="D13153" s="490"/>
      <c r="G13153" s="508" t="s">
        <v>4232</v>
      </c>
      <c r="H13153" s="397"/>
      <c r="I13153" s="397"/>
      <c r="J13153" s="750"/>
      <c r="K13153" s="398"/>
      <c r="L13153" s="398"/>
      <c r="M13153" s="682"/>
    </row>
    <row r="13154" spans="3:13" hidden="1" x14ac:dyDescent="0.2">
      <c r="C13154" s="489"/>
      <c r="D13154" s="492">
        <v>820</v>
      </c>
      <c r="E13154" s="492"/>
      <c r="F13154" s="492"/>
      <c r="G13154" s="493" t="s">
        <v>207</v>
      </c>
      <c r="H13154" s="397"/>
      <c r="I13154" s="397"/>
      <c r="J13154" s="750"/>
      <c r="K13154" s="398"/>
      <c r="L13154" s="398"/>
      <c r="M13154" s="682"/>
    </row>
    <row r="13155" spans="3:13" hidden="1" x14ac:dyDescent="0.2">
      <c r="F13155" s="494">
        <v>411</v>
      </c>
      <c r="G13155" s="495" t="s">
        <v>4167</v>
      </c>
      <c r="H13155" s="397"/>
      <c r="I13155" s="397"/>
      <c r="J13155" s="750"/>
      <c r="K13155" s="398"/>
      <c r="L13155" s="398"/>
      <c r="M13155" s="682"/>
    </row>
    <row r="13156" spans="3:13" hidden="1" x14ac:dyDescent="0.2">
      <c r="F13156" s="494">
        <v>412</v>
      </c>
      <c r="G13156" s="496" t="s">
        <v>3764</v>
      </c>
      <c r="H13156" s="397"/>
      <c r="I13156" s="397"/>
      <c r="J13156" s="750"/>
      <c r="K13156" s="398"/>
      <c r="L13156" s="398"/>
      <c r="M13156" s="682"/>
    </row>
    <row r="13157" spans="3:13" hidden="1" x14ac:dyDescent="0.2">
      <c r="F13157" s="494">
        <v>413</v>
      </c>
      <c r="G13157" s="495" t="s">
        <v>4168</v>
      </c>
      <c r="H13157" s="397"/>
      <c r="I13157" s="397"/>
      <c r="J13157" s="750"/>
      <c r="K13157" s="398"/>
      <c r="L13157" s="398"/>
      <c r="M13157" s="682"/>
    </row>
    <row r="13158" spans="3:13" hidden="1" x14ac:dyDescent="0.2">
      <c r="F13158" s="494">
        <v>414</v>
      </c>
      <c r="G13158" s="495" t="s">
        <v>3767</v>
      </c>
      <c r="H13158" s="397"/>
      <c r="I13158" s="397"/>
      <c r="J13158" s="750"/>
      <c r="K13158" s="398"/>
      <c r="L13158" s="398"/>
      <c r="M13158" s="682"/>
    </row>
    <row r="13159" spans="3:13" hidden="1" x14ac:dyDescent="0.2">
      <c r="F13159" s="494">
        <v>415</v>
      </c>
      <c r="G13159" s="495" t="s">
        <v>4177</v>
      </c>
      <c r="H13159" s="397"/>
      <c r="I13159" s="397"/>
      <c r="J13159" s="750"/>
      <c r="K13159" s="398"/>
      <c r="L13159" s="398"/>
      <c r="M13159" s="682"/>
    </row>
    <row r="13160" spans="3:13" ht="25.5" hidden="1" x14ac:dyDescent="0.2">
      <c r="F13160" s="494">
        <v>416</v>
      </c>
      <c r="G13160" s="495" t="s">
        <v>4178</v>
      </c>
      <c r="H13160" s="397"/>
      <c r="I13160" s="397"/>
      <c r="J13160" s="750"/>
      <c r="K13160" s="398"/>
      <c r="L13160" s="398"/>
      <c r="M13160" s="682"/>
    </row>
    <row r="13161" spans="3:13" hidden="1" x14ac:dyDescent="0.2">
      <c r="F13161" s="494">
        <v>417</v>
      </c>
      <c r="G13161" s="495" t="s">
        <v>4179</v>
      </c>
      <c r="H13161" s="397"/>
      <c r="I13161" s="397"/>
      <c r="J13161" s="750"/>
      <c r="K13161" s="398"/>
      <c r="L13161" s="398"/>
      <c r="M13161" s="682"/>
    </row>
    <row r="13162" spans="3:13" hidden="1" x14ac:dyDescent="0.2">
      <c r="F13162" s="494">
        <v>418</v>
      </c>
      <c r="G13162" s="495" t="s">
        <v>3773</v>
      </c>
      <c r="H13162" s="397"/>
      <c r="I13162" s="397"/>
      <c r="J13162" s="750"/>
      <c r="K13162" s="398"/>
      <c r="L13162" s="398"/>
      <c r="M13162" s="682"/>
    </row>
    <row r="13163" spans="3:13" hidden="1" x14ac:dyDescent="0.2">
      <c r="F13163" s="494">
        <v>421</v>
      </c>
      <c r="G13163" s="495" t="s">
        <v>3777</v>
      </c>
      <c r="H13163" s="397"/>
      <c r="I13163" s="397"/>
      <c r="J13163" s="750"/>
      <c r="K13163" s="398"/>
      <c r="L13163" s="398"/>
      <c r="M13163" s="682"/>
    </row>
    <row r="13164" spans="3:13" hidden="1" x14ac:dyDescent="0.2">
      <c r="F13164" s="494">
        <v>422</v>
      </c>
      <c r="G13164" s="495" t="s">
        <v>3778</v>
      </c>
      <c r="H13164" s="397"/>
      <c r="I13164" s="397"/>
      <c r="J13164" s="750"/>
      <c r="K13164" s="398"/>
      <c r="L13164" s="398"/>
      <c r="M13164" s="682"/>
    </row>
    <row r="13165" spans="3:13" hidden="1" x14ac:dyDescent="0.2">
      <c r="F13165" s="494">
        <v>423</v>
      </c>
      <c r="G13165" s="495" t="s">
        <v>3779</v>
      </c>
      <c r="H13165" s="397"/>
      <c r="I13165" s="397"/>
      <c r="J13165" s="750"/>
      <c r="K13165" s="398"/>
      <c r="L13165" s="398"/>
      <c r="M13165" s="682"/>
    </row>
    <row r="13166" spans="3:13" hidden="1" x14ac:dyDescent="0.2">
      <c r="F13166" s="494">
        <v>424</v>
      </c>
      <c r="G13166" s="495" t="s">
        <v>3781</v>
      </c>
      <c r="H13166" s="397"/>
      <c r="I13166" s="397"/>
      <c r="J13166" s="750"/>
      <c r="K13166" s="398"/>
      <c r="L13166" s="398"/>
      <c r="M13166" s="682"/>
    </row>
    <row r="13167" spans="3:13" hidden="1" x14ac:dyDescent="0.2">
      <c r="F13167" s="494">
        <v>425</v>
      </c>
      <c r="G13167" s="495" t="s">
        <v>4180</v>
      </c>
      <c r="H13167" s="397"/>
      <c r="I13167" s="397"/>
      <c r="J13167" s="750"/>
      <c r="K13167" s="398"/>
      <c r="L13167" s="398"/>
      <c r="M13167" s="682"/>
    </row>
    <row r="13168" spans="3:13" hidden="1" x14ac:dyDescent="0.2">
      <c r="F13168" s="494">
        <v>426</v>
      </c>
      <c r="G13168" s="495" t="s">
        <v>3785</v>
      </c>
      <c r="H13168" s="397"/>
      <c r="I13168" s="397"/>
      <c r="J13168" s="750"/>
      <c r="K13168" s="398"/>
      <c r="L13168" s="398"/>
      <c r="M13168" s="682"/>
    </row>
    <row r="13169" spans="6:13" hidden="1" x14ac:dyDescent="0.2">
      <c r="F13169" s="494">
        <v>431</v>
      </c>
      <c r="G13169" s="495" t="s">
        <v>4181</v>
      </c>
      <c r="H13169" s="397"/>
      <c r="I13169" s="397"/>
      <c r="J13169" s="750"/>
      <c r="K13169" s="398"/>
      <c r="L13169" s="398"/>
      <c r="M13169" s="682"/>
    </row>
    <row r="13170" spans="6:13" hidden="1" x14ac:dyDescent="0.2">
      <c r="F13170" s="494">
        <v>432</v>
      </c>
      <c r="G13170" s="495" t="s">
        <v>4182</v>
      </c>
      <c r="H13170" s="397"/>
      <c r="I13170" s="397"/>
      <c r="J13170" s="750"/>
      <c r="K13170" s="398"/>
      <c r="L13170" s="398"/>
      <c r="M13170" s="682"/>
    </row>
    <row r="13171" spans="6:13" hidden="1" x14ac:dyDescent="0.2">
      <c r="F13171" s="494">
        <v>433</v>
      </c>
      <c r="G13171" s="495" t="s">
        <v>4183</v>
      </c>
      <c r="H13171" s="397"/>
      <c r="I13171" s="397"/>
      <c r="J13171" s="750"/>
      <c r="K13171" s="398"/>
      <c r="L13171" s="398"/>
      <c r="M13171" s="682"/>
    </row>
    <row r="13172" spans="6:13" hidden="1" x14ac:dyDescent="0.2">
      <c r="F13172" s="494">
        <v>434</v>
      </c>
      <c r="G13172" s="495" t="s">
        <v>4184</v>
      </c>
      <c r="H13172" s="397"/>
      <c r="I13172" s="397"/>
      <c r="J13172" s="750"/>
      <c r="K13172" s="398"/>
      <c r="L13172" s="398"/>
      <c r="M13172" s="682"/>
    </row>
    <row r="13173" spans="6:13" hidden="1" x14ac:dyDescent="0.2">
      <c r="F13173" s="494">
        <v>435</v>
      </c>
      <c r="G13173" s="495" t="s">
        <v>3792</v>
      </c>
      <c r="H13173" s="397"/>
      <c r="I13173" s="397"/>
      <c r="J13173" s="750"/>
      <c r="K13173" s="398"/>
      <c r="L13173" s="398"/>
      <c r="M13173" s="682"/>
    </row>
    <row r="13174" spans="6:13" hidden="1" x14ac:dyDescent="0.2">
      <c r="F13174" s="494">
        <v>441</v>
      </c>
      <c r="G13174" s="495" t="s">
        <v>4185</v>
      </c>
      <c r="H13174" s="397"/>
      <c r="I13174" s="397"/>
      <c r="J13174" s="750"/>
      <c r="K13174" s="398"/>
      <c r="L13174" s="398"/>
      <c r="M13174" s="682"/>
    </row>
    <row r="13175" spans="6:13" hidden="1" x14ac:dyDescent="0.2">
      <c r="F13175" s="494">
        <v>442</v>
      </c>
      <c r="G13175" s="495" t="s">
        <v>4186</v>
      </c>
      <c r="H13175" s="397"/>
      <c r="I13175" s="397"/>
      <c r="J13175" s="750"/>
      <c r="K13175" s="398"/>
      <c r="L13175" s="398"/>
      <c r="M13175" s="682"/>
    </row>
    <row r="13176" spans="6:13" hidden="1" x14ac:dyDescent="0.2">
      <c r="F13176" s="494">
        <v>443</v>
      </c>
      <c r="G13176" s="495" t="s">
        <v>3797</v>
      </c>
      <c r="H13176" s="397"/>
      <c r="I13176" s="397"/>
      <c r="J13176" s="750"/>
      <c r="K13176" s="398"/>
      <c r="L13176" s="398"/>
      <c r="M13176" s="682"/>
    </row>
    <row r="13177" spans="6:13" hidden="1" x14ac:dyDescent="0.2">
      <c r="F13177" s="494">
        <v>444</v>
      </c>
      <c r="G13177" s="495" t="s">
        <v>3798</v>
      </c>
      <c r="H13177" s="397"/>
      <c r="I13177" s="397"/>
      <c r="J13177" s="750"/>
      <c r="K13177" s="398"/>
      <c r="L13177" s="398"/>
      <c r="M13177" s="682"/>
    </row>
    <row r="13178" spans="6:13" ht="25.5" hidden="1" x14ac:dyDescent="0.2">
      <c r="F13178" s="494">
        <v>4511</v>
      </c>
      <c r="G13178" s="466" t="s">
        <v>1692</v>
      </c>
      <c r="H13178" s="397"/>
      <c r="I13178" s="397"/>
      <c r="J13178" s="750"/>
      <c r="K13178" s="398"/>
      <c r="L13178" s="398"/>
      <c r="M13178" s="682"/>
    </row>
    <row r="13179" spans="6:13" ht="25.5" hidden="1" x14ac:dyDescent="0.2">
      <c r="F13179" s="494">
        <v>4512</v>
      </c>
      <c r="G13179" s="466" t="s">
        <v>1701</v>
      </c>
      <c r="H13179" s="397"/>
      <c r="I13179" s="397"/>
      <c r="J13179" s="750"/>
      <c r="K13179" s="398"/>
      <c r="L13179" s="398"/>
      <c r="M13179" s="682"/>
    </row>
    <row r="13180" spans="6:13" ht="25.5" hidden="1" x14ac:dyDescent="0.2">
      <c r="F13180" s="494">
        <v>452</v>
      </c>
      <c r="G13180" s="495" t="s">
        <v>4187</v>
      </c>
      <c r="H13180" s="397"/>
      <c r="I13180" s="397"/>
      <c r="J13180" s="750"/>
      <c r="K13180" s="398"/>
      <c r="L13180" s="398"/>
      <c r="M13180" s="682"/>
    </row>
    <row r="13181" spans="6:13" ht="25.5" hidden="1" x14ac:dyDescent="0.2">
      <c r="F13181" s="494">
        <v>453</v>
      </c>
      <c r="G13181" s="495" t="s">
        <v>4188</v>
      </c>
      <c r="H13181" s="397"/>
      <c r="I13181" s="397"/>
      <c r="J13181" s="750"/>
      <c r="K13181" s="398"/>
      <c r="L13181" s="398"/>
      <c r="M13181" s="682"/>
    </row>
    <row r="13182" spans="6:13" hidden="1" x14ac:dyDescent="0.2">
      <c r="F13182" s="494">
        <v>454</v>
      </c>
      <c r="G13182" s="495" t="s">
        <v>3803</v>
      </c>
      <c r="H13182" s="397"/>
      <c r="I13182" s="397"/>
      <c r="J13182" s="750"/>
      <c r="K13182" s="398"/>
      <c r="L13182" s="398"/>
      <c r="M13182" s="682"/>
    </row>
    <row r="13183" spans="6:13" hidden="1" x14ac:dyDescent="0.2">
      <c r="F13183" s="494">
        <v>461</v>
      </c>
      <c r="G13183" s="495" t="s">
        <v>4169</v>
      </c>
      <c r="H13183" s="397"/>
      <c r="I13183" s="397"/>
      <c r="J13183" s="750"/>
      <c r="K13183" s="398"/>
      <c r="L13183" s="398"/>
      <c r="M13183" s="682"/>
    </row>
    <row r="13184" spans="6:13" ht="25.5" hidden="1" x14ac:dyDescent="0.2">
      <c r="F13184" s="494">
        <v>462</v>
      </c>
      <c r="G13184" s="495" t="s">
        <v>3806</v>
      </c>
      <c r="H13184" s="397"/>
      <c r="I13184" s="397"/>
      <c r="J13184" s="750"/>
      <c r="K13184" s="398"/>
      <c r="L13184" s="398"/>
      <c r="M13184" s="682"/>
    </row>
    <row r="13185" spans="6:13" hidden="1" x14ac:dyDescent="0.2">
      <c r="F13185" s="494">
        <v>4631</v>
      </c>
      <c r="G13185" s="495" t="s">
        <v>3807</v>
      </c>
      <c r="H13185" s="397"/>
      <c r="I13185" s="397"/>
      <c r="J13185" s="750"/>
      <c r="K13185" s="398"/>
      <c r="L13185" s="398"/>
      <c r="M13185" s="682"/>
    </row>
    <row r="13186" spans="6:13" hidden="1" x14ac:dyDescent="0.2">
      <c r="F13186" s="494">
        <v>4632</v>
      </c>
      <c r="G13186" s="495" t="s">
        <v>3808</v>
      </c>
      <c r="H13186" s="397"/>
      <c r="I13186" s="397"/>
      <c r="J13186" s="750"/>
      <c r="K13186" s="398"/>
      <c r="L13186" s="398"/>
      <c r="M13186" s="682"/>
    </row>
    <row r="13187" spans="6:13" ht="25.5" hidden="1" x14ac:dyDescent="0.2">
      <c r="F13187" s="494">
        <v>464</v>
      </c>
      <c r="G13187" s="495" t="s">
        <v>3809</v>
      </c>
      <c r="H13187" s="397"/>
      <c r="I13187" s="397"/>
      <c r="J13187" s="750"/>
      <c r="K13187" s="398"/>
      <c r="L13187" s="398"/>
      <c r="M13187" s="682"/>
    </row>
    <row r="13188" spans="6:13" hidden="1" x14ac:dyDescent="0.2">
      <c r="F13188" s="494">
        <v>465</v>
      </c>
      <c r="G13188" s="495" t="s">
        <v>4170</v>
      </c>
      <c r="H13188" s="397"/>
      <c r="I13188" s="397"/>
      <c r="J13188" s="750"/>
      <c r="K13188" s="398"/>
      <c r="L13188" s="398"/>
      <c r="M13188" s="682"/>
    </row>
    <row r="13189" spans="6:13" hidden="1" x14ac:dyDescent="0.2">
      <c r="F13189" s="494">
        <v>472</v>
      </c>
      <c r="G13189" s="495" t="s">
        <v>3813</v>
      </c>
      <c r="H13189" s="397"/>
      <c r="I13189" s="397"/>
      <c r="J13189" s="750"/>
      <c r="K13189" s="398"/>
      <c r="L13189" s="398"/>
      <c r="M13189" s="682"/>
    </row>
    <row r="13190" spans="6:13" hidden="1" x14ac:dyDescent="0.2">
      <c r="F13190" s="494">
        <v>481</v>
      </c>
      <c r="G13190" s="495" t="s">
        <v>4189</v>
      </c>
      <c r="H13190" s="397"/>
      <c r="I13190" s="397"/>
      <c r="J13190" s="750"/>
      <c r="K13190" s="398"/>
      <c r="L13190" s="398"/>
      <c r="M13190" s="682"/>
    </row>
    <row r="13191" spans="6:13" hidden="1" x14ac:dyDescent="0.2">
      <c r="F13191" s="494">
        <v>482</v>
      </c>
      <c r="G13191" s="495" t="s">
        <v>4190</v>
      </c>
      <c r="H13191" s="397"/>
      <c r="I13191" s="397"/>
      <c r="J13191" s="750"/>
      <c r="K13191" s="398"/>
      <c r="L13191" s="398"/>
      <c r="M13191" s="682"/>
    </row>
    <row r="13192" spans="6:13" hidden="1" x14ac:dyDescent="0.2">
      <c r="F13192" s="494">
        <v>483</v>
      </c>
      <c r="G13192" s="497" t="s">
        <v>4191</v>
      </c>
      <c r="H13192" s="397"/>
      <c r="I13192" s="397"/>
      <c r="J13192" s="750"/>
      <c r="K13192" s="398"/>
      <c r="L13192" s="398"/>
      <c r="M13192" s="682"/>
    </row>
    <row r="13193" spans="6:13" ht="38.25" hidden="1" x14ac:dyDescent="0.2">
      <c r="F13193" s="494">
        <v>484</v>
      </c>
      <c r="G13193" s="495" t="s">
        <v>4192</v>
      </c>
      <c r="H13193" s="397"/>
      <c r="I13193" s="397"/>
      <c r="J13193" s="750"/>
      <c r="K13193" s="398"/>
      <c r="L13193" s="398"/>
      <c r="M13193" s="682"/>
    </row>
    <row r="13194" spans="6:13" ht="25.5" hidden="1" x14ac:dyDescent="0.2">
      <c r="F13194" s="494">
        <v>485</v>
      </c>
      <c r="G13194" s="495" t="s">
        <v>4193</v>
      </c>
      <c r="H13194" s="397"/>
      <c r="I13194" s="397"/>
      <c r="J13194" s="750"/>
      <c r="K13194" s="398"/>
      <c r="L13194" s="398"/>
      <c r="M13194" s="682"/>
    </row>
    <row r="13195" spans="6:13" ht="25.5" hidden="1" x14ac:dyDescent="0.2">
      <c r="F13195" s="494">
        <v>489</v>
      </c>
      <c r="G13195" s="495" t="s">
        <v>3821</v>
      </c>
      <c r="H13195" s="397"/>
      <c r="I13195" s="397"/>
      <c r="J13195" s="750"/>
      <c r="K13195" s="398"/>
      <c r="L13195" s="398"/>
      <c r="M13195" s="682"/>
    </row>
    <row r="13196" spans="6:13" ht="25.5" hidden="1" x14ac:dyDescent="0.2">
      <c r="F13196" s="494">
        <v>494</v>
      </c>
      <c r="G13196" s="495" t="s">
        <v>4171</v>
      </c>
      <c r="H13196" s="397"/>
      <c r="I13196" s="397"/>
      <c r="J13196" s="750"/>
      <c r="K13196" s="398"/>
      <c r="L13196" s="398"/>
      <c r="M13196" s="682"/>
    </row>
    <row r="13197" spans="6:13" ht="25.5" hidden="1" x14ac:dyDescent="0.2">
      <c r="F13197" s="494">
        <v>495</v>
      </c>
      <c r="G13197" s="495" t="s">
        <v>4172</v>
      </c>
      <c r="H13197" s="397"/>
      <c r="I13197" s="397"/>
      <c r="J13197" s="750"/>
      <c r="K13197" s="398"/>
      <c r="L13197" s="398"/>
      <c r="M13197" s="682"/>
    </row>
    <row r="13198" spans="6:13" ht="38.25" hidden="1" x14ac:dyDescent="0.2">
      <c r="F13198" s="494">
        <v>496</v>
      </c>
      <c r="G13198" s="495" t="s">
        <v>4173</v>
      </c>
      <c r="H13198" s="397"/>
      <c r="I13198" s="397"/>
      <c r="J13198" s="750"/>
      <c r="K13198" s="398"/>
      <c r="L13198" s="398"/>
      <c r="M13198" s="682"/>
    </row>
    <row r="13199" spans="6:13" ht="25.5" hidden="1" x14ac:dyDescent="0.2">
      <c r="F13199" s="494">
        <v>499</v>
      </c>
      <c r="G13199" s="495" t="s">
        <v>4174</v>
      </c>
      <c r="H13199" s="397"/>
      <c r="I13199" s="397"/>
      <c r="J13199" s="750"/>
      <c r="K13199" s="398"/>
      <c r="L13199" s="398"/>
      <c r="M13199" s="682"/>
    </row>
    <row r="13200" spans="6:13" hidden="1" x14ac:dyDescent="0.2">
      <c r="F13200" s="494">
        <v>511</v>
      </c>
      <c r="G13200" s="497" t="s">
        <v>4194</v>
      </c>
      <c r="H13200" s="397"/>
      <c r="I13200" s="397"/>
      <c r="J13200" s="750"/>
      <c r="K13200" s="398"/>
      <c r="L13200" s="398"/>
      <c r="M13200" s="682"/>
    </row>
    <row r="13201" spans="5:13" hidden="1" x14ac:dyDescent="0.2">
      <c r="F13201" s="494">
        <v>512</v>
      </c>
      <c r="G13201" s="497" t="s">
        <v>4195</v>
      </c>
      <c r="H13201" s="397"/>
      <c r="I13201" s="397"/>
      <c r="J13201" s="750"/>
      <c r="K13201" s="398"/>
      <c r="L13201" s="398"/>
      <c r="M13201" s="682"/>
    </row>
    <row r="13202" spans="5:13" hidden="1" x14ac:dyDescent="0.2">
      <c r="F13202" s="494">
        <v>513</v>
      </c>
      <c r="G13202" s="497" t="s">
        <v>4196</v>
      </c>
      <c r="H13202" s="397"/>
      <c r="I13202" s="397"/>
      <c r="J13202" s="750"/>
      <c r="K13202" s="398"/>
      <c r="L13202" s="398"/>
      <c r="M13202" s="682"/>
    </row>
    <row r="13203" spans="5:13" hidden="1" x14ac:dyDescent="0.2">
      <c r="F13203" s="494">
        <v>514</v>
      </c>
      <c r="G13203" s="495" t="s">
        <v>4197</v>
      </c>
      <c r="H13203" s="397"/>
      <c r="I13203" s="397"/>
      <c r="J13203" s="750"/>
      <c r="K13203" s="398"/>
      <c r="L13203" s="398"/>
      <c r="M13203" s="682"/>
    </row>
    <row r="13204" spans="5:13" hidden="1" x14ac:dyDescent="0.2">
      <c r="F13204" s="494">
        <v>515</v>
      </c>
      <c r="G13204" s="495" t="s">
        <v>3832</v>
      </c>
      <c r="H13204" s="397"/>
      <c r="I13204" s="397"/>
      <c r="J13204" s="750"/>
      <c r="K13204" s="398"/>
      <c r="L13204" s="398"/>
      <c r="M13204" s="682"/>
    </row>
    <row r="13205" spans="5:13" hidden="1" x14ac:dyDescent="0.2">
      <c r="F13205" s="494">
        <v>521</v>
      </c>
      <c r="G13205" s="495" t="s">
        <v>4198</v>
      </c>
      <c r="H13205" s="397"/>
      <c r="I13205" s="397"/>
      <c r="J13205" s="750"/>
      <c r="K13205" s="398"/>
      <c r="L13205" s="398"/>
      <c r="M13205" s="682"/>
    </row>
    <row r="13206" spans="5:13" hidden="1" x14ac:dyDescent="0.2">
      <c r="F13206" s="494">
        <v>522</v>
      </c>
      <c r="G13206" s="495" t="s">
        <v>4199</v>
      </c>
      <c r="H13206" s="397"/>
      <c r="I13206" s="397"/>
      <c r="J13206" s="750"/>
      <c r="K13206" s="398"/>
      <c r="L13206" s="398"/>
      <c r="M13206" s="682"/>
    </row>
    <row r="13207" spans="5:13" hidden="1" x14ac:dyDescent="0.2">
      <c r="F13207" s="494">
        <v>523</v>
      </c>
      <c r="G13207" s="495" t="s">
        <v>3837</v>
      </c>
      <c r="H13207" s="397"/>
      <c r="I13207" s="397"/>
      <c r="J13207" s="750"/>
      <c r="K13207" s="398"/>
      <c r="L13207" s="398"/>
      <c r="M13207" s="682"/>
    </row>
    <row r="13208" spans="5:13" hidden="1" x14ac:dyDescent="0.2">
      <c r="F13208" s="494">
        <v>531</v>
      </c>
      <c r="G13208" s="496" t="s">
        <v>4175</v>
      </c>
      <c r="H13208" s="397"/>
      <c r="I13208" s="397"/>
      <c r="J13208" s="750"/>
      <c r="K13208" s="398"/>
      <c r="L13208" s="398"/>
      <c r="M13208" s="682"/>
    </row>
    <row r="13209" spans="5:13" hidden="1" x14ac:dyDescent="0.2">
      <c r="F13209" s="494">
        <v>541</v>
      </c>
      <c r="G13209" s="495" t="s">
        <v>4200</v>
      </c>
      <c r="H13209" s="397"/>
      <c r="I13209" s="397"/>
      <c r="J13209" s="750"/>
      <c r="K13209" s="398"/>
      <c r="L13209" s="398"/>
      <c r="M13209" s="682"/>
    </row>
    <row r="13210" spans="5:13" hidden="1" x14ac:dyDescent="0.2">
      <c r="F13210" s="494">
        <v>542</v>
      </c>
      <c r="G13210" s="495" t="s">
        <v>4201</v>
      </c>
      <c r="H13210" s="397"/>
      <c r="I13210" s="397"/>
      <c r="J13210" s="750"/>
      <c r="K13210" s="398"/>
      <c r="L13210" s="398"/>
      <c r="M13210" s="682"/>
    </row>
    <row r="13211" spans="5:13" hidden="1" x14ac:dyDescent="0.2">
      <c r="F13211" s="494">
        <v>543</v>
      </c>
      <c r="G13211" s="495" t="s">
        <v>3842</v>
      </c>
      <c r="H13211" s="397"/>
      <c r="I13211" s="397"/>
      <c r="J13211" s="750"/>
      <c r="K13211" s="398"/>
      <c r="L13211" s="398"/>
      <c r="M13211" s="682"/>
    </row>
    <row r="13212" spans="5:13" ht="38.25" hidden="1" x14ac:dyDescent="0.2">
      <c r="F13212" s="494">
        <v>551</v>
      </c>
      <c r="G13212" s="495" t="s">
        <v>4176</v>
      </c>
      <c r="H13212" s="397"/>
      <c r="I13212" s="397"/>
      <c r="J13212" s="750"/>
      <c r="K13212" s="398"/>
      <c r="L13212" s="398"/>
      <c r="M13212" s="682"/>
    </row>
    <row r="13213" spans="5:13" hidden="1" x14ac:dyDescent="0.2">
      <c r="F13213" s="498">
        <v>611</v>
      </c>
      <c r="G13213" s="499" t="s">
        <v>3848</v>
      </c>
      <c r="H13213" s="397"/>
      <c r="I13213" s="397"/>
      <c r="J13213" s="750"/>
      <c r="K13213" s="398"/>
      <c r="L13213" s="398"/>
      <c r="M13213" s="682"/>
    </row>
    <row r="13214" spans="5:13" hidden="1" x14ac:dyDescent="0.2">
      <c r="F13214" s="498">
        <v>620</v>
      </c>
      <c r="G13214" s="499" t="s">
        <v>88</v>
      </c>
      <c r="H13214" s="397"/>
      <c r="I13214" s="397"/>
      <c r="J13214" s="750"/>
      <c r="K13214" s="398"/>
      <c r="L13214" s="398"/>
      <c r="M13214" s="682"/>
    </row>
    <row r="13215" spans="5:13" hidden="1" x14ac:dyDescent="0.2">
      <c r="E13215" s="500"/>
      <c r="F13215" s="498"/>
      <c r="G13215" s="509" t="s">
        <v>4435</v>
      </c>
      <c r="H13215" s="400"/>
      <c r="I13215" s="400"/>
      <c r="J13215" s="750"/>
      <c r="K13215" s="401"/>
      <c r="L13215" s="402"/>
      <c r="M13215" s="682"/>
    </row>
    <row r="13216" spans="5:13" hidden="1" x14ac:dyDescent="0.2">
      <c r="E13216" s="502"/>
      <c r="F13216" s="503" t="s">
        <v>234</v>
      </c>
      <c r="G13216" s="504" t="s">
        <v>235</v>
      </c>
      <c r="H13216" s="403">
        <f>SUM(H13155:H13214)</f>
        <v>0</v>
      </c>
      <c r="I13216" s="403"/>
      <c r="J13216" s="750"/>
      <c r="K13216" s="404"/>
      <c r="L13216" s="404"/>
      <c r="M13216" s="682"/>
    </row>
    <row r="13217" spans="6:13" hidden="1" x14ac:dyDescent="0.2">
      <c r="F13217" s="503" t="s">
        <v>236</v>
      </c>
      <c r="G13217" s="504" t="s">
        <v>237</v>
      </c>
      <c r="H13217" s="397"/>
      <c r="I13217" s="397"/>
      <c r="J13217" s="750"/>
      <c r="K13217" s="398"/>
      <c r="L13217" s="404"/>
      <c r="M13217" s="682"/>
    </row>
    <row r="13218" spans="6:13" hidden="1" x14ac:dyDescent="0.2">
      <c r="F13218" s="503" t="s">
        <v>238</v>
      </c>
      <c r="G13218" s="504" t="s">
        <v>239</v>
      </c>
      <c r="H13218" s="397"/>
      <c r="I13218" s="397"/>
      <c r="J13218" s="750"/>
      <c r="K13218" s="398"/>
      <c r="L13218" s="404"/>
      <c r="M13218" s="682"/>
    </row>
    <row r="13219" spans="6:13" hidden="1" x14ac:dyDescent="0.2">
      <c r="F13219" s="503" t="s">
        <v>240</v>
      </c>
      <c r="G13219" s="504" t="s">
        <v>241</v>
      </c>
      <c r="H13219" s="397"/>
      <c r="I13219" s="397"/>
      <c r="J13219" s="750"/>
      <c r="K13219" s="398"/>
      <c r="L13219" s="404"/>
      <c r="M13219" s="682"/>
    </row>
    <row r="13220" spans="6:13" hidden="1" x14ac:dyDescent="0.2">
      <c r="F13220" s="503" t="s">
        <v>242</v>
      </c>
      <c r="G13220" s="504" t="s">
        <v>243</v>
      </c>
      <c r="H13220" s="397"/>
      <c r="I13220" s="397"/>
      <c r="J13220" s="750"/>
      <c r="K13220" s="398"/>
      <c r="L13220" s="404"/>
      <c r="M13220" s="682"/>
    </row>
    <row r="13221" spans="6:13" hidden="1" x14ac:dyDescent="0.2">
      <c r="F13221" s="503" t="s">
        <v>244</v>
      </c>
      <c r="G13221" s="504" t="s">
        <v>245</v>
      </c>
      <c r="H13221" s="397"/>
      <c r="I13221" s="397"/>
      <c r="J13221" s="750"/>
      <c r="K13221" s="398"/>
      <c r="L13221" s="404"/>
      <c r="M13221" s="682"/>
    </row>
    <row r="13222" spans="6:13" hidden="1" x14ac:dyDescent="0.2">
      <c r="F13222" s="503" t="s">
        <v>246</v>
      </c>
      <c r="G13222" s="504" t="s">
        <v>247</v>
      </c>
      <c r="H13222" s="397"/>
      <c r="I13222" s="397"/>
      <c r="J13222" s="750"/>
      <c r="K13222" s="398"/>
      <c r="L13222" s="404"/>
      <c r="M13222" s="682"/>
    </row>
    <row r="13223" spans="6:13" ht="25.5" hidden="1" x14ac:dyDescent="0.2">
      <c r="F13223" s="503" t="s">
        <v>248</v>
      </c>
      <c r="G13223" s="504" t="s">
        <v>249</v>
      </c>
      <c r="H13223" s="397"/>
      <c r="I13223" s="397"/>
      <c r="J13223" s="750"/>
      <c r="K13223" s="398"/>
      <c r="L13223" s="404"/>
      <c r="M13223" s="682"/>
    </row>
    <row r="13224" spans="6:13" hidden="1" x14ac:dyDescent="0.2">
      <c r="F13224" s="503" t="s">
        <v>250</v>
      </c>
      <c r="G13224" s="504" t="s">
        <v>57</v>
      </c>
      <c r="H13224" s="397"/>
      <c r="I13224" s="397"/>
      <c r="J13224" s="750"/>
      <c r="K13224" s="398"/>
      <c r="L13224" s="404"/>
      <c r="M13224" s="682"/>
    </row>
    <row r="13225" spans="6:13" hidden="1" x14ac:dyDescent="0.2">
      <c r="F13225" s="503" t="s">
        <v>251</v>
      </c>
      <c r="G13225" s="504" t="s">
        <v>252</v>
      </c>
      <c r="H13225" s="397"/>
      <c r="I13225" s="397"/>
      <c r="J13225" s="750"/>
      <c r="K13225" s="398"/>
      <c r="L13225" s="404"/>
      <c r="M13225" s="682"/>
    </row>
    <row r="13226" spans="6:13" hidden="1" x14ac:dyDescent="0.2">
      <c r="F13226" s="503" t="s">
        <v>253</v>
      </c>
      <c r="G13226" s="504" t="s">
        <v>254</v>
      </c>
      <c r="H13226" s="397"/>
      <c r="I13226" s="397"/>
      <c r="J13226" s="750"/>
      <c r="K13226" s="398"/>
      <c r="L13226" s="404"/>
      <c r="M13226" s="682"/>
    </row>
    <row r="13227" spans="6:13" ht="25.5" hidden="1" x14ac:dyDescent="0.2">
      <c r="F13227" s="503" t="s">
        <v>255</v>
      </c>
      <c r="G13227" s="504" t="s">
        <v>256</v>
      </c>
      <c r="H13227" s="397"/>
      <c r="I13227" s="397"/>
      <c r="J13227" s="750"/>
      <c r="K13227" s="398"/>
      <c r="L13227" s="404"/>
      <c r="M13227" s="682"/>
    </row>
    <row r="13228" spans="6:13" ht="25.5" hidden="1" x14ac:dyDescent="0.2">
      <c r="F13228" s="503" t="s">
        <v>257</v>
      </c>
      <c r="G13228" s="504" t="s">
        <v>258</v>
      </c>
      <c r="H13228" s="397"/>
      <c r="I13228" s="397"/>
      <c r="J13228" s="750"/>
      <c r="K13228" s="398"/>
      <c r="L13228" s="404"/>
      <c r="M13228" s="682"/>
    </row>
    <row r="13229" spans="6:13" ht="25.5" hidden="1" x14ac:dyDescent="0.2">
      <c r="F13229" s="503" t="s">
        <v>259</v>
      </c>
      <c r="G13229" s="504" t="s">
        <v>260</v>
      </c>
      <c r="H13229" s="397"/>
      <c r="I13229" s="397"/>
      <c r="J13229" s="750"/>
      <c r="K13229" s="398"/>
      <c r="L13229" s="404"/>
      <c r="M13229" s="682"/>
    </row>
    <row r="13230" spans="6:13" ht="25.5" hidden="1" x14ac:dyDescent="0.2">
      <c r="F13230" s="503" t="s">
        <v>261</v>
      </c>
      <c r="G13230" s="504" t="s">
        <v>262</v>
      </c>
      <c r="H13230" s="397"/>
      <c r="I13230" s="397"/>
      <c r="J13230" s="750"/>
      <c r="K13230" s="398"/>
      <c r="L13230" s="404"/>
      <c r="M13230" s="682"/>
    </row>
    <row r="13231" spans="6:13" hidden="1" x14ac:dyDescent="0.2">
      <c r="F13231" s="503" t="s">
        <v>263</v>
      </c>
      <c r="G13231" s="504" t="s">
        <v>264</v>
      </c>
      <c r="H13231" s="403"/>
      <c r="I13231" s="403"/>
      <c r="J13231" s="750"/>
      <c r="K13231" s="404"/>
      <c r="L13231" s="404"/>
      <c r="M13231" s="682"/>
    </row>
    <row r="13232" spans="6:13" ht="13.5" hidden="1" thickBot="1" x14ac:dyDescent="0.25">
      <c r="G13232" s="505" t="s">
        <v>4436</v>
      </c>
      <c r="H13232" s="405">
        <f>SUM(H13216:H13231)</f>
        <v>0</v>
      </c>
      <c r="I13232" s="405"/>
      <c r="J13232" s="750"/>
      <c r="K13232" s="406">
        <f>SUM(K13217:K13231)</f>
        <v>0</v>
      </c>
      <c r="L13232" s="406"/>
      <c r="M13232" s="682"/>
    </row>
    <row r="13233" spans="5:13" hidden="1" collapsed="1" x14ac:dyDescent="0.2">
      <c r="E13233" s="500"/>
      <c r="F13233" s="498"/>
      <c r="G13233" s="506" t="s">
        <v>5094</v>
      </c>
      <c r="H13233" s="407"/>
      <c r="I13233" s="408"/>
      <c r="J13233" s="750"/>
      <c r="K13233" s="409"/>
      <c r="L13233" s="410"/>
      <c r="M13233" s="682"/>
    </row>
    <row r="13234" spans="5:13" hidden="1" x14ac:dyDescent="0.2">
      <c r="E13234" s="502"/>
      <c r="F13234" s="503" t="s">
        <v>234</v>
      </c>
      <c r="G13234" s="504" t="s">
        <v>235</v>
      </c>
      <c r="H13234" s="403">
        <f>SUM(H13155:H13214)</f>
        <v>0</v>
      </c>
      <c r="I13234" s="403"/>
      <c r="J13234" s="750"/>
      <c r="K13234" s="404"/>
      <c r="L13234" s="404"/>
      <c r="M13234" s="682"/>
    </row>
    <row r="13235" spans="5:13" hidden="1" x14ac:dyDescent="0.2">
      <c r="F13235" s="503" t="s">
        <v>236</v>
      </c>
      <c r="G13235" s="504" t="s">
        <v>237</v>
      </c>
      <c r="H13235" s="397"/>
      <c r="I13235" s="397"/>
      <c r="J13235" s="750"/>
      <c r="K13235" s="398"/>
      <c r="L13235" s="404"/>
      <c r="M13235" s="682"/>
    </row>
    <row r="13236" spans="5:13" hidden="1" x14ac:dyDescent="0.2">
      <c r="F13236" s="503" t="s">
        <v>238</v>
      </c>
      <c r="G13236" s="504" t="s">
        <v>239</v>
      </c>
      <c r="H13236" s="397"/>
      <c r="I13236" s="397"/>
      <c r="J13236" s="750"/>
      <c r="K13236" s="398"/>
      <c r="L13236" s="404"/>
      <c r="M13236" s="682"/>
    </row>
    <row r="13237" spans="5:13" hidden="1" x14ac:dyDescent="0.2">
      <c r="F13237" s="503" t="s">
        <v>240</v>
      </c>
      <c r="G13237" s="504" t="s">
        <v>241</v>
      </c>
      <c r="H13237" s="397"/>
      <c r="I13237" s="397"/>
      <c r="J13237" s="750"/>
      <c r="K13237" s="398"/>
      <c r="L13237" s="404"/>
      <c r="M13237" s="682"/>
    </row>
    <row r="13238" spans="5:13" hidden="1" x14ac:dyDescent="0.2">
      <c r="F13238" s="503" t="s">
        <v>242</v>
      </c>
      <c r="G13238" s="504" t="s">
        <v>243</v>
      </c>
      <c r="H13238" s="397"/>
      <c r="I13238" s="397"/>
      <c r="J13238" s="750"/>
      <c r="K13238" s="398"/>
      <c r="L13238" s="404"/>
      <c r="M13238" s="682"/>
    </row>
    <row r="13239" spans="5:13" hidden="1" x14ac:dyDescent="0.2">
      <c r="F13239" s="503" t="s">
        <v>244</v>
      </c>
      <c r="G13239" s="504" t="s">
        <v>245</v>
      </c>
      <c r="H13239" s="397"/>
      <c r="I13239" s="397"/>
      <c r="J13239" s="750"/>
      <c r="K13239" s="398"/>
      <c r="L13239" s="404"/>
      <c r="M13239" s="682"/>
    </row>
    <row r="13240" spans="5:13" hidden="1" x14ac:dyDescent="0.2">
      <c r="F13240" s="503" t="s">
        <v>246</v>
      </c>
      <c r="G13240" s="504" t="s">
        <v>247</v>
      </c>
      <c r="H13240" s="397"/>
      <c r="I13240" s="397"/>
      <c r="J13240" s="750"/>
      <c r="K13240" s="398"/>
      <c r="L13240" s="404"/>
      <c r="M13240" s="682"/>
    </row>
    <row r="13241" spans="5:13" ht="25.5" hidden="1" x14ac:dyDescent="0.2">
      <c r="F13241" s="503" t="s">
        <v>248</v>
      </c>
      <c r="G13241" s="504" t="s">
        <v>249</v>
      </c>
      <c r="H13241" s="397"/>
      <c r="I13241" s="397"/>
      <c r="J13241" s="750"/>
      <c r="K13241" s="398"/>
      <c r="L13241" s="404"/>
      <c r="M13241" s="682"/>
    </row>
    <row r="13242" spans="5:13" hidden="1" x14ac:dyDescent="0.2">
      <c r="F13242" s="503" t="s">
        <v>250</v>
      </c>
      <c r="G13242" s="504" t="s">
        <v>57</v>
      </c>
      <c r="H13242" s="397"/>
      <c r="I13242" s="397"/>
      <c r="J13242" s="750"/>
      <c r="K13242" s="398"/>
      <c r="L13242" s="404"/>
      <c r="M13242" s="682"/>
    </row>
    <row r="13243" spans="5:13" hidden="1" x14ac:dyDescent="0.2">
      <c r="F13243" s="503" t="s">
        <v>251</v>
      </c>
      <c r="G13243" s="504" t="s">
        <v>252</v>
      </c>
      <c r="H13243" s="397"/>
      <c r="I13243" s="397"/>
      <c r="J13243" s="750"/>
      <c r="K13243" s="398"/>
      <c r="L13243" s="404"/>
      <c r="M13243" s="682"/>
    </row>
    <row r="13244" spans="5:13" hidden="1" x14ac:dyDescent="0.2">
      <c r="F13244" s="503" t="s">
        <v>253</v>
      </c>
      <c r="G13244" s="504" t="s">
        <v>254</v>
      </c>
      <c r="H13244" s="397"/>
      <c r="I13244" s="397"/>
      <c r="J13244" s="750"/>
      <c r="K13244" s="398"/>
      <c r="L13244" s="404"/>
      <c r="M13244" s="682"/>
    </row>
    <row r="13245" spans="5:13" ht="25.5" hidden="1" x14ac:dyDescent="0.2">
      <c r="F13245" s="503" t="s">
        <v>255</v>
      </c>
      <c r="G13245" s="504" t="s">
        <v>256</v>
      </c>
      <c r="H13245" s="397"/>
      <c r="I13245" s="397"/>
      <c r="J13245" s="750"/>
      <c r="K13245" s="398"/>
      <c r="L13245" s="404"/>
      <c r="M13245" s="682"/>
    </row>
    <row r="13246" spans="5:13" ht="25.5" hidden="1" x14ac:dyDescent="0.2">
      <c r="F13246" s="503" t="s">
        <v>257</v>
      </c>
      <c r="G13246" s="504" t="s">
        <v>258</v>
      </c>
      <c r="H13246" s="397"/>
      <c r="I13246" s="397"/>
      <c r="J13246" s="750"/>
      <c r="K13246" s="398"/>
      <c r="L13246" s="404"/>
      <c r="M13246" s="682"/>
    </row>
    <row r="13247" spans="5:13" ht="25.5" hidden="1" x14ac:dyDescent="0.2">
      <c r="F13247" s="503" t="s">
        <v>259</v>
      </c>
      <c r="G13247" s="504" t="s">
        <v>260</v>
      </c>
      <c r="H13247" s="397"/>
      <c r="I13247" s="397"/>
      <c r="J13247" s="750"/>
      <c r="K13247" s="398"/>
      <c r="L13247" s="404"/>
      <c r="M13247" s="682"/>
    </row>
    <row r="13248" spans="5:13" ht="25.5" hidden="1" x14ac:dyDescent="0.2">
      <c r="F13248" s="503" t="s">
        <v>261</v>
      </c>
      <c r="G13248" s="504" t="s">
        <v>262</v>
      </c>
      <c r="H13248" s="397"/>
      <c r="I13248" s="397"/>
      <c r="J13248" s="750"/>
      <c r="K13248" s="398"/>
      <c r="L13248" s="404"/>
      <c r="M13248" s="682"/>
    </row>
    <row r="13249" spans="3:13" hidden="1" x14ac:dyDescent="0.2">
      <c r="F13249" s="503" t="s">
        <v>263</v>
      </c>
      <c r="G13249" s="504" t="s">
        <v>264</v>
      </c>
      <c r="H13249" s="403"/>
      <c r="I13249" s="403"/>
      <c r="J13249" s="750"/>
      <c r="K13249" s="404"/>
      <c r="L13249" s="404"/>
      <c r="M13249" s="682"/>
    </row>
    <row r="13250" spans="3:13" ht="13.5" hidden="1" thickBot="1" x14ac:dyDescent="0.25">
      <c r="G13250" s="505" t="s">
        <v>5019</v>
      </c>
      <c r="H13250" s="405">
        <f>SUM(H13234:H13249)</f>
        <v>0</v>
      </c>
      <c r="I13250" s="405"/>
      <c r="J13250" s="750"/>
      <c r="K13250" s="406">
        <f>SUM(K13235:K13249)</f>
        <v>0</v>
      </c>
      <c r="L13250" s="406"/>
      <c r="M13250" s="682"/>
    </row>
    <row r="13251" spans="3:13" hidden="1" x14ac:dyDescent="0.2">
      <c r="G13251" s="510"/>
      <c r="H13251" s="411"/>
      <c r="I13251" s="411"/>
      <c r="J13251" s="750"/>
      <c r="K13251" s="412"/>
      <c r="L13251" s="412"/>
      <c r="M13251" s="682"/>
    </row>
    <row r="13252" spans="3:13" hidden="1" x14ac:dyDescent="0.2">
      <c r="C13252" s="489" t="s">
        <v>4837</v>
      </c>
      <c r="D13252" s="490"/>
      <c r="G13252" s="508" t="s">
        <v>4232</v>
      </c>
      <c r="H13252" s="397"/>
      <c r="I13252" s="397"/>
      <c r="J13252" s="750"/>
      <c r="K13252" s="398"/>
      <c r="L13252" s="398"/>
      <c r="M13252" s="682"/>
    </row>
    <row r="13253" spans="3:13" hidden="1" x14ac:dyDescent="0.2">
      <c r="C13253" s="489"/>
      <c r="D13253" s="492">
        <v>820</v>
      </c>
      <c r="E13253" s="492"/>
      <c r="F13253" s="492"/>
      <c r="G13253" s="493" t="s">
        <v>207</v>
      </c>
      <c r="H13253" s="397"/>
      <c r="I13253" s="397"/>
      <c r="J13253" s="750"/>
      <c r="K13253" s="398"/>
      <c r="L13253" s="398"/>
      <c r="M13253" s="682"/>
    </row>
    <row r="13254" spans="3:13" hidden="1" x14ac:dyDescent="0.2">
      <c r="F13254" s="494">
        <v>411</v>
      </c>
      <c r="G13254" s="495" t="s">
        <v>4167</v>
      </c>
      <c r="H13254" s="397"/>
      <c r="I13254" s="397"/>
      <c r="J13254" s="750"/>
      <c r="K13254" s="398"/>
      <c r="L13254" s="398"/>
      <c r="M13254" s="682"/>
    </row>
    <row r="13255" spans="3:13" hidden="1" x14ac:dyDescent="0.2">
      <c r="F13255" s="494">
        <v>412</v>
      </c>
      <c r="G13255" s="496" t="s">
        <v>3764</v>
      </c>
      <c r="H13255" s="397"/>
      <c r="I13255" s="397"/>
      <c r="J13255" s="750"/>
      <c r="K13255" s="398"/>
      <c r="L13255" s="398"/>
      <c r="M13255" s="682"/>
    </row>
    <row r="13256" spans="3:13" hidden="1" x14ac:dyDescent="0.2">
      <c r="F13256" s="494">
        <v>413</v>
      </c>
      <c r="G13256" s="495" t="s">
        <v>4168</v>
      </c>
      <c r="H13256" s="397"/>
      <c r="I13256" s="397"/>
      <c r="J13256" s="750"/>
      <c r="K13256" s="398"/>
      <c r="L13256" s="398"/>
      <c r="M13256" s="682"/>
    </row>
    <row r="13257" spans="3:13" hidden="1" x14ac:dyDescent="0.2">
      <c r="F13257" s="494">
        <v>414</v>
      </c>
      <c r="G13257" s="495" t="s">
        <v>3767</v>
      </c>
      <c r="H13257" s="397"/>
      <c r="I13257" s="397"/>
      <c r="J13257" s="750"/>
      <c r="K13257" s="398"/>
      <c r="L13257" s="398"/>
      <c r="M13257" s="682"/>
    </row>
    <row r="13258" spans="3:13" hidden="1" x14ac:dyDescent="0.2">
      <c r="F13258" s="494">
        <v>415</v>
      </c>
      <c r="G13258" s="495" t="s">
        <v>4177</v>
      </c>
      <c r="H13258" s="397"/>
      <c r="I13258" s="397"/>
      <c r="J13258" s="750"/>
      <c r="K13258" s="398"/>
      <c r="L13258" s="398"/>
      <c r="M13258" s="682"/>
    </row>
    <row r="13259" spans="3:13" ht="25.5" hidden="1" x14ac:dyDescent="0.2">
      <c r="F13259" s="494">
        <v>416</v>
      </c>
      <c r="G13259" s="495" t="s">
        <v>4178</v>
      </c>
      <c r="H13259" s="397"/>
      <c r="I13259" s="397"/>
      <c r="J13259" s="750"/>
      <c r="K13259" s="398"/>
      <c r="L13259" s="398"/>
      <c r="M13259" s="682"/>
    </row>
    <row r="13260" spans="3:13" hidden="1" x14ac:dyDescent="0.2">
      <c r="F13260" s="494">
        <v>417</v>
      </c>
      <c r="G13260" s="495" t="s">
        <v>4179</v>
      </c>
      <c r="H13260" s="397"/>
      <c r="I13260" s="397"/>
      <c r="J13260" s="750"/>
      <c r="K13260" s="398"/>
      <c r="L13260" s="398"/>
      <c r="M13260" s="682"/>
    </row>
    <row r="13261" spans="3:13" hidden="1" x14ac:dyDescent="0.2">
      <c r="F13261" s="494">
        <v>418</v>
      </c>
      <c r="G13261" s="495" t="s">
        <v>3773</v>
      </c>
      <c r="H13261" s="397"/>
      <c r="I13261" s="397"/>
      <c r="J13261" s="750"/>
      <c r="K13261" s="398"/>
      <c r="L13261" s="398"/>
      <c r="M13261" s="682"/>
    </row>
    <row r="13262" spans="3:13" hidden="1" x14ac:dyDescent="0.2">
      <c r="F13262" s="494">
        <v>421</v>
      </c>
      <c r="G13262" s="495" t="s">
        <v>3777</v>
      </c>
      <c r="H13262" s="397"/>
      <c r="I13262" s="397"/>
      <c r="J13262" s="750"/>
      <c r="K13262" s="398"/>
      <c r="L13262" s="398"/>
      <c r="M13262" s="682"/>
    </row>
    <row r="13263" spans="3:13" hidden="1" x14ac:dyDescent="0.2">
      <c r="F13263" s="494">
        <v>422</v>
      </c>
      <c r="G13263" s="495" t="s">
        <v>3778</v>
      </c>
      <c r="H13263" s="397"/>
      <c r="I13263" s="397"/>
      <c r="J13263" s="750"/>
      <c r="K13263" s="398"/>
      <c r="L13263" s="398"/>
      <c r="M13263" s="682"/>
    </row>
    <row r="13264" spans="3:13" hidden="1" x14ac:dyDescent="0.2">
      <c r="F13264" s="494">
        <v>423</v>
      </c>
      <c r="G13264" s="495" t="s">
        <v>3779</v>
      </c>
      <c r="H13264" s="397"/>
      <c r="I13264" s="397"/>
      <c r="J13264" s="750"/>
      <c r="K13264" s="398"/>
      <c r="L13264" s="398"/>
      <c r="M13264" s="682"/>
    </row>
    <row r="13265" spans="6:13" hidden="1" x14ac:dyDescent="0.2">
      <c r="F13265" s="494">
        <v>424</v>
      </c>
      <c r="G13265" s="495" t="s">
        <v>3781</v>
      </c>
      <c r="H13265" s="397"/>
      <c r="I13265" s="397"/>
      <c r="J13265" s="750"/>
      <c r="K13265" s="398"/>
      <c r="L13265" s="398"/>
      <c r="M13265" s="682"/>
    </row>
    <row r="13266" spans="6:13" hidden="1" x14ac:dyDescent="0.2">
      <c r="F13266" s="494">
        <v>425</v>
      </c>
      <c r="G13266" s="495" t="s">
        <v>4180</v>
      </c>
      <c r="H13266" s="397"/>
      <c r="I13266" s="397"/>
      <c r="J13266" s="750"/>
      <c r="K13266" s="398"/>
      <c r="L13266" s="398"/>
      <c r="M13266" s="682"/>
    </row>
    <row r="13267" spans="6:13" hidden="1" x14ac:dyDescent="0.2">
      <c r="F13267" s="494">
        <v>426</v>
      </c>
      <c r="G13267" s="495" t="s">
        <v>3785</v>
      </c>
      <c r="H13267" s="397"/>
      <c r="I13267" s="397"/>
      <c r="J13267" s="750"/>
      <c r="K13267" s="398"/>
      <c r="L13267" s="398"/>
      <c r="M13267" s="682"/>
    </row>
    <row r="13268" spans="6:13" hidden="1" x14ac:dyDescent="0.2">
      <c r="F13268" s="494">
        <v>431</v>
      </c>
      <c r="G13268" s="495" t="s">
        <v>4181</v>
      </c>
      <c r="H13268" s="397"/>
      <c r="I13268" s="397"/>
      <c r="J13268" s="750"/>
      <c r="K13268" s="398"/>
      <c r="L13268" s="398"/>
      <c r="M13268" s="682"/>
    </row>
    <row r="13269" spans="6:13" hidden="1" x14ac:dyDescent="0.2">
      <c r="F13269" s="494">
        <v>432</v>
      </c>
      <c r="G13269" s="495" t="s">
        <v>4182</v>
      </c>
      <c r="H13269" s="397"/>
      <c r="I13269" s="397"/>
      <c r="J13269" s="750"/>
      <c r="K13269" s="398"/>
      <c r="L13269" s="398"/>
      <c r="M13269" s="682"/>
    </row>
    <row r="13270" spans="6:13" hidden="1" x14ac:dyDescent="0.2">
      <c r="F13270" s="494">
        <v>433</v>
      </c>
      <c r="G13270" s="495" t="s">
        <v>4183</v>
      </c>
      <c r="H13270" s="397"/>
      <c r="I13270" s="397"/>
      <c r="J13270" s="750"/>
      <c r="K13270" s="398"/>
      <c r="L13270" s="398"/>
      <c r="M13270" s="682"/>
    </row>
    <row r="13271" spans="6:13" hidden="1" x14ac:dyDescent="0.2">
      <c r="F13271" s="494">
        <v>434</v>
      </c>
      <c r="G13271" s="495" t="s">
        <v>4184</v>
      </c>
      <c r="H13271" s="397"/>
      <c r="I13271" s="397"/>
      <c r="J13271" s="750"/>
      <c r="K13271" s="398"/>
      <c r="L13271" s="398"/>
      <c r="M13271" s="682"/>
    </row>
    <row r="13272" spans="6:13" hidden="1" x14ac:dyDescent="0.2">
      <c r="F13272" s="494">
        <v>435</v>
      </c>
      <c r="G13272" s="495" t="s">
        <v>3792</v>
      </c>
      <c r="H13272" s="397"/>
      <c r="I13272" s="397"/>
      <c r="J13272" s="750"/>
      <c r="K13272" s="398"/>
      <c r="L13272" s="398"/>
      <c r="M13272" s="682"/>
    </row>
    <row r="13273" spans="6:13" hidden="1" x14ac:dyDescent="0.2">
      <c r="F13273" s="494">
        <v>441</v>
      </c>
      <c r="G13273" s="495" t="s">
        <v>4185</v>
      </c>
      <c r="H13273" s="397"/>
      <c r="I13273" s="397"/>
      <c r="J13273" s="750"/>
      <c r="K13273" s="398"/>
      <c r="L13273" s="398"/>
      <c r="M13273" s="682"/>
    </row>
    <row r="13274" spans="6:13" hidden="1" x14ac:dyDescent="0.2">
      <c r="F13274" s="494">
        <v>442</v>
      </c>
      <c r="G13274" s="495" t="s">
        <v>4186</v>
      </c>
      <c r="H13274" s="397"/>
      <c r="I13274" s="397"/>
      <c r="J13274" s="750"/>
      <c r="K13274" s="398"/>
      <c r="L13274" s="398"/>
      <c r="M13274" s="682"/>
    </row>
    <row r="13275" spans="6:13" hidden="1" x14ac:dyDescent="0.2">
      <c r="F13275" s="494">
        <v>443</v>
      </c>
      <c r="G13275" s="495" t="s">
        <v>3797</v>
      </c>
      <c r="H13275" s="397"/>
      <c r="I13275" s="397"/>
      <c r="J13275" s="750"/>
      <c r="K13275" s="398"/>
      <c r="L13275" s="398"/>
      <c r="M13275" s="682"/>
    </row>
    <row r="13276" spans="6:13" hidden="1" x14ac:dyDescent="0.2">
      <c r="F13276" s="494">
        <v>444</v>
      </c>
      <c r="G13276" s="495" t="s">
        <v>3798</v>
      </c>
      <c r="H13276" s="397"/>
      <c r="I13276" s="397"/>
      <c r="J13276" s="750"/>
      <c r="K13276" s="398"/>
      <c r="L13276" s="398"/>
      <c r="M13276" s="682"/>
    </row>
    <row r="13277" spans="6:13" ht="25.5" hidden="1" x14ac:dyDescent="0.2">
      <c r="F13277" s="494">
        <v>4511</v>
      </c>
      <c r="G13277" s="466" t="s">
        <v>1692</v>
      </c>
      <c r="H13277" s="397"/>
      <c r="I13277" s="397"/>
      <c r="J13277" s="750"/>
      <c r="K13277" s="398"/>
      <c r="L13277" s="398"/>
      <c r="M13277" s="682"/>
    </row>
    <row r="13278" spans="6:13" ht="25.5" hidden="1" x14ac:dyDescent="0.2">
      <c r="F13278" s="494">
        <v>4512</v>
      </c>
      <c r="G13278" s="466" t="s">
        <v>1701</v>
      </c>
      <c r="H13278" s="397"/>
      <c r="I13278" s="397"/>
      <c r="J13278" s="750"/>
      <c r="K13278" s="398"/>
      <c r="L13278" s="398"/>
      <c r="M13278" s="682"/>
    </row>
    <row r="13279" spans="6:13" ht="25.5" hidden="1" x14ac:dyDescent="0.2">
      <c r="F13279" s="494">
        <v>452</v>
      </c>
      <c r="G13279" s="495" t="s">
        <v>4187</v>
      </c>
      <c r="H13279" s="397"/>
      <c r="I13279" s="397"/>
      <c r="J13279" s="750"/>
      <c r="K13279" s="398"/>
      <c r="L13279" s="398"/>
      <c r="M13279" s="682"/>
    </row>
    <row r="13280" spans="6:13" ht="25.5" hidden="1" x14ac:dyDescent="0.2">
      <c r="F13280" s="494">
        <v>453</v>
      </c>
      <c r="G13280" s="495" t="s">
        <v>4188</v>
      </c>
      <c r="H13280" s="397"/>
      <c r="I13280" s="397"/>
      <c r="J13280" s="750"/>
      <c r="K13280" s="398"/>
      <c r="L13280" s="398"/>
      <c r="M13280" s="682"/>
    </row>
    <row r="13281" spans="6:13" hidden="1" x14ac:dyDescent="0.2">
      <c r="F13281" s="494">
        <v>454</v>
      </c>
      <c r="G13281" s="495" t="s">
        <v>3803</v>
      </c>
      <c r="H13281" s="397"/>
      <c r="I13281" s="397"/>
      <c r="J13281" s="750"/>
      <c r="K13281" s="398"/>
      <c r="L13281" s="398"/>
      <c r="M13281" s="682"/>
    </row>
    <row r="13282" spans="6:13" hidden="1" x14ac:dyDescent="0.2">
      <c r="F13282" s="494">
        <v>461</v>
      </c>
      <c r="G13282" s="495" t="s">
        <v>4169</v>
      </c>
      <c r="H13282" s="397"/>
      <c r="I13282" s="397"/>
      <c r="J13282" s="750"/>
      <c r="K13282" s="398"/>
      <c r="L13282" s="398"/>
      <c r="M13282" s="682"/>
    </row>
    <row r="13283" spans="6:13" ht="25.5" hidden="1" x14ac:dyDescent="0.2">
      <c r="F13283" s="494">
        <v>462</v>
      </c>
      <c r="G13283" s="495" t="s">
        <v>3806</v>
      </c>
      <c r="H13283" s="397"/>
      <c r="I13283" s="397"/>
      <c r="J13283" s="750"/>
      <c r="K13283" s="398"/>
      <c r="L13283" s="398"/>
      <c r="M13283" s="682"/>
    </row>
    <row r="13284" spans="6:13" hidden="1" x14ac:dyDescent="0.2">
      <c r="F13284" s="494">
        <v>4631</v>
      </c>
      <c r="G13284" s="495" t="s">
        <v>3807</v>
      </c>
      <c r="H13284" s="397"/>
      <c r="I13284" s="397"/>
      <c r="J13284" s="750"/>
      <c r="K13284" s="398"/>
      <c r="L13284" s="398"/>
      <c r="M13284" s="682"/>
    </row>
    <row r="13285" spans="6:13" hidden="1" x14ac:dyDescent="0.2">
      <c r="F13285" s="494">
        <v>4632</v>
      </c>
      <c r="G13285" s="495" t="s">
        <v>3808</v>
      </c>
      <c r="H13285" s="397"/>
      <c r="I13285" s="397"/>
      <c r="J13285" s="750"/>
      <c r="K13285" s="398"/>
      <c r="L13285" s="398"/>
      <c r="M13285" s="682"/>
    </row>
    <row r="13286" spans="6:13" ht="25.5" hidden="1" x14ac:dyDescent="0.2">
      <c r="F13286" s="494">
        <v>464</v>
      </c>
      <c r="G13286" s="495" t="s">
        <v>3809</v>
      </c>
      <c r="H13286" s="397"/>
      <c r="I13286" s="397"/>
      <c r="J13286" s="750"/>
      <c r="K13286" s="398"/>
      <c r="L13286" s="398"/>
      <c r="M13286" s="682"/>
    </row>
    <row r="13287" spans="6:13" hidden="1" x14ac:dyDescent="0.2">
      <c r="F13287" s="494">
        <v>465</v>
      </c>
      <c r="G13287" s="495" t="s">
        <v>4170</v>
      </c>
      <c r="H13287" s="397"/>
      <c r="I13287" s="397"/>
      <c r="J13287" s="750"/>
      <c r="K13287" s="398"/>
      <c r="L13287" s="398"/>
      <c r="M13287" s="682"/>
    </row>
    <row r="13288" spans="6:13" hidden="1" x14ac:dyDescent="0.2">
      <c r="F13288" s="494">
        <v>472</v>
      </c>
      <c r="G13288" s="495" t="s">
        <v>3813</v>
      </c>
      <c r="H13288" s="397"/>
      <c r="I13288" s="397"/>
      <c r="J13288" s="750"/>
      <c r="K13288" s="398"/>
      <c r="L13288" s="398"/>
      <c r="M13288" s="682"/>
    </row>
    <row r="13289" spans="6:13" hidden="1" x14ac:dyDescent="0.2">
      <c r="F13289" s="494">
        <v>481</v>
      </c>
      <c r="G13289" s="495" t="s">
        <v>4189</v>
      </c>
      <c r="H13289" s="397"/>
      <c r="I13289" s="397"/>
      <c r="J13289" s="750"/>
      <c r="K13289" s="398"/>
      <c r="L13289" s="398"/>
      <c r="M13289" s="682"/>
    </row>
    <row r="13290" spans="6:13" hidden="1" x14ac:dyDescent="0.2">
      <c r="F13290" s="494">
        <v>482</v>
      </c>
      <c r="G13290" s="495" t="s">
        <v>4190</v>
      </c>
      <c r="H13290" s="397"/>
      <c r="I13290" s="397"/>
      <c r="J13290" s="750"/>
      <c r="K13290" s="398"/>
      <c r="L13290" s="398"/>
      <c r="M13290" s="682"/>
    </row>
    <row r="13291" spans="6:13" hidden="1" x14ac:dyDescent="0.2">
      <c r="F13291" s="494">
        <v>483</v>
      </c>
      <c r="G13291" s="497" t="s">
        <v>4191</v>
      </c>
      <c r="H13291" s="397"/>
      <c r="I13291" s="397"/>
      <c r="J13291" s="750"/>
      <c r="K13291" s="398"/>
      <c r="L13291" s="398"/>
      <c r="M13291" s="682"/>
    </row>
    <row r="13292" spans="6:13" ht="38.25" hidden="1" x14ac:dyDescent="0.2">
      <c r="F13292" s="494">
        <v>484</v>
      </c>
      <c r="G13292" s="495" t="s">
        <v>4192</v>
      </c>
      <c r="H13292" s="397"/>
      <c r="I13292" s="397"/>
      <c r="J13292" s="750"/>
      <c r="K13292" s="398"/>
      <c r="L13292" s="398"/>
      <c r="M13292" s="682"/>
    </row>
    <row r="13293" spans="6:13" ht="25.5" hidden="1" x14ac:dyDescent="0.2">
      <c r="F13293" s="494">
        <v>485</v>
      </c>
      <c r="G13293" s="495" t="s">
        <v>4193</v>
      </c>
      <c r="H13293" s="397"/>
      <c r="I13293" s="397"/>
      <c r="J13293" s="750"/>
      <c r="K13293" s="398"/>
      <c r="L13293" s="398"/>
      <c r="M13293" s="682"/>
    </row>
    <row r="13294" spans="6:13" ht="25.5" hidden="1" x14ac:dyDescent="0.2">
      <c r="F13294" s="494">
        <v>489</v>
      </c>
      <c r="G13294" s="495" t="s">
        <v>3821</v>
      </c>
      <c r="H13294" s="397"/>
      <c r="I13294" s="397"/>
      <c r="J13294" s="750"/>
      <c r="K13294" s="398"/>
      <c r="L13294" s="398"/>
      <c r="M13294" s="682"/>
    </row>
    <row r="13295" spans="6:13" ht="25.5" hidden="1" x14ac:dyDescent="0.2">
      <c r="F13295" s="494">
        <v>494</v>
      </c>
      <c r="G13295" s="495" t="s">
        <v>4171</v>
      </c>
      <c r="H13295" s="397"/>
      <c r="I13295" s="397"/>
      <c r="J13295" s="750"/>
      <c r="K13295" s="398"/>
      <c r="L13295" s="398"/>
      <c r="M13295" s="682"/>
    </row>
    <row r="13296" spans="6:13" ht="25.5" hidden="1" x14ac:dyDescent="0.2">
      <c r="F13296" s="494">
        <v>495</v>
      </c>
      <c r="G13296" s="495" t="s">
        <v>4172</v>
      </c>
      <c r="H13296" s="397"/>
      <c r="I13296" s="397"/>
      <c r="J13296" s="750"/>
      <c r="K13296" s="398"/>
      <c r="L13296" s="398"/>
      <c r="M13296" s="682"/>
    </row>
    <row r="13297" spans="6:13" ht="38.25" hidden="1" x14ac:dyDescent="0.2">
      <c r="F13297" s="494">
        <v>496</v>
      </c>
      <c r="G13297" s="495" t="s">
        <v>4173</v>
      </c>
      <c r="H13297" s="397"/>
      <c r="I13297" s="397"/>
      <c r="J13297" s="750"/>
      <c r="K13297" s="398"/>
      <c r="L13297" s="398"/>
      <c r="M13297" s="682"/>
    </row>
    <row r="13298" spans="6:13" ht="25.5" hidden="1" x14ac:dyDescent="0.2">
      <c r="F13298" s="494">
        <v>499</v>
      </c>
      <c r="G13298" s="495" t="s">
        <v>4174</v>
      </c>
      <c r="H13298" s="397"/>
      <c r="I13298" s="397"/>
      <c r="J13298" s="750"/>
      <c r="K13298" s="398"/>
      <c r="L13298" s="398"/>
      <c r="M13298" s="682"/>
    </row>
    <row r="13299" spans="6:13" hidden="1" x14ac:dyDescent="0.2">
      <c r="F13299" s="494">
        <v>511</v>
      </c>
      <c r="G13299" s="497" t="s">
        <v>4194</v>
      </c>
      <c r="H13299" s="397"/>
      <c r="I13299" s="397"/>
      <c r="J13299" s="750"/>
      <c r="K13299" s="398"/>
      <c r="L13299" s="398"/>
      <c r="M13299" s="682"/>
    </row>
    <row r="13300" spans="6:13" hidden="1" x14ac:dyDescent="0.2">
      <c r="F13300" s="494">
        <v>512</v>
      </c>
      <c r="G13300" s="497" t="s">
        <v>4195</v>
      </c>
      <c r="H13300" s="397"/>
      <c r="I13300" s="397"/>
      <c r="J13300" s="750"/>
      <c r="K13300" s="398"/>
      <c r="L13300" s="398"/>
      <c r="M13300" s="682"/>
    </row>
    <row r="13301" spans="6:13" hidden="1" x14ac:dyDescent="0.2">
      <c r="F13301" s="494">
        <v>513</v>
      </c>
      <c r="G13301" s="497" t="s">
        <v>4196</v>
      </c>
      <c r="H13301" s="397"/>
      <c r="I13301" s="397"/>
      <c r="J13301" s="750"/>
      <c r="K13301" s="398"/>
      <c r="L13301" s="398"/>
      <c r="M13301" s="682"/>
    </row>
    <row r="13302" spans="6:13" hidden="1" x14ac:dyDescent="0.2">
      <c r="F13302" s="494">
        <v>514</v>
      </c>
      <c r="G13302" s="495" t="s">
        <v>4197</v>
      </c>
      <c r="H13302" s="397"/>
      <c r="I13302" s="397"/>
      <c r="J13302" s="750"/>
      <c r="K13302" s="398"/>
      <c r="L13302" s="398"/>
      <c r="M13302" s="682"/>
    </row>
    <row r="13303" spans="6:13" hidden="1" x14ac:dyDescent="0.2">
      <c r="F13303" s="494">
        <v>515</v>
      </c>
      <c r="G13303" s="495" t="s">
        <v>3832</v>
      </c>
      <c r="H13303" s="397"/>
      <c r="I13303" s="397"/>
      <c r="J13303" s="750"/>
      <c r="K13303" s="398"/>
      <c r="L13303" s="398"/>
      <c r="M13303" s="682"/>
    </row>
    <row r="13304" spans="6:13" hidden="1" x14ac:dyDescent="0.2">
      <c r="F13304" s="494">
        <v>521</v>
      </c>
      <c r="G13304" s="495" t="s">
        <v>4198</v>
      </c>
      <c r="H13304" s="397"/>
      <c r="I13304" s="397"/>
      <c r="J13304" s="750"/>
      <c r="K13304" s="398"/>
      <c r="L13304" s="398"/>
      <c r="M13304" s="682"/>
    </row>
    <row r="13305" spans="6:13" hidden="1" x14ac:dyDescent="0.2">
      <c r="F13305" s="494">
        <v>522</v>
      </c>
      <c r="G13305" s="495" t="s">
        <v>4199</v>
      </c>
      <c r="H13305" s="397"/>
      <c r="I13305" s="397"/>
      <c r="J13305" s="750"/>
      <c r="K13305" s="398"/>
      <c r="L13305" s="398"/>
      <c r="M13305" s="682"/>
    </row>
    <row r="13306" spans="6:13" hidden="1" x14ac:dyDescent="0.2">
      <c r="F13306" s="494">
        <v>523</v>
      </c>
      <c r="G13306" s="495" t="s">
        <v>3837</v>
      </c>
      <c r="H13306" s="397"/>
      <c r="I13306" s="397"/>
      <c r="J13306" s="750"/>
      <c r="K13306" s="398"/>
      <c r="L13306" s="398"/>
      <c r="M13306" s="682"/>
    </row>
    <row r="13307" spans="6:13" hidden="1" x14ac:dyDescent="0.2">
      <c r="F13307" s="494">
        <v>531</v>
      </c>
      <c r="G13307" s="496" t="s">
        <v>4175</v>
      </c>
      <c r="H13307" s="397"/>
      <c r="I13307" s="397"/>
      <c r="J13307" s="750"/>
      <c r="K13307" s="398"/>
      <c r="L13307" s="398"/>
      <c r="M13307" s="682"/>
    </row>
    <row r="13308" spans="6:13" hidden="1" x14ac:dyDescent="0.2">
      <c r="F13308" s="494">
        <v>541</v>
      </c>
      <c r="G13308" s="495" t="s">
        <v>4200</v>
      </c>
      <c r="H13308" s="397"/>
      <c r="I13308" s="397"/>
      <c r="J13308" s="750"/>
      <c r="K13308" s="398"/>
      <c r="L13308" s="398"/>
      <c r="M13308" s="682"/>
    </row>
    <row r="13309" spans="6:13" hidden="1" x14ac:dyDescent="0.2">
      <c r="F13309" s="494">
        <v>542</v>
      </c>
      <c r="G13309" s="495" t="s">
        <v>4201</v>
      </c>
      <c r="H13309" s="397"/>
      <c r="I13309" s="397"/>
      <c r="J13309" s="750"/>
      <c r="K13309" s="398"/>
      <c r="L13309" s="398"/>
      <c r="M13309" s="682"/>
    </row>
    <row r="13310" spans="6:13" hidden="1" x14ac:dyDescent="0.2">
      <c r="F13310" s="494">
        <v>543</v>
      </c>
      <c r="G13310" s="495" t="s">
        <v>3842</v>
      </c>
      <c r="H13310" s="397"/>
      <c r="I13310" s="397"/>
      <c r="J13310" s="750"/>
      <c r="K13310" s="398"/>
      <c r="L13310" s="398"/>
      <c r="M13310" s="682"/>
    </row>
    <row r="13311" spans="6:13" ht="38.25" hidden="1" x14ac:dyDescent="0.2">
      <c r="F13311" s="494">
        <v>551</v>
      </c>
      <c r="G13311" s="495" t="s">
        <v>4176</v>
      </c>
      <c r="H13311" s="397"/>
      <c r="I13311" s="397"/>
      <c r="J13311" s="750"/>
      <c r="K13311" s="398"/>
      <c r="L13311" s="398"/>
      <c r="M13311" s="682"/>
    </row>
    <row r="13312" spans="6:13" hidden="1" x14ac:dyDescent="0.2">
      <c r="F13312" s="498">
        <v>611</v>
      </c>
      <c r="G13312" s="499" t="s">
        <v>3848</v>
      </c>
      <c r="H13312" s="397"/>
      <c r="I13312" s="397"/>
      <c r="J13312" s="750"/>
      <c r="K13312" s="398"/>
      <c r="L13312" s="398"/>
      <c r="M13312" s="682"/>
    </row>
    <row r="13313" spans="5:13" hidden="1" x14ac:dyDescent="0.2">
      <c r="F13313" s="498">
        <v>620</v>
      </c>
      <c r="G13313" s="499" t="s">
        <v>88</v>
      </c>
      <c r="H13313" s="397"/>
      <c r="I13313" s="397"/>
      <c r="J13313" s="750"/>
      <c r="K13313" s="398"/>
      <c r="L13313" s="398"/>
      <c r="M13313" s="682"/>
    </row>
    <row r="13314" spans="5:13" hidden="1" x14ac:dyDescent="0.2">
      <c r="E13314" s="500"/>
      <c r="F13314" s="498"/>
      <c r="G13314" s="509" t="s">
        <v>4435</v>
      </c>
      <c r="H13314" s="400"/>
      <c r="I13314" s="400"/>
      <c r="J13314" s="750"/>
      <c r="K13314" s="401"/>
      <c r="L13314" s="402"/>
      <c r="M13314" s="682"/>
    </row>
    <row r="13315" spans="5:13" hidden="1" x14ac:dyDescent="0.2">
      <c r="E13315" s="502"/>
      <c r="F13315" s="503" t="s">
        <v>234</v>
      </c>
      <c r="G13315" s="504" t="s">
        <v>235</v>
      </c>
      <c r="H13315" s="403">
        <f>SUM(H13254:H13313)</f>
        <v>0</v>
      </c>
      <c r="I13315" s="403"/>
      <c r="J13315" s="750"/>
      <c r="K13315" s="404"/>
      <c r="L13315" s="404"/>
      <c r="M13315" s="682"/>
    </row>
    <row r="13316" spans="5:13" hidden="1" x14ac:dyDescent="0.2">
      <c r="F13316" s="503" t="s">
        <v>236</v>
      </c>
      <c r="G13316" s="504" t="s">
        <v>237</v>
      </c>
      <c r="H13316" s="397"/>
      <c r="I13316" s="397"/>
      <c r="J13316" s="750"/>
      <c r="K13316" s="398"/>
      <c r="L13316" s="404"/>
      <c r="M13316" s="682"/>
    </row>
    <row r="13317" spans="5:13" hidden="1" x14ac:dyDescent="0.2">
      <c r="F13317" s="503" t="s">
        <v>238</v>
      </c>
      <c r="G13317" s="504" t="s">
        <v>239</v>
      </c>
      <c r="H13317" s="397"/>
      <c r="I13317" s="397"/>
      <c r="J13317" s="750"/>
      <c r="K13317" s="398"/>
      <c r="L13317" s="404"/>
      <c r="M13317" s="682"/>
    </row>
    <row r="13318" spans="5:13" hidden="1" x14ac:dyDescent="0.2">
      <c r="F13318" s="503" t="s">
        <v>240</v>
      </c>
      <c r="G13318" s="504" t="s">
        <v>241</v>
      </c>
      <c r="H13318" s="397"/>
      <c r="I13318" s="397"/>
      <c r="J13318" s="750"/>
      <c r="K13318" s="398"/>
      <c r="L13318" s="404"/>
      <c r="M13318" s="682"/>
    </row>
    <row r="13319" spans="5:13" hidden="1" x14ac:dyDescent="0.2">
      <c r="F13319" s="503" t="s">
        <v>242</v>
      </c>
      <c r="G13319" s="504" t="s">
        <v>243</v>
      </c>
      <c r="H13319" s="397"/>
      <c r="I13319" s="397"/>
      <c r="J13319" s="750"/>
      <c r="K13319" s="398"/>
      <c r="L13319" s="404"/>
      <c r="M13319" s="682"/>
    </row>
    <row r="13320" spans="5:13" hidden="1" x14ac:dyDescent="0.2">
      <c r="F13320" s="503" t="s">
        <v>244</v>
      </c>
      <c r="G13320" s="504" t="s">
        <v>245</v>
      </c>
      <c r="H13320" s="397"/>
      <c r="I13320" s="397"/>
      <c r="J13320" s="750"/>
      <c r="K13320" s="398"/>
      <c r="L13320" s="404"/>
      <c r="M13320" s="682"/>
    </row>
    <row r="13321" spans="5:13" hidden="1" x14ac:dyDescent="0.2">
      <c r="F13321" s="503" t="s">
        <v>246</v>
      </c>
      <c r="G13321" s="504" t="s">
        <v>247</v>
      </c>
      <c r="H13321" s="397"/>
      <c r="I13321" s="397"/>
      <c r="J13321" s="750"/>
      <c r="K13321" s="398"/>
      <c r="L13321" s="404"/>
      <c r="M13321" s="682"/>
    </row>
    <row r="13322" spans="5:13" ht="25.5" hidden="1" x14ac:dyDescent="0.2">
      <c r="F13322" s="503" t="s">
        <v>248</v>
      </c>
      <c r="G13322" s="504" t="s">
        <v>249</v>
      </c>
      <c r="H13322" s="397"/>
      <c r="I13322" s="397"/>
      <c r="J13322" s="750"/>
      <c r="K13322" s="398"/>
      <c r="L13322" s="404"/>
      <c r="M13322" s="682"/>
    </row>
    <row r="13323" spans="5:13" hidden="1" x14ac:dyDescent="0.2">
      <c r="F13323" s="503" t="s">
        <v>250</v>
      </c>
      <c r="G13323" s="504" t="s">
        <v>57</v>
      </c>
      <c r="H13323" s="397"/>
      <c r="I13323" s="397"/>
      <c r="J13323" s="750"/>
      <c r="K13323" s="398"/>
      <c r="L13323" s="404"/>
      <c r="M13323" s="682"/>
    </row>
    <row r="13324" spans="5:13" hidden="1" x14ac:dyDescent="0.2">
      <c r="F13324" s="503" t="s">
        <v>251</v>
      </c>
      <c r="G13324" s="504" t="s">
        <v>252</v>
      </c>
      <c r="H13324" s="397"/>
      <c r="I13324" s="397"/>
      <c r="J13324" s="750"/>
      <c r="K13324" s="398"/>
      <c r="L13324" s="404"/>
      <c r="M13324" s="682"/>
    </row>
    <row r="13325" spans="5:13" hidden="1" x14ac:dyDescent="0.2">
      <c r="F13325" s="503" t="s">
        <v>253</v>
      </c>
      <c r="G13325" s="504" t="s">
        <v>254</v>
      </c>
      <c r="H13325" s="397"/>
      <c r="I13325" s="397"/>
      <c r="J13325" s="750"/>
      <c r="K13325" s="398"/>
      <c r="L13325" s="404"/>
      <c r="M13325" s="682"/>
    </row>
    <row r="13326" spans="5:13" ht="25.5" hidden="1" x14ac:dyDescent="0.2">
      <c r="F13326" s="503" t="s">
        <v>255</v>
      </c>
      <c r="G13326" s="504" t="s">
        <v>256</v>
      </c>
      <c r="H13326" s="397"/>
      <c r="I13326" s="397"/>
      <c r="J13326" s="750"/>
      <c r="K13326" s="398"/>
      <c r="L13326" s="404"/>
      <c r="M13326" s="682"/>
    </row>
    <row r="13327" spans="5:13" ht="25.5" hidden="1" x14ac:dyDescent="0.2">
      <c r="F13327" s="503" t="s">
        <v>257</v>
      </c>
      <c r="G13327" s="504" t="s">
        <v>258</v>
      </c>
      <c r="H13327" s="397"/>
      <c r="I13327" s="397"/>
      <c r="J13327" s="750"/>
      <c r="K13327" s="398"/>
      <c r="L13327" s="404"/>
      <c r="M13327" s="682"/>
    </row>
    <row r="13328" spans="5:13" ht="25.5" hidden="1" x14ac:dyDescent="0.2">
      <c r="F13328" s="503" t="s">
        <v>259</v>
      </c>
      <c r="G13328" s="504" t="s">
        <v>260</v>
      </c>
      <c r="H13328" s="397"/>
      <c r="I13328" s="397"/>
      <c r="J13328" s="750"/>
      <c r="K13328" s="398"/>
      <c r="L13328" s="404"/>
      <c r="M13328" s="682"/>
    </row>
    <row r="13329" spans="5:13" ht="25.5" hidden="1" x14ac:dyDescent="0.2">
      <c r="F13329" s="503" t="s">
        <v>261</v>
      </c>
      <c r="G13329" s="504" t="s">
        <v>262</v>
      </c>
      <c r="H13329" s="397"/>
      <c r="I13329" s="397"/>
      <c r="J13329" s="750"/>
      <c r="K13329" s="398"/>
      <c r="L13329" s="404"/>
      <c r="M13329" s="682"/>
    </row>
    <row r="13330" spans="5:13" hidden="1" x14ac:dyDescent="0.2">
      <c r="F13330" s="503" t="s">
        <v>263</v>
      </c>
      <c r="G13330" s="504" t="s">
        <v>264</v>
      </c>
      <c r="H13330" s="403"/>
      <c r="I13330" s="403"/>
      <c r="J13330" s="750"/>
      <c r="K13330" s="404"/>
      <c r="L13330" s="404"/>
      <c r="M13330" s="682"/>
    </row>
    <row r="13331" spans="5:13" ht="13.5" hidden="1" thickBot="1" x14ac:dyDescent="0.25">
      <c r="G13331" s="505" t="s">
        <v>4436</v>
      </c>
      <c r="H13331" s="405">
        <f>SUM(H13315:H13330)</f>
        <v>0</v>
      </c>
      <c r="I13331" s="405"/>
      <c r="J13331" s="750"/>
      <c r="K13331" s="406">
        <f>SUM(K13316:K13330)</f>
        <v>0</v>
      </c>
      <c r="L13331" s="406"/>
      <c r="M13331" s="682"/>
    </row>
    <row r="13332" spans="5:13" hidden="1" collapsed="1" x14ac:dyDescent="0.2">
      <c r="E13332" s="500"/>
      <c r="F13332" s="498"/>
      <c r="G13332" s="506" t="s">
        <v>5095</v>
      </c>
      <c r="H13332" s="407"/>
      <c r="I13332" s="408"/>
      <c r="J13332" s="750"/>
      <c r="K13332" s="409"/>
      <c r="L13332" s="410"/>
      <c r="M13332" s="682"/>
    </row>
    <row r="13333" spans="5:13" hidden="1" x14ac:dyDescent="0.2">
      <c r="E13333" s="502"/>
      <c r="F13333" s="503" t="s">
        <v>234</v>
      </c>
      <c r="G13333" s="504" t="s">
        <v>235</v>
      </c>
      <c r="H13333" s="403">
        <f>SUM(H13254:H13313)</f>
        <v>0</v>
      </c>
      <c r="I13333" s="403"/>
      <c r="J13333" s="750"/>
      <c r="K13333" s="404"/>
      <c r="L13333" s="404"/>
      <c r="M13333" s="682"/>
    </row>
    <row r="13334" spans="5:13" hidden="1" x14ac:dyDescent="0.2">
      <c r="F13334" s="503" t="s">
        <v>236</v>
      </c>
      <c r="G13334" s="504" t="s">
        <v>237</v>
      </c>
      <c r="H13334" s="397"/>
      <c r="I13334" s="397"/>
      <c r="J13334" s="750"/>
      <c r="K13334" s="398"/>
      <c r="L13334" s="404"/>
      <c r="M13334" s="682"/>
    </row>
    <row r="13335" spans="5:13" hidden="1" x14ac:dyDescent="0.2">
      <c r="F13335" s="503" t="s">
        <v>238</v>
      </c>
      <c r="G13335" s="504" t="s">
        <v>239</v>
      </c>
      <c r="H13335" s="397"/>
      <c r="I13335" s="397"/>
      <c r="J13335" s="750"/>
      <c r="K13335" s="398"/>
      <c r="L13335" s="404"/>
      <c r="M13335" s="682"/>
    </row>
    <row r="13336" spans="5:13" hidden="1" x14ac:dyDescent="0.2">
      <c r="F13336" s="503" t="s">
        <v>240</v>
      </c>
      <c r="G13336" s="504" t="s">
        <v>241</v>
      </c>
      <c r="H13336" s="397"/>
      <c r="I13336" s="397"/>
      <c r="J13336" s="750"/>
      <c r="K13336" s="398"/>
      <c r="L13336" s="404"/>
      <c r="M13336" s="682"/>
    </row>
    <row r="13337" spans="5:13" hidden="1" x14ac:dyDescent="0.2">
      <c r="F13337" s="503" t="s">
        <v>242</v>
      </c>
      <c r="G13337" s="504" t="s">
        <v>243</v>
      </c>
      <c r="H13337" s="397"/>
      <c r="I13337" s="397"/>
      <c r="J13337" s="750"/>
      <c r="K13337" s="398"/>
      <c r="L13337" s="404"/>
      <c r="M13337" s="682"/>
    </row>
    <row r="13338" spans="5:13" hidden="1" x14ac:dyDescent="0.2">
      <c r="F13338" s="503" t="s">
        <v>244</v>
      </c>
      <c r="G13338" s="504" t="s">
        <v>245</v>
      </c>
      <c r="H13338" s="397"/>
      <c r="I13338" s="397"/>
      <c r="J13338" s="750"/>
      <c r="K13338" s="398"/>
      <c r="L13338" s="404"/>
      <c r="M13338" s="682"/>
    </row>
    <row r="13339" spans="5:13" hidden="1" x14ac:dyDescent="0.2">
      <c r="F13339" s="503" t="s">
        <v>246</v>
      </c>
      <c r="G13339" s="504" t="s">
        <v>247</v>
      </c>
      <c r="H13339" s="397"/>
      <c r="I13339" s="397"/>
      <c r="J13339" s="750"/>
      <c r="K13339" s="398"/>
      <c r="L13339" s="404"/>
      <c r="M13339" s="682"/>
    </row>
    <row r="13340" spans="5:13" ht="25.5" hidden="1" x14ac:dyDescent="0.2">
      <c r="F13340" s="503" t="s">
        <v>248</v>
      </c>
      <c r="G13340" s="504" t="s">
        <v>249</v>
      </c>
      <c r="H13340" s="397"/>
      <c r="I13340" s="397"/>
      <c r="J13340" s="750"/>
      <c r="K13340" s="398"/>
      <c r="L13340" s="404"/>
      <c r="M13340" s="682"/>
    </row>
    <row r="13341" spans="5:13" hidden="1" x14ac:dyDescent="0.2">
      <c r="F13341" s="503" t="s">
        <v>250</v>
      </c>
      <c r="G13341" s="504" t="s">
        <v>57</v>
      </c>
      <c r="H13341" s="397"/>
      <c r="I13341" s="397"/>
      <c r="J13341" s="750"/>
      <c r="K13341" s="398"/>
      <c r="L13341" s="404"/>
      <c r="M13341" s="682"/>
    </row>
    <row r="13342" spans="5:13" hidden="1" x14ac:dyDescent="0.2">
      <c r="F13342" s="503" t="s">
        <v>251</v>
      </c>
      <c r="G13342" s="504" t="s">
        <v>252</v>
      </c>
      <c r="H13342" s="397"/>
      <c r="I13342" s="397"/>
      <c r="J13342" s="750"/>
      <c r="K13342" s="398"/>
      <c r="L13342" s="404"/>
      <c r="M13342" s="682"/>
    </row>
    <row r="13343" spans="5:13" hidden="1" x14ac:dyDescent="0.2">
      <c r="F13343" s="503" t="s">
        <v>253</v>
      </c>
      <c r="G13343" s="504" t="s">
        <v>254</v>
      </c>
      <c r="H13343" s="397"/>
      <c r="I13343" s="397"/>
      <c r="J13343" s="750"/>
      <c r="K13343" s="398"/>
      <c r="L13343" s="404"/>
      <c r="M13343" s="682"/>
    </row>
    <row r="13344" spans="5:13" ht="25.5" hidden="1" x14ac:dyDescent="0.2">
      <c r="F13344" s="503" t="s">
        <v>255</v>
      </c>
      <c r="G13344" s="504" t="s">
        <v>256</v>
      </c>
      <c r="H13344" s="397"/>
      <c r="I13344" s="397"/>
      <c r="J13344" s="750"/>
      <c r="K13344" s="398"/>
      <c r="L13344" s="404"/>
      <c r="M13344" s="682"/>
    </row>
    <row r="13345" spans="3:13" ht="25.5" hidden="1" x14ac:dyDescent="0.2">
      <c r="F13345" s="503" t="s">
        <v>257</v>
      </c>
      <c r="G13345" s="504" t="s">
        <v>258</v>
      </c>
      <c r="H13345" s="397"/>
      <c r="I13345" s="397"/>
      <c r="J13345" s="750"/>
      <c r="K13345" s="398"/>
      <c r="L13345" s="404"/>
      <c r="M13345" s="682"/>
    </row>
    <row r="13346" spans="3:13" ht="25.5" hidden="1" x14ac:dyDescent="0.2">
      <c r="F13346" s="503" t="s">
        <v>259</v>
      </c>
      <c r="G13346" s="504" t="s">
        <v>260</v>
      </c>
      <c r="H13346" s="397"/>
      <c r="I13346" s="397"/>
      <c r="J13346" s="750"/>
      <c r="K13346" s="398"/>
      <c r="L13346" s="404"/>
      <c r="M13346" s="682"/>
    </row>
    <row r="13347" spans="3:13" ht="25.5" hidden="1" x14ac:dyDescent="0.2">
      <c r="F13347" s="503" t="s">
        <v>261</v>
      </c>
      <c r="G13347" s="504" t="s">
        <v>262</v>
      </c>
      <c r="H13347" s="397"/>
      <c r="I13347" s="397"/>
      <c r="J13347" s="750"/>
      <c r="K13347" s="398"/>
      <c r="L13347" s="404"/>
      <c r="M13347" s="682"/>
    </row>
    <row r="13348" spans="3:13" hidden="1" x14ac:dyDescent="0.2">
      <c r="F13348" s="503" t="s">
        <v>263</v>
      </c>
      <c r="G13348" s="504" t="s">
        <v>264</v>
      </c>
      <c r="H13348" s="403"/>
      <c r="I13348" s="403"/>
      <c r="J13348" s="750"/>
      <c r="K13348" s="404"/>
      <c r="L13348" s="404"/>
      <c r="M13348" s="682"/>
    </row>
    <row r="13349" spans="3:13" ht="13.5" hidden="1" thickBot="1" x14ac:dyDescent="0.25">
      <c r="G13349" s="505" t="s">
        <v>5096</v>
      </c>
      <c r="H13349" s="405">
        <f>SUM(H13333:H13348)</f>
        <v>0</v>
      </c>
      <c r="I13349" s="405"/>
      <c r="J13349" s="750"/>
      <c r="K13349" s="406">
        <f>SUM(K13334:K13348)</f>
        <v>0</v>
      </c>
      <c r="L13349" s="406"/>
      <c r="M13349" s="682"/>
    </row>
    <row r="13350" spans="3:13" hidden="1" x14ac:dyDescent="0.2">
      <c r="G13350" s="510"/>
      <c r="H13350" s="411"/>
      <c r="I13350" s="411"/>
      <c r="J13350" s="750"/>
      <c r="K13350" s="412"/>
      <c r="L13350" s="412"/>
      <c r="M13350" s="682"/>
    </row>
    <row r="13351" spans="3:13" hidden="1" x14ac:dyDescent="0.2">
      <c r="C13351" s="489" t="s">
        <v>4838</v>
      </c>
      <c r="D13351" s="490"/>
      <c r="G13351" s="508" t="s">
        <v>4232</v>
      </c>
      <c r="H13351" s="397"/>
      <c r="I13351" s="397"/>
      <c r="J13351" s="750"/>
      <c r="K13351" s="398"/>
      <c r="L13351" s="398"/>
      <c r="M13351" s="682"/>
    </row>
    <row r="13352" spans="3:13" hidden="1" x14ac:dyDescent="0.2">
      <c r="C13352" s="489"/>
      <c r="D13352" s="492">
        <v>820</v>
      </c>
      <c r="E13352" s="492"/>
      <c r="F13352" s="492"/>
      <c r="G13352" s="493" t="s">
        <v>207</v>
      </c>
      <c r="H13352" s="397"/>
      <c r="I13352" s="397"/>
      <c r="J13352" s="750"/>
      <c r="K13352" s="398"/>
      <c r="L13352" s="398"/>
      <c r="M13352" s="682"/>
    </row>
    <row r="13353" spans="3:13" hidden="1" x14ac:dyDescent="0.2">
      <c r="F13353" s="494">
        <v>411</v>
      </c>
      <c r="G13353" s="495" t="s">
        <v>4167</v>
      </c>
      <c r="H13353" s="397"/>
      <c r="I13353" s="397"/>
      <c r="J13353" s="750"/>
      <c r="K13353" s="398"/>
      <c r="L13353" s="398"/>
      <c r="M13353" s="682"/>
    </row>
    <row r="13354" spans="3:13" hidden="1" x14ac:dyDescent="0.2">
      <c r="F13354" s="494">
        <v>412</v>
      </c>
      <c r="G13354" s="496" t="s">
        <v>3764</v>
      </c>
      <c r="H13354" s="397"/>
      <c r="I13354" s="397"/>
      <c r="J13354" s="750"/>
      <c r="K13354" s="398"/>
      <c r="L13354" s="398"/>
      <c r="M13354" s="682"/>
    </row>
    <row r="13355" spans="3:13" hidden="1" x14ac:dyDescent="0.2">
      <c r="F13355" s="494">
        <v>413</v>
      </c>
      <c r="G13355" s="495" t="s">
        <v>4168</v>
      </c>
      <c r="H13355" s="397"/>
      <c r="I13355" s="397"/>
      <c r="J13355" s="750"/>
      <c r="K13355" s="398"/>
      <c r="L13355" s="398"/>
      <c r="M13355" s="682"/>
    </row>
    <row r="13356" spans="3:13" hidden="1" x14ac:dyDescent="0.2">
      <c r="F13356" s="494">
        <v>414</v>
      </c>
      <c r="G13356" s="495" t="s">
        <v>3767</v>
      </c>
      <c r="H13356" s="397"/>
      <c r="I13356" s="397"/>
      <c r="J13356" s="750"/>
      <c r="K13356" s="398"/>
      <c r="L13356" s="398"/>
      <c r="M13356" s="682"/>
    </row>
    <row r="13357" spans="3:13" hidden="1" x14ac:dyDescent="0.2">
      <c r="F13357" s="494">
        <v>415</v>
      </c>
      <c r="G13357" s="495" t="s">
        <v>4177</v>
      </c>
      <c r="H13357" s="397"/>
      <c r="I13357" s="397"/>
      <c r="J13357" s="750"/>
      <c r="K13357" s="398"/>
      <c r="L13357" s="398"/>
      <c r="M13357" s="682"/>
    </row>
    <row r="13358" spans="3:13" ht="25.5" hidden="1" x14ac:dyDescent="0.2">
      <c r="F13358" s="494">
        <v>416</v>
      </c>
      <c r="G13358" s="495" t="s">
        <v>4178</v>
      </c>
      <c r="H13358" s="397"/>
      <c r="I13358" s="397"/>
      <c r="J13358" s="750"/>
      <c r="K13358" s="398"/>
      <c r="L13358" s="398"/>
      <c r="M13358" s="682"/>
    </row>
    <row r="13359" spans="3:13" hidden="1" x14ac:dyDescent="0.2">
      <c r="F13359" s="494">
        <v>417</v>
      </c>
      <c r="G13359" s="495" t="s">
        <v>4179</v>
      </c>
      <c r="H13359" s="397"/>
      <c r="I13359" s="397"/>
      <c r="J13359" s="750"/>
      <c r="K13359" s="398"/>
      <c r="L13359" s="398"/>
      <c r="M13359" s="682"/>
    </row>
    <row r="13360" spans="3:13" hidden="1" x14ac:dyDescent="0.2">
      <c r="F13360" s="494">
        <v>418</v>
      </c>
      <c r="G13360" s="495" t="s">
        <v>3773</v>
      </c>
      <c r="H13360" s="397"/>
      <c r="I13360" s="397"/>
      <c r="J13360" s="750"/>
      <c r="K13360" s="398"/>
      <c r="L13360" s="398"/>
      <c r="M13360" s="682"/>
    </row>
    <row r="13361" spans="6:13" hidden="1" x14ac:dyDescent="0.2">
      <c r="F13361" s="494">
        <v>421</v>
      </c>
      <c r="G13361" s="495" t="s">
        <v>3777</v>
      </c>
      <c r="H13361" s="397"/>
      <c r="I13361" s="397"/>
      <c r="J13361" s="750"/>
      <c r="K13361" s="398"/>
      <c r="L13361" s="398"/>
      <c r="M13361" s="682"/>
    </row>
    <row r="13362" spans="6:13" hidden="1" x14ac:dyDescent="0.2">
      <c r="F13362" s="494">
        <v>422</v>
      </c>
      <c r="G13362" s="495" t="s">
        <v>3778</v>
      </c>
      <c r="H13362" s="397"/>
      <c r="I13362" s="397"/>
      <c r="J13362" s="750"/>
      <c r="K13362" s="398"/>
      <c r="L13362" s="398"/>
      <c r="M13362" s="682"/>
    </row>
    <row r="13363" spans="6:13" hidden="1" x14ac:dyDescent="0.2">
      <c r="F13363" s="494">
        <v>423</v>
      </c>
      <c r="G13363" s="495" t="s">
        <v>3779</v>
      </c>
      <c r="H13363" s="397"/>
      <c r="I13363" s="397"/>
      <c r="J13363" s="750"/>
      <c r="K13363" s="398"/>
      <c r="L13363" s="398"/>
      <c r="M13363" s="682"/>
    </row>
    <row r="13364" spans="6:13" hidden="1" x14ac:dyDescent="0.2">
      <c r="F13364" s="494">
        <v>424</v>
      </c>
      <c r="G13364" s="495" t="s">
        <v>3781</v>
      </c>
      <c r="H13364" s="397"/>
      <c r="I13364" s="397"/>
      <c r="J13364" s="750"/>
      <c r="K13364" s="398"/>
      <c r="L13364" s="398"/>
      <c r="M13364" s="682"/>
    </row>
    <row r="13365" spans="6:13" hidden="1" x14ac:dyDescent="0.2">
      <c r="F13365" s="494">
        <v>425</v>
      </c>
      <c r="G13365" s="495" t="s">
        <v>4180</v>
      </c>
      <c r="H13365" s="397"/>
      <c r="I13365" s="397"/>
      <c r="J13365" s="750"/>
      <c r="K13365" s="398"/>
      <c r="L13365" s="398"/>
      <c r="M13365" s="682"/>
    </row>
    <row r="13366" spans="6:13" hidden="1" x14ac:dyDescent="0.2">
      <c r="F13366" s="494">
        <v>426</v>
      </c>
      <c r="G13366" s="495" t="s">
        <v>3785</v>
      </c>
      <c r="H13366" s="397"/>
      <c r="I13366" s="397"/>
      <c r="J13366" s="750"/>
      <c r="K13366" s="398"/>
      <c r="L13366" s="398"/>
      <c r="M13366" s="682"/>
    </row>
    <row r="13367" spans="6:13" hidden="1" x14ac:dyDescent="0.2">
      <c r="F13367" s="494">
        <v>431</v>
      </c>
      <c r="G13367" s="495" t="s">
        <v>4181</v>
      </c>
      <c r="H13367" s="397"/>
      <c r="I13367" s="397"/>
      <c r="J13367" s="750"/>
      <c r="K13367" s="398"/>
      <c r="L13367" s="398"/>
      <c r="M13367" s="682"/>
    </row>
    <row r="13368" spans="6:13" hidden="1" x14ac:dyDescent="0.2">
      <c r="F13368" s="494">
        <v>432</v>
      </c>
      <c r="G13368" s="495" t="s">
        <v>4182</v>
      </c>
      <c r="H13368" s="397"/>
      <c r="I13368" s="397"/>
      <c r="J13368" s="750"/>
      <c r="K13368" s="398"/>
      <c r="L13368" s="398"/>
      <c r="M13368" s="682"/>
    </row>
    <row r="13369" spans="6:13" hidden="1" x14ac:dyDescent="0.2">
      <c r="F13369" s="494">
        <v>433</v>
      </c>
      <c r="G13369" s="495" t="s">
        <v>4183</v>
      </c>
      <c r="H13369" s="397"/>
      <c r="I13369" s="397"/>
      <c r="J13369" s="750"/>
      <c r="K13369" s="398"/>
      <c r="L13369" s="398"/>
      <c r="M13369" s="682"/>
    </row>
    <row r="13370" spans="6:13" hidden="1" x14ac:dyDescent="0.2">
      <c r="F13370" s="494">
        <v>434</v>
      </c>
      <c r="G13370" s="495" t="s">
        <v>4184</v>
      </c>
      <c r="H13370" s="397"/>
      <c r="I13370" s="397"/>
      <c r="J13370" s="750"/>
      <c r="K13370" s="398"/>
      <c r="L13370" s="398"/>
      <c r="M13370" s="682"/>
    </row>
    <row r="13371" spans="6:13" hidden="1" x14ac:dyDescent="0.2">
      <c r="F13371" s="494">
        <v>435</v>
      </c>
      <c r="G13371" s="495" t="s">
        <v>3792</v>
      </c>
      <c r="H13371" s="397"/>
      <c r="I13371" s="397"/>
      <c r="J13371" s="750"/>
      <c r="K13371" s="398"/>
      <c r="L13371" s="398"/>
      <c r="M13371" s="682"/>
    </row>
    <row r="13372" spans="6:13" hidden="1" x14ac:dyDescent="0.2">
      <c r="F13372" s="494">
        <v>441</v>
      </c>
      <c r="G13372" s="495" t="s">
        <v>4185</v>
      </c>
      <c r="H13372" s="397"/>
      <c r="I13372" s="397"/>
      <c r="J13372" s="750"/>
      <c r="K13372" s="398"/>
      <c r="L13372" s="398"/>
      <c r="M13372" s="682"/>
    </row>
    <row r="13373" spans="6:13" hidden="1" x14ac:dyDescent="0.2">
      <c r="F13373" s="494">
        <v>442</v>
      </c>
      <c r="G13373" s="495" t="s">
        <v>4186</v>
      </c>
      <c r="H13373" s="397"/>
      <c r="I13373" s="397"/>
      <c r="J13373" s="750"/>
      <c r="K13373" s="398"/>
      <c r="L13373" s="398"/>
      <c r="M13373" s="682"/>
    </row>
    <row r="13374" spans="6:13" hidden="1" x14ac:dyDescent="0.2">
      <c r="F13374" s="494">
        <v>443</v>
      </c>
      <c r="G13374" s="495" t="s">
        <v>3797</v>
      </c>
      <c r="H13374" s="397"/>
      <c r="I13374" s="397"/>
      <c r="J13374" s="750"/>
      <c r="K13374" s="398"/>
      <c r="L13374" s="398"/>
      <c r="M13374" s="682"/>
    </row>
    <row r="13375" spans="6:13" hidden="1" x14ac:dyDescent="0.2">
      <c r="F13375" s="494">
        <v>444</v>
      </c>
      <c r="G13375" s="495" t="s">
        <v>3798</v>
      </c>
      <c r="H13375" s="397"/>
      <c r="I13375" s="397"/>
      <c r="J13375" s="750"/>
      <c r="K13375" s="398"/>
      <c r="L13375" s="398"/>
      <c r="M13375" s="682"/>
    </row>
    <row r="13376" spans="6:13" ht="25.5" hidden="1" x14ac:dyDescent="0.2">
      <c r="F13376" s="494">
        <v>4511</v>
      </c>
      <c r="G13376" s="466" t="s">
        <v>1692</v>
      </c>
      <c r="H13376" s="397"/>
      <c r="I13376" s="397"/>
      <c r="J13376" s="750"/>
      <c r="K13376" s="398"/>
      <c r="L13376" s="398"/>
      <c r="M13376" s="682"/>
    </row>
    <row r="13377" spans="6:13" ht="25.5" hidden="1" x14ac:dyDescent="0.2">
      <c r="F13377" s="494">
        <v>4512</v>
      </c>
      <c r="G13377" s="466" t="s">
        <v>1701</v>
      </c>
      <c r="H13377" s="397"/>
      <c r="I13377" s="397"/>
      <c r="J13377" s="750"/>
      <c r="K13377" s="398"/>
      <c r="L13377" s="398"/>
      <c r="M13377" s="682"/>
    </row>
    <row r="13378" spans="6:13" ht="25.5" hidden="1" x14ac:dyDescent="0.2">
      <c r="F13378" s="494">
        <v>452</v>
      </c>
      <c r="G13378" s="495" t="s">
        <v>4187</v>
      </c>
      <c r="H13378" s="397"/>
      <c r="I13378" s="397"/>
      <c r="J13378" s="750"/>
      <c r="K13378" s="398"/>
      <c r="L13378" s="398"/>
      <c r="M13378" s="682"/>
    </row>
    <row r="13379" spans="6:13" ht="25.5" hidden="1" x14ac:dyDescent="0.2">
      <c r="F13379" s="494">
        <v>453</v>
      </c>
      <c r="G13379" s="495" t="s">
        <v>4188</v>
      </c>
      <c r="H13379" s="397"/>
      <c r="I13379" s="397"/>
      <c r="J13379" s="750"/>
      <c r="K13379" s="398"/>
      <c r="L13379" s="398"/>
      <c r="M13379" s="682"/>
    </row>
    <row r="13380" spans="6:13" hidden="1" x14ac:dyDescent="0.2">
      <c r="F13380" s="494">
        <v>454</v>
      </c>
      <c r="G13380" s="495" t="s">
        <v>3803</v>
      </c>
      <c r="H13380" s="397"/>
      <c r="I13380" s="397"/>
      <c r="J13380" s="750"/>
      <c r="K13380" s="398"/>
      <c r="L13380" s="398"/>
      <c r="M13380" s="682"/>
    </row>
    <row r="13381" spans="6:13" hidden="1" x14ac:dyDescent="0.2">
      <c r="F13381" s="494">
        <v>461</v>
      </c>
      <c r="G13381" s="495" t="s">
        <v>4169</v>
      </c>
      <c r="H13381" s="397"/>
      <c r="I13381" s="397"/>
      <c r="J13381" s="750"/>
      <c r="K13381" s="398"/>
      <c r="L13381" s="398"/>
      <c r="M13381" s="682"/>
    </row>
    <row r="13382" spans="6:13" ht="25.5" hidden="1" x14ac:dyDescent="0.2">
      <c r="F13382" s="494">
        <v>462</v>
      </c>
      <c r="G13382" s="495" t="s">
        <v>3806</v>
      </c>
      <c r="H13382" s="397"/>
      <c r="I13382" s="397"/>
      <c r="J13382" s="750"/>
      <c r="K13382" s="398"/>
      <c r="L13382" s="398"/>
      <c r="M13382" s="682"/>
    </row>
    <row r="13383" spans="6:13" hidden="1" x14ac:dyDescent="0.2">
      <c r="F13383" s="494">
        <v>4631</v>
      </c>
      <c r="G13383" s="495" t="s">
        <v>3807</v>
      </c>
      <c r="H13383" s="397"/>
      <c r="I13383" s="397"/>
      <c r="J13383" s="750"/>
      <c r="K13383" s="398"/>
      <c r="L13383" s="398"/>
      <c r="M13383" s="682"/>
    </row>
    <row r="13384" spans="6:13" hidden="1" x14ac:dyDescent="0.2">
      <c r="F13384" s="494">
        <v>4632</v>
      </c>
      <c r="G13384" s="495" t="s">
        <v>3808</v>
      </c>
      <c r="H13384" s="397"/>
      <c r="I13384" s="397"/>
      <c r="J13384" s="750"/>
      <c r="K13384" s="398"/>
      <c r="L13384" s="398"/>
      <c r="M13384" s="682"/>
    </row>
    <row r="13385" spans="6:13" ht="25.5" hidden="1" x14ac:dyDescent="0.2">
      <c r="F13385" s="494">
        <v>464</v>
      </c>
      <c r="G13385" s="495" t="s">
        <v>3809</v>
      </c>
      <c r="H13385" s="397"/>
      <c r="I13385" s="397"/>
      <c r="J13385" s="750"/>
      <c r="K13385" s="398"/>
      <c r="L13385" s="398"/>
      <c r="M13385" s="682"/>
    </row>
    <row r="13386" spans="6:13" hidden="1" x14ac:dyDescent="0.2">
      <c r="F13386" s="494">
        <v>465</v>
      </c>
      <c r="G13386" s="495" t="s">
        <v>4170</v>
      </c>
      <c r="H13386" s="397"/>
      <c r="I13386" s="397"/>
      <c r="J13386" s="750"/>
      <c r="K13386" s="398"/>
      <c r="L13386" s="398"/>
      <c r="M13386" s="682"/>
    </row>
    <row r="13387" spans="6:13" hidden="1" x14ac:dyDescent="0.2">
      <c r="F13387" s="494">
        <v>472</v>
      </c>
      <c r="G13387" s="495" t="s">
        <v>3813</v>
      </c>
      <c r="H13387" s="397"/>
      <c r="I13387" s="397"/>
      <c r="J13387" s="750"/>
      <c r="K13387" s="398"/>
      <c r="L13387" s="398"/>
      <c r="M13387" s="682"/>
    </row>
    <row r="13388" spans="6:13" hidden="1" x14ac:dyDescent="0.2">
      <c r="F13388" s="494">
        <v>481</v>
      </c>
      <c r="G13388" s="495" t="s">
        <v>4189</v>
      </c>
      <c r="H13388" s="397"/>
      <c r="I13388" s="397"/>
      <c r="J13388" s="750"/>
      <c r="K13388" s="398"/>
      <c r="L13388" s="398"/>
      <c r="M13388" s="682"/>
    </row>
    <row r="13389" spans="6:13" hidden="1" x14ac:dyDescent="0.2">
      <c r="F13389" s="494">
        <v>482</v>
      </c>
      <c r="G13389" s="495" t="s">
        <v>4190</v>
      </c>
      <c r="H13389" s="397"/>
      <c r="I13389" s="397"/>
      <c r="J13389" s="750"/>
      <c r="K13389" s="398"/>
      <c r="L13389" s="398"/>
      <c r="M13389" s="682"/>
    </row>
    <row r="13390" spans="6:13" hidden="1" x14ac:dyDescent="0.2">
      <c r="F13390" s="494">
        <v>483</v>
      </c>
      <c r="G13390" s="497" t="s">
        <v>4191</v>
      </c>
      <c r="H13390" s="397"/>
      <c r="I13390" s="397"/>
      <c r="J13390" s="750"/>
      <c r="K13390" s="398"/>
      <c r="L13390" s="398"/>
      <c r="M13390" s="682"/>
    </row>
    <row r="13391" spans="6:13" ht="38.25" hidden="1" x14ac:dyDescent="0.2">
      <c r="F13391" s="494">
        <v>484</v>
      </c>
      <c r="G13391" s="495" t="s">
        <v>4192</v>
      </c>
      <c r="H13391" s="397"/>
      <c r="I13391" s="397"/>
      <c r="J13391" s="750"/>
      <c r="K13391" s="398"/>
      <c r="L13391" s="398"/>
      <c r="M13391" s="682"/>
    </row>
    <row r="13392" spans="6:13" ht="25.5" hidden="1" x14ac:dyDescent="0.2">
      <c r="F13392" s="494">
        <v>485</v>
      </c>
      <c r="G13392" s="495" t="s">
        <v>4193</v>
      </c>
      <c r="H13392" s="397"/>
      <c r="I13392" s="397"/>
      <c r="J13392" s="750"/>
      <c r="K13392" s="398"/>
      <c r="L13392" s="398"/>
      <c r="M13392" s="682"/>
    </row>
    <row r="13393" spans="6:13" ht="25.5" hidden="1" x14ac:dyDescent="0.2">
      <c r="F13393" s="494">
        <v>489</v>
      </c>
      <c r="G13393" s="495" t="s">
        <v>3821</v>
      </c>
      <c r="H13393" s="397"/>
      <c r="I13393" s="397"/>
      <c r="J13393" s="750"/>
      <c r="K13393" s="398"/>
      <c r="L13393" s="398"/>
      <c r="M13393" s="682"/>
    </row>
    <row r="13394" spans="6:13" ht="25.5" hidden="1" x14ac:dyDescent="0.2">
      <c r="F13394" s="494">
        <v>494</v>
      </c>
      <c r="G13394" s="495" t="s">
        <v>4171</v>
      </c>
      <c r="H13394" s="397"/>
      <c r="I13394" s="397"/>
      <c r="J13394" s="750"/>
      <c r="K13394" s="398"/>
      <c r="L13394" s="398"/>
      <c r="M13394" s="682"/>
    </row>
    <row r="13395" spans="6:13" ht="25.5" hidden="1" x14ac:dyDescent="0.2">
      <c r="F13395" s="494">
        <v>495</v>
      </c>
      <c r="G13395" s="495" t="s">
        <v>4172</v>
      </c>
      <c r="H13395" s="397"/>
      <c r="I13395" s="397"/>
      <c r="J13395" s="750"/>
      <c r="K13395" s="398"/>
      <c r="L13395" s="398"/>
      <c r="M13395" s="682"/>
    </row>
    <row r="13396" spans="6:13" ht="38.25" hidden="1" x14ac:dyDescent="0.2">
      <c r="F13396" s="494">
        <v>496</v>
      </c>
      <c r="G13396" s="495" t="s">
        <v>4173</v>
      </c>
      <c r="H13396" s="397"/>
      <c r="I13396" s="397"/>
      <c r="J13396" s="750"/>
      <c r="K13396" s="398"/>
      <c r="L13396" s="398"/>
      <c r="M13396" s="682"/>
    </row>
    <row r="13397" spans="6:13" ht="25.5" hidden="1" x14ac:dyDescent="0.2">
      <c r="F13397" s="494">
        <v>499</v>
      </c>
      <c r="G13397" s="495" t="s">
        <v>4174</v>
      </c>
      <c r="H13397" s="397"/>
      <c r="I13397" s="397"/>
      <c r="J13397" s="750"/>
      <c r="K13397" s="398"/>
      <c r="L13397" s="398"/>
      <c r="M13397" s="682"/>
    </row>
    <row r="13398" spans="6:13" hidden="1" x14ac:dyDescent="0.2">
      <c r="F13398" s="494">
        <v>511</v>
      </c>
      <c r="G13398" s="497" t="s">
        <v>4194</v>
      </c>
      <c r="H13398" s="397"/>
      <c r="I13398" s="397"/>
      <c r="J13398" s="750"/>
      <c r="K13398" s="398"/>
      <c r="L13398" s="398"/>
      <c r="M13398" s="682"/>
    </row>
    <row r="13399" spans="6:13" hidden="1" x14ac:dyDescent="0.2">
      <c r="F13399" s="494">
        <v>512</v>
      </c>
      <c r="G13399" s="497" t="s">
        <v>4195</v>
      </c>
      <c r="H13399" s="397"/>
      <c r="I13399" s="397"/>
      <c r="J13399" s="750"/>
      <c r="K13399" s="398"/>
      <c r="L13399" s="398"/>
      <c r="M13399" s="682"/>
    </row>
    <row r="13400" spans="6:13" hidden="1" x14ac:dyDescent="0.2">
      <c r="F13400" s="494">
        <v>513</v>
      </c>
      <c r="G13400" s="497" t="s">
        <v>4196</v>
      </c>
      <c r="H13400" s="397"/>
      <c r="I13400" s="397"/>
      <c r="J13400" s="750"/>
      <c r="K13400" s="398"/>
      <c r="L13400" s="398"/>
      <c r="M13400" s="682"/>
    </row>
    <row r="13401" spans="6:13" hidden="1" x14ac:dyDescent="0.2">
      <c r="F13401" s="494">
        <v>514</v>
      </c>
      <c r="G13401" s="495" t="s">
        <v>4197</v>
      </c>
      <c r="H13401" s="397"/>
      <c r="I13401" s="397"/>
      <c r="J13401" s="750"/>
      <c r="K13401" s="398"/>
      <c r="L13401" s="398"/>
      <c r="M13401" s="682"/>
    </row>
    <row r="13402" spans="6:13" hidden="1" x14ac:dyDescent="0.2">
      <c r="F13402" s="494">
        <v>515</v>
      </c>
      <c r="G13402" s="495" t="s">
        <v>3832</v>
      </c>
      <c r="H13402" s="397"/>
      <c r="I13402" s="397"/>
      <c r="J13402" s="750"/>
      <c r="K13402" s="398"/>
      <c r="L13402" s="398"/>
      <c r="M13402" s="682"/>
    </row>
    <row r="13403" spans="6:13" hidden="1" x14ac:dyDescent="0.2">
      <c r="F13403" s="494">
        <v>521</v>
      </c>
      <c r="G13403" s="495" t="s">
        <v>4198</v>
      </c>
      <c r="H13403" s="397"/>
      <c r="I13403" s="397"/>
      <c r="J13403" s="750"/>
      <c r="K13403" s="398"/>
      <c r="L13403" s="398"/>
      <c r="M13403" s="682"/>
    </row>
    <row r="13404" spans="6:13" hidden="1" x14ac:dyDescent="0.2">
      <c r="F13404" s="494">
        <v>522</v>
      </c>
      <c r="G13404" s="495" t="s">
        <v>4199</v>
      </c>
      <c r="H13404" s="397"/>
      <c r="I13404" s="397"/>
      <c r="J13404" s="750"/>
      <c r="K13404" s="398"/>
      <c r="L13404" s="398"/>
      <c r="M13404" s="682"/>
    </row>
    <row r="13405" spans="6:13" hidden="1" x14ac:dyDescent="0.2">
      <c r="F13405" s="494">
        <v>523</v>
      </c>
      <c r="G13405" s="495" t="s">
        <v>3837</v>
      </c>
      <c r="H13405" s="397"/>
      <c r="I13405" s="397"/>
      <c r="J13405" s="750"/>
      <c r="K13405" s="398"/>
      <c r="L13405" s="398"/>
      <c r="M13405" s="682"/>
    </row>
    <row r="13406" spans="6:13" hidden="1" x14ac:dyDescent="0.2">
      <c r="F13406" s="494">
        <v>531</v>
      </c>
      <c r="G13406" s="496" t="s">
        <v>4175</v>
      </c>
      <c r="H13406" s="397"/>
      <c r="I13406" s="397"/>
      <c r="J13406" s="750"/>
      <c r="K13406" s="398"/>
      <c r="L13406" s="398"/>
      <c r="M13406" s="682"/>
    </row>
    <row r="13407" spans="6:13" hidden="1" x14ac:dyDescent="0.2">
      <c r="F13407" s="494">
        <v>541</v>
      </c>
      <c r="G13407" s="495" t="s">
        <v>4200</v>
      </c>
      <c r="H13407" s="397"/>
      <c r="I13407" s="397"/>
      <c r="J13407" s="750"/>
      <c r="K13407" s="398"/>
      <c r="L13407" s="398"/>
      <c r="M13407" s="682"/>
    </row>
    <row r="13408" spans="6:13" hidden="1" x14ac:dyDescent="0.2">
      <c r="F13408" s="494">
        <v>542</v>
      </c>
      <c r="G13408" s="495" t="s">
        <v>4201</v>
      </c>
      <c r="H13408" s="397"/>
      <c r="I13408" s="397"/>
      <c r="J13408" s="750"/>
      <c r="K13408" s="398"/>
      <c r="L13408" s="398"/>
      <c r="M13408" s="682"/>
    </row>
    <row r="13409" spans="5:13" hidden="1" x14ac:dyDescent="0.2">
      <c r="F13409" s="494">
        <v>543</v>
      </c>
      <c r="G13409" s="495" t="s">
        <v>3842</v>
      </c>
      <c r="H13409" s="397"/>
      <c r="I13409" s="397"/>
      <c r="J13409" s="750"/>
      <c r="K13409" s="398"/>
      <c r="L13409" s="398"/>
      <c r="M13409" s="682"/>
    </row>
    <row r="13410" spans="5:13" ht="38.25" hidden="1" x14ac:dyDescent="0.2">
      <c r="F13410" s="494">
        <v>551</v>
      </c>
      <c r="G13410" s="495" t="s">
        <v>4176</v>
      </c>
      <c r="H13410" s="397"/>
      <c r="I13410" s="397"/>
      <c r="J13410" s="750"/>
      <c r="K13410" s="398"/>
      <c r="L13410" s="398"/>
      <c r="M13410" s="682"/>
    </row>
    <row r="13411" spans="5:13" hidden="1" x14ac:dyDescent="0.2">
      <c r="F13411" s="498">
        <v>611</v>
      </c>
      <c r="G13411" s="499" t="s">
        <v>3848</v>
      </c>
      <c r="H13411" s="397"/>
      <c r="I13411" s="397"/>
      <c r="J13411" s="750"/>
      <c r="K13411" s="398"/>
      <c r="L13411" s="398"/>
      <c r="M13411" s="682"/>
    </row>
    <row r="13412" spans="5:13" hidden="1" x14ac:dyDescent="0.2">
      <c r="F13412" s="498">
        <v>620</v>
      </c>
      <c r="G13412" s="499" t="s">
        <v>88</v>
      </c>
      <c r="H13412" s="397"/>
      <c r="I13412" s="397"/>
      <c r="J13412" s="750"/>
      <c r="K13412" s="398"/>
      <c r="L13412" s="398"/>
      <c r="M13412" s="682"/>
    </row>
    <row r="13413" spans="5:13" hidden="1" x14ac:dyDescent="0.2">
      <c r="E13413" s="500"/>
      <c r="F13413" s="498"/>
      <c r="G13413" s="509" t="s">
        <v>4435</v>
      </c>
      <c r="H13413" s="400"/>
      <c r="I13413" s="400"/>
      <c r="J13413" s="750"/>
      <c r="K13413" s="401"/>
      <c r="L13413" s="402"/>
      <c r="M13413" s="682"/>
    </row>
    <row r="13414" spans="5:13" hidden="1" x14ac:dyDescent="0.2">
      <c r="E13414" s="502"/>
      <c r="F13414" s="503" t="s">
        <v>234</v>
      </c>
      <c r="G13414" s="504" t="s">
        <v>235</v>
      </c>
      <c r="H13414" s="403">
        <f>SUM(H13353:H13412)</f>
        <v>0</v>
      </c>
      <c r="I13414" s="403"/>
      <c r="J13414" s="750"/>
      <c r="K13414" s="404"/>
      <c r="L13414" s="404"/>
      <c r="M13414" s="682"/>
    </row>
    <row r="13415" spans="5:13" hidden="1" x14ac:dyDescent="0.2">
      <c r="F13415" s="503" t="s">
        <v>236</v>
      </c>
      <c r="G13415" s="504" t="s">
        <v>237</v>
      </c>
      <c r="H13415" s="397"/>
      <c r="I13415" s="397"/>
      <c r="J13415" s="750"/>
      <c r="K13415" s="398"/>
      <c r="L13415" s="404"/>
      <c r="M13415" s="682"/>
    </row>
    <row r="13416" spans="5:13" hidden="1" x14ac:dyDescent="0.2">
      <c r="F13416" s="503" t="s">
        <v>238</v>
      </c>
      <c r="G13416" s="504" t="s">
        <v>239</v>
      </c>
      <c r="H13416" s="397"/>
      <c r="I13416" s="397"/>
      <c r="J13416" s="750"/>
      <c r="K13416" s="398"/>
      <c r="L13416" s="404"/>
      <c r="M13416" s="682"/>
    </row>
    <row r="13417" spans="5:13" hidden="1" x14ac:dyDescent="0.2">
      <c r="F13417" s="503" t="s">
        <v>240</v>
      </c>
      <c r="G13417" s="504" t="s">
        <v>241</v>
      </c>
      <c r="H13417" s="397"/>
      <c r="I13417" s="397"/>
      <c r="J13417" s="750"/>
      <c r="K13417" s="398"/>
      <c r="L13417" s="404"/>
      <c r="M13417" s="682"/>
    </row>
    <row r="13418" spans="5:13" hidden="1" x14ac:dyDescent="0.2">
      <c r="F13418" s="503" t="s">
        <v>242</v>
      </c>
      <c r="G13418" s="504" t="s">
        <v>243</v>
      </c>
      <c r="H13418" s="397"/>
      <c r="I13418" s="397"/>
      <c r="J13418" s="750"/>
      <c r="K13418" s="398"/>
      <c r="L13418" s="404"/>
      <c r="M13418" s="682"/>
    </row>
    <row r="13419" spans="5:13" hidden="1" x14ac:dyDescent="0.2">
      <c r="F13419" s="503" t="s">
        <v>244</v>
      </c>
      <c r="G13419" s="504" t="s">
        <v>245</v>
      </c>
      <c r="H13419" s="397"/>
      <c r="I13419" s="397"/>
      <c r="J13419" s="750"/>
      <c r="K13419" s="398"/>
      <c r="L13419" s="404"/>
      <c r="M13419" s="682"/>
    </row>
    <row r="13420" spans="5:13" hidden="1" x14ac:dyDescent="0.2">
      <c r="F13420" s="503" t="s">
        <v>246</v>
      </c>
      <c r="G13420" s="504" t="s">
        <v>247</v>
      </c>
      <c r="H13420" s="397"/>
      <c r="I13420" s="397"/>
      <c r="J13420" s="750"/>
      <c r="K13420" s="398"/>
      <c r="L13420" s="404"/>
      <c r="M13420" s="682"/>
    </row>
    <row r="13421" spans="5:13" ht="25.5" hidden="1" x14ac:dyDescent="0.2">
      <c r="F13421" s="503" t="s">
        <v>248</v>
      </c>
      <c r="G13421" s="504" t="s">
        <v>249</v>
      </c>
      <c r="H13421" s="397"/>
      <c r="I13421" s="397"/>
      <c r="J13421" s="750"/>
      <c r="K13421" s="398"/>
      <c r="L13421" s="404"/>
      <c r="M13421" s="682"/>
    </row>
    <row r="13422" spans="5:13" hidden="1" x14ac:dyDescent="0.2">
      <c r="F13422" s="503" t="s">
        <v>250</v>
      </c>
      <c r="G13422" s="504" t="s">
        <v>57</v>
      </c>
      <c r="H13422" s="397"/>
      <c r="I13422" s="397"/>
      <c r="J13422" s="750"/>
      <c r="K13422" s="398"/>
      <c r="L13422" s="404"/>
      <c r="M13422" s="682"/>
    </row>
    <row r="13423" spans="5:13" hidden="1" x14ac:dyDescent="0.2">
      <c r="F13423" s="503" t="s">
        <v>251</v>
      </c>
      <c r="G13423" s="504" t="s">
        <v>252</v>
      </c>
      <c r="H13423" s="397"/>
      <c r="I13423" s="397"/>
      <c r="J13423" s="750"/>
      <c r="K13423" s="398"/>
      <c r="L13423" s="404"/>
      <c r="M13423" s="682"/>
    </row>
    <row r="13424" spans="5:13" hidden="1" x14ac:dyDescent="0.2">
      <c r="F13424" s="503" t="s">
        <v>253</v>
      </c>
      <c r="G13424" s="504" t="s">
        <v>254</v>
      </c>
      <c r="H13424" s="397"/>
      <c r="I13424" s="397"/>
      <c r="J13424" s="750"/>
      <c r="K13424" s="398"/>
      <c r="L13424" s="404"/>
      <c r="M13424" s="682"/>
    </row>
    <row r="13425" spans="5:13" ht="25.5" hidden="1" x14ac:dyDescent="0.2">
      <c r="F13425" s="503" t="s">
        <v>255</v>
      </c>
      <c r="G13425" s="504" t="s">
        <v>256</v>
      </c>
      <c r="H13425" s="397"/>
      <c r="I13425" s="397"/>
      <c r="J13425" s="750"/>
      <c r="K13425" s="398"/>
      <c r="L13425" s="404"/>
      <c r="M13425" s="682"/>
    </row>
    <row r="13426" spans="5:13" ht="25.5" hidden="1" x14ac:dyDescent="0.2">
      <c r="F13426" s="503" t="s">
        <v>257</v>
      </c>
      <c r="G13426" s="504" t="s">
        <v>258</v>
      </c>
      <c r="H13426" s="397"/>
      <c r="I13426" s="397"/>
      <c r="J13426" s="750"/>
      <c r="K13426" s="398"/>
      <c r="L13426" s="404"/>
      <c r="M13426" s="682"/>
    </row>
    <row r="13427" spans="5:13" ht="25.5" hidden="1" x14ac:dyDescent="0.2">
      <c r="F13427" s="503" t="s">
        <v>259</v>
      </c>
      <c r="G13427" s="504" t="s">
        <v>260</v>
      </c>
      <c r="H13427" s="397"/>
      <c r="I13427" s="397"/>
      <c r="J13427" s="750"/>
      <c r="K13427" s="398"/>
      <c r="L13427" s="404"/>
      <c r="M13427" s="682"/>
    </row>
    <row r="13428" spans="5:13" ht="25.5" hidden="1" x14ac:dyDescent="0.2">
      <c r="F13428" s="503" t="s">
        <v>261</v>
      </c>
      <c r="G13428" s="504" t="s">
        <v>262</v>
      </c>
      <c r="H13428" s="397"/>
      <c r="I13428" s="397"/>
      <c r="J13428" s="750"/>
      <c r="K13428" s="398"/>
      <c r="L13428" s="404"/>
      <c r="M13428" s="682"/>
    </row>
    <row r="13429" spans="5:13" hidden="1" x14ac:dyDescent="0.2">
      <c r="F13429" s="503" t="s">
        <v>263</v>
      </c>
      <c r="G13429" s="504" t="s">
        <v>264</v>
      </c>
      <c r="H13429" s="403"/>
      <c r="I13429" s="403"/>
      <c r="J13429" s="750"/>
      <c r="K13429" s="404"/>
      <c r="L13429" s="404"/>
      <c r="M13429" s="682"/>
    </row>
    <row r="13430" spans="5:13" ht="13.5" hidden="1" thickBot="1" x14ac:dyDescent="0.25">
      <c r="G13430" s="505" t="s">
        <v>4436</v>
      </c>
      <c r="H13430" s="405">
        <f>SUM(H13414:H13429)</f>
        <v>0</v>
      </c>
      <c r="I13430" s="405"/>
      <c r="J13430" s="750"/>
      <c r="K13430" s="406">
        <f>SUM(K13415:K13429)</f>
        <v>0</v>
      </c>
      <c r="L13430" s="406"/>
      <c r="M13430" s="682"/>
    </row>
    <row r="13431" spans="5:13" hidden="1" collapsed="1" x14ac:dyDescent="0.2">
      <c r="E13431" s="500"/>
      <c r="F13431" s="498"/>
      <c r="G13431" s="506" t="s">
        <v>5097</v>
      </c>
      <c r="H13431" s="407"/>
      <c r="I13431" s="408"/>
      <c r="J13431" s="750"/>
      <c r="K13431" s="409"/>
      <c r="L13431" s="410"/>
      <c r="M13431" s="682"/>
    </row>
    <row r="13432" spans="5:13" hidden="1" x14ac:dyDescent="0.2">
      <c r="E13432" s="502"/>
      <c r="F13432" s="503" t="s">
        <v>234</v>
      </c>
      <c r="G13432" s="504" t="s">
        <v>235</v>
      </c>
      <c r="H13432" s="403">
        <f>SUM(H13353:H13412)</f>
        <v>0</v>
      </c>
      <c r="I13432" s="403"/>
      <c r="J13432" s="750"/>
      <c r="K13432" s="404"/>
      <c r="L13432" s="404"/>
      <c r="M13432" s="682"/>
    </row>
    <row r="13433" spans="5:13" hidden="1" x14ac:dyDescent="0.2">
      <c r="F13433" s="503" t="s">
        <v>236</v>
      </c>
      <c r="G13433" s="504" t="s">
        <v>237</v>
      </c>
      <c r="H13433" s="397"/>
      <c r="I13433" s="397"/>
      <c r="J13433" s="750"/>
      <c r="K13433" s="398"/>
      <c r="L13433" s="404"/>
      <c r="M13433" s="682"/>
    </row>
    <row r="13434" spans="5:13" hidden="1" x14ac:dyDescent="0.2">
      <c r="F13434" s="503" t="s">
        <v>238</v>
      </c>
      <c r="G13434" s="504" t="s">
        <v>239</v>
      </c>
      <c r="H13434" s="397"/>
      <c r="I13434" s="397"/>
      <c r="J13434" s="750"/>
      <c r="K13434" s="398"/>
      <c r="L13434" s="404"/>
      <c r="M13434" s="682"/>
    </row>
    <row r="13435" spans="5:13" hidden="1" x14ac:dyDescent="0.2">
      <c r="F13435" s="503" t="s">
        <v>240</v>
      </c>
      <c r="G13435" s="504" t="s">
        <v>241</v>
      </c>
      <c r="H13435" s="397"/>
      <c r="I13435" s="397"/>
      <c r="J13435" s="750"/>
      <c r="K13435" s="398"/>
      <c r="L13435" s="404"/>
      <c r="M13435" s="682"/>
    </row>
    <row r="13436" spans="5:13" hidden="1" x14ac:dyDescent="0.2">
      <c r="F13436" s="503" t="s">
        <v>242</v>
      </c>
      <c r="G13436" s="504" t="s">
        <v>243</v>
      </c>
      <c r="H13436" s="397"/>
      <c r="I13436" s="397"/>
      <c r="J13436" s="750"/>
      <c r="K13436" s="398"/>
      <c r="L13436" s="404"/>
      <c r="M13436" s="682"/>
    </row>
    <row r="13437" spans="5:13" hidden="1" x14ac:dyDescent="0.2">
      <c r="F13437" s="503" t="s">
        <v>244</v>
      </c>
      <c r="G13437" s="504" t="s">
        <v>245</v>
      </c>
      <c r="H13437" s="397"/>
      <c r="I13437" s="397"/>
      <c r="J13437" s="750"/>
      <c r="K13437" s="398"/>
      <c r="L13437" s="404"/>
      <c r="M13437" s="682"/>
    </row>
    <row r="13438" spans="5:13" hidden="1" x14ac:dyDescent="0.2">
      <c r="F13438" s="503" t="s">
        <v>246</v>
      </c>
      <c r="G13438" s="504" t="s">
        <v>247</v>
      </c>
      <c r="H13438" s="397"/>
      <c r="I13438" s="397"/>
      <c r="J13438" s="750"/>
      <c r="K13438" s="398"/>
      <c r="L13438" s="404"/>
      <c r="M13438" s="682"/>
    </row>
    <row r="13439" spans="5:13" ht="25.5" hidden="1" x14ac:dyDescent="0.2">
      <c r="F13439" s="503" t="s">
        <v>248</v>
      </c>
      <c r="G13439" s="504" t="s">
        <v>249</v>
      </c>
      <c r="H13439" s="397"/>
      <c r="I13439" s="397"/>
      <c r="J13439" s="750"/>
      <c r="K13439" s="398"/>
      <c r="L13439" s="404"/>
      <c r="M13439" s="682"/>
    </row>
    <row r="13440" spans="5:13" hidden="1" x14ac:dyDescent="0.2">
      <c r="F13440" s="503" t="s">
        <v>250</v>
      </c>
      <c r="G13440" s="504" t="s">
        <v>57</v>
      </c>
      <c r="H13440" s="397"/>
      <c r="I13440" s="397"/>
      <c r="J13440" s="750"/>
      <c r="K13440" s="398"/>
      <c r="L13440" s="404"/>
      <c r="M13440" s="682"/>
    </row>
    <row r="13441" spans="3:13" hidden="1" x14ac:dyDescent="0.2">
      <c r="F13441" s="503" t="s">
        <v>251</v>
      </c>
      <c r="G13441" s="504" t="s">
        <v>252</v>
      </c>
      <c r="H13441" s="397"/>
      <c r="I13441" s="397"/>
      <c r="J13441" s="750"/>
      <c r="K13441" s="398"/>
      <c r="L13441" s="404"/>
      <c r="M13441" s="682"/>
    </row>
    <row r="13442" spans="3:13" hidden="1" x14ac:dyDescent="0.2">
      <c r="F13442" s="503" t="s">
        <v>253</v>
      </c>
      <c r="G13442" s="504" t="s">
        <v>254</v>
      </c>
      <c r="H13442" s="397"/>
      <c r="I13442" s="397"/>
      <c r="J13442" s="750"/>
      <c r="K13442" s="398"/>
      <c r="L13442" s="404"/>
      <c r="M13442" s="682"/>
    </row>
    <row r="13443" spans="3:13" ht="25.5" hidden="1" x14ac:dyDescent="0.2">
      <c r="F13443" s="503" t="s">
        <v>255</v>
      </c>
      <c r="G13443" s="504" t="s">
        <v>256</v>
      </c>
      <c r="H13443" s="397"/>
      <c r="I13443" s="397"/>
      <c r="J13443" s="750"/>
      <c r="K13443" s="398"/>
      <c r="L13443" s="404"/>
      <c r="M13443" s="682"/>
    </row>
    <row r="13444" spans="3:13" ht="25.5" hidden="1" x14ac:dyDescent="0.2">
      <c r="F13444" s="503" t="s">
        <v>257</v>
      </c>
      <c r="G13444" s="504" t="s">
        <v>258</v>
      </c>
      <c r="H13444" s="397"/>
      <c r="I13444" s="397"/>
      <c r="J13444" s="750"/>
      <c r="K13444" s="398"/>
      <c r="L13444" s="404"/>
      <c r="M13444" s="682"/>
    </row>
    <row r="13445" spans="3:13" ht="25.5" hidden="1" x14ac:dyDescent="0.2">
      <c r="F13445" s="503" t="s">
        <v>259</v>
      </c>
      <c r="G13445" s="504" t="s">
        <v>260</v>
      </c>
      <c r="H13445" s="397"/>
      <c r="I13445" s="397"/>
      <c r="J13445" s="750"/>
      <c r="K13445" s="398"/>
      <c r="L13445" s="404"/>
      <c r="M13445" s="682"/>
    </row>
    <row r="13446" spans="3:13" ht="25.5" hidden="1" x14ac:dyDescent="0.2">
      <c r="F13446" s="503" t="s">
        <v>261</v>
      </c>
      <c r="G13446" s="504" t="s">
        <v>262</v>
      </c>
      <c r="H13446" s="397"/>
      <c r="I13446" s="397"/>
      <c r="J13446" s="750"/>
      <c r="K13446" s="398"/>
      <c r="L13446" s="404"/>
      <c r="M13446" s="682"/>
    </row>
    <row r="13447" spans="3:13" hidden="1" x14ac:dyDescent="0.2">
      <c r="F13447" s="503" t="s">
        <v>263</v>
      </c>
      <c r="G13447" s="504" t="s">
        <v>264</v>
      </c>
      <c r="H13447" s="403"/>
      <c r="I13447" s="403"/>
      <c r="J13447" s="750"/>
      <c r="K13447" s="404"/>
      <c r="L13447" s="404"/>
      <c r="M13447" s="682"/>
    </row>
    <row r="13448" spans="3:13" ht="13.5" hidden="1" thickBot="1" x14ac:dyDescent="0.25">
      <c r="G13448" s="505" t="s">
        <v>5098</v>
      </c>
      <c r="H13448" s="405">
        <f>SUM(H13432:H13447)</f>
        <v>0</v>
      </c>
      <c r="I13448" s="405"/>
      <c r="J13448" s="750"/>
      <c r="K13448" s="406">
        <f>SUM(K13433:K13447)</f>
        <v>0</v>
      </c>
      <c r="L13448" s="406"/>
      <c r="M13448" s="682"/>
    </row>
    <row r="13449" spans="3:13" hidden="1" x14ac:dyDescent="0.2">
      <c r="G13449" s="510"/>
      <c r="H13449" s="411"/>
      <c r="I13449" s="411"/>
      <c r="J13449" s="750"/>
      <c r="K13449" s="412"/>
      <c r="L13449" s="412"/>
      <c r="M13449" s="682"/>
    </row>
    <row r="13450" spans="3:13" hidden="1" x14ac:dyDescent="0.2">
      <c r="C13450" s="489" t="s">
        <v>4839</v>
      </c>
      <c r="D13450" s="490"/>
      <c r="G13450" s="508" t="s">
        <v>4232</v>
      </c>
      <c r="H13450" s="397"/>
      <c r="I13450" s="397"/>
      <c r="J13450" s="750"/>
      <c r="K13450" s="398"/>
      <c r="L13450" s="398"/>
      <c r="M13450" s="682"/>
    </row>
    <row r="13451" spans="3:13" hidden="1" x14ac:dyDescent="0.2">
      <c r="C13451" s="489"/>
      <c r="D13451" s="492">
        <v>820</v>
      </c>
      <c r="E13451" s="492"/>
      <c r="F13451" s="492"/>
      <c r="G13451" s="493" t="s">
        <v>207</v>
      </c>
      <c r="H13451" s="397"/>
      <c r="I13451" s="397"/>
      <c r="J13451" s="750"/>
      <c r="K13451" s="398"/>
      <c r="L13451" s="398"/>
      <c r="M13451" s="682"/>
    </row>
    <row r="13452" spans="3:13" hidden="1" x14ac:dyDescent="0.2">
      <c r="F13452" s="494">
        <v>411</v>
      </c>
      <c r="G13452" s="495" t="s">
        <v>4167</v>
      </c>
      <c r="H13452" s="397"/>
      <c r="I13452" s="397"/>
      <c r="J13452" s="750"/>
      <c r="K13452" s="398"/>
      <c r="L13452" s="398"/>
      <c r="M13452" s="682"/>
    </row>
    <row r="13453" spans="3:13" hidden="1" x14ac:dyDescent="0.2">
      <c r="F13453" s="494">
        <v>412</v>
      </c>
      <c r="G13453" s="496" t="s">
        <v>3764</v>
      </c>
      <c r="H13453" s="397"/>
      <c r="I13453" s="397"/>
      <c r="J13453" s="750"/>
      <c r="K13453" s="398"/>
      <c r="L13453" s="398"/>
      <c r="M13453" s="682"/>
    </row>
    <row r="13454" spans="3:13" hidden="1" x14ac:dyDescent="0.2">
      <c r="F13454" s="494">
        <v>413</v>
      </c>
      <c r="G13454" s="495" t="s">
        <v>4168</v>
      </c>
      <c r="H13454" s="397"/>
      <c r="I13454" s="397"/>
      <c r="J13454" s="750"/>
      <c r="K13454" s="398"/>
      <c r="L13454" s="398"/>
      <c r="M13454" s="682"/>
    </row>
    <row r="13455" spans="3:13" hidden="1" x14ac:dyDescent="0.2">
      <c r="F13455" s="494">
        <v>414</v>
      </c>
      <c r="G13455" s="495" t="s">
        <v>3767</v>
      </c>
      <c r="H13455" s="397"/>
      <c r="I13455" s="397"/>
      <c r="J13455" s="750"/>
      <c r="K13455" s="398"/>
      <c r="L13455" s="398"/>
      <c r="M13455" s="682"/>
    </row>
    <row r="13456" spans="3:13" hidden="1" x14ac:dyDescent="0.2">
      <c r="F13456" s="494">
        <v>415</v>
      </c>
      <c r="G13456" s="495" t="s">
        <v>4177</v>
      </c>
      <c r="H13456" s="397"/>
      <c r="I13456" s="397"/>
      <c r="J13456" s="750"/>
      <c r="K13456" s="398"/>
      <c r="L13456" s="398"/>
      <c r="M13456" s="682"/>
    </row>
    <row r="13457" spans="6:13" ht="25.5" hidden="1" x14ac:dyDescent="0.2">
      <c r="F13457" s="494">
        <v>416</v>
      </c>
      <c r="G13457" s="495" t="s">
        <v>4178</v>
      </c>
      <c r="H13457" s="397"/>
      <c r="I13457" s="397"/>
      <c r="J13457" s="750"/>
      <c r="K13457" s="398"/>
      <c r="L13457" s="398"/>
      <c r="M13457" s="682"/>
    </row>
    <row r="13458" spans="6:13" hidden="1" x14ac:dyDescent="0.2">
      <c r="F13458" s="494">
        <v>417</v>
      </c>
      <c r="G13458" s="495" t="s">
        <v>4179</v>
      </c>
      <c r="H13458" s="397"/>
      <c r="I13458" s="397"/>
      <c r="J13458" s="750"/>
      <c r="K13458" s="398"/>
      <c r="L13458" s="398"/>
      <c r="M13458" s="682"/>
    </row>
    <row r="13459" spans="6:13" hidden="1" x14ac:dyDescent="0.2">
      <c r="F13459" s="494">
        <v>418</v>
      </c>
      <c r="G13459" s="495" t="s">
        <v>3773</v>
      </c>
      <c r="H13459" s="397"/>
      <c r="I13459" s="397"/>
      <c r="J13459" s="750"/>
      <c r="K13459" s="398"/>
      <c r="L13459" s="398"/>
      <c r="M13459" s="682"/>
    </row>
    <row r="13460" spans="6:13" hidden="1" x14ac:dyDescent="0.2">
      <c r="F13460" s="494">
        <v>421</v>
      </c>
      <c r="G13460" s="495" t="s">
        <v>3777</v>
      </c>
      <c r="H13460" s="397"/>
      <c r="I13460" s="397"/>
      <c r="J13460" s="750"/>
      <c r="K13460" s="398"/>
      <c r="L13460" s="398"/>
      <c r="M13460" s="682"/>
    </row>
    <row r="13461" spans="6:13" hidden="1" x14ac:dyDescent="0.2">
      <c r="F13461" s="494">
        <v>422</v>
      </c>
      <c r="G13461" s="495" t="s">
        <v>3778</v>
      </c>
      <c r="H13461" s="397"/>
      <c r="I13461" s="397"/>
      <c r="J13461" s="750"/>
      <c r="K13461" s="398"/>
      <c r="L13461" s="398"/>
      <c r="M13461" s="682"/>
    </row>
    <row r="13462" spans="6:13" hidden="1" x14ac:dyDescent="0.2">
      <c r="F13462" s="494">
        <v>423</v>
      </c>
      <c r="G13462" s="495" t="s">
        <v>3779</v>
      </c>
      <c r="H13462" s="397"/>
      <c r="I13462" s="397"/>
      <c r="J13462" s="750"/>
      <c r="K13462" s="398"/>
      <c r="L13462" s="398"/>
      <c r="M13462" s="682"/>
    </row>
    <row r="13463" spans="6:13" hidden="1" x14ac:dyDescent="0.2">
      <c r="F13463" s="494">
        <v>424</v>
      </c>
      <c r="G13463" s="495" t="s">
        <v>3781</v>
      </c>
      <c r="H13463" s="397"/>
      <c r="I13463" s="397"/>
      <c r="J13463" s="750"/>
      <c r="K13463" s="398"/>
      <c r="L13463" s="398"/>
      <c r="M13463" s="682"/>
    </row>
    <row r="13464" spans="6:13" hidden="1" x14ac:dyDescent="0.2">
      <c r="F13464" s="494">
        <v>425</v>
      </c>
      <c r="G13464" s="495" t="s">
        <v>4180</v>
      </c>
      <c r="H13464" s="397"/>
      <c r="I13464" s="397"/>
      <c r="J13464" s="750"/>
      <c r="K13464" s="398"/>
      <c r="L13464" s="398"/>
      <c r="M13464" s="682"/>
    </row>
    <row r="13465" spans="6:13" hidden="1" x14ac:dyDescent="0.2">
      <c r="F13465" s="494">
        <v>426</v>
      </c>
      <c r="G13465" s="495" t="s">
        <v>3785</v>
      </c>
      <c r="H13465" s="397"/>
      <c r="I13465" s="397"/>
      <c r="J13465" s="750"/>
      <c r="K13465" s="398"/>
      <c r="L13465" s="398"/>
      <c r="M13465" s="682"/>
    </row>
    <row r="13466" spans="6:13" hidden="1" x14ac:dyDescent="0.2">
      <c r="F13466" s="494">
        <v>431</v>
      </c>
      <c r="G13466" s="495" t="s">
        <v>4181</v>
      </c>
      <c r="H13466" s="397"/>
      <c r="I13466" s="397"/>
      <c r="J13466" s="750"/>
      <c r="K13466" s="398"/>
      <c r="L13466" s="398"/>
      <c r="M13466" s="682"/>
    </row>
    <row r="13467" spans="6:13" hidden="1" x14ac:dyDescent="0.2">
      <c r="F13467" s="494">
        <v>432</v>
      </c>
      <c r="G13467" s="495" t="s">
        <v>4182</v>
      </c>
      <c r="H13467" s="397"/>
      <c r="I13467" s="397"/>
      <c r="J13467" s="750"/>
      <c r="K13467" s="398"/>
      <c r="L13467" s="398"/>
      <c r="M13467" s="682"/>
    </row>
    <row r="13468" spans="6:13" hidden="1" x14ac:dyDescent="0.2">
      <c r="F13468" s="494">
        <v>433</v>
      </c>
      <c r="G13468" s="495" t="s">
        <v>4183</v>
      </c>
      <c r="H13468" s="397"/>
      <c r="I13468" s="397"/>
      <c r="J13468" s="750"/>
      <c r="K13468" s="398"/>
      <c r="L13468" s="398"/>
      <c r="M13468" s="682"/>
    </row>
    <row r="13469" spans="6:13" hidden="1" x14ac:dyDescent="0.2">
      <c r="F13469" s="494">
        <v>434</v>
      </c>
      <c r="G13469" s="495" t="s">
        <v>4184</v>
      </c>
      <c r="H13469" s="397"/>
      <c r="I13469" s="397"/>
      <c r="J13469" s="750"/>
      <c r="K13469" s="398"/>
      <c r="L13469" s="398"/>
      <c r="M13469" s="682"/>
    </row>
    <row r="13470" spans="6:13" hidden="1" x14ac:dyDescent="0.2">
      <c r="F13470" s="494">
        <v>435</v>
      </c>
      <c r="G13470" s="495" t="s">
        <v>3792</v>
      </c>
      <c r="H13470" s="397"/>
      <c r="I13470" s="397"/>
      <c r="J13470" s="750"/>
      <c r="K13470" s="398"/>
      <c r="L13470" s="398"/>
      <c r="M13470" s="682"/>
    </row>
    <row r="13471" spans="6:13" hidden="1" x14ac:dyDescent="0.2">
      <c r="F13471" s="494">
        <v>441</v>
      </c>
      <c r="G13471" s="495" t="s">
        <v>4185</v>
      </c>
      <c r="H13471" s="397"/>
      <c r="I13471" s="397"/>
      <c r="J13471" s="750"/>
      <c r="K13471" s="398"/>
      <c r="L13471" s="398"/>
      <c r="M13471" s="682"/>
    </row>
    <row r="13472" spans="6:13" hidden="1" x14ac:dyDescent="0.2">
      <c r="F13472" s="494">
        <v>442</v>
      </c>
      <c r="G13472" s="495" t="s">
        <v>4186</v>
      </c>
      <c r="H13472" s="397"/>
      <c r="I13472" s="397"/>
      <c r="J13472" s="750"/>
      <c r="K13472" s="398"/>
      <c r="L13472" s="398"/>
      <c r="M13472" s="682"/>
    </row>
    <row r="13473" spans="6:13" hidden="1" x14ac:dyDescent="0.2">
      <c r="F13473" s="494">
        <v>443</v>
      </c>
      <c r="G13473" s="495" t="s">
        <v>3797</v>
      </c>
      <c r="H13473" s="397"/>
      <c r="I13473" s="397"/>
      <c r="J13473" s="750"/>
      <c r="K13473" s="398"/>
      <c r="L13473" s="398"/>
      <c r="M13473" s="682"/>
    </row>
    <row r="13474" spans="6:13" hidden="1" x14ac:dyDescent="0.2">
      <c r="F13474" s="494">
        <v>444</v>
      </c>
      <c r="G13474" s="495" t="s">
        <v>3798</v>
      </c>
      <c r="H13474" s="397"/>
      <c r="I13474" s="397"/>
      <c r="J13474" s="750"/>
      <c r="K13474" s="398"/>
      <c r="L13474" s="398"/>
      <c r="M13474" s="682"/>
    </row>
    <row r="13475" spans="6:13" ht="25.5" hidden="1" x14ac:dyDescent="0.2">
      <c r="F13475" s="494">
        <v>4511</v>
      </c>
      <c r="G13475" s="466" t="s">
        <v>1692</v>
      </c>
      <c r="H13475" s="397"/>
      <c r="I13475" s="397"/>
      <c r="J13475" s="750"/>
      <c r="K13475" s="398"/>
      <c r="L13475" s="398"/>
      <c r="M13475" s="682"/>
    </row>
    <row r="13476" spans="6:13" ht="25.5" hidden="1" x14ac:dyDescent="0.2">
      <c r="F13476" s="494">
        <v>4512</v>
      </c>
      <c r="G13476" s="466" t="s">
        <v>1701</v>
      </c>
      <c r="H13476" s="397"/>
      <c r="I13476" s="397"/>
      <c r="J13476" s="750"/>
      <c r="K13476" s="398"/>
      <c r="L13476" s="398"/>
      <c r="M13476" s="682"/>
    </row>
    <row r="13477" spans="6:13" ht="25.5" hidden="1" x14ac:dyDescent="0.2">
      <c r="F13477" s="494">
        <v>452</v>
      </c>
      <c r="G13477" s="495" t="s">
        <v>4187</v>
      </c>
      <c r="H13477" s="397"/>
      <c r="I13477" s="397"/>
      <c r="J13477" s="750"/>
      <c r="K13477" s="398"/>
      <c r="L13477" s="398"/>
      <c r="M13477" s="682"/>
    </row>
    <row r="13478" spans="6:13" ht="25.5" hidden="1" x14ac:dyDescent="0.2">
      <c r="F13478" s="494">
        <v>453</v>
      </c>
      <c r="G13478" s="495" t="s">
        <v>4188</v>
      </c>
      <c r="H13478" s="397"/>
      <c r="I13478" s="397"/>
      <c r="J13478" s="750"/>
      <c r="K13478" s="398"/>
      <c r="L13478" s="398"/>
      <c r="M13478" s="682"/>
    </row>
    <row r="13479" spans="6:13" hidden="1" x14ac:dyDescent="0.2">
      <c r="F13479" s="494">
        <v>454</v>
      </c>
      <c r="G13479" s="495" t="s">
        <v>3803</v>
      </c>
      <c r="H13479" s="397"/>
      <c r="I13479" s="397"/>
      <c r="J13479" s="750"/>
      <c r="K13479" s="398"/>
      <c r="L13479" s="398"/>
      <c r="M13479" s="682"/>
    </row>
    <row r="13480" spans="6:13" hidden="1" x14ac:dyDescent="0.2">
      <c r="F13480" s="494">
        <v>461</v>
      </c>
      <c r="G13480" s="495" t="s">
        <v>4169</v>
      </c>
      <c r="H13480" s="397"/>
      <c r="I13480" s="397"/>
      <c r="J13480" s="750"/>
      <c r="K13480" s="398"/>
      <c r="L13480" s="398"/>
      <c r="M13480" s="682"/>
    </row>
    <row r="13481" spans="6:13" ht="25.5" hidden="1" x14ac:dyDescent="0.2">
      <c r="F13481" s="494">
        <v>462</v>
      </c>
      <c r="G13481" s="495" t="s">
        <v>3806</v>
      </c>
      <c r="H13481" s="397"/>
      <c r="I13481" s="397"/>
      <c r="J13481" s="750"/>
      <c r="K13481" s="398"/>
      <c r="L13481" s="398"/>
      <c r="M13481" s="682"/>
    </row>
    <row r="13482" spans="6:13" hidden="1" x14ac:dyDescent="0.2">
      <c r="F13482" s="494">
        <v>4631</v>
      </c>
      <c r="G13482" s="495" t="s">
        <v>3807</v>
      </c>
      <c r="H13482" s="397"/>
      <c r="I13482" s="397"/>
      <c r="J13482" s="750"/>
      <c r="K13482" s="398"/>
      <c r="L13482" s="398"/>
      <c r="M13482" s="682"/>
    </row>
    <row r="13483" spans="6:13" hidden="1" x14ac:dyDescent="0.2">
      <c r="F13483" s="494">
        <v>4632</v>
      </c>
      <c r="G13483" s="495" t="s">
        <v>3808</v>
      </c>
      <c r="H13483" s="397"/>
      <c r="I13483" s="397"/>
      <c r="J13483" s="750"/>
      <c r="K13483" s="398"/>
      <c r="L13483" s="398"/>
      <c r="M13483" s="682"/>
    </row>
    <row r="13484" spans="6:13" ht="25.5" hidden="1" x14ac:dyDescent="0.2">
      <c r="F13484" s="494">
        <v>464</v>
      </c>
      <c r="G13484" s="495" t="s">
        <v>3809</v>
      </c>
      <c r="H13484" s="397"/>
      <c r="I13484" s="397"/>
      <c r="J13484" s="750"/>
      <c r="K13484" s="398"/>
      <c r="L13484" s="398"/>
      <c r="M13484" s="682"/>
    </row>
    <row r="13485" spans="6:13" hidden="1" x14ac:dyDescent="0.2">
      <c r="F13485" s="494">
        <v>465</v>
      </c>
      <c r="G13485" s="495" t="s">
        <v>4170</v>
      </c>
      <c r="H13485" s="397"/>
      <c r="I13485" s="397"/>
      <c r="J13485" s="750"/>
      <c r="K13485" s="398"/>
      <c r="L13485" s="398"/>
      <c r="M13485" s="682"/>
    </row>
    <row r="13486" spans="6:13" hidden="1" x14ac:dyDescent="0.2">
      <c r="F13486" s="494">
        <v>472</v>
      </c>
      <c r="G13486" s="495" t="s">
        <v>3813</v>
      </c>
      <c r="H13486" s="397"/>
      <c r="I13486" s="397"/>
      <c r="J13486" s="750"/>
      <c r="K13486" s="398"/>
      <c r="L13486" s="398"/>
      <c r="M13486" s="682"/>
    </row>
    <row r="13487" spans="6:13" hidden="1" x14ac:dyDescent="0.2">
      <c r="F13487" s="494">
        <v>481</v>
      </c>
      <c r="G13487" s="495" t="s">
        <v>4189</v>
      </c>
      <c r="H13487" s="397"/>
      <c r="I13487" s="397"/>
      <c r="J13487" s="750"/>
      <c r="K13487" s="398"/>
      <c r="L13487" s="398"/>
      <c r="M13487" s="682"/>
    </row>
    <row r="13488" spans="6:13" hidden="1" x14ac:dyDescent="0.2">
      <c r="F13488" s="494">
        <v>482</v>
      </c>
      <c r="G13488" s="495" t="s">
        <v>4190</v>
      </c>
      <c r="H13488" s="397"/>
      <c r="I13488" s="397"/>
      <c r="J13488" s="750"/>
      <c r="K13488" s="398"/>
      <c r="L13488" s="398"/>
      <c r="M13488" s="682"/>
    </row>
    <row r="13489" spans="6:13" hidden="1" x14ac:dyDescent="0.2">
      <c r="F13489" s="494">
        <v>483</v>
      </c>
      <c r="G13489" s="497" t="s">
        <v>4191</v>
      </c>
      <c r="H13489" s="397"/>
      <c r="I13489" s="397"/>
      <c r="J13489" s="750"/>
      <c r="K13489" s="398"/>
      <c r="L13489" s="398"/>
      <c r="M13489" s="682"/>
    </row>
    <row r="13490" spans="6:13" ht="38.25" hidden="1" x14ac:dyDescent="0.2">
      <c r="F13490" s="494">
        <v>484</v>
      </c>
      <c r="G13490" s="495" t="s">
        <v>4192</v>
      </c>
      <c r="H13490" s="397"/>
      <c r="I13490" s="397"/>
      <c r="J13490" s="750"/>
      <c r="K13490" s="398"/>
      <c r="L13490" s="398"/>
      <c r="M13490" s="682"/>
    </row>
    <row r="13491" spans="6:13" ht="25.5" hidden="1" x14ac:dyDescent="0.2">
      <c r="F13491" s="494">
        <v>485</v>
      </c>
      <c r="G13491" s="495" t="s">
        <v>4193</v>
      </c>
      <c r="H13491" s="397"/>
      <c r="I13491" s="397"/>
      <c r="J13491" s="750"/>
      <c r="K13491" s="398"/>
      <c r="L13491" s="398"/>
      <c r="M13491" s="682"/>
    </row>
    <row r="13492" spans="6:13" ht="25.5" hidden="1" x14ac:dyDescent="0.2">
      <c r="F13492" s="494">
        <v>489</v>
      </c>
      <c r="G13492" s="495" t="s">
        <v>3821</v>
      </c>
      <c r="H13492" s="397"/>
      <c r="I13492" s="397"/>
      <c r="J13492" s="750"/>
      <c r="K13492" s="398"/>
      <c r="L13492" s="398"/>
      <c r="M13492" s="682"/>
    </row>
    <row r="13493" spans="6:13" ht="25.5" hidden="1" x14ac:dyDescent="0.2">
      <c r="F13493" s="494">
        <v>494</v>
      </c>
      <c r="G13493" s="495" t="s">
        <v>4171</v>
      </c>
      <c r="H13493" s="397"/>
      <c r="I13493" s="397"/>
      <c r="J13493" s="750"/>
      <c r="K13493" s="398"/>
      <c r="L13493" s="398"/>
      <c r="M13493" s="682"/>
    </row>
    <row r="13494" spans="6:13" ht="25.5" hidden="1" x14ac:dyDescent="0.2">
      <c r="F13494" s="494">
        <v>495</v>
      </c>
      <c r="G13494" s="495" t="s">
        <v>4172</v>
      </c>
      <c r="H13494" s="397"/>
      <c r="I13494" s="397"/>
      <c r="J13494" s="750"/>
      <c r="K13494" s="398"/>
      <c r="L13494" s="398"/>
      <c r="M13494" s="682"/>
    </row>
    <row r="13495" spans="6:13" ht="38.25" hidden="1" x14ac:dyDescent="0.2">
      <c r="F13495" s="494">
        <v>496</v>
      </c>
      <c r="G13495" s="495" t="s">
        <v>4173</v>
      </c>
      <c r="H13495" s="397"/>
      <c r="I13495" s="397"/>
      <c r="J13495" s="750"/>
      <c r="K13495" s="398"/>
      <c r="L13495" s="398"/>
      <c r="M13495" s="682"/>
    </row>
    <row r="13496" spans="6:13" ht="25.5" hidden="1" x14ac:dyDescent="0.2">
      <c r="F13496" s="494">
        <v>499</v>
      </c>
      <c r="G13496" s="495" t="s">
        <v>4174</v>
      </c>
      <c r="H13496" s="397"/>
      <c r="I13496" s="397"/>
      <c r="J13496" s="750"/>
      <c r="K13496" s="398"/>
      <c r="L13496" s="398"/>
      <c r="M13496" s="682"/>
    </row>
    <row r="13497" spans="6:13" hidden="1" x14ac:dyDescent="0.2">
      <c r="F13497" s="494">
        <v>511</v>
      </c>
      <c r="G13497" s="497" t="s">
        <v>4194</v>
      </c>
      <c r="H13497" s="397"/>
      <c r="I13497" s="397"/>
      <c r="J13497" s="750"/>
      <c r="K13497" s="398"/>
      <c r="L13497" s="398"/>
      <c r="M13497" s="682"/>
    </row>
    <row r="13498" spans="6:13" hidden="1" x14ac:dyDescent="0.2">
      <c r="F13498" s="494">
        <v>512</v>
      </c>
      <c r="G13498" s="497" t="s">
        <v>4195</v>
      </c>
      <c r="H13498" s="397"/>
      <c r="I13498" s="397"/>
      <c r="J13498" s="750"/>
      <c r="K13498" s="398"/>
      <c r="L13498" s="398"/>
      <c r="M13498" s="682"/>
    </row>
    <row r="13499" spans="6:13" hidden="1" x14ac:dyDescent="0.2">
      <c r="F13499" s="494">
        <v>513</v>
      </c>
      <c r="G13499" s="497" t="s">
        <v>4196</v>
      </c>
      <c r="H13499" s="397"/>
      <c r="I13499" s="397"/>
      <c r="J13499" s="750"/>
      <c r="K13499" s="398"/>
      <c r="L13499" s="398"/>
      <c r="M13499" s="682"/>
    </row>
    <row r="13500" spans="6:13" hidden="1" x14ac:dyDescent="0.2">
      <c r="F13500" s="494">
        <v>514</v>
      </c>
      <c r="G13500" s="495" t="s">
        <v>4197</v>
      </c>
      <c r="H13500" s="397"/>
      <c r="I13500" s="397"/>
      <c r="J13500" s="750"/>
      <c r="K13500" s="398"/>
      <c r="L13500" s="398"/>
      <c r="M13500" s="682"/>
    </row>
    <row r="13501" spans="6:13" hidden="1" x14ac:dyDescent="0.2">
      <c r="F13501" s="494">
        <v>515</v>
      </c>
      <c r="G13501" s="495" t="s">
        <v>3832</v>
      </c>
      <c r="H13501" s="397"/>
      <c r="I13501" s="397"/>
      <c r="J13501" s="750"/>
      <c r="K13501" s="398"/>
      <c r="L13501" s="398"/>
      <c r="M13501" s="682"/>
    </row>
    <row r="13502" spans="6:13" hidden="1" x14ac:dyDescent="0.2">
      <c r="F13502" s="494">
        <v>521</v>
      </c>
      <c r="G13502" s="495" t="s">
        <v>4198</v>
      </c>
      <c r="H13502" s="397"/>
      <c r="I13502" s="397"/>
      <c r="J13502" s="750"/>
      <c r="K13502" s="398"/>
      <c r="L13502" s="398"/>
      <c r="M13502" s="682"/>
    </row>
    <row r="13503" spans="6:13" hidden="1" x14ac:dyDescent="0.2">
      <c r="F13503" s="494">
        <v>522</v>
      </c>
      <c r="G13503" s="495" t="s">
        <v>4199</v>
      </c>
      <c r="H13503" s="397"/>
      <c r="I13503" s="397"/>
      <c r="J13503" s="750"/>
      <c r="K13503" s="398"/>
      <c r="L13503" s="398"/>
      <c r="M13503" s="682"/>
    </row>
    <row r="13504" spans="6:13" hidden="1" x14ac:dyDescent="0.2">
      <c r="F13504" s="494">
        <v>523</v>
      </c>
      <c r="G13504" s="495" t="s">
        <v>3837</v>
      </c>
      <c r="H13504" s="397"/>
      <c r="I13504" s="397"/>
      <c r="J13504" s="750"/>
      <c r="K13504" s="398"/>
      <c r="L13504" s="398"/>
      <c r="M13504" s="682"/>
    </row>
    <row r="13505" spans="5:13" hidden="1" x14ac:dyDescent="0.2">
      <c r="F13505" s="494">
        <v>531</v>
      </c>
      <c r="G13505" s="496" t="s">
        <v>4175</v>
      </c>
      <c r="H13505" s="397"/>
      <c r="I13505" s="397"/>
      <c r="J13505" s="750"/>
      <c r="K13505" s="398"/>
      <c r="L13505" s="398"/>
      <c r="M13505" s="682"/>
    </row>
    <row r="13506" spans="5:13" hidden="1" x14ac:dyDescent="0.2">
      <c r="F13506" s="494">
        <v>541</v>
      </c>
      <c r="G13506" s="495" t="s">
        <v>4200</v>
      </c>
      <c r="H13506" s="397"/>
      <c r="I13506" s="397"/>
      <c r="J13506" s="750"/>
      <c r="K13506" s="398"/>
      <c r="L13506" s="398"/>
      <c r="M13506" s="682"/>
    </row>
    <row r="13507" spans="5:13" hidden="1" x14ac:dyDescent="0.2">
      <c r="F13507" s="494">
        <v>542</v>
      </c>
      <c r="G13507" s="495" t="s">
        <v>4201</v>
      </c>
      <c r="H13507" s="397"/>
      <c r="I13507" s="397"/>
      <c r="J13507" s="750"/>
      <c r="K13507" s="398"/>
      <c r="L13507" s="398"/>
      <c r="M13507" s="682"/>
    </row>
    <row r="13508" spans="5:13" hidden="1" x14ac:dyDescent="0.2">
      <c r="F13508" s="494">
        <v>543</v>
      </c>
      <c r="G13508" s="495" t="s">
        <v>3842</v>
      </c>
      <c r="H13508" s="397"/>
      <c r="I13508" s="397"/>
      <c r="J13508" s="750"/>
      <c r="K13508" s="398"/>
      <c r="L13508" s="398"/>
      <c r="M13508" s="682"/>
    </row>
    <row r="13509" spans="5:13" ht="38.25" hidden="1" x14ac:dyDescent="0.2">
      <c r="F13509" s="494">
        <v>551</v>
      </c>
      <c r="G13509" s="495" t="s">
        <v>4176</v>
      </c>
      <c r="H13509" s="397"/>
      <c r="I13509" s="397"/>
      <c r="J13509" s="750"/>
      <c r="K13509" s="398"/>
      <c r="L13509" s="398"/>
      <c r="M13509" s="682"/>
    </row>
    <row r="13510" spans="5:13" hidden="1" x14ac:dyDescent="0.2">
      <c r="F13510" s="498">
        <v>611</v>
      </c>
      <c r="G13510" s="499" t="s">
        <v>3848</v>
      </c>
      <c r="H13510" s="397"/>
      <c r="I13510" s="397"/>
      <c r="J13510" s="750"/>
      <c r="K13510" s="398"/>
      <c r="L13510" s="398"/>
      <c r="M13510" s="682"/>
    </row>
    <row r="13511" spans="5:13" hidden="1" x14ac:dyDescent="0.2">
      <c r="F13511" s="498">
        <v>620</v>
      </c>
      <c r="G13511" s="499" t="s">
        <v>88</v>
      </c>
      <c r="H13511" s="397"/>
      <c r="I13511" s="397"/>
      <c r="J13511" s="750"/>
      <c r="K13511" s="398"/>
      <c r="L13511" s="398"/>
      <c r="M13511" s="682"/>
    </row>
    <row r="13512" spans="5:13" hidden="1" x14ac:dyDescent="0.2">
      <c r="E13512" s="500"/>
      <c r="F13512" s="498"/>
      <c r="G13512" s="509" t="s">
        <v>4435</v>
      </c>
      <c r="H13512" s="400"/>
      <c r="I13512" s="400"/>
      <c r="J13512" s="750"/>
      <c r="K13512" s="401"/>
      <c r="L13512" s="402"/>
      <c r="M13512" s="682"/>
    </row>
    <row r="13513" spans="5:13" hidden="1" x14ac:dyDescent="0.2">
      <c r="E13513" s="502"/>
      <c r="F13513" s="503" t="s">
        <v>234</v>
      </c>
      <c r="G13513" s="504" t="s">
        <v>235</v>
      </c>
      <c r="H13513" s="403">
        <f>SUM(H13452:H13511)</f>
        <v>0</v>
      </c>
      <c r="I13513" s="403"/>
      <c r="J13513" s="750"/>
      <c r="K13513" s="404"/>
      <c r="L13513" s="404"/>
      <c r="M13513" s="682"/>
    </row>
    <row r="13514" spans="5:13" hidden="1" x14ac:dyDescent="0.2">
      <c r="F13514" s="503" t="s">
        <v>236</v>
      </c>
      <c r="G13514" s="504" t="s">
        <v>237</v>
      </c>
      <c r="H13514" s="397"/>
      <c r="I13514" s="397"/>
      <c r="J13514" s="750"/>
      <c r="K13514" s="398"/>
      <c r="L13514" s="404"/>
      <c r="M13514" s="682"/>
    </row>
    <row r="13515" spans="5:13" hidden="1" x14ac:dyDescent="0.2">
      <c r="F13515" s="503" t="s">
        <v>238</v>
      </c>
      <c r="G13515" s="504" t="s">
        <v>239</v>
      </c>
      <c r="H13515" s="397"/>
      <c r="I13515" s="397"/>
      <c r="J13515" s="750"/>
      <c r="K13515" s="398"/>
      <c r="L13515" s="404"/>
      <c r="M13515" s="682"/>
    </row>
    <row r="13516" spans="5:13" hidden="1" x14ac:dyDescent="0.2">
      <c r="F13516" s="503" t="s">
        <v>240</v>
      </c>
      <c r="G13516" s="504" t="s">
        <v>241</v>
      </c>
      <c r="H13516" s="397"/>
      <c r="I13516" s="397"/>
      <c r="J13516" s="750"/>
      <c r="K13516" s="398"/>
      <c r="L13516" s="404"/>
      <c r="M13516" s="682"/>
    </row>
    <row r="13517" spans="5:13" hidden="1" x14ac:dyDescent="0.2">
      <c r="F13517" s="503" t="s">
        <v>242</v>
      </c>
      <c r="G13517" s="504" t="s">
        <v>243</v>
      </c>
      <c r="H13517" s="397"/>
      <c r="I13517" s="397"/>
      <c r="J13517" s="750"/>
      <c r="K13517" s="398"/>
      <c r="L13517" s="404"/>
      <c r="M13517" s="682"/>
    </row>
    <row r="13518" spans="5:13" hidden="1" x14ac:dyDescent="0.2">
      <c r="F13518" s="503" t="s">
        <v>244</v>
      </c>
      <c r="G13518" s="504" t="s">
        <v>245</v>
      </c>
      <c r="H13518" s="397"/>
      <c r="I13518" s="397"/>
      <c r="J13518" s="750"/>
      <c r="K13518" s="398"/>
      <c r="L13518" s="404"/>
      <c r="M13518" s="682"/>
    </row>
    <row r="13519" spans="5:13" hidden="1" x14ac:dyDescent="0.2">
      <c r="F13519" s="503" t="s">
        <v>246</v>
      </c>
      <c r="G13519" s="504" t="s">
        <v>247</v>
      </c>
      <c r="H13519" s="397"/>
      <c r="I13519" s="397"/>
      <c r="J13519" s="750"/>
      <c r="K13519" s="398"/>
      <c r="L13519" s="404"/>
      <c r="M13519" s="682"/>
    </row>
    <row r="13520" spans="5:13" ht="25.5" hidden="1" x14ac:dyDescent="0.2">
      <c r="F13520" s="503" t="s">
        <v>248</v>
      </c>
      <c r="G13520" s="504" t="s">
        <v>249</v>
      </c>
      <c r="H13520" s="397"/>
      <c r="I13520" s="397"/>
      <c r="J13520" s="750"/>
      <c r="K13520" s="398"/>
      <c r="L13520" s="404"/>
      <c r="M13520" s="682"/>
    </row>
    <row r="13521" spans="5:13" hidden="1" x14ac:dyDescent="0.2">
      <c r="F13521" s="503" t="s">
        <v>250</v>
      </c>
      <c r="G13521" s="504" t="s">
        <v>57</v>
      </c>
      <c r="H13521" s="397"/>
      <c r="I13521" s="397"/>
      <c r="J13521" s="750"/>
      <c r="K13521" s="398"/>
      <c r="L13521" s="404"/>
      <c r="M13521" s="682"/>
    </row>
    <row r="13522" spans="5:13" hidden="1" x14ac:dyDescent="0.2">
      <c r="F13522" s="503" t="s">
        <v>251</v>
      </c>
      <c r="G13522" s="504" t="s">
        <v>252</v>
      </c>
      <c r="H13522" s="397"/>
      <c r="I13522" s="397"/>
      <c r="J13522" s="750"/>
      <c r="K13522" s="398"/>
      <c r="L13522" s="404"/>
      <c r="M13522" s="682"/>
    </row>
    <row r="13523" spans="5:13" hidden="1" x14ac:dyDescent="0.2">
      <c r="F13523" s="503" t="s">
        <v>253</v>
      </c>
      <c r="G13523" s="504" t="s">
        <v>254</v>
      </c>
      <c r="H13523" s="397"/>
      <c r="I13523" s="397"/>
      <c r="J13523" s="750"/>
      <c r="K13523" s="398"/>
      <c r="L13523" s="404"/>
      <c r="M13523" s="682"/>
    </row>
    <row r="13524" spans="5:13" ht="25.5" hidden="1" x14ac:dyDescent="0.2">
      <c r="F13524" s="503" t="s">
        <v>255</v>
      </c>
      <c r="G13524" s="504" t="s">
        <v>256</v>
      </c>
      <c r="H13524" s="397"/>
      <c r="I13524" s="397"/>
      <c r="J13524" s="750"/>
      <c r="K13524" s="398"/>
      <c r="L13524" s="404"/>
      <c r="M13524" s="682"/>
    </row>
    <row r="13525" spans="5:13" ht="25.5" hidden="1" x14ac:dyDescent="0.2">
      <c r="F13525" s="503" t="s">
        <v>257</v>
      </c>
      <c r="G13525" s="504" t="s">
        <v>258</v>
      </c>
      <c r="H13525" s="397"/>
      <c r="I13525" s="397"/>
      <c r="J13525" s="750"/>
      <c r="K13525" s="398"/>
      <c r="L13525" s="404"/>
      <c r="M13525" s="682"/>
    </row>
    <row r="13526" spans="5:13" ht="25.5" hidden="1" x14ac:dyDescent="0.2">
      <c r="F13526" s="503" t="s">
        <v>259</v>
      </c>
      <c r="G13526" s="504" t="s">
        <v>260</v>
      </c>
      <c r="H13526" s="397"/>
      <c r="I13526" s="397"/>
      <c r="J13526" s="750"/>
      <c r="K13526" s="398"/>
      <c r="L13526" s="404"/>
      <c r="M13526" s="682"/>
    </row>
    <row r="13527" spans="5:13" ht="25.5" hidden="1" x14ac:dyDescent="0.2">
      <c r="F13527" s="503" t="s">
        <v>261</v>
      </c>
      <c r="G13527" s="504" t="s">
        <v>262</v>
      </c>
      <c r="H13527" s="397"/>
      <c r="I13527" s="397"/>
      <c r="J13527" s="750"/>
      <c r="K13527" s="398"/>
      <c r="L13527" s="404"/>
      <c r="M13527" s="682"/>
    </row>
    <row r="13528" spans="5:13" hidden="1" x14ac:dyDescent="0.2">
      <c r="F13528" s="503" t="s">
        <v>263</v>
      </c>
      <c r="G13528" s="504" t="s">
        <v>264</v>
      </c>
      <c r="H13528" s="403"/>
      <c r="I13528" s="403"/>
      <c r="J13528" s="750"/>
      <c r="K13528" s="404"/>
      <c r="L13528" s="404"/>
      <c r="M13528" s="682"/>
    </row>
    <row r="13529" spans="5:13" ht="13.5" hidden="1" thickBot="1" x14ac:dyDescent="0.25">
      <c r="G13529" s="505" t="s">
        <v>4436</v>
      </c>
      <c r="H13529" s="405">
        <f>SUM(H13513:H13528)</f>
        <v>0</v>
      </c>
      <c r="I13529" s="405"/>
      <c r="J13529" s="750"/>
      <c r="K13529" s="406">
        <f>SUM(K13514:K13528)</f>
        <v>0</v>
      </c>
      <c r="L13529" s="406"/>
      <c r="M13529" s="682"/>
    </row>
    <row r="13530" spans="5:13" hidden="1" collapsed="1" x14ac:dyDescent="0.2">
      <c r="E13530" s="500"/>
      <c r="F13530" s="498"/>
      <c r="G13530" s="506" t="s">
        <v>5099</v>
      </c>
      <c r="H13530" s="407"/>
      <c r="I13530" s="408"/>
      <c r="J13530" s="750"/>
      <c r="K13530" s="409"/>
      <c r="L13530" s="410"/>
      <c r="M13530" s="682"/>
    </row>
    <row r="13531" spans="5:13" hidden="1" x14ac:dyDescent="0.2">
      <c r="E13531" s="502"/>
      <c r="F13531" s="503" t="s">
        <v>234</v>
      </c>
      <c r="G13531" s="504" t="s">
        <v>235</v>
      </c>
      <c r="H13531" s="403">
        <f>SUM(H13452:H13511)</f>
        <v>0</v>
      </c>
      <c r="I13531" s="403"/>
      <c r="J13531" s="750"/>
      <c r="K13531" s="404"/>
      <c r="L13531" s="404"/>
      <c r="M13531" s="682"/>
    </row>
    <row r="13532" spans="5:13" hidden="1" x14ac:dyDescent="0.2">
      <c r="F13532" s="503" t="s">
        <v>236</v>
      </c>
      <c r="G13532" s="504" t="s">
        <v>237</v>
      </c>
      <c r="H13532" s="397"/>
      <c r="I13532" s="397"/>
      <c r="J13532" s="750"/>
      <c r="K13532" s="398"/>
      <c r="L13532" s="404"/>
      <c r="M13532" s="682"/>
    </row>
    <row r="13533" spans="5:13" hidden="1" x14ac:dyDescent="0.2">
      <c r="F13533" s="503" t="s">
        <v>238</v>
      </c>
      <c r="G13533" s="504" t="s">
        <v>239</v>
      </c>
      <c r="H13533" s="397"/>
      <c r="I13533" s="397"/>
      <c r="J13533" s="750"/>
      <c r="K13533" s="398"/>
      <c r="L13533" s="404"/>
      <c r="M13533" s="682"/>
    </row>
    <row r="13534" spans="5:13" hidden="1" x14ac:dyDescent="0.2">
      <c r="F13534" s="503" t="s">
        <v>240</v>
      </c>
      <c r="G13534" s="504" t="s">
        <v>241</v>
      </c>
      <c r="H13534" s="397"/>
      <c r="I13534" s="397"/>
      <c r="J13534" s="750"/>
      <c r="K13534" s="398"/>
      <c r="L13534" s="404"/>
      <c r="M13534" s="682"/>
    </row>
    <row r="13535" spans="5:13" hidden="1" x14ac:dyDescent="0.2">
      <c r="F13535" s="503" t="s">
        <v>242</v>
      </c>
      <c r="G13535" s="504" t="s">
        <v>243</v>
      </c>
      <c r="H13535" s="397"/>
      <c r="I13535" s="397"/>
      <c r="J13535" s="750"/>
      <c r="K13535" s="398"/>
      <c r="L13535" s="404"/>
      <c r="M13535" s="682"/>
    </row>
    <row r="13536" spans="5:13" hidden="1" x14ac:dyDescent="0.2">
      <c r="F13536" s="503" t="s">
        <v>244</v>
      </c>
      <c r="G13536" s="504" t="s">
        <v>245</v>
      </c>
      <c r="H13536" s="397"/>
      <c r="I13536" s="397"/>
      <c r="J13536" s="750"/>
      <c r="K13536" s="398"/>
      <c r="L13536" s="404"/>
      <c r="M13536" s="682"/>
    </row>
    <row r="13537" spans="3:13" hidden="1" x14ac:dyDescent="0.2">
      <c r="F13537" s="503" t="s">
        <v>246</v>
      </c>
      <c r="G13537" s="504" t="s">
        <v>247</v>
      </c>
      <c r="H13537" s="397"/>
      <c r="I13537" s="397"/>
      <c r="J13537" s="750"/>
      <c r="K13537" s="398"/>
      <c r="L13537" s="404"/>
      <c r="M13537" s="682"/>
    </row>
    <row r="13538" spans="3:13" ht="25.5" hidden="1" x14ac:dyDescent="0.2">
      <c r="F13538" s="503" t="s">
        <v>248</v>
      </c>
      <c r="G13538" s="504" t="s">
        <v>249</v>
      </c>
      <c r="H13538" s="397"/>
      <c r="I13538" s="397"/>
      <c r="J13538" s="750"/>
      <c r="K13538" s="398"/>
      <c r="L13538" s="404"/>
      <c r="M13538" s="682"/>
    </row>
    <row r="13539" spans="3:13" hidden="1" x14ac:dyDescent="0.2">
      <c r="F13539" s="503" t="s">
        <v>250</v>
      </c>
      <c r="G13539" s="504" t="s">
        <v>57</v>
      </c>
      <c r="H13539" s="397"/>
      <c r="I13539" s="397"/>
      <c r="J13539" s="750"/>
      <c r="K13539" s="398"/>
      <c r="L13539" s="404"/>
      <c r="M13539" s="682"/>
    </row>
    <row r="13540" spans="3:13" hidden="1" x14ac:dyDescent="0.2">
      <c r="F13540" s="503" t="s">
        <v>251</v>
      </c>
      <c r="G13540" s="504" t="s">
        <v>252</v>
      </c>
      <c r="H13540" s="397"/>
      <c r="I13540" s="397"/>
      <c r="J13540" s="750"/>
      <c r="K13540" s="398"/>
      <c r="L13540" s="404"/>
      <c r="M13540" s="682"/>
    </row>
    <row r="13541" spans="3:13" hidden="1" x14ac:dyDescent="0.2">
      <c r="F13541" s="503" t="s">
        <v>253</v>
      </c>
      <c r="G13541" s="504" t="s">
        <v>254</v>
      </c>
      <c r="H13541" s="397"/>
      <c r="I13541" s="397"/>
      <c r="J13541" s="750"/>
      <c r="K13541" s="398"/>
      <c r="L13541" s="404"/>
      <c r="M13541" s="682"/>
    </row>
    <row r="13542" spans="3:13" ht="25.5" hidden="1" x14ac:dyDescent="0.2">
      <c r="F13542" s="503" t="s">
        <v>255</v>
      </c>
      <c r="G13542" s="504" t="s">
        <v>256</v>
      </c>
      <c r="H13542" s="397"/>
      <c r="I13542" s="397"/>
      <c r="J13542" s="750"/>
      <c r="K13542" s="398"/>
      <c r="L13542" s="404"/>
      <c r="M13542" s="682"/>
    </row>
    <row r="13543" spans="3:13" ht="25.5" hidden="1" x14ac:dyDescent="0.2">
      <c r="F13543" s="503" t="s">
        <v>257</v>
      </c>
      <c r="G13543" s="504" t="s">
        <v>258</v>
      </c>
      <c r="H13543" s="397"/>
      <c r="I13543" s="397"/>
      <c r="J13543" s="750"/>
      <c r="K13543" s="398"/>
      <c r="L13543" s="404"/>
      <c r="M13543" s="682"/>
    </row>
    <row r="13544" spans="3:13" ht="25.5" hidden="1" x14ac:dyDescent="0.2">
      <c r="F13544" s="503" t="s">
        <v>259</v>
      </c>
      <c r="G13544" s="504" t="s">
        <v>260</v>
      </c>
      <c r="H13544" s="397"/>
      <c r="I13544" s="397"/>
      <c r="J13544" s="750"/>
      <c r="K13544" s="398"/>
      <c r="L13544" s="404"/>
      <c r="M13544" s="682"/>
    </row>
    <row r="13545" spans="3:13" ht="25.5" hidden="1" x14ac:dyDescent="0.2">
      <c r="F13545" s="503" t="s">
        <v>261</v>
      </c>
      <c r="G13545" s="504" t="s">
        <v>262</v>
      </c>
      <c r="H13545" s="397"/>
      <c r="I13545" s="397"/>
      <c r="J13545" s="750"/>
      <c r="K13545" s="398"/>
      <c r="L13545" s="404"/>
      <c r="M13545" s="682"/>
    </row>
    <row r="13546" spans="3:13" hidden="1" x14ac:dyDescent="0.2">
      <c r="F13546" s="503" t="s">
        <v>263</v>
      </c>
      <c r="G13546" s="504" t="s">
        <v>264</v>
      </c>
      <c r="H13546" s="403"/>
      <c r="I13546" s="403"/>
      <c r="J13546" s="750"/>
      <c r="K13546" s="404"/>
      <c r="L13546" s="404"/>
      <c r="M13546" s="682"/>
    </row>
    <row r="13547" spans="3:13" ht="13.5" hidden="1" thickBot="1" x14ac:dyDescent="0.25">
      <c r="G13547" s="505" t="s">
        <v>5100</v>
      </c>
      <c r="H13547" s="405">
        <f>SUM(H13531:H13546)</f>
        <v>0</v>
      </c>
      <c r="I13547" s="405"/>
      <c r="J13547" s="750"/>
      <c r="K13547" s="406">
        <f>SUM(K13532:K13546)</f>
        <v>0</v>
      </c>
      <c r="L13547" s="406"/>
      <c r="M13547" s="682"/>
    </row>
    <row r="13548" spans="3:13" hidden="1" x14ac:dyDescent="0.2">
      <c r="G13548" s="510"/>
      <c r="H13548" s="411"/>
      <c r="I13548" s="411"/>
      <c r="J13548" s="750"/>
      <c r="K13548" s="412"/>
      <c r="L13548" s="412"/>
      <c r="M13548" s="682"/>
    </row>
    <row r="13549" spans="3:13" hidden="1" x14ac:dyDescent="0.2">
      <c r="C13549" s="489" t="s">
        <v>4840</v>
      </c>
      <c r="D13549" s="490"/>
      <c r="G13549" s="508" t="s">
        <v>4232</v>
      </c>
      <c r="H13549" s="397"/>
      <c r="I13549" s="397"/>
      <c r="J13549" s="750"/>
      <c r="K13549" s="398"/>
      <c r="L13549" s="398"/>
      <c r="M13549" s="682"/>
    </row>
    <row r="13550" spans="3:13" hidden="1" x14ac:dyDescent="0.2">
      <c r="C13550" s="489"/>
      <c r="D13550" s="492">
        <v>820</v>
      </c>
      <c r="E13550" s="492"/>
      <c r="F13550" s="492"/>
      <c r="G13550" s="493" t="s">
        <v>207</v>
      </c>
      <c r="H13550" s="397"/>
      <c r="I13550" s="397"/>
      <c r="J13550" s="750"/>
      <c r="K13550" s="398"/>
      <c r="L13550" s="398"/>
      <c r="M13550" s="682"/>
    </row>
    <row r="13551" spans="3:13" hidden="1" x14ac:dyDescent="0.2">
      <c r="F13551" s="494">
        <v>411</v>
      </c>
      <c r="G13551" s="495" t="s">
        <v>4167</v>
      </c>
      <c r="H13551" s="397"/>
      <c r="I13551" s="397"/>
      <c r="J13551" s="750"/>
      <c r="K13551" s="398"/>
      <c r="L13551" s="398"/>
      <c r="M13551" s="682"/>
    </row>
    <row r="13552" spans="3:13" hidden="1" x14ac:dyDescent="0.2">
      <c r="F13552" s="494">
        <v>412</v>
      </c>
      <c r="G13552" s="496" t="s">
        <v>3764</v>
      </c>
      <c r="H13552" s="397"/>
      <c r="I13552" s="397"/>
      <c r="J13552" s="750"/>
      <c r="K13552" s="398"/>
      <c r="L13552" s="398"/>
      <c r="M13552" s="682"/>
    </row>
    <row r="13553" spans="6:13" hidden="1" x14ac:dyDescent="0.2">
      <c r="F13553" s="494">
        <v>413</v>
      </c>
      <c r="G13553" s="495" t="s">
        <v>4168</v>
      </c>
      <c r="H13553" s="397"/>
      <c r="I13553" s="397"/>
      <c r="J13553" s="750"/>
      <c r="K13553" s="398"/>
      <c r="L13553" s="398"/>
      <c r="M13553" s="682"/>
    </row>
    <row r="13554" spans="6:13" hidden="1" x14ac:dyDescent="0.2">
      <c r="F13554" s="494">
        <v>414</v>
      </c>
      <c r="G13554" s="495" t="s">
        <v>3767</v>
      </c>
      <c r="H13554" s="397"/>
      <c r="I13554" s="397"/>
      <c r="J13554" s="750"/>
      <c r="K13554" s="398"/>
      <c r="L13554" s="398"/>
      <c r="M13554" s="682"/>
    </row>
    <row r="13555" spans="6:13" hidden="1" x14ac:dyDescent="0.2">
      <c r="F13555" s="494">
        <v>415</v>
      </c>
      <c r="G13555" s="495" t="s">
        <v>4177</v>
      </c>
      <c r="H13555" s="397"/>
      <c r="I13555" s="397"/>
      <c r="J13555" s="750"/>
      <c r="K13555" s="398"/>
      <c r="L13555" s="398"/>
      <c r="M13555" s="682"/>
    </row>
    <row r="13556" spans="6:13" ht="25.5" hidden="1" x14ac:dyDescent="0.2">
      <c r="F13556" s="494">
        <v>416</v>
      </c>
      <c r="G13556" s="495" t="s">
        <v>4178</v>
      </c>
      <c r="H13556" s="397"/>
      <c r="I13556" s="397"/>
      <c r="J13556" s="750"/>
      <c r="K13556" s="398"/>
      <c r="L13556" s="398"/>
      <c r="M13556" s="682"/>
    </row>
    <row r="13557" spans="6:13" hidden="1" x14ac:dyDescent="0.2">
      <c r="F13557" s="494">
        <v>417</v>
      </c>
      <c r="G13557" s="495" t="s">
        <v>4179</v>
      </c>
      <c r="H13557" s="397"/>
      <c r="I13557" s="397"/>
      <c r="J13557" s="750"/>
      <c r="K13557" s="398"/>
      <c r="L13557" s="398"/>
      <c r="M13557" s="682"/>
    </row>
    <row r="13558" spans="6:13" hidden="1" x14ac:dyDescent="0.2">
      <c r="F13558" s="494">
        <v>418</v>
      </c>
      <c r="G13558" s="495" t="s">
        <v>3773</v>
      </c>
      <c r="H13558" s="397"/>
      <c r="I13558" s="397"/>
      <c r="J13558" s="750"/>
      <c r="K13558" s="398"/>
      <c r="L13558" s="398"/>
      <c r="M13558" s="682"/>
    </row>
    <row r="13559" spans="6:13" hidden="1" x14ac:dyDescent="0.2">
      <c r="F13559" s="494">
        <v>421</v>
      </c>
      <c r="G13559" s="495" t="s">
        <v>3777</v>
      </c>
      <c r="H13559" s="397"/>
      <c r="I13559" s="397"/>
      <c r="J13559" s="750"/>
      <c r="K13559" s="398"/>
      <c r="L13559" s="398"/>
      <c r="M13559" s="682"/>
    </row>
    <row r="13560" spans="6:13" hidden="1" x14ac:dyDescent="0.2">
      <c r="F13560" s="494">
        <v>422</v>
      </c>
      <c r="G13560" s="495" t="s">
        <v>3778</v>
      </c>
      <c r="H13560" s="397"/>
      <c r="I13560" s="397"/>
      <c r="J13560" s="750"/>
      <c r="K13560" s="398"/>
      <c r="L13560" s="398"/>
      <c r="M13560" s="682"/>
    </row>
    <row r="13561" spans="6:13" hidden="1" x14ac:dyDescent="0.2">
      <c r="F13561" s="494">
        <v>423</v>
      </c>
      <c r="G13561" s="495" t="s">
        <v>3779</v>
      </c>
      <c r="H13561" s="397"/>
      <c r="I13561" s="397"/>
      <c r="J13561" s="750"/>
      <c r="K13561" s="398"/>
      <c r="L13561" s="398"/>
      <c r="M13561" s="682"/>
    </row>
    <row r="13562" spans="6:13" hidden="1" x14ac:dyDescent="0.2">
      <c r="F13562" s="494">
        <v>424</v>
      </c>
      <c r="G13562" s="495" t="s">
        <v>3781</v>
      </c>
      <c r="H13562" s="397"/>
      <c r="I13562" s="397"/>
      <c r="J13562" s="750"/>
      <c r="K13562" s="398"/>
      <c r="L13562" s="398"/>
      <c r="M13562" s="682"/>
    </row>
    <row r="13563" spans="6:13" hidden="1" x14ac:dyDescent="0.2">
      <c r="F13563" s="494">
        <v>425</v>
      </c>
      <c r="G13563" s="495" t="s">
        <v>4180</v>
      </c>
      <c r="H13563" s="397"/>
      <c r="I13563" s="397"/>
      <c r="J13563" s="750"/>
      <c r="K13563" s="398"/>
      <c r="L13563" s="398"/>
      <c r="M13563" s="682"/>
    </row>
    <row r="13564" spans="6:13" hidden="1" x14ac:dyDescent="0.2">
      <c r="F13564" s="494">
        <v>426</v>
      </c>
      <c r="G13564" s="495" t="s">
        <v>3785</v>
      </c>
      <c r="H13564" s="397"/>
      <c r="I13564" s="397"/>
      <c r="J13564" s="750"/>
      <c r="K13564" s="398"/>
      <c r="L13564" s="398"/>
      <c r="M13564" s="682"/>
    </row>
    <row r="13565" spans="6:13" hidden="1" x14ac:dyDescent="0.2">
      <c r="F13565" s="494">
        <v>431</v>
      </c>
      <c r="G13565" s="495" t="s">
        <v>4181</v>
      </c>
      <c r="H13565" s="397"/>
      <c r="I13565" s="397"/>
      <c r="J13565" s="750"/>
      <c r="K13565" s="398"/>
      <c r="L13565" s="398"/>
      <c r="M13565" s="682"/>
    </row>
    <row r="13566" spans="6:13" hidden="1" x14ac:dyDescent="0.2">
      <c r="F13566" s="494">
        <v>432</v>
      </c>
      <c r="G13566" s="495" t="s">
        <v>4182</v>
      </c>
      <c r="H13566" s="397"/>
      <c r="I13566" s="397"/>
      <c r="J13566" s="750"/>
      <c r="K13566" s="398"/>
      <c r="L13566" s="398"/>
      <c r="M13566" s="682"/>
    </row>
    <row r="13567" spans="6:13" hidden="1" x14ac:dyDescent="0.2">
      <c r="F13567" s="494">
        <v>433</v>
      </c>
      <c r="G13567" s="495" t="s">
        <v>4183</v>
      </c>
      <c r="H13567" s="397"/>
      <c r="I13567" s="397"/>
      <c r="J13567" s="750"/>
      <c r="K13567" s="398"/>
      <c r="L13567" s="398"/>
      <c r="M13567" s="682"/>
    </row>
    <row r="13568" spans="6:13" hidden="1" x14ac:dyDescent="0.2">
      <c r="F13568" s="494">
        <v>434</v>
      </c>
      <c r="G13568" s="495" t="s">
        <v>4184</v>
      </c>
      <c r="H13568" s="397"/>
      <c r="I13568" s="397"/>
      <c r="J13568" s="750"/>
      <c r="K13568" s="398"/>
      <c r="L13568" s="398"/>
      <c r="M13568" s="682"/>
    </row>
    <row r="13569" spans="6:13" hidden="1" x14ac:dyDescent="0.2">
      <c r="F13569" s="494">
        <v>435</v>
      </c>
      <c r="G13569" s="495" t="s">
        <v>3792</v>
      </c>
      <c r="H13569" s="397"/>
      <c r="I13569" s="397"/>
      <c r="J13569" s="750"/>
      <c r="K13569" s="398"/>
      <c r="L13569" s="398"/>
      <c r="M13569" s="682"/>
    </row>
    <row r="13570" spans="6:13" hidden="1" x14ac:dyDescent="0.2">
      <c r="F13570" s="494">
        <v>441</v>
      </c>
      <c r="G13570" s="495" t="s">
        <v>4185</v>
      </c>
      <c r="H13570" s="397"/>
      <c r="I13570" s="397"/>
      <c r="J13570" s="750"/>
      <c r="K13570" s="398"/>
      <c r="L13570" s="398"/>
      <c r="M13570" s="682"/>
    </row>
    <row r="13571" spans="6:13" hidden="1" x14ac:dyDescent="0.2">
      <c r="F13571" s="494">
        <v>442</v>
      </c>
      <c r="G13571" s="495" t="s">
        <v>4186</v>
      </c>
      <c r="H13571" s="397"/>
      <c r="I13571" s="397"/>
      <c r="J13571" s="750"/>
      <c r="K13571" s="398"/>
      <c r="L13571" s="398"/>
      <c r="M13571" s="682"/>
    </row>
    <row r="13572" spans="6:13" hidden="1" x14ac:dyDescent="0.2">
      <c r="F13572" s="494">
        <v>443</v>
      </c>
      <c r="G13572" s="495" t="s">
        <v>3797</v>
      </c>
      <c r="H13572" s="397"/>
      <c r="I13572" s="397"/>
      <c r="J13572" s="750"/>
      <c r="K13572" s="398"/>
      <c r="L13572" s="398"/>
      <c r="M13572" s="682"/>
    </row>
    <row r="13573" spans="6:13" hidden="1" x14ac:dyDescent="0.2">
      <c r="F13573" s="494">
        <v>444</v>
      </c>
      <c r="G13573" s="495" t="s">
        <v>3798</v>
      </c>
      <c r="H13573" s="397"/>
      <c r="I13573" s="397"/>
      <c r="J13573" s="750"/>
      <c r="K13573" s="398"/>
      <c r="L13573" s="398"/>
      <c r="M13573" s="682"/>
    </row>
    <row r="13574" spans="6:13" ht="25.5" hidden="1" x14ac:dyDescent="0.2">
      <c r="F13574" s="494">
        <v>4511</v>
      </c>
      <c r="G13574" s="466" t="s">
        <v>1692</v>
      </c>
      <c r="H13574" s="397"/>
      <c r="I13574" s="397"/>
      <c r="J13574" s="750"/>
      <c r="K13574" s="398"/>
      <c r="L13574" s="398"/>
      <c r="M13574" s="682"/>
    </row>
    <row r="13575" spans="6:13" ht="25.5" hidden="1" x14ac:dyDescent="0.2">
      <c r="F13575" s="494">
        <v>4512</v>
      </c>
      <c r="G13575" s="466" t="s">
        <v>1701</v>
      </c>
      <c r="H13575" s="397"/>
      <c r="I13575" s="397"/>
      <c r="J13575" s="750"/>
      <c r="K13575" s="398"/>
      <c r="L13575" s="398"/>
      <c r="M13575" s="682"/>
    </row>
    <row r="13576" spans="6:13" ht="25.5" hidden="1" x14ac:dyDescent="0.2">
      <c r="F13576" s="494">
        <v>452</v>
      </c>
      <c r="G13576" s="495" t="s">
        <v>4187</v>
      </c>
      <c r="H13576" s="397"/>
      <c r="I13576" s="397"/>
      <c r="J13576" s="750"/>
      <c r="K13576" s="398"/>
      <c r="L13576" s="398"/>
      <c r="M13576" s="682"/>
    </row>
    <row r="13577" spans="6:13" ht="25.5" hidden="1" x14ac:dyDescent="0.2">
      <c r="F13577" s="494">
        <v>453</v>
      </c>
      <c r="G13577" s="495" t="s">
        <v>4188</v>
      </c>
      <c r="H13577" s="397"/>
      <c r="I13577" s="397"/>
      <c r="J13577" s="750"/>
      <c r="K13577" s="398"/>
      <c r="L13577" s="398"/>
      <c r="M13577" s="682"/>
    </row>
    <row r="13578" spans="6:13" hidden="1" x14ac:dyDescent="0.2">
      <c r="F13578" s="494">
        <v>454</v>
      </c>
      <c r="G13578" s="495" t="s">
        <v>3803</v>
      </c>
      <c r="H13578" s="397"/>
      <c r="I13578" s="397"/>
      <c r="J13578" s="750"/>
      <c r="K13578" s="398"/>
      <c r="L13578" s="398"/>
      <c r="M13578" s="682"/>
    </row>
    <row r="13579" spans="6:13" hidden="1" x14ac:dyDescent="0.2">
      <c r="F13579" s="494">
        <v>461</v>
      </c>
      <c r="G13579" s="495" t="s">
        <v>4169</v>
      </c>
      <c r="H13579" s="397"/>
      <c r="I13579" s="397"/>
      <c r="J13579" s="750"/>
      <c r="K13579" s="398"/>
      <c r="L13579" s="398"/>
      <c r="M13579" s="682"/>
    </row>
    <row r="13580" spans="6:13" ht="25.5" hidden="1" x14ac:dyDescent="0.2">
      <c r="F13580" s="494">
        <v>462</v>
      </c>
      <c r="G13580" s="495" t="s">
        <v>3806</v>
      </c>
      <c r="H13580" s="397"/>
      <c r="I13580" s="397"/>
      <c r="J13580" s="750"/>
      <c r="K13580" s="398"/>
      <c r="L13580" s="398"/>
      <c r="M13580" s="682"/>
    </row>
    <row r="13581" spans="6:13" hidden="1" x14ac:dyDescent="0.2">
      <c r="F13581" s="494">
        <v>4631</v>
      </c>
      <c r="G13581" s="495" t="s">
        <v>3807</v>
      </c>
      <c r="H13581" s="397"/>
      <c r="I13581" s="397"/>
      <c r="J13581" s="750"/>
      <c r="K13581" s="398"/>
      <c r="L13581" s="398"/>
      <c r="M13581" s="682"/>
    </row>
    <row r="13582" spans="6:13" hidden="1" x14ac:dyDescent="0.2">
      <c r="F13582" s="494">
        <v>4632</v>
      </c>
      <c r="G13582" s="495" t="s">
        <v>3808</v>
      </c>
      <c r="H13582" s="397"/>
      <c r="I13582" s="397"/>
      <c r="J13582" s="750"/>
      <c r="K13582" s="398"/>
      <c r="L13582" s="398"/>
      <c r="M13582" s="682"/>
    </row>
    <row r="13583" spans="6:13" ht="25.5" hidden="1" x14ac:dyDescent="0.2">
      <c r="F13583" s="494">
        <v>464</v>
      </c>
      <c r="G13583" s="495" t="s">
        <v>3809</v>
      </c>
      <c r="H13583" s="397"/>
      <c r="I13583" s="397"/>
      <c r="J13583" s="750"/>
      <c r="K13583" s="398"/>
      <c r="L13583" s="398"/>
      <c r="M13583" s="682"/>
    </row>
    <row r="13584" spans="6:13" hidden="1" x14ac:dyDescent="0.2">
      <c r="F13584" s="494">
        <v>465</v>
      </c>
      <c r="G13584" s="495" t="s">
        <v>4170</v>
      </c>
      <c r="H13584" s="397"/>
      <c r="I13584" s="397"/>
      <c r="J13584" s="750"/>
      <c r="K13584" s="398"/>
      <c r="L13584" s="398"/>
      <c r="M13584" s="682"/>
    </row>
    <row r="13585" spans="6:13" hidden="1" x14ac:dyDescent="0.2">
      <c r="F13585" s="494">
        <v>472</v>
      </c>
      <c r="G13585" s="495" t="s">
        <v>3813</v>
      </c>
      <c r="H13585" s="397"/>
      <c r="I13585" s="397"/>
      <c r="J13585" s="750"/>
      <c r="K13585" s="398"/>
      <c r="L13585" s="398"/>
      <c r="M13585" s="682"/>
    </row>
    <row r="13586" spans="6:13" hidden="1" x14ac:dyDescent="0.2">
      <c r="F13586" s="494">
        <v>481</v>
      </c>
      <c r="G13586" s="495" t="s">
        <v>4189</v>
      </c>
      <c r="H13586" s="397"/>
      <c r="I13586" s="397"/>
      <c r="J13586" s="750"/>
      <c r="K13586" s="398"/>
      <c r="L13586" s="398"/>
      <c r="M13586" s="682"/>
    </row>
    <row r="13587" spans="6:13" hidden="1" x14ac:dyDescent="0.2">
      <c r="F13587" s="494">
        <v>482</v>
      </c>
      <c r="G13587" s="495" t="s">
        <v>4190</v>
      </c>
      <c r="H13587" s="397"/>
      <c r="I13587" s="397"/>
      <c r="J13587" s="750"/>
      <c r="K13587" s="398"/>
      <c r="L13587" s="398"/>
      <c r="M13587" s="682"/>
    </row>
    <row r="13588" spans="6:13" hidden="1" x14ac:dyDescent="0.2">
      <c r="F13588" s="494">
        <v>483</v>
      </c>
      <c r="G13588" s="497" t="s">
        <v>4191</v>
      </c>
      <c r="H13588" s="397"/>
      <c r="I13588" s="397"/>
      <c r="J13588" s="750"/>
      <c r="K13588" s="398"/>
      <c r="L13588" s="398"/>
      <c r="M13588" s="682"/>
    </row>
    <row r="13589" spans="6:13" ht="38.25" hidden="1" x14ac:dyDescent="0.2">
      <c r="F13589" s="494">
        <v>484</v>
      </c>
      <c r="G13589" s="495" t="s">
        <v>4192</v>
      </c>
      <c r="H13589" s="397"/>
      <c r="I13589" s="397"/>
      <c r="J13589" s="750"/>
      <c r="K13589" s="398"/>
      <c r="L13589" s="398"/>
      <c r="M13589" s="682"/>
    </row>
    <row r="13590" spans="6:13" ht="25.5" hidden="1" x14ac:dyDescent="0.2">
      <c r="F13590" s="494">
        <v>485</v>
      </c>
      <c r="G13590" s="495" t="s">
        <v>4193</v>
      </c>
      <c r="H13590" s="397"/>
      <c r="I13590" s="397"/>
      <c r="J13590" s="750"/>
      <c r="K13590" s="398"/>
      <c r="L13590" s="398"/>
      <c r="M13590" s="682"/>
    </row>
    <row r="13591" spans="6:13" ht="25.5" hidden="1" x14ac:dyDescent="0.2">
      <c r="F13591" s="494">
        <v>489</v>
      </c>
      <c r="G13591" s="495" t="s">
        <v>3821</v>
      </c>
      <c r="H13591" s="397"/>
      <c r="I13591" s="397"/>
      <c r="J13591" s="750"/>
      <c r="K13591" s="398"/>
      <c r="L13591" s="398"/>
      <c r="M13591" s="682"/>
    </row>
    <row r="13592" spans="6:13" ht="25.5" hidden="1" x14ac:dyDescent="0.2">
      <c r="F13592" s="494">
        <v>494</v>
      </c>
      <c r="G13592" s="495" t="s">
        <v>4171</v>
      </c>
      <c r="H13592" s="397"/>
      <c r="I13592" s="397"/>
      <c r="J13592" s="750"/>
      <c r="K13592" s="398"/>
      <c r="L13592" s="398"/>
      <c r="M13592" s="682"/>
    </row>
    <row r="13593" spans="6:13" ht="25.5" hidden="1" x14ac:dyDescent="0.2">
      <c r="F13593" s="494">
        <v>495</v>
      </c>
      <c r="G13593" s="495" t="s">
        <v>4172</v>
      </c>
      <c r="H13593" s="397"/>
      <c r="I13593" s="397"/>
      <c r="J13593" s="750"/>
      <c r="K13593" s="398"/>
      <c r="L13593" s="398"/>
      <c r="M13593" s="682"/>
    </row>
    <row r="13594" spans="6:13" ht="38.25" hidden="1" x14ac:dyDescent="0.2">
      <c r="F13594" s="494">
        <v>496</v>
      </c>
      <c r="G13594" s="495" t="s">
        <v>4173</v>
      </c>
      <c r="H13594" s="397"/>
      <c r="I13594" s="397"/>
      <c r="J13594" s="750"/>
      <c r="K13594" s="398"/>
      <c r="L13594" s="398"/>
      <c r="M13594" s="682"/>
    </row>
    <row r="13595" spans="6:13" ht="25.5" hidden="1" x14ac:dyDescent="0.2">
      <c r="F13595" s="494">
        <v>499</v>
      </c>
      <c r="G13595" s="495" t="s">
        <v>4174</v>
      </c>
      <c r="H13595" s="397"/>
      <c r="I13595" s="397"/>
      <c r="J13595" s="750"/>
      <c r="K13595" s="398"/>
      <c r="L13595" s="398"/>
      <c r="M13595" s="682"/>
    </row>
    <row r="13596" spans="6:13" hidden="1" x14ac:dyDescent="0.2">
      <c r="F13596" s="494">
        <v>511</v>
      </c>
      <c r="G13596" s="497" t="s">
        <v>4194</v>
      </c>
      <c r="H13596" s="397"/>
      <c r="I13596" s="397"/>
      <c r="J13596" s="750"/>
      <c r="K13596" s="398"/>
      <c r="L13596" s="398"/>
      <c r="M13596" s="682"/>
    </row>
    <row r="13597" spans="6:13" hidden="1" x14ac:dyDescent="0.2">
      <c r="F13597" s="494">
        <v>512</v>
      </c>
      <c r="G13597" s="497" t="s">
        <v>4195</v>
      </c>
      <c r="H13597" s="397"/>
      <c r="I13597" s="397"/>
      <c r="J13597" s="750"/>
      <c r="K13597" s="398"/>
      <c r="L13597" s="398"/>
      <c r="M13597" s="682"/>
    </row>
    <row r="13598" spans="6:13" hidden="1" x14ac:dyDescent="0.2">
      <c r="F13598" s="494">
        <v>513</v>
      </c>
      <c r="G13598" s="497" t="s">
        <v>4196</v>
      </c>
      <c r="H13598" s="397"/>
      <c r="I13598" s="397"/>
      <c r="J13598" s="750"/>
      <c r="K13598" s="398"/>
      <c r="L13598" s="398"/>
      <c r="M13598" s="682"/>
    </row>
    <row r="13599" spans="6:13" hidden="1" x14ac:dyDescent="0.2">
      <c r="F13599" s="494">
        <v>514</v>
      </c>
      <c r="G13599" s="495" t="s">
        <v>4197</v>
      </c>
      <c r="H13599" s="397"/>
      <c r="I13599" s="397"/>
      <c r="J13599" s="750"/>
      <c r="K13599" s="398"/>
      <c r="L13599" s="398"/>
      <c r="M13599" s="682"/>
    </row>
    <row r="13600" spans="6:13" hidden="1" x14ac:dyDescent="0.2">
      <c r="F13600" s="494">
        <v>515</v>
      </c>
      <c r="G13600" s="495" t="s">
        <v>3832</v>
      </c>
      <c r="H13600" s="397"/>
      <c r="I13600" s="397"/>
      <c r="J13600" s="750"/>
      <c r="K13600" s="398"/>
      <c r="L13600" s="398"/>
      <c r="M13600" s="682"/>
    </row>
    <row r="13601" spans="5:13" hidden="1" x14ac:dyDescent="0.2">
      <c r="F13601" s="494">
        <v>521</v>
      </c>
      <c r="G13601" s="495" t="s">
        <v>4198</v>
      </c>
      <c r="H13601" s="397"/>
      <c r="I13601" s="397"/>
      <c r="J13601" s="750"/>
      <c r="K13601" s="398"/>
      <c r="L13601" s="398"/>
      <c r="M13601" s="682"/>
    </row>
    <row r="13602" spans="5:13" hidden="1" x14ac:dyDescent="0.2">
      <c r="F13602" s="494">
        <v>522</v>
      </c>
      <c r="G13602" s="495" t="s">
        <v>4199</v>
      </c>
      <c r="H13602" s="397"/>
      <c r="I13602" s="397"/>
      <c r="J13602" s="750"/>
      <c r="K13602" s="398"/>
      <c r="L13602" s="398"/>
      <c r="M13602" s="682"/>
    </row>
    <row r="13603" spans="5:13" hidden="1" x14ac:dyDescent="0.2">
      <c r="F13603" s="494">
        <v>523</v>
      </c>
      <c r="G13603" s="495" t="s">
        <v>3837</v>
      </c>
      <c r="H13603" s="397"/>
      <c r="I13603" s="397"/>
      <c r="J13603" s="750"/>
      <c r="K13603" s="398"/>
      <c r="L13603" s="398"/>
      <c r="M13603" s="682"/>
    </row>
    <row r="13604" spans="5:13" hidden="1" x14ac:dyDescent="0.2">
      <c r="F13604" s="494">
        <v>531</v>
      </c>
      <c r="G13604" s="496" t="s">
        <v>4175</v>
      </c>
      <c r="H13604" s="397"/>
      <c r="I13604" s="397"/>
      <c r="J13604" s="750"/>
      <c r="K13604" s="398"/>
      <c r="L13604" s="398"/>
      <c r="M13604" s="682"/>
    </row>
    <row r="13605" spans="5:13" hidden="1" x14ac:dyDescent="0.2">
      <c r="F13605" s="494">
        <v>541</v>
      </c>
      <c r="G13605" s="495" t="s">
        <v>4200</v>
      </c>
      <c r="H13605" s="397"/>
      <c r="I13605" s="397"/>
      <c r="J13605" s="750"/>
      <c r="K13605" s="398"/>
      <c r="L13605" s="398"/>
      <c r="M13605" s="682"/>
    </row>
    <row r="13606" spans="5:13" hidden="1" x14ac:dyDescent="0.2">
      <c r="F13606" s="494">
        <v>542</v>
      </c>
      <c r="G13606" s="495" t="s">
        <v>4201</v>
      </c>
      <c r="H13606" s="397"/>
      <c r="I13606" s="397"/>
      <c r="J13606" s="750"/>
      <c r="K13606" s="398"/>
      <c r="L13606" s="398"/>
      <c r="M13606" s="682"/>
    </row>
    <row r="13607" spans="5:13" hidden="1" x14ac:dyDescent="0.2">
      <c r="F13607" s="494">
        <v>543</v>
      </c>
      <c r="G13607" s="495" t="s">
        <v>3842</v>
      </c>
      <c r="H13607" s="397"/>
      <c r="I13607" s="397"/>
      <c r="J13607" s="750"/>
      <c r="K13607" s="398"/>
      <c r="L13607" s="398"/>
      <c r="M13607" s="682"/>
    </row>
    <row r="13608" spans="5:13" ht="38.25" hidden="1" x14ac:dyDescent="0.2">
      <c r="F13608" s="494">
        <v>551</v>
      </c>
      <c r="G13608" s="495" t="s">
        <v>4176</v>
      </c>
      <c r="H13608" s="397"/>
      <c r="I13608" s="397"/>
      <c r="J13608" s="750"/>
      <c r="K13608" s="398"/>
      <c r="L13608" s="398"/>
      <c r="M13608" s="682"/>
    </row>
    <row r="13609" spans="5:13" hidden="1" x14ac:dyDescent="0.2">
      <c r="F13609" s="498">
        <v>611</v>
      </c>
      <c r="G13609" s="499" t="s">
        <v>3848</v>
      </c>
      <c r="H13609" s="397"/>
      <c r="I13609" s="397"/>
      <c r="J13609" s="750"/>
      <c r="K13609" s="398"/>
      <c r="L13609" s="398"/>
      <c r="M13609" s="682"/>
    </row>
    <row r="13610" spans="5:13" hidden="1" x14ac:dyDescent="0.2">
      <c r="F13610" s="498">
        <v>620</v>
      </c>
      <c r="G13610" s="499" t="s">
        <v>88</v>
      </c>
      <c r="H13610" s="397"/>
      <c r="I13610" s="397"/>
      <c r="J13610" s="750"/>
      <c r="K13610" s="398"/>
      <c r="L13610" s="398"/>
      <c r="M13610" s="682"/>
    </row>
    <row r="13611" spans="5:13" hidden="1" x14ac:dyDescent="0.2">
      <c r="E13611" s="500"/>
      <c r="F13611" s="498"/>
      <c r="G13611" s="509" t="s">
        <v>4435</v>
      </c>
      <c r="H13611" s="400"/>
      <c r="I13611" s="400"/>
      <c r="J13611" s="750"/>
      <c r="K13611" s="401"/>
      <c r="L13611" s="402"/>
      <c r="M13611" s="682"/>
    </row>
    <row r="13612" spans="5:13" hidden="1" x14ac:dyDescent="0.2">
      <c r="E13612" s="502"/>
      <c r="F13612" s="503" t="s">
        <v>234</v>
      </c>
      <c r="G13612" s="504" t="s">
        <v>235</v>
      </c>
      <c r="H13612" s="403">
        <f>SUM(H13551:H13610)</f>
        <v>0</v>
      </c>
      <c r="I13612" s="403"/>
      <c r="J13612" s="750"/>
      <c r="K13612" s="404"/>
      <c r="L13612" s="404"/>
      <c r="M13612" s="682"/>
    </row>
    <row r="13613" spans="5:13" hidden="1" x14ac:dyDescent="0.2">
      <c r="F13613" s="503" t="s">
        <v>236</v>
      </c>
      <c r="G13613" s="504" t="s">
        <v>237</v>
      </c>
      <c r="H13613" s="397"/>
      <c r="I13613" s="397"/>
      <c r="J13613" s="750"/>
      <c r="K13613" s="398"/>
      <c r="L13613" s="404"/>
      <c r="M13613" s="682"/>
    </row>
    <row r="13614" spans="5:13" hidden="1" x14ac:dyDescent="0.2">
      <c r="F13614" s="503" t="s">
        <v>238</v>
      </c>
      <c r="G13614" s="504" t="s">
        <v>239</v>
      </c>
      <c r="H13614" s="397"/>
      <c r="I13614" s="397"/>
      <c r="J13614" s="750"/>
      <c r="K13614" s="398"/>
      <c r="L13614" s="404"/>
      <c r="M13614" s="682"/>
    </row>
    <row r="13615" spans="5:13" hidden="1" x14ac:dyDescent="0.2">
      <c r="F13615" s="503" t="s">
        <v>240</v>
      </c>
      <c r="G13615" s="504" t="s">
        <v>241</v>
      </c>
      <c r="H13615" s="397"/>
      <c r="I13615" s="397"/>
      <c r="J13615" s="750"/>
      <c r="K13615" s="398"/>
      <c r="L13615" s="404"/>
      <c r="M13615" s="682"/>
    </row>
    <row r="13616" spans="5:13" hidden="1" x14ac:dyDescent="0.2">
      <c r="F13616" s="503" t="s">
        <v>242</v>
      </c>
      <c r="G13616" s="504" t="s">
        <v>243</v>
      </c>
      <c r="H13616" s="397"/>
      <c r="I13616" s="397"/>
      <c r="J13616" s="750"/>
      <c r="K13616" s="398"/>
      <c r="L13616" s="404"/>
      <c r="M13616" s="682"/>
    </row>
    <row r="13617" spans="5:13" hidden="1" x14ac:dyDescent="0.2">
      <c r="F13617" s="503" t="s">
        <v>244</v>
      </c>
      <c r="G13617" s="504" t="s">
        <v>245</v>
      </c>
      <c r="H13617" s="397"/>
      <c r="I13617" s="397"/>
      <c r="J13617" s="750"/>
      <c r="K13617" s="398"/>
      <c r="L13617" s="404"/>
      <c r="M13617" s="682"/>
    </row>
    <row r="13618" spans="5:13" hidden="1" x14ac:dyDescent="0.2">
      <c r="F13618" s="503" t="s">
        <v>246</v>
      </c>
      <c r="G13618" s="504" t="s">
        <v>247</v>
      </c>
      <c r="H13618" s="397"/>
      <c r="I13618" s="397"/>
      <c r="J13618" s="750"/>
      <c r="K13618" s="398"/>
      <c r="L13618" s="404"/>
      <c r="M13618" s="682"/>
    </row>
    <row r="13619" spans="5:13" ht="25.5" hidden="1" x14ac:dyDescent="0.2">
      <c r="F13619" s="503" t="s">
        <v>248</v>
      </c>
      <c r="G13619" s="504" t="s">
        <v>249</v>
      </c>
      <c r="H13619" s="397"/>
      <c r="I13619" s="397"/>
      <c r="J13619" s="750"/>
      <c r="K13619" s="398"/>
      <c r="L13619" s="404"/>
      <c r="M13619" s="682"/>
    </row>
    <row r="13620" spans="5:13" hidden="1" x14ac:dyDescent="0.2">
      <c r="F13620" s="503" t="s">
        <v>250</v>
      </c>
      <c r="G13620" s="504" t="s">
        <v>57</v>
      </c>
      <c r="H13620" s="397"/>
      <c r="I13620" s="397"/>
      <c r="J13620" s="750"/>
      <c r="K13620" s="398"/>
      <c r="L13620" s="404"/>
      <c r="M13620" s="682"/>
    </row>
    <row r="13621" spans="5:13" hidden="1" x14ac:dyDescent="0.2">
      <c r="F13621" s="503" t="s">
        <v>251</v>
      </c>
      <c r="G13621" s="504" t="s">
        <v>252</v>
      </c>
      <c r="H13621" s="397"/>
      <c r="I13621" s="397"/>
      <c r="J13621" s="750"/>
      <c r="K13621" s="398"/>
      <c r="L13621" s="404"/>
      <c r="M13621" s="682"/>
    </row>
    <row r="13622" spans="5:13" hidden="1" x14ac:dyDescent="0.2">
      <c r="F13622" s="503" t="s">
        <v>253</v>
      </c>
      <c r="G13622" s="504" t="s">
        <v>254</v>
      </c>
      <c r="H13622" s="397"/>
      <c r="I13622" s="397"/>
      <c r="J13622" s="750"/>
      <c r="K13622" s="398"/>
      <c r="L13622" s="404"/>
      <c r="M13622" s="682"/>
    </row>
    <row r="13623" spans="5:13" ht="25.5" hidden="1" x14ac:dyDescent="0.2">
      <c r="F13623" s="503" t="s">
        <v>255</v>
      </c>
      <c r="G13623" s="504" t="s">
        <v>256</v>
      </c>
      <c r="H13623" s="397"/>
      <c r="I13623" s="397"/>
      <c r="J13623" s="750"/>
      <c r="K13623" s="398"/>
      <c r="L13623" s="404"/>
      <c r="M13623" s="682"/>
    </row>
    <row r="13624" spans="5:13" ht="25.5" hidden="1" x14ac:dyDescent="0.2">
      <c r="F13624" s="503" t="s">
        <v>257</v>
      </c>
      <c r="G13624" s="504" t="s">
        <v>258</v>
      </c>
      <c r="H13624" s="397"/>
      <c r="I13624" s="397"/>
      <c r="J13624" s="750"/>
      <c r="K13624" s="398"/>
      <c r="L13624" s="404"/>
      <c r="M13624" s="682"/>
    </row>
    <row r="13625" spans="5:13" ht="25.5" hidden="1" x14ac:dyDescent="0.2">
      <c r="F13625" s="503" t="s">
        <v>259</v>
      </c>
      <c r="G13625" s="504" t="s">
        <v>260</v>
      </c>
      <c r="H13625" s="397"/>
      <c r="I13625" s="397"/>
      <c r="J13625" s="750"/>
      <c r="K13625" s="398"/>
      <c r="L13625" s="404"/>
      <c r="M13625" s="682"/>
    </row>
    <row r="13626" spans="5:13" ht="25.5" hidden="1" x14ac:dyDescent="0.2">
      <c r="F13626" s="503" t="s">
        <v>261</v>
      </c>
      <c r="G13626" s="504" t="s">
        <v>262</v>
      </c>
      <c r="H13626" s="397"/>
      <c r="I13626" s="397"/>
      <c r="J13626" s="750"/>
      <c r="K13626" s="398"/>
      <c r="L13626" s="404"/>
      <c r="M13626" s="682"/>
    </row>
    <row r="13627" spans="5:13" hidden="1" x14ac:dyDescent="0.2">
      <c r="F13627" s="503" t="s">
        <v>263</v>
      </c>
      <c r="G13627" s="504" t="s">
        <v>264</v>
      </c>
      <c r="H13627" s="403"/>
      <c r="I13627" s="403"/>
      <c r="J13627" s="750"/>
      <c r="K13627" s="404"/>
      <c r="L13627" s="404"/>
      <c r="M13627" s="682"/>
    </row>
    <row r="13628" spans="5:13" ht="13.5" hidden="1" thickBot="1" x14ac:dyDescent="0.25">
      <c r="G13628" s="505" t="s">
        <v>4436</v>
      </c>
      <c r="H13628" s="405">
        <f>SUM(H13612:H13627)</f>
        <v>0</v>
      </c>
      <c r="I13628" s="405"/>
      <c r="J13628" s="750"/>
      <c r="K13628" s="406">
        <f>SUM(K13613:K13627)</f>
        <v>0</v>
      </c>
      <c r="L13628" s="406"/>
      <c r="M13628" s="682"/>
    </row>
    <row r="13629" spans="5:13" hidden="1" collapsed="1" x14ac:dyDescent="0.2">
      <c r="E13629" s="500"/>
      <c r="F13629" s="498"/>
      <c r="G13629" s="506" t="s">
        <v>5101</v>
      </c>
      <c r="H13629" s="407"/>
      <c r="I13629" s="408"/>
      <c r="J13629" s="750"/>
      <c r="K13629" s="409"/>
      <c r="L13629" s="410"/>
      <c r="M13629" s="682"/>
    </row>
    <row r="13630" spans="5:13" hidden="1" x14ac:dyDescent="0.2">
      <c r="E13630" s="502"/>
      <c r="F13630" s="503" t="s">
        <v>234</v>
      </c>
      <c r="G13630" s="504" t="s">
        <v>235</v>
      </c>
      <c r="H13630" s="403">
        <f>SUM(H13551:H13610)</f>
        <v>0</v>
      </c>
      <c r="I13630" s="403"/>
      <c r="J13630" s="750"/>
      <c r="K13630" s="404"/>
      <c r="L13630" s="404"/>
      <c r="M13630" s="682"/>
    </row>
    <row r="13631" spans="5:13" hidden="1" x14ac:dyDescent="0.2">
      <c r="F13631" s="503" t="s">
        <v>236</v>
      </c>
      <c r="G13631" s="504" t="s">
        <v>237</v>
      </c>
      <c r="H13631" s="397"/>
      <c r="I13631" s="397"/>
      <c r="J13631" s="750"/>
      <c r="K13631" s="398"/>
      <c r="L13631" s="404"/>
      <c r="M13631" s="682"/>
    </row>
    <row r="13632" spans="5:13" hidden="1" x14ac:dyDescent="0.2">
      <c r="F13632" s="503" t="s">
        <v>238</v>
      </c>
      <c r="G13632" s="504" t="s">
        <v>239</v>
      </c>
      <c r="H13632" s="397"/>
      <c r="I13632" s="397"/>
      <c r="J13632" s="750"/>
      <c r="K13632" s="398"/>
      <c r="L13632" s="404"/>
      <c r="M13632" s="682"/>
    </row>
    <row r="13633" spans="3:13" hidden="1" x14ac:dyDescent="0.2">
      <c r="F13633" s="503" t="s">
        <v>240</v>
      </c>
      <c r="G13633" s="504" t="s">
        <v>241</v>
      </c>
      <c r="H13633" s="397"/>
      <c r="I13633" s="397"/>
      <c r="J13633" s="750"/>
      <c r="K13633" s="398"/>
      <c r="L13633" s="404"/>
      <c r="M13633" s="682"/>
    </row>
    <row r="13634" spans="3:13" hidden="1" x14ac:dyDescent="0.2">
      <c r="F13634" s="503" t="s">
        <v>242</v>
      </c>
      <c r="G13634" s="504" t="s">
        <v>243</v>
      </c>
      <c r="H13634" s="397"/>
      <c r="I13634" s="397"/>
      <c r="J13634" s="750"/>
      <c r="K13634" s="398"/>
      <c r="L13634" s="404"/>
      <c r="M13634" s="682"/>
    </row>
    <row r="13635" spans="3:13" hidden="1" x14ac:dyDescent="0.2">
      <c r="F13635" s="503" t="s">
        <v>244</v>
      </c>
      <c r="G13635" s="504" t="s">
        <v>245</v>
      </c>
      <c r="H13635" s="397"/>
      <c r="I13635" s="397"/>
      <c r="J13635" s="750"/>
      <c r="K13635" s="398"/>
      <c r="L13635" s="404"/>
      <c r="M13635" s="682"/>
    </row>
    <row r="13636" spans="3:13" hidden="1" x14ac:dyDescent="0.2">
      <c r="F13636" s="503" t="s">
        <v>246</v>
      </c>
      <c r="G13636" s="504" t="s">
        <v>247</v>
      </c>
      <c r="H13636" s="397"/>
      <c r="I13636" s="397"/>
      <c r="J13636" s="750"/>
      <c r="K13636" s="398"/>
      <c r="L13636" s="404"/>
      <c r="M13636" s="682"/>
    </row>
    <row r="13637" spans="3:13" ht="25.5" hidden="1" x14ac:dyDescent="0.2">
      <c r="F13637" s="503" t="s">
        <v>248</v>
      </c>
      <c r="G13637" s="504" t="s">
        <v>249</v>
      </c>
      <c r="H13637" s="397"/>
      <c r="I13637" s="397"/>
      <c r="J13637" s="750"/>
      <c r="K13637" s="398"/>
      <c r="L13637" s="404"/>
      <c r="M13637" s="682"/>
    </row>
    <row r="13638" spans="3:13" hidden="1" x14ac:dyDescent="0.2">
      <c r="F13638" s="503" t="s">
        <v>250</v>
      </c>
      <c r="G13638" s="504" t="s">
        <v>57</v>
      </c>
      <c r="H13638" s="397"/>
      <c r="I13638" s="397"/>
      <c r="J13638" s="750"/>
      <c r="K13638" s="398"/>
      <c r="L13638" s="404"/>
      <c r="M13638" s="682"/>
    </row>
    <row r="13639" spans="3:13" hidden="1" x14ac:dyDescent="0.2">
      <c r="F13639" s="503" t="s">
        <v>251</v>
      </c>
      <c r="G13639" s="504" t="s">
        <v>252</v>
      </c>
      <c r="H13639" s="397"/>
      <c r="I13639" s="397"/>
      <c r="J13639" s="750"/>
      <c r="K13639" s="398"/>
      <c r="L13639" s="404"/>
      <c r="M13639" s="682"/>
    </row>
    <row r="13640" spans="3:13" hidden="1" x14ac:dyDescent="0.2">
      <c r="F13640" s="503" t="s">
        <v>253</v>
      </c>
      <c r="G13640" s="504" t="s">
        <v>254</v>
      </c>
      <c r="H13640" s="397"/>
      <c r="I13640" s="397"/>
      <c r="J13640" s="750"/>
      <c r="K13640" s="398"/>
      <c r="L13640" s="404"/>
      <c r="M13640" s="682"/>
    </row>
    <row r="13641" spans="3:13" ht="25.5" hidden="1" x14ac:dyDescent="0.2">
      <c r="F13641" s="503" t="s">
        <v>255</v>
      </c>
      <c r="G13641" s="504" t="s">
        <v>256</v>
      </c>
      <c r="H13641" s="397"/>
      <c r="I13641" s="397"/>
      <c r="J13641" s="750"/>
      <c r="K13641" s="398"/>
      <c r="L13641" s="404"/>
      <c r="M13641" s="682"/>
    </row>
    <row r="13642" spans="3:13" ht="25.5" hidden="1" x14ac:dyDescent="0.2">
      <c r="F13642" s="503" t="s">
        <v>257</v>
      </c>
      <c r="G13642" s="504" t="s">
        <v>258</v>
      </c>
      <c r="H13642" s="397"/>
      <c r="I13642" s="397"/>
      <c r="J13642" s="750"/>
      <c r="K13642" s="398"/>
      <c r="L13642" s="404"/>
      <c r="M13642" s="682"/>
    </row>
    <row r="13643" spans="3:13" ht="25.5" hidden="1" x14ac:dyDescent="0.2">
      <c r="F13643" s="503" t="s">
        <v>259</v>
      </c>
      <c r="G13643" s="504" t="s">
        <v>260</v>
      </c>
      <c r="H13643" s="397"/>
      <c r="I13643" s="397"/>
      <c r="J13643" s="750"/>
      <c r="K13643" s="398"/>
      <c r="L13643" s="404"/>
      <c r="M13643" s="682"/>
    </row>
    <row r="13644" spans="3:13" ht="25.5" hidden="1" x14ac:dyDescent="0.2">
      <c r="F13644" s="503" t="s">
        <v>261</v>
      </c>
      <c r="G13644" s="504" t="s">
        <v>262</v>
      </c>
      <c r="H13644" s="397"/>
      <c r="I13644" s="397"/>
      <c r="J13644" s="750"/>
      <c r="K13644" s="398"/>
      <c r="L13644" s="404"/>
      <c r="M13644" s="682"/>
    </row>
    <row r="13645" spans="3:13" hidden="1" x14ac:dyDescent="0.2">
      <c r="F13645" s="503" t="s">
        <v>263</v>
      </c>
      <c r="G13645" s="504" t="s">
        <v>264</v>
      </c>
      <c r="H13645" s="403"/>
      <c r="I13645" s="403"/>
      <c r="J13645" s="750"/>
      <c r="K13645" s="404"/>
      <c r="L13645" s="404"/>
      <c r="M13645" s="682"/>
    </row>
    <row r="13646" spans="3:13" ht="13.5" hidden="1" thickBot="1" x14ac:dyDescent="0.25">
      <c r="G13646" s="505" t="s">
        <v>5102</v>
      </c>
      <c r="H13646" s="405">
        <f>SUM(H13630:H13645)</f>
        <v>0</v>
      </c>
      <c r="I13646" s="405"/>
      <c r="J13646" s="750"/>
      <c r="K13646" s="406">
        <f>SUM(K13631:K13645)</f>
        <v>0</v>
      </c>
      <c r="L13646" s="406"/>
      <c r="M13646" s="682"/>
    </row>
    <row r="13647" spans="3:13" hidden="1" x14ac:dyDescent="0.2">
      <c r="G13647" s="510"/>
      <c r="H13647" s="411"/>
      <c r="I13647" s="411"/>
      <c r="J13647" s="750"/>
      <c r="K13647" s="412"/>
      <c r="L13647" s="412"/>
      <c r="M13647" s="682"/>
    </row>
    <row r="13648" spans="3:13" hidden="1" x14ac:dyDescent="0.2">
      <c r="C13648" s="489" t="s">
        <v>4841</v>
      </c>
      <c r="D13648" s="490"/>
      <c r="G13648" s="508" t="s">
        <v>4232</v>
      </c>
      <c r="H13648" s="397"/>
      <c r="I13648" s="397"/>
      <c r="J13648" s="750"/>
      <c r="K13648" s="398"/>
      <c r="L13648" s="398"/>
      <c r="M13648" s="682"/>
    </row>
    <row r="13649" spans="3:13" hidden="1" x14ac:dyDescent="0.2">
      <c r="C13649" s="489"/>
      <c r="D13649" s="492">
        <v>820</v>
      </c>
      <c r="E13649" s="492"/>
      <c r="F13649" s="492"/>
      <c r="G13649" s="493" t="s">
        <v>207</v>
      </c>
      <c r="H13649" s="397"/>
      <c r="I13649" s="397"/>
      <c r="J13649" s="750"/>
      <c r="K13649" s="398"/>
      <c r="L13649" s="398"/>
      <c r="M13649" s="682"/>
    </row>
    <row r="13650" spans="3:13" hidden="1" x14ac:dyDescent="0.2">
      <c r="F13650" s="494">
        <v>411</v>
      </c>
      <c r="G13650" s="495" t="s">
        <v>4167</v>
      </c>
      <c r="H13650" s="397"/>
      <c r="I13650" s="397"/>
      <c r="J13650" s="750"/>
      <c r="K13650" s="398"/>
      <c r="L13650" s="398"/>
      <c r="M13650" s="682"/>
    </row>
    <row r="13651" spans="3:13" hidden="1" x14ac:dyDescent="0.2">
      <c r="F13651" s="494">
        <v>412</v>
      </c>
      <c r="G13651" s="496" t="s">
        <v>3764</v>
      </c>
      <c r="H13651" s="397"/>
      <c r="I13651" s="397"/>
      <c r="J13651" s="750"/>
      <c r="K13651" s="398"/>
      <c r="L13651" s="398"/>
      <c r="M13651" s="682"/>
    </row>
    <row r="13652" spans="3:13" hidden="1" x14ac:dyDescent="0.2">
      <c r="F13652" s="494">
        <v>413</v>
      </c>
      <c r="G13652" s="495" t="s">
        <v>4168</v>
      </c>
      <c r="H13652" s="397"/>
      <c r="I13652" s="397"/>
      <c r="J13652" s="750"/>
      <c r="K13652" s="398"/>
      <c r="L13652" s="398"/>
      <c r="M13652" s="682"/>
    </row>
    <row r="13653" spans="3:13" hidden="1" x14ac:dyDescent="0.2">
      <c r="F13653" s="494">
        <v>414</v>
      </c>
      <c r="G13653" s="495" t="s">
        <v>3767</v>
      </c>
      <c r="H13653" s="397"/>
      <c r="I13653" s="397"/>
      <c r="J13653" s="750"/>
      <c r="K13653" s="398"/>
      <c r="L13653" s="398"/>
      <c r="M13653" s="682"/>
    </row>
    <row r="13654" spans="3:13" hidden="1" x14ac:dyDescent="0.2">
      <c r="F13654" s="494">
        <v>415</v>
      </c>
      <c r="G13654" s="495" t="s">
        <v>4177</v>
      </c>
      <c r="H13654" s="397"/>
      <c r="I13654" s="397"/>
      <c r="J13654" s="750"/>
      <c r="K13654" s="398"/>
      <c r="L13654" s="398"/>
      <c r="M13654" s="682"/>
    </row>
    <row r="13655" spans="3:13" ht="25.5" hidden="1" x14ac:dyDescent="0.2">
      <c r="F13655" s="494">
        <v>416</v>
      </c>
      <c r="G13655" s="495" t="s">
        <v>4178</v>
      </c>
      <c r="H13655" s="397"/>
      <c r="I13655" s="397"/>
      <c r="J13655" s="750"/>
      <c r="K13655" s="398"/>
      <c r="L13655" s="398"/>
      <c r="M13655" s="682"/>
    </row>
    <row r="13656" spans="3:13" hidden="1" x14ac:dyDescent="0.2">
      <c r="F13656" s="494">
        <v>417</v>
      </c>
      <c r="G13656" s="495" t="s">
        <v>4179</v>
      </c>
      <c r="H13656" s="397"/>
      <c r="I13656" s="397"/>
      <c r="J13656" s="750"/>
      <c r="K13656" s="398"/>
      <c r="L13656" s="398"/>
      <c r="M13656" s="682"/>
    </row>
    <row r="13657" spans="3:13" hidden="1" x14ac:dyDescent="0.2">
      <c r="F13657" s="494">
        <v>418</v>
      </c>
      <c r="G13657" s="495" t="s">
        <v>3773</v>
      </c>
      <c r="H13657" s="397"/>
      <c r="I13657" s="397"/>
      <c r="J13657" s="750"/>
      <c r="K13657" s="398"/>
      <c r="L13657" s="398"/>
      <c r="M13657" s="682"/>
    </row>
    <row r="13658" spans="3:13" hidden="1" x14ac:dyDescent="0.2">
      <c r="F13658" s="494">
        <v>421</v>
      </c>
      <c r="G13658" s="495" t="s">
        <v>3777</v>
      </c>
      <c r="H13658" s="397"/>
      <c r="I13658" s="397"/>
      <c r="J13658" s="750"/>
      <c r="K13658" s="398"/>
      <c r="L13658" s="398"/>
      <c r="M13658" s="682"/>
    </row>
    <row r="13659" spans="3:13" hidden="1" x14ac:dyDescent="0.2">
      <c r="F13659" s="494">
        <v>422</v>
      </c>
      <c r="G13659" s="495" t="s">
        <v>3778</v>
      </c>
      <c r="H13659" s="397"/>
      <c r="I13659" s="397"/>
      <c r="J13659" s="750"/>
      <c r="K13659" s="398"/>
      <c r="L13659" s="398"/>
      <c r="M13659" s="682"/>
    </row>
    <row r="13660" spans="3:13" hidden="1" x14ac:dyDescent="0.2">
      <c r="F13660" s="494">
        <v>423</v>
      </c>
      <c r="G13660" s="495" t="s">
        <v>3779</v>
      </c>
      <c r="H13660" s="397"/>
      <c r="I13660" s="397"/>
      <c r="J13660" s="750"/>
      <c r="K13660" s="398"/>
      <c r="L13660" s="398"/>
      <c r="M13660" s="682"/>
    </row>
    <row r="13661" spans="3:13" hidden="1" x14ac:dyDescent="0.2">
      <c r="F13661" s="494">
        <v>424</v>
      </c>
      <c r="G13661" s="495" t="s">
        <v>3781</v>
      </c>
      <c r="H13661" s="397"/>
      <c r="I13661" s="397"/>
      <c r="J13661" s="750"/>
      <c r="K13661" s="398"/>
      <c r="L13661" s="398"/>
      <c r="M13661" s="682"/>
    </row>
    <row r="13662" spans="3:13" hidden="1" x14ac:dyDescent="0.2">
      <c r="F13662" s="494">
        <v>425</v>
      </c>
      <c r="G13662" s="495" t="s">
        <v>4180</v>
      </c>
      <c r="H13662" s="397"/>
      <c r="I13662" s="397"/>
      <c r="J13662" s="750"/>
      <c r="K13662" s="398"/>
      <c r="L13662" s="398"/>
      <c r="M13662" s="682"/>
    </row>
    <row r="13663" spans="3:13" hidden="1" x14ac:dyDescent="0.2">
      <c r="F13663" s="494">
        <v>426</v>
      </c>
      <c r="G13663" s="495" t="s">
        <v>3785</v>
      </c>
      <c r="H13663" s="397"/>
      <c r="I13663" s="397"/>
      <c r="J13663" s="750"/>
      <c r="K13663" s="398"/>
      <c r="L13663" s="398"/>
      <c r="M13663" s="682"/>
    </row>
    <row r="13664" spans="3:13" hidden="1" x14ac:dyDescent="0.2">
      <c r="F13664" s="494">
        <v>431</v>
      </c>
      <c r="G13664" s="495" t="s">
        <v>4181</v>
      </c>
      <c r="H13664" s="397"/>
      <c r="I13664" s="397"/>
      <c r="J13664" s="750"/>
      <c r="K13664" s="398"/>
      <c r="L13664" s="398"/>
      <c r="M13664" s="682"/>
    </row>
    <row r="13665" spans="6:13" hidden="1" x14ac:dyDescent="0.2">
      <c r="F13665" s="494">
        <v>432</v>
      </c>
      <c r="G13665" s="495" t="s">
        <v>4182</v>
      </c>
      <c r="H13665" s="397"/>
      <c r="I13665" s="397"/>
      <c r="J13665" s="750"/>
      <c r="K13665" s="398"/>
      <c r="L13665" s="398"/>
      <c r="M13665" s="682"/>
    </row>
    <row r="13666" spans="6:13" hidden="1" x14ac:dyDescent="0.2">
      <c r="F13666" s="494">
        <v>433</v>
      </c>
      <c r="G13666" s="495" t="s">
        <v>4183</v>
      </c>
      <c r="H13666" s="397"/>
      <c r="I13666" s="397"/>
      <c r="J13666" s="750"/>
      <c r="K13666" s="398"/>
      <c r="L13666" s="398"/>
      <c r="M13666" s="682"/>
    </row>
    <row r="13667" spans="6:13" hidden="1" x14ac:dyDescent="0.2">
      <c r="F13667" s="494">
        <v>434</v>
      </c>
      <c r="G13667" s="495" t="s">
        <v>4184</v>
      </c>
      <c r="H13667" s="397"/>
      <c r="I13667" s="397"/>
      <c r="J13667" s="750"/>
      <c r="K13667" s="398"/>
      <c r="L13667" s="398"/>
      <c r="M13667" s="682"/>
    </row>
    <row r="13668" spans="6:13" hidden="1" x14ac:dyDescent="0.2">
      <c r="F13668" s="494">
        <v>435</v>
      </c>
      <c r="G13668" s="495" t="s">
        <v>3792</v>
      </c>
      <c r="H13668" s="397"/>
      <c r="I13668" s="397"/>
      <c r="J13668" s="750"/>
      <c r="K13668" s="398"/>
      <c r="L13668" s="398"/>
      <c r="M13668" s="682"/>
    </row>
    <row r="13669" spans="6:13" hidden="1" x14ac:dyDescent="0.2">
      <c r="F13669" s="494">
        <v>441</v>
      </c>
      <c r="G13669" s="495" t="s">
        <v>4185</v>
      </c>
      <c r="H13669" s="397"/>
      <c r="I13669" s="397"/>
      <c r="J13669" s="750"/>
      <c r="K13669" s="398"/>
      <c r="L13669" s="398"/>
      <c r="M13669" s="682"/>
    </row>
    <row r="13670" spans="6:13" hidden="1" x14ac:dyDescent="0.2">
      <c r="F13670" s="494">
        <v>442</v>
      </c>
      <c r="G13670" s="495" t="s">
        <v>4186</v>
      </c>
      <c r="H13670" s="397"/>
      <c r="I13670" s="397"/>
      <c r="J13670" s="750"/>
      <c r="K13670" s="398"/>
      <c r="L13670" s="398"/>
      <c r="M13670" s="682"/>
    </row>
    <row r="13671" spans="6:13" hidden="1" x14ac:dyDescent="0.2">
      <c r="F13671" s="494">
        <v>443</v>
      </c>
      <c r="G13671" s="495" t="s">
        <v>3797</v>
      </c>
      <c r="H13671" s="397"/>
      <c r="I13671" s="397"/>
      <c r="J13671" s="750"/>
      <c r="K13671" s="398"/>
      <c r="L13671" s="398"/>
      <c r="M13671" s="682"/>
    </row>
    <row r="13672" spans="6:13" hidden="1" x14ac:dyDescent="0.2">
      <c r="F13672" s="494">
        <v>444</v>
      </c>
      <c r="G13672" s="495" t="s">
        <v>3798</v>
      </c>
      <c r="H13672" s="397"/>
      <c r="I13672" s="397"/>
      <c r="J13672" s="750"/>
      <c r="K13672" s="398"/>
      <c r="L13672" s="398"/>
      <c r="M13672" s="682"/>
    </row>
    <row r="13673" spans="6:13" ht="25.5" hidden="1" x14ac:dyDescent="0.2">
      <c r="F13673" s="494">
        <v>4511</v>
      </c>
      <c r="G13673" s="466" t="s">
        <v>1692</v>
      </c>
      <c r="H13673" s="397"/>
      <c r="I13673" s="397"/>
      <c r="J13673" s="750"/>
      <c r="K13673" s="398"/>
      <c r="L13673" s="398"/>
      <c r="M13673" s="682"/>
    </row>
    <row r="13674" spans="6:13" ht="25.5" hidden="1" x14ac:dyDescent="0.2">
      <c r="F13674" s="494">
        <v>4512</v>
      </c>
      <c r="G13674" s="466" t="s">
        <v>1701</v>
      </c>
      <c r="H13674" s="397"/>
      <c r="I13674" s="397"/>
      <c r="J13674" s="750"/>
      <c r="K13674" s="398"/>
      <c r="L13674" s="398"/>
      <c r="M13674" s="682"/>
    </row>
    <row r="13675" spans="6:13" ht="25.5" hidden="1" x14ac:dyDescent="0.2">
      <c r="F13675" s="494">
        <v>452</v>
      </c>
      <c r="G13675" s="495" t="s">
        <v>4187</v>
      </c>
      <c r="H13675" s="397"/>
      <c r="I13675" s="397"/>
      <c r="J13675" s="750"/>
      <c r="K13675" s="398"/>
      <c r="L13675" s="398"/>
      <c r="M13675" s="682"/>
    </row>
    <row r="13676" spans="6:13" ht="25.5" hidden="1" x14ac:dyDescent="0.2">
      <c r="F13676" s="494">
        <v>453</v>
      </c>
      <c r="G13676" s="495" t="s">
        <v>4188</v>
      </c>
      <c r="H13676" s="397"/>
      <c r="I13676" s="397"/>
      <c r="J13676" s="750"/>
      <c r="K13676" s="398"/>
      <c r="L13676" s="398"/>
      <c r="M13676" s="682"/>
    </row>
    <row r="13677" spans="6:13" hidden="1" x14ac:dyDescent="0.2">
      <c r="F13677" s="494">
        <v>454</v>
      </c>
      <c r="G13677" s="495" t="s">
        <v>3803</v>
      </c>
      <c r="H13677" s="397"/>
      <c r="I13677" s="397"/>
      <c r="J13677" s="750"/>
      <c r="K13677" s="398"/>
      <c r="L13677" s="398"/>
      <c r="M13677" s="682"/>
    </row>
    <row r="13678" spans="6:13" hidden="1" x14ac:dyDescent="0.2">
      <c r="F13678" s="494">
        <v>461</v>
      </c>
      <c r="G13678" s="495" t="s">
        <v>4169</v>
      </c>
      <c r="H13678" s="397"/>
      <c r="I13678" s="397"/>
      <c r="J13678" s="750"/>
      <c r="K13678" s="398"/>
      <c r="L13678" s="398"/>
      <c r="M13678" s="682"/>
    </row>
    <row r="13679" spans="6:13" ht="25.5" hidden="1" x14ac:dyDescent="0.2">
      <c r="F13679" s="494">
        <v>462</v>
      </c>
      <c r="G13679" s="495" t="s">
        <v>3806</v>
      </c>
      <c r="H13679" s="397"/>
      <c r="I13679" s="397"/>
      <c r="J13679" s="750"/>
      <c r="K13679" s="398"/>
      <c r="L13679" s="398"/>
      <c r="M13679" s="682"/>
    </row>
    <row r="13680" spans="6:13" hidden="1" x14ac:dyDescent="0.2">
      <c r="F13680" s="494">
        <v>4631</v>
      </c>
      <c r="G13680" s="495" t="s">
        <v>3807</v>
      </c>
      <c r="H13680" s="397"/>
      <c r="I13680" s="397"/>
      <c r="J13680" s="750"/>
      <c r="K13680" s="398"/>
      <c r="L13680" s="398"/>
      <c r="M13680" s="682"/>
    </row>
    <row r="13681" spans="6:13" hidden="1" x14ac:dyDescent="0.2">
      <c r="F13681" s="494">
        <v>4632</v>
      </c>
      <c r="G13681" s="495" t="s">
        <v>3808</v>
      </c>
      <c r="H13681" s="397"/>
      <c r="I13681" s="397"/>
      <c r="J13681" s="750"/>
      <c r="K13681" s="398"/>
      <c r="L13681" s="398"/>
      <c r="M13681" s="682"/>
    </row>
    <row r="13682" spans="6:13" ht="25.5" hidden="1" x14ac:dyDescent="0.2">
      <c r="F13682" s="494">
        <v>464</v>
      </c>
      <c r="G13682" s="495" t="s">
        <v>3809</v>
      </c>
      <c r="H13682" s="397"/>
      <c r="I13682" s="397"/>
      <c r="J13682" s="750"/>
      <c r="K13682" s="398"/>
      <c r="L13682" s="398"/>
      <c r="M13682" s="682"/>
    </row>
    <row r="13683" spans="6:13" hidden="1" x14ac:dyDescent="0.2">
      <c r="F13683" s="494">
        <v>465</v>
      </c>
      <c r="G13683" s="495" t="s">
        <v>4170</v>
      </c>
      <c r="H13683" s="397"/>
      <c r="I13683" s="397"/>
      <c r="J13683" s="750"/>
      <c r="K13683" s="398"/>
      <c r="L13683" s="398"/>
      <c r="M13683" s="682"/>
    </row>
    <row r="13684" spans="6:13" hidden="1" x14ac:dyDescent="0.2">
      <c r="F13684" s="494">
        <v>472</v>
      </c>
      <c r="G13684" s="495" t="s">
        <v>3813</v>
      </c>
      <c r="H13684" s="397"/>
      <c r="I13684" s="397"/>
      <c r="J13684" s="750"/>
      <c r="K13684" s="398"/>
      <c r="L13684" s="398"/>
      <c r="M13684" s="682"/>
    </row>
    <row r="13685" spans="6:13" hidden="1" x14ac:dyDescent="0.2">
      <c r="F13685" s="494">
        <v>481</v>
      </c>
      <c r="G13685" s="495" t="s">
        <v>4189</v>
      </c>
      <c r="H13685" s="397"/>
      <c r="I13685" s="397"/>
      <c r="J13685" s="750"/>
      <c r="K13685" s="398"/>
      <c r="L13685" s="398"/>
      <c r="M13685" s="682"/>
    </row>
    <row r="13686" spans="6:13" hidden="1" x14ac:dyDescent="0.2">
      <c r="F13686" s="494">
        <v>482</v>
      </c>
      <c r="G13686" s="495" t="s">
        <v>4190</v>
      </c>
      <c r="H13686" s="397"/>
      <c r="I13686" s="397"/>
      <c r="J13686" s="750"/>
      <c r="K13686" s="398"/>
      <c r="L13686" s="398"/>
      <c r="M13686" s="682"/>
    </row>
    <row r="13687" spans="6:13" hidden="1" x14ac:dyDescent="0.2">
      <c r="F13687" s="494">
        <v>483</v>
      </c>
      <c r="G13687" s="497" t="s">
        <v>4191</v>
      </c>
      <c r="H13687" s="397"/>
      <c r="I13687" s="397"/>
      <c r="J13687" s="750"/>
      <c r="K13687" s="398"/>
      <c r="L13687" s="398"/>
      <c r="M13687" s="682"/>
    </row>
    <row r="13688" spans="6:13" ht="38.25" hidden="1" x14ac:dyDescent="0.2">
      <c r="F13688" s="494">
        <v>484</v>
      </c>
      <c r="G13688" s="495" t="s">
        <v>4192</v>
      </c>
      <c r="H13688" s="397"/>
      <c r="I13688" s="397"/>
      <c r="J13688" s="750"/>
      <c r="K13688" s="398"/>
      <c r="L13688" s="398"/>
      <c r="M13688" s="682"/>
    </row>
    <row r="13689" spans="6:13" ht="25.5" hidden="1" x14ac:dyDescent="0.2">
      <c r="F13689" s="494">
        <v>485</v>
      </c>
      <c r="G13689" s="495" t="s">
        <v>4193</v>
      </c>
      <c r="H13689" s="397"/>
      <c r="I13689" s="397"/>
      <c r="J13689" s="750"/>
      <c r="K13689" s="398"/>
      <c r="L13689" s="398"/>
      <c r="M13689" s="682"/>
    </row>
    <row r="13690" spans="6:13" ht="25.5" hidden="1" x14ac:dyDescent="0.2">
      <c r="F13690" s="494">
        <v>489</v>
      </c>
      <c r="G13690" s="495" t="s">
        <v>3821</v>
      </c>
      <c r="H13690" s="397"/>
      <c r="I13690" s="397"/>
      <c r="J13690" s="750"/>
      <c r="K13690" s="398"/>
      <c r="L13690" s="398"/>
      <c r="M13690" s="682"/>
    </row>
    <row r="13691" spans="6:13" ht="25.5" hidden="1" x14ac:dyDescent="0.2">
      <c r="F13691" s="494">
        <v>494</v>
      </c>
      <c r="G13691" s="495" t="s">
        <v>4171</v>
      </c>
      <c r="H13691" s="397"/>
      <c r="I13691" s="397"/>
      <c r="J13691" s="750"/>
      <c r="K13691" s="398"/>
      <c r="L13691" s="398"/>
      <c r="M13691" s="682"/>
    </row>
    <row r="13692" spans="6:13" ht="25.5" hidden="1" x14ac:dyDescent="0.2">
      <c r="F13692" s="494">
        <v>495</v>
      </c>
      <c r="G13692" s="495" t="s">
        <v>4172</v>
      </c>
      <c r="H13692" s="397"/>
      <c r="I13692" s="397"/>
      <c r="J13692" s="750"/>
      <c r="K13692" s="398"/>
      <c r="L13692" s="398"/>
      <c r="M13692" s="682"/>
    </row>
    <row r="13693" spans="6:13" ht="38.25" hidden="1" x14ac:dyDescent="0.2">
      <c r="F13693" s="494">
        <v>496</v>
      </c>
      <c r="G13693" s="495" t="s">
        <v>4173</v>
      </c>
      <c r="H13693" s="397"/>
      <c r="I13693" s="397"/>
      <c r="J13693" s="750"/>
      <c r="K13693" s="398"/>
      <c r="L13693" s="398"/>
      <c r="M13693" s="682"/>
    </row>
    <row r="13694" spans="6:13" ht="25.5" hidden="1" x14ac:dyDescent="0.2">
      <c r="F13694" s="494">
        <v>499</v>
      </c>
      <c r="G13694" s="495" t="s">
        <v>4174</v>
      </c>
      <c r="H13694" s="397"/>
      <c r="I13694" s="397"/>
      <c r="J13694" s="750"/>
      <c r="K13694" s="398"/>
      <c r="L13694" s="398"/>
      <c r="M13694" s="682"/>
    </row>
    <row r="13695" spans="6:13" hidden="1" x14ac:dyDescent="0.2">
      <c r="F13695" s="494">
        <v>511</v>
      </c>
      <c r="G13695" s="497" t="s">
        <v>4194</v>
      </c>
      <c r="H13695" s="397"/>
      <c r="I13695" s="397"/>
      <c r="J13695" s="750"/>
      <c r="K13695" s="398"/>
      <c r="L13695" s="398"/>
      <c r="M13695" s="682"/>
    </row>
    <row r="13696" spans="6:13" hidden="1" x14ac:dyDescent="0.2">
      <c r="F13696" s="494">
        <v>512</v>
      </c>
      <c r="G13696" s="497" t="s">
        <v>4195</v>
      </c>
      <c r="H13696" s="397"/>
      <c r="I13696" s="397"/>
      <c r="J13696" s="750"/>
      <c r="K13696" s="398"/>
      <c r="L13696" s="398"/>
      <c r="M13696" s="682"/>
    </row>
    <row r="13697" spans="5:13" hidden="1" x14ac:dyDescent="0.2">
      <c r="F13697" s="494">
        <v>513</v>
      </c>
      <c r="G13697" s="497" t="s">
        <v>4196</v>
      </c>
      <c r="H13697" s="397"/>
      <c r="I13697" s="397"/>
      <c r="J13697" s="750"/>
      <c r="K13697" s="398"/>
      <c r="L13697" s="398"/>
      <c r="M13697" s="682"/>
    </row>
    <row r="13698" spans="5:13" hidden="1" x14ac:dyDescent="0.2">
      <c r="F13698" s="494">
        <v>514</v>
      </c>
      <c r="G13698" s="495" t="s">
        <v>4197</v>
      </c>
      <c r="H13698" s="397"/>
      <c r="I13698" s="397"/>
      <c r="J13698" s="750"/>
      <c r="K13698" s="398"/>
      <c r="L13698" s="398"/>
      <c r="M13698" s="682"/>
    </row>
    <row r="13699" spans="5:13" hidden="1" x14ac:dyDescent="0.2">
      <c r="F13699" s="494">
        <v>515</v>
      </c>
      <c r="G13699" s="495" t="s">
        <v>3832</v>
      </c>
      <c r="H13699" s="397"/>
      <c r="I13699" s="397"/>
      <c r="J13699" s="750"/>
      <c r="K13699" s="398"/>
      <c r="L13699" s="398"/>
      <c r="M13699" s="682"/>
    </row>
    <row r="13700" spans="5:13" hidden="1" x14ac:dyDescent="0.2">
      <c r="F13700" s="494">
        <v>521</v>
      </c>
      <c r="G13700" s="495" t="s">
        <v>4198</v>
      </c>
      <c r="H13700" s="397"/>
      <c r="I13700" s="397"/>
      <c r="J13700" s="750"/>
      <c r="K13700" s="398"/>
      <c r="L13700" s="398"/>
      <c r="M13700" s="682"/>
    </row>
    <row r="13701" spans="5:13" hidden="1" x14ac:dyDescent="0.2">
      <c r="F13701" s="494">
        <v>522</v>
      </c>
      <c r="G13701" s="495" t="s">
        <v>4199</v>
      </c>
      <c r="H13701" s="397"/>
      <c r="I13701" s="397"/>
      <c r="J13701" s="750"/>
      <c r="K13701" s="398"/>
      <c r="L13701" s="398"/>
      <c r="M13701" s="682"/>
    </row>
    <row r="13702" spans="5:13" hidden="1" x14ac:dyDescent="0.2">
      <c r="F13702" s="494">
        <v>523</v>
      </c>
      <c r="G13702" s="495" t="s">
        <v>3837</v>
      </c>
      <c r="H13702" s="397"/>
      <c r="I13702" s="397"/>
      <c r="J13702" s="750"/>
      <c r="K13702" s="398"/>
      <c r="L13702" s="398"/>
      <c r="M13702" s="682"/>
    </row>
    <row r="13703" spans="5:13" hidden="1" x14ac:dyDescent="0.2">
      <c r="F13703" s="494">
        <v>531</v>
      </c>
      <c r="G13703" s="496" t="s">
        <v>4175</v>
      </c>
      <c r="H13703" s="397"/>
      <c r="I13703" s="397"/>
      <c r="J13703" s="750"/>
      <c r="K13703" s="398"/>
      <c r="L13703" s="398"/>
      <c r="M13703" s="682"/>
    </row>
    <row r="13704" spans="5:13" hidden="1" x14ac:dyDescent="0.2">
      <c r="F13704" s="494">
        <v>541</v>
      </c>
      <c r="G13704" s="495" t="s">
        <v>4200</v>
      </c>
      <c r="H13704" s="397"/>
      <c r="I13704" s="397"/>
      <c r="J13704" s="750"/>
      <c r="K13704" s="398"/>
      <c r="L13704" s="398"/>
      <c r="M13704" s="682"/>
    </row>
    <row r="13705" spans="5:13" hidden="1" x14ac:dyDescent="0.2">
      <c r="F13705" s="494">
        <v>542</v>
      </c>
      <c r="G13705" s="495" t="s">
        <v>4201</v>
      </c>
      <c r="H13705" s="397"/>
      <c r="I13705" s="397"/>
      <c r="J13705" s="750"/>
      <c r="K13705" s="398"/>
      <c r="L13705" s="398"/>
      <c r="M13705" s="682"/>
    </row>
    <row r="13706" spans="5:13" hidden="1" x14ac:dyDescent="0.2">
      <c r="F13706" s="494">
        <v>543</v>
      </c>
      <c r="G13706" s="495" t="s">
        <v>3842</v>
      </c>
      <c r="H13706" s="397"/>
      <c r="I13706" s="397"/>
      <c r="J13706" s="750"/>
      <c r="K13706" s="398"/>
      <c r="L13706" s="398"/>
      <c r="M13706" s="682"/>
    </row>
    <row r="13707" spans="5:13" ht="38.25" hidden="1" x14ac:dyDescent="0.2">
      <c r="F13707" s="494">
        <v>551</v>
      </c>
      <c r="G13707" s="495" t="s">
        <v>4176</v>
      </c>
      <c r="H13707" s="397"/>
      <c r="I13707" s="397"/>
      <c r="J13707" s="750"/>
      <c r="K13707" s="398"/>
      <c r="L13707" s="398"/>
      <c r="M13707" s="682"/>
    </row>
    <row r="13708" spans="5:13" hidden="1" x14ac:dyDescent="0.2">
      <c r="F13708" s="498">
        <v>611</v>
      </c>
      <c r="G13708" s="499" t="s">
        <v>3848</v>
      </c>
      <c r="H13708" s="397"/>
      <c r="I13708" s="397"/>
      <c r="J13708" s="750"/>
      <c r="K13708" s="398"/>
      <c r="L13708" s="398"/>
      <c r="M13708" s="682"/>
    </row>
    <row r="13709" spans="5:13" hidden="1" x14ac:dyDescent="0.2">
      <c r="F13709" s="498">
        <v>620</v>
      </c>
      <c r="G13709" s="499" t="s">
        <v>88</v>
      </c>
      <c r="H13709" s="397"/>
      <c r="I13709" s="397"/>
      <c r="J13709" s="750"/>
      <c r="K13709" s="398"/>
      <c r="L13709" s="398"/>
      <c r="M13709" s="682"/>
    </row>
    <row r="13710" spans="5:13" hidden="1" x14ac:dyDescent="0.2">
      <c r="E13710" s="500"/>
      <c r="F13710" s="498"/>
      <c r="G13710" s="509" t="s">
        <v>4435</v>
      </c>
      <c r="H13710" s="400"/>
      <c r="I13710" s="400"/>
      <c r="J13710" s="750"/>
      <c r="K13710" s="401"/>
      <c r="L13710" s="402"/>
      <c r="M13710" s="682"/>
    </row>
    <row r="13711" spans="5:13" hidden="1" x14ac:dyDescent="0.2">
      <c r="E13711" s="502"/>
      <c r="F13711" s="503" t="s">
        <v>234</v>
      </c>
      <c r="G13711" s="504" t="s">
        <v>235</v>
      </c>
      <c r="H13711" s="403">
        <f>SUM(H13650:H13709)</f>
        <v>0</v>
      </c>
      <c r="I13711" s="403"/>
      <c r="J13711" s="750"/>
      <c r="K13711" s="404"/>
      <c r="L13711" s="404"/>
      <c r="M13711" s="682"/>
    </row>
    <row r="13712" spans="5:13" hidden="1" x14ac:dyDescent="0.2">
      <c r="F13712" s="503" t="s">
        <v>236</v>
      </c>
      <c r="G13712" s="504" t="s">
        <v>237</v>
      </c>
      <c r="H13712" s="397"/>
      <c r="I13712" s="397"/>
      <c r="J13712" s="750"/>
      <c r="K13712" s="398"/>
      <c r="L13712" s="404"/>
      <c r="M13712" s="682"/>
    </row>
    <row r="13713" spans="5:13" hidden="1" x14ac:dyDescent="0.2">
      <c r="F13713" s="503" t="s">
        <v>238</v>
      </c>
      <c r="G13713" s="504" t="s">
        <v>239</v>
      </c>
      <c r="H13713" s="397"/>
      <c r="I13713" s="397"/>
      <c r="J13713" s="750"/>
      <c r="K13713" s="398"/>
      <c r="L13713" s="404"/>
      <c r="M13713" s="682"/>
    </row>
    <row r="13714" spans="5:13" hidden="1" x14ac:dyDescent="0.2">
      <c r="F13714" s="503" t="s">
        <v>240</v>
      </c>
      <c r="G13714" s="504" t="s">
        <v>241</v>
      </c>
      <c r="H13714" s="397"/>
      <c r="I13714" s="397"/>
      <c r="J13714" s="750"/>
      <c r="K13714" s="398"/>
      <c r="L13714" s="404"/>
      <c r="M13714" s="682"/>
    </row>
    <row r="13715" spans="5:13" hidden="1" x14ac:dyDescent="0.2">
      <c r="F13715" s="503" t="s">
        <v>242</v>
      </c>
      <c r="G13715" s="504" t="s">
        <v>243</v>
      </c>
      <c r="H13715" s="397"/>
      <c r="I13715" s="397"/>
      <c r="J13715" s="750"/>
      <c r="K13715" s="398"/>
      <c r="L13715" s="404"/>
      <c r="M13715" s="682"/>
    </row>
    <row r="13716" spans="5:13" hidden="1" x14ac:dyDescent="0.2">
      <c r="F13716" s="503" t="s">
        <v>244</v>
      </c>
      <c r="G13716" s="504" t="s">
        <v>245</v>
      </c>
      <c r="H13716" s="397"/>
      <c r="I13716" s="397"/>
      <c r="J13716" s="750"/>
      <c r="K13716" s="398"/>
      <c r="L13716" s="404"/>
      <c r="M13716" s="682"/>
    </row>
    <row r="13717" spans="5:13" hidden="1" x14ac:dyDescent="0.2">
      <c r="F13717" s="503" t="s">
        <v>246</v>
      </c>
      <c r="G13717" s="504" t="s">
        <v>247</v>
      </c>
      <c r="H13717" s="397"/>
      <c r="I13717" s="397"/>
      <c r="J13717" s="750"/>
      <c r="K13717" s="398"/>
      <c r="L13717" s="404"/>
      <c r="M13717" s="682"/>
    </row>
    <row r="13718" spans="5:13" ht="25.5" hidden="1" x14ac:dyDescent="0.2">
      <c r="F13718" s="503" t="s">
        <v>248</v>
      </c>
      <c r="G13718" s="504" t="s">
        <v>249</v>
      </c>
      <c r="H13718" s="397"/>
      <c r="I13718" s="397"/>
      <c r="J13718" s="750"/>
      <c r="K13718" s="398"/>
      <c r="L13718" s="404"/>
      <c r="M13718" s="682"/>
    </row>
    <row r="13719" spans="5:13" hidden="1" x14ac:dyDescent="0.2">
      <c r="F13719" s="503" t="s">
        <v>250</v>
      </c>
      <c r="G13719" s="504" t="s">
        <v>57</v>
      </c>
      <c r="H13719" s="397"/>
      <c r="I13719" s="397"/>
      <c r="J13719" s="750"/>
      <c r="K13719" s="398"/>
      <c r="L13719" s="404"/>
      <c r="M13719" s="682"/>
    </row>
    <row r="13720" spans="5:13" hidden="1" x14ac:dyDescent="0.2">
      <c r="F13720" s="503" t="s">
        <v>251</v>
      </c>
      <c r="G13720" s="504" t="s">
        <v>252</v>
      </c>
      <c r="H13720" s="397"/>
      <c r="I13720" s="397"/>
      <c r="J13720" s="750"/>
      <c r="K13720" s="398"/>
      <c r="L13720" s="404"/>
      <c r="M13720" s="682"/>
    </row>
    <row r="13721" spans="5:13" hidden="1" x14ac:dyDescent="0.2">
      <c r="F13721" s="503" t="s">
        <v>253</v>
      </c>
      <c r="G13721" s="504" t="s">
        <v>254</v>
      </c>
      <c r="H13721" s="397"/>
      <c r="I13721" s="397"/>
      <c r="J13721" s="750"/>
      <c r="K13721" s="398"/>
      <c r="L13721" s="404"/>
      <c r="M13721" s="682"/>
    </row>
    <row r="13722" spans="5:13" ht="25.5" hidden="1" x14ac:dyDescent="0.2">
      <c r="F13722" s="503" t="s">
        <v>255</v>
      </c>
      <c r="G13722" s="504" t="s">
        <v>256</v>
      </c>
      <c r="H13722" s="397"/>
      <c r="I13722" s="397"/>
      <c r="J13722" s="750"/>
      <c r="K13722" s="398"/>
      <c r="L13722" s="404"/>
      <c r="M13722" s="682"/>
    </row>
    <row r="13723" spans="5:13" ht="25.5" hidden="1" x14ac:dyDescent="0.2">
      <c r="F13723" s="503" t="s">
        <v>257</v>
      </c>
      <c r="G13723" s="504" t="s">
        <v>258</v>
      </c>
      <c r="H13723" s="397"/>
      <c r="I13723" s="397"/>
      <c r="J13723" s="750"/>
      <c r="K13723" s="398"/>
      <c r="L13723" s="404"/>
      <c r="M13723" s="682"/>
    </row>
    <row r="13724" spans="5:13" ht="25.5" hidden="1" x14ac:dyDescent="0.2">
      <c r="F13724" s="503" t="s">
        <v>259</v>
      </c>
      <c r="G13724" s="504" t="s">
        <v>260</v>
      </c>
      <c r="H13724" s="397"/>
      <c r="I13724" s="397"/>
      <c r="J13724" s="750"/>
      <c r="K13724" s="398"/>
      <c r="L13724" s="404"/>
      <c r="M13724" s="682"/>
    </row>
    <row r="13725" spans="5:13" ht="25.5" hidden="1" x14ac:dyDescent="0.2">
      <c r="F13725" s="503" t="s">
        <v>261</v>
      </c>
      <c r="G13725" s="504" t="s">
        <v>262</v>
      </c>
      <c r="H13725" s="397"/>
      <c r="I13725" s="397"/>
      <c r="J13725" s="750"/>
      <c r="K13725" s="398"/>
      <c r="L13725" s="404"/>
      <c r="M13725" s="682"/>
    </row>
    <row r="13726" spans="5:13" hidden="1" x14ac:dyDescent="0.2">
      <c r="F13726" s="503" t="s">
        <v>263</v>
      </c>
      <c r="G13726" s="504" t="s">
        <v>264</v>
      </c>
      <c r="H13726" s="403"/>
      <c r="I13726" s="403"/>
      <c r="J13726" s="750"/>
      <c r="K13726" s="404"/>
      <c r="L13726" s="404"/>
      <c r="M13726" s="682"/>
    </row>
    <row r="13727" spans="5:13" ht="13.5" hidden="1" thickBot="1" x14ac:dyDescent="0.25">
      <c r="G13727" s="505" t="s">
        <v>4436</v>
      </c>
      <c r="H13727" s="405">
        <f>SUM(H13711:H13726)</f>
        <v>0</v>
      </c>
      <c r="I13727" s="405"/>
      <c r="J13727" s="750"/>
      <c r="K13727" s="406">
        <f>SUM(K13712:K13726)</f>
        <v>0</v>
      </c>
      <c r="L13727" s="406"/>
      <c r="M13727" s="682"/>
    </row>
    <row r="13728" spans="5:13" hidden="1" collapsed="1" x14ac:dyDescent="0.2">
      <c r="E13728" s="500"/>
      <c r="F13728" s="498"/>
      <c r="G13728" s="506" t="s">
        <v>5103</v>
      </c>
      <c r="H13728" s="407"/>
      <c r="I13728" s="408"/>
      <c r="J13728" s="750"/>
      <c r="K13728" s="409"/>
      <c r="L13728" s="410"/>
      <c r="M13728" s="682"/>
    </row>
    <row r="13729" spans="5:13" hidden="1" x14ac:dyDescent="0.2">
      <c r="E13729" s="502"/>
      <c r="F13729" s="503" t="s">
        <v>234</v>
      </c>
      <c r="G13729" s="504" t="s">
        <v>235</v>
      </c>
      <c r="H13729" s="403">
        <f>SUM(H13650:H13709)</f>
        <v>0</v>
      </c>
      <c r="I13729" s="403"/>
      <c r="J13729" s="750"/>
      <c r="K13729" s="404"/>
      <c r="L13729" s="404"/>
      <c r="M13729" s="682"/>
    </row>
    <row r="13730" spans="5:13" hidden="1" x14ac:dyDescent="0.2">
      <c r="F13730" s="503" t="s">
        <v>236</v>
      </c>
      <c r="G13730" s="504" t="s">
        <v>237</v>
      </c>
      <c r="H13730" s="397"/>
      <c r="I13730" s="397"/>
      <c r="J13730" s="750"/>
      <c r="K13730" s="398"/>
      <c r="L13730" s="404"/>
      <c r="M13730" s="682"/>
    </row>
    <row r="13731" spans="5:13" hidden="1" x14ac:dyDescent="0.2">
      <c r="F13731" s="503" t="s">
        <v>238</v>
      </c>
      <c r="G13731" s="504" t="s">
        <v>239</v>
      </c>
      <c r="H13731" s="397"/>
      <c r="I13731" s="397"/>
      <c r="J13731" s="750"/>
      <c r="K13731" s="398"/>
      <c r="L13731" s="404"/>
      <c r="M13731" s="682"/>
    </row>
    <row r="13732" spans="5:13" hidden="1" x14ac:dyDescent="0.2">
      <c r="F13732" s="503" t="s">
        <v>240</v>
      </c>
      <c r="G13732" s="504" t="s">
        <v>241</v>
      </c>
      <c r="H13732" s="397"/>
      <c r="I13732" s="397"/>
      <c r="J13732" s="750"/>
      <c r="K13732" s="398"/>
      <c r="L13732" s="404"/>
      <c r="M13732" s="682"/>
    </row>
    <row r="13733" spans="5:13" hidden="1" x14ac:dyDescent="0.2">
      <c r="F13733" s="503" t="s">
        <v>242</v>
      </c>
      <c r="G13733" s="504" t="s">
        <v>243</v>
      </c>
      <c r="H13733" s="397"/>
      <c r="I13733" s="397"/>
      <c r="J13733" s="750"/>
      <c r="K13733" s="398"/>
      <c r="L13733" s="404"/>
      <c r="M13733" s="682"/>
    </row>
    <row r="13734" spans="5:13" hidden="1" x14ac:dyDescent="0.2">
      <c r="F13734" s="503" t="s">
        <v>244</v>
      </c>
      <c r="G13734" s="504" t="s">
        <v>245</v>
      </c>
      <c r="H13734" s="397"/>
      <c r="I13734" s="397"/>
      <c r="J13734" s="750"/>
      <c r="K13734" s="398"/>
      <c r="L13734" s="404"/>
      <c r="M13734" s="682"/>
    </row>
    <row r="13735" spans="5:13" hidden="1" x14ac:dyDescent="0.2">
      <c r="F13735" s="503" t="s">
        <v>246</v>
      </c>
      <c r="G13735" s="504" t="s">
        <v>247</v>
      </c>
      <c r="H13735" s="397"/>
      <c r="I13735" s="397"/>
      <c r="J13735" s="750"/>
      <c r="K13735" s="398"/>
      <c r="L13735" s="404"/>
      <c r="M13735" s="682"/>
    </row>
    <row r="13736" spans="5:13" ht="25.5" hidden="1" x14ac:dyDescent="0.2">
      <c r="F13736" s="503" t="s">
        <v>248</v>
      </c>
      <c r="G13736" s="504" t="s">
        <v>249</v>
      </c>
      <c r="H13736" s="397"/>
      <c r="I13736" s="397"/>
      <c r="J13736" s="750"/>
      <c r="K13736" s="398"/>
      <c r="L13736" s="404"/>
      <c r="M13736" s="682"/>
    </row>
    <row r="13737" spans="5:13" hidden="1" x14ac:dyDescent="0.2">
      <c r="F13737" s="503" t="s">
        <v>250</v>
      </c>
      <c r="G13737" s="504" t="s">
        <v>57</v>
      </c>
      <c r="H13737" s="397"/>
      <c r="I13737" s="397"/>
      <c r="J13737" s="750"/>
      <c r="K13737" s="398"/>
      <c r="L13737" s="404"/>
      <c r="M13737" s="682"/>
    </row>
    <row r="13738" spans="5:13" hidden="1" x14ac:dyDescent="0.2">
      <c r="F13738" s="503" t="s">
        <v>251</v>
      </c>
      <c r="G13738" s="504" t="s">
        <v>252</v>
      </c>
      <c r="H13738" s="397"/>
      <c r="I13738" s="397"/>
      <c r="J13738" s="750"/>
      <c r="K13738" s="398"/>
      <c r="L13738" s="404"/>
      <c r="M13738" s="682"/>
    </row>
    <row r="13739" spans="5:13" hidden="1" x14ac:dyDescent="0.2">
      <c r="F13739" s="503" t="s">
        <v>253</v>
      </c>
      <c r="G13739" s="504" t="s">
        <v>254</v>
      </c>
      <c r="H13739" s="397"/>
      <c r="I13739" s="397"/>
      <c r="J13739" s="750"/>
      <c r="K13739" s="398"/>
      <c r="L13739" s="404"/>
      <c r="M13739" s="682"/>
    </row>
    <row r="13740" spans="5:13" ht="25.5" hidden="1" x14ac:dyDescent="0.2">
      <c r="F13740" s="503" t="s">
        <v>255</v>
      </c>
      <c r="G13740" s="504" t="s">
        <v>256</v>
      </c>
      <c r="H13740" s="397"/>
      <c r="I13740" s="397"/>
      <c r="J13740" s="750"/>
      <c r="K13740" s="398"/>
      <c r="L13740" s="404"/>
      <c r="M13740" s="682"/>
    </row>
    <row r="13741" spans="5:13" ht="25.5" hidden="1" x14ac:dyDescent="0.2">
      <c r="F13741" s="503" t="s">
        <v>257</v>
      </c>
      <c r="G13741" s="504" t="s">
        <v>258</v>
      </c>
      <c r="H13741" s="397"/>
      <c r="I13741" s="397"/>
      <c r="J13741" s="750"/>
      <c r="K13741" s="398"/>
      <c r="L13741" s="404"/>
      <c r="M13741" s="682"/>
    </row>
    <row r="13742" spans="5:13" ht="25.5" hidden="1" x14ac:dyDescent="0.2">
      <c r="F13742" s="503" t="s">
        <v>259</v>
      </c>
      <c r="G13742" s="504" t="s">
        <v>260</v>
      </c>
      <c r="H13742" s="397"/>
      <c r="I13742" s="397"/>
      <c r="J13742" s="750"/>
      <c r="K13742" s="398"/>
      <c r="L13742" s="404"/>
      <c r="M13742" s="682"/>
    </row>
    <row r="13743" spans="5:13" ht="25.5" hidden="1" x14ac:dyDescent="0.2">
      <c r="F13743" s="503" t="s">
        <v>261</v>
      </c>
      <c r="G13743" s="504" t="s">
        <v>262</v>
      </c>
      <c r="H13743" s="397"/>
      <c r="I13743" s="397"/>
      <c r="J13743" s="750"/>
      <c r="K13743" s="398"/>
      <c r="L13743" s="404"/>
      <c r="M13743" s="682"/>
    </row>
    <row r="13744" spans="5:13" hidden="1" x14ac:dyDescent="0.2">
      <c r="F13744" s="503" t="s">
        <v>263</v>
      </c>
      <c r="G13744" s="504" t="s">
        <v>264</v>
      </c>
      <c r="H13744" s="403"/>
      <c r="I13744" s="403"/>
      <c r="J13744" s="750"/>
      <c r="K13744" s="404"/>
      <c r="L13744" s="404"/>
      <c r="M13744" s="682"/>
    </row>
    <row r="13745" spans="5:13" ht="13.5" hidden="1" thickBot="1" x14ac:dyDescent="0.25">
      <c r="G13745" s="505" t="s">
        <v>5104</v>
      </c>
      <c r="H13745" s="405">
        <f>SUM(H13729:H13744)</f>
        <v>0</v>
      </c>
      <c r="I13745" s="405"/>
      <c r="J13745" s="750"/>
      <c r="K13745" s="406">
        <f>SUM(K13730:K13744)</f>
        <v>0</v>
      </c>
      <c r="L13745" s="406"/>
      <c r="M13745" s="682"/>
    </row>
    <row r="13746" spans="5:13" hidden="1" x14ac:dyDescent="0.2">
      <c r="G13746" s="510"/>
      <c r="H13746" s="411"/>
      <c r="I13746" s="411"/>
      <c r="J13746" s="750"/>
      <c r="K13746" s="412"/>
      <c r="L13746" s="412"/>
      <c r="M13746" s="682"/>
    </row>
    <row r="13747" spans="5:13" hidden="1" x14ac:dyDescent="0.2">
      <c r="G13747" s="510"/>
      <c r="H13747" s="411"/>
      <c r="I13747" s="411"/>
      <c r="J13747" s="750"/>
      <c r="K13747" s="412"/>
      <c r="L13747" s="412"/>
      <c r="M13747" s="682"/>
    </row>
    <row r="13748" spans="5:13" hidden="1" x14ac:dyDescent="0.2">
      <c r="E13748" s="500"/>
      <c r="F13748" s="498"/>
      <c r="G13748" s="511" t="s">
        <v>4323</v>
      </c>
      <c r="H13748" s="413"/>
      <c r="I13748" s="413"/>
      <c r="J13748" s="750"/>
      <c r="K13748" s="414"/>
      <c r="L13748" s="415"/>
      <c r="M13748" s="682"/>
    </row>
    <row r="13749" spans="5:13" hidden="1" x14ac:dyDescent="0.2">
      <c r="E13749" s="502"/>
      <c r="F13749" s="503" t="s">
        <v>234</v>
      </c>
      <c r="G13749" s="504" t="s">
        <v>235</v>
      </c>
      <c r="H13749" s="403">
        <f>SUM(H13036,H12937,H13117,H13234,H13333,H13432,H13531,H13630,H13729)</f>
        <v>0</v>
      </c>
      <c r="I13749" s="403"/>
      <c r="J13749" s="750"/>
      <c r="K13749" s="404"/>
      <c r="L13749" s="404"/>
      <c r="M13749" s="682"/>
    </row>
    <row r="13750" spans="5:13" hidden="1" x14ac:dyDescent="0.2">
      <c r="F13750" s="503" t="s">
        <v>236</v>
      </c>
      <c r="G13750" s="504" t="s">
        <v>237</v>
      </c>
      <c r="H13750" s="397"/>
      <c r="I13750" s="397"/>
      <c r="J13750" s="750"/>
      <c r="K13750" s="398"/>
      <c r="L13750" s="404"/>
      <c r="M13750" s="682"/>
    </row>
    <row r="13751" spans="5:13" hidden="1" x14ac:dyDescent="0.2">
      <c r="F13751" s="503" t="s">
        <v>238</v>
      </c>
      <c r="G13751" s="504" t="s">
        <v>239</v>
      </c>
      <c r="H13751" s="397"/>
      <c r="I13751" s="397"/>
      <c r="J13751" s="750"/>
      <c r="K13751" s="398"/>
      <c r="L13751" s="404"/>
      <c r="M13751" s="682"/>
    </row>
    <row r="13752" spans="5:13" hidden="1" x14ac:dyDescent="0.2">
      <c r="F13752" s="503" t="s">
        <v>240</v>
      </c>
      <c r="G13752" s="504" t="s">
        <v>241</v>
      </c>
      <c r="H13752" s="397"/>
      <c r="I13752" s="397"/>
      <c r="J13752" s="750"/>
      <c r="K13752" s="398"/>
      <c r="L13752" s="404"/>
      <c r="M13752" s="682"/>
    </row>
    <row r="13753" spans="5:13" hidden="1" x14ac:dyDescent="0.2">
      <c r="F13753" s="503" t="s">
        <v>242</v>
      </c>
      <c r="G13753" s="504" t="s">
        <v>243</v>
      </c>
      <c r="H13753" s="397"/>
      <c r="I13753" s="397"/>
      <c r="J13753" s="750"/>
      <c r="K13753" s="398"/>
      <c r="L13753" s="404"/>
      <c r="M13753" s="682"/>
    </row>
    <row r="13754" spans="5:13" hidden="1" x14ac:dyDescent="0.2">
      <c r="F13754" s="503" t="s">
        <v>244</v>
      </c>
      <c r="G13754" s="504" t="s">
        <v>245</v>
      </c>
      <c r="H13754" s="397"/>
      <c r="I13754" s="397"/>
      <c r="J13754" s="750"/>
      <c r="K13754" s="398"/>
      <c r="L13754" s="404"/>
      <c r="M13754" s="682"/>
    </row>
    <row r="13755" spans="5:13" hidden="1" x14ac:dyDescent="0.2">
      <c r="F13755" s="503" t="s">
        <v>246</v>
      </c>
      <c r="G13755" s="504" t="s">
        <v>247</v>
      </c>
      <c r="H13755" s="397"/>
      <c r="I13755" s="397"/>
      <c r="J13755" s="750"/>
      <c r="K13755" s="398"/>
      <c r="L13755" s="404"/>
      <c r="M13755" s="682"/>
    </row>
    <row r="13756" spans="5:13" ht="25.5" hidden="1" x14ac:dyDescent="0.2">
      <c r="F13756" s="503" t="s">
        <v>248</v>
      </c>
      <c r="G13756" s="504" t="s">
        <v>249</v>
      </c>
      <c r="H13756" s="397"/>
      <c r="I13756" s="397"/>
      <c r="J13756" s="750"/>
      <c r="K13756" s="398"/>
      <c r="L13756" s="404"/>
      <c r="M13756" s="682"/>
    </row>
    <row r="13757" spans="5:13" hidden="1" x14ac:dyDescent="0.2">
      <c r="F13757" s="503" t="s">
        <v>250</v>
      </c>
      <c r="G13757" s="504" t="s">
        <v>57</v>
      </c>
      <c r="H13757" s="397"/>
      <c r="I13757" s="397"/>
      <c r="J13757" s="750"/>
      <c r="K13757" s="398"/>
      <c r="L13757" s="404"/>
      <c r="M13757" s="682"/>
    </row>
    <row r="13758" spans="5:13" hidden="1" x14ac:dyDescent="0.2">
      <c r="F13758" s="503" t="s">
        <v>251</v>
      </c>
      <c r="G13758" s="504" t="s">
        <v>252</v>
      </c>
      <c r="H13758" s="397"/>
      <c r="I13758" s="397"/>
      <c r="J13758" s="750"/>
      <c r="K13758" s="398"/>
      <c r="L13758" s="404"/>
      <c r="M13758" s="682"/>
    </row>
    <row r="13759" spans="5:13" hidden="1" x14ac:dyDescent="0.2">
      <c r="F13759" s="503" t="s">
        <v>253</v>
      </c>
      <c r="G13759" s="504" t="s">
        <v>254</v>
      </c>
      <c r="H13759" s="397"/>
      <c r="I13759" s="397"/>
      <c r="J13759" s="750"/>
      <c r="K13759" s="398"/>
      <c r="L13759" s="404"/>
      <c r="M13759" s="682"/>
    </row>
    <row r="13760" spans="5:13" ht="25.5" hidden="1" x14ac:dyDescent="0.2">
      <c r="F13760" s="503" t="s">
        <v>255</v>
      </c>
      <c r="G13760" s="504" t="s">
        <v>256</v>
      </c>
      <c r="H13760" s="397"/>
      <c r="I13760" s="397"/>
      <c r="J13760" s="750"/>
      <c r="K13760" s="398"/>
      <c r="L13760" s="404"/>
      <c r="M13760" s="682"/>
    </row>
    <row r="13761" spans="5:13" ht="25.5" hidden="1" x14ac:dyDescent="0.2">
      <c r="F13761" s="503" t="s">
        <v>257</v>
      </c>
      <c r="G13761" s="504" t="s">
        <v>258</v>
      </c>
      <c r="H13761" s="397"/>
      <c r="I13761" s="397"/>
      <c r="J13761" s="750"/>
      <c r="K13761" s="398"/>
      <c r="L13761" s="404"/>
      <c r="M13761" s="682"/>
    </row>
    <row r="13762" spans="5:13" ht="25.5" hidden="1" x14ac:dyDescent="0.2">
      <c r="F13762" s="503" t="s">
        <v>259</v>
      </c>
      <c r="G13762" s="504" t="s">
        <v>260</v>
      </c>
      <c r="H13762" s="397"/>
      <c r="I13762" s="397"/>
      <c r="J13762" s="750"/>
      <c r="K13762" s="398"/>
      <c r="L13762" s="404"/>
      <c r="M13762" s="682"/>
    </row>
    <row r="13763" spans="5:13" ht="25.5" hidden="1" x14ac:dyDescent="0.2">
      <c r="F13763" s="503" t="s">
        <v>261</v>
      </c>
      <c r="G13763" s="504" t="s">
        <v>262</v>
      </c>
      <c r="H13763" s="397"/>
      <c r="I13763" s="397"/>
      <c r="J13763" s="750"/>
      <c r="K13763" s="398"/>
      <c r="L13763" s="404"/>
      <c r="M13763" s="682"/>
    </row>
    <row r="13764" spans="5:13" hidden="1" x14ac:dyDescent="0.2">
      <c r="F13764" s="503" t="s">
        <v>263</v>
      </c>
      <c r="G13764" s="504" t="s">
        <v>264</v>
      </c>
      <c r="H13764" s="403"/>
      <c r="I13764" s="403"/>
      <c r="J13764" s="750"/>
      <c r="K13764" s="404"/>
      <c r="L13764" s="404"/>
      <c r="M13764" s="682"/>
    </row>
    <row r="13765" spans="5:13" ht="13.5" hidden="1" thickBot="1" x14ac:dyDescent="0.25">
      <c r="G13765" s="505" t="s">
        <v>4324</v>
      </c>
      <c r="H13765" s="405">
        <f>SUM(H13749:H13764)</f>
        <v>0</v>
      </c>
      <c r="I13765" s="405"/>
      <c r="J13765" s="750"/>
      <c r="K13765" s="406">
        <f>SUM(K13750:K13764)</f>
        <v>0</v>
      </c>
      <c r="L13765" s="406"/>
      <c r="M13765" s="682"/>
    </row>
    <row r="13766" spans="5:13" hidden="1" x14ac:dyDescent="0.2">
      <c r="H13766" s="397"/>
      <c r="I13766" s="397"/>
      <c r="J13766" s="750"/>
      <c r="K13766" s="398"/>
      <c r="L13766" s="398"/>
      <c r="M13766" s="682"/>
    </row>
    <row r="13767" spans="5:13" hidden="1" x14ac:dyDescent="0.2">
      <c r="E13767" s="500"/>
      <c r="F13767" s="498"/>
      <c r="G13767" s="511" t="s">
        <v>5058</v>
      </c>
      <c r="H13767" s="413"/>
      <c r="I13767" s="413"/>
      <c r="J13767" s="750"/>
      <c r="K13767" s="414"/>
      <c r="L13767" s="415"/>
      <c r="M13767" s="682"/>
    </row>
    <row r="13768" spans="5:13" hidden="1" x14ac:dyDescent="0.2">
      <c r="E13768" s="502"/>
      <c r="F13768" s="503" t="s">
        <v>234</v>
      </c>
      <c r="G13768" s="504" t="s">
        <v>235</v>
      </c>
      <c r="H13768" s="403">
        <f>SUM(H13749)</f>
        <v>0</v>
      </c>
      <c r="I13768" s="403"/>
      <c r="J13768" s="750"/>
      <c r="K13768" s="404"/>
      <c r="L13768" s="404"/>
      <c r="M13768" s="682"/>
    </row>
    <row r="13769" spans="5:13" hidden="1" x14ac:dyDescent="0.2">
      <c r="F13769" s="503" t="s">
        <v>236</v>
      </c>
      <c r="G13769" s="504" t="s">
        <v>237</v>
      </c>
      <c r="H13769" s="397"/>
      <c r="I13769" s="397"/>
      <c r="J13769" s="750"/>
      <c r="K13769" s="398"/>
      <c r="L13769" s="404"/>
      <c r="M13769" s="682"/>
    </row>
    <row r="13770" spans="5:13" hidden="1" x14ac:dyDescent="0.2">
      <c r="F13770" s="503" t="s">
        <v>238</v>
      </c>
      <c r="G13770" s="504" t="s">
        <v>239</v>
      </c>
      <c r="H13770" s="397"/>
      <c r="I13770" s="397"/>
      <c r="J13770" s="750"/>
      <c r="K13770" s="398"/>
      <c r="L13770" s="404"/>
      <c r="M13770" s="682"/>
    </row>
    <row r="13771" spans="5:13" hidden="1" x14ac:dyDescent="0.2">
      <c r="F13771" s="503" t="s">
        <v>240</v>
      </c>
      <c r="G13771" s="504" t="s">
        <v>241</v>
      </c>
      <c r="H13771" s="397"/>
      <c r="I13771" s="397"/>
      <c r="J13771" s="750"/>
      <c r="K13771" s="398"/>
      <c r="L13771" s="404"/>
      <c r="M13771" s="682"/>
    </row>
    <row r="13772" spans="5:13" hidden="1" x14ac:dyDescent="0.2">
      <c r="F13772" s="503" t="s">
        <v>242</v>
      </c>
      <c r="G13772" s="504" t="s">
        <v>243</v>
      </c>
      <c r="H13772" s="397"/>
      <c r="I13772" s="397"/>
      <c r="J13772" s="750"/>
      <c r="K13772" s="398"/>
      <c r="L13772" s="404"/>
      <c r="M13772" s="682"/>
    </row>
    <row r="13773" spans="5:13" hidden="1" x14ac:dyDescent="0.2">
      <c r="F13773" s="503" t="s">
        <v>244</v>
      </c>
      <c r="G13773" s="504" t="s">
        <v>245</v>
      </c>
      <c r="H13773" s="397"/>
      <c r="I13773" s="397"/>
      <c r="J13773" s="750"/>
      <c r="K13773" s="398"/>
      <c r="L13773" s="404"/>
      <c r="M13773" s="682"/>
    </row>
    <row r="13774" spans="5:13" hidden="1" x14ac:dyDescent="0.2">
      <c r="F13774" s="503" t="s">
        <v>246</v>
      </c>
      <c r="G13774" s="504" t="s">
        <v>247</v>
      </c>
      <c r="H13774" s="397"/>
      <c r="I13774" s="397"/>
      <c r="J13774" s="750"/>
      <c r="K13774" s="398"/>
      <c r="L13774" s="404"/>
      <c r="M13774" s="682"/>
    </row>
    <row r="13775" spans="5:13" ht="25.5" hidden="1" x14ac:dyDescent="0.2">
      <c r="F13775" s="503" t="s">
        <v>248</v>
      </c>
      <c r="G13775" s="504" t="s">
        <v>249</v>
      </c>
      <c r="H13775" s="397"/>
      <c r="I13775" s="397"/>
      <c r="J13775" s="750"/>
      <c r="K13775" s="398"/>
      <c r="L13775" s="404"/>
      <c r="M13775" s="682"/>
    </row>
    <row r="13776" spans="5:13" hidden="1" x14ac:dyDescent="0.2">
      <c r="F13776" s="503" t="s">
        <v>250</v>
      </c>
      <c r="G13776" s="504" t="s">
        <v>57</v>
      </c>
      <c r="H13776" s="397"/>
      <c r="I13776" s="397"/>
      <c r="J13776" s="750"/>
      <c r="K13776" s="398"/>
      <c r="L13776" s="404"/>
      <c r="M13776" s="682"/>
    </row>
    <row r="13777" spans="1:13" hidden="1" x14ac:dyDescent="0.2">
      <c r="F13777" s="503" t="s">
        <v>251</v>
      </c>
      <c r="G13777" s="504" t="s">
        <v>252</v>
      </c>
      <c r="H13777" s="397"/>
      <c r="I13777" s="397"/>
      <c r="J13777" s="750"/>
      <c r="K13777" s="398"/>
      <c r="L13777" s="404"/>
      <c r="M13777" s="682"/>
    </row>
    <row r="13778" spans="1:13" hidden="1" x14ac:dyDescent="0.2">
      <c r="F13778" s="503" t="s">
        <v>253</v>
      </c>
      <c r="G13778" s="504" t="s">
        <v>254</v>
      </c>
      <c r="H13778" s="397"/>
      <c r="I13778" s="397"/>
      <c r="J13778" s="750"/>
      <c r="K13778" s="398"/>
      <c r="L13778" s="404"/>
      <c r="M13778" s="682"/>
    </row>
    <row r="13779" spans="1:13" ht="25.5" hidden="1" x14ac:dyDescent="0.2">
      <c r="F13779" s="503" t="s">
        <v>255</v>
      </c>
      <c r="G13779" s="504" t="s">
        <v>256</v>
      </c>
      <c r="H13779" s="397"/>
      <c r="I13779" s="397"/>
      <c r="J13779" s="750"/>
      <c r="K13779" s="398"/>
      <c r="L13779" s="404"/>
      <c r="M13779" s="682"/>
    </row>
    <row r="13780" spans="1:13" ht="25.5" hidden="1" x14ac:dyDescent="0.2">
      <c r="F13780" s="503" t="s">
        <v>257</v>
      </c>
      <c r="G13780" s="504" t="s">
        <v>258</v>
      </c>
      <c r="H13780" s="397"/>
      <c r="I13780" s="397"/>
      <c r="J13780" s="750"/>
      <c r="K13780" s="398"/>
      <c r="L13780" s="404"/>
      <c r="M13780" s="682"/>
    </row>
    <row r="13781" spans="1:13" ht="25.5" hidden="1" x14ac:dyDescent="0.2">
      <c r="F13781" s="503" t="s">
        <v>259</v>
      </c>
      <c r="G13781" s="504" t="s">
        <v>260</v>
      </c>
      <c r="H13781" s="397"/>
      <c r="I13781" s="397"/>
      <c r="J13781" s="750"/>
      <c r="K13781" s="398"/>
      <c r="L13781" s="404"/>
      <c r="M13781" s="682"/>
    </row>
    <row r="13782" spans="1:13" ht="25.5" hidden="1" x14ac:dyDescent="0.2">
      <c r="F13782" s="503" t="s">
        <v>261</v>
      </c>
      <c r="G13782" s="504" t="s">
        <v>262</v>
      </c>
      <c r="H13782" s="397"/>
      <c r="I13782" s="397"/>
      <c r="J13782" s="750"/>
      <c r="K13782" s="398"/>
      <c r="L13782" s="404"/>
      <c r="M13782" s="682"/>
    </row>
    <row r="13783" spans="1:13" hidden="1" x14ac:dyDescent="0.2">
      <c r="F13783" s="503" t="s">
        <v>263</v>
      </c>
      <c r="G13783" s="504" t="s">
        <v>264</v>
      </c>
      <c r="H13783" s="403"/>
      <c r="I13783" s="403"/>
      <c r="J13783" s="750"/>
      <c r="K13783" s="404"/>
      <c r="L13783" s="404"/>
      <c r="M13783" s="682"/>
    </row>
    <row r="13784" spans="1:13" ht="13.5" hidden="1" thickBot="1" x14ac:dyDescent="0.25">
      <c r="G13784" s="505" t="s">
        <v>5059</v>
      </c>
      <c r="H13784" s="405">
        <f>SUM(H13768:H13783)</f>
        <v>0</v>
      </c>
      <c r="I13784" s="405"/>
      <c r="J13784" s="750"/>
      <c r="K13784" s="406">
        <f>SUM(K13769:K13783)</f>
        <v>0</v>
      </c>
      <c r="L13784" s="406"/>
      <c r="M13784" s="682"/>
    </row>
    <row r="13785" spans="1:13" hidden="1" x14ac:dyDescent="0.2">
      <c r="H13785" s="397"/>
      <c r="I13785" s="397"/>
      <c r="J13785" s="750"/>
      <c r="K13785" s="398"/>
      <c r="L13785" s="398"/>
      <c r="M13785" s="682"/>
    </row>
    <row r="13786" spans="1:13" hidden="1" x14ac:dyDescent="0.2">
      <c r="A13786" s="646">
        <v>4</v>
      </c>
      <c r="B13786" s="647" t="s">
        <v>4340</v>
      </c>
      <c r="C13786" s="646"/>
      <c r="D13786" s="185"/>
      <c r="E13786" s="185"/>
      <c r="F13786" s="185"/>
      <c r="G13786" s="648" t="s">
        <v>4321</v>
      </c>
      <c r="H13786" s="450"/>
      <c r="I13786" s="450"/>
      <c r="J13786" s="750"/>
      <c r="K13786" s="451"/>
      <c r="L13786" s="452"/>
      <c r="M13786" s="682"/>
    </row>
    <row r="13787" spans="1:13" ht="16.5" hidden="1" customHeight="1" x14ac:dyDescent="0.2">
      <c r="C13787" s="489" t="s">
        <v>3594</v>
      </c>
      <c r="G13787" s="513" t="s">
        <v>4315</v>
      </c>
      <c r="H13787" s="397"/>
      <c r="I13787" s="397"/>
      <c r="J13787" s="750"/>
      <c r="K13787" s="398"/>
      <c r="L13787" s="398"/>
      <c r="M13787" s="682"/>
    </row>
    <row r="13788" spans="1:13" hidden="1" x14ac:dyDescent="0.2">
      <c r="C13788" s="489" t="s">
        <v>4125</v>
      </c>
      <c r="D13788" s="490"/>
      <c r="G13788" s="513" t="s">
        <v>4316</v>
      </c>
      <c r="H13788" s="397"/>
      <c r="I13788" s="397"/>
      <c r="J13788" s="750"/>
      <c r="K13788" s="398"/>
      <c r="L13788" s="398"/>
      <c r="M13788" s="682"/>
    </row>
    <row r="13789" spans="1:13" hidden="1" x14ac:dyDescent="0.2">
      <c r="C13789" s="489"/>
      <c r="D13789" s="492">
        <v>820</v>
      </c>
      <c r="E13789" s="492"/>
      <c r="F13789" s="492"/>
      <c r="G13789" s="493" t="s">
        <v>207</v>
      </c>
      <c r="H13789" s="397"/>
      <c r="I13789" s="397"/>
      <c r="J13789" s="750"/>
      <c r="K13789" s="398"/>
      <c r="L13789" s="398"/>
      <c r="M13789" s="682"/>
    </row>
    <row r="13790" spans="1:13" hidden="1" x14ac:dyDescent="0.2">
      <c r="F13790" s="494">
        <v>411</v>
      </c>
      <c r="G13790" s="495" t="s">
        <v>4167</v>
      </c>
      <c r="H13790" s="397"/>
      <c r="I13790" s="397"/>
      <c r="J13790" s="750"/>
      <c r="K13790" s="398"/>
      <c r="L13790" s="398"/>
      <c r="M13790" s="682"/>
    </row>
    <row r="13791" spans="1:13" hidden="1" x14ac:dyDescent="0.2">
      <c r="F13791" s="494">
        <v>412</v>
      </c>
      <c r="G13791" s="496" t="s">
        <v>3764</v>
      </c>
      <c r="H13791" s="397"/>
      <c r="I13791" s="397"/>
      <c r="J13791" s="750"/>
      <c r="K13791" s="398"/>
      <c r="L13791" s="398"/>
      <c r="M13791" s="682"/>
    </row>
    <row r="13792" spans="1:13" hidden="1" x14ac:dyDescent="0.2">
      <c r="F13792" s="494">
        <v>413</v>
      </c>
      <c r="G13792" s="495" t="s">
        <v>4168</v>
      </c>
      <c r="H13792" s="397"/>
      <c r="I13792" s="397"/>
      <c r="J13792" s="750"/>
      <c r="K13792" s="398"/>
      <c r="L13792" s="398"/>
      <c r="M13792" s="682"/>
    </row>
    <row r="13793" spans="6:13" hidden="1" x14ac:dyDescent="0.2">
      <c r="F13793" s="494">
        <v>414</v>
      </c>
      <c r="G13793" s="495" t="s">
        <v>3767</v>
      </c>
      <c r="H13793" s="397"/>
      <c r="I13793" s="397"/>
      <c r="J13793" s="750"/>
      <c r="K13793" s="398"/>
      <c r="L13793" s="398"/>
      <c r="M13793" s="682"/>
    </row>
    <row r="13794" spans="6:13" hidden="1" x14ac:dyDescent="0.2">
      <c r="F13794" s="494">
        <v>415</v>
      </c>
      <c r="G13794" s="495" t="s">
        <v>4177</v>
      </c>
      <c r="H13794" s="397"/>
      <c r="I13794" s="397"/>
      <c r="J13794" s="750"/>
      <c r="K13794" s="398"/>
      <c r="L13794" s="398"/>
      <c r="M13794" s="682"/>
    </row>
    <row r="13795" spans="6:13" ht="25.5" hidden="1" x14ac:dyDescent="0.2">
      <c r="F13795" s="494">
        <v>416</v>
      </c>
      <c r="G13795" s="495" t="s">
        <v>4178</v>
      </c>
      <c r="H13795" s="397"/>
      <c r="I13795" s="397"/>
      <c r="J13795" s="750"/>
      <c r="K13795" s="398"/>
      <c r="L13795" s="398"/>
      <c r="M13795" s="682"/>
    </row>
    <row r="13796" spans="6:13" hidden="1" x14ac:dyDescent="0.2">
      <c r="F13796" s="494">
        <v>417</v>
      </c>
      <c r="G13796" s="495" t="s">
        <v>4179</v>
      </c>
      <c r="H13796" s="397"/>
      <c r="I13796" s="397"/>
      <c r="J13796" s="750"/>
      <c r="K13796" s="398"/>
      <c r="L13796" s="398"/>
      <c r="M13796" s="682"/>
    </row>
    <row r="13797" spans="6:13" hidden="1" x14ac:dyDescent="0.2">
      <c r="F13797" s="494">
        <v>418</v>
      </c>
      <c r="G13797" s="495" t="s">
        <v>3773</v>
      </c>
      <c r="H13797" s="397"/>
      <c r="I13797" s="397"/>
      <c r="J13797" s="750"/>
      <c r="K13797" s="398"/>
      <c r="L13797" s="398"/>
      <c r="M13797" s="682"/>
    </row>
    <row r="13798" spans="6:13" hidden="1" x14ac:dyDescent="0.2">
      <c r="F13798" s="494">
        <v>421</v>
      </c>
      <c r="G13798" s="495" t="s">
        <v>3777</v>
      </c>
      <c r="H13798" s="397"/>
      <c r="I13798" s="397"/>
      <c r="J13798" s="750"/>
      <c r="K13798" s="398"/>
      <c r="L13798" s="398"/>
      <c r="M13798" s="682"/>
    </row>
    <row r="13799" spans="6:13" hidden="1" x14ac:dyDescent="0.2">
      <c r="F13799" s="494">
        <v>422</v>
      </c>
      <c r="G13799" s="495" t="s">
        <v>3778</v>
      </c>
      <c r="H13799" s="397"/>
      <c r="I13799" s="397"/>
      <c r="J13799" s="750"/>
      <c r="K13799" s="398"/>
      <c r="L13799" s="398"/>
      <c r="M13799" s="682"/>
    </row>
    <row r="13800" spans="6:13" hidden="1" x14ac:dyDescent="0.2">
      <c r="F13800" s="494">
        <v>423</v>
      </c>
      <c r="G13800" s="495" t="s">
        <v>3779</v>
      </c>
      <c r="H13800" s="397"/>
      <c r="I13800" s="397"/>
      <c r="J13800" s="750"/>
      <c r="K13800" s="398"/>
      <c r="L13800" s="398"/>
      <c r="M13800" s="682"/>
    </row>
    <row r="13801" spans="6:13" hidden="1" x14ac:dyDescent="0.2">
      <c r="F13801" s="494">
        <v>424</v>
      </c>
      <c r="G13801" s="495" t="s">
        <v>3781</v>
      </c>
      <c r="H13801" s="397"/>
      <c r="I13801" s="397"/>
      <c r="J13801" s="750"/>
      <c r="K13801" s="398"/>
      <c r="L13801" s="398"/>
      <c r="M13801" s="682"/>
    </row>
    <row r="13802" spans="6:13" hidden="1" x14ac:dyDescent="0.2">
      <c r="F13802" s="494">
        <v>425</v>
      </c>
      <c r="G13802" s="495" t="s">
        <v>4180</v>
      </c>
      <c r="H13802" s="397"/>
      <c r="I13802" s="397"/>
      <c r="J13802" s="750"/>
      <c r="K13802" s="398"/>
      <c r="L13802" s="398"/>
      <c r="M13802" s="682"/>
    </row>
    <row r="13803" spans="6:13" hidden="1" x14ac:dyDescent="0.2">
      <c r="F13803" s="494">
        <v>426</v>
      </c>
      <c r="G13803" s="495" t="s">
        <v>3785</v>
      </c>
      <c r="H13803" s="397"/>
      <c r="I13803" s="397"/>
      <c r="J13803" s="750"/>
      <c r="K13803" s="398"/>
      <c r="L13803" s="398"/>
      <c r="M13803" s="682"/>
    </row>
    <row r="13804" spans="6:13" hidden="1" x14ac:dyDescent="0.2">
      <c r="F13804" s="494">
        <v>431</v>
      </c>
      <c r="G13804" s="495" t="s">
        <v>4181</v>
      </c>
      <c r="H13804" s="397"/>
      <c r="I13804" s="397"/>
      <c r="J13804" s="750"/>
      <c r="K13804" s="398"/>
      <c r="L13804" s="398"/>
      <c r="M13804" s="682"/>
    </row>
    <row r="13805" spans="6:13" hidden="1" x14ac:dyDescent="0.2">
      <c r="F13805" s="494">
        <v>432</v>
      </c>
      <c r="G13805" s="495" t="s">
        <v>4182</v>
      </c>
      <c r="H13805" s="397"/>
      <c r="I13805" s="397"/>
      <c r="J13805" s="750"/>
      <c r="K13805" s="398"/>
      <c r="L13805" s="398"/>
      <c r="M13805" s="682"/>
    </row>
    <row r="13806" spans="6:13" hidden="1" x14ac:dyDescent="0.2">
      <c r="F13806" s="494">
        <v>433</v>
      </c>
      <c r="G13806" s="495" t="s">
        <v>4183</v>
      </c>
      <c r="H13806" s="397"/>
      <c r="I13806" s="397"/>
      <c r="J13806" s="750"/>
      <c r="K13806" s="398"/>
      <c r="L13806" s="398"/>
      <c r="M13806" s="682"/>
    </row>
    <row r="13807" spans="6:13" hidden="1" x14ac:dyDescent="0.2">
      <c r="F13807" s="494">
        <v>434</v>
      </c>
      <c r="G13807" s="495" t="s">
        <v>4184</v>
      </c>
      <c r="H13807" s="397"/>
      <c r="I13807" s="397"/>
      <c r="J13807" s="750"/>
      <c r="K13807" s="398"/>
      <c r="L13807" s="398"/>
      <c r="M13807" s="682"/>
    </row>
    <row r="13808" spans="6:13" hidden="1" x14ac:dyDescent="0.2">
      <c r="F13808" s="494">
        <v>435</v>
      </c>
      <c r="G13808" s="495" t="s">
        <v>3792</v>
      </c>
      <c r="H13808" s="397"/>
      <c r="I13808" s="397"/>
      <c r="J13808" s="750"/>
      <c r="K13808" s="398"/>
      <c r="L13808" s="398"/>
      <c r="M13808" s="682"/>
    </row>
    <row r="13809" spans="6:13" hidden="1" x14ac:dyDescent="0.2">
      <c r="F13809" s="494">
        <v>441</v>
      </c>
      <c r="G13809" s="495" t="s">
        <v>4185</v>
      </c>
      <c r="H13809" s="397"/>
      <c r="I13809" s="397"/>
      <c r="J13809" s="750"/>
      <c r="K13809" s="398"/>
      <c r="L13809" s="398"/>
      <c r="M13809" s="682"/>
    </row>
    <row r="13810" spans="6:13" hidden="1" x14ac:dyDescent="0.2">
      <c r="F13810" s="494">
        <v>442</v>
      </c>
      <c r="G13810" s="495" t="s">
        <v>4186</v>
      </c>
      <c r="H13810" s="397"/>
      <c r="I13810" s="397"/>
      <c r="J13810" s="750"/>
      <c r="K13810" s="398"/>
      <c r="L13810" s="398"/>
      <c r="M13810" s="682"/>
    </row>
    <row r="13811" spans="6:13" hidden="1" x14ac:dyDescent="0.2">
      <c r="F13811" s="494">
        <v>443</v>
      </c>
      <c r="G13811" s="495" t="s">
        <v>3797</v>
      </c>
      <c r="H13811" s="397"/>
      <c r="I13811" s="397"/>
      <c r="J13811" s="750"/>
      <c r="K13811" s="398"/>
      <c r="L13811" s="398"/>
      <c r="M13811" s="682"/>
    </row>
    <row r="13812" spans="6:13" hidden="1" x14ac:dyDescent="0.2">
      <c r="F13812" s="494">
        <v>444</v>
      </c>
      <c r="G13812" s="495" t="s">
        <v>3798</v>
      </c>
      <c r="H13812" s="397"/>
      <c r="I13812" s="397"/>
      <c r="J13812" s="750"/>
      <c r="K13812" s="398"/>
      <c r="L13812" s="398"/>
      <c r="M13812" s="682"/>
    </row>
    <row r="13813" spans="6:13" ht="25.5" hidden="1" x14ac:dyDescent="0.2">
      <c r="F13813" s="494">
        <v>4511</v>
      </c>
      <c r="G13813" s="466" t="s">
        <v>1692</v>
      </c>
      <c r="H13813" s="397"/>
      <c r="I13813" s="397"/>
      <c r="J13813" s="750"/>
      <c r="K13813" s="398"/>
      <c r="L13813" s="398"/>
      <c r="M13813" s="682"/>
    </row>
    <row r="13814" spans="6:13" ht="19.5" hidden="1" customHeight="1" x14ac:dyDescent="0.2">
      <c r="F13814" s="494">
        <v>4512</v>
      </c>
      <c r="G13814" s="466" t="s">
        <v>1701</v>
      </c>
      <c r="H13814" s="397"/>
      <c r="I13814" s="397"/>
      <c r="J13814" s="750"/>
      <c r="K13814" s="398"/>
      <c r="L13814" s="398"/>
      <c r="M13814" s="682"/>
    </row>
    <row r="13815" spans="6:13" ht="25.5" hidden="1" x14ac:dyDescent="0.2">
      <c r="F13815" s="494">
        <v>452</v>
      </c>
      <c r="G13815" s="495" t="s">
        <v>4187</v>
      </c>
      <c r="H13815" s="397"/>
      <c r="I13815" s="397"/>
      <c r="J13815" s="750"/>
      <c r="K13815" s="398"/>
      <c r="L13815" s="398"/>
      <c r="M13815" s="682"/>
    </row>
    <row r="13816" spans="6:13" ht="25.5" hidden="1" x14ac:dyDescent="0.2">
      <c r="F13816" s="494">
        <v>453</v>
      </c>
      <c r="G13816" s="495" t="s">
        <v>4188</v>
      </c>
      <c r="H13816" s="397"/>
      <c r="I13816" s="397"/>
      <c r="J13816" s="750"/>
      <c r="K13816" s="398"/>
      <c r="L13816" s="398"/>
      <c r="M13816" s="682"/>
    </row>
    <row r="13817" spans="6:13" hidden="1" x14ac:dyDescent="0.2">
      <c r="F13817" s="494">
        <v>454</v>
      </c>
      <c r="G13817" s="495" t="s">
        <v>3803</v>
      </c>
      <c r="H13817" s="397"/>
      <c r="I13817" s="397"/>
      <c r="J13817" s="750"/>
      <c r="K13817" s="398"/>
      <c r="L13817" s="398"/>
      <c r="M13817" s="682"/>
    </row>
    <row r="13818" spans="6:13" hidden="1" x14ac:dyDescent="0.2">
      <c r="F13818" s="494">
        <v>461</v>
      </c>
      <c r="G13818" s="495" t="s">
        <v>4169</v>
      </c>
      <c r="H13818" s="397"/>
      <c r="I13818" s="397"/>
      <c r="J13818" s="750"/>
      <c r="K13818" s="398"/>
      <c r="L13818" s="398"/>
      <c r="M13818" s="682"/>
    </row>
    <row r="13819" spans="6:13" ht="25.5" hidden="1" x14ac:dyDescent="0.2">
      <c r="F13819" s="494">
        <v>462</v>
      </c>
      <c r="G13819" s="495" t="s">
        <v>3806</v>
      </c>
      <c r="H13819" s="397"/>
      <c r="I13819" s="397"/>
      <c r="J13819" s="750"/>
      <c r="K13819" s="398"/>
      <c r="L13819" s="398"/>
      <c r="M13819" s="682"/>
    </row>
    <row r="13820" spans="6:13" hidden="1" x14ac:dyDescent="0.2">
      <c r="F13820" s="494">
        <v>4631</v>
      </c>
      <c r="G13820" s="495" t="s">
        <v>3807</v>
      </c>
      <c r="H13820" s="397"/>
      <c r="I13820" s="397"/>
      <c r="J13820" s="750"/>
      <c r="K13820" s="398"/>
      <c r="L13820" s="398"/>
      <c r="M13820" s="682"/>
    </row>
    <row r="13821" spans="6:13" hidden="1" x14ac:dyDescent="0.2">
      <c r="F13821" s="494">
        <v>4632</v>
      </c>
      <c r="G13821" s="495" t="s">
        <v>3808</v>
      </c>
      <c r="H13821" s="397"/>
      <c r="I13821" s="397"/>
      <c r="J13821" s="750"/>
      <c r="K13821" s="398"/>
      <c r="L13821" s="398"/>
      <c r="M13821" s="682"/>
    </row>
    <row r="13822" spans="6:13" ht="25.5" hidden="1" x14ac:dyDescent="0.2">
      <c r="F13822" s="494">
        <v>464</v>
      </c>
      <c r="G13822" s="495" t="s">
        <v>3809</v>
      </c>
      <c r="H13822" s="397"/>
      <c r="I13822" s="397"/>
      <c r="J13822" s="750"/>
      <c r="K13822" s="398"/>
      <c r="L13822" s="398"/>
      <c r="M13822" s="682"/>
    </row>
    <row r="13823" spans="6:13" hidden="1" x14ac:dyDescent="0.2">
      <c r="F13823" s="494">
        <v>465</v>
      </c>
      <c r="G13823" s="495" t="s">
        <v>4170</v>
      </c>
      <c r="H13823" s="397"/>
      <c r="I13823" s="397"/>
      <c r="J13823" s="750"/>
      <c r="K13823" s="398"/>
      <c r="L13823" s="398"/>
      <c r="M13823" s="682"/>
    </row>
    <row r="13824" spans="6:13" hidden="1" x14ac:dyDescent="0.2">
      <c r="F13824" s="494">
        <v>472</v>
      </c>
      <c r="G13824" s="495" t="s">
        <v>3813</v>
      </c>
      <c r="H13824" s="397"/>
      <c r="I13824" s="397"/>
      <c r="J13824" s="750"/>
      <c r="K13824" s="398"/>
      <c r="L13824" s="398"/>
      <c r="M13824" s="682"/>
    </row>
    <row r="13825" spans="6:13" hidden="1" x14ac:dyDescent="0.2">
      <c r="F13825" s="494">
        <v>481</v>
      </c>
      <c r="G13825" s="495" t="s">
        <v>4189</v>
      </c>
      <c r="H13825" s="397"/>
      <c r="I13825" s="397"/>
      <c r="J13825" s="750"/>
      <c r="K13825" s="398"/>
      <c r="L13825" s="398"/>
      <c r="M13825" s="682"/>
    </row>
    <row r="13826" spans="6:13" hidden="1" x14ac:dyDescent="0.2">
      <c r="F13826" s="494">
        <v>482</v>
      </c>
      <c r="G13826" s="495" t="s">
        <v>4190</v>
      </c>
      <c r="H13826" s="397"/>
      <c r="I13826" s="397"/>
      <c r="J13826" s="750"/>
      <c r="K13826" s="398"/>
      <c r="L13826" s="398"/>
      <c r="M13826" s="682"/>
    </row>
    <row r="13827" spans="6:13" hidden="1" x14ac:dyDescent="0.2">
      <c r="F13827" s="494">
        <v>483</v>
      </c>
      <c r="G13827" s="497" t="s">
        <v>4191</v>
      </c>
      <c r="H13827" s="397"/>
      <c r="I13827" s="397"/>
      <c r="J13827" s="750"/>
      <c r="K13827" s="398"/>
      <c r="L13827" s="398"/>
      <c r="M13827" s="682"/>
    </row>
    <row r="13828" spans="6:13" ht="38.25" hidden="1" x14ac:dyDescent="0.2">
      <c r="F13828" s="494">
        <v>484</v>
      </c>
      <c r="G13828" s="495" t="s">
        <v>4192</v>
      </c>
      <c r="H13828" s="397"/>
      <c r="I13828" s="397"/>
      <c r="J13828" s="750"/>
      <c r="K13828" s="398"/>
      <c r="L13828" s="398"/>
      <c r="M13828" s="682"/>
    </row>
    <row r="13829" spans="6:13" ht="25.5" hidden="1" x14ac:dyDescent="0.2">
      <c r="F13829" s="494">
        <v>485</v>
      </c>
      <c r="G13829" s="495" t="s">
        <v>4193</v>
      </c>
      <c r="H13829" s="397"/>
      <c r="I13829" s="397"/>
      <c r="J13829" s="750"/>
      <c r="K13829" s="398"/>
      <c r="L13829" s="398"/>
      <c r="M13829" s="682"/>
    </row>
    <row r="13830" spans="6:13" ht="25.5" hidden="1" x14ac:dyDescent="0.2">
      <c r="F13830" s="494">
        <v>489</v>
      </c>
      <c r="G13830" s="495" t="s">
        <v>3821</v>
      </c>
      <c r="H13830" s="397"/>
      <c r="I13830" s="397"/>
      <c r="J13830" s="750"/>
      <c r="K13830" s="398"/>
      <c r="L13830" s="398"/>
      <c r="M13830" s="682"/>
    </row>
    <row r="13831" spans="6:13" ht="25.5" hidden="1" x14ac:dyDescent="0.2">
      <c r="F13831" s="494">
        <v>494</v>
      </c>
      <c r="G13831" s="495" t="s">
        <v>4171</v>
      </c>
      <c r="H13831" s="397"/>
      <c r="I13831" s="397"/>
      <c r="J13831" s="750"/>
      <c r="K13831" s="398"/>
      <c r="L13831" s="398"/>
      <c r="M13831" s="682"/>
    </row>
    <row r="13832" spans="6:13" ht="25.5" hidden="1" x14ac:dyDescent="0.2">
      <c r="F13832" s="494">
        <v>495</v>
      </c>
      <c r="G13832" s="495" t="s">
        <v>4172</v>
      </c>
      <c r="H13832" s="397"/>
      <c r="I13832" s="397"/>
      <c r="J13832" s="750"/>
      <c r="K13832" s="398"/>
      <c r="L13832" s="398"/>
      <c r="M13832" s="682"/>
    </row>
    <row r="13833" spans="6:13" ht="38.25" hidden="1" x14ac:dyDescent="0.2">
      <c r="F13833" s="494">
        <v>496</v>
      </c>
      <c r="G13833" s="495" t="s">
        <v>4173</v>
      </c>
      <c r="H13833" s="397"/>
      <c r="I13833" s="397"/>
      <c r="J13833" s="750"/>
      <c r="K13833" s="398"/>
      <c r="L13833" s="398"/>
      <c r="M13833" s="682"/>
    </row>
    <row r="13834" spans="6:13" ht="25.5" hidden="1" x14ac:dyDescent="0.2">
      <c r="F13834" s="494">
        <v>499</v>
      </c>
      <c r="G13834" s="495" t="s">
        <v>4174</v>
      </c>
      <c r="H13834" s="397"/>
      <c r="I13834" s="397"/>
      <c r="J13834" s="750"/>
      <c r="K13834" s="398"/>
      <c r="L13834" s="398"/>
      <c r="M13834" s="682"/>
    </row>
    <row r="13835" spans="6:13" hidden="1" x14ac:dyDescent="0.2">
      <c r="F13835" s="494">
        <v>511</v>
      </c>
      <c r="G13835" s="497" t="s">
        <v>4194</v>
      </c>
      <c r="H13835" s="397"/>
      <c r="I13835" s="397"/>
      <c r="J13835" s="750"/>
      <c r="K13835" s="398"/>
      <c r="L13835" s="398"/>
      <c r="M13835" s="682"/>
    </row>
    <row r="13836" spans="6:13" hidden="1" x14ac:dyDescent="0.2">
      <c r="F13836" s="494">
        <v>512</v>
      </c>
      <c r="G13836" s="497" t="s">
        <v>4195</v>
      </c>
      <c r="H13836" s="397"/>
      <c r="I13836" s="397"/>
      <c r="J13836" s="750"/>
      <c r="K13836" s="398"/>
      <c r="L13836" s="398"/>
      <c r="M13836" s="682"/>
    </row>
    <row r="13837" spans="6:13" hidden="1" x14ac:dyDescent="0.2">
      <c r="F13837" s="494">
        <v>513</v>
      </c>
      <c r="G13837" s="497" t="s">
        <v>4196</v>
      </c>
      <c r="H13837" s="397"/>
      <c r="I13837" s="397"/>
      <c r="J13837" s="750"/>
      <c r="K13837" s="398"/>
      <c r="L13837" s="398"/>
      <c r="M13837" s="682"/>
    </row>
    <row r="13838" spans="6:13" hidden="1" x14ac:dyDescent="0.2">
      <c r="F13838" s="494">
        <v>514</v>
      </c>
      <c r="G13838" s="495" t="s">
        <v>4197</v>
      </c>
      <c r="H13838" s="397"/>
      <c r="I13838" s="397"/>
      <c r="J13838" s="750"/>
      <c r="K13838" s="398"/>
      <c r="L13838" s="398"/>
      <c r="M13838" s="682"/>
    </row>
    <row r="13839" spans="6:13" hidden="1" x14ac:dyDescent="0.2">
      <c r="F13839" s="494">
        <v>515</v>
      </c>
      <c r="G13839" s="495" t="s">
        <v>3832</v>
      </c>
      <c r="H13839" s="397"/>
      <c r="I13839" s="397"/>
      <c r="J13839" s="750"/>
      <c r="K13839" s="398"/>
      <c r="L13839" s="398"/>
      <c r="M13839" s="682"/>
    </row>
    <row r="13840" spans="6:13" hidden="1" x14ac:dyDescent="0.2">
      <c r="F13840" s="494">
        <v>521</v>
      </c>
      <c r="G13840" s="495" t="s">
        <v>4198</v>
      </c>
      <c r="H13840" s="397"/>
      <c r="I13840" s="397"/>
      <c r="J13840" s="750"/>
      <c r="K13840" s="398"/>
      <c r="L13840" s="398"/>
      <c r="M13840" s="682"/>
    </row>
    <row r="13841" spans="5:13" hidden="1" x14ac:dyDescent="0.2">
      <c r="F13841" s="494">
        <v>522</v>
      </c>
      <c r="G13841" s="495" t="s">
        <v>4199</v>
      </c>
      <c r="H13841" s="397"/>
      <c r="I13841" s="397"/>
      <c r="J13841" s="750"/>
      <c r="K13841" s="398"/>
      <c r="L13841" s="398"/>
      <c r="M13841" s="682"/>
    </row>
    <row r="13842" spans="5:13" hidden="1" x14ac:dyDescent="0.2">
      <c r="F13842" s="494">
        <v>523</v>
      </c>
      <c r="G13842" s="495" t="s">
        <v>3837</v>
      </c>
      <c r="H13842" s="397"/>
      <c r="I13842" s="397"/>
      <c r="J13842" s="750"/>
      <c r="K13842" s="398"/>
      <c r="L13842" s="398"/>
      <c r="M13842" s="682"/>
    </row>
    <row r="13843" spans="5:13" hidden="1" x14ac:dyDescent="0.2">
      <c r="F13843" s="494">
        <v>531</v>
      </c>
      <c r="G13843" s="496" t="s">
        <v>4175</v>
      </c>
      <c r="H13843" s="397"/>
      <c r="I13843" s="397"/>
      <c r="J13843" s="750"/>
      <c r="K13843" s="398"/>
      <c r="L13843" s="398"/>
      <c r="M13843" s="682"/>
    </row>
    <row r="13844" spans="5:13" hidden="1" x14ac:dyDescent="0.2">
      <c r="F13844" s="494">
        <v>541</v>
      </c>
      <c r="G13844" s="495" t="s">
        <v>4200</v>
      </c>
      <c r="H13844" s="397"/>
      <c r="I13844" s="397"/>
      <c r="J13844" s="750"/>
      <c r="K13844" s="398"/>
      <c r="L13844" s="398"/>
      <c r="M13844" s="682"/>
    </row>
    <row r="13845" spans="5:13" hidden="1" x14ac:dyDescent="0.2">
      <c r="F13845" s="494">
        <v>542</v>
      </c>
      <c r="G13845" s="495" t="s">
        <v>4201</v>
      </c>
      <c r="H13845" s="397"/>
      <c r="I13845" s="397"/>
      <c r="J13845" s="750"/>
      <c r="K13845" s="398"/>
      <c r="L13845" s="398"/>
      <c r="M13845" s="682"/>
    </row>
    <row r="13846" spans="5:13" hidden="1" x14ac:dyDescent="0.2">
      <c r="F13846" s="494">
        <v>543</v>
      </c>
      <c r="G13846" s="495" t="s">
        <v>3842</v>
      </c>
      <c r="H13846" s="397"/>
      <c r="I13846" s="397"/>
      <c r="J13846" s="750"/>
      <c r="K13846" s="398"/>
      <c r="L13846" s="398"/>
      <c r="M13846" s="682"/>
    </row>
    <row r="13847" spans="5:13" ht="38.25" hidden="1" x14ac:dyDescent="0.2">
      <c r="F13847" s="494">
        <v>551</v>
      </c>
      <c r="G13847" s="495" t="s">
        <v>4176</v>
      </c>
      <c r="H13847" s="397"/>
      <c r="I13847" s="397"/>
      <c r="J13847" s="750"/>
      <c r="K13847" s="398"/>
      <c r="L13847" s="398"/>
      <c r="M13847" s="682"/>
    </row>
    <row r="13848" spans="5:13" hidden="1" x14ac:dyDescent="0.2">
      <c r="F13848" s="498">
        <v>611</v>
      </c>
      <c r="G13848" s="499" t="s">
        <v>3848</v>
      </c>
      <c r="H13848" s="397"/>
      <c r="I13848" s="397"/>
      <c r="J13848" s="750"/>
      <c r="K13848" s="398"/>
      <c r="L13848" s="398"/>
      <c r="M13848" s="682"/>
    </row>
    <row r="13849" spans="5:13" hidden="1" x14ac:dyDescent="0.2">
      <c r="F13849" s="498">
        <v>620</v>
      </c>
      <c r="G13849" s="499" t="s">
        <v>88</v>
      </c>
      <c r="H13849" s="397"/>
      <c r="I13849" s="397"/>
      <c r="J13849" s="750"/>
      <c r="K13849" s="398"/>
      <c r="L13849" s="398"/>
      <c r="M13849" s="682"/>
    </row>
    <row r="13850" spans="5:13" hidden="1" x14ac:dyDescent="0.2">
      <c r="E13850" s="500"/>
      <c r="F13850" s="498"/>
      <c r="G13850" s="501" t="s">
        <v>4435</v>
      </c>
      <c r="H13850" s="400"/>
      <c r="I13850" s="400"/>
      <c r="J13850" s="750"/>
      <c r="K13850" s="401"/>
      <c r="L13850" s="402"/>
      <c r="M13850" s="682"/>
    </row>
    <row r="13851" spans="5:13" hidden="1" x14ac:dyDescent="0.2">
      <c r="E13851" s="502"/>
      <c r="F13851" s="503" t="s">
        <v>234</v>
      </c>
      <c r="G13851" s="504" t="s">
        <v>235</v>
      </c>
      <c r="H13851" s="403">
        <f>SUM(H13790:H13849)</f>
        <v>0</v>
      </c>
      <c r="I13851" s="403"/>
      <c r="J13851" s="750"/>
      <c r="K13851" s="404"/>
      <c r="L13851" s="404"/>
      <c r="M13851" s="682"/>
    </row>
    <row r="13852" spans="5:13" hidden="1" x14ac:dyDescent="0.2">
      <c r="F13852" s="503" t="s">
        <v>236</v>
      </c>
      <c r="G13852" s="504" t="s">
        <v>237</v>
      </c>
      <c r="H13852" s="397"/>
      <c r="I13852" s="397"/>
      <c r="J13852" s="750"/>
      <c r="K13852" s="398"/>
      <c r="L13852" s="404"/>
      <c r="M13852" s="682"/>
    </row>
    <row r="13853" spans="5:13" hidden="1" x14ac:dyDescent="0.2">
      <c r="F13853" s="503" t="s">
        <v>238</v>
      </c>
      <c r="G13853" s="504" t="s">
        <v>239</v>
      </c>
      <c r="H13853" s="397"/>
      <c r="I13853" s="397"/>
      <c r="J13853" s="750"/>
      <c r="K13853" s="398"/>
      <c r="L13853" s="404"/>
      <c r="M13853" s="682"/>
    </row>
    <row r="13854" spans="5:13" hidden="1" x14ac:dyDescent="0.2">
      <c r="F13854" s="503" t="s">
        <v>240</v>
      </c>
      <c r="G13854" s="504" t="s">
        <v>241</v>
      </c>
      <c r="H13854" s="397"/>
      <c r="I13854" s="397"/>
      <c r="J13854" s="750"/>
      <c r="K13854" s="398"/>
      <c r="L13854" s="404"/>
      <c r="M13854" s="682"/>
    </row>
    <row r="13855" spans="5:13" hidden="1" x14ac:dyDescent="0.2">
      <c r="F13855" s="503" t="s">
        <v>242</v>
      </c>
      <c r="G13855" s="504" t="s">
        <v>243</v>
      </c>
      <c r="H13855" s="397"/>
      <c r="I13855" s="397"/>
      <c r="J13855" s="750"/>
      <c r="K13855" s="398"/>
      <c r="L13855" s="404"/>
      <c r="M13855" s="682"/>
    </row>
    <row r="13856" spans="5:13" hidden="1" x14ac:dyDescent="0.2">
      <c r="F13856" s="503" t="s">
        <v>244</v>
      </c>
      <c r="G13856" s="504" t="s">
        <v>245</v>
      </c>
      <c r="H13856" s="397"/>
      <c r="I13856" s="397"/>
      <c r="J13856" s="750"/>
      <c r="K13856" s="398"/>
      <c r="L13856" s="404"/>
      <c r="M13856" s="682"/>
    </row>
    <row r="13857" spans="5:13" hidden="1" x14ac:dyDescent="0.2">
      <c r="F13857" s="503" t="s">
        <v>246</v>
      </c>
      <c r="G13857" s="504" t="s">
        <v>247</v>
      </c>
      <c r="H13857" s="397"/>
      <c r="I13857" s="397"/>
      <c r="J13857" s="750"/>
      <c r="K13857" s="398"/>
      <c r="L13857" s="404"/>
      <c r="M13857" s="682"/>
    </row>
    <row r="13858" spans="5:13" ht="25.5" hidden="1" x14ac:dyDescent="0.2">
      <c r="F13858" s="503" t="s">
        <v>248</v>
      </c>
      <c r="G13858" s="504" t="s">
        <v>249</v>
      </c>
      <c r="H13858" s="397"/>
      <c r="I13858" s="397"/>
      <c r="J13858" s="750"/>
      <c r="K13858" s="398"/>
      <c r="L13858" s="404"/>
      <c r="M13858" s="682"/>
    </row>
    <row r="13859" spans="5:13" hidden="1" x14ac:dyDescent="0.2">
      <c r="F13859" s="503" t="s">
        <v>250</v>
      </c>
      <c r="G13859" s="504" t="s">
        <v>57</v>
      </c>
      <c r="H13859" s="397"/>
      <c r="I13859" s="397"/>
      <c r="J13859" s="750"/>
      <c r="K13859" s="398"/>
      <c r="L13859" s="404"/>
      <c r="M13859" s="682"/>
    </row>
    <row r="13860" spans="5:13" hidden="1" x14ac:dyDescent="0.2">
      <c r="F13860" s="503" t="s">
        <v>251</v>
      </c>
      <c r="G13860" s="504" t="s">
        <v>252</v>
      </c>
      <c r="H13860" s="397"/>
      <c r="I13860" s="397"/>
      <c r="J13860" s="750"/>
      <c r="K13860" s="398"/>
      <c r="L13860" s="404"/>
      <c r="M13860" s="682"/>
    </row>
    <row r="13861" spans="5:13" hidden="1" x14ac:dyDescent="0.2">
      <c r="F13861" s="503" t="s">
        <v>253</v>
      </c>
      <c r="G13861" s="504" t="s">
        <v>254</v>
      </c>
      <c r="H13861" s="397"/>
      <c r="I13861" s="397"/>
      <c r="J13861" s="750"/>
      <c r="K13861" s="398"/>
      <c r="L13861" s="404"/>
      <c r="M13861" s="682"/>
    </row>
    <row r="13862" spans="5:13" ht="25.5" hidden="1" x14ac:dyDescent="0.2">
      <c r="F13862" s="503" t="s">
        <v>255</v>
      </c>
      <c r="G13862" s="504" t="s">
        <v>256</v>
      </c>
      <c r="H13862" s="397"/>
      <c r="I13862" s="397"/>
      <c r="J13862" s="750"/>
      <c r="K13862" s="398"/>
      <c r="L13862" s="404"/>
      <c r="M13862" s="682"/>
    </row>
    <row r="13863" spans="5:13" ht="25.5" hidden="1" x14ac:dyDescent="0.2">
      <c r="F13863" s="503" t="s">
        <v>257</v>
      </c>
      <c r="G13863" s="504" t="s">
        <v>258</v>
      </c>
      <c r="H13863" s="397"/>
      <c r="I13863" s="397"/>
      <c r="J13863" s="750"/>
      <c r="K13863" s="398"/>
      <c r="L13863" s="404"/>
      <c r="M13863" s="682"/>
    </row>
    <row r="13864" spans="5:13" ht="25.5" hidden="1" x14ac:dyDescent="0.2">
      <c r="F13864" s="503" t="s">
        <v>259</v>
      </c>
      <c r="G13864" s="504" t="s">
        <v>260</v>
      </c>
      <c r="H13864" s="397"/>
      <c r="I13864" s="397"/>
      <c r="J13864" s="750"/>
      <c r="K13864" s="398"/>
      <c r="L13864" s="404"/>
      <c r="M13864" s="682"/>
    </row>
    <row r="13865" spans="5:13" ht="25.5" hidden="1" x14ac:dyDescent="0.2">
      <c r="F13865" s="503" t="s">
        <v>261</v>
      </c>
      <c r="G13865" s="504" t="s">
        <v>262</v>
      </c>
      <c r="H13865" s="397"/>
      <c r="I13865" s="397"/>
      <c r="J13865" s="750"/>
      <c r="K13865" s="398"/>
      <c r="L13865" s="404"/>
      <c r="M13865" s="682"/>
    </row>
    <row r="13866" spans="5:13" hidden="1" x14ac:dyDescent="0.2">
      <c r="F13866" s="503" t="s">
        <v>263</v>
      </c>
      <c r="G13866" s="504" t="s">
        <v>264</v>
      </c>
      <c r="H13866" s="403"/>
      <c r="I13866" s="403"/>
      <c r="J13866" s="750"/>
      <c r="K13866" s="404"/>
      <c r="L13866" s="404"/>
      <c r="M13866" s="682"/>
    </row>
    <row r="13867" spans="5:13" ht="13.5" hidden="1" thickBot="1" x14ac:dyDescent="0.25">
      <c r="G13867" s="505" t="s">
        <v>4436</v>
      </c>
      <c r="H13867" s="405">
        <f>SUM(H13851:H13866)</f>
        <v>0</v>
      </c>
      <c r="I13867" s="405"/>
      <c r="J13867" s="750"/>
      <c r="K13867" s="406">
        <f>SUM(K13852:K13866)</f>
        <v>0</v>
      </c>
      <c r="L13867" s="406"/>
      <c r="M13867" s="682"/>
    </row>
    <row r="13868" spans="5:13" ht="25.5" hidden="1" collapsed="1" x14ac:dyDescent="0.2">
      <c r="E13868" s="500"/>
      <c r="F13868" s="498"/>
      <c r="G13868" s="506" t="s">
        <v>4437</v>
      </c>
      <c r="H13868" s="407"/>
      <c r="I13868" s="408"/>
      <c r="J13868" s="750"/>
      <c r="K13868" s="409"/>
      <c r="L13868" s="410"/>
      <c r="M13868" s="682"/>
    </row>
    <row r="13869" spans="5:13" hidden="1" x14ac:dyDescent="0.2">
      <c r="E13869" s="502"/>
      <c r="F13869" s="503" t="s">
        <v>234</v>
      </c>
      <c r="G13869" s="504" t="s">
        <v>235</v>
      </c>
      <c r="H13869" s="403">
        <f>SUM(H13790:H13849)</f>
        <v>0</v>
      </c>
      <c r="I13869" s="403"/>
      <c r="J13869" s="750"/>
      <c r="K13869" s="404"/>
      <c r="L13869" s="404"/>
      <c r="M13869" s="682"/>
    </row>
    <row r="13870" spans="5:13" hidden="1" x14ac:dyDescent="0.2">
      <c r="F13870" s="503" t="s">
        <v>236</v>
      </c>
      <c r="G13870" s="504" t="s">
        <v>237</v>
      </c>
      <c r="H13870" s="397"/>
      <c r="I13870" s="397"/>
      <c r="J13870" s="750"/>
      <c r="K13870" s="398"/>
      <c r="L13870" s="404"/>
      <c r="M13870" s="682"/>
    </row>
    <row r="13871" spans="5:13" hidden="1" x14ac:dyDescent="0.2">
      <c r="F13871" s="503" t="s">
        <v>238</v>
      </c>
      <c r="G13871" s="504" t="s">
        <v>239</v>
      </c>
      <c r="H13871" s="397"/>
      <c r="I13871" s="397"/>
      <c r="J13871" s="750"/>
      <c r="K13871" s="398"/>
      <c r="L13871" s="404"/>
      <c r="M13871" s="682"/>
    </row>
    <row r="13872" spans="5:13" hidden="1" x14ac:dyDescent="0.2">
      <c r="F13872" s="503" t="s">
        <v>240</v>
      </c>
      <c r="G13872" s="504" t="s">
        <v>241</v>
      </c>
      <c r="H13872" s="397"/>
      <c r="I13872" s="397"/>
      <c r="J13872" s="750"/>
      <c r="K13872" s="398"/>
      <c r="L13872" s="404"/>
      <c r="M13872" s="682"/>
    </row>
    <row r="13873" spans="3:13" hidden="1" x14ac:dyDescent="0.2">
      <c r="F13873" s="503" t="s">
        <v>242</v>
      </c>
      <c r="G13873" s="504" t="s">
        <v>243</v>
      </c>
      <c r="H13873" s="397"/>
      <c r="I13873" s="397"/>
      <c r="J13873" s="750"/>
      <c r="K13873" s="398"/>
      <c r="L13873" s="404"/>
      <c r="M13873" s="682"/>
    </row>
    <row r="13874" spans="3:13" hidden="1" x14ac:dyDescent="0.2">
      <c r="F13874" s="503" t="s">
        <v>244</v>
      </c>
      <c r="G13874" s="504" t="s">
        <v>245</v>
      </c>
      <c r="H13874" s="397"/>
      <c r="I13874" s="397"/>
      <c r="J13874" s="750"/>
      <c r="K13874" s="398"/>
      <c r="L13874" s="404"/>
      <c r="M13874" s="682"/>
    </row>
    <row r="13875" spans="3:13" hidden="1" x14ac:dyDescent="0.2">
      <c r="F13875" s="503" t="s">
        <v>246</v>
      </c>
      <c r="G13875" s="504" t="s">
        <v>247</v>
      </c>
      <c r="H13875" s="397"/>
      <c r="I13875" s="397"/>
      <c r="J13875" s="750"/>
      <c r="K13875" s="398"/>
      <c r="L13875" s="404"/>
      <c r="M13875" s="682"/>
    </row>
    <row r="13876" spans="3:13" ht="25.5" hidden="1" x14ac:dyDescent="0.2">
      <c r="F13876" s="503" t="s">
        <v>248</v>
      </c>
      <c r="G13876" s="504" t="s">
        <v>249</v>
      </c>
      <c r="H13876" s="397"/>
      <c r="I13876" s="397"/>
      <c r="J13876" s="750"/>
      <c r="K13876" s="398"/>
      <c r="L13876" s="404"/>
      <c r="M13876" s="682"/>
    </row>
    <row r="13877" spans="3:13" hidden="1" x14ac:dyDescent="0.2">
      <c r="F13877" s="503" t="s">
        <v>250</v>
      </c>
      <c r="G13877" s="504" t="s">
        <v>57</v>
      </c>
      <c r="H13877" s="397"/>
      <c r="I13877" s="397"/>
      <c r="J13877" s="750"/>
      <c r="K13877" s="398"/>
      <c r="L13877" s="404"/>
      <c r="M13877" s="682"/>
    </row>
    <row r="13878" spans="3:13" hidden="1" x14ac:dyDescent="0.2">
      <c r="F13878" s="503" t="s">
        <v>251</v>
      </c>
      <c r="G13878" s="504" t="s">
        <v>252</v>
      </c>
      <c r="H13878" s="397"/>
      <c r="I13878" s="397"/>
      <c r="J13878" s="750"/>
      <c r="K13878" s="398"/>
      <c r="L13878" s="404"/>
      <c r="M13878" s="682"/>
    </row>
    <row r="13879" spans="3:13" hidden="1" x14ac:dyDescent="0.2">
      <c r="F13879" s="503" t="s">
        <v>253</v>
      </c>
      <c r="G13879" s="504" t="s">
        <v>254</v>
      </c>
      <c r="H13879" s="397"/>
      <c r="I13879" s="397"/>
      <c r="J13879" s="750"/>
      <c r="K13879" s="398"/>
      <c r="L13879" s="404"/>
      <c r="M13879" s="682"/>
    </row>
    <row r="13880" spans="3:13" ht="25.5" hidden="1" x14ac:dyDescent="0.2">
      <c r="F13880" s="503" t="s">
        <v>255</v>
      </c>
      <c r="G13880" s="504" t="s">
        <v>256</v>
      </c>
      <c r="H13880" s="397"/>
      <c r="I13880" s="397"/>
      <c r="J13880" s="750"/>
      <c r="K13880" s="398"/>
      <c r="L13880" s="404"/>
      <c r="M13880" s="682"/>
    </row>
    <row r="13881" spans="3:13" ht="25.5" hidden="1" x14ac:dyDescent="0.2">
      <c r="F13881" s="503" t="s">
        <v>257</v>
      </c>
      <c r="G13881" s="504" t="s">
        <v>258</v>
      </c>
      <c r="H13881" s="397"/>
      <c r="I13881" s="397"/>
      <c r="J13881" s="750"/>
      <c r="K13881" s="398"/>
      <c r="L13881" s="404"/>
      <c r="M13881" s="682"/>
    </row>
    <row r="13882" spans="3:13" ht="25.5" hidden="1" x14ac:dyDescent="0.2">
      <c r="F13882" s="503" t="s">
        <v>259</v>
      </c>
      <c r="G13882" s="504" t="s">
        <v>260</v>
      </c>
      <c r="H13882" s="397"/>
      <c r="I13882" s="397"/>
      <c r="J13882" s="750"/>
      <c r="K13882" s="398"/>
      <c r="L13882" s="404"/>
      <c r="M13882" s="682"/>
    </row>
    <row r="13883" spans="3:13" ht="25.5" hidden="1" x14ac:dyDescent="0.2">
      <c r="F13883" s="503" t="s">
        <v>261</v>
      </c>
      <c r="G13883" s="504" t="s">
        <v>262</v>
      </c>
      <c r="H13883" s="397"/>
      <c r="I13883" s="397"/>
      <c r="J13883" s="750"/>
      <c r="K13883" s="398"/>
      <c r="L13883" s="404"/>
      <c r="M13883" s="682"/>
    </row>
    <row r="13884" spans="3:13" hidden="1" x14ac:dyDescent="0.2">
      <c r="F13884" s="503" t="s">
        <v>263</v>
      </c>
      <c r="G13884" s="504" t="s">
        <v>264</v>
      </c>
      <c r="H13884" s="403"/>
      <c r="I13884" s="403"/>
      <c r="J13884" s="750"/>
      <c r="K13884" s="404"/>
      <c r="L13884" s="404"/>
      <c r="M13884" s="682"/>
    </row>
    <row r="13885" spans="3:13" ht="13.5" hidden="1" collapsed="1" thickBot="1" x14ac:dyDescent="0.25">
      <c r="G13885" s="505" t="s">
        <v>4438</v>
      </c>
      <c r="H13885" s="405">
        <f>SUM(H13869:H13884)</f>
        <v>0</v>
      </c>
      <c r="I13885" s="405"/>
      <c r="J13885" s="750"/>
      <c r="K13885" s="406">
        <f>SUM(K13870:K13884)</f>
        <v>0</v>
      </c>
      <c r="L13885" s="406"/>
      <c r="M13885" s="682"/>
    </row>
    <row r="13886" spans="3:13" hidden="1" x14ac:dyDescent="0.2">
      <c r="H13886" s="397"/>
      <c r="I13886" s="397"/>
      <c r="J13886" s="750"/>
      <c r="K13886" s="398"/>
      <c r="L13886" s="398"/>
      <c r="M13886" s="682"/>
    </row>
    <row r="13887" spans="3:13" hidden="1" x14ac:dyDescent="0.2">
      <c r="C13887" s="489" t="s">
        <v>4835</v>
      </c>
      <c r="D13887" s="490"/>
      <c r="G13887" s="508" t="s">
        <v>4232</v>
      </c>
      <c r="H13887" s="397"/>
      <c r="I13887" s="397"/>
      <c r="J13887" s="750"/>
      <c r="K13887" s="398"/>
      <c r="L13887" s="398"/>
      <c r="M13887" s="682"/>
    </row>
    <row r="13888" spans="3:13" hidden="1" x14ac:dyDescent="0.2">
      <c r="C13888" s="489"/>
      <c r="D13888" s="492">
        <v>820</v>
      </c>
      <c r="E13888" s="492"/>
      <c r="F13888" s="492"/>
      <c r="G13888" s="493" t="s">
        <v>207</v>
      </c>
      <c r="H13888" s="397"/>
      <c r="I13888" s="397"/>
      <c r="J13888" s="750"/>
      <c r="K13888" s="398"/>
      <c r="L13888" s="398"/>
      <c r="M13888" s="682"/>
    </row>
    <row r="13889" spans="6:13" hidden="1" x14ac:dyDescent="0.2">
      <c r="F13889" s="494">
        <v>411</v>
      </c>
      <c r="G13889" s="495" t="s">
        <v>4167</v>
      </c>
      <c r="H13889" s="397"/>
      <c r="I13889" s="397"/>
      <c r="J13889" s="750"/>
      <c r="K13889" s="398"/>
      <c r="L13889" s="398"/>
      <c r="M13889" s="682"/>
    </row>
    <row r="13890" spans="6:13" hidden="1" x14ac:dyDescent="0.2">
      <c r="F13890" s="494">
        <v>412</v>
      </c>
      <c r="G13890" s="496" t="s">
        <v>3764</v>
      </c>
      <c r="H13890" s="397"/>
      <c r="I13890" s="397"/>
      <c r="J13890" s="750"/>
      <c r="K13890" s="398"/>
      <c r="L13890" s="398"/>
      <c r="M13890" s="682"/>
    </row>
    <row r="13891" spans="6:13" hidden="1" x14ac:dyDescent="0.2">
      <c r="F13891" s="494">
        <v>413</v>
      </c>
      <c r="G13891" s="495" t="s">
        <v>4168</v>
      </c>
      <c r="H13891" s="397"/>
      <c r="I13891" s="397"/>
      <c r="J13891" s="750"/>
      <c r="K13891" s="398"/>
      <c r="L13891" s="398"/>
      <c r="M13891" s="682"/>
    </row>
    <row r="13892" spans="6:13" hidden="1" x14ac:dyDescent="0.2">
      <c r="F13892" s="494">
        <v>414</v>
      </c>
      <c r="G13892" s="495" t="s">
        <v>3767</v>
      </c>
      <c r="H13892" s="397"/>
      <c r="I13892" s="397"/>
      <c r="J13892" s="750"/>
      <c r="K13892" s="398"/>
      <c r="L13892" s="398"/>
      <c r="M13892" s="682"/>
    </row>
    <row r="13893" spans="6:13" hidden="1" x14ac:dyDescent="0.2">
      <c r="F13893" s="494">
        <v>415</v>
      </c>
      <c r="G13893" s="495" t="s">
        <v>4177</v>
      </c>
      <c r="H13893" s="397"/>
      <c r="I13893" s="397"/>
      <c r="J13893" s="750"/>
      <c r="K13893" s="398"/>
      <c r="L13893" s="398"/>
      <c r="M13893" s="682"/>
    </row>
    <row r="13894" spans="6:13" ht="25.5" hidden="1" x14ac:dyDescent="0.2">
      <c r="F13894" s="494">
        <v>416</v>
      </c>
      <c r="G13894" s="495" t="s">
        <v>4178</v>
      </c>
      <c r="H13894" s="397"/>
      <c r="I13894" s="397"/>
      <c r="J13894" s="750"/>
      <c r="K13894" s="398"/>
      <c r="L13894" s="398"/>
      <c r="M13894" s="682"/>
    </row>
    <row r="13895" spans="6:13" hidden="1" x14ac:dyDescent="0.2">
      <c r="F13895" s="494">
        <v>417</v>
      </c>
      <c r="G13895" s="495" t="s">
        <v>4179</v>
      </c>
      <c r="H13895" s="397"/>
      <c r="I13895" s="397"/>
      <c r="J13895" s="750"/>
      <c r="K13895" s="398"/>
      <c r="L13895" s="398"/>
      <c r="M13895" s="682"/>
    </row>
    <row r="13896" spans="6:13" hidden="1" x14ac:dyDescent="0.2">
      <c r="F13896" s="494">
        <v>418</v>
      </c>
      <c r="G13896" s="495" t="s">
        <v>3773</v>
      </c>
      <c r="H13896" s="397"/>
      <c r="I13896" s="397"/>
      <c r="J13896" s="750"/>
      <c r="K13896" s="398"/>
      <c r="L13896" s="398"/>
      <c r="M13896" s="682"/>
    </row>
    <row r="13897" spans="6:13" hidden="1" x14ac:dyDescent="0.2">
      <c r="F13897" s="494">
        <v>421</v>
      </c>
      <c r="G13897" s="495" t="s">
        <v>3777</v>
      </c>
      <c r="H13897" s="397"/>
      <c r="I13897" s="397"/>
      <c r="J13897" s="750"/>
      <c r="K13897" s="398"/>
      <c r="L13897" s="398"/>
      <c r="M13897" s="682"/>
    </row>
    <row r="13898" spans="6:13" hidden="1" x14ac:dyDescent="0.2">
      <c r="F13898" s="494">
        <v>422</v>
      </c>
      <c r="G13898" s="495" t="s">
        <v>3778</v>
      </c>
      <c r="H13898" s="397"/>
      <c r="I13898" s="397"/>
      <c r="J13898" s="750"/>
      <c r="K13898" s="398"/>
      <c r="L13898" s="398"/>
      <c r="M13898" s="682"/>
    </row>
    <row r="13899" spans="6:13" hidden="1" x14ac:dyDescent="0.2">
      <c r="F13899" s="494">
        <v>423</v>
      </c>
      <c r="G13899" s="495" t="s">
        <v>3779</v>
      </c>
      <c r="H13899" s="397"/>
      <c r="I13899" s="397"/>
      <c r="J13899" s="750"/>
      <c r="K13899" s="398"/>
      <c r="L13899" s="398"/>
      <c r="M13899" s="682"/>
    </row>
    <row r="13900" spans="6:13" hidden="1" x14ac:dyDescent="0.2">
      <c r="F13900" s="494">
        <v>424</v>
      </c>
      <c r="G13900" s="495" t="s">
        <v>3781</v>
      </c>
      <c r="H13900" s="397"/>
      <c r="I13900" s="397"/>
      <c r="J13900" s="750"/>
      <c r="K13900" s="398"/>
      <c r="L13900" s="398"/>
      <c r="M13900" s="682"/>
    </row>
    <row r="13901" spans="6:13" hidden="1" x14ac:dyDescent="0.2">
      <c r="F13901" s="494">
        <v>425</v>
      </c>
      <c r="G13901" s="495" t="s">
        <v>4180</v>
      </c>
      <c r="H13901" s="397"/>
      <c r="I13901" s="397"/>
      <c r="J13901" s="750"/>
      <c r="K13901" s="398"/>
      <c r="L13901" s="398"/>
      <c r="M13901" s="682"/>
    </row>
    <row r="13902" spans="6:13" hidden="1" x14ac:dyDescent="0.2">
      <c r="F13902" s="494">
        <v>426</v>
      </c>
      <c r="G13902" s="495" t="s">
        <v>3785</v>
      </c>
      <c r="H13902" s="397"/>
      <c r="I13902" s="397"/>
      <c r="J13902" s="750"/>
      <c r="K13902" s="398"/>
      <c r="L13902" s="398"/>
      <c r="M13902" s="682"/>
    </row>
    <row r="13903" spans="6:13" hidden="1" x14ac:dyDescent="0.2">
      <c r="F13903" s="494">
        <v>431</v>
      </c>
      <c r="G13903" s="495" t="s">
        <v>4181</v>
      </c>
      <c r="H13903" s="397"/>
      <c r="I13903" s="397"/>
      <c r="J13903" s="750"/>
      <c r="K13903" s="398"/>
      <c r="L13903" s="398"/>
      <c r="M13903" s="682"/>
    </row>
    <row r="13904" spans="6:13" hidden="1" x14ac:dyDescent="0.2">
      <c r="F13904" s="494">
        <v>432</v>
      </c>
      <c r="G13904" s="495" t="s">
        <v>4182</v>
      </c>
      <c r="H13904" s="397"/>
      <c r="I13904" s="397"/>
      <c r="J13904" s="750"/>
      <c r="K13904" s="398"/>
      <c r="L13904" s="398"/>
      <c r="M13904" s="682"/>
    </row>
    <row r="13905" spans="6:13" hidden="1" x14ac:dyDescent="0.2">
      <c r="F13905" s="494">
        <v>433</v>
      </c>
      <c r="G13905" s="495" t="s">
        <v>4183</v>
      </c>
      <c r="H13905" s="397"/>
      <c r="I13905" s="397"/>
      <c r="J13905" s="750"/>
      <c r="K13905" s="398"/>
      <c r="L13905" s="398"/>
      <c r="M13905" s="682"/>
    </row>
    <row r="13906" spans="6:13" hidden="1" x14ac:dyDescent="0.2">
      <c r="F13906" s="494">
        <v>434</v>
      </c>
      <c r="G13906" s="495" t="s">
        <v>4184</v>
      </c>
      <c r="H13906" s="397"/>
      <c r="I13906" s="397"/>
      <c r="J13906" s="750"/>
      <c r="K13906" s="398"/>
      <c r="L13906" s="398"/>
      <c r="M13906" s="682"/>
    </row>
    <row r="13907" spans="6:13" hidden="1" x14ac:dyDescent="0.2">
      <c r="F13907" s="494">
        <v>435</v>
      </c>
      <c r="G13907" s="495" t="s">
        <v>3792</v>
      </c>
      <c r="H13907" s="397"/>
      <c r="I13907" s="397"/>
      <c r="J13907" s="750"/>
      <c r="K13907" s="398"/>
      <c r="L13907" s="398"/>
      <c r="M13907" s="682"/>
    </row>
    <row r="13908" spans="6:13" hidden="1" x14ac:dyDescent="0.2">
      <c r="F13908" s="494">
        <v>441</v>
      </c>
      <c r="G13908" s="495" t="s">
        <v>4185</v>
      </c>
      <c r="H13908" s="397"/>
      <c r="I13908" s="397"/>
      <c r="J13908" s="750"/>
      <c r="K13908" s="398"/>
      <c r="L13908" s="398"/>
      <c r="M13908" s="682"/>
    </row>
    <row r="13909" spans="6:13" hidden="1" x14ac:dyDescent="0.2">
      <c r="F13909" s="494">
        <v>442</v>
      </c>
      <c r="G13909" s="495" t="s">
        <v>4186</v>
      </c>
      <c r="H13909" s="397"/>
      <c r="I13909" s="397"/>
      <c r="J13909" s="750"/>
      <c r="K13909" s="398"/>
      <c r="L13909" s="398"/>
      <c r="M13909" s="682"/>
    </row>
    <row r="13910" spans="6:13" hidden="1" x14ac:dyDescent="0.2">
      <c r="F13910" s="494">
        <v>443</v>
      </c>
      <c r="G13910" s="495" t="s">
        <v>3797</v>
      </c>
      <c r="H13910" s="397"/>
      <c r="I13910" s="397"/>
      <c r="J13910" s="750"/>
      <c r="K13910" s="398"/>
      <c r="L13910" s="398"/>
      <c r="M13910" s="682"/>
    </row>
    <row r="13911" spans="6:13" hidden="1" x14ac:dyDescent="0.2">
      <c r="F13911" s="494">
        <v>444</v>
      </c>
      <c r="G13911" s="495" t="s">
        <v>3798</v>
      </c>
      <c r="H13911" s="397"/>
      <c r="I13911" s="397"/>
      <c r="J13911" s="750"/>
      <c r="K13911" s="398"/>
      <c r="L13911" s="398"/>
      <c r="M13911" s="682"/>
    </row>
    <row r="13912" spans="6:13" ht="25.5" hidden="1" x14ac:dyDescent="0.2">
      <c r="F13912" s="494">
        <v>4511</v>
      </c>
      <c r="G13912" s="466" t="s">
        <v>1692</v>
      </c>
      <c r="H13912" s="397"/>
      <c r="I13912" s="397"/>
      <c r="J13912" s="750"/>
      <c r="K13912" s="398"/>
      <c r="L13912" s="398"/>
      <c r="M13912" s="682"/>
    </row>
    <row r="13913" spans="6:13" ht="25.5" hidden="1" x14ac:dyDescent="0.2">
      <c r="F13913" s="494">
        <v>4512</v>
      </c>
      <c r="G13913" s="466" t="s">
        <v>1701</v>
      </c>
      <c r="H13913" s="397"/>
      <c r="I13913" s="397"/>
      <c r="J13913" s="750"/>
      <c r="K13913" s="398"/>
      <c r="L13913" s="398"/>
      <c r="M13913" s="682"/>
    </row>
    <row r="13914" spans="6:13" ht="25.5" hidden="1" x14ac:dyDescent="0.2">
      <c r="F13914" s="494">
        <v>452</v>
      </c>
      <c r="G13914" s="495" t="s">
        <v>4187</v>
      </c>
      <c r="H13914" s="397"/>
      <c r="I13914" s="397"/>
      <c r="J13914" s="750"/>
      <c r="K13914" s="398"/>
      <c r="L13914" s="398"/>
      <c r="M13914" s="682"/>
    </row>
    <row r="13915" spans="6:13" ht="25.5" hidden="1" x14ac:dyDescent="0.2">
      <c r="F13915" s="494">
        <v>453</v>
      </c>
      <c r="G13915" s="495" t="s">
        <v>4188</v>
      </c>
      <c r="H13915" s="397"/>
      <c r="I13915" s="397"/>
      <c r="J13915" s="750"/>
      <c r="K13915" s="398"/>
      <c r="L13915" s="398"/>
      <c r="M13915" s="682"/>
    </row>
    <row r="13916" spans="6:13" hidden="1" x14ac:dyDescent="0.2">
      <c r="F13916" s="494">
        <v>454</v>
      </c>
      <c r="G13916" s="495" t="s">
        <v>3803</v>
      </c>
      <c r="H13916" s="397"/>
      <c r="I13916" s="397"/>
      <c r="J13916" s="750"/>
      <c r="K13916" s="398"/>
      <c r="L13916" s="398"/>
      <c r="M13916" s="682"/>
    </row>
    <row r="13917" spans="6:13" hidden="1" x14ac:dyDescent="0.2">
      <c r="F13917" s="494">
        <v>461</v>
      </c>
      <c r="G13917" s="495" t="s">
        <v>4169</v>
      </c>
      <c r="H13917" s="397"/>
      <c r="I13917" s="397"/>
      <c r="J13917" s="750"/>
      <c r="K13917" s="398"/>
      <c r="L13917" s="398"/>
      <c r="M13917" s="682"/>
    </row>
    <row r="13918" spans="6:13" ht="25.5" hidden="1" x14ac:dyDescent="0.2">
      <c r="F13918" s="494">
        <v>462</v>
      </c>
      <c r="G13918" s="495" t="s">
        <v>3806</v>
      </c>
      <c r="H13918" s="397"/>
      <c r="I13918" s="397"/>
      <c r="J13918" s="750"/>
      <c r="K13918" s="398"/>
      <c r="L13918" s="398"/>
      <c r="M13918" s="682"/>
    </row>
    <row r="13919" spans="6:13" hidden="1" x14ac:dyDescent="0.2">
      <c r="F13919" s="494">
        <v>4631</v>
      </c>
      <c r="G13919" s="495" t="s">
        <v>3807</v>
      </c>
      <c r="H13919" s="397"/>
      <c r="I13919" s="397"/>
      <c r="J13919" s="750"/>
      <c r="K13919" s="398"/>
      <c r="L13919" s="398"/>
      <c r="M13919" s="682"/>
    </row>
    <row r="13920" spans="6:13" hidden="1" x14ac:dyDescent="0.2">
      <c r="F13920" s="494">
        <v>4632</v>
      </c>
      <c r="G13920" s="495" t="s">
        <v>3808</v>
      </c>
      <c r="H13920" s="397"/>
      <c r="I13920" s="397"/>
      <c r="J13920" s="750"/>
      <c r="K13920" s="398"/>
      <c r="L13920" s="398"/>
      <c r="M13920" s="682"/>
    </row>
    <row r="13921" spans="6:13" ht="25.5" hidden="1" x14ac:dyDescent="0.2">
      <c r="F13921" s="494">
        <v>464</v>
      </c>
      <c r="G13921" s="495" t="s">
        <v>3809</v>
      </c>
      <c r="H13921" s="397"/>
      <c r="I13921" s="397"/>
      <c r="J13921" s="750"/>
      <c r="K13921" s="398"/>
      <c r="L13921" s="398"/>
      <c r="M13921" s="682"/>
    </row>
    <row r="13922" spans="6:13" hidden="1" x14ac:dyDescent="0.2">
      <c r="F13922" s="494">
        <v>465</v>
      </c>
      <c r="G13922" s="495" t="s">
        <v>4170</v>
      </c>
      <c r="H13922" s="397"/>
      <c r="I13922" s="397"/>
      <c r="J13922" s="750"/>
      <c r="K13922" s="398"/>
      <c r="L13922" s="398"/>
      <c r="M13922" s="682"/>
    </row>
    <row r="13923" spans="6:13" hidden="1" x14ac:dyDescent="0.2">
      <c r="F13923" s="494">
        <v>472</v>
      </c>
      <c r="G13923" s="495" t="s">
        <v>3813</v>
      </c>
      <c r="H13923" s="397"/>
      <c r="I13923" s="397"/>
      <c r="J13923" s="750"/>
      <c r="K13923" s="398"/>
      <c r="L13923" s="398"/>
      <c r="M13923" s="682"/>
    </row>
    <row r="13924" spans="6:13" hidden="1" x14ac:dyDescent="0.2">
      <c r="F13924" s="494">
        <v>481</v>
      </c>
      <c r="G13924" s="495" t="s">
        <v>4189</v>
      </c>
      <c r="H13924" s="397"/>
      <c r="I13924" s="397"/>
      <c r="J13924" s="750"/>
      <c r="K13924" s="398"/>
      <c r="L13924" s="398"/>
      <c r="M13924" s="682"/>
    </row>
    <row r="13925" spans="6:13" hidden="1" x14ac:dyDescent="0.2">
      <c r="F13925" s="494">
        <v>482</v>
      </c>
      <c r="G13925" s="495" t="s">
        <v>4190</v>
      </c>
      <c r="H13925" s="397"/>
      <c r="I13925" s="397"/>
      <c r="J13925" s="750"/>
      <c r="K13925" s="398"/>
      <c r="L13925" s="398"/>
      <c r="M13925" s="682"/>
    </row>
    <row r="13926" spans="6:13" hidden="1" x14ac:dyDescent="0.2">
      <c r="F13926" s="494">
        <v>483</v>
      </c>
      <c r="G13926" s="497" t="s">
        <v>4191</v>
      </c>
      <c r="H13926" s="397"/>
      <c r="I13926" s="397"/>
      <c r="J13926" s="750"/>
      <c r="K13926" s="398"/>
      <c r="L13926" s="398"/>
      <c r="M13926" s="682"/>
    </row>
    <row r="13927" spans="6:13" ht="38.25" hidden="1" x14ac:dyDescent="0.2">
      <c r="F13927" s="494">
        <v>484</v>
      </c>
      <c r="G13927" s="495" t="s">
        <v>4192</v>
      </c>
      <c r="H13927" s="397"/>
      <c r="I13927" s="397"/>
      <c r="J13927" s="750"/>
      <c r="K13927" s="398"/>
      <c r="L13927" s="398"/>
      <c r="M13927" s="682"/>
    </row>
    <row r="13928" spans="6:13" ht="25.5" hidden="1" x14ac:dyDescent="0.2">
      <c r="F13928" s="494">
        <v>485</v>
      </c>
      <c r="G13928" s="495" t="s">
        <v>4193</v>
      </c>
      <c r="H13928" s="397"/>
      <c r="I13928" s="397"/>
      <c r="J13928" s="750"/>
      <c r="K13928" s="398"/>
      <c r="L13928" s="398"/>
      <c r="M13928" s="682"/>
    </row>
    <row r="13929" spans="6:13" ht="25.5" hidden="1" x14ac:dyDescent="0.2">
      <c r="F13929" s="494">
        <v>489</v>
      </c>
      <c r="G13929" s="495" t="s">
        <v>3821</v>
      </c>
      <c r="H13929" s="397"/>
      <c r="I13929" s="397"/>
      <c r="J13929" s="750"/>
      <c r="K13929" s="398"/>
      <c r="L13929" s="398"/>
      <c r="M13929" s="682"/>
    </row>
    <row r="13930" spans="6:13" ht="25.5" hidden="1" x14ac:dyDescent="0.2">
      <c r="F13930" s="494">
        <v>494</v>
      </c>
      <c r="G13930" s="495" t="s">
        <v>4171</v>
      </c>
      <c r="H13930" s="397"/>
      <c r="I13930" s="397"/>
      <c r="J13930" s="750"/>
      <c r="K13930" s="398"/>
      <c r="L13930" s="398"/>
      <c r="M13930" s="682"/>
    </row>
    <row r="13931" spans="6:13" ht="25.5" hidden="1" x14ac:dyDescent="0.2">
      <c r="F13931" s="494">
        <v>495</v>
      </c>
      <c r="G13931" s="495" t="s">
        <v>4172</v>
      </c>
      <c r="H13931" s="397"/>
      <c r="I13931" s="397"/>
      <c r="J13931" s="750"/>
      <c r="K13931" s="398"/>
      <c r="L13931" s="398"/>
      <c r="M13931" s="682"/>
    </row>
    <row r="13932" spans="6:13" ht="38.25" hidden="1" x14ac:dyDescent="0.2">
      <c r="F13932" s="494">
        <v>496</v>
      </c>
      <c r="G13932" s="495" t="s">
        <v>4173</v>
      </c>
      <c r="H13932" s="397"/>
      <c r="I13932" s="397"/>
      <c r="J13932" s="750"/>
      <c r="K13932" s="398"/>
      <c r="L13932" s="398"/>
      <c r="M13932" s="682"/>
    </row>
    <row r="13933" spans="6:13" ht="25.5" hidden="1" x14ac:dyDescent="0.2">
      <c r="F13933" s="494">
        <v>499</v>
      </c>
      <c r="G13933" s="495" t="s">
        <v>4174</v>
      </c>
      <c r="H13933" s="397"/>
      <c r="I13933" s="397"/>
      <c r="J13933" s="750"/>
      <c r="K13933" s="398"/>
      <c r="L13933" s="398"/>
      <c r="M13933" s="682"/>
    </row>
    <row r="13934" spans="6:13" hidden="1" x14ac:dyDescent="0.2">
      <c r="F13934" s="494">
        <v>511</v>
      </c>
      <c r="G13934" s="497" t="s">
        <v>4194</v>
      </c>
      <c r="H13934" s="397"/>
      <c r="I13934" s="397"/>
      <c r="J13934" s="750"/>
      <c r="K13934" s="398"/>
      <c r="L13934" s="398"/>
      <c r="M13934" s="682"/>
    </row>
    <row r="13935" spans="6:13" hidden="1" x14ac:dyDescent="0.2">
      <c r="F13935" s="494">
        <v>512</v>
      </c>
      <c r="G13935" s="497" t="s">
        <v>4195</v>
      </c>
      <c r="H13935" s="397"/>
      <c r="I13935" s="397"/>
      <c r="J13935" s="750"/>
      <c r="K13935" s="398"/>
      <c r="L13935" s="398"/>
      <c r="M13935" s="682"/>
    </row>
    <row r="13936" spans="6:13" hidden="1" x14ac:dyDescent="0.2">
      <c r="F13936" s="494">
        <v>513</v>
      </c>
      <c r="G13936" s="497" t="s">
        <v>4196</v>
      </c>
      <c r="H13936" s="397"/>
      <c r="I13936" s="397"/>
      <c r="J13936" s="750"/>
      <c r="K13936" s="398"/>
      <c r="L13936" s="398"/>
      <c r="M13936" s="682"/>
    </row>
    <row r="13937" spans="5:13" hidden="1" x14ac:dyDescent="0.2">
      <c r="F13937" s="494">
        <v>514</v>
      </c>
      <c r="G13937" s="495" t="s">
        <v>4197</v>
      </c>
      <c r="H13937" s="397"/>
      <c r="I13937" s="397"/>
      <c r="J13937" s="750"/>
      <c r="K13937" s="398"/>
      <c r="L13937" s="398"/>
      <c r="M13937" s="682"/>
    </row>
    <row r="13938" spans="5:13" hidden="1" x14ac:dyDescent="0.2">
      <c r="F13938" s="494">
        <v>515</v>
      </c>
      <c r="G13938" s="495" t="s">
        <v>3832</v>
      </c>
      <c r="H13938" s="397"/>
      <c r="I13938" s="397"/>
      <c r="J13938" s="750"/>
      <c r="K13938" s="398"/>
      <c r="L13938" s="398"/>
      <c r="M13938" s="682"/>
    </row>
    <row r="13939" spans="5:13" hidden="1" x14ac:dyDescent="0.2">
      <c r="F13939" s="494">
        <v>521</v>
      </c>
      <c r="G13939" s="495" t="s">
        <v>4198</v>
      </c>
      <c r="H13939" s="397"/>
      <c r="I13939" s="397"/>
      <c r="J13939" s="750"/>
      <c r="K13939" s="398"/>
      <c r="L13939" s="398"/>
      <c r="M13939" s="682"/>
    </row>
    <row r="13940" spans="5:13" hidden="1" x14ac:dyDescent="0.2">
      <c r="F13940" s="494">
        <v>522</v>
      </c>
      <c r="G13940" s="495" t="s">
        <v>4199</v>
      </c>
      <c r="H13940" s="397"/>
      <c r="I13940" s="397"/>
      <c r="J13940" s="750"/>
      <c r="K13940" s="398"/>
      <c r="L13940" s="398"/>
      <c r="M13940" s="682"/>
    </row>
    <row r="13941" spans="5:13" hidden="1" x14ac:dyDescent="0.2">
      <c r="F13941" s="494">
        <v>523</v>
      </c>
      <c r="G13941" s="495" t="s">
        <v>3837</v>
      </c>
      <c r="H13941" s="397"/>
      <c r="I13941" s="397"/>
      <c r="J13941" s="750"/>
      <c r="K13941" s="398"/>
      <c r="L13941" s="398"/>
      <c r="M13941" s="682"/>
    </row>
    <row r="13942" spans="5:13" hidden="1" x14ac:dyDescent="0.2">
      <c r="F13942" s="494">
        <v>531</v>
      </c>
      <c r="G13942" s="496" t="s">
        <v>4175</v>
      </c>
      <c r="H13942" s="397"/>
      <c r="I13942" s="397"/>
      <c r="J13942" s="750"/>
      <c r="K13942" s="398"/>
      <c r="L13942" s="398"/>
      <c r="M13942" s="682"/>
    </row>
    <row r="13943" spans="5:13" hidden="1" x14ac:dyDescent="0.2">
      <c r="F13943" s="494">
        <v>541</v>
      </c>
      <c r="G13943" s="495" t="s">
        <v>4200</v>
      </c>
      <c r="H13943" s="397"/>
      <c r="I13943" s="397"/>
      <c r="J13943" s="750"/>
      <c r="K13943" s="398"/>
      <c r="L13943" s="398"/>
      <c r="M13943" s="682"/>
    </row>
    <row r="13944" spans="5:13" hidden="1" x14ac:dyDescent="0.2">
      <c r="F13944" s="494">
        <v>542</v>
      </c>
      <c r="G13944" s="495" t="s">
        <v>4201</v>
      </c>
      <c r="H13944" s="397"/>
      <c r="I13944" s="397"/>
      <c r="J13944" s="750"/>
      <c r="K13944" s="398"/>
      <c r="L13944" s="398"/>
      <c r="M13944" s="682"/>
    </row>
    <row r="13945" spans="5:13" hidden="1" x14ac:dyDescent="0.2">
      <c r="F13945" s="494">
        <v>543</v>
      </c>
      <c r="G13945" s="495" t="s">
        <v>3842</v>
      </c>
      <c r="H13945" s="397"/>
      <c r="I13945" s="397"/>
      <c r="J13945" s="750"/>
      <c r="K13945" s="398"/>
      <c r="L13945" s="398"/>
      <c r="M13945" s="682"/>
    </row>
    <row r="13946" spans="5:13" ht="38.25" hidden="1" x14ac:dyDescent="0.2">
      <c r="F13946" s="494">
        <v>551</v>
      </c>
      <c r="G13946" s="495" t="s">
        <v>4176</v>
      </c>
      <c r="H13946" s="397"/>
      <c r="I13946" s="397"/>
      <c r="J13946" s="750"/>
      <c r="K13946" s="398"/>
      <c r="L13946" s="398"/>
      <c r="M13946" s="682"/>
    </row>
    <row r="13947" spans="5:13" hidden="1" x14ac:dyDescent="0.2">
      <c r="F13947" s="498">
        <v>611</v>
      </c>
      <c r="G13947" s="499" t="s">
        <v>3848</v>
      </c>
      <c r="H13947" s="397"/>
      <c r="I13947" s="397"/>
      <c r="J13947" s="750"/>
      <c r="K13947" s="398"/>
      <c r="L13947" s="398"/>
      <c r="M13947" s="682"/>
    </row>
    <row r="13948" spans="5:13" hidden="1" x14ac:dyDescent="0.2">
      <c r="F13948" s="498">
        <v>620</v>
      </c>
      <c r="G13948" s="499" t="s">
        <v>88</v>
      </c>
      <c r="H13948" s="397"/>
      <c r="I13948" s="397"/>
      <c r="J13948" s="750"/>
      <c r="K13948" s="398"/>
      <c r="L13948" s="398"/>
      <c r="M13948" s="682"/>
    </row>
    <row r="13949" spans="5:13" hidden="1" x14ac:dyDescent="0.2">
      <c r="E13949" s="500"/>
      <c r="F13949" s="498"/>
      <c r="G13949" s="509" t="s">
        <v>4435</v>
      </c>
      <c r="H13949" s="400"/>
      <c r="I13949" s="400"/>
      <c r="J13949" s="750"/>
      <c r="K13949" s="401"/>
      <c r="L13949" s="402"/>
      <c r="M13949" s="682"/>
    </row>
    <row r="13950" spans="5:13" hidden="1" x14ac:dyDescent="0.2">
      <c r="E13950" s="502"/>
      <c r="F13950" s="503" t="s">
        <v>234</v>
      </c>
      <c r="G13950" s="504" t="s">
        <v>235</v>
      </c>
      <c r="H13950" s="403">
        <f>SUM(H13889:H13948)</f>
        <v>0</v>
      </c>
      <c r="I13950" s="403"/>
      <c r="J13950" s="750"/>
      <c r="K13950" s="404"/>
      <c r="L13950" s="404"/>
      <c r="M13950" s="682"/>
    </row>
    <row r="13951" spans="5:13" hidden="1" x14ac:dyDescent="0.2">
      <c r="F13951" s="503" t="s">
        <v>236</v>
      </c>
      <c r="G13951" s="504" t="s">
        <v>237</v>
      </c>
      <c r="H13951" s="397"/>
      <c r="I13951" s="397"/>
      <c r="J13951" s="750"/>
      <c r="K13951" s="398"/>
      <c r="L13951" s="404"/>
      <c r="M13951" s="682"/>
    </row>
    <row r="13952" spans="5:13" hidden="1" x14ac:dyDescent="0.2">
      <c r="F13952" s="503" t="s">
        <v>238</v>
      </c>
      <c r="G13952" s="504" t="s">
        <v>239</v>
      </c>
      <c r="H13952" s="397"/>
      <c r="I13952" s="397"/>
      <c r="J13952" s="750"/>
      <c r="K13952" s="398"/>
      <c r="L13952" s="404"/>
      <c r="M13952" s="682"/>
    </row>
    <row r="13953" spans="5:13" hidden="1" x14ac:dyDescent="0.2">
      <c r="F13953" s="503" t="s">
        <v>240</v>
      </c>
      <c r="G13953" s="504" t="s">
        <v>241</v>
      </c>
      <c r="H13953" s="397"/>
      <c r="I13953" s="397"/>
      <c r="J13953" s="750"/>
      <c r="K13953" s="398"/>
      <c r="L13953" s="404"/>
      <c r="M13953" s="682"/>
    </row>
    <row r="13954" spans="5:13" hidden="1" x14ac:dyDescent="0.2">
      <c r="F13954" s="503" t="s">
        <v>242</v>
      </c>
      <c r="G13954" s="504" t="s">
        <v>243</v>
      </c>
      <c r="H13954" s="397"/>
      <c r="I13954" s="397"/>
      <c r="J13954" s="750"/>
      <c r="K13954" s="398"/>
      <c r="L13954" s="404"/>
      <c r="M13954" s="682"/>
    </row>
    <row r="13955" spans="5:13" hidden="1" x14ac:dyDescent="0.2">
      <c r="F13955" s="503" t="s">
        <v>244</v>
      </c>
      <c r="G13955" s="504" t="s">
        <v>245</v>
      </c>
      <c r="H13955" s="397"/>
      <c r="I13955" s="397"/>
      <c r="J13955" s="750"/>
      <c r="K13955" s="398"/>
      <c r="L13955" s="404"/>
      <c r="M13955" s="682"/>
    </row>
    <row r="13956" spans="5:13" hidden="1" x14ac:dyDescent="0.2">
      <c r="F13956" s="503" t="s">
        <v>246</v>
      </c>
      <c r="G13956" s="504" t="s">
        <v>247</v>
      </c>
      <c r="H13956" s="397"/>
      <c r="I13956" s="397"/>
      <c r="J13956" s="750"/>
      <c r="K13956" s="398"/>
      <c r="L13956" s="404"/>
      <c r="M13956" s="682"/>
    </row>
    <row r="13957" spans="5:13" ht="25.5" hidden="1" x14ac:dyDescent="0.2">
      <c r="F13957" s="503" t="s">
        <v>248</v>
      </c>
      <c r="G13957" s="504" t="s">
        <v>249</v>
      </c>
      <c r="H13957" s="397"/>
      <c r="I13957" s="397"/>
      <c r="J13957" s="750"/>
      <c r="K13957" s="398"/>
      <c r="L13957" s="404"/>
      <c r="M13957" s="682"/>
    </row>
    <row r="13958" spans="5:13" hidden="1" x14ac:dyDescent="0.2">
      <c r="F13958" s="503" t="s">
        <v>250</v>
      </c>
      <c r="G13958" s="504" t="s">
        <v>57</v>
      </c>
      <c r="H13958" s="397"/>
      <c r="I13958" s="397"/>
      <c r="J13958" s="750"/>
      <c r="K13958" s="398"/>
      <c r="L13958" s="404"/>
      <c r="M13958" s="682"/>
    </row>
    <row r="13959" spans="5:13" hidden="1" x14ac:dyDescent="0.2">
      <c r="F13959" s="503" t="s">
        <v>251</v>
      </c>
      <c r="G13959" s="504" t="s">
        <v>252</v>
      </c>
      <c r="H13959" s="397"/>
      <c r="I13959" s="397"/>
      <c r="J13959" s="750"/>
      <c r="K13959" s="398"/>
      <c r="L13959" s="404"/>
      <c r="M13959" s="682"/>
    </row>
    <row r="13960" spans="5:13" hidden="1" x14ac:dyDescent="0.2">
      <c r="F13960" s="503" t="s">
        <v>253</v>
      </c>
      <c r="G13960" s="504" t="s">
        <v>254</v>
      </c>
      <c r="H13960" s="397"/>
      <c r="I13960" s="397"/>
      <c r="J13960" s="750"/>
      <c r="K13960" s="398"/>
      <c r="L13960" s="404"/>
      <c r="M13960" s="682"/>
    </row>
    <row r="13961" spans="5:13" ht="25.5" hidden="1" x14ac:dyDescent="0.2">
      <c r="F13961" s="503" t="s">
        <v>255</v>
      </c>
      <c r="G13961" s="504" t="s">
        <v>256</v>
      </c>
      <c r="H13961" s="397"/>
      <c r="I13961" s="397"/>
      <c r="J13961" s="750"/>
      <c r="K13961" s="398"/>
      <c r="L13961" s="404"/>
      <c r="M13961" s="682"/>
    </row>
    <row r="13962" spans="5:13" ht="25.5" hidden="1" x14ac:dyDescent="0.2">
      <c r="F13962" s="503" t="s">
        <v>257</v>
      </c>
      <c r="G13962" s="504" t="s">
        <v>258</v>
      </c>
      <c r="H13962" s="397"/>
      <c r="I13962" s="397"/>
      <c r="J13962" s="750"/>
      <c r="K13962" s="398"/>
      <c r="L13962" s="404"/>
      <c r="M13962" s="682"/>
    </row>
    <row r="13963" spans="5:13" ht="25.5" hidden="1" x14ac:dyDescent="0.2">
      <c r="F13963" s="503" t="s">
        <v>259</v>
      </c>
      <c r="G13963" s="504" t="s">
        <v>260</v>
      </c>
      <c r="H13963" s="397"/>
      <c r="I13963" s="397"/>
      <c r="J13963" s="750"/>
      <c r="K13963" s="398"/>
      <c r="L13963" s="404"/>
      <c r="M13963" s="682"/>
    </row>
    <row r="13964" spans="5:13" ht="25.5" hidden="1" x14ac:dyDescent="0.2">
      <c r="F13964" s="503" t="s">
        <v>261</v>
      </c>
      <c r="G13964" s="504" t="s">
        <v>262</v>
      </c>
      <c r="H13964" s="397"/>
      <c r="I13964" s="397"/>
      <c r="J13964" s="750"/>
      <c r="K13964" s="398"/>
      <c r="L13964" s="404"/>
      <c r="M13964" s="682"/>
    </row>
    <row r="13965" spans="5:13" hidden="1" x14ac:dyDescent="0.2">
      <c r="F13965" s="503" t="s">
        <v>263</v>
      </c>
      <c r="G13965" s="504" t="s">
        <v>264</v>
      </c>
      <c r="H13965" s="403"/>
      <c r="I13965" s="403"/>
      <c r="J13965" s="750"/>
      <c r="K13965" s="404"/>
      <c r="L13965" s="404"/>
      <c r="M13965" s="682"/>
    </row>
    <row r="13966" spans="5:13" ht="13.5" hidden="1" thickBot="1" x14ac:dyDescent="0.25">
      <c r="G13966" s="505" t="s">
        <v>4436</v>
      </c>
      <c r="H13966" s="405">
        <f>SUM(H13950:H13965)</f>
        <v>0</v>
      </c>
      <c r="I13966" s="405"/>
      <c r="J13966" s="750"/>
      <c r="K13966" s="406">
        <f>SUM(K13951:K13965)</f>
        <v>0</v>
      </c>
      <c r="L13966" s="406"/>
      <c r="M13966" s="682"/>
    </row>
    <row r="13967" spans="5:13" hidden="1" collapsed="1" x14ac:dyDescent="0.2">
      <c r="E13967" s="500"/>
      <c r="F13967" s="498"/>
      <c r="G13967" s="506" t="s">
        <v>5031</v>
      </c>
      <c r="H13967" s="407"/>
      <c r="I13967" s="408"/>
      <c r="J13967" s="750"/>
      <c r="K13967" s="409"/>
      <c r="L13967" s="410"/>
      <c r="M13967" s="682"/>
    </row>
    <row r="13968" spans="5:13" hidden="1" x14ac:dyDescent="0.2">
      <c r="E13968" s="502"/>
      <c r="F13968" s="503" t="s">
        <v>234</v>
      </c>
      <c r="G13968" s="504" t="s">
        <v>235</v>
      </c>
      <c r="H13968" s="403">
        <f>SUM(H13889:H13948)</f>
        <v>0</v>
      </c>
      <c r="I13968" s="403"/>
      <c r="J13968" s="750"/>
      <c r="K13968" s="404"/>
      <c r="L13968" s="404"/>
      <c r="M13968" s="682"/>
    </row>
    <row r="13969" spans="6:13" hidden="1" x14ac:dyDescent="0.2">
      <c r="F13969" s="503" t="s">
        <v>236</v>
      </c>
      <c r="G13969" s="504" t="s">
        <v>237</v>
      </c>
      <c r="H13969" s="397"/>
      <c r="I13969" s="397"/>
      <c r="J13969" s="750"/>
      <c r="K13969" s="398"/>
      <c r="L13969" s="404"/>
      <c r="M13969" s="682"/>
    </row>
    <row r="13970" spans="6:13" hidden="1" x14ac:dyDescent="0.2">
      <c r="F13970" s="503" t="s">
        <v>238</v>
      </c>
      <c r="G13970" s="504" t="s">
        <v>239</v>
      </c>
      <c r="H13970" s="397"/>
      <c r="I13970" s="397"/>
      <c r="J13970" s="750"/>
      <c r="K13970" s="398"/>
      <c r="L13970" s="404"/>
      <c r="M13970" s="682"/>
    </row>
    <row r="13971" spans="6:13" hidden="1" x14ac:dyDescent="0.2">
      <c r="F13971" s="503" t="s">
        <v>240</v>
      </c>
      <c r="G13971" s="504" t="s">
        <v>241</v>
      </c>
      <c r="H13971" s="397"/>
      <c r="I13971" s="397"/>
      <c r="J13971" s="750"/>
      <c r="K13971" s="398"/>
      <c r="L13971" s="404"/>
      <c r="M13971" s="682"/>
    </row>
    <row r="13972" spans="6:13" hidden="1" x14ac:dyDescent="0.2">
      <c r="F13972" s="503" t="s">
        <v>242</v>
      </c>
      <c r="G13972" s="504" t="s">
        <v>243</v>
      </c>
      <c r="H13972" s="397"/>
      <c r="I13972" s="397"/>
      <c r="J13972" s="750"/>
      <c r="K13972" s="398"/>
      <c r="L13972" s="404"/>
      <c r="M13972" s="682"/>
    </row>
    <row r="13973" spans="6:13" hidden="1" x14ac:dyDescent="0.2">
      <c r="F13973" s="503" t="s">
        <v>244</v>
      </c>
      <c r="G13973" s="504" t="s">
        <v>245</v>
      </c>
      <c r="H13973" s="397"/>
      <c r="I13973" s="397"/>
      <c r="J13973" s="750"/>
      <c r="K13973" s="398"/>
      <c r="L13973" s="404"/>
      <c r="M13973" s="682"/>
    </row>
    <row r="13974" spans="6:13" hidden="1" x14ac:dyDescent="0.2">
      <c r="F13974" s="503" t="s">
        <v>246</v>
      </c>
      <c r="G13974" s="504" t="s">
        <v>247</v>
      </c>
      <c r="H13974" s="397"/>
      <c r="I13974" s="397"/>
      <c r="J13974" s="750"/>
      <c r="K13974" s="398"/>
      <c r="L13974" s="404"/>
      <c r="M13974" s="682"/>
    </row>
    <row r="13975" spans="6:13" ht="25.5" hidden="1" x14ac:dyDescent="0.2">
      <c r="F13975" s="503" t="s">
        <v>248</v>
      </c>
      <c r="G13975" s="504" t="s">
        <v>249</v>
      </c>
      <c r="H13975" s="397"/>
      <c r="I13975" s="397"/>
      <c r="J13975" s="750"/>
      <c r="K13975" s="398"/>
      <c r="L13975" s="404"/>
      <c r="M13975" s="682"/>
    </row>
    <row r="13976" spans="6:13" hidden="1" x14ac:dyDescent="0.2">
      <c r="F13976" s="503" t="s">
        <v>250</v>
      </c>
      <c r="G13976" s="504" t="s">
        <v>57</v>
      </c>
      <c r="H13976" s="397"/>
      <c r="I13976" s="397"/>
      <c r="J13976" s="750"/>
      <c r="K13976" s="398"/>
      <c r="L13976" s="404"/>
      <c r="M13976" s="682"/>
    </row>
    <row r="13977" spans="6:13" hidden="1" x14ac:dyDescent="0.2">
      <c r="F13977" s="503" t="s">
        <v>251</v>
      </c>
      <c r="G13977" s="504" t="s">
        <v>252</v>
      </c>
      <c r="H13977" s="397"/>
      <c r="I13977" s="397"/>
      <c r="J13977" s="750"/>
      <c r="K13977" s="398"/>
      <c r="L13977" s="404"/>
      <c r="M13977" s="682"/>
    </row>
    <row r="13978" spans="6:13" hidden="1" x14ac:dyDescent="0.2">
      <c r="F13978" s="503" t="s">
        <v>253</v>
      </c>
      <c r="G13978" s="504" t="s">
        <v>254</v>
      </c>
      <c r="H13978" s="397"/>
      <c r="I13978" s="397"/>
      <c r="J13978" s="750"/>
      <c r="K13978" s="398"/>
      <c r="L13978" s="404"/>
      <c r="M13978" s="682"/>
    </row>
    <row r="13979" spans="6:13" ht="25.5" hidden="1" x14ac:dyDescent="0.2">
      <c r="F13979" s="503" t="s">
        <v>255</v>
      </c>
      <c r="G13979" s="504" t="s">
        <v>256</v>
      </c>
      <c r="H13979" s="397"/>
      <c r="I13979" s="397"/>
      <c r="J13979" s="750"/>
      <c r="K13979" s="398"/>
      <c r="L13979" s="404"/>
      <c r="M13979" s="682"/>
    </row>
    <row r="13980" spans="6:13" ht="25.5" hidden="1" x14ac:dyDescent="0.2">
      <c r="F13980" s="503" t="s">
        <v>257</v>
      </c>
      <c r="G13980" s="504" t="s">
        <v>258</v>
      </c>
      <c r="H13980" s="397"/>
      <c r="I13980" s="397"/>
      <c r="J13980" s="750"/>
      <c r="K13980" s="398"/>
      <c r="L13980" s="404"/>
      <c r="M13980" s="682"/>
    </row>
    <row r="13981" spans="6:13" ht="25.5" hidden="1" x14ac:dyDescent="0.2">
      <c r="F13981" s="503" t="s">
        <v>259</v>
      </c>
      <c r="G13981" s="504" t="s">
        <v>260</v>
      </c>
      <c r="H13981" s="397"/>
      <c r="I13981" s="397"/>
      <c r="J13981" s="750"/>
      <c r="K13981" s="398"/>
      <c r="L13981" s="404"/>
      <c r="M13981" s="682"/>
    </row>
    <row r="13982" spans="6:13" ht="25.5" hidden="1" x14ac:dyDescent="0.2">
      <c r="F13982" s="503" t="s">
        <v>261</v>
      </c>
      <c r="G13982" s="504" t="s">
        <v>262</v>
      </c>
      <c r="H13982" s="397"/>
      <c r="I13982" s="397"/>
      <c r="J13982" s="750"/>
      <c r="K13982" s="398"/>
      <c r="L13982" s="404"/>
      <c r="M13982" s="682"/>
    </row>
    <row r="13983" spans="6:13" hidden="1" x14ac:dyDescent="0.2">
      <c r="F13983" s="503" t="s">
        <v>263</v>
      </c>
      <c r="G13983" s="504" t="s">
        <v>264</v>
      </c>
      <c r="H13983" s="403"/>
      <c r="I13983" s="403"/>
      <c r="J13983" s="750"/>
      <c r="K13983" s="404"/>
      <c r="L13983" s="404"/>
      <c r="M13983" s="682"/>
    </row>
    <row r="13984" spans="6:13" ht="13.5" hidden="1" thickBot="1" x14ac:dyDescent="0.25">
      <c r="G13984" s="505" t="s">
        <v>5018</v>
      </c>
      <c r="H13984" s="405">
        <f>SUM(H13968:H13983)</f>
        <v>0</v>
      </c>
      <c r="I13984" s="405"/>
      <c r="J13984" s="750"/>
      <c r="K13984" s="406">
        <f>SUM(K13969:K13983)</f>
        <v>0</v>
      </c>
      <c r="L13984" s="406"/>
      <c r="M13984" s="682"/>
    </row>
    <row r="13985" spans="5:13" hidden="1" x14ac:dyDescent="0.2">
      <c r="H13985" s="397"/>
      <c r="I13985" s="397"/>
      <c r="J13985" s="750"/>
      <c r="K13985" s="398"/>
      <c r="L13985" s="398"/>
      <c r="M13985" s="682"/>
    </row>
    <row r="13986" spans="5:13" hidden="1" x14ac:dyDescent="0.2">
      <c r="E13986" s="500"/>
      <c r="F13986" s="498"/>
      <c r="G13986" s="511" t="s">
        <v>4323</v>
      </c>
      <c r="H13986" s="413"/>
      <c r="I13986" s="413"/>
      <c r="J13986" s="750"/>
      <c r="K13986" s="414"/>
      <c r="L13986" s="415"/>
      <c r="M13986" s="682"/>
    </row>
    <row r="13987" spans="5:13" hidden="1" x14ac:dyDescent="0.2">
      <c r="E13987" s="502"/>
      <c r="F13987" s="503" t="s">
        <v>234</v>
      </c>
      <c r="G13987" s="504" t="s">
        <v>235</v>
      </c>
      <c r="H13987" s="403">
        <f>SUM(H13968,H13869)</f>
        <v>0</v>
      </c>
      <c r="I13987" s="403"/>
      <c r="J13987" s="750"/>
      <c r="K13987" s="404"/>
      <c r="L13987" s="404"/>
      <c r="M13987" s="682"/>
    </row>
    <row r="13988" spans="5:13" hidden="1" x14ac:dyDescent="0.2">
      <c r="F13988" s="503" t="s">
        <v>236</v>
      </c>
      <c r="G13988" s="504" t="s">
        <v>237</v>
      </c>
      <c r="H13988" s="397"/>
      <c r="I13988" s="397"/>
      <c r="J13988" s="750"/>
      <c r="K13988" s="398"/>
      <c r="L13988" s="404"/>
      <c r="M13988" s="682"/>
    </row>
    <row r="13989" spans="5:13" hidden="1" x14ac:dyDescent="0.2">
      <c r="F13989" s="503" t="s">
        <v>238</v>
      </c>
      <c r="G13989" s="504" t="s">
        <v>239</v>
      </c>
      <c r="H13989" s="397"/>
      <c r="I13989" s="397"/>
      <c r="J13989" s="750"/>
      <c r="K13989" s="398"/>
      <c r="L13989" s="404"/>
      <c r="M13989" s="682"/>
    </row>
    <row r="13990" spans="5:13" hidden="1" x14ac:dyDescent="0.2">
      <c r="F13990" s="503" t="s">
        <v>240</v>
      </c>
      <c r="G13990" s="504" t="s">
        <v>241</v>
      </c>
      <c r="H13990" s="397"/>
      <c r="I13990" s="397"/>
      <c r="J13990" s="750"/>
      <c r="K13990" s="398"/>
      <c r="L13990" s="404"/>
      <c r="M13990" s="682"/>
    </row>
    <row r="13991" spans="5:13" hidden="1" x14ac:dyDescent="0.2">
      <c r="F13991" s="503" t="s">
        <v>242</v>
      </c>
      <c r="G13991" s="504" t="s">
        <v>243</v>
      </c>
      <c r="H13991" s="397"/>
      <c r="I13991" s="397"/>
      <c r="J13991" s="750"/>
      <c r="K13991" s="398"/>
      <c r="L13991" s="404"/>
      <c r="M13991" s="682"/>
    </row>
    <row r="13992" spans="5:13" hidden="1" x14ac:dyDescent="0.2">
      <c r="F13992" s="503" t="s">
        <v>244</v>
      </c>
      <c r="G13992" s="504" t="s">
        <v>245</v>
      </c>
      <c r="H13992" s="397"/>
      <c r="I13992" s="397"/>
      <c r="J13992" s="750"/>
      <c r="K13992" s="398"/>
      <c r="L13992" s="404"/>
      <c r="M13992" s="682"/>
    </row>
    <row r="13993" spans="5:13" hidden="1" x14ac:dyDescent="0.2">
      <c r="F13993" s="503" t="s">
        <v>246</v>
      </c>
      <c r="G13993" s="504" t="s">
        <v>247</v>
      </c>
      <c r="H13993" s="397"/>
      <c r="I13993" s="397"/>
      <c r="J13993" s="750"/>
      <c r="K13993" s="398"/>
      <c r="L13993" s="404"/>
      <c r="M13993" s="682"/>
    </row>
    <row r="13994" spans="5:13" ht="25.5" hidden="1" x14ac:dyDescent="0.2">
      <c r="F13994" s="503" t="s">
        <v>248</v>
      </c>
      <c r="G13994" s="504" t="s">
        <v>249</v>
      </c>
      <c r="H13994" s="397"/>
      <c r="I13994" s="397"/>
      <c r="J13994" s="750"/>
      <c r="K13994" s="398"/>
      <c r="L13994" s="404"/>
      <c r="M13994" s="682"/>
    </row>
    <row r="13995" spans="5:13" hidden="1" x14ac:dyDescent="0.2">
      <c r="F13995" s="503" t="s">
        <v>250</v>
      </c>
      <c r="G13995" s="504" t="s">
        <v>57</v>
      </c>
      <c r="H13995" s="397"/>
      <c r="I13995" s="397"/>
      <c r="J13995" s="750"/>
      <c r="K13995" s="398"/>
      <c r="L13995" s="404"/>
      <c r="M13995" s="682"/>
    </row>
    <row r="13996" spans="5:13" hidden="1" x14ac:dyDescent="0.2">
      <c r="F13996" s="503" t="s">
        <v>251</v>
      </c>
      <c r="G13996" s="504" t="s">
        <v>252</v>
      </c>
      <c r="H13996" s="397"/>
      <c r="I13996" s="397"/>
      <c r="J13996" s="750"/>
      <c r="K13996" s="398"/>
      <c r="L13996" s="404"/>
      <c r="M13996" s="682"/>
    </row>
    <row r="13997" spans="5:13" hidden="1" x14ac:dyDescent="0.2">
      <c r="F13997" s="503" t="s">
        <v>253</v>
      </c>
      <c r="G13997" s="504" t="s">
        <v>254</v>
      </c>
      <c r="H13997" s="397"/>
      <c r="I13997" s="397"/>
      <c r="J13997" s="750"/>
      <c r="K13997" s="398"/>
      <c r="L13997" s="404"/>
      <c r="M13997" s="682"/>
    </row>
    <row r="13998" spans="5:13" ht="25.5" hidden="1" x14ac:dyDescent="0.2">
      <c r="F13998" s="503" t="s">
        <v>255</v>
      </c>
      <c r="G13998" s="504" t="s">
        <v>256</v>
      </c>
      <c r="H13998" s="397"/>
      <c r="I13998" s="397"/>
      <c r="J13998" s="750"/>
      <c r="K13998" s="398"/>
      <c r="L13998" s="404"/>
      <c r="M13998" s="682"/>
    </row>
    <row r="13999" spans="5:13" ht="25.5" hidden="1" x14ac:dyDescent="0.2">
      <c r="F13999" s="503" t="s">
        <v>257</v>
      </c>
      <c r="G13999" s="504" t="s">
        <v>258</v>
      </c>
      <c r="H13999" s="397"/>
      <c r="I13999" s="397"/>
      <c r="J13999" s="750"/>
      <c r="K13999" s="398"/>
      <c r="L13999" s="404"/>
      <c r="M13999" s="682"/>
    </row>
    <row r="14000" spans="5:13" ht="25.5" hidden="1" x14ac:dyDescent="0.2">
      <c r="F14000" s="503" t="s">
        <v>259</v>
      </c>
      <c r="G14000" s="504" t="s">
        <v>260</v>
      </c>
      <c r="H14000" s="397"/>
      <c r="I14000" s="397"/>
      <c r="J14000" s="750"/>
      <c r="K14000" s="398"/>
      <c r="L14000" s="404"/>
      <c r="M14000" s="682"/>
    </row>
    <row r="14001" spans="5:13" ht="25.5" hidden="1" x14ac:dyDescent="0.2">
      <c r="F14001" s="503" t="s">
        <v>261</v>
      </c>
      <c r="G14001" s="504" t="s">
        <v>262</v>
      </c>
      <c r="H14001" s="397"/>
      <c r="I14001" s="397"/>
      <c r="J14001" s="750"/>
      <c r="K14001" s="398"/>
      <c r="L14001" s="404"/>
      <c r="M14001" s="682"/>
    </row>
    <row r="14002" spans="5:13" hidden="1" x14ac:dyDescent="0.2">
      <c r="F14002" s="503" t="s">
        <v>263</v>
      </c>
      <c r="G14002" s="504" t="s">
        <v>264</v>
      </c>
      <c r="H14002" s="403"/>
      <c r="I14002" s="403"/>
      <c r="J14002" s="750"/>
      <c r="K14002" s="404"/>
      <c r="L14002" s="404"/>
      <c r="M14002" s="682"/>
    </row>
    <row r="14003" spans="5:13" ht="13.5" hidden="1" thickBot="1" x14ac:dyDescent="0.25">
      <c r="G14003" s="505" t="s">
        <v>4324</v>
      </c>
      <c r="H14003" s="405">
        <f>SUM(H13987:H14002)</f>
        <v>0</v>
      </c>
      <c r="I14003" s="405"/>
      <c r="J14003" s="750"/>
      <c r="K14003" s="406">
        <f>SUM(K13988:K14002)</f>
        <v>0</v>
      </c>
      <c r="L14003" s="406"/>
      <c r="M14003" s="682"/>
    </row>
    <row r="14004" spans="5:13" hidden="1" x14ac:dyDescent="0.2">
      <c r="H14004" s="397"/>
      <c r="I14004" s="397"/>
      <c r="J14004" s="750"/>
      <c r="K14004" s="398"/>
      <c r="L14004" s="398"/>
      <c r="M14004" s="682"/>
    </row>
    <row r="14005" spans="5:13" hidden="1" x14ac:dyDescent="0.2">
      <c r="E14005" s="500"/>
      <c r="F14005" s="498"/>
      <c r="G14005" s="511" t="s">
        <v>5060</v>
      </c>
      <c r="H14005" s="413"/>
      <c r="I14005" s="413"/>
      <c r="J14005" s="750"/>
      <c r="K14005" s="414"/>
      <c r="L14005" s="415"/>
      <c r="M14005" s="682"/>
    </row>
    <row r="14006" spans="5:13" hidden="1" x14ac:dyDescent="0.2">
      <c r="E14006" s="502"/>
      <c r="F14006" s="503" t="s">
        <v>234</v>
      </c>
      <c r="G14006" s="504" t="s">
        <v>235</v>
      </c>
      <c r="H14006" s="403">
        <f>SUM(H13987)</f>
        <v>0</v>
      </c>
      <c r="I14006" s="403"/>
      <c r="J14006" s="750"/>
      <c r="K14006" s="404"/>
      <c r="L14006" s="404"/>
      <c r="M14006" s="682"/>
    </row>
    <row r="14007" spans="5:13" hidden="1" x14ac:dyDescent="0.2">
      <c r="F14007" s="503" t="s">
        <v>236</v>
      </c>
      <c r="G14007" s="504" t="s">
        <v>237</v>
      </c>
      <c r="H14007" s="397"/>
      <c r="I14007" s="397"/>
      <c r="J14007" s="750"/>
      <c r="K14007" s="398"/>
      <c r="L14007" s="404"/>
      <c r="M14007" s="682"/>
    </row>
    <row r="14008" spans="5:13" hidden="1" x14ac:dyDescent="0.2">
      <c r="F14008" s="503" t="s">
        <v>238</v>
      </c>
      <c r="G14008" s="504" t="s">
        <v>239</v>
      </c>
      <c r="H14008" s="397"/>
      <c r="I14008" s="397"/>
      <c r="J14008" s="750"/>
      <c r="K14008" s="398"/>
      <c r="L14008" s="404"/>
      <c r="M14008" s="682"/>
    </row>
    <row r="14009" spans="5:13" hidden="1" x14ac:dyDescent="0.2">
      <c r="F14009" s="503" t="s">
        <v>240</v>
      </c>
      <c r="G14009" s="504" t="s">
        <v>241</v>
      </c>
      <c r="H14009" s="397"/>
      <c r="I14009" s="397"/>
      <c r="J14009" s="750"/>
      <c r="K14009" s="398"/>
      <c r="L14009" s="404"/>
      <c r="M14009" s="682"/>
    </row>
    <row r="14010" spans="5:13" hidden="1" x14ac:dyDescent="0.2">
      <c r="F14010" s="503" t="s">
        <v>242</v>
      </c>
      <c r="G14010" s="504" t="s">
        <v>243</v>
      </c>
      <c r="H14010" s="397"/>
      <c r="I14010" s="397"/>
      <c r="J14010" s="750"/>
      <c r="K14010" s="398"/>
      <c r="L14010" s="404"/>
      <c r="M14010" s="682"/>
    </row>
    <row r="14011" spans="5:13" hidden="1" x14ac:dyDescent="0.2">
      <c r="F14011" s="503" t="s">
        <v>244</v>
      </c>
      <c r="G14011" s="504" t="s">
        <v>245</v>
      </c>
      <c r="H14011" s="397"/>
      <c r="I14011" s="397"/>
      <c r="J14011" s="750"/>
      <c r="K14011" s="398"/>
      <c r="L14011" s="404"/>
      <c r="M14011" s="682"/>
    </row>
    <row r="14012" spans="5:13" hidden="1" x14ac:dyDescent="0.2">
      <c r="F14012" s="503" t="s">
        <v>246</v>
      </c>
      <c r="G14012" s="504" t="s">
        <v>247</v>
      </c>
      <c r="H14012" s="397"/>
      <c r="I14012" s="397"/>
      <c r="J14012" s="750"/>
      <c r="K14012" s="398"/>
      <c r="L14012" s="404"/>
      <c r="M14012" s="682"/>
    </row>
    <row r="14013" spans="5:13" ht="25.5" hidden="1" x14ac:dyDescent="0.2">
      <c r="F14013" s="503" t="s">
        <v>248</v>
      </c>
      <c r="G14013" s="504" t="s">
        <v>249</v>
      </c>
      <c r="H14013" s="397"/>
      <c r="I14013" s="397"/>
      <c r="J14013" s="750"/>
      <c r="K14013" s="398"/>
      <c r="L14013" s="404"/>
      <c r="M14013" s="682"/>
    </row>
    <row r="14014" spans="5:13" hidden="1" x14ac:dyDescent="0.2">
      <c r="F14014" s="503" t="s">
        <v>250</v>
      </c>
      <c r="G14014" s="504" t="s">
        <v>57</v>
      </c>
      <c r="H14014" s="397"/>
      <c r="I14014" s="397"/>
      <c r="J14014" s="750"/>
      <c r="K14014" s="398"/>
      <c r="L14014" s="404"/>
      <c r="M14014" s="682"/>
    </row>
    <row r="14015" spans="5:13" hidden="1" x14ac:dyDescent="0.2">
      <c r="F14015" s="503" t="s">
        <v>251</v>
      </c>
      <c r="G14015" s="504" t="s">
        <v>252</v>
      </c>
      <c r="H14015" s="397"/>
      <c r="I14015" s="397"/>
      <c r="J14015" s="750"/>
      <c r="K14015" s="398"/>
      <c r="L14015" s="404"/>
      <c r="M14015" s="682"/>
    </row>
    <row r="14016" spans="5:13" hidden="1" x14ac:dyDescent="0.2">
      <c r="F14016" s="503" t="s">
        <v>253</v>
      </c>
      <c r="G14016" s="504" t="s">
        <v>254</v>
      </c>
      <c r="H14016" s="397"/>
      <c r="I14016" s="397"/>
      <c r="J14016" s="750"/>
      <c r="K14016" s="398"/>
      <c r="L14016" s="404"/>
      <c r="M14016" s="682"/>
    </row>
    <row r="14017" spans="1:15" ht="25.5" hidden="1" x14ac:dyDescent="0.2">
      <c r="F14017" s="503" t="s">
        <v>255</v>
      </c>
      <c r="G14017" s="504" t="s">
        <v>256</v>
      </c>
      <c r="H14017" s="397"/>
      <c r="I14017" s="397"/>
      <c r="J14017" s="750"/>
      <c r="K14017" s="398"/>
      <c r="L14017" s="404"/>
      <c r="M14017" s="682"/>
    </row>
    <row r="14018" spans="1:15" ht="25.5" hidden="1" x14ac:dyDescent="0.2">
      <c r="F14018" s="503" t="s">
        <v>257</v>
      </c>
      <c r="G14018" s="504" t="s">
        <v>258</v>
      </c>
      <c r="H14018" s="397"/>
      <c r="I14018" s="397"/>
      <c r="J14018" s="750"/>
      <c r="K14018" s="398"/>
      <c r="L14018" s="404"/>
      <c r="M14018" s="682"/>
    </row>
    <row r="14019" spans="1:15" ht="25.5" hidden="1" x14ac:dyDescent="0.2">
      <c r="F14019" s="503" t="s">
        <v>259</v>
      </c>
      <c r="G14019" s="504" t="s">
        <v>260</v>
      </c>
      <c r="H14019" s="397"/>
      <c r="I14019" s="397"/>
      <c r="J14019" s="750"/>
      <c r="K14019" s="398"/>
      <c r="L14019" s="404"/>
      <c r="M14019" s="682"/>
    </row>
    <row r="14020" spans="1:15" ht="25.5" hidden="1" x14ac:dyDescent="0.2">
      <c r="F14020" s="503" t="s">
        <v>261</v>
      </c>
      <c r="G14020" s="504" t="s">
        <v>262</v>
      </c>
      <c r="H14020" s="397"/>
      <c r="I14020" s="397"/>
      <c r="J14020" s="750"/>
      <c r="K14020" s="398"/>
      <c r="L14020" s="404"/>
      <c r="M14020" s="682"/>
    </row>
    <row r="14021" spans="1:15" hidden="1" x14ac:dyDescent="0.2">
      <c r="F14021" s="503" t="s">
        <v>263</v>
      </c>
      <c r="G14021" s="504" t="s">
        <v>264</v>
      </c>
      <c r="H14021" s="403"/>
      <c r="I14021" s="403"/>
      <c r="J14021" s="750"/>
      <c r="K14021" s="404"/>
      <c r="L14021" s="404"/>
      <c r="M14021" s="682"/>
    </row>
    <row r="14022" spans="1:15" ht="13.5" hidden="1" thickBot="1" x14ac:dyDescent="0.25">
      <c r="G14022" s="505" t="s">
        <v>5061</v>
      </c>
      <c r="H14022" s="405">
        <f>SUM(H14006:H14021)</f>
        <v>0</v>
      </c>
      <c r="I14022" s="405"/>
      <c r="J14022" s="750"/>
      <c r="K14022" s="406">
        <f>SUM(K14007:K14021)</f>
        <v>0</v>
      </c>
      <c r="L14022" s="406"/>
      <c r="M14022" s="682"/>
    </row>
    <row r="14023" spans="1:15" hidden="1" x14ac:dyDescent="0.2">
      <c r="H14023" s="397"/>
      <c r="I14023" s="397"/>
      <c r="J14023" s="750"/>
      <c r="K14023" s="398"/>
      <c r="L14023" s="398"/>
      <c r="M14023" s="682"/>
    </row>
    <row r="14024" spans="1:15" hidden="1" x14ac:dyDescent="0.2">
      <c r="A14024" s="646">
        <v>4</v>
      </c>
      <c r="B14024" s="647" t="s">
        <v>4341</v>
      </c>
      <c r="C14024" s="646" t="s">
        <v>4011</v>
      </c>
      <c r="D14024" s="185"/>
      <c r="E14024" s="185"/>
      <c r="F14024" s="185"/>
      <c r="G14024" s="648" t="s">
        <v>4322</v>
      </c>
      <c r="H14024" s="450"/>
      <c r="I14024" s="450"/>
      <c r="J14024" s="750"/>
      <c r="K14024" s="451"/>
      <c r="L14024" s="452"/>
      <c r="M14024" s="682"/>
      <c r="N14024" s="649"/>
      <c r="O14024" s="649"/>
    </row>
    <row r="14025" spans="1:15" ht="16.5" hidden="1" customHeight="1" x14ac:dyDescent="0.2">
      <c r="C14025" s="489" t="s">
        <v>3594</v>
      </c>
      <c r="G14025" s="513" t="s">
        <v>4315</v>
      </c>
      <c r="H14025" s="397"/>
      <c r="I14025" s="397"/>
      <c r="J14025" s="750"/>
      <c r="K14025" s="398"/>
      <c r="L14025" s="398"/>
      <c r="M14025" s="682"/>
    </row>
    <row r="14026" spans="1:15" hidden="1" x14ac:dyDescent="0.2">
      <c r="C14026" s="489" t="s">
        <v>4125</v>
      </c>
      <c r="D14026" s="490"/>
      <c r="G14026" s="513" t="s">
        <v>4316</v>
      </c>
      <c r="H14026" s="397"/>
      <c r="I14026" s="397"/>
      <c r="J14026" s="750"/>
      <c r="K14026" s="398"/>
      <c r="L14026" s="398"/>
      <c r="M14026" s="682"/>
    </row>
    <row r="14027" spans="1:15" hidden="1" x14ac:dyDescent="0.2">
      <c r="C14027" s="489"/>
      <c r="D14027" s="492">
        <v>820</v>
      </c>
      <c r="E14027" s="492"/>
      <c r="F14027" s="492"/>
      <c r="G14027" s="493" t="s">
        <v>207</v>
      </c>
      <c r="H14027" s="397"/>
      <c r="I14027" s="397"/>
      <c r="J14027" s="750"/>
      <c r="K14027" s="398"/>
      <c r="L14027" s="398"/>
      <c r="M14027" s="682"/>
    </row>
    <row r="14028" spans="1:15" hidden="1" x14ac:dyDescent="0.2">
      <c r="F14028" s="494">
        <v>411</v>
      </c>
      <c r="G14028" s="495" t="s">
        <v>4167</v>
      </c>
      <c r="H14028" s="397"/>
      <c r="I14028" s="397"/>
      <c r="J14028" s="750"/>
      <c r="K14028" s="398"/>
      <c r="L14028" s="398"/>
      <c r="M14028" s="682"/>
    </row>
    <row r="14029" spans="1:15" hidden="1" x14ac:dyDescent="0.2">
      <c r="F14029" s="494">
        <v>412</v>
      </c>
      <c r="G14029" s="496" t="s">
        <v>3764</v>
      </c>
      <c r="H14029" s="397"/>
      <c r="I14029" s="397"/>
      <c r="J14029" s="750"/>
      <c r="K14029" s="398"/>
      <c r="L14029" s="398"/>
      <c r="M14029" s="682"/>
    </row>
    <row r="14030" spans="1:15" hidden="1" x14ac:dyDescent="0.2">
      <c r="F14030" s="494">
        <v>413</v>
      </c>
      <c r="G14030" s="495" t="s">
        <v>4168</v>
      </c>
      <c r="H14030" s="397"/>
      <c r="I14030" s="397"/>
      <c r="J14030" s="750"/>
      <c r="K14030" s="398"/>
      <c r="L14030" s="398"/>
      <c r="M14030" s="682"/>
    </row>
    <row r="14031" spans="1:15" hidden="1" x14ac:dyDescent="0.2">
      <c r="F14031" s="494">
        <v>414</v>
      </c>
      <c r="G14031" s="495" t="s">
        <v>3767</v>
      </c>
      <c r="H14031" s="397"/>
      <c r="I14031" s="397"/>
      <c r="J14031" s="750"/>
      <c r="K14031" s="398"/>
      <c r="L14031" s="398"/>
      <c r="M14031" s="682"/>
    </row>
    <row r="14032" spans="1:15" hidden="1" x14ac:dyDescent="0.2">
      <c r="F14032" s="494">
        <v>415</v>
      </c>
      <c r="G14032" s="495" t="s">
        <v>4177</v>
      </c>
      <c r="H14032" s="397"/>
      <c r="I14032" s="397"/>
      <c r="J14032" s="750"/>
      <c r="K14032" s="398"/>
      <c r="L14032" s="398"/>
      <c r="M14032" s="682"/>
    </row>
    <row r="14033" spans="6:13" ht="25.5" hidden="1" x14ac:dyDescent="0.2">
      <c r="F14033" s="494">
        <v>416</v>
      </c>
      <c r="G14033" s="495" t="s">
        <v>4178</v>
      </c>
      <c r="H14033" s="397"/>
      <c r="I14033" s="397"/>
      <c r="J14033" s="750"/>
      <c r="K14033" s="398"/>
      <c r="L14033" s="398"/>
      <c r="M14033" s="682"/>
    </row>
    <row r="14034" spans="6:13" hidden="1" x14ac:dyDescent="0.2">
      <c r="F14034" s="494">
        <v>417</v>
      </c>
      <c r="G14034" s="495" t="s">
        <v>4179</v>
      </c>
      <c r="H14034" s="397"/>
      <c r="I14034" s="397"/>
      <c r="J14034" s="750"/>
      <c r="K14034" s="398"/>
      <c r="L14034" s="398"/>
      <c r="M14034" s="682"/>
    </row>
    <row r="14035" spans="6:13" hidden="1" x14ac:dyDescent="0.2">
      <c r="F14035" s="494">
        <v>418</v>
      </c>
      <c r="G14035" s="495" t="s">
        <v>3773</v>
      </c>
      <c r="H14035" s="397"/>
      <c r="I14035" s="397"/>
      <c r="J14035" s="750"/>
      <c r="K14035" s="398"/>
      <c r="L14035" s="398"/>
      <c r="M14035" s="682"/>
    </row>
    <row r="14036" spans="6:13" hidden="1" x14ac:dyDescent="0.2">
      <c r="F14036" s="494">
        <v>421</v>
      </c>
      <c r="G14036" s="495" t="s">
        <v>3777</v>
      </c>
      <c r="H14036" s="397"/>
      <c r="I14036" s="397"/>
      <c r="J14036" s="750"/>
      <c r="K14036" s="398"/>
      <c r="L14036" s="398"/>
      <c r="M14036" s="682"/>
    </row>
    <row r="14037" spans="6:13" hidden="1" x14ac:dyDescent="0.2">
      <c r="F14037" s="494">
        <v>422</v>
      </c>
      <c r="G14037" s="495" t="s">
        <v>3778</v>
      </c>
      <c r="H14037" s="397"/>
      <c r="I14037" s="397"/>
      <c r="J14037" s="750"/>
      <c r="K14037" s="398"/>
      <c r="L14037" s="398"/>
      <c r="M14037" s="682"/>
    </row>
    <row r="14038" spans="6:13" hidden="1" x14ac:dyDescent="0.2">
      <c r="F14038" s="494">
        <v>423</v>
      </c>
      <c r="G14038" s="495" t="s">
        <v>3779</v>
      </c>
      <c r="H14038" s="397"/>
      <c r="I14038" s="397"/>
      <c r="J14038" s="750"/>
      <c r="K14038" s="398"/>
      <c r="L14038" s="398"/>
      <c r="M14038" s="682"/>
    </row>
    <row r="14039" spans="6:13" hidden="1" x14ac:dyDescent="0.2">
      <c r="F14039" s="494">
        <v>424</v>
      </c>
      <c r="G14039" s="495" t="s">
        <v>3781</v>
      </c>
      <c r="H14039" s="397"/>
      <c r="I14039" s="397"/>
      <c r="J14039" s="750"/>
      <c r="K14039" s="398"/>
      <c r="L14039" s="398"/>
      <c r="M14039" s="682"/>
    </row>
    <row r="14040" spans="6:13" hidden="1" x14ac:dyDescent="0.2">
      <c r="F14040" s="494">
        <v>425</v>
      </c>
      <c r="G14040" s="495" t="s">
        <v>4180</v>
      </c>
      <c r="H14040" s="397"/>
      <c r="I14040" s="397"/>
      <c r="J14040" s="750"/>
      <c r="K14040" s="398"/>
      <c r="L14040" s="398"/>
      <c r="M14040" s="682"/>
    </row>
    <row r="14041" spans="6:13" hidden="1" x14ac:dyDescent="0.2">
      <c r="F14041" s="494">
        <v>426</v>
      </c>
      <c r="G14041" s="495" t="s">
        <v>3785</v>
      </c>
      <c r="H14041" s="397"/>
      <c r="I14041" s="397"/>
      <c r="J14041" s="750"/>
      <c r="K14041" s="398"/>
      <c r="L14041" s="398"/>
      <c r="M14041" s="682"/>
    </row>
    <row r="14042" spans="6:13" hidden="1" x14ac:dyDescent="0.2">
      <c r="F14042" s="494">
        <v>431</v>
      </c>
      <c r="G14042" s="495" t="s">
        <v>4181</v>
      </c>
      <c r="H14042" s="397"/>
      <c r="I14042" s="397"/>
      <c r="J14042" s="750"/>
      <c r="K14042" s="398"/>
      <c r="L14042" s="398"/>
      <c r="M14042" s="682"/>
    </row>
    <row r="14043" spans="6:13" hidden="1" x14ac:dyDescent="0.2">
      <c r="F14043" s="494">
        <v>432</v>
      </c>
      <c r="G14043" s="495" t="s">
        <v>4182</v>
      </c>
      <c r="H14043" s="397"/>
      <c r="I14043" s="397"/>
      <c r="J14043" s="750"/>
      <c r="K14043" s="398"/>
      <c r="L14043" s="398"/>
      <c r="M14043" s="682"/>
    </row>
    <row r="14044" spans="6:13" hidden="1" x14ac:dyDescent="0.2">
      <c r="F14044" s="494">
        <v>433</v>
      </c>
      <c r="G14044" s="495" t="s">
        <v>4183</v>
      </c>
      <c r="H14044" s="397"/>
      <c r="I14044" s="397"/>
      <c r="J14044" s="750"/>
      <c r="K14044" s="398"/>
      <c r="L14044" s="398"/>
      <c r="M14044" s="682"/>
    </row>
    <row r="14045" spans="6:13" hidden="1" x14ac:dyDescent="0.2">
      <c r="F14045" s="494">
        <v>434</v>
      </c>
      <c r="G14045" s="495" t="s">
        <v>4184</v>
      </c>
      <c r="H14045" s="397"/>
      <c r="I14045" s="397"/>
      <c r="J14045" s="750"/>
      <c r="K14045" s="398"/>
      <c r="L14045" s="398"/>
      <c r="M14045" s="682"/>
    </row>
    <row r="14046" spans="6:13" hidden="1" x14ac:dyDescent="0.2">
      <c r="F14046" s="494">
        <v>435</v>
      </c>
      <c r="G14046" s="495" t="s">
        <v>3792</v>
      </c>
      <c r="H14046" s="397"/>
      <c r="I14046" s="397"/>
      <c r="J14046" s="750"/>
      <c r="K14046" s="398"/>
      <c r="L14046" s="398"/>
      <c r="M14046" s="682"/>
    </row>
    <row r="14047" spans="6:13" hidden="1" x14ac:dyDescent="0.2">
      <c r="F14047" s="494">
        <v>441</v>
      </c>
      <c r="G14047" s="495" t="s">
        <v>4185</v>
      </c>
      <c r="H14047" s="397"/>
      <c r="I14047" s="397"/>
      <c r="J14047" s="750"/>
      <c r="K14047" s="398"/>
      <c r="L14047" s="398"/>
      <c r="M14047" s="682"/>
    </row>
    <row r="14048" spans="6:13" hidden="1" x14ac:dyDescent="0.2">
      <c r="F14048" s="494">
        <v>442</v>
      </c>
      <c r="G14048" s="495" t="s">
        <v>4186</v>
      </c>
      <c r="H14048" s="397"/>
      <c r="I14048" s="397"/>
      <c r="J14048" s="750"/>
      <c r="K14048" s="398"/>
      <c r="L14048" s="398"/>
      <c r="M14048" s="682"/>
    </row>
    <row r="14049" spans="6:13" hidden="1" x14ac:dyDescent="0.2">
      <c r="F14049" s="494">
        <v>443</v>
      </c>
      <c r="G14049" s="495" t="s">
        <v>3797</v>
      </c>
      <c r="H14049" s="397"/>
      <c r="I14049" s="397"/>
      <c r="J14049" s="750"/>
      <c r="K14049" s="398"/>
      <c r="L14049" s="398"/>
      <c r="M14049" s="682"/>
    </row>
    <row r="14050" spans="6:13" hidden="1" x14ac:dyDescent="0.2">
      <c r="F14050" s="494">
        <v>444</v>
      </c>
      <c r="G14050" s="495" t="s">
        <v>3798</v>
      </c>
      <c r="H14050" s="397"/>
      <c r="I14050" s="397"/>
      <c r="J14050" s="750"/>
      <c r="K14050" s="398"/>
      <c r="L14050" s="398"/>
      <c r="M14050" s="682"/>
    </row>
    <row r="14051" spans="6:13" ht="25.5" hidden="1" x14ac:dyDescent="0.2">
      <c r="F14051" s="494">
        <v>4511</v>
      </c>
      <c r="G14051" s="466" t="s">
        <v>1692</v>
      </c>
      <c r="H14051" s="397"/>
      <c r="I14051" s="397"/>
      <c r="J14051" s="750"/>
      <c r="K14051" s="398"/>
      <c r="L14051" s="398"/>
      <c r="M14051" s="682"/>
    </row>
    <row r="14052" spans="6:13" ht="19.5" hidden="1" customHeight="1" x14ac:dyDescent="0.2">
      <c r="F14052" s="494">
        <v>4512</v>
      </c>
      <c r="G14052" s="466" t="s">
        <v>1701</v>
      </c>
      <c r="H14052" s="397"/>
      <c r="I14052" s="397"/>
      <c r="J14052" s="750"/>
      <c r="K14052" s="398"/>
      <c r="L14052" s="398"/>
      <c r="M14052" s="682"/>
    </row>
    <row r="14053" spans="6:13" ht="25.5" hidden="1" x14ac:dyDescent="0.2">
      <c r="F14053" s="494">
        <v>452</v>
      </c>
      <c r="G14053" s="495" t="s">
        <v>4187</v>
      </c>
      <c r="H14053" s="397"/>
      <c r="I14053" s="397"/>
      <c r="J14053" s="750"/>
      <c r="K14053" s="398"/>
      <c r="L14053" s="398"/>
      <c r="M14053" s="682"/>
    </row>
    <row r="14054" spans="6:13" ht="25.5" hidden="1" x14ac:dyDescent="0.2">
      <c r="F14054" s="494">
        <v>453</v>
      </c>
      <c r="G14054" s="495" t="s">
        <v>4188</v>
      </c>
      <c r="H14054" s="397"/>
      <c r="I14054" s="397"/>
      <c r="J14054" s="750"/>
      <c r="K14054" s="398"/>
      <c r="L14054" s="398"/>
      <c r="M14054" s="682"/>
    </row>
    <row r="14055" spans="6:13" hidden="1" x14ac:dyDescent="0.2">
      <c r="F14055" s="494">
        <v>454</v>
      </c>
      <c r="G14055" s="495" t="s">
        <v>3803</v>
      </c>
      <c r="H14055" s="397"/>
      <c r="I14055" s="397"/>
      <c r="J14055" s="750"/>
      <c r="K14055" s="398"/>
      <c r="L14055" s="398"/>
      <c r="M14055" s="682"/>
    </row>
    <row r="14056" spans="6:13" hidden="1" x14ac:dyDescent="0.2">
      <c r="F14056" s="494">
        <v>461</v>
      </c>
      <c r="G14056" s="495" t="s">
        <v>4169</v>
      </c>
      <c r="H14056" s="397"/>
      <c r="I14056" s="397"/>
      <c r="J14056" s="750"/>
      <c r="K14056" s="398"/>
      <c r="L14056" s="398"/>
      <c r="M14056" s="682"/>
    </row>
    <row r="14057" spans="6:13" ht="25.5" hidden="1" x14ac:dyDescent="0.2">
      <c r="F14057" s="494">
        <v>462</v>
      </c>
      <c r="G14057" s="495" t="s">
        <v>3806</v>
      </c>
      <c r="H14057" s="397"/>
      <c r="I14057" s="397"/>
      <c r="J14057" s="750"/>
      <c r="K14057" s="398"/>
      <c r="L14057" s="398"/>
      <c r="M14057" s="682"/>
    </row>
    <row r="14058" spans="6:13" hidden="1" x14ac:dyDescent="0.2">
      <c r="F14058" s="494">
        <v>4631</v>
      </c>
      <c r="G14058" s="495" t="s">
        <v>3807</v>
      </c>
      <c r="H14058" s="397"/>
      <c r="I14058" s="397"/>
      <c r="J14058" s="750"/>
      <c r="K14058" s="398"/>
      <c r="L14058" s="398"/>
      <c r="M14058" s="682"/>
    </row>
    <row r="14059" spans="6:13" hidden="1" x14ac:dyDescent="0.2">
      <c r="F14059" s="494">
        <v>4632</v>
      </c>
      <c r="G14059" s="495" t="s">
        <v>3808</v>
      </c>
      <c r="H14059" s="397"/>
      <c r="I14059" s="397"/>
      <c r="J14059" s="750"/>
      <c r="K14059" s="398"/>
      <c r="L14059" s="398"/>
      <c r="M14059" s="682"/>
    </row>
    <row r="14060" spans="6:13" ht="25.5" hidden="1" x14ac:dyDescent="0.2">
      <c r="F14060" s="494">
        <v>464</v>
      </c>
      <c r="G14060" s="495" t="s">
        <v>3809</v>
      </c>
      <c r="H14060" s="397"/>
      <c r="I14060" s="397"/>
      <c r="J14060" s="750"/>
      <c r="K14060" s="398"/>
      <c r="L14060" s="398"/>
      <c r="M14060" s="682"/>
    </row>
    <row r="14061" spans="6:13" hidden="1" x14ac:dyDescent="0.2">
      <c r="F14061" s="494">
        <v>465</v>
      </c>
      <c r="G14061" s="495" t="s">
        <v>4170</v>
      </c>
      <c r="H14061" s="397"/>
      <c r="I14061" s="397"/>
      <c r="J14061" s="750"/>
      <c r="K14061" s="398"/>
      <c r="L14061" s="398"/>
      <c r="M14061" s="682"/>
    </row>
    <row r="14062" spans="6:13" hidden="1" x14ac:dyDescent="0.2">
      <c r="F14062" s="494">
        <v>472</v>
      </c>
      <c r="G14062" s="495" t="s">
        <v>3813</v>
      </c>
      <c r="H14062" s="397"/>
      <c r="I14062" s="397"/>
      <c r="J14062" s="750"/>
      <c r="K14062" s="398"/>
      <c r="L14062" s="398"/>
      <c r="M14062" s="682"/>
    </row>
    <row r="14063" spans="6:13" hidden="1" x14ac:dyDescent="0.2">
      <c r="F14063" s="494">
        <v>481</v>
      </c>
      <c r="G14063" s="495" t="s">
        <v>4189</v>
      </c>
      <c r="H14063" s="397"/>
      <c r="I14063" s="397"/>
      <c r="J14063" s="750"/>
      <c r="K14063" s="398"/>
      <c r="L14063" s="398"/>
      <c r="M14063" s="682"/>
    </row>
    <row r="14064" spans="6:13" hidden="1" x14ac:dyDescent="0.2">
      <c r="F14064" s="494">
        <v>482</v>
      </c>
      <c r="G14064" s="495" t="s">
        <v>4190</v>
      </c>
      <c r="H14064" s="397"/>
      <c r="I14064" s="397"/>
      <c r="J14064" s="750"/>
      <c r="K14064" s="398"/>
      <c r="L14064" s="398"/>
      <c r="M14064" s="682"/>
    </row>
    <row r="14065" spans="6:13" hidden="1" x14ac:dyDescent="0.2">
      <c r="F14065" s="494">
        <v>483</v>
      </c>
      <c r="G14065" s="497" t="s">
        <v>4191</v>
      </c>
      <c r="H14065" s="397"/>
      <c r="I14065" s="397"/>
      <c r="J14065" s="750"/>
      <c r="K14065" s="398"/>
      <c r="L14065" s="398"/>
      <c r="M14065" s="682"/>
    </row>
    <row r="14066" spans="6:13" ht="38.25" hidden="1" x14ac:dyDescent="0.2">
      <c r="F14066" s="494">
        <v>484</v>
      </c>
      <c r="G14066" s="495" t="s">
        <v>4192</v>
      </c>
      <c r="H14066" s="397"/>
      <c r="I14066" s="397"/>
      <c r="J14066" s="750"/>
      <c r="K14066" s="398"/>
      <c r="L14066" s="398"/>
      <c r="M14066" s="682"/>
    </row>
    <row r="14067" spans="6:13" ht="25.5" hidden="1" x14ac:dyDescent="0.2">
      <c r="F14067" s="494">
        <v>485</v>
      </c>
      <c r="G14067" s="495" t="s">
        <v>4193</v>
      </c>
      <c r="H14067" s="397"/>
      <c r="I14067" s="397"/>
      <c r="J14067" s="750"/>
      <c r="K14067" s="398"/>
      <c r="L14067" s="398"/>
      <c r="M14067" s="682"/>
    </row>
    <row r="14068" spans="6:13" ht="25.5" hidden="1" x14ac:dyDescent="0.2">
      <c r="F14068" s="494">
        <v>489</v>
      </c>
      <c r="G14068" s="495" t="s">
        <v>3821</v>
      </c>
      <c r="H14068" s="397"/>
      <c r="I14068" s="397"/>
      <c r="J14068" s="750"/>
      <c r="K14068" s="398"/>
      <c r="L14068" s="398"/>
      <c r="M14068" s="682"/>
    </row>
    <row r="14069" spans="6:13" ht="25.5" hidden="1" x14ac:dyDescent="0.2">
      <c r="F14069" s="494">
        <v>494</v>
      </c>
      <c r="G14069" s="495" t="s">
        <v>4171</v>
      </c>
      <c r="H14069" s="397"/>
      <c r="I14069" s="397"/>
      <c r="J14069" s="750"/>
      <c r="K14069" s="398"/>
      <c r="L14069" s="398"/>
      <c r="M14069" s="682"/>
    </row>
    <row r="14070" spans="6:13" ht="25.5" hidden="1" x14ac:dyDescent="0.2">
      <c r="F14070" s="494">
        <v>495</v>
      </c>
      <c r="G14070" s="495" t="s">
        <v>4172</v>
      </c>
      <c r="H14070" s="397"/>
      <c r="I14070" s="397"/>
      <c r="J14070" s="750"/>
      <c r="K14070" s="398"/>
      <c r="L14070" s="398"/>
      <c r="M14070" s="682"/>
    </row>
    <row r="14071" spans="6:13" ht="38.25" hidden="1" x14ac:dyDescent="0.2">
      <c r="F14071" s="494">
        <v>496</v>
      </c>
      <c r="G14071" s="495" t="s">
        <v>4173</v>
      </c>
      <c r="H14071" s="397"/>
      <c r="I14071" s="397"/>
      <c r="J14071" s="750"/>
      <c r="K14071" s="398"/>
      <c r="L14071" s="398"/>
      <c r="M14071" s="682"/>
    </row>
    <row r="14072" spans="6:13" ht="25.5" hidden="1" x14ac:dyDescent="0.2">
      <c r="F14072" s="494">
        <v>499</v>
      </c>
      <c r="G14072" s="495" t="s">
        <v>4174</v>
      </c>
      <c r="H14072" s="397"/>
      <c r="I14072" s="397"/>
      <c r="J14072" s="750"/>
      <c r="K14072" s="398"/>
      <c r="L14072" s="398"/>
      <c r="M14072" s="682"/>
    </row>
    <row r="14073" spans="6:13" hidden="1" x14ac:dyDescent="0.2">
      <c r="F14073" s="494">
        <v>511</v>
      </c>
      <c r="G14073" s="497" t="s">
        <v>4194</v>
      </c>
      <c r="H14073" s="397"/>
      <c r="I14073" s="397"/>
      <c r="J14073" s="750"/>
      <c r="K14073" s="398"/>
      <c r="L14073" s="398"/>
      <c r="M14073" s="682"/>
    </row>
    <row r="14074" spans="6:13" hidden="1" x14ac:dyDescent="0.2">
      <c r="F14074" s="494">
        <v>512</v>
      </c>
      <c r="G14074" s="497" t="s">
        <v>4195</v>
      </c>
      <c r="H14074" s="397"/>
      <c r="I14074" s="397"/>
      <c r="J14074" s="750"/>
      <c r="K14074" s="398"/>
      <c r="L14074" s="398"/>
      <c r="M14074" s="682"/>
    </row>
    <row r="14075" spans="6:13" hidden="1" x14ac:dyDescent="0.2">
      <c r="F14075" s="494">
        <v>513</v>
      </c>
      <c r="G14075" s="497" t="s">
        <v>4196</v>
      </c>
      <c r="H14075" s="397"/>
      <c r="I14075" s="397"/>
      <c r="J14075" s="750"/>
      <c r="K14075" s="398"/>
      <c r="L14075" s="398"/>
      <c r="M14075" s="682"/>
    </row>
    <row r="14076" spans="6:13" hidden="1" x14ac:dyDescent="0.2">
      <c r="F14076" s="494">
        <v>514</v>
      </c>
      <c r="G14076" s="495" t="s">
        <v>4197</v>
      </c>
      <c r="H14076" s="397"/>
      <c r="I14076" s="397"/>
      <c r="J14076" s="750"/>
      <c r="K14076" s="398"/>
      <c r="L14076" s="398"/>
      <c r="M14076" s="682"/>
    </row>
    <row r="14077" spans="6:13" hidden="1" x14ac:dyDescent="0.2">
      <c r="F14077" s="494">
        <v>515</v>
      </c>
      <c r="G14077" s="495" t="s">
        <v>3832</v>
      </c>
      <c r="H14077" s="397"/>
      <c r="I14077" s="397"/>
      <c r="J14077" s="750"/>
      <c r="K14077" s="398"/>
      <c r="L14077" s="398"/>
      <c r="M14077" s="682"/>
    </row>
    <row r="14078" spans="6:13" hidden="1" x14ac:dyDescent="0.2">
      <c r="F14078" s="494">
        <v>521</v>
      </c>
      <c r="G14078" s="495" t="s">
        <v>4198</v>
      </c>
      <c r="H14078" s="397"/>
      <c r="I14078" s="397"/>
      <c r="J14078" s="750"/>
      <c r="K14078" s="398"/>
      <c r="L14078" s="398"/>
      <c r="M14078" s="682"/>
    </row>
    <row r="14079" spans="6:13" hidden="1" x14ac:dyDescent="0.2">
      <c r="F14079" s="494">
        <v>522</v>
      </c>
      <c r="G14079" s="495" t="s">
        <v>4199</v>
      </c>
      <c r="H14079" s="397"/>
      <c r="I14079" s="397"/>
      <c r="J14079" s="750"/>
      <c r="K14079" s="398"/>
      <c r="L14079" s="398"/>
      <c r="M14079" s="682"/>
    </row>
    <row r="14080" spans="6:13" hidden="1" x14ac:dyDescent="0.2">
      <c r="F14080" s="494">
        <v>523</v>
      </c>
      <c r="G14080" s="495" t="s">
        <v>3837</v>
      </c>
      <c r="H14080" s="397"/>
      <c r="I14080" s="397"/>
      <c r="J14080" s="750"/>
      <c r="K14080" s="398"/>
      <c r="L14080" s="398"/>
      <c r="M14080" s="682"/>
    </row>
    <row r="14081" spans="5:13" hidden="1" x14ac:dyDescent="0.2">
      <c r="F14081" s="494">
        <v>531</v>
      </c>
      <c r="G14081" s="496" t="s">
        <v>4175</v>
      </c>
      <c r="H14081" s="397"/>
      <c r="I14081" s="397"/>
      <c r="J14081" s="750"/>
      <c r="K14081" s="398"/>
      <c r="L14081" s="398"/>
      <c r="M14081" s="682"/>
    </row>
    <row r="14082" spans="5:13" hidden="1" x14ac:dyDescent="0.2">
      <c r="F14082" s="494">
        <v>541</v>
      </c>
      <c r="G14082" s="495" t="s">
        <v>4200</v>
      </c>
      <c r="H14082" s="397"/>
      <c r="I14082" s="397"/>
      <c r="J14082" s="750"/>
      <c r="K14082" s="398"/>
      <c r="L14082" s="398"/>
      <c r="M14082" s="682"/>
    </row>
    <row r="14083" spans="5:13" hidden="1" x14ac:dyDescent="0.2">
      <c r="F14083" s="494">
        <v>542</v>
      </c>
      <c r="G14083" s="495" t="s">
        <v>4201</v>
      </c>
      <c r="H14083" s="397"/>
      <c r="I14083" s="397"/>
      <c r="J14083" s="750"/>
      <c r="K14083" s="398"/>
      <c r="L14083" s="398"/>
      <c r="M14083" s="682"/>
    </row>
    <row r="14084" spans="5:13" hidden="1" x14ac:dyDescent="0.2">
      <c r="F14084" s="494">
        <v>543</v>
      </c>
      <c r="G14084" s="495" t="s">
        <v>3842</v>
      </c>
      <c r="H14084" s="397"/>
      <c r="I14084" s="397"/>
      <c r="J14084" s="750"/>
      <c r="K14084" s="398"/>
      <c r="L14084" s="398"/>
      <c r="M14084" s="682"/>
    </row>
    <row r="14085" spans="5:13" ht="38.25" hidden="1" x14ac:dyDescent="0.2">
      <c r="F14085" s="494">
        <v>551</v>
      </c>
      <c r="G14085" s="495" t="s">
        <v>4176</v>
      </c>
      <c r="H14085" s="397"/>
      <c r="I14085" s="397"/>
      <c r="J14085" s="750"/>
      <c r="K14085" s="398"/>
      <c r="L14085" s="398"/>
      <c r="M14085" s="682"/>
    </row>
    <row r="14086" spans="5:13" hidden="1" x14ac:dyDescent="0.2">
      <c r="F14086" s="498">
        <v>611</v>
      </c>
      <c r="G14086" s="499" t="s">
        <v>3848</v>
      </c>
      <c r="H14086" s="397"/>
      <c r="I14086" s="397"/>
      <c r="J14086" s="750"/>
      <c r="K14086" s="398"/>
      <c r="L14086" s="398"/>
      <c r="M14086" s="682"/>
    </row>
    <row r="14087" spans="5:13" hidden="1" x14ac:dyDescent="0.2">
      <c r="F14087" s="498">
        <v>620</v>
      </c>
      <c r="G14087" s="499" t="s">
        <v>88</v>
      </c>
      <c r="H14087" s="397"/>
      <c r="I14087" s="397"/>
      <c r="J14087" s="750"/>
      <c r="K14087" s="398"/>
      <c r="L14087" s="398"/>
      <c r="M14087" s="682"/>
    </row>
    <row r="14088" spans="5:13" hidden="1" x14ac:dyDescent="0.2">
      <c r="E14088" s="500"/>
      <c r="F14088" s="498"/>
      <c r="G14088" s="501" t="s">
        <v>4435</v>
      </c>
      <c r="H14088" s="400"/>
      <c r="I14088" s="400"/>
      <c r="J14088" s="750"/>
      <c r="K14088" s="401"/>
      <c r="L14088" s="402"/>
      <c r="M14088" s="682"/>
    </row>
    <row r="14089" spans="5:13" hidden="1" x14ac:dyDescent="0.2">
      <c r="E14089" s="502"/>
      <c r="F14089" s="503" t="s">
        <v>234</v>
      </c>
      <c r="G14089" s="504" t="s">
        <v>235</v>
      </c>
      <c r="H14089" s="403">
        <f>SUM(H14028:H14087)</f>
        <v>0</v>
      </c>
      <c r="I14089" s="403"/>
      <c r="J14089" s="750"/>
      <c r="K14089" s="404"/>
      <c r="L14089" s="404"/>
      <c r="M14089" s="682"/>
    </row>
    <row r="14090" spans="5:13" hidden="1" x14ac:dyDescent="0.2">
      <c r="F14090" s="503" t="s">
        <v>236</v>
      </c>
      <c r="G14090" s="504" t="s">
        <v>237</v>
      </c>
      <c r="H14090" s="397"/>
      <c r="I14090" s="397"/>
      <c r="J14090" s="750"/>
      <c r="K14090" s="398"/>
      <c r="L14090" s="404"/>
      <c r="M14090" s="682"/>
    </row>
    <row r="14091" spans="5:13" hidden="1" x14ac:dyDescent="0.2">
      <c r="F14091" s="503" t="s">
        <v>238</v>
      </c>
      <c r="G14091" s="504" t="s">
        <v>239</v>
      </c>
      <c r="H14091" s="397"/>
      <c r="I14091" s="397"/>
      <c r="J14091" s="750"/>
      <c r="K14091" s="398"/>
      <c r="L14091" s="404"/>
      <c r="M14091" s="682"/>
    </row>
    <row r="14092" spans="5:13" hidden="1" x14ac:dyDescent="0.2">
      <c r="F14092" s="503" t="s">
        <v>240</v>
      </c>
      <c r="G14092" s="504" t="s">
        <v>241</v>
      </c>
      <c r="H14092" s="397"/>
      <c r="I14092" s="397"/>
      <c r="J14092" s="750"/>
      <c r="K14092" s="398"/>
      <c r="L14092" s="404"/>
      <c r="M14092" s="682"/>
    </row>
    <row r="14093" spans="5:13" hidden="1" x14ac:dyDescent="0.2">
      <c r="F14093" s="503" t="s">
        <v>242</v>
      </c>
      <c r="G14093" s="504" t="s">
        <v>243</v>
      </c>
      <c r="H14093" s="397"/>
      <c r="I14093" s="397"/>
      <c r="J14093" s="750"/>
      <c r="K14093" s="398"/>
      <c r="L14093" s="404"/>
      <c r="M14093" s="682"/>
    </row>
    <row r="14094" spans="5:13" hidden="1" x14ac:dyDescent="0.2">
      <c r="F14094" s="503" t="s">
        <v>244</v>
      </c>
      <c r="G14094" s="504" t="s">
        <v>245</v>
      </c>
      <c r="H14094" s="397"/>
      <c r="I14094" s="397"/>
      <c r="J14094" s="750"/>
      <c r="K14094" s="398"/>
      <c r="L14094" s="404"/>
      <c r="M14094" s="682"/>
    </row>
    <row r="14095" spans="5:13" hidden="1" x14ac:dyDescent="0.2">
      <c r="F14095" s="503" t="s">
        <v>246</v>
      </c>
      <c r="G14095" s="504" t="s">
        <v>247</v>
      </c>
      <c r="H14095" s="397"/>
      <c r="I14095" s="397"/>
      <c r="J14095" s="750"/>
      <c r="K14095" s="398"/>
      <c r="L14095" s="404"/>
      <c r="M14095" s="682"/>
    </row>
    <row r="14096" spans="5:13" ht="25.5" hidden="1" x14ac:dyDescent="0.2">
      <c r="F14096" s="503" t="s">
        <v>248</v>
      </c>
      <c r="G14096" s="504" t="s">
        <v>249</v>
      </c>
      <c r="H14096" s="397"/>
      <c r="I14096" s="397"/>
      <c r="J14096" s="750"/>
      <c r="K14096" s="398"/>
      <c r="L14096" s="404"/>
      <c r="M14096" s="682"/>
    </row>
    <row r="14097" spans="5:13" hidden="1" x14ac:dyDescent="0.2">
      <c r="F14097" s="503" t="s">
        <v>250</v>
      </c>
      <c r="G14097" s="504" t="s">
        <v>57</v>
      </c>
      <c r="H14097" s="397"/>
      <c r="I14097" s="397"/>
      <c r="J14097" s="750"/>
      <c r="K14097" s="398"/>
      <c r="L14097" s="404"/>
      <c r="M14097" s="682"/>
    </row>
    <row r="14098" spans="5:13" hidden="1" x14ac:dyDescent="0.2">
      <c r="F14098" s="503" t="s">
        <v>251</v>
      </c>
      <c r="G14098" s="504" t="s">
        <v>252</v>
      </c>
      <c r="H14098" s="397"/>
      <c r="I14098" s="397"/>
      <c r="J14098" s="750"/>
      <c r="K14098" s="398"/>
      <c r="L14098" s="404"/>
      <c r="M14098" s="682"/>
    </row>
    <row r="14099" spans="5:13" hidden="1" x14ac:dyDescent="0.2">
      <c r="F14099" s="503" t="s">
        <v>253</v>
      </c>
      <c r="G14099" s="504" t="s">
        <v>254</v>
      </c>
      <c r="H14099" s="397"/>
      <c r="I14099" s="397"/>
      <c r="J14099" s="750"/>
      <c r="K14099" s="398"/>
      <c r="L14099" s="404"/>
      <c r="M14099" s="682"/>
    </row>
    <row r="14100" spans="5:13" ht="25.5" hidden="1" x14ac:dyDescent="0.2">
      <c r="F14100" s="503" t="s">
        <v>255</v>
      </c>
      <c r="G14100" s="504" t="s">
        <v>256</v>
      </c>
      <c r="H14100" s="397"/>
      <c r="I14100" s="397"/>
      <c r="J14100" s="750"/>
      <c r="K14100" s="398"/>
      <c r="L14100" s="404"/>
      <c r="M14100" s="682"/>
    </row>
    <row r="14101" spans="5:13" ht="25.5" hidden="1" x14ac:dyDescent="0.2">
      <c r="F14101" s="503" t="s">
        <v>257</v>
      </c>
      <c r="G14101" s="504" t="s">
        <v>258</v>
      </c>
      <c r="H14101" s="397"/>
      <c r="I14101" s="397"/>
      <c r="J14101" s="750"/>
      <c r="K14101" s="398"/>
      <c r="L14101" s="404"/>
      <c r="M14101" s="682"/>
    </row>
    <row r="14102" spans="5:13" ht="25.5" hidden="1" x14ac:dyDescent="0.2">
      <c r="F14102" s="503" t="s">
        <v>259</v>
      </c>
      <c r="G14102" s="504" t="s">
        <v>260</v>
      </c>
      <c r="H14102" s="397"/>
      <c r="I14102" s="397"/>
      <c r="J14102" s="750"/>
      <c r="K14102" s="398"/>
      <c r="L14102" s="404"/>
      <c r="M14102" s="682"/>
    </row>
    <row r="14103" spans="5:13" ht="25.5" hidden="1" x14ac:dyDescent="0.2">
      <c r="F14103" s="503" t="s">
        <v>261</v>
      </c>
      <c r="G14103" s="504" t="s">
        <v>262</v>
      </c>
      <c r="H14103" s="397"/>
      <c r="I14103" s="397"/>
      <c r="J14103" s="750"/>
      <c r="K14103" s="398"/>
      <c r="L14103" s="404"/>
      <c r="M14103" s="682"/>
    </row>
    <row r="14104" spans="5:13" hidden="1" x14ac:dyDescent="0.2">
      <c r="F14104" s="503" t="s">
        <v>263</v>
      </c>
      <c r="G14104" s="504" t="s">
        <v>264</v>
      </c>
      <c r="H14104" s="403"/>
      <c r="I14104" s="403"/>
      <c r="J14104" s="750"/>
      <c r="K14104" s="404"/>
      <c r="L14104" s="404"/>
      <c r="M14104" s="682"/>
    </row>
    <row r="14105" spans="5:13" ht="13.5" hidden="1" thickBot="1" x14ac:dyDescent="0.25">
      <c r="G14105" s="505" t="s">
        <v>4436</v>
      </c>
      <c r="H14105" s="405">
        <f>SUM(H14089:H14104)</f>
        <v>0</v>
      </c>
      <c r="I14105" s="405"/>
      <c r="J14105" s="750"/>
      <c r="K14105" s="406">
        <f>SUM(K14090:K14104)</f>
        <v>0</v>
      </c>
      <c r="L14105" s="406"/>
      <c r="M14105" s="682"/>
    </row>
    <row r="14106" spans="5:13" ht="25.5" hidden="1" collapsed="1" x14ac:dyDescent="0.2">
      <c r="E14106" s="500"/>
      <c r="F14106" s="498"/>
      <c r="G14106" s="506" t="s">
        <v>4437</v>
      </c>
      <c r="H14106" s="407"/>
      <c r="I14106" s="408"/>
      <c r="J14106" s="750"/>
      <c r="K14106" s="409"/>
      <c r="L14106" s="410"/>
      <c r="M14106" s="682"/>
    </row>
    <row r="14107" spans="5:13" hidden="1" x14ac:dyDescent="0.2">
      <c r="E14107" s="502"/>
      <c r="F14107" s="503" t="s">
        <v>234</v>
      </c>
      <c r="G14107" s="504" t="s">
        <v>235</v>
      </c>
      <c r="H14107" s="403">
        <f>SUM(H14028:H14087)</f>
        <v>0</v>
      </c>
      <c r="I14107" s="403"/>
      <c r="J14107" s="750"/>
      <c r="K14107" s="404"/>
      <c r="L14107" s="404"/>
      <c r="M14107" s="682"/>
    </row>
    <row r="14108" spans="5:13" hidden="1" x14ac:dyDescent="0.2">
      <c r="F14108" s="503" t="s">
        <v>236</v>
      </c>
      <c r="G14108" s="504" t="s">
        <v>237</v>
      </c>
      <c r="H14108" s="397"/>
      <c r="I14108" s="397"/>
      <c r="J14108" s="750"/>
      <c r="K14108" s="398"/>
      <c r="L14108" s="404"/>
      <c r="M14108" s="682"/>
    </row>
    <row r="14109" spans="5:13" hidden="1" x14ac:dyDescent="0.2">
      <c r="F14109" s="503" t="s">
        <v>238</v>
      </c>
      <c r="G14109" s="504" t="s">
        <v>239</v>
      </c>
      <c r="H14109" s="397"/>
      <c r="I14109" s="397"/>
      <c r="J14109" s="750"/>
      <c r="K14109" s="398"/>
      <c r="L14109" s="404"/>
      <c r="M14109" s="682"/>
    </row>
    <row r="14110" spans="5:13" hidden="1" x14ac:dyDescent="0.2">
      <c r="F14110" s="503" t="s">
        <v>240</v>
      </c>
      <c r="G14110" s="504" t="s">
        <v>241</v>
      </c>
      <c r="H14110" s="397"/>
      <c r="I14110" s="397"/>
      <c r="J14110" s="750"/>
      <c r="K14110" s="398"/>
      <c r="L14110" s="404"/>
      <c r="M14110" s="682"/>
    </row>
    <row r="14111" spans="5:13" hidden="1" x14ac:dyDescent="0.2">
      <c r="F14111" s="503" t="s">
        <v>242</v>
      </c>
      <c r="G14111" s="504" t="s">
        <v>243</v>
      </c>
      <c r="H14111" s="397"/>
      <c r="I14111" s="397"/>
      <c r="J14111" s="750"/>
      <c r="K14111" s="398"/>
      <c r="L14111" s="404"/>
      <c r="M14111" s="682"/>
    </row>
    <row r="14112" spans="5:13" hidden="1" x14ac:dyDescent="0.2">
      <c r="F14112" s="503" t="s">
        <v>244</v>
      </c>
      <c r="G14112" s="504" t="s">
        <v>245</v>
      </c>
      <c r="H14112" s="397"/>
      <c r="I14112" s="397"/>
      <c r="J14112" s="750"/>
      <c r="K14112" s="398"/>
      <c r="L14112" s="404"/>
      <c r="M14112" s="682"/>
    </row>
    <row r="14113" spans="3:13" hidden="1" x14ac:dyDescent="0.2">
      <c r="F14113" s="503" t="s">
        <v>246</v>
      </c>
      <c r="G14113" s="504" t="s">
        <v>247</v>
      </c>
      <c r="H14113" s="397"/>
      <c r="I14113" s="397"/>
      <c r="J14113" s="750"/>
      <c r="K14113" s="398"/>
      <c r="L14113" s="404"/>
      <c r="M14113" s="682"/>
    </row>
    <row r="14114" spans="3:13" ht="25.5" hidden="1" x14ac:dyDescent="0.2">
      <c r="F14114" s="503" t="s">
        <v>248</v>
      </c>
      <c r="G14114" s="504" t="s">
        <v>249</v>
      </c>
      <c r="H14114" s="397"/>
      <c r="I14114" s="397"/>
      <c r="J14114" s="750"/>
      <c r="K14114" s="398"/>
      <c r="L14114" s="404"/>
      <c r="M14114" s="682"/>
    </row>
    <row r="14115" spans="3:13" hidden="1" x14ac:dyDescent="0.2">
      <c r="F14115" s="503" t="s">
        <v>250</v>
      </c>
      <c r="G14115" s="504" t="s">
        <v>57</v>
      </c>
      <c r="H14115" s="397"/>
      <c r="I14115" s="397"/>
      <c r="J14115" s="750"/>
      <c r="K14115" s="398"/>
      <c r="L14115" s="404"/>
      <c r="M14115" s="682"/>
    </row>
    <row r="14116" spans="3:13" hidden="1" x14ac:dyDescent="0.2">
      <c r="F14116" s="503" t="s">
        <v>251</v>
      </c>
      <c r="G14116" s="504" t="s">
        <v>252</v>
      </c>
      <c r="H14116" s="397"/>
      <c r="I14116" s="397"/>
      <c r="J14116" s="750"/>
      <c r="K14116" s="398"/>
      <c r="L14116" s="404"/>
      <c r="M14116" s="682"/>
    </row>
    <row r="14117" spans="3:13" hidden="1" x14ac:dyDescent="0.2">
      <c r="F14117" s="503" t="s">
        <v>253</v>
      </c>
      <c r="G14117" s="504" t="s">
        <v>254</v>
      </c>
      <c r="H14117" s="397"/>
      <c r="I14117" s="397"/>
      <c r="J14117" s="750"/>
      <c r="K14117" s="398"/>
      <c r="L14117" s="404"/>
      <c r="M14117" s="682"/>
    </row>
    <row r="14118" spans="3:13" ht="25.5" hidden="1" x14ac:dyDescent="0.2">
      <c r="F14118" s="503" t="s">
        <v>255</v>
      </c>
      <c r="G14118" s="504" t="s">
        <v>256</v>
      </c>
      <c r="H14118" s="397"/>
      <c r="I14118" s="397"/>
      <c r="J14118" s="750"/>
      <c r="K14118" s="398"/>
      <c r="L14118" s="404"/>
      <c r="M14118" s="682"/>
    </row>
    <row r="14119" spans="3:13" ht="25.5" hidden="1" x14ac:dyDescent="0.2">
      <c r="F14119" s="503" t="s">
        <v>257</v>
      </c>
      <c r="G14119" s="504" t="s">
        <v>258</v>
      </c>
      <c r="H14119" s="397"/>
      <c r="I14119" s="397"/>
      <c r="J14119" s="750"/>
      <c r="K14119" s="398"/>
      <c r="L14119" s="404"/>
      <c r="M14119" s="682"/>
    </row>
    <row r="14120" spans="3:13" ht="25.5" hidden="1" x14ac:dyDescent="0.2">
      <c r="F14120" s="503" t="s">
        <v>259</v>
      </c>
      <c r="G14120" s="504" t="s">
        <v>260</v>
      </c>
      <c r="H14120" s="397"/>
      <c r="I14120" s="397"/>
      <c r="J14120" s="750"/>
      <c r="K14120" s="398"/>
      <c r="L14120" s="404"/>
      <c r="M14120" s="682"/>
    </row>
    <row r="14121" spans="3:13" ht="25.5" hidden="1" x14ac:dyDescent="0.2">
      <c r="F14121" s="503" t="s">
        <v>261</v>
      </c>
      <c r="G14121" s="504" t="s">
        <v>262</v>
      </c>
      <c r="H14121" s="397"/>
      <c r="I14121" s="397"/>
      <c r="J14121" s="750"/>
      <c r="K14121" s="398"/>
      <c r="L14121" s="404"/>
      <c r="M14121" s="682"/>
    </row>
    <row r="14122" spans="3:13" hidden="1" x14ac:dyDescent="0.2">
      <c r="F14122" s="503" t="s">
        <v>263</v>
      </c>
      <c r="G14122" s="504" t="s">
        <v>264</v>
      </c>
      <c r="H14122" s="403"/>
      <c r="I14122" s="403"/>
      <c r="J14122" s="750"/>
      <c r="K14122" s="404"/>
      <c r="L14122" s="404"/>
      <c r="M14122" s="682"/>
    </row>
    <row r="14123" spans="3:13" ht="13.5" hidden="1" collapsed="1" thickBot="1" x14ac:dyDescent="0.25">
      <c r="G14123" s="505" t="s">
        <v>4438</v>
      </c>
      <c r="H14123" s="405">
        <f>SUM(H14107:H14122)</f>
        <v>0</v>
      </c>
      <c r="I14123" s="405"/>
      <c r="J14123" s="750"/>
      <c r="K14123" s="406">
        <f>SUM(K14108:K14122)</f>
        <v>0</v>
      </c>
      <c r="L14123" s="406"/>
      <c r="M14123" s="682"/>
    </row>
    <row r="14124" spans="3:13" hidden="1" x14ac:dyDescent="0.2">
      <c r="H14124" s="397"/>
      <c r="I14124" s="397"/>
      <c r="J14124" s="750"/>
      <c r="K14124" s="398"/>
      <c r="L14124" s="398"/>
      <c r="M14124" s="682"/>
    </row>
    <row r="14125" spans="3:13" hidden="1" x14ac:dyDescent="0.2">
      <c r="C14125" s="489" t="s">
        <v>4836</v>
      </c>
      <c r="D14125" s="490"/>
      <c r="G14125" s="508" t="s">
        <v>4232</v>
      </c>
      <c r="H14125" s="397"/>
      <c r="I14125" s="397"/>
      <c r="J14125" s="750"/>
      <c r="K14125" s="398"/>
      <c r="L14125" s="398"/>
      <c r="M14125" s="682"/>
    </row>
    <row r="14126" spans="3:13" hidden="1" x14ac:dyDescent="0.2">
      <c r="C14126" s="489"/>
      <c r="D14126" s="492">
        <v>820</v>
      </c>
      <c r="E14126" s="492"/>
      <c r="F14126" s="492"/>
      <c r="G14126" s="493" t="s">
        <v>207</v>
      </c>
      <c r="H14126" s="397"/>
      <c r="I14126" s="397"/>
      <c r="J14126" s="750"/>
      <c r="K14126" s="398"/>
      <c r="L14126" s="398"/>
      <c r="M14126" s="682"/>
    </row>
    <row r="14127" spans="3:13" hidden="1" x14ac:dyDescent="0.2">
      <c r="F14127" s="494">
        <v>411</v>
      </c>
      <c r="G14127" s="495" t="s">
        <v>4167</v>
      </c>
      <c r="H14127" s="397"/>
      <c r="I14127" s="397"/>
      <c r="J14127" s="750"/>
      <c r="K14127" s="398"/>
      <c r="L14127" s="398"/>
      <c r="M14127" s="682"/>
    </row>
    <row r="14128" spans="3:13" hidden="1" x14ac:dyDescent="0.2">
      <c r="F14128" s="494">
        <v>412</v>
      </c>
      <c r="G14128" s="496" t="s">
        <v>3764</v>
      </c>
      <c r="H14128" s="397"/>
      <c r="I14128" s="397"/>
      <c r="J14128" s="750"/>
      <c r="K14128" s="398"/>
      <c r="L14128" s="398"/>
      <c r="M14128" s="682"/>
    </row>
    <row r="14129" spans="6:13" hidden="1" x14ac:dyDescent="0.2">
      <c r="F14129" s="494">
        <v>413</v>
      </c>
      <c r="G14129" s="495" t="s">
        <v>4168</v>
      </c>
      <c r="H14129" s="397"/>
      <c r="I14129" s="397"/>
      <c r="J14129" s="750"/>
      <c r="K14129" s="398"/>
      <c r="L14129" s="398"/>
      <c r="M14129" s="682"/>
    </row>
    <row r="14130" spans="6:13" hidden="1" x14ac:dyDescent="0.2">
      <c r="F14130" s="494">
        <v>414</v>
      </c>
      <c r="G14130" s="495" t="s">
        <v>3767</v>
      </c>
      <c r="H14130" s="397"/>
      <c r="I14130" s="397"/>
      <c r="J14130" s="750"/>
      <c r="K14130" s="398"/>
      <c r="L14130" s="398"/>
      <c r="M14130" s="682"/>
    </row>
    <row r="14131" spans="6:13" hidden="1" x14ac:dyDescent="0.2">
      <c r="F14131" s="494">
        <v>415</v>
      </c>
      <c r="G14131" s="495" t="s">
        <v>4177</v>
      </c>
      <c r="H14131" s="397"/>
      <c r="I14131" s="397"/>
      <c r="J14131" s="750"/>
      <c r="K14131" s="398"/>
      <c r="L14131" s="398"/>
      <c r="M14131" s="682"/>
    </row>
    <row r="14132" spans="6:13" ht="25.5" hidden="1" x14ac:dyDescent="0.2">
      <c r="F14132" s="494">
        <v>416</v>
      </c>
      <c r="G14132" s="495" t="s">
        <v>4178</v>
      </c>
      <c r="H14132" s="397"/>
      <c r="I14132" s="397"/>
      <c r="J14132" s="750"/>
      <c r="K14132" s="398"/>
      <c r="L14132" s="398"/>
      <c r="M14132" s="682"/>
    </row>
    <row r="14133" spans="6:13" hidden="1" x14ac:dyDescent="0.2">
      <c r="F14133" s="494">
        <v>417</v>
      </c>
      <c r="G14133" s="495" t="s">
        <v>4179</v>
      </c>
      <c r="H14133" s="397"/>
      <c r="I14133" s="397"/>
      <c r="J14133" s="750"/>
      <c r="K14133" s="398"/>
      <c r="L14133" s="398"/>
      <c r="M14133" s="682"/>
    </row>
    <row r="14134" spans="6:13" hidden="1" x14ac:dyDescent="0.2">
      <c r="F14134" s="494">
        <v>418</v>
      </c>
      <c r="G14134" s="495" t="s">
        <v>3773</v>
      </c>
      <c r="H14134" s="397"/>
      <c r="I14134" s="397"/>
      <c r="J14134" s="750"/>
      <c r="K14134" s="398"/>
      <c r="L14134" s="398"/>
      <c r="M14134" s="682"/>
    </row>
    <row r="14135" spans="6:13" hidden="1" x14ac:dyDescent="0.2">
      <c r="F14135" s="494">
        <v>421</v>
      </c>
      <c r="G14135" s="495" t="s">
        <v>3777</v>
      </c>
      <c r="H14135" s="397"/>
      <c r="I14135" s="397"/>
      <c r="J14135" s="750"/>
      <c r="K14135" s="398"/>
      <c r="L14135" s="398"/>
      <c r="M14135" s="682"/>
    </row>
    <row r="14136" spans="6:13" hidden="1" x14ac:dyDescent="0.2">
      <c r="F14136" s="494">
        <v>422</v>
      </c>
      <c r="G14136" s="495" t="s">
        <v>3778</v>
      </c>
      <c r="H14136" s="397"/>
      <c r="I14136" s="397"/>
      <c r="J14136" s="750"/>
      <c r="K14136" s="398"/>
      <c r="L14136" s="398"/>
      <c r="M14136" s="682"/>
    </row>
    <row r="14137" spans="6:13" hidden="1" x14ac:dyDescent="0.2">
      <c r="F14137" s="494">
        <v>423</v>
      </c>
      <c r="G14137" s="495" t="s">
        <v>3779</v>
      </c>
      <c r="H14137" s="397"/>
      <c r="I14137" s="397"/>
      <c r="J14137" s="750"/>
      <c r="K14137" s="398"/>
      <c r="L14137" s="398"/>
      <c r="M14137" s="682"/>
    </row>
    <row r="14138" spans="6:13" hidden="1" x14ac:dyDescent="0.2">
      <c r="F14138" s="494">
        <v>424</v>
      </c>
      <c r="G14138" s="495" t="s">
        <v>3781</v>
      </c>
      <c r="H14138" s="397"/>
      <c r="I14138" s="397"/>
      <c r="J14138" s="750"/>
      <c r="K14138" s="398"/>
      <c r="L14138" s="398"/>
      <c r="M14138" s="682"/>
    </row>
    <row r="14139" spans="6:13" hidden="1" x14ac:dyDescent="0.2">
      <c r="F14139" s="494">
        <v>425</v>
      </c>
      <c r="G14139" s="495" t="s">
        <v>4180</v>
      </c>
      <c r="H14139" s="397"/>
      <c r="I14139" s="397"/>
      <c r="J14139" s="750"/>
      <c r="K14139" s="398"/>
      <c r="L14139" s="398"/>
      <c r="M14139" s="682"/>
    </row>
    <row r="14140" spans="6:13" hidden="1" x14ac:dyDescent="0.2">
      <c r="F14140" s="494">
        <v>426</v>
      </c>
      <c r="G14140" s="495" t="s">
        <v>3785</v>
      </c>
      <c r="H14140" s="397"/>
      <c r="I14140" s="397"/>
      <c r="J14140" s="750"/>
      <c r="K14140" s="398"/>
      <c r="L14140" s="398"/>
      <c r="M14140" s="682"/>
    </row>
    <row r="14141" spans="6:13" hidden="1" x14ac:dyDescent="0.2">
      <c r="F14141" s="494">
        <v>431</v>
      </c>
      <c r="G14141" s="495" t="s">
        <v>4181</v>
      </c>
      <c r="H14141" s="397"/>
      <c r="I14141" s="397"/>
      <c r="J14141" s="750"/>
      <c r="K14141" s="398"/>
      <c r="L14141" s="398"/>
      <c r="M14141" s="682"/>
    </row>
    <row r="14142" spans="6:13" hidden="1" x14ac:dyDescent="0.2">
      <c r="F14142" s="494">
        <v>432</v>
      </c>
      <c r="G14142" s="495" t="s">
        <v>4182</v>
      </c>
      <c r="H14142" s="397"/>
      <c r="I14142" s="397"/>
      <c r="J14142" s="750"/>
      <c r="K14142" s="398"/>
      <c r="L14142" s="398"/>
      <c r="M14142" s="682"/>
    </row>
    <row r="14143" spans="6:13" hidden="1" x14ac:dyDescent="0.2">
      <c r="F14143" s="494">
        <v>433</v>
      </c>
      <c r="G14143" s="495" t="s">
        <v>4183</v>
      </c>
      <c r="H14143" s="397"/>
      <c r="I14143" s="397"/>
      <c r="J14143" s="750"/>
      <c r="K14143" s="398"/>
      <c r="L14143" s="398"/>
      <c r="M14143" s="682"/>
    </row>
    <row r="14144" spans="6:13" hidden="1" x14ac:dyDescent="0.2">
      <c r="F14144" s="494">
        <v>434</v>
      </c>
      <c r="G14144" s="495" t="s">
        <v>4184</v>
      </c>
      <c r="H14144" s="397"/>
      <c r="I14144" s="397"/>
      <c r="J14144" s="750"/>
      <c r="K14144" s="398"/>
      <c r="L14144" s="398"/>
      <c r="M14144" s="682"/>
    </row>
    <row r="14145" spans="6:13" hidden="1" x14ac:dyDescent="0.2">
      <c r="F14145" s="494">
        <v>435</v>
      </c>
      <c r="G14145" s="495" t="s">
        <v>3792</v>
      </c>
      <c r="H14145" s="397"/>
      <c r="I14145" s="397"/>
      <c r="J14145" s="750"/>
      <c r="K14145" s="398"/>
      <c r="L14145" s="398"/>
      <c r="M14145" s="682"/>
    </row>
    <row r="14146" spans="6:13" hidden="1" x14ac:dyDescent="0.2">
      <c r="F14146" s="494">
        <v>441</v>
      </c>
      <c r="G14146" s="495" t="s">
        <v>4185</v>
      </c>
      <c r="H14146" s="397"/>
      <c r="I14146" s="397"/>
      <c r="J14146" s="750"/>
      <c r="K14146" s="398"/>
      <c r="L14146" s="398"/>
      <c r="M14146" s="682"/>
    </row>
    <row r="14147" spans="6:13" hidden="1" x14ac:dyDescent="0.2">
      <c r="F14147" s="494">
        <v>442</v>
      </c>
      <c r="G14147" s="495" t="s">
        <v>4186</v>
      </c>
      <c r="H14147" s="397"/>
      <c r="I14147" s="397"/>
      <c r="J14147" s="750"/>
      <c r="K14147" s="398"/>
      <c r="L14147" s="398"/>
      <c r="M14147" s="682"/>
    </row>
    <row r="14148" spans="6:13" hidden="1" x14ac:dyDescent="0.2">
      <c r="F14148" s="494">
        <v>443</v>
      </c>
      <c r="G14148" s="495" t="s">
        <v>3797</v>
      </c>
      <c r="H14148" s="397"/>
      <c r="I14148" s="397"/>
      <c r="J14148" s="750"/>
      <c r="K14148" s="398"/>
      <c r="L14148" s="398"/>
      <c r="M14148" s="682"/>
    </row>
    <row r="14149" spans="6:13" hidden="1" x14ac:dyDescent="0.2">
      <c r="F14149" s="494">
        <v>444</v>
      </c>
      <c r="G14149" s="495" t="s">
        <v>3798</v>
      </c>
      <c r="H14149" s="397"/>
      <c r="I14149" s="397"/>
      <c r="J14149" s="750"/>
      <c r="K14149" s="398"/>
      <c r="L14149" s="398"/>
      <c r="M14149" s="682"/>
    </row>
    <row r="14150" spans="6:13" ht="25.5" hidden="1" x14ac:dyDescent="0.2">
      <c r="F14150" s="494">
        <v>4511</v>
      </c>
      <c r="G14150" s="466" t="s">
        <v>1692</v>
      </c>
      <c r="H14150" s="397"/>
      <c r="I14150" s="397"/>
      <c r="J14150" s="750"/>
      <c r="K14150" s="398"/>
      <c r="L14150" s="398"/>
      <c r="M14150" s="682"/>
    </row>
    <row r="14151" spans="6:13" ht="25.5" hidden="1" x14ac:dyDescent="0.2">
      <c r="F14151" s="494">
        <v>4512</v>
      </c>
      <c r="G14151" s="466" t="s">
        <v>1701</v>
      </c>
      <c r="H14151" s="397"/>
      <c r="I14151" s="397"/>
      <c r="J14151" s="750"/>
      <c r="K14151" s="398"/>
      <c r="L14151" s="398"/>
      <c r="M14151" s="682"/>
    </row>
    <row r="14152" spans="6:13" ht="25.5" hidden="1" x14ac:dyDescent="0.2">
      <c r="F14152" s="494">
        <v>452</v>
      </c>
      <c r="G14152" s="495" t="s">
        <v>4187</v>
      </c>
      <c r="H14152" s="397"/>
      <c r="I14152" s="397"/>
      <c r="J14152" s="750"/>
      <c r="K14152" s="398"/>
      <c r="L14152" s="398"/>
      <c r="M14152" s="682"/>
    </row>
    <row r="14153" spans="6:13" ht="25.5" hidden="1" x14ac:dyDescent="0.2">
      <c r="F14153" s="494">
        <v>453</v>
      </c>
      <c r="G14153" s="495" t="s">
        <v>4188</v>
      </c>
      <c r="H14153" s="397"/>
      <c r="I14153" s="397"/>
      <c r="J14153" s="750"/>
      <c r="K14153" s="398"/>
      <c r="L14153" s="398"/>
      <c r="M14153" s="682"/>
    </row>
    <row r="14154" spans="6:13" hidden="1" x14ac:dyDescent="0.2">
      <c r="F14154" s="494">
        <v>454</v>
      </c>
      <c r="G14154" s="495" t="s">
        <v>3803</v>
      </c>
      <c r="H14154" s="397"/>
      <c r="I14154" s="397"/>
      <c r="J14154" s="750"/>
      <c r="K14154" s="398"/>
      <c r="L14154" s="398"/>
      <c r="M14154" s="682"/>
    </row>
    <row r="14155" spans="6:13" hidden="1" x14ac:dyDescent="0.2">
      <c r="F14155" s="494">
        <v>461</v>
      </c>
      <c r="G14155" s="495" t="s">
        <v>4169</v>
      </c>
      <c r="H14155" s="397"/>
      <c r="I14155" s="397"/>
      <c r="J14155" s="750"/>
      <c r="K14155" s="398"/>
      <c r="L14155" s="398"/>
      <c r="M14155" s="682"/>
    </row>
    <row r="14156" spans="6:13" ht="25.5" hidden="1" x14ac:dyDescent="0.2">
      <c r="F14156" s="494">
        <v>462</v>
      </c>
      <c r="G14156" s="495" t="s">
        <v>3806</v>
      </c>
      <c r="H14156" s="397"/>
      <c r="I14156" s="397"/>
      <c r="J14156" s="750"/>
      <c r="K14156" s="398"/>
      <c r="L14156" s="398"/>
      <c r="M14156" s="682"/>
    </row>
    <row r="14157" spans="6:13" hidden="1" x14ac:dyDescent="0.2">
      <c r="F14157" s="494">
        <v>4631</v>
      </c>
      <c r="G14157" s="495" t="s">
        <v>3807</v>
      </c>
      <c r="H14157" s="397"/>
      <c r="I14157" s="397"/>
      <c r="J14157" s="750"/>
      <c r="K14157" s="398"/>
      <c r="L14157" s="398"/>
      <c r="M14157" s="682"/>
    </row>
    <row r="14158" spans="6:13" hidden="1" x14ac:dyDescent="0.2">
      <c r="F14158" s="494">
        <v>4632</v>
      </c>
      <c r="G14158" s="495" t="s">
        <v>3808</v>
      </c>
      <c r="H14158" s="397"/>
      <c r="I14158" s="397"/>
      <c r="J14158" s="750"/>
      <c r="K14158" s="398"/>
      <c r="L14158" s="398"/>
      <c r="M14158" s="682"/>
    </row>
    <row r="14159" spans="6:13" ht="25.5" hidden="1" x14ac:dyDescent="0.2">
      <c r="F14159" s="494">
        <v>464</v>
      </c>
      <c r="G14159" s="495" t="s">
        <v>3809</v>
      </c>
      <c r="H14159" s="397"/>
      <c r="I14159" s="397"/>
      <c r="J14159" s="750"/>
      <c r="K14159" s="398"/>
      <c r="L14159" s="398"/>
      <c r="M14159" s="682"/>
    </row>
    <row r="14160" spans="6:13" hidden="1" x14ac:dyDescent="0.2">
      <c r="F14160" s="494">
        <v>465</v>
      </c>
      <c r="G14160" s="495" t="s">
        <v>4170</v>
      </c>
      <c r="H14160" s="397"/>
      <c r="I14160" s="397"/>
      <c r="J14160" s="750"/>
      <c r="K14160" s="398"/>
      <c r="L14160" s="398"/>
      <c r="M14160" s="682"/>
    </row>
    <row r="14161" spans="6:13" hidden="1" x14ac:dyDescent="0.2">
      <c r="F14161" s="494">
        <v>472</v>
      </c>
      <c r="G14161" s="495" t="s">
        <v>3813</v>
      </c>
      <c r="H14161" s="397"/>
      <c r="I14161" s="397"/>
      <c r="J14161" s="750"/>
      <c r="K14161" s="398"/>
      <c r="L14161" s="398"/>
      <c r="M14161" s="682"/>
    </row>
    <row r="14162" spans="6:13" hidden="1" x14ac:dyDescent="0.2">
      <c r="F14162" s="494">
        <v>481</v>
      </c>
      <c r="G14162" s="495" t="s">
        <v>4189</v>
      </c>
      <c r="H14162" s="397"/>
      <c r="I14162" s="397"/>
      <c r="J14162" s="750"/>
      <c r="K14162" s="398"/>
      <c r="L14162" s="398"/>
      <c r="M14162" s="682"/>
    </row>
    <row r="14163" spans="6:13" hidden="1" x14ac:dyDescent="0.2">
      <c r="F14163" s="494">
        <v>482</v>
      </c>
      <c r="G14163" s="495" t="s">
        <v>4190</v>
      </c>
      <c r="H14163" s="397"/>
      <c r="I14163" s="397"/>
      <c r="J14163" s="750"/>
      <c r="K14163" s="398"/>
      <c r="L14163" s="398"/>
      <c r="M14163" s="682"/>
    </row>
    <row r="14164" spans="6:13" hidden="1" x14ac:dyDescent="0.2">
      <c r="F14164" s="494">
        <v>483</v>
      </c>
      <c r="G14164" s="497" t="s">
        <v>4191</v>
      </c>
      <c r="H14164" s="397"/>
      <c r="I14164" s="397"/>
      <c r="J14164" s="750"/>
      <c r="K14164" s="398"/>
      <c r="L14164" s="398"/>
      <c r="M14164" s="682"/>
    </row>
    <row r="14165" spans="6:13" ht="38.25" hidden="1" x14ac:dyDescent="0.2">
      <c r="F14165" s="494">
        <v>484</v>
      </c>
      <c r="G14165" s="495" t="s">
        <v>4192</v>
      </c>
      <c r="H14165" s="397"/>
      <c r="I14165" s="397"/>
      <c r="J14165" s="750"/>
      <c r="K14165" s="398"/>
      <c r="L14165" s="398"/>
      <c r="M14165" s="682"/>
    </row>
    <row r="14166" spans="6:13" ht="25.5" hidden="1" x14ac:dyDescent="0.2">
      <c r="F14166" s="494">
        <v>485</v>
      </c>
      <c r="G14166" s="495" t="s">
        <v>4193</v>
      </c>
      <c r="H14166" s="397"/>
      <c r="I14166" s="397"/>
      <c r="J14166" s="750"/>
      <c r="K14166" s="398"/>
      <c r="L14166" s="398"/>
      <c r="M14166" s="682"/>
    </row>
    <row r="14167" spans="6:13" ht="25.5" hidden="1" x14ac:dyDescent="0.2">
      <c r="F14167" s="494">
        <v>489</v>
      </c>
      <c r="G14167" s="495" t="s">
        <v>3821</v>
      </c>
      <c r="H14167" s="397"/>
      <c r="I14167" s="397"/>
      <c r="J14167" s="750"/>
      <c r="K14167" s="398"/>
      <c r="L14167" s="398"/>
      <c r="M14167" s="682"/>
    </row>
    <row r="14168" spans="6:13" ht="25.5" hidden="1" x14ac:dyDescent="0.2">
      <c r="F14168" s="494">
        <v>494</v>
      </c>
      <c r="G14168" s="495" t="s">
        <v>4171</v>
      </c>
      <c r="H14168" s="397"/>
      <c r="I14168" s="397"/>
      <c r="J14168" s="750"/>
      <c r="K14168" s="398"/>
      <c r="L14168" s="398"/>
      <c r="M14168" s="682"/>
    </row>
    <row r="14169" spans="6:13" ht="25.5" hidden="1" x14ac:dyDescent="0.2">
      <c r="F14169" s="494">
        <v>495</v>
      </c>
      <c r="G14169" s="495" t="s">
        <v>4172</v>
      </c>
      <c r="H14169" s="397"/>
      <c r="I14169" s="397"/>
      <c r="J14169" s="750"/>
      <c r="K14169" s="398"/>
      <c r="L14169" s="398"/>
      <c r="M14169" s="682"/>
    </row>
    <row r="14170" spans="6:13" ht="38.25" hidden="1" x14ac:dyDescent="0.2">
      <c r="F14170" s="494">
        <v>496</v>
      </c>
      <c r="G14170" s="495" t="s">
        <v>4173</v>
      </c>
      <c r="H14170" s="397"/>
      <c r="I14170" s="397"/>
      <c r="J14170" s="750"/>
      <c r="K14170" s="398"/>
      <c r="L14170" s="398"/>
      <c r="M14170" s="682"/>
    </row>
    <row r="14171" spans="6:13" ht="25.5" hidden="1" x14ac:dyDescent="0.2">
      <c r="F14171" s="494">
        <v>499</v>
      </c>
      <c r="G14171" s="495" t="s">
        <v>4174</v>
      </c>
      <c r="H14171" s="397"/>
      <c r="I14171" s="397"/>
      <c r="J14171" s="750"/>
      <c r="K14171" s="398"/>
      <c r="L14171" s="398"/>
      <c r="M14171" s="682"/>
    </row>
    <row r="14172" spans="6:13" hidden="1" x14ac:dyDescent="0.2">
      <c r="F14172" s="494">
        <v>511</v>
      </c>
      <c r="G14172" s="497" t="s">
        <v>4194</v>
      </c>
      <c r="H14172" s="397"/>
      <c r="I14172" s="397"/>
      <c r="J14172" s="750"/>
      <c r="K14172" s="398"/>
      <c r="L14172" s="398"/>
      <c r="M14172" s="682"/>
    </row>
    <row r="14173" spans="6:13" hidden="1" x14ac:dyDescent="0.2">
      <c r="F14173" s="494">
        <v>512</v>
      </c>
      <c r="G14173" s="497" t="s">
        <v>4195</v>
      </c>
      <c r="H14173" s="397"/>
      <c r="I14173" s="397"/>
      <c r="J14173" s="750"/>
      <c r="K14173" s="398"/>
      <c r="L14173" s="398"/>
      <c r="M14173" s="682"/>
    </row>
    <row r="14174" spans="6:13" hidden="1" x14ac:dyDescent="0.2">
      <c r="F14174" s="494">
        <v>513</v>
      </c>
      <c r="G14174" s="497" t="s">
        <v>4196</v>
      </c>
      <c r="H14174" s="397"/>
      <c r="I14174" s="397"/>
      <c r="J14174" s="750"/>
      <c r="K14174" s="398"/>
      <c r="L14174" s="398"/>
      <c r="M14174" s="682"/>
    </row>
    <row r="14175" spans="6:13" hidden="1" x14ac:dyDescent="0.2">
      <c r="F14175" s="494">
        <v>514</v>
      </c>
      <c r="G14175" s="495" t="s">
        <v>4197</v>
      </c>
      <c r="H14175" s="397"/>
      <c r="I14175" s="397"/>
      <c r="J14175" s="750"/>
      <c r="K14175" s="398"/>
      <c r="L14175" s="398"/>
      <c r="M14175" s="682"/>
    </row>
    <row r="14176" spans="6:13" hidden="1" x14ac:dyDescent="0.2">
      <c r="F14176" s="494">
        <v>515</v>
      </c>
      <c r="G14176" s="495" t="s">
        <v>3832</v>
      </c>
      <c r="H14176" s="397"/>
      <c r="I14176" s="397"/>
      <c r="J14176" s="750"/>
      <c r="K14176" s="398"/>
      <c r="L14176" s="398"/>
      <c r="M14176" s="682"/>
    </row>
    <row r="14177" spans="5:13" hidden="1" x14ac:dyDescent="0.2">
      <c r="F14177" s="494">
        <v>521</v>
      </c>
      <c r="G14177" s="495" t="s">
        <v>4198</v>
      </c>
      <c r="H14177" s="397"/>
      <c r="I14177" s="397"/>
      <c r="J14177" s="750"/>
      <c r="K14177" s="398"/>
      <c r="L14177" s="398"/>
      <c r="M14177" s="682"/>
    </row>
    <row r="14178" spans="5:13" hidden="1" x14ac:dyDescent="0.2">
      <c r="F14178" s="494">
        <v>522</v>
      </c>
      <c r="G14178" s="495" t="s">
        <v>4199</v>
      </c>
      <c r="H14178" s="397"/>
      <c r="I14178" s="397"/>
      <c r="J14178" s="750"/>
      <c r="K14178" s="398"/>
      <c r="L14178" s="398"/>
      <c r="M14178" s="682"/>
    </row>
    <row r="14179" spans="5:13" hidden="1" x14ac:dyDescent="0.2">
      <c r="F14179" s="494">
        <v>523</v>
      </c>
      <c r="G14179" s="495" t="s">
        <v>3837</v>
      </c>
      <c r="H14179" s="397"/>
      <c r="I14179" s="397"/>
      <c r="J14179" s="750"/>
      <c r="K14179" s="398"/>
      <c r="L14179" s="398"/>
      <c r="M14179" s="682"/>
    </row>
    <row r="14180" spans="5:13" hidden="1" x14ac:dyDescent="0.2">
      <c r="F14180" s="494">
        <v>531</v>
      </c>
      <c r="G14180" s="496" t="s">
        <v>4175</v>
      </c>
      <c r="H14180" s="397"/>
      <c r="I14180" s="397"/>
      <c r="J14180" s="750"/>
      <c r="K14180" s="398"/>
      <c r="L14180" s="398"/>
      <c r="M14180" s="682"/>
    </row>
    <row r="14181" spans="5:13" hidden="1" x14ac:dyDescent="0.2">
      <c r="F14181" s="494">
        <v>541</v>
      </c>
      <c r="G14181" s="495" t="s">
        <v>4200</v>
      </c>
      <c r="H14181" s="397"/>
      <c r="I14181" s="397"/>
      <c r="J14181" s="750"/>
      <c r="K14181" s="398"/>
      <c r="L14181" s="398"/>
      <c r="M14181" s="682"/>
    </row>
    <row r="14182" spans="5:13" hidden="1" x14ac:dyDescent="0.2">
      <c r="F14182" s="494">
        <v>542</v>
      </c>
      <c r="G14182" s="495" t="s">
        <v>4201</v>
      </c>
      <c r="H14182" s="397"/>
      <c r="I14182" s="397"/>
      <c r="J14182" s="750"/>
      <c r="K14182" s="398"/>
      <c r="L14182" s="398"/>
      <c r="M14182" s="682"/>
    </row>
    <row r="14183" spans="5:13" hidden="1" x14ac:dyDescent="0.2">
      <c r="F14183" s="494">
        <v>543</v>
      </c>
      <c r="G14183" s="495" t="s">
        <v>3842</v>
      </c>
      <c r="H14183" s="397"/>
      <c r="I14183" s="397"/>
      <c r="J14183" s="750"/>
      <c r="K14183" s="398"/>
      <c r="L14183" s="398"/>
      <c r="M14183" s="682"/>
    </row>
    <row r="14184" spans="5:13" ht="38.25" hidden="1" x14ac:dyDescent="0.2">
      <c r="F14184" s="494">
        <v>551</v>
      </c>
      <c r="G14184" s="495" t="s">
        <v>4176</v>
      </c>
      <c r="H14184" s="397"/>
      <c r="I14184" s="397"/>
      <c r="J14184" s="750"/>
      <c r="K14184" s="398"/>
      <c r="L14184" s="398"/>
      <c r="M14184" s="682"/>
    </row>
    <row r="14185" spans="5:13" hidden="1" x14ac:dyDescent="0.2">
      <c r="F14185" s="498">
        <v>611</v>
      </c>
      <c r="G14185" s="499" t="s">
        <v>3848</v>
      </c>
      <c r="H14185" s="397"/>
      <c r="I14185" s="397"/>
      <c r="J14185" s="750"/>
      <c r="K14185" s="398"/>
      <c r="L14185" s="398"/>
      <c r="M14185" s="682"/>
    </row>
    <row r="14186" spans="5:13" hidden="1" x14ac:dyDescent="0.2">
      <c r="F14186" s="498">
        <v>620</v>
      </c>
      <c r="G14186" s="499" t="s">
        <v>88</v>
      </c>
      <c r="H14186" s="397"/>
      <c r="I14186" s="397"/>
      <c r="J14186" s="750"/>
      <c r="K14186" s="398"/>
      <c r="L14186" s="398"/>
      <c r="M14186" s="682"/>
    </row>
    <row r="14187" spans="5:13" hidden="1" x14ac:dyDescent="0.2">
      <c r="E14187" s="500"/>
      <c r="F14187" s="498"/>
      <c r="G14187" s="509" t="s">
        <v>4435</v>
      </c>
      <c r="H14187" s="400"/>
      <c r="I14187" s="400"/>
      <c r="J14187" s="750"/>
      <c r="K14187" s="401"/>
      <c r="L14187" s="402"/>
      <c r="M14187" s="682"/>
    </row>
    <row r="14188" spans="5:13" hidden="1" x14ac:dyDescent="0.2">
      <c r="E14188" s="502"/>
      <c r="F14188" s="503" t="s">
        <v>234</v>
      </c>
      <c r="G14188" s="504" t="s">
        <v>235</v>
      </c>
      <c r="H14188" s="403">
        <f>SUM(H14127:H14186)</f>
        <v>0</v>
      </c>
      <c r="I14188" s="403"/>
      <c r="J14188" s="750"/>
      <c r="K14188" s="404"/>
      <c r="L14188" s="404"/>
      <c r="M14188" s="682"/>
    </row>
    <row r="14189" spans="5:13" hidden="1" x14ac:dyDescent="0.2">
      <c r="F14189" s="503" t="s">
        <v>236</v>
      </c>
      <c r="G14189" s="504" t="s">
        <v>237</v>
      </c>
      <c r="H14189" s="397"/>
      <c r="I14189" s="397"/>
      <c r="J14189" s="750"/>
      <c r="K14189" s="398"/>
      <c r="L14189" s="404"/>
      <c r="M14189" s="682"/>
    </row>
    <row r="14190" spans="5:13" hidden="1" x14ac:dyDescent="0.2">
      <c r="F14190" s="503" t="s">
        <v>238</v>
      </c>
      <c r="G14190" s="504" t="s">
        <v>239</v>
      </c>
      <c r="H14190" s="397"/>
      <c r="I14190" s="397"/>
      <c r="J14190" s="750"/>
      <c r="K14190" s="398"/>
      <c r="L14190" s="404"/>
      <c r="M14190" s="682"/>
    </row>
    <row r="14191" spans="5:13" hidden="1" x14ac:dyDescent="0.2">
      <c r="F14191" s="503" t="s">
        <v>240</v>
      </c>
      <c r="G14191" s="504" t="s">
        <v>241</v>
      </c>
      <c r="H14191" s="397"/>
      <c r="I14191" s="397"/>
      <c r="J14191" s="750"/>
      <c r="K14191" s="398"/>
      <c r="L14191" s="404"/>
      <c r="M14191" s="682"/>
    </row>
    <row r="14192" spans="5:13" hidden="1" x14ac:dyDescent="0.2">
      <c r="F14192" s="503" t="s">
        <v>242</v>
      </c>
      <c r="G14192" s="504" t="s">
        <v>243</v>
      </c>
      <c r="H14192" s="397"/>
      <c r="I14192" s="397"/>
      <c r="J14192" s="750"/>
      <c r="K14192" s="398"/>
      <c r="L14192" s="404"/>
      <c r="M14192" s="682"/>
    </row>
    <row r="14193" spans="5:13" hidden="1" x14ac:dyDescent="0.2">
      <c r="F14193" s="503" t="s">
        <v>244</v>
      </c>
      <c r="G14193" s="504" t="s">
        <v>245</v>
      </c>
      <c r="H14193" s="397"/>
      <c r="I14193" s="397"/>
      <c r="J14193" s="750"/>
      <c r="K14193" s="398"/>
      <c r="L14193" s="404"/>
      <c r="M14193" s="682"/>
    </row>
    <row r="14194" spans="5:13" hidden="1" x14ac:dyDescent="0.2">
      <c r="F14194" s="503" t="s">
        <v>246</v>
      </c>
      <c r="G14194" s="504" t="s">
        <v>247</v>
      </c>
      <c r="H14194" s="397"/>
      <c r="I14194" s="397"/>
      <c r="J14194" s="750"/>
      <c r="K14194" s="398"/>
      <c r="L14194" s="404"/>
      <c r="M14194" s="682"/>
    </row>
    <row r="14195" spans="5:13" ht="25.5" hidden="1" x14ac:dyDescent="0.2">
      <c r="F14195" s="503" t="s">
        <v>248</v>
      </c>
      <c r="G14195" s="504" t="s">
        <v>249</v>
      </c>
      <c r="H14195" s="397"/>
      <c r="I14195" s="397"/>
      <c r="J14195" s="750"/>
      <c r="K14195" s="398"/>
      <c r="L14195" s="404"/>
      <c r="M14195" s="682"/>
    </row>
    <row r="14196" spans="5:13" hidden="1" x14ac:dyDescent="0.2">
      <c r="F14196" s="503" t="s">
        <v>250</v>
      </c>
      <c r="G14196" s="504" t="s">
        <v>57</v>
      </c>
      <c r="H14196" s="397"/>
      <c r="I14196" s="397"/>
      <c r="J14196" s="750"/>
      <c r="K14196" s="398"/>
      <c r="L14196" s="404"/>
      <c r="M14196" s="682"/>
    </row>
    <row r="14197" spans="5:13" hidden="1" x14ac:dyDescent="0.2">
      <c r="F14197" s="503" t="s">
        <v>251</v>
      </c>
      <c r="G14197" s="504" t="s">
        <v>252</v>
      </c>
      <c r="H14197" s="397"/>
      <c r="I14197" s="397"/>
      <c r="J14197" s="750"/>
      <c r="K14197" s="398"/>
      <c r="L14197" s="404"/>
      <c r="M14197" s="682"/>
    </row>
    <row r="14198" spans="5:13" hidden="1" x14ac:dyDescent="0.2">
      <c r="F14198" s="503" t="s">
        <v>253</v>
      </c>
      <c r="G14198" s="504" t="s">
        <v>254</v>
      </c>
      <c r="H14198" s="397"/>
      <c r="I14198" s="397"/>
      <c r="J14198" s="750"/>
      <c r="K14198" s="398"/>
      <c r="L14198" s="404"/>
      <c r="M14198" s="682"/>
    </row>
    <row r="14199" spans="5:13" ht="25.5" hidden="1" x14ac:dyDescent="0.2">
      <c r="F14199" s="503" t="s">
        <v>255</v>
      </c>
      <c r="G14199" s="504" t="s">
        <v>256</v>
      </c>
      <c r="H14199" s="397"/>
      <c r="I14199" s="397"/>
      <c r="J14199" s="750"/>
      <c r="K14199" s="398"/>
      <c r="L14199" s="404"/>
      <c r="M14199" s="682"/>
    </row>
    <row r="14200" spans="5:13" ht="25.5" hidden="1" x14ac:dyDescent="0.2">
      <c r="F14200" s="503" t="s">
        <v>257</v>
      </c>
      <c r="G14200" s="504" t="s">
        <v>258</v>
      </c>
      <c r="H14200" s="397"/>
      <c r="I14200" s="397"/>
      <c r="J14200" s="750"/>
      <c r="K14200" s="398"/>
      <c r="L14200" s="404"/>
      <c r="M14200" s="682"/>
    </row>
    <row r="14201" spans="5:13" ht="25.5" hidden="1" x14ac:dyDescent="0.2">
      <c r="F14201" s="503" t="s">
        <v>259</v>
      </c>
      <c r="G14201" s="504" t="s">
        <v>260</v>
      </c>
      <c r="H14201" s="397"/>
      <c r="I14201" s="397"/>
      <c r="J14201" s="750"/>
      <c r="K14201" s="398"/>
      <c r="L14201" s="404"/>
      <c r="M14201" s="682"/>
    </row>
    <row r="14202" spans="5:13" ht="25.5" hidden="1" x14ac:dyDescent="0.2">
      <c r="F14202" s="503" t="s">
        <v>261</v>
      </c>
      <c r="G14202" s="504" t="s">
        <v>262</v>
      </c>
      <c r="H14202" s="397"/>
      <c r="I14202" s="397"/>
      <c r="J14202" s="750"/>
      <c r="K14202" s="398"/>
      <c r="L14202" s="404"/>
      <c r="M14202" s="682"/>
    </row>
    <row r="14203" spans="5:13" hidden="1" x14ac:dyDescent="0.2">
      <c r="F14203" s="503" t="s">
        <v>263</v>
      </c>
      <c r="G14203" s="504" t="s">
        <v>264</v>
      </c>
      <c r="H14203" s="403"/>
      <c r="I14203" s="403"/>
      <c r="J14203" s="750"/>
      <c r="K14203" s="404"/>
      <c r="L14203" s="404"/>
      <c r="M14203" s="682"/>
    </row>
    <row r="14204" spans="5:13" ht="13.5" hidden="1" thickBot="1" x14ac:dyDescent="0.25">
      <c r="G14204" s="505" t="s">
        <v>4436</v>
      </c>
      <c r="H14204" s="405">
        <f>SUM(H14188:H14203)</f>
        <v>0</v>
      </c>
      <c r="I14204" s="405"/>
      <c r="J14204" s="750"/>
      <c r="K14204" s="406">
        <f>SUM(K14189:K14203)</f>
        <v>0</v>
      </c>
      <c r="L14204" s="406"/>
      <c r="M14204" s="682"/>
    </row>
    <row r="14205" spans="5:13" hidden="1" collapsed="1" x14ac:dyDescent="0.2">
      <c r="E14205" s="500"/>
      <c r="F14205" s="498"/>
      <c r="G14205" s="506" t="s">
        <v>5032</v>
      </c>
      <c r="H14205" s="407"/>
      <c r="I14205" s="408"/>
      <c r="J14205" s="750"/>
      <c r="K14205" s="409"/>
      <c r="L14205" s="410"/>
      <c r="M14205" s="682"/>
    </row>
    <row r="14206" spans="5:13" hidden="1" x14ac:dyDescent="0.2">
      <c r="E14206" s="502"/>
      <c r="F14206" s="503" t="s">
        <v>234</v>
      </c>
      <c r="G14206" s="504" t="s">
        <v>235</v>
      </c>
      <c r="H14206" s="403">
        <f>SUM(H14127:H14186)</f>
        <v>0</v>
      </c>
      <c r="I14206" s="403"/>
      <c r="J14206" s="750"/>
      <c r="K14206" s="404"/>
      <c r="L14206" s="404"/>
      <c r="M14206" s="682"/>
    </row>
    <row r="14207" spans="5:13" hidden="1" x14ac:dyDescent="0.2">
      <c r="F14207" s="503" t="s">
        <v>236</v>
      </c>
      <c r="G14207" s="504" t="s">
        <v>237</v>
      </c>
      <c r="H14207" s="397"/>
      <c r="I14207" s="397"/>
      <c r="J14207" s="750"/>
      <c r="K14207" s="398"/>
      <c r="L14207" s="404"/>
      <c r="M14207" s="682"/>
    </row>
    <row r="14208" spans="5:13" hidden="1" x14ac:dyDescent="0.2">
      <c r="F14208" s="503" t="s">
        <v>238</v>
      </c>
      <c r="G14208" s="504" t="s">
        <v>239</v>
      </c>
      <c r="H14208" s="397"/>
      <c r="I14208" s="397"/>
      <c r="J14208" s="750"/>
      <c r="K14208" s="398"/>
      <c r="L14208" s="404"/>
      <c r="M14208" s="682"/>
    </row>
    <row r="14209" spans="5:13" hidden="1" x14ac:dyDescent="0.2">
      <c r="F14209" s="503" t="s">
        <v>240</v>
      </c>
      <c r="G14209" s="504" t="s">
        <v>241</v>
      </c>
      <c r="H14209" s="397"/>
      <c r="I14209" s="397"/>
      <c r="J14209" s="750"/>
      <c r="K14209" s="398"/>
      <c r="L14209" s="404"/>
      <c r="M14209" s="682"/>
    </row>
    <row r="14210" spans="5:13" hidden="1" x14ac:dyDescent="0.2">
      <c r="F14210" s="503" t="s">
        <v>242</v>
      </c>
      <c r="G14210" s="504" t="s">
        <v>243</v>
      </c>
      <c r="H14210" s="397"/>
      <c r="I14210" s="397"/>
      <c r="J14210" s="750"/>
      <c r="K14210" s="398"/>
      <c r="L14210" s="404"/>
      <c r="M14210" s="682"/>
    </row>
    <row r="14211" spans="5:13" hidden="1" x14ac:dyDescent="0.2">
      <c r="F14211" s="503" t="s">
        <v>244</v>
      </c>
      <c r="G14211" s="504" t="s">
        <v>245</v>
      </c>
      <c r="H14211" s="397"/>
      <c r="I14211" s="397"/>
      <c r="J14211" s="750"/>
      <c r="K14211" s="398"/>
      <c r="L14211" s="404"/>
      <c r="M14211" s="682"/>
    </row>
    <row r="14212" spans="5:13" hidden="1" x14ac:dyDescent="0.2">
      <c r="F14212" s="503" t="s">
        <v>246</v>
      </c>
      <c r="G14212" s="504" t="s">
        <v>247</v>
      </c>
      <c r="H14212" s="397"/>
      <c r="I14212" s="397"/>
      <c r="J14212" s="750"/>
      <c r="K14212" s="398"/>
      <c r="L14212" s="404"/>
      <c r="M14212" s="682"/>
    </row>
    <row r="14213" spans="5:13" ht="25.5" hidden="1" x14ac:dyDescent="0.2">
      <c r="F14213" s="503" t="s">
        <v>248</v>
      </c>
      <c r="G14213" s="504" t="s">
        <v>249</v>
      </c>
      <c r="H14213" s="397"/>
      <c r="I14213" s="397"/>
      <c r="J14213" s="750"/>
      <c r="K14213" s="398"/>
      <c r="L14213" s="404"/>
      <c r="M14213" s="682"/>
    </row>
    <row r="14214" spans="5:13" hidden="1" x14ac:dyDescent="0.2">
      <c r="F14214" s="503" t="s">
        <v>250</v>
      </c>
      <c r="G14214" s="504" t="s">
        <v>57</v>
      </c>
      <c r="H14214" s="397"/>
      <c r="I14214" s="397"/>
      <c r="J14214" s="750"/>
      <c r="K14214" s="398"/>
      <c r="L14214" s="404"/>
      <c r="M14214" s="682"/>
    </row>
    <row r="14215" spans="5:13" hidden="1" x14ac:dyDescent="0.2">
      <c r="F14215" s="503" t="s">
        <v>251</v>
      </c>
      <c r="G14215" s="504" t="s">
        <v>252</v>
      </c>
      <c r="H14215" s="397"/>
      <c r="I14215" s="397"/>
      <c r="J14215" s="750"/>
      <c r="K14215" s="398"/>
      <c r="L14215" s="404"/>
      <c r="M14215" s="682"/>
    </row>
    <row r="14216" spans="5:13" hidden="1" x14ac:dyDescent="0.2">
      <c r="F14216" s="503" t="s">
        <v>253</v>
      </c>
      <c r="G14216" s="504" t="s">
        <v>254</v>
      </c>
      <c r="H14216" s="397"/>
      <c r="I14216" s="397"/>
      <c r="J14216" s="750"/>
      <c r="K14216" s="398"/>
      <c r="L14216" s="404"/>
      <c r="M14216" s="682"/>
    </row>
    <row r="14217" spans="5:13" ht="25.5" hidden="1" x14ac:dyDescent="0.2">
      <c r="F14217" s="503" t="s">
        <v>255</v>
      </c>
      <c r="G14217" s="504" t="s">
        <v>256</v>
      </c>
      <c r="H14217" s="397"/>
      <c r="I14217" s="397"/>
      <c r="J14217" s="750"/>
      <c r="K14217" s="398"/>
      <c r="L14217" s="404"/>
      <c r="M14217" s="682"/>
    </row>
    <row r="14218" spans="5:13" ht="25.5" hidden="1" x14ac:dyDescent="0.2">
      <c r="F14218" s="503" t="s">
        <v>257</v>
      </c>
      <c r="G14218" s="504" t="s">
        <v>258</v>
      </c>
      <c r="H14218" s="397"/>
      <c r="I14218" s="397"/>
      <c r="J14218" s="750"/>
      <c r="K14218" s="398"/>
      <c r="L14218" s="404"/>
      <c r="M14218" s="682"/>
    </row>
    <row r="14219" spans="5:13" ht="25.5" hidden="1" x14ac:dyDescent="0.2">
      <c r="F14219" s="503" t="s">
        <v>259</v>
      </c>
      <c r="G14219" s="504" t="s">
        <v>260</v>
      </c>
      <c r="H14219" s="397"/>
      <c r="I14219" s="397"/>
      <c r="J14219" s="750"/>
      <c r="K14219" s="398"/>
      <c r="L14219" s="404"/>
      <c r="M14219" s="682"/>
    </row>
    <row r="14220" spans="5:13" ht="25.5" hidden="1" x14ac:dyDescent="0.2">
      <c r="F14220" s="503" t="s">
        <v>261</v>
      </c>
      <c r="G14220" s="504" t="s">
        <v>262</v>
      </c>
      <c r="H14220" s="397"/>
      <c r="I14220" s="397"/>
      <c r="J14220" s="750"/>
      <c r="K14220" s="398"/>
      <c r="L14220" s="404"/>
      <c r="M14220" s="682"/>
    </row>
    <row r="14221" spans="5:13" hidden="1" x14ac:dyDescent="0.2">
      <c r="F14221" s="503" t="s">
        <v>263</v>
      </c>
      <c r="G14221" s="504" t="s">
        <v>264</v>
      </c>
      <c r="H14221" s="403"/>
      <c r="I14221" s="403"/>
      <c r="J14221" s="750"/>
      <c r="K14221" s="404"/>
      <c r="L14221" s="404"/>
      <c r="M14221" s="682"/>
    </row>
    <row r="14222" spans="5:13" ht="13.5" hidden="1" thickBot="1" x14ac:dyDescent="0.25">
      <c r="G14222" s="505" t="s">
        <v>5019</v>
      </c>
      <c r="H14222" s="405">
        <f>SUM(H14206:H14221)</f>
        <v>0</v>
      </c>
      <c r="I14222" s="405"/>
      <c r="J14222" s="750"/>
      <c r="K14222" s="406">
        <f>SUM(K14207:K14221)</f>
        <v>0</v>
      </c>
      <c r="L14222" s="406"/>
      <c r="M14222" s="682"/>
    </row>
    <row r="14223" spans="5:13" hidden="1" x14ac:dyDescent="0.2">
      <c r="H14223" s="397"/>
      <c r="I14223" s="397"/>
      <c r="J14223" s="750"/>
      <c r="K14223" s="398"/>
      <c r="L14223" s="398"/>
      <c r="M14223" s="682"/>
    </row>
    <row r="14224" spans="5:13" hidden="1" x14ac:dyDescent="0.2">
      <c r="E14224" s="500"/>
      <c r="F14224" s="498"/>
      <c r="G14224" s="511" t="s">
        <v>4323</v>
      </c>
      <c r="H14224" s="413"/>
      <c r="I14224" s="413"/>
      <c r="J14224" s="750"/>
      <c r="K14224" s="414"/>
      <c r="L14224" s="415"/>
      <c r="M14224" s="682"/>
    </row>
    <row r="14225" spans="5:13" hidden="1" x14ac:dyDescent="0.2">
      <c r="E14225" s="502"/>
      <c r="F14225" s="503" t="s">
        <v>234</v>
      </c>
      <c r="G14225" s="504" t="s">
        <v>235</v>
      </c>
      <c r="H14225" s="403">
        <f>SUM(H14206,H14107)</f>
        <v>0</v>
      </c>
      <c r="I14225" s="403"/>
      <c r="J14225" s="750"/>
      <c r="K14225" s="404"/>
      <c r="L14225" s="404"/>
      <c r="M14225" s="682"/>
    </row>
    <row r="14226" spans="5:13" hidden="1" x14ac:dyDescent="0.2">
      <c r="F14226" s="503" t="s">
        <v>236</v>
      </c>
      <c r="G14226" s="504" t="s">
        <v>237</v>
      </c>
      <c r="H14226" s="397"/>
      <c r="I14226" s="397"/>
      <c r="J14226" s="750"/>
      <c r="K14226" s="398"/>
      <c r="L14226" s="404"/>
      <c r="M14226" s="682"/>
    </row>
    <row r="14227" spans="5:13" hidden="1" x14ac:dyDescent="0.2">
      <c r="F14227" s="503" t="s">
        <v>238</v>
      </c>
      <c r="G14227" s="504" t="s">
        <v>239</v>
      </c>
      <c r="H14227" s="397"/>
      <c r="I14227" s="397"/>
      <c r="J14227" s="750"/>
      <c r="K14227" s="398"/>
      <c r="L14227" s="404"/>
      <c r="M14227" s="682"/>
    </row>
    <row r="14228" spans="5:13" hidden="1" x14ac:dyDescent="0.2">
      <c r="F14228" s="503" t="s">
        <v>240</v>
      </c>
      <c r="G14228" s="504" t="s">
        <v>241</v>
      </c>
      <c r="H14228" s="397"/>
      <c r="I14228" s="397"/>
      <c r="J14228" s="750"/>
      <c r="K14228" s="398"/>
      <c r="L14228" s="404"/>
      <c r="M14228" s="682"/>
    </row>
    <row r="14229" spans="5:13" hidden="1" x14ac:dyDescent="0.2">
      <c r="F14229" s="503" t="s">
        <v>242</v>
      </c>
      <c r="G14229" s="504" t="s">
        <v>243</v>
      </c>
      <c r="H14229" s="397"/>
      <c r="I14229" s="397"/>
      <c r="J14229" s="750"/>
      <c r="K14229" s="398"/>
      <c r="L14229" s="404"/>
      <c r="M14229" s="682"/>
    </row>
    <row r="14230" spans="5:13" hidden="1" x14ac:dyDescent="0.2">
      <c r="F14230" s="503" t="s">
        <v>244</v>
      </c>
      <c r="G14230" s="504" t="s">
        <v>245</v>
      </c>
      <c r="H14230" s="397"/>
      <c r="I14230" s="397"/>
      <c r="J14230" s="750"/>
      <c r="K14230" s="398"/>
      <c r="L14230" s="404"/>
      <c r="M14230" s="682"/>
    </row>
    <row r="14231" spans="5:13" hidden="1" x14ac:dyDescent="0.2">
      <c r="F14231" s="503" t="s">
        <v>246</v>
      </c>
      <c r="G14231" s="504" t="s">
        <v>247</v>
      </c>
      <c r="H14231" s="397"/>
      <c r="I14231" s="397"/>
      <c r="J14231" s="750"/>
      <c r="K14231" s="398"/>
      <c r="L14231" s="404"/>
      <c r="M14231" s="682"/>
    </row>
    <row r="14232" spans="5:13" ht="25.5" hidden="1" x14ac:dyDescent="0.2">
      <c r="F14232" s="503" t="s">
        <v>248</v>
      </c>
      <c r="G14232" s="504" t="s">
        <v>249</v>
      </c>
      <c r="H14232" s="397"/>
      <c r="I14232" s="397"/>
      <c r="J14232" s="750"/>
      <c r="K14232" s="398"/>
      <c r="L14232" s="404"/>
      <c r="M14232" s="682"/>
    </row>
    <row r="14233" spans="5:13" hidden="1" x14ac:dyDescent="0.2">
      <c r="F14233" s="503" t="s">
        <v>250</v>
      </c>
      <c r="G14233" s="504" t="s">
        <v>57</v>
      </c>
      <c r="H14233" s="397"/>
      <c r="I14233" s="397"/>
      <c r="J14233" s="750"/>
      <c r="K14233" s="398"/>
      <c r="L14233" s="404"/>
      <c r="M14233" s="682"/>
    </row>
    <row r="14234" spans="5:13" hidden="1" x14ac:dyDescent="0.2">
      <c r="F14234" s="503" t="s">
        <v>251</v>
      </c>
      <c r="G14234" s="504" t="s">
        <v>252</v>
      </c>
      <c r="H14234" s="397"/>
      <c r="I14234" s="397"/>
      <c r="J14234" s="750"/>
      <c r="K14234" s="398"/>
      <c r="L14234" s="404"/>
      <c r="M14234" s="682"/>
    </row>
    <row r="14235" spans="5:13" hidden="1" x14ac:dyDescent="0.2">
      <c r="F14235" s="503" t="s">
        <v>253</v>
      </c>
      <c r="G14235" s="504" t="s">
        <v>254</v>
      </c>
      <c r="H14235" s="397"/>
      <c r="I14235" s="397"/>
      <c r="J14235" s="750"/>
      <c r="K14235" s="398"/>
      <c r="L14235" s="404"/>
      <c r="M14235" s="682"/>
    </row>
    <row r="14236" spans="5:13" ht="25.5" hidden="1" x14ac:dyDescent="0.2">
      <c r="F14236" s="503" t="s">
        <v>255</v>
      </c>
      <c r="G14236" s="504" t="s">
        <v>256</v>
      </c>
      <c r="H14236" s="397"/>
      <c r="I14236" s="397"/>
      <c r="J14236" s="750"/>
      <c r="K14236" s="398"/>
      <c r="L14236" s="404"/>
      <c r="M14236" s="682"/>
    </row>
    <row r="14237" spans="5:13" ht="25.5" hidden="1" x14ac:dyDescent="0.2">
      <c r="F14237" s="503" t="s">
        <v>257</v>
      </c>
      <c r="G14237" s="504" t="s">
        <v>258</v>
      </c>
      <c r="H14237" s="397"/>
      <c r="I14237" s="397"/>
      <c r="J14237" s="750"/>
      <c r="K14237" s="398"/>
      <c r="L14237" s="404"/>
      <c r="M14237" s="682"/>
    </row>
    <row r="14238" spans="5:13" ht="25.5" hidden="1" x14ac:dyDescent="0.2">
      <c r="F14238" s="503" t="s">
        <v>259</v>
      </c>
      <c r="G14238" s="504" t="s">
        <v>260</v>
      </c>
      <c r="H14238" s="397"/>
      <c r="I14238" s="397"/>
      <c r="J14238" s="750"/>
      <c r="K14238" s="398"/>
      <c r="L14238" s="404"/>
      <c r="M14238" s="682"/>
    </row>
    <row r="14239" spans="5:13" ht="25.5" hidden="1" x14ac:dyDescent="0.2">
      <c r="F14239" s="503" t="s">
        <v>261</v>
      </c>
      <c r="G14239" s="504" t="s">
        <v>262</v>
      </c>
      <c r="H14239" s="397"/>
      <c r="I14239" s="397"/>
      <c r="J14239" s="750"/>
      <c r="K14239" s="398"/>
      <c r="L14239" s="404"/>
      <c r="M14239" s="682"/>
    </row>
    <row r="14240" spans="5:13" hidden="1" x14ac:dyDescent="0.2">
      <c r="F14240" s="503" t="s">
        <v>263</v>
      </c>
      <c r="G14240" s="504" t="s">
        <v>264</v>
      </c>
      <c r="H14240" s="403"/>
      <c r="I14240" s="403"/>
      <c r="J14240" s="750"/>
      <c r="K14240" s="404"/>
      <c r="L14240" s="404"/>
      <c r="M14240" s="682"/>
    </row>
    <row r="14241" spans="5:13" ht="13.5" hidden="1" thickBot="1" x14ac:dyDescent="0.25">
      <c r="G14241" s="505" t="s">
        <v>4324</v>
      </c>
      <c r="H14241" s="405">
        <f>SUM(H14225:H14240)</f>
        <v>0</v>
      </c>
      <c r="I14241" s="405"/>
      <c r="J14241" s="750"/>
      <c r="K14241" s="406">
        <f>SUM(K14226:K14240)</f>
        <v>0</v>
      </c>
      <c r="L14241" s="406"/>
      <c r="M14241" s="682"/>
    </row>
    <row r="14242" spans="5:13" hidden="1" x14ac:dyDescent="0.2">
      <c r="H14242" s="397"/>
      <c r="I14242" s="397"/>
      <c r="J14242" s="750"/>
      <c r="K14242" s="398"/>
      <c r="L14242" s="398"/>
      <c r="M14242" s="682"/>
    </row>
    <row r="14243" spans="5:13" hidden="1" x14ac:dyDescent="0.2">
      <c r="E14243" s="500"/>
      <c r="F14243" s="498"/>
      <c r="G14243" s="511" t="s">
        <v>5062</v>
      </c>
      <c r="H14243" s="413"/>
      <c r="I14243" s="413"/>
      <c r="J14243" s="750"/>
      <c r="K14243" s="414"/>
      <c r="L14243" s="415"/>
      <c r="M14243" s="682"/>
    </row>
    <row r="14244" spans="5:13" hidden="1" x14ac:dyDescent="0.2">
      <c r="E14244" s="502"/>
      <c r="F14244" s="503" t="s">
        <v>234</v>
      </c>
      <c r="G14244" s="504" t="s">
        <v>235</v>
      </c>
      <c r="H14244" s="403">
        <f>SUM(H14225)</f>
        <v>0</v>
      </c>
      <c r="I14244" s="403"/>
      <c r="J14244" s="750"/>
      <c r="K14244" s="404"/>
      <c r="L14244" s="404"/>
      <c r="M14244" s="682"/>
    </row>
    <row r="14245" spans="5:13" hidden="1" x14ac:dyDescent="0.2">
      <c r="F14245" s="503" t="s">
        <v>236</v>
      </c>
      <c r="G14245" s="504" t="s">
        <v>237</v>
      </c>
      <c r="H14245" s="397"/>
      <c r="I14245" s="397"/>
      <c r="J14245" s="750"/>
      <c r="K14245" s="398"/>
      <c r="L14245" s="404"/>
      <c r="M14245" s="682"/>
    </row>
    <row r="14246" spans="5:13" hidden="1" x14ac:dyDescent="0.2">
      <c r="F14246" s="503" t="s">
        <v>238</v>
      </c>
      <c r="G14246" s="504" t="s">
        <v>239</v>
      </c>
      <c r="H14246" s="397"/>
      <c r="I14246" s="397"/>
      <c r="J14246" s="750"/>
      <c r="K14246" s="398"/>
      <c r="L14246" s="404"/>
      <c r="M14246" s="682"/>
    </row>
    <row r="14247" spans="5:13" hidden="1" x14ac:dyDescent="0.2">
      <c r="F14247" s="503" t="s">
        <v>240</v>
      </c>
      <c r="G14247" s="504" t="s">
        <v>241</v>
      </c>
      <c r="H14247" s="397"/>
      <c r="I14247" s="397"/>
      <c r="J14247" s="750"/>
      <c r="K14247" s="398"/>
      <c r="L14247" s="404"/>
      <c r="M14247" s="682"/>
    </row>
    <row r="14248" spans="5:13" hidden="1" x14ac:dyDescent="0.2">
      <c r="F14248" s="503" t="s">
        <v>242</v>
      </c>
      <c r="G14248" s="504" t="s">
        <v>243</v>
      </c>
      <c r="H14248" s="397"/>
      <c r="I14248" s="397"/>
      <c r="J14248" s="750"/>
      <c r="K14248" s="398"/>
      <c r="L14248" s="404"/>
      <c r="M14248" s="682"/>
    </row>
    <row r="14249" spans="5:13" hidden="1" x14ac:dyDescent="0.2">
      <c r="F14249" s="503" t="s">
        <v>244</v>
      </c>
      <c r="G14249" s="504" t="s">
        <v>245</v>
      </c>
      <c r="H14249" s="397"/>
      <c r="I14249" s="397"/>
      <c r="J14249" s="750"/>
      <c r="K14249" s="398"/>
      <c r="L14249" s="404"/>
      <c r="M14249" s="682"/>
    </row>
    <row r="14250" spans="5:13" hidden="1" x14ac:dyDescent="0.2">
      <c r="F14250" s="503" t="s">
        <v>246</v>
      </c>
      <c r="G14250" s="504" t="s">
        <v>247</v>
      </c>
      <c r="H14250" s="397"/>
      <c r="I14250" s="397"/>
      <c r="J14250" s="750"/>
      <c r="K14250" s="398"/>
      <c r="L14250" s="404"/>
      <c r="M14250" s="682"/>
    </row>
    <row r="14251" spans="5:13" ht="25.5" hidden="1" x14ac:dyDescent="0.2">
      <c r="F14251" s="503" t="s">
        <v>248</v>
      </c>
      <c r="G14251" s="504" t="s">
        <v>249</v>
      </c>
      <c r="H14251" s="397"/>
      <c r="I14251" s="397"/>
      <c r="J14251" s="750"/>
      <c r="K14251" s="398"/>
      <c r="L14251" s="404"/>
      <c r="M14251" s="682"/>
    </row>
    <row r="14252" spans="5:13" hidden="1" x14ac:dyDescent="0.2">
      <c r="F14252" s="503" t="s">
        <v>250</v>
      </c>
      <c r="G14252" s="504" t="s">
        <v>57</v>
      </c>
      <c r="H14252" s="397"/>
      <c r="I14252" s="397"/>
      <c r="J14252" s="750"/>
      <c r="K14252" s="398"/>
      <c r="L14252" s="404"/>
      <c r="M14252" s="682"/>
    </row>
    <row r="14253" spans="5:13" hidden="1" x14ac:dyDescent="0.2">
      <c r="F14253" s="503" t="s">
        <v>251</v>
      </c>
      <c r="G14253" s="504" t="s">
        <v>252</v>
      </c>
      <c r="H14253" s="397"/>
      <c r="I14253" s="397"/>
      <c r="J14253" s="750"/>
      <c r="K14253" s="398"/>
      <c r="L14253" s="404"/>
      <c r="M14253" s="682"/>
    </row>
    <row r="14254" spans="5:13" hidden="1" x14ac:dyDescent="0.2">
      <c r="F14254" s="503" t="s">
        <v>253</v>
      </c>
      <c r="G14254" s="504" t="s">
        <v>254</v>
      </c>
      <c r="H14254" s="397"/>
      <c r="I14254" s="397"/>
      <c r="J14254" s="750"/>
      <c r="K14254" s="398"/>
      <c r="L14254" s="404"/>
      <c r="M14254" s="682"/>
    </row>
    <row r="14255" spans="5:13" ht="25.5" hidden="1" x14ac:dyDescent="0.2">
      <c r="F14255" s="503" t="s">
        <v>255</v>
      </c>
      <c r="G14255" s="504" t="s">
        <v>256</v>
      </c>
      <c r="H14255" s="397"/>
      <c r="I14255" s="397"/>
      <c r="J14255" s="750"/>
      <c r="K14255" s="398"/>
      <c r="L14255" s="404"/>
      <c r="M14255" s="682"/>
    </row>
    <row r="14256" spans="5:13" ht="25.5" hidden="1" x14ac:dyDescent="0.2">
      <c r="F14256" s="503" t="s">
        <v>257</v>
      </c>
      <c r="G14256" s="504" t="s">
        <v>258</v>
      </c>
      <c r="H14256" s="397"/>
      <c r="I14256" s="397"/>
      <c r="J14256" s="750"/>
      <c r="K14256" s="398"/>
      <c r="L14256" s="404"/>
      <c r="M14256" s="682"/>
    </row>
    <row r="14257" spans="1:15" ht="25.5" hidden="1" x14ac:dyDescent="0.2">
      <c r="F14257" s="503" t="s">
        <v>259</v>
      </c>
      <c r="G14257" s="504" t="s">
        <v>260</v>
      </c>
      <c r="H14257" s="397"/>
      <c r="I14257" s="397"/>
      <c r="J14257" s="750"/>
      <c r="K14257" s="398"/>
      <c r="L14257" s="404"/>
      <c r="M14257" s="682"/>
    </row>
    <row r="14258" spans="1:15" ht="25.5" hidden="1" x14ac:dyDescent="0.2">
      <c r="F14258" s="503" t="s">
        <v>261</v>
      </c>
      <c r="G14258" s="504" t="s">
        <v>262</v>
      </c>
      <c r="H14258" s="397"/>
      <c r="I14258" s="397"/>
      <c r="J14258" s="750"/>
      <c r="K14258" s="398"/>
      <c r="L14258" s="404"/>
      <c r="M14258" s="682"/>
    </row>
    <row r="14259" spans="1:15" hidden="1" x14ac:dyDescent="0.2">
      <c r="F14259" s="503" t="s">
        <v>263</v>
      </c>
      <c r="G14259" s="504" t="s">
        <v>264</v>
      </c>
      <c r="H14259" s="403"/>
      <c r="I14259" s="403"/>
      <c r="J14259" s="750"/>
      <c r="K14259" s="404"/>
      <c r="L14259" s="404"/>
      <c r="M14259" s="682"/>
    </row>
    <row r="14260" spans="1:15" ht="13.5" hidden="1" thickBot="1" x14ac:dyDescent="0.25">
      <c r="G14260" s="505" t="s">
        <v>5063</v>
      </c>
      <c r="H14260" s="405">
        <f>SUM(H14244:H14259)</f>
        <v>0</v>
      </c>
      <c r="I14260" s="405"/>
      <c r="J14260" s="750"/>
      <c r="K14260" s="406">
        <f>SUM(K14245:K14259)</f>
        <v>0</v>
      </c>
      <c r="L14260" s="406"/>
      <c r="M14260" s="682"/>
    </row>
    <row r="14261" spans="1:15" hidden="1" x14ac:dyDescent="0.2">
      <c r="H14261" s="397"/>
      <c r="I14261" s="397"/>
      <c r="J14261" s="750"/>
      <c r="K14261" s="398"/>
      <c r="L14261" s="398"/>
      <c r="M14261" s="682"/>
    </row>
    <row r="14262" spans="1:15" hidden="1" x14ac:dyDescent="0.2">
      <c r="H14262" s="397"/>
      <c r="I14262" s="397"/>
      <c r="J14262" s="750"/>
      <c r="K14262" s="398"/>
      <c r="L14262" s="398"/>
      <c r="M14262" s="682"/>
    </row>
    <row r="14263" spans="1:15" ht="25.5" x14ac:dyDescent="0.2">
      <c r="A14263" s="483"/>
      <c r="B14263" s="483">
        <v>11</v>
      </c>
      <c r="C14263" s="484"/>
      <c r="D14263" s="485"/>
      <c r="E14263" s="485"/>
      <c r="F14263" s="485"/>
      <c r="G14263" s="615" t="s">
        <v>5294</v>
      </c>
      <c r="H14263" s="416"/>
      <c r="I14263" s="416"/>
      <c r="J14263" s="751"/>
      <c r="K14263" s="417"/>
      <c r="L14263" s="417"/>
      <c r="M14263" s="682"/>
    </row>
    <row r="14264" spans="1:15" ht="16.5" customHeight="1" x14ac:dyDescent="0.2">
      <c r="C14264" s="489" t="s">
        <v>3579</v>
      </c>
      <c r="G14264" s="513" t="s">
        <v>4329</v>
      </c>
      <c r="H14264" s="397"/>
      <c r="I14264" s="397"/>
      <c r="J14264" s="750"/>
      <c r="K14264" s="398"/>
      <c r="L14264" s="398"/>
      <c r="M14264" s="682"/>
    </row>
    <row r="14265" spans="1:15" x14ac:dyDescent="0.2">
      <c r="C14265" s="489" t="s">
        <v>4330</v>
      </c>
      <c r="D14265" s="490"/>
      <c r="G14265" s="513" t="s">
        <v>4331</v>
      </c>
      <c r="H14265" s="397"/>
      <c r="I14265" s="397"/>
      <c r="J14265" s="750"/>
      <c r="K14265" s="398"/>
      <c r="L14265" s="398"/>
      <c r="M14265" s="682"/>
    </row>
    <row r="14266" spans="1:15" x14ac:dyDescent="0.2">
      <c r="C14266" s="489"/>
      <c r="D14266" s="492">
        <v>911</v>
      </c>
      <c r="E14266" s="492"/>
      <c r="F14266" s="492"/>
      <c r="G14266" s="493" t="s">
        <v>214</v>
      </c>
      <c r="H14266" s="397"/>
      <c r="I14266" s="397"/>
      <c r="J14266" s="750"/>
      <c r="K14266" s="398"/>
      <c r="L14266" s="398"/>
      <c r="M14266" s="682"/>
    </row>
    <row r="14267" spans="1:15" x14ac:dyDescent="0.2">
      <c r="E14267" s="464">
        <v>126</v>
      </c>
      <c r="F14267" s="494">
        <v>411</v>
      </c>
      <c r="G14267" s="495" t="s">
        <v>4167</v>
      </c>
      <c r="H14267" s="397">
        <v>13088260</v>
      </c>
      <c r="I14267" s="397">
        <v>12869527.380000001</v>
      </c>
      <c r="J14267" s="750">
        <f t="shared" ref="J14267:J14285" si="162">SUM(I14267/H14267)*100</f>
        <v>98.328787631052577</v>
      </c>
      <c r="K14267" s="398"/>
      <c r="L14267" s="398">
        <v>249445.26</v>
      </c>
      <c r="M14267" s="682"/>
    </row>
    <row r="14268" spans="1:15" x14ac:dyDescent="0.2">
      <c r="E14268" s="464">
        <v>127</v>
      </c>
      <c r="F14268" s="494">
        <v>412</v>
      </c>
      <c r="G14268" s="496" t="s">
        <v>3764</v>
      </c>
      <c r="H14268" s="397">
        <v>2342788</v>
      </c>
      <c r="I14268" s="397">
        <v>2303644.65</v>
      </c>
      <c r="J14268" s="750">
        <f t="shared" si="162"/>
        <v>98.32919794706136</v>
      </c>
      <c r="K14268" s="398"/>
      <c r="L14268" s="398">
        <v>44559.4</v>
      </c>
      <c r="M14268" s="682"/>
      <c r="O14268" s="399"/>
    </row>
    <row r="14269" spans="1:15" hidden="1" x14ac:dyDescent="0.2">
      <c r="F14269" s="494">
        <v>413</v>
      </c>
      <c r="G14269" s="495" t="s">
        <v>4168</v>
      </c>
      <c r="H14269" s="397"/>
      <c r="I14269" s="397"/>
      <c r="J14269" s="750" t="e">
        <f t="shared" si="162"/>
        <v>#DIV/0!</v>
      </c>
      <c r="K14269" s="398"/>
      <c r="L14269" s="398"/>
      <c r="M14269" s="682"/>
    </row>
    <row r="14270" spans="1:15" x14ac:dyDescent="0.2">
      <c r="E14270" s="464">
        <v>128</v>
      </c>
      <c r="F14270" s="494">
        <v>414</v>
      </c>
      <c r="G14270" s="495" t="s">
        <v>3767</v>
      </c>
      <c r="H14270" s="397">
        <v>516688</v>
      </c>
      <c r="I14270" s="397">
        <v>120974</v>
      </c>
      <c r="J14270" s="750">
        <f t="shared" si="162"/>
        <v>23.413355835630011</v>
      </c>
      <c r="K14270" s="398">
        <v>750000</v>
      </c>
      <c r="L14270" s="398">
        <v>1911431.23</v>
      </c>
      <c r="M14270" s="682"/>
    </row>
    <row r="14271" spans="1:15" x14ac:dyDescent="0.2">
      <c r="F14271" s="494">
        <v>415</v>
      </c>
      <c r="G14271" s="495" t="s">
        <v>4177</v>
      </c>
      <c r="H14271" s="397"/>
      <c r="I14271" s="397"/>
      <c r="J14271" s="750"/>
      <c r="K14271" s="398">
        <v>263000</v>
      </c>
      <c r="L14271" s="398">
        <v>218464.44</v>
      </c>
      <c r="M14271" s="682"/>
    </row>
    <row r="14272" spans="1:15" ht="25.5" x14ac:dyDescent="0.2">
      <c r="E14272" s="464">
        <v>129</v>
      </c>
      <c r="F14272" s="494">
        <v>416</v>
      </c>
      <c r="G14272" s="495" t="s">
        <v>4178</v>
      </c>
      <c r="H14272" s="397">
        <v>136264</v>
      </c>
      <c r="I14272" s="397">
        <v>136003</v>
      </c>
      <c r="J14272" s="750">
        <f t="shared" si="162"/>
        <v>99.808460048141839</v>
      </c>
      <c r="K14272" s="398"/>
      <c r="L14272" s="398"/>
      <c r="M14272" s="682"/>
    </row>
    <row r="14273" spans="6:15" hidden="1" x14ac:dyDescent="0.2">
      <c r="F14273" s="494">
        <v>417</v>
      </c>
      <c r="G14273" s="495" t="s">
        <v>4179</v>
      </c>
      <c r="H14273" s="397"/>
      <c r="I14273" s="397"/>
      <c r="J14273" s="750" t="e">
        <f t="shared" si="162"/>
        <v>#DIV/0!</v>
      </c>
      <c r="K14273" s="398"/>
      <c r="L14273" s="398"/>
      <c r="M14273" s="682"/>
    </row>
    <row r="14274" spans="6:15" hidden="1" x14ac:dyDescent="0.2">
      <c r="F14274" s="494">
        <v>418</v>
      </c>
      <c r="G14274" s="495" t="s">
        <v>3773</v>
      </c>
      <c r="H14274" s="397"/>
      <c r="I14274" s="397"/>
      <c r="J14274" s="750" t="e">
        <f t="shared" si="162"/>
        <v>#DIV/0!</v>
      </c>
      <c r="K14274" s="398"/>
      <c r="L14274" s="398"/>
      <c r="M14274" s="682"/>
    </row>
    <row r="14275" spans="6:15" x14ac:dyDescent="0.2">
      <c r="F14275" s="494">
        <v>421</v>
      </c>
      <c r="G14275" s="495" t="s">
        <v>3777</v>
      </c>
      <c r="H14275" s="397"/>
      <c r="I14275" s="397"/>
      <c r="J14275" s="750"/>
      <c r="K14275" s="398">
        <v>1740990</v>
      </c>
      <c r="L14275" s="398">
        <v>1547186.42</v>
      </c>
      <c r="M14275" s="682"/>
    </row>
    <row r="14276" spans="6:15" x14ac:dyDescent="0.2">
      <c r="F14276" s="494">
        <v>422</v>
      </c>
      <c r="G14276" s="495" t="s">
        <v>3778</v>
      </c>
      <c r="H14276" s="397"/>
      <c r="I14276" s="397"/>
      <c r="J14276" s="750"/>
      <c r="K14276" s="398">
        <v>315000</v>
      </c>
      <c r="L14276" s="398">
        <v>215700.7</v>
      </c>
      <c r="M14276" s="682"/>
    </row>
    <row r="14277" spans="6:15" x14ac:dyDescent="0.2">
      <c r="F14277" s="494">
        <v>423</v>
      </c>
      <c r="G14277" s="495" t="s">
        <v>3779</v>
      </c>
      <c r="H14277" s="397"/>
      <c r="I14277" s="397"/>
      <c r="J14277" s="750"/>
      <c r="K14277" s="398">
        <v>653000</v>
      </c>
      <c r="L14277" s="398">
        <v>424865</v>
      </c>
      <c r="M14277" s="682"/>
    </row>
    <row r="14278" spans="6:15" x14ac:dyDescent="0.2">
      <c r="F14278" s="494">
        <v>424</v>
      </c>
      <c r="G14278" s="495" t="s">
        <v>3781</v>
      </c>
      <c r="H14278" s="397"/>
      <c r="I14278" s="397"/>
      <c r="J14278" s="750"/>
      <c r="K14278" s="398">
        <v>293620</v>
      </c>
      <c r="L14278" s="398">
        <v>222474.04</v>
      </c>
      <c r="M14278" s="682"/>
    </row>
    <row r="14279" spans="6:15" x14ac:dyDescent="0.2">
      <c r="F14279" s="494">
        <v>425</v>
      </c>
      <c r="G14279" s="495" t="s">
        <v>4180</v>
      </c>
      <c r="H14279" s="397"/>
      <c r="I14279" s="397"/>
      <c r="J14279" s="750"/>
      <c r="K14279" s="398">
        <v>755000</v>
      </c>
      <c r="L14279" s="398">
        <v>492610.53</v>
      </c>
      <c r="M14279" s="682"/>
      <c r="O14279" s="399"/>
    </row>
    <row r="14280" spans="6:15" x14ac:dyDescent="0.2">
      <c r="F14280" s="494">
        <v>426</v>
      </c>
      <c r="G14280" s="495" t="s">
        <v>3785</v>
      </c>
      <c r="H14280" s="397"/>
      <c r="I14280" s="397"/>
      <c r="J14280" s="750"/>
      <c r="K14280" s="398">
        <v>3333064.29</v>
      </c>
      <c r="L14280" s="398">
        <v>2357186.64</v>
      </c>
      <c r="M14280" s="682"/>
    </row>
    <row r="14281" spans="6:15" ht="18" hidden="1" customHeight="1" x14ac:dyDescent="0.2">
      <c r="F14281" s="494">
        <v>431</v>
      </c>
      <c r="G14281" s="495" t="s">
        <v>4181</v>
      </c>
      <c r="H14281" s="397"/>
      <c r="I14281" s="397"/>
      <c r="J14281" s="750" t="e">
        <f t="shared" si="162"/>
        <v>#DIV/0!</v>
      </c>
      <c r="K14281" s="398"/>
      <c r="L14281" s="398"/>
      <c r="M14281" s="682"/>
    </row>
    <row r="14282" spans="6:15" hidden="1" x14ac:dyDescent="0.2">
      <c r="F14282" s="494">
        <v>432</v>
      </c>
      <c r="G14282" s="495" t="s">
        <v>4182</v>
      </c>
      <c r="H14282" s="397"/>
      <c r="I14282" s="397"/>
      <c r="J14282" s="750" t="e">
        <f t="shared" si="162"/>
        <v>#DIV/0!</v>
      </c>
      <c r="K14282" s="398"/>
      <c r="L14282" s="398"/>
      <c r="M14282" s="682"/>
    </row>
    <row r="14283" spans="6:15" hidden="1" x14ac:dyDescent="0.2">
      <c r="F14283" s="494">
        <v>433</v>
      </c>
      <c r="G14283" s="495" t="s">
        <v>4183</v>
      </c>
      <c r="H14283" s="397"/>
      <c r="I14283" s="397"/>
      <c r="J14283" s="750" t="e">
        <f t="shared" si="162"/>
        <v>#DIV/0!</v>
      </c>
      <c r="K14283" s="398"/>
      <c r="L14283" s="398"/>
      <c r="M14283" s="682"/>
    </row>
    <row r="14284" spans="6:15" hidden="1" x14ac:dyDescent="0.2">
      <c r="F14284" s="494">
        <v>434</v>
      </c>
      <c r="G14284" s="495" t="s">
        <v>4184</v>
      </c>
      <c r="H14284" s="397"/>
      <c r="I14284" s="397"/>
      <c r="J14284" s="750" t="e">
        <f t="shared" si="162"/>
        <v>#DIV/0!</v>
      </c>
      <c r="K14284" s="398"/>
      <c r="L14284" s="398"/>
      <c r="M14284" s="682"/>
    </row>
    <row r="14285" spans="6:15" hidden="1" x14ac:dyDescent="0.2">
      <c r="F14285" s="494">
        <v>435</v>
      </c>
      <c r="G14285" s="495" t="s">
        <v>3792</v>
      </c>
      <c r="H14285" s="397"/>
      <c r="I14285" s="397"/>
      <c r="J14285" s="750" t="e">
        <f t="shared" si="162"/>
        <v>#DIV/0!</v>
      </c>
      <c r="K14285" s="398"/>
      <c r="L14285" s="398"/>
      <c r="M14285" s="682"/>
    </row>
    <row r="14286" spans="6:15" hidden="1" x14ac:dyDescent="0.2">
      <c r="F14286" s="494">
        <v>441</v>
      </c>
      <c r="G14286" s="495" t="s">
        <v>4185</v>
      </c>
      <c r="H14286" s="397"/>
      <c r="I14286" s="397"/>
      <c r="J14286" s="750" t="e">
        <f t="shared" ref="J14286:J14347" si="163">SUM(I14286/H14286)*100</f>
        <v>#DIV/0!</v>
      </c>
      <c r="K14286" s="398"/>
      <c r="L14286" s="398"/>
      <c r="M14286" s="682"/>
    </row>
    <row r="14287" spans="6:15" hidden="1" x14ac:dyDescent="0.2">
      <c r="F14287" s="494">
        <v>442</v>
      </c>
      <c r="G14287" s="495" t="s">
        <v>4186</v>
      </c>
      <c r="H14287" s="397"/>
      <c r="I14287" s="397"/>
      <c r="J14287" s="750" t="e">
        <f t="shared" si="163"/>
        <v>#DIV/0!</v>
      </c>
      <c r="K14287" s="398"/>
      <c r="L14287" s="398"/>
      <c r="M14287" s="682"/>
    </row>
    <row r="14288" spans="6:15" hidden="1" x14ac:dyDescent="0.2">
      <c r="F14288" s="494">
        <v>443</v>
      </c>
      <c r="G14288" s="495" t="s">
        <v>3797</v>
      </c>
      <c r="H14288" s="397"/>
      <c r="I14288" s="397"/>
      <c r="J14288" s="750" t="e">
        <f t="shared" si="163"/>
        <v>#DIV/0!</v>
      </c>
      <c r="K14288" s="398"/>
      <c r="L14288" s="398"/>
      <c r="M14288" s="682"/>
    </row>
    <row r="14289" spans="5:15" hidden="1" x14ac:dyDescent="0.2">
      <c r="F14289" s="494">
        <v>444</v>
      </c>
      <c r="G14289" s="495" t="s">
        <v>3798</v>
      </c>
      <c r="H14289" s="397"/>
      <c r="I14289" s="397"/>
      <c r="J14289" s="750" t="e">
        <f t="shared" si="163"/>
        <v>#DIV/0!</v>
      </c>
      <c r="K14289" s="398"/>
      <c r="L14289" s="398"/>
      <c r="M14289" s="682"/>
    </row>
    <row r="14290" spans="5:15" ht="25.5" hidden="1" x14ac:dyDescent="0.2">
      <c r="F14290" s="494">
        <v>4511</v>
      </c>
      <c r="G14290" s="466" t="s">
        <v>1692</v>
      </c>
      <c r="H14290" s="397"/>
      <c r="I14290" s="397"/>
      <c r="J14290" s="750" t="e">
        <f t="shared" si="163"/>
        <v>#DIV/0!</v>
      </c>
      <c r="K14290" s="398"/>
      <c r="L14290" s="398"/>
      <c r="M14290" s="682"/>
    </row>
    <row r="14291" spans="5:15" ht="19.5" hidden="1" customHeight="1" x14ac:dyDescent="0.2">
      <c r="F14291" s="494">
        <v>4512</v>
      </c>
      <c r="G14291" s="466" t="s">
        <v>1701</v>
      </c>
      <c r="H14291" s="397"/>
      <c r="I14291" s="397"/>
      <c r="J14291" s="750" t="e">
        <f t="shared" si="163"/>
        <v>#DIV/0!</v>
      </c>
      <c r="K14291" s="398"/>
      <c r="L14291" s="398"/>
      <c r="M14291" s="682"/>
    </row>
    <row r="14292" spans="5:15" ht="25.5" hidden="1" x14ac:dyDescent="0.2">
      <c r="F14292" s="494">
        <v>452</v>
      </c>
      <c r="G14292" s="495" t="s">
        <v>4187</v>
      </c>
      <c r="H14292" s="397"/>
      <c r="I14292" s="397"/>
      <c r="J14292" s="750" t="e">
        <f t="shared" si="163"/>
        <v>#DIV/0!</v>
      </c>
      <c r="K14292" s="398"/>
      <c r="L14292" s="398"/>
      <c r="M14292" s="682"/>
    </row>
    <row r="14293" spans="5:15" ht="25.5" hidden="1" x14ac:dyDescent="0.2">
      <c r="F14293" s="494">
        <v>453</v>
      </c>
      <c r="G14293" s="495" t="s">
        <v>4188</v>
      </c>
      <c r="H14293" s="397"/>
      <c r="I14293" s="397"/>
      <c r="J14293" s="750" t="e">
        <f t="shared" si="163"/>
        <v>#DIV/0!</v>
      </c>
      <c r="K14293" s="398"/>
      <c r="L14293" s="398"/>
      <c r="M14293" s="682"/>
    </row>
    <row r="14294" spans="5:15" hidden="1" x14ac:dyDescent="0.2">
      <c r="F14294" s="494">
        <v>454</v>
      </c>
      <c r="G14294" s="495" t="s">
        <v>3803</v>
      </c>
      <c r="H14294" s="397"/>
      <c r="I14294" s="397"/>
      <c r="J14294" s="750" t="e">
        <f t="shared" si="163"/>
        <v>#DIV/0!</v>
      </c>
      <c r="K14294" s="398"/>
      <c r="L14294" s="398"/>
      <c r="M14294" s="682"/>
    </row>
    <row r="14295" spans="5:15" hidden="1" x14ac:dyDescent="0.2">
      <c r="F14295" s="494">
        <v>461</v>
      </c>
      <c r="G14295" s="495" t="s">
        <v>4169</v>
      </c>
      <c r="H14295" s="397"/>
      <c r="I14295" s="397"/>
      <c r="J14295" s="750" t="e">
        <f t="shared" si="163"/>
        <v>#DIV/0!</v>
      </c>
      <c r="K14295" s="398"/>
      <c r="L14295" s="398"/>
      <c r="M14295" s="682"/>
    </row>
    <row r="14296" spans="5:15" ht="25.5" hidden="1" x14ac:dyDescent="0.2">
      <c r="F14296" s="494">
        <v>462</v>
      </c>
      <c r="G14296" s="495" t="s">
        <v>3806</v>
      </c>
      <c r="H14296" s="397"/>
      <c r="I14296" s="397"/>
      <c r="J14296" s="750" t="e">
        <f t="shared" si="163"/>
        <v>#DIV/0!</v>
      </c>
      <c r="K14296" s="398"/>
      <c r="L14296" s="398"/>
      <c r="M14296" s="682"/>
    </row>
    <row r="14297" spans="5:15" hidden="1" x14ac:dyDescent="0.2">
      <c r="F14297" s="494">
        <v>4631</v>
      </c>
      <c r="G14297" s="495" t="s">
        <v>3807</v>
      </c>
      <c r="H14297" s="397"/>
      <c r="I14297" s="397"/>
      <c r="J14297" s="750" t="e">
        <f t="shared" si="163"/>
        <v>#DIV/0!</v>
      </c>
      <c r="K14297" s="398"/>
      <c r="L14297" s="398"/>
      <c r="M14297" s="682"/>
    </row>
    <row r="14298" spans="5:15" hidden="1" x14ac:dyDescent="0.2">
      <c r="F14298" s="494">
        <v>4632</v>
      </c>
      <c r="G14298" s="495" t="s">
        <v>3808</v>
      </c>
      <c r="H14298" s="397"/>
      <c r="I14298" s="397"/>
      <c r="J14298" s="750" t="e">
        <f t="shared" si="163"/>
        <v>#DIV/0!</v>
      </c>
      <c r="K14298" s="398"/>
      <c r="L14298" s="398"/>
      <c r="M14298" s="682"/>
    </row>
    <row r="14299" spans="5:15" ht="25.5" hidden="1" x14ac:dyDescent="0.2">
      <c r="F14299" s="494">
        <v>464</v>
      </c>
      <c r="G14299" s="495" t="s">
        <v>3809</v>
      </c>
      <c r="H14299" s="397"/>
      <c r="I14299" s="397"/>
      <c r="J14299" s="750" t="e">
        <f t="shared" si="163"/>
        <v>#DIV/0!</v>
      </c>
      <c r="K14299" s="398"/>
      <c r="L14299" s="398"/>
      <c r="M14299" s="682"/>
    </row>
    <row r="14300" spans="5:15" x14ac:dyDescent="0.2">
      <c r="E14300" s="464">
        <v>130</v>
      </c>
      <c r="F14300" s="494">
        <v>465</v>
      </c>
      <c r="G14300" s="495" t="s">
        <v>4170</v>
      </c>
      <c r="H14300" s="397">
        <v>1530000</v>
      </c>
      <c r="I14300" s="397">
        <v>867604.63</v>
      </c>
      <c r="J14300" s="750">
        <f t="shared" si="163"/>
        <v>56.706184967320262</v>
      </c>
      <c r="K14300" s="398"/>
      <c r="L14300" s="398"/>
      <c r="M14300" s="682"/>
      <c r="O14300" s="399"/>
    </row>
    <row r="14301" spans="5:15" hidden="1" x14ac:dyDescent="0.2">
      <c r="F14301" s="494">
        <v>472</v>
      </c>
      <c r="G14301" s="495" t="s">
        <v>3813</v>
      </c>
      <c r="H14301" s="397"/>
      <c r="I14301" s="397"/>
      <c r="J14301" s="750" t="e">
        <f t="shared" si="163"/>
        <v>#DIV/0!</v>
      </c>
      <c r="K14301" s="398"/>
      <c r="L14301" s="398"/>
      <c r="M14301" s="682"/>
    </row>
    <row r="14302" spans="5:15" hidden="1" x14ac:dyDescent="0.2">
      <c r="F14302" s="494">
        <v>481</v>
      </c>
      <c r="G14302" s="495" t="s">
        <v>4189</v>
      </c>
      <c r="H14302" s="397"/>
      <c r="I14302" s="397"/>
      <c r="J14302" s="750" t="e">
        <f t="shared" si="163"/>
        <v>#DIV/0!</v>
      </c>
      <c r="K14302" s="398"/>
      <c r="L14302" s="398"/>
      <c r="M14302" s="682"/>
    </row>
    <row r="14303" spans="5:15" hidden="1" x14ac:dyDescent="0.2">
      <c r="F14303" s="494">
        <v>482</v>
      </c>
      <c r="G14303" s="495" t="s">
        <v>4190</v>
      </c>
      <c r="H14303" s="397"/>
      <c r="I14303" s="397"/>
      <c r="J14303" s="750" t="e">
        <f t="shared" si="163"/>
        <v>#DIV/0!</v>
      </c>
      <c r="K14303" s="398"/>
      <c r="L14303" s="398"/>
      <c r="M14303" s="682"/>
    </row>
    <row r="14304" spans="5:15" x14ac:dyDescent="0.2">
      <c r="E14304" s="464">
        <v>131</v>
      </c>
      <c r="F14304" s="494">
        <v>483</v>
      </c>
      <c r="G14304" s="497" t="s">
        <v>4191</v>
      </c>
      <c r="H14304" s="397">
        <v>250000</v>
      </c>
      <c r="I14304" s="397">
        <v>0</v>
      </c>
      <c r="J14304" s="750">
        <f t="shared" si="163"/>
        <v>0</v>
      </c>
      <c r="K14304" s="398"/>
      <c r="L14304" s="398"/>
      <c r="M14304" s="682"/>
    </row>
    <row r="14305" spans="6:13" ht="38.25" hidden="1" x14ac:dyDescent="0.2">
      <c r="F14305" s="494">
        <v>484</v>
      </c>
      <c r="G14305" s="495" t="s">
        <v>4192</v>
      </c>
      <c r="H14305" s="397"/>
      <c r="I14305" s="397"/>
      <c r="J14305" s="750" t="e">
        <f t="shared" si="163"/>
        <v>#DIV/0!</v>
      </c>
      <c r="K14305" s="398"/>
      <c r="L14305" s="398"/>
      <c r="M14305" s="682"/>
    </row>
    <row r="14306" spans="6:13" ht="25.5" hidden="1" x14ac:dyDescent="0.2">
      <c r="F14306" s="494">
        <v>485</v>
      </c>
      <c r="G14306" s="495" t="s">
        <v>4193</v>
      </c>
      <c r="H14306" s="397"/>
      <c r="I14306" s="397"/>
      <c r="J14306" s="750" t="e">
        <f t="shared" si="163"/>
        <v>#DIV/0!</v>
      </c>
      <c r="K14306" s="398"/>
      <c r="L14306" s="398"/>
      <c r="M14306" s="682"/>
    </row>
    <row r="14307" spans="6:13" ht="25.5" hidden="1" x14ac:dyDescent="0.2">
      <c r="F14307" s="494">
        <v>489</v>
      </c>
      <c r="G14307" s="495" t="s">
        <v>3821</v>
      </c>
      <c r="H14307" s="397"/>
      <c r="I14307" s="397"/>
      <c r="J14307" s="750" t="e">
        <f t="shared" si="163"/>
        <v>#DIV/0!</v>
      </c>
      <c r="K14307" s="398"/>
      <c r="L14307" s="398"/>
      <c r="M14307" s="682"/>
    </row>
    <row r="14308" spans="6:13" ht="25.5" hidden="1" x14ac:dyDescent="0.2">
      <c r="F14308" s="494">
        <v>494</v>
      </c>
      <c r="G14308" s="495" t="s">
        <v>4171</v>
      </c>
      <c r="H14308" s="397"/>
      <c r="I14308" s="397"/>
      <c r="J14308" s="750" t="e">
        <f t="shared" si="163"/>
        <v>#DIV/0!</v>
      </c>
      <c r="K14308" s="398"/>
      <c r="L14308" s="398"/>
      <c r="M14308" s="682"/>
    </row>
    <row r="14309" spans="6:13" ht="25.5" hidden="1" x14ac:dyDescent="0.2">
      <c r="F14309" s="494">
        <v>495</v>
      </c>
      <c r="G14309" s="495" t="s">
        <v>4172</v>
      </c>
      <c r="H14309" s="397"/>
      <c r="I14309" s="397"/>
      <c r="J14309" s="750" t="e">
        <f t="shared" si="163"/>
        <v>#DIV/0!</v>
      </c>
      <c r="K14309" s="398"/>
      <c r="L14309" s="398"/>
      <c r="M14309" s="682"/>
    </row>
    <row r="14310" spans="6:13" ht="38.25" hidden="1" x14ac:dyDescent="0.2">
      <c r="F14310" s="494">
        <v>496</v>
      </c>
      <c r="G14310" s="495" t="s">
        <v>4173</v>
      </c>
      <c r="H14310" s="397"/>
      <c r="I14310" s="397"/>
      <c r="J14310" s="750" t="e">
        <f t="shared" si="163"/>
        <v>#DIV/0!</v>
      </c>
      <c r="K14310" s="398"/>
      <c r="L14310" s="398"/>
      <c r="M14310" s="682"/>
    </row>
    <row r="14311" spans="6:13" ht="25.5" hidden="1" x14ac:dyDescent="0.2">
      <c r="F14311" s="494">
        <v>499</v>
      </c>
      <c r="G14311" s="495" t="s">
        <v>4174</v>
      </c>
      <c r="H14311" s="397"/>
      <c r="I14311" s="397"/>
      <c r="J14311" s="750" t="e">
        <f t="shared" si="163"/>
        <v>#DIV/0!</v>
      </c>
      <c r="K14311" s="398"/>
      <c r="L14311" s="398"/>
      <c r="M14311" s="682"/>
    </row>
    <row r="14312" spans="6:13" ht="12.75" customHeight="1" x14ac:dyDescent="0.2">
      <c r="F14312" s="494">
        <v>511</v>
      </c>
      <c r="G14312" s="497" t="s">
        <v>4194</v>
      </c>
      <c r="H14312" s="397"/>
      <c r="I14312" s="397"/>
      <c r="J14312" s="750"/>
      <c r="K14312" s="398">
        <v>2124053.08</v>
      </c>
      <c r="L14312" s="398">
        <v>2124053.08</v>
      </c>
      <c r="M14312" s="682"/>
    </row>
    <row r="14313" spans="6:13" ht="13.5" thickBot="1" x14ac:dyDescent="0.25">
      <c r="F14313" s="494">
        <v>512</v>
      </c>
      <c r="G14313" s="497" t="s">
        <v>4195</v>
      </c>
      <c r="H14313" s="397"/>
      <c r="I14313" s="397"/>
      <c r="J14313" s="750"/>
      <c r="K14313" s="398">
        <v>178372.63</v>
      </c>
      <c r="L14313" s="398">
        <v>178372.63</v>
      </c>
      <c r="M14313" s="682"/>
    </row>
    <row r="14314" spans="6:13" ht="13.5" hidden="1" thickBot="1" x14ac:dyDescent="0.25">
      <c r="F14314" s="494">
        <v>513</v>
      </c>
      <c r="G14314" s="497" t="s">
        <v>4196</v>
      </c>
      <c r="H14314" s="397"/>
      <c r="I14314" s="397"/>
      <c r="J14314" s="750" t="e">
        <f t="shared" si="163"/>
        <v>#DIV/0!</v>
      </c>
      <c r="K14314" s="398"/>
      <c r="L14314" s="398"/>
      <c r="M14314" s="682"/>
    </row>
    <row r="14315" spans="6:13" ht="13.5" hidden="1" thickBot="1" x14ac:dyDescent="0.25">
      <c r="F14315" s="494">
        <v>514</v>
      </c>
      <c r="G14315" s="495" t="s">
        <v>4197</v>
      </c>
      <c r="H14315" s="397"/>
      <c r="I14315" s="397"/>
      <c r="J14315" s="750" t="e">
        <f t="shared" si="163"/>
        <v>#DIV/0!</v>
      </c>
      <c r="K14315" s="398"/>
      <c r="L14315" s="398"/>
      <c r="M14315" s="682"/>
    </row>
    <row r="14316" spans="6:13" ht="13.5" hidden="1" thickBot="1" x14ac:dyDescent="0.25">
      <c r="F14316" s="494">
        <v>515</v>
      </c>
      <c r="G14316" s="495" t="s">
        <v>3832</v>
      </c>
      <c r="H14316" s="397"/>
      <c r="I14316" s="397"/>
      <c r="J14316" s="750" t="e">
        <f t="shared" si="163"/>
        <v>#DIV/0!</v>
      </c>
      <c r="K14316" s="398"/>
      <c r="L14316" s="398"/>
      <c r="M14316" s="682"/>
    </row>
    <row r="14317" spans="6:13" ht="13.5" hidden="1" thickBot="1" x14ac:dyDescent="0.25">
      <c r="F14317" s="494">
        <v>521</v>
      </c>
      <c r="G14317" s="495" t="s">
        <v>4198</v>
      </c>
      <c r="H14317" s="397"/>
      <c r="I14317" s="397"/>
      <c r="J14317" s="750" t="e">
        <f t="shared" si="163"/>
        <v>#DIV/0!</v>
      </c>
      <c r="K14317" s="398"/>
      <c r="L14317" s="398"/>
      <c r="M14317" s="682"/>
    </row>
    <row r="14318" spans="6:13" ht="13.5" hidden="1" thickBot="1" x14ac:dyDescent="0.25">
      <c r="F14318" s="494">
        <v>522</v>
      </c>
      <c r="G14318" s="495" t="s">
        <v>4199</v>
      </c>
      <c r="H14318" s="397"/>
      <c r="I14318" s="397"/>
      <c r="J14318" s="750" t="e">
        <f t="shared" si="163"/>
        <v>#DIV/0!</v>
      </c>
      <c r="K14318" s="398"/>
      <c r="L14318" s="398"/>
      <c r="M14318" s="682"/>
    </row>
    <row r="14319" spans="6:13" ht="13.5" hidden="1" thickBot="1" x14ac:dyDescent="0.25">
      <c r="F14319" s="494">
        <v>523</v>
      </c>
      <c r="G14319" s="495" t="s">
        <v>3837</v>
      </c>
      <c r="H14319" s="397"/>
      <c r="I14319" s="397"/>
      <c r="J14319" s="750" t="e">
        <f t="shared" si="163"/>
        <v>#DIV/0!</v>
      </c>
      <c r="K14319" s="398"/>
      <c r="L14319" s="398"/>
      <c r="M14319" s="682"/>
    </row>
    <row r="14320" spans="6:13" ht="13.5" hidden="1" thickBot="1" x14ac:dyDescent="0.25">
      <c r="F14320" s="494">
        <v>531</v>
      </c>
      <c r="G14320" s="496" t="s">
        <v>4175</v>
      </c>
      <c r="H14320" s="397"/>
      <c r="I14320" s="397"/>
      <c r="J14320" s="750" t="e">
        <f t="shared" si="163"/>
        <v>#DIV/0!</v>
      </c>
      <c r="K14320" s="398"/>
      <c r="L14320" s="398"/>
      <c r="M14320" s="682"/>
    </row>
    <row r="14321" spans="5:13" ht="13.5" hidden="1" thickBot="1" x14ac:dyDescent="0.25">
      <c r="F14321" s="494">
        <v>541</v>
      </c>
      <c r="G14321" s="495" t="s">
        <v>4200</v>
      </c>
      <c r="H14321" s="397"/>
      <c r="I14321" s="397"/>
      <c r="J14321" s="750" t="e">
        <f t="shared" si="163"/>
        <v>#DIV/0!</v>
      </c>
      <c r="K14321" s="398"/>
      <c r="L14321" s="398"/>
      <c r="M14321" s="682"/>
    </row>
    <row r="14322" spans="5:13" ht="13.5" hidden="1" thickBot="1" x14ac:dyDescent="0.25">
      <c r="F14322" s="494">
        <v>542</v>
      </c>
      <c r="G14322" s="495" t="s">
        <v>4201</v>
      </c>
      <c r="H14322" s="397"/>
      <c r="I14322" s="397"/>
      <c r="J14322" s="750" t="e">
        <f t="shared" si="163"/>
        <v>#DIV/0!</v>
      </c>
      <c r="K14322" s="398"/>
      <c r="L14322" s="398"/>
      <c r="M14322" s="682"/>
    </row>
    <row r="14323" spans="5:13" ht="13.5" hidden="1" thickBot="1" x14ac:dyDescent="0.25">
      <c r="F14323" s="494">
        <v>543</v>
      </c>
      <c r="G14323" s="495" t="s">
        <v>3842</v>
      </c>
      <c r="H14323" s="397"/>
      <c r="I14323" s="397"/>
      <c r="J14323" s="750" t="e">
        <f t="shared" si="163"/>
        <v>#DIV/0!</v>
      </c>
      <c r="K14323" s="398"/>
      <c r="L14323" s="398"/>
      <c r="M14323" s="682"/>
    </row>
    <row r="14324" spans="5:13" ht="39" hidden="1" thickBot="1" x14ac:dyDescent="0.25">
      <c r="F14324" s="494">
        <v>551</v>
      </c>
      <c r="G14324" s="495" t="s">
        <v>4176</v>
      </c>
      <c r="H14324" s="397"/>
      <c r="I14324" s="397"/>
      <c r="J14324" s="750" t="e">
        <f t="shared" si="163"/>
        <v>#DIV/0!</v>
      </c>
      <c r="K14324" s="398"/>
      <c r="L14324" s="398"/>
      <c r="M14324" s="682"/>
    </row>
    <row r="14325" spans="5:13" ht="13.5" hidden="1" thickBot="1" x14ac:dyDescent="0.25">
      <c r="F14325" s="498">
        <v>611</v>
      </c>
      <c r="G14325" s="499" t="s">
        <v>3848</v>
      </c>
      <c r="H14325" s="397"/>
      <c r="I14325" s="397"/>
      <c r="J14325" s="750" t="e">
        <f t="shared" si="163"/>
        <v>#DIV/0!</v>
      </c>
      <c r="K14325" s="398"/>
      <c r="L14325" s="398"/>
      <c r="M14325" s="682"/>
    </row>
    <row r="14326" spans="5:13" ht="13.5" hidden="1" thickBot="1" x14ac:dyDescent="0.25">
      <c r="F14326" s="498">
        <v>620</v>
      </c>
      <c r="G14326" s="499" t="s">
        <v>88</v>
      </c>
      <c r="H14326" s="397"/>
      <c r="I14326" s="397"/>
      <c r="J14326" s="750" t="e">
        <f t="shared" si="163"/>
        <v>#DIV/0!</v>
      </c>
      <c r="K14326" s="398"/>
      <c r="L14326" s="398"/>
      <c r="M14326" s="682"/>
    </row>
    <row r="14327" spans="5:13" x14ac:dyDescent="0.2">
      <c r="E14327" s="500"/>
      <c r="F14327" s="498"/>
      <c r="G14327" s="501" t="s">
        <v>4444</v>
      </c>
      <c r="H14327" s="400"/>
      <c r="I14327" s="400"/>
      <c r="J14327" s="750"/>
      <c r="K14327" s="401"/>
      <c r="L14327" s="402"/>
      <c r="M14327" s="682"/>
    </row>
    <row r="14328" spans="5:13" hidden="1" x14ac:dyDescent="0.2">
      <c r="E14328" s="500"/>
      <c r="F14328" s="498"/>
      <c r="G14328" s="650"/>
      <c r="H14328" s="413"/>
      <c r="I14328" s="413"/>
      <c r="J14328" s="750" t="e">
        <f t="shared" si="163"/>
        <v>#DIV/0!</v>
      </c>
      <c r="K14328" s="414"/>
      <c r="L14328" s="415"/>
      <c r="M14328" s="682"/>
    </row>
    <row r="14329" spans="5:13" hidden="1" x14ac:dyDescent="0.2">
      <c r="E14329" s="500"/>
      <c r="F14329" s="498"/>
      <c r="G14329" s="650"/>
      <c r="H14329" s="413"/>
      <c r="I14329" s="413"/>
      <c r="J14329" s="750" t="e">
        <f t="shared" si="163"/>
        <v>#DIV/0!</v>
      </c>
      <c r="K14329" s="414"/>
      <c r="L14329" s="415"/>
      <c r="M14329" s="682"/>
    </row>
    <row r="14330" spans="5:13" hidden="1" x14ac:dyDescent="0.2">
      <c r="E14330" s="500"/>
      <c r="F14330" s="498"/>
      <c r="G14330" s="650"/>
      <c r="H14330" s="413"/>
      <c r="I14330" s="413"/>
      <c r="J14330" s="750" t="e">
        <f t="shared" si="163"/>
        <v>#DIV/0!</v>
      </c>
      <c r="K14330" s="414"/>
      <c r="L14330" s="415"/>
      <c r="M14330" s="682"/>
    </row>
    <row r="14331" spans="5:13" hidden="1" x14ac:dyDescent="0.2">
      <c r="E14331" s="500"/>
      <c r="F14331" s="498"/>
      <c r="G14331" s="650"/>
      <c r="H14331" s="413"/>
      <c r="I14331" s="413"/>
      <c r="J14331" s="750" t="e">
        <f t="shared" si="163"/>
        <v>#DIV/0!</v>
      </c>
      <c r="K14331" s="414"/>
      <c r="L14331" s="415"/>
      <c r="M14331" s="682"/>
    </row>
    <row r="14332" spans="5:13" hidden="1" x14ac:dyDescent="0.2">
      <c r="E14332" s="500"/>
      <c r="F14332" s="498"/>
      <c r="G14332" s="650"/>
      <c r="H14332" s="413"/>
      <c r="I14332" s="413"/>
      <c r="J14332" s="750" t="e">
        <f t="shared" si="163"/>
        <v>#DIV/0!</v>
      </c>
      <c r="K14332" s="414"/>
      <c r="L14332" s="415"/>
      <c r="M14332" s="682"/>
    </row>
    <row r="14333" spans="5:13" hidden="1" x14ac:dyDescent="0.2">
      <c r="E14333" s="500"/>
      <c r="F14333" s="498"/>
      <c r="G14333" s="650"/>
      <c r="H14333" s="413"/>
      <c r="I14333" s="413"/>
      <c r="J14333" s="750" t="e">
        <f t="shared" si="163"/>
        <v>#DIV/0!</v>
      </c>
      <c r="K14333" s="414"/>
      <c r="L14333" s="415"/>
      <c r="M14333" s="682"/>
    </row>
    <row r="14334" spans="5:13" hidden="1" x14ac:dyDescent="0.2">
      <c r="E14334" s="500"/>
      <c r="F14334" s="498"/>
      <c r="G14334" s="650"/>
      <c r="H14334" s="413"/>
      <c r="I14334" s="413"/>
      <c r="J14334" s="750" t="e">
        <f t="shared" si="163"/>
        <v>#DIV/0!</v>
      </c>
      <c r="K14334" s="414"/>
      <c r="L14334" s="415"/>
      <c r="M14334" s="682"/>
    </row>
    <row r="14335" spans="5:13" hidden="1" x14ac:dyDescent="0.2">
      <c r="E14335" s="500"/>
      <c r="F14335" s="498"/>
      <c r="G14335" s="650"/>
      <c r="H14335" s="413"/>
      <c r="I14335" s="413"/>
      <c r="J14335" s="750" t="e">
        <f t="shared" si="163"/>
        <v>#DIV/0!</v>
      </c>
      <c r="K14335" s="414"/>
      <c r="L14335" s="415"/>
      <c r="M14335" s="682"/>
    </row>
    <row r="14336" spans="5:13" hidden="1" x14ac:dyDescent="0.2">
      <c r="E14336" s="500"/>
      <c r="F14336" s="498"/>
      <c r="G14336" s="650"/>
      <c r="H14336" s="413"/>
      <c r="I14336" s="413"/>
      <c r="J14336" s="750" t="e">
        <f t="shared" si="163"/>
        <v>#DIV/0!</v>
      </c>
      <c r="K14336" s="414"/>
      <c r="L14336" s="415"/>
      <c r="M14336" s="682"/>
    </row>
    <row r="14337" spans="5:13" hidden="1" x14ac:dyDescent="0.2">
      <c r="E14337" s="500"/>
      <c r="F14337" s="498"/>
      <c r="G14337" s="650"/>
      <c r="H14337" s="413"/>
      <c r="I14337" s="413"/>
      <c r="J14337" s="750" t="e">
        <f t="shared" si="163"/>
        <v>#DIV/0!</v>
      </c>
      <c r="K14337" s="414"/>
      <c r="L14337" s="415"/>
      <c r="M14337" s="682"/>
    </row>
    <row r="14338" spans="5:13" hidden="1" x14ac:dyDescent="0.2">
      <c r="E14338" s="500"/>
      <c r="F14338" s="498"/>
      <c r="G14338" s="650"/>
      <c r="H14338" s="413"/>
      <c r="I14338" s="413"/>
      <c r="J14338" s="750" t="e">
        <f t="shared" si="163"/>
        <v>#DIV/0!</v>
      </c>
      <c r="K14338" s="414"/>
      <c r="L14338" s="415"/>
      <c r="M14338" s="682"/>
    </row>
    <row r="14339" spans="5:13" hidden="1" x14ac:dyDescent="0.2">
      <c r="E14339" s="500"/>
      <c r="F14339" s="498"/>
      <c r="G14339" s="650"/>
      <c r="H14339" s="413"/>
      <c r="I14339" s="413"/>
      <c r="J14339" s="750" t="e">
        <f t="shared" si="163"/>
        <v>#DIV/0!</v>
      </c>
      <c r="K14339" s="414"/>
      <c r="L14339" s="415"/>
      <c r="M14339" s="682"/>
    </row>
    <row r="14340" spans="5:13" hidden="1" x14ac:dyDescent="0.2">
      <c r="E14340" s="500"/>
      <c r="F14340" s="498"/>
      <c r="G14340" s="650"/>
      <c r="H14340" s="413"/>
      <c r="I14340" s="413"/>
      <c r="J14340" s="750" t="e">
        <f t="shared" si="163"/>
        <v>#DIV/0!</v>
      </c>
      <c r="K14340" s="414"/>
      <c r="L14340" s="415"/>
      <c r="M14340" s="682"/>
    </row>
    <row r="14341" spans="5:13" hidden="1" x14ac:dyDescent="0.2">
      <c r="E14341" s="500"/>
      <c r="F14341" s="498"/>
      <c r="G14341" s="650"/>
      <c r="H14341" s="413"/>
      <c r="I14341" s="413"/>
      <c r="J14341" s="750" t="e">
        <f t="shared" si="163"/>
        <v>#DIV/0!</v>
      </c>
      <c r="K14341" s="414"/>
      <c r="L14341" s="415"/>
      <c r="M14341" s="682"/>
    </row>
    <row r="14342" spans="5:13" hidden="1" x14ac:dyDescent="0.2">
      <c r="E14342" s="500"/>
      <c r="F14342" s="498"/>
      <c r="G14342" s="650"/>
      <c r="H14342" s="413"/>
      <c r="I14342" s="413"/>
      <c r="J14342" s="750" t="e">
        <f t="shared" si="163"/>
        <v>#DIV/0!</v>
      </c>
      <c r="K14342" s="414"/>
      <c r="L14342" s="415"/>
      <c r="M14342" s="682"/>
    </row>
    <row r="14343" spans="5:13" hidden="1" x14ac:dyDescent="0.2">
      <c r="E14343" s="500"/>
      <c r="F14343" s="498"/>
      <c r="G14343" s="650"/>
      <c r="H14343" s="413"/>
      <c r="I14343" s="413"/>
      <c r="J14343" s="750" t="e">
        <f t="shared" si="163"/>
        <v>#DIV/0!</v>
      </c>
      <c r="K14343" s="414"/>
      <c r="L14343" s="415"/>
      <c r="M14343" s="682"/>
    </row>
    <row r="14344" spans="5:13" hidden="1" x14ac:dyDescent="0.2">
      <c r="E14344" s="500"/>
      <c r="F14344" s="498"/>
      <c r="G14344" s="650"/>
      <c r="H14344" s="413"/>
      <c r="I14344" s="413"/>
      <c r="J14344" s="750" t="e">
        <f t="shared" si="163"/>
        <v>#DIV/0!</v>
      </c>
      <c r="K14344" s="414"/>
      <c r="L14344" s="415"/>
      <c r="M14344" s="682"/>
    </row>
    <row r="14345" spans="5:13" x14ac:dyDescent="0.2">
      <c r="E14345" s="502"/>
      <c r="F14345" s="503" t="s">
        <v>234</v>
      </c>
      <c r="G14345" s="504" t="s">
        <v>235</v>
      </c>
      <c r="H14345" s="403">
        <f>SUM(H14267:H14326)</f>
        <v>17864000</v>
      </c>
      <c r="I14345" s="403">
        <f>SUM(I14267:I14313)</f>
        <v>16297753.660000002</v>
      </c>
      <c r="J14345" s="750">
        <f t="shared" si="163"/>
        <v>91.232387259292452</v>
      </c>
      <c r="K14345" s="404"/>
      <c r="L14345" s="404"/>
      <c r="M14345" s="682"/>
    </row>
    <row r="14346" spans="5:13" hidden="1" x14ac:dyDescent="0.2">
      <c r="F14346" s="503" t="s">
        <v>236</v>
      </c>
      <c r="G14346" s="504" t="s">
        <v>237</v>
      </c>
      <c r="H14346" s="397"/>
      <c r="I14346" s="397"/>
      <c r="J14346" s="750" t="e">
        <f t="shared" si="163"/>
        <v>#DIV/0!</v>
      </c>
      <c r="K14346" s="398"/>
      <c r="L14346" s="404"/>
      <c r="M14346" s="682"/>
    </row>
    <row r="14347" spans="5:13" hidden="1" x14ac:dyDescent="0.2">
      <c r="F14347" s="503" t="s">
        <v>238</v>
      </c>
      <c r="G14347" s="504" t="s">
        <v>239</v>
      </c>
      <c r="H14347" s="397"/>
      <c r="I14347" s="397"/>
      <c r="J14347" s="750" t="e">
        <f t="shared" si="163"/>
        <v>#DIV/0!</v>
      </c>
      <c r="K14347" s="398"/>
      <c r="L14347" s="404"/>
      <c r="M14347" s="682"/>
    </row>
    <row r="14348" spans="5:13" x14ac:dyDescent="0.2">
      <c r="F14348" s="503" t="s">
        <v>240</v>
      </c>
      <c r="G14348" s="504" t="s">
        <v>241</v>
      </c>
      <c r="H14348" s="397"/>
      <c r="I14348" s="397"/>
      <c r="J14348" s="750"/>
      <c r="K14348" s="398">
        <v>5711884</v>
      </c>
      <c r="L14348" s="404">
        <v>3774356.66</v>
      </c>
      <c r="M14348" s="682"/>
    </row>
    <row r="14349" spans="5:13" hidden="1" x14ac:dyDescent="0.2">
      <c r="F14349" s="503" t="s">
        <v>242</v>
      </c>
      <c r="G14349" s="504" t="s">
        <v>243</v>
      </c>
      <c r="H14349" s="397"/>
      <c r="I14349" s="397"/>
      <c r="J14349" s="750"/>
      <c r="K14349" s="398"/>
      <c r="L14349" s="404"/>
      <c r="M14349" s="682"/>
    </row>
    <row r="14350" spans="5:13" hidden="1" x14ac:dyDescent="0.2">
      <c r="F14350" s="503" t="s">
        <v>244</v>
      </c>
      <c r="G14350" s="504" t="s">
        <v>245</v>
      </c>
      <c r="H14350" s="397"/>
      <c r="I14350" s="397"/>
      <c r="J14350" s="750"/>
      <c r="K14350" s="398"/>
      <c r="L14350" s="404"/>
      <c r="M14350" s="682"/>
    </row>
    <row r="14351" spans="5:13" ht="13.5" thickBot="1" x14ac:dyDescent="0.25">
      <c r="F14351" s="503" t="s">
        <v>246</v>
      </c>
      <c r="G14351" s="504" t="s">
        <v>247</v>
      </c>
      <c r="H14351" s="397"/>
      <c r="I14351" s="397"/>
      <c r="J14351" s="750"/>
      <c r="K14351" s="398">
        <v>4694216</v>
      </c>
      <c r="L14351" s="404">
        <v>6211992.71</v>
      </c>
      <c r="M14351" s="682"/>
    </row>
    <row r="14352" spans="5:13" ht="26.25" hidden="1" thickBot="1" x14ac:dyDescent="0.25">
      <c r="F14352" s="503" t="s">
        <v>248</v>
      </c>
      <c r="G14352" s="504" t="s">
        <v>249</v>
      </c>
      <c r="H14352" s="397"/>
      <c r="I14352" s="397"/>
      <c r="J14352" s="750" t="e">
        <f t="shared" ref="J14352:J14413" si="164">SUM(I14352/H14352)*100</f>
        <v>#DIV/0!</v>
      </c>
      <c r="K14352" s="398"/>
      <c r="L14352" s="404"/>
      <c r="M14352" s="682"/>
    </row>
    <row r="14353" spans="5:13" ht="13.5" hidden="1" thickBot="1" x14ac:dyDescent="0.25">
      <c r="F14353" s="503" t="s">
        <v>250</v>
      </c>
      <c r="G14353" s="504" t="s">
        <v>57</v>
      </c>
      <c r="H14353" s="397"/>
      <c r="I14353" s="397"/>
      <c r="J14353" s="750" t="e">
        <f t="shared" si="164"/>
        <v>#DIV/0!</v>
      </c>
      <c r="K14353" s="398"/>
      <c r="L14353" s="404"/>
      <c r="M14353" s="682"/>
    </row>
    <row r="14354" spans="5:13" ht="13.5" hidden="1" thickBot="1" x14ac:dyDescent="0.25">
      <c r="F14354" s="503" t="s">
        <v>251</v>
      </c>
      <c r="G14354" s="504" t="s">
        <v>252</v>
      </c>
      <c r="H14354" s="397"/>
      <c r="I14354" s="397"/>
      <c r="J14354" s="750" t="e">
        <f t="shared" si="164"/>
        <v>#DIV/0!</v>
      </c>
      <c r="K14354" s="398"/>
      <c r="L14354" s="404"/>
      <c r="M14354" s="682"/>
    </row>
    <row r="14355" spans="5:13" ht="13.5" hidden="1" thickBot="1" x14ac:dyDescent="0.25">
      <c r="F14355" s="503" t="s">
        <v>253</v>
      </c>
      <c r="G14355" s="504" t="s">
        <v>254</v>
      </c>
      <c r="H14355" s="397"/>
      <c r="I14355" s="397"/>
      <c r="J14355" s="750" t="e">
        <f t="shared" si="164"/>
        <v>#DIV/0!</v>
      </c>
      <c r="K14355" s="398"/>
      <c r="L14355" s="404"/>
      <c r="M14355" s="682"/>
    </row>
    <row r="14356" spans="5:13" ht="26.25" hidden="1" thickBot="1" x14ac:dyDescent="0.25">
      <c r="F14356" s="503" t="s">
        <v>255</v>
      </c>
      <c r="G14356" s="504" t="s">
        <v>256</v>
      </c>
      <c r="H14356" s="397"/>
      <c r="I14356" s="397"/>
      <c r="J14356" s="750" t="e">
        <f t="shared" si="164"/>
        <v>#DIV/0!</v>
      </c>
      <c r="K14356" s="398"/>
      <c r="L14356" s="404"/>
      <c r="M14356" s="682"/>
    </row>
    <row r="14357" spans="5:13" ht="26.25" hidden="1" thickBot="1" x14ac:dyDescent="0.25">
      <c r="F14357" s="503" t="s">
        <v>257</v>
      </c>
      <c r="G14357" s="504" t="s">
        <v>258</v>
      </c>
      <c r="H14357" s="397"/>
      <c r="I14357" s="397"/>
      <c r="J14357" s="750" t="e">
        <f t="shared" si="164"/>
        <v>#DIV/0!</v>
      </c>
      <c r="K14357" s="398"/>
      <c r="L14357" s="404"/>
      <c r="M14357" s="682"/>
    </row>
    <row r="14358" spans="5:13" ht="26.25" hidden="1" thickBot="1" x14ac:dyDescent="0.25">
      <c r="F14358" s="503" t="s">
        <v>259</v>
      </c>
      <c r="G14358" s="504" t="s">
        <v>260</v>
      </c>
      <c r="H14358" s="397"/>
      <c r="I14358" s="397"/>
      <c r="J14358" s="750" t="e">
        <f t="shared" si="164"/>
        <v>#DIV/0!</v>
      </c>
      <c r="K14358" s="398"/>
      <c r="L14358" s="404"/>
      <c r="M14358" s="682"/>
    </row>
    <row r="14359" spans="5:13" ht="26.25" hidden="1" thickBot="1" x14ac:dyDescent="0.25">
      <c r="F14359" s="503" t="s">
        <v>261</v>
      </c>
      <c r="G14359" s="504" t="s">
        <v>262</v>
      </c>
      <c r="H14359" s="397"/>
      <c r="I14359" s="397"/>
      <c r="J14359" s="750" t="e">
        <f t="shared" si="164"/>
        <v>#DIV/0!</v>
      </c>
      <c r="K14359" s="398"/>
      <c r="L14359" s="404"/>
      <c r="M14359" s="682"/>
    </row>
    <row r="14360" spans="5:13" ht="13.5" hidden="1" thickBot="1" x14ac:dyDescent="0.25">
      <c r="F14360" s="503" t="s">
        <v>263</v>
      </c>
      <c r="G14360" s="504" t="s">
        <v>264</v>
      </c>
      <c r="H14360" s="403"/>
      <c r="I14360" s="403"/>
      <c r="J14360" s="750" t="e">
        <f t="shared" si="164"/>
        <v>#DIV/0!</v>
      </c>
      <c r="K14360" s="404"/>
      <c r="L14360" s="404"/>
      <c r="M14360" s="682"/>
    </row>
    <row r="14361" spans="5:13" ht="13.5" thickBot="1" x14ac:dyDescent="0.25">
      <c r="G14361" s="505" t="s">
        <v>4445</v>
      </c>
      <c r="H14361" s="405">
        <f>SUM(H14345:H14360)</f>
        <v>17864000</v>
      </c>
      <c r="I14361" s="405">
        <f>SUM(I14345)</f>
        <v>16297753.660000002</v>
      </c>
      <c r="J14361" s="750">
        <f t="shared" si="164"/>
        <v>91.232387259292452</v>
      </c>
      <c r="K14361" s="406">
        <f>SUM(K14348:K14351)</f>
        <v>10406100</v>
      </c>
      <c r="L14361" s="406">
        <f>SUM(L14348:L14351)</f>
        <v>9986349.370000001</v>
      </c>
      <c r="M14361" s="682"/>
    </row>
    <row r="14362" spans="5:13" ht="18.75" customHeight="1" collapsed="1" x14ac:dyDescent="0.2">
      <c r="E14362" s="500"/>
      <c r="F14362" s="498"/>
      <c r="G14362" s="506" t="s">
        <v>4466</v>
      </c>
      <c r="H14362" s="407"/>
      <c r="I14362" s="408"/>
      <c r="J14362" s="750"/>
      <c r="K14362" s="409"/>
      <c r="L14362" s="410"/>
      <c r="M14362" s="682"/>
    </row>
    <row r="14363" spans="5:13" ht="14.25" customHeight="1" x14ac:dyDescent="0.2">
      <c r="E14363" s="502"/>
      <c r="F14363" s="503" t="s">
        <v>234</v>
      </c>
      <c r="G14363" s="504" t="s">
        <v>235</v>
      </c>
      <c r="H14363" s="403">
        <f>SUM(H14267:H14326)</f>
        <v>17864000</v>
      </c>
      <c r="I14363" s="403">
        <f>SUM(I14361)</f>
        <v>16297753.660000002</v>
      </c>
      <c r="J14363" s="750">
        <f t="shared" si="164"/>
        <v>91.232387259292452</v>
      </c>
      <c r="K14363" s="404"/>
      <c r="L14363" s="404"/>
      <c r="M14363" s="682"/>
    </row>
    <row r="14364" spans="5:13" hidden="1" x14ac:dyDescent="0.2">
      <c r="F14364" s="503" t="s">
        <v>236</v>
      </c>
      <c r="G14364" s="504" t="s">
        <v>237</v>
      </c>
      <c r="H14364" s="397"/>
      <c r="I14364" s="397"/>
      <c r="J14364" s="750" t="e">
        <f t="shared" si="164"/>
        <v>#DIV/0!</v>
      </c>
      <c r="K14364" s="398"/>
      <c r="L14364" s="404"/>
      <c r="M14364" s="682"/>
    </row>
    <row r="14365" spans="5:13" hidden="1" x14ac:dyDescent="0.2">
      <c r="F14365" s="503" t="s">
        <v>238</v>
      </c>
      <c r="G14365" s="504" t="s">
        <v>239</v>
      </c>
      <c r="H14365" s="397"/>
      <c r="I14365" s="397"/>
      <c r="J14365" s="750" t="e">
        <f t="shared" si="164"/>
        <v>#DIV/0!</v>
      </c>
      <c r="K14365" s="398"/>
      <c r="L14365" s="404"/>
      <c r="M14365" s="682"/>
    </row>
    <row r="14366" spans="5:13" x14ac:dyDescent="0.2">
      <c r="F14366" s="503" t="s">
        <v>240</v>
      </c>
      <c r="G14366" s="504" t="s">
        <v>241</v>
      </c>
      <c r="H14366" s="397"/>
      <c r="I14366" s="397"/>
      <c r="J14366" s="750"/>
      <c r="K14366" s="398">
        <v>5711884</v>
      </c>
      <c r="L14366" s="404">
        <v>3774356.66</v>
      </c>
      <c r="M14366" s="682"/>
    </row>
    <row r="14367" spans="5:13" hidden="1" x14ac:dyDescent="0.2">
      <c r="F14367" s="503" t="s">
        <v>242</v>
      </c>
      <c r="G14367" s="504" t="s">
        <v>243</v>
      </c>
      <c r="H14367" s="397"/>
      <c r="I14367" s="397"/>
      <c r="J14367" s="750" t="e">
        <f t="shared" si="164"/>
        <v>#DIV/0!</v>
      </c>
      <c r="K14367" s="398"/>
      <c r="L14367" s="404"/>
      <c r="M14367" s="682"/>
    </row>
    <row r="14368" spans="5:13" hidden="1" x14ac:dyDescent="0.2">
      <c r="F14368" s="503" t="s">
        <v>244</v>
      </c>
      <c r="G14368" s="504" t="s">
        <v>245</v>
      </c>
      <c r="H14368" s="397"/>
      <c r="I14368" s="397"/>
      <c r="J14368" s="750" t="e">
        <f t="shared" si="164"/>
        <v>#DIV/0!</v>
      </c>
      <c r="K14368" s="398"/>
      <c r="L14368" s="404"/>
      <c r="M14368" s="682"/>
    </row>
    <row r="14369" spans="1:13" ht="13.5" thickBot="1" x14ac:dyDescent="0.25">
      <c r="F14369" s="503" t="s">
        <v>246</v>
      </c>
      <c r="G14369" s="504" t="s">
        <v>247</v>
      </c>
      <c r="H14369" s="397"/>
      <c r="I14369" s="397"/>
      <c r="J14369" s="750"/>
      <c r="K14369" s="398">
        <v>4694216</v>
      </c>
      <c r="L14369" s="404">
        <v>6211992.71</v>
      </c>
      <c r="M14369" s="682"/>
    </row>
    <row r="14370" spans="1:13" ht="26.25" hidden="1" thickBot="1" x14ac:dyDescent="0.25">
      <c r="F14370" s="503" t="s">
        <v>248</v>
      </c>
      <c r="G14370" s="504" t="s">
        <v>249</v>
      </c>
      <c r="H14370" s="397"/>
      <c r="I14370" s="397"/>
      <c r="J14370" s="750" t="e">
        <f t="shared" si="164"/>
        <v>#DIV/0!</v>
      </c>
      <c r="K14370" s="398"/>
      <c r="L14370" s="404"/>
      <c r="M14370" s="682"/>
    </row>
    <row r="14371" spans="1:13" ht="13.5" hidden="1" thickBot="1" x14ac:dyDescent="0.25">
      <c r="F14371" s="503" t="s">
        <v>250</v>
      </c>
      <c r="G14371" s="504" t="s">
        <v>57</v>
      </c>
      <c r="H14371" s="397"/>
      <c r="I14371" s="397"/>
      <c r="J14371" s="750" t="e">
        <f t="shared" si="164"/>
        <v>#DIV/0!</v>
      </c>
      <c r="K14371" s="398"/>
      <c r="L14371" s="404"/>
      <c r="M14371" s="682"/>
    </row>
    <row r="14372" spans="1:13" ht="13.5" hidden="1" thickBot="1" x14ac:dyDescent="0.25">
      <c r="F14372" s="503" t="s">
        <v>251</v>
      </c>
      <c r="G14372" s="504" t="s">
        <v>252</v>
      </c>
      <c r="H14372" s="397"/>
      <c r="I14372" s="397"/>
      <c r="J14372" s="750" t="e">
        <f t="shared" si="164"/>
        <v>#DIV/0!</v>
      </c>
      <c r="K14372" s="398"/>
      <c r="L14372" s="404"/>
      <c r="M14372" s="682"/>
    </row>
    <row r="14373" spans="1:13" ht="13.5" hidden="1" thickBot="1" x14ac:dyDescent="0.25">
      <c r="F14373" s="503" t="s">
        <v>253</v>
      </c>
      <c r="G14373" s="504" t="s">
        <v>254</v>
      </c>
      <c r="H14373" s="397"/>
      <c r="I14373" s="397"/>
      <c r="J14373" s="750" t="e">
        <f t="shared" si="164"/>
        <v>#DIV/0!</v>
      </c>
      <c r="K14373" s="398"/>
      <c r="L14373" s="404"/>
      <c r="M14373" s="682"/>
    </row>
    <row r="14374" spans="1:13" ht="26.25" hidden="1" thickBot="1" x14ac:dyDescent="0.25">
      <c r="F14374" s="503" t="s">
        <v>255</v>
      </c>
      <c r="G14374" s="504" t="s">
        <v>256</v>
      </c>
      <c r="H14374" s="397"/>
      <c r="I14374" s="397"/>
      <c r="J14374" s="750" t="e">
        <f t="shared" si="164"/>
        <v>#DIV/0!</v>
      </c>
      <c r="K14374" s="398"/>
      <c r="L14374" s="404"/>
      <c r="M14374" s="682"/>
    </row>
    <row r="14375" spans="1:13" ht="26.25" hidden="1" thickBot="1" x14ac:dyDescent="0.25">
      <c r="F14375" s="503" t="s">
        <v>257</v>
      </c>
      <c r="G14375" s="504" t="s">
        <v>258</v>
      </c>
      <c r="H14375" s="397"/>
      <c r="I14375" s="397"/>
      <c r="J14375" s="750" t="e">
        <f t="shared" si="164"/>
        <v>#DIV/0!</v>
      </c>
      <c r="K14375" s="398"/>
      <c r="L14375" s="404"/>
      <c r="M14375" s="682"/>
    </row>
    <row r="14376" spans="1:13" ht="26.25" hidden="1" thickBot="1" x14ac:dyDescent="0.25">
      <c r="F14376" s="503" t="s">
        <v>259</v>
      </c>
      <c r="G14376" s="504" t="s">
        <v>260</v>
      </c>
      <c r="H14376" s="397"/>
      <c r="I14376" s="397"/>
      <c r="J14376" s="750" t="e">
        <f t="shared" si="164"/>
        <v>#DIV/0!</v>
      </c>
      <c r="K14376" s="398"/>
      <c r="L14376" s="404"/>
      <c r="M14376" s="682"/>
    </row>
    <row r="14377" spans="1:13" ht="26.25" hidden="1" thickBot="1" x14ac:dyDescent="0.25">
      <c r="F14377" s="503" t="s">
        <v>261</v>
      </c>
      <c r="G14377" s="504" t="s">
        <v>262</v>
      </c>
      <c r="H14377" s="397"/>
      <c r="I14377" s="397"/>
      <c r="J14377" s="750" t="e">
        <f t="shared" si="164"/>
        <v>#DIV/0!</v>
      </c>
      <c r="K14377" s="398"/>
      <c r="L14377" s="404"/>
      <c r="M14377" s="682"/>
    </row>
    <row r="14378" spans="1:13" ht="15.75" hidden="1" customHeight="1" thickBot="1" x14ac:dyDescent="0.25">
      <c r="F14378" s="503" t="s">
        <v>263</v>
      </c>
      <c r="G14378" s="504" t="s">
        <v>264</v>
      </c>
      <c r="H14378" s="403"/>
      <c r="I14378" s="403"/>
      <c r="J14378" s="750" t="e">
        <f t="shared" si="164"/>
        <v>#DIV/0!</v>
      </c>
      <c r="K14378" s="404"/>
      <c r="L14378" s="404"/>
      <c r="M14378" s="682"/>
    </row>
    <row r="14379" spans="1:13" ht="13.5" collapsed="1" thickBot="1" x14ac:dyDescent="0.25">
      <c r="G14379" s="505" t="s">
        <v>4467</v>
      </c>
      <c r="H14379" s="405">
        <f>SUM(H14363:H14378)</f>
        <v>17864000</v>
      </c>
      <c r="I14379" s="405">
        <f>SUM(I14363)</f>
        <v>16297753.660000002</v>
      </c>
      <c r="J14379" s="750">
        <f t="shared" si="164"/>
        <v>91.232387259292452</v>
      </c>
      <c r="K14379" s="406">
        <f>SUM(K14364:K14378)</f>
        <v>10406100</v>
      </c>
      <c r="L14379" s="406">
        <f>SUM(L14366:L14369)</f>
        <v>9986349.370000001</v>
      </c>
      <c r="M14379" s="682"/>
    </row>
    <row r="14380" spans="1:13" hidden="1" x14ac:dyDescent="0.2">
      <c r="A14380" s="626"/>
      <c r="B14380" s="626"/>
      <c r="C14380" s="651"/>
      <c r="D14380" s="626"/>
      <c r="E14380" s="626"/>
      <c r="F14380" s="626"/>
      <c r="G14380" s="652"/>
      <c r="H14380" s="453"/>
      <c r="I14380" s="453"/>
      <c r="J14380" s="750" t="e">
        <f t="shared" si="164"/>
        <v>#DIV/0!</v>
      </c>
      <c r="K14380" s="423"/>
      <c r="L14380" s="423"/>
      <c r="M14380" s="682"/>
    </row>
    <row r="14381" spans="1:13" hidden="1" x14ac:dyDescent="0.2">
      <c r="H14381" s="397"/>
      <c r="I14381" s="397"/>
      <c r="J14381" s="750" t="e">
        <f t="shared" si="164"/>
        <v>#DIV/0!</v>
      </c>
      <c r="K14381" s="398"/>
      <c r="L14381" s="398"/>
      <c r="M14381" s="682"/>
    </row>
    <row r="14382" spans="1:13" hidden="1" x14ac:dyDescent="0.2">
      <c r="H14382" s="397"/>
      <c r="I14382" s="397"/>
      <c r="J14382" s="750" t="e">
        <f t="shared" si="164"/>
        <v>#DIV/0!</v>
      </c>
      <c r="K14382" s="398"/>
      <c r="L14382" s="398"/>
      <c r="M14382" s="682"/>
    </row>
    <row r="14383" spans="1:13" hidden="1" x14ac:dyDescent="0.2">
      <c r="H14383" s="397"/>
      <c r="I14383" s="397"/>
      <c r="J14383" s="750" t="e">
        <f t="shared" si="164"/>
        <v>#DIV/0!</v>
      </c>
      <c r="K14383" s="398"/>
      <c r="L14383" s="398"/>
      <c r="M14383" s="682"/>
    </row>
    <row r="14384" spans="1:13" hidden="1" x14ac:dyDescent="0.2">
      <c r="H14384" s="397"/>
      <c r="I14384" s="397"/>
      <c r="J14384" s="750" t="e">
        <f t="shared" si="164"/>
        <v>#DIV/0!</v>
      </c>
      <c r="K14384" s="398"/>
      <c r="L14384" s="398"/>
      <c r="M14384" s="682"/>
    </row>
    <row r="14385" spans="8:13" hidden="1" x14ac:dyDescent="0.2">
      <c r="H14385" s="397"/>
      <c r="I14385" s="397"/>
      <c r="J14385" s="750" t="e">
        <f t="shared" si="164"/>
        <v>#DIV/0!</v>
      </c>
      <c r="K14385" s="398"/>
      <c r="L14385" s="398"/>
      <c r="M14385" s="682"/>
    </row>
    <row r="14386" spans="8:13" hidden="1" x14ac:dyDescent="0.2">
      <c r="H14386" s="397"/>
      <c r="I14386" s="397"/>
      <c r="J14386" s="750" t="e">
        <f t="shared" si="164"/>
        <v>#DIV/0!</v>
      </c>
      <c r="K14386" s="398"/>
      <c r="L14386" s="398"/>
      <c r="M14386" s="682"/>
    </row>
    <row r="14387" spans="8:13" hidden="1" x14ac:dyDescent="0.2">
      <c r="H14387" s="397"/>
      <c r="I14387" s="397"/>
      <c r="J14387" s="750" t="e">
        <f t="shared" si="164"/>
        <v>#DIV/0!</v>
      </c>
      <c r="K14387" s="398"/>
      <c r="L14387" s="398"/>
      <c r="M14387" s="682"/>
    </row>
    <row r="14388" spans="8:13" hidden="1" x14ac:dyDescent="0.2">
      <c r="H14388" s="397"/>
      <c r="I14388" s="397"/>
      <c r="J14388" s="750" t="e">
        <f t="shared" si="164"/>
        <v>#DIV/0!</v>
      </c>
      <c r="K14388" s="398"/>
      <c r="L14388" s="398"/>
      <c r="M14388" s="682"/>
    </row>
    <row r="14389" spans="8:13" hidden="1" x14ac:dyDescent="0.2">
      <c r="H14389" s="397"/>
      <c r="I14389" s="397"/>
      <c r="J14389" s="750" t="e">
        <f t="shared" si="164"/>
        <v>#DIV/0!</v>
      </c>
      <c r="K14389" s="398"/>
      <c r="L14389" s="398"/>
      <c r="M14389" s="682"/>
    </row>
    <row r="14390" spans="8:13" hidden="1" x14ac:dyDescent="0.2">
      <c r="H14390" s="397"/>
      <c r="I14390" s="397"/>
      <c r="J14390" s="750" t="e">
        <f t="shared" si="164"/>
        <v>#DIV/0!</v>
      </c>
      <c r="K14390" s="398"/>
      <c r="L14390" s="398"/>
      <c r="M14390" s="682"/>
    </row>
    <row r="14391" spans="8:13" hidden="1" x14ac:dyDescent="0.2">
      <c r="H14391" s="397"/>
      <c r="I14391" s="397"/>
      <c r="J14391" s="750" t="e">
        <f t="shared" si="164"/>
        <v>#DIV/0!</v>
      </c>
      <c r="K14391" s="398"/>
      <c r="L14391" s="398"/>
      <c r="M14391" s="682"/>
    </row>
    <row r="14392" spans="8:13" hidden="1" x14ac:dyDescent="0.2">
      <c r="H14392" s="397"/>
      <c r="I14392" s="397"/>
      <c r="J14392" s="750" t="e">
        <f t="shared" si="164"/>
        <v>#DIV/0!</v>
      </c>
      <c r="K14392" s="398"/>
      <c r="L14392" s="398"/>
      <c r="M14392" s="682"/>
    </row>
    <row r="14393" spans="8:13" hidden="1" x14ac:dyDescent="0.2">
      <c r="H14393" s="397"/>
      <c r="I14393" s="397"/>
      <c r="J14393" s="750" t="e">
        <f t="shared" si="164"/>
        <v>#DIV/0!</v>
      </c>
      <c r="K14393" s="398"/>
      <c r="L14393" s="398"/>
      <c r="M14393" s="682"/>
    </row>
    <row r="14394" spans="8:13" hidden="1" x14ac:dyDescent="0.2">
      <c r="H14394" s="397"/>
      <c r="I14394" s="397"/>
      <c r="J14394" s="750" t="e">
        <f t="shared" si="164"/>
        <v>#DIV/0!</v>
      </c>
      <c r="K14394" s="398"/>
      <c r="L14394" s="398"/>
      <c r="M14394" s="682"/>
    </row>
    <row r="14395" spans="8:13" hidden="1" x14ac:dyDescent="0.2">
      <c r="H14395" s="397"/>
      <c r="I14395" s="397"/>
      <c r="J14395" s="750" t="e">
        <f t="shared" si="164"/>
        <v>#DIV/0!</v>
      </c>
      <c r="K14395" s="398"/>
      <c r="L14395" s="398"/>
      <c r="M14395" s="682"/>
    </row>
    <row r="14396" spans="8:13" hidden="1" x14ac:dyDescent="0.2">
      <c r="H14396" s="397"/>
      <c r="I14396" s="397"/>
      <c r="J14396" s="750" t="e">
        <f t="shared" si="164"/>
        <v>#DIV/0!</v>
      </c>
      <c r="K14396" s="398"/>
      <c r="L14396" s="398"/>
      <c r="M14396" s="682"/>
    </row>
    <row r="14397" spans="8:13" hidden="1" x14ac:dyDescent="0.2">
      <c r="H14397" s="397"/>
      <c r="I14397" s="397"/>
      <c r="J14397" s="750" t="e">
        <f t="shared" si="164"/>
        <v>#DIV/0!</v>
      </c>
      <c r="K14397" s="398"/>
      <c r="L14397" s="398"/>
      <c r="M14397" s="682"/>
    </row>
    <row r="14398" spans="8:13" hidden="1" x14ac:dyDescent="0.2">
      <c r="H14398" s="397"/>
      <c r="I14398" s="397"/>
      <c r="J14398" s="750" t="e">
        <f t="shared" si="164"/>
        <v>#DIV/0!</v>
      </c>
      <c r="K14398" s="398"/>
      <c r="L14398" s="398"/>
      <c r="M14398" s="682"/>
    </row>
    <row r="14399" spans="8:13" hidden="1" x14ac:dyDescent="0.2">
      <c r="H14399" s="397"/>
      <c r="I14399" s="397"/>
      <c r="J14399" s="750" t="e">
        <f t="shared" si="164"/>
        <v>#DIV/0!</v>
      </c>
      <c r="K14399" s="398"/>
      <c r="L14399" s="398"/>
      <c r="M14399" s="682"/>
    </row>
    <row r="14400" spans="8:13" hidden="1" x14ac:dyDescent="0.2">
      <c r="H14400" s="397"/>
      <c r="I14400" s="397"/>
      <c r="J14400" s="750" t="e">
        <f t="shared" si="164"/>
        <v>#DIV/0!</v>
      </c>
      <c r="K14400" s="398"/>
      <c r="L14400" s="398"/>
      <c r="M14400" s="682"/>
    </row>
    <row r="14401" spans="8:13" hidden="1" x14ac:dyDescent="0.2">
      <c r="H14401" s="397"/>
      <c r="I14401" s="397"/>
      <c r="J14401" s="750" t="e">
        <f t="shared" si="164"/>
        <v>#DIV/0!</v>
      </c>
      <c r="K14401" s="398"/>
      <c r="L14401" s="398"/>
      <c r="M14401" s="682"/>
    </row>
    <row r="14402" spans="8:13" hidden="1" x14ac:dyDescent="0.2">
      <c r="H14402" s="397"/>
      <c r="I14402" s="397"/>
      <c r="J14402" s="750" t="e">
        <f t="shared" si="164"/>
        <v>#DIV/0!</v>
      </c>
      <c r="K14402" s="398"/>
      <c r="L14402" s="398"/>
      <c r="M14402" s="682"/>
    </row>
    <row r="14403" spans="8:13" hidden="1" x14ac:dyDescent="0.2">
      <c r="H14403" s="397"/>
      <c r="I14403" s="397"/>
      <c r="J14403" s="750" t="e">
        <f t="shared" si="164"/>
        <v>#DIV/0!</v>
      </c>
      <c r="K14403" s="398"/>
      <c r="L14403" s="398"/>
      <c r="M14403" s="682"/>
    </row>
    <row r="14404" spans="8:13" hidden="1" x14ac:dyDescent="0.2">
      <c r="H14404" s="397"/>
      <c r="I14404" s="397"/>
      <c r="J14404" s="750" t="e">
        <f t="shared" si="164"/>
        <v>#DIV/0!</v>
      </c>
      <c r="K14404" s="398"/>
      <c r="L14404" s="398"/>
      <c r="M14404" s="682"/>
    </row>
    <row r="14405" spans="8:13" hidden="1" x14ac:dyDescent="0.2">
      <c r="H14405" s="397"/>
      <c r="I14405" s="397"/>
      <c r="J14405" s="750" t="e">
        <f t="shared" si="164"/>
        <v>#DIV/0!</v>
      </c>
      <c r="K14405" s="398"/>
      <c r="L14405" s="398"/>
      <c r="M14405" s="682"/>
    </row>
    <row r="14406" spans="8:13" hidden="1" x14ac:dyDescent="0.2">
      <c r="H14406" s="397"/>
      <c r="I14406" s="397"/>
      <c r="J14406" s="750" t="e">
        <f t="shared" si="164"/>
        <v>#DIV/0!</v>
      </c>
      <c r="K14406" s="398"/>
      <c r="L14406" s="398"/>
      <c r="M14406" s="682"/>
    </row>
    <row r="14407" spans="8:13" hidden="1" x14ac:dyDescent="0.2">
      <c r="H14407" s="397"/>
      <c r="I14407" s="397"/>
      <c r="J14407" s="750" t="e">
        <f t="shared" si="164"/>
        <v>#DIV/0!</v>
      </c>
      <c r="K14407" s="398"/>
      <c r="L14407" s="398"/>
      <c r="M14407" s="682"/>
    </row>
    <row r="14408" spans="8:13" hidden="1" x14ac:dyDescent="0.2">
      <c r="H14408" s="397"/>
      <c r="I14408" s="397"/>
      <c r="J14408" s="750" t="e">
        <f t="shared" si="164"/>
        <v>#DIV/0!</v>
      </c>
      <c r="K14408" s="398"/>
      <c r="L14408" s="398"/>
      <c r="M14408" s="682"/>
    </row>
    <row r="14409" spans="8:13" hidden="1" x14ac:dyDescent="0.2">
      <c r="H14409" s="397"/>
      <c r="I14409" s="397"/>
      <c r="J14409" s="750" t="e">
        <f t="shared" si="164"/>
        <v>#DIV/0!</v>
      </c>
      <c r="K14409" s="398"/>
      <c r="L14409" s="398"/>
      <c r="M14409" s="682"/>
    </row>
    <row r="14410" spans="8:13" hidden="1" x14ac:dyDescent="0.2">
      <c r="H14410" s="397"/>
      <c r="I14410" s="397"/>
      <c r="J14410" s="750" t="e">
        <f t="shared" si="164"/>
        <v>#DIV/0!</v>
      </c>
      <c r="K14410" s="398"/>
      <c r="L14410" s="398"/>
      <c r="M14410" s="682"/>
    </row>
    <row r="14411" spans="8:13" hidden="1" x14ac:dyDescent="0.2">
      <c r="H14411" s="397"/>
      <c r="I14411" s="397"/>
      <c r="J14411" s="750" t="e">
        <f t="shared" si="164"/>
        <v>#DIV/0!</v>
      </c>
      <c r="K14411" s="398"/>
      <c r="L14411" s="398"/>
      <c r="M14411" s="682"/>
    </row>
    <row r="14412" spans="8:13" hidden="1" x14ac:dyDescent="0.2">
      <c r="H14412" s="397"/>
      <c r="I14412" s="397"/>
      <c r="J14412" s="750" t="e">
        <f t="shared" si="164"/>
        <v>#DIV/0!</v>
      </c>
      <c r="K14412" s="398"/>
      <c r="L14412" s="398"/>
      <c r="M14412" s="682"/>
    </row>
    <row r="14413" spans="8:13" hidden="1" x14ac:dyDescent="0.2">
      <c r="H14413" s="397"/>
      <c r="I14413" s="397"/>
      <c r="J14413" s="750" t="e">
        <f t="shared" si="164"/>
        <v>#DIV/0!</v>
      </c>
      <c r="K14413" s="398"/>
      <c r="L14413" s="398"/>
      <c r="M14413" s="682"/>
    </row>
    <row r="14414" spans="8:13" hidden="1" x14ac:dyDescent="0.2">
      <c r="H14414" s="397"/>
      <c r="I14414" s="397"/>
      <c r="J14414" s="750" t="e">
        <f t="shared" ref="J14414:J14477" si="165">SUM(I14414/H14414)*100</f>
        <v>#DIV/0!</v>
      </c>
      <c r="K14414" s="398"/>
      <c r="L14414" s="398"/>
      <c r="M14414" s="682"/>
    </row>
    <row r="14415" spans="8:13" hidden="1" x14ac:dyDescent="0.2">
      <c r="H14415" s="397"/>
      <c r="I14415" s="397"/>
      <c r="J14415" s="750" t="e">
        <f t="shared" si="165"/>
        <v>#DIV/0!</v>
      </c>
      <c r="K14415" s="398"/>
      <c r="L14415" s="398"/>
      <c r="M14415" s="682"/>
    </row>
    <row r="14416" spans="8:13" hidden="1" x14ac:dyDescent="0.2">
      <c r="H14416" s="397"/>
      <c r="I14416" s="397"/>
      <c r="J14416" s="750" t="e">
        <f t="shared" si="165"/>
        <v>#DIV/0!</v>
      </c>
      <c r="K14416" s="398"/>
      <c r="L14416" s="398"/>
      <c r="M14416" s="682"/>
    </row>
    <row r="14417" spans="8:13" hidden="1" x14ac:dyDescent="0.2">
      <c r="H14417" s="397"/>
      <c r="I14417" s="397"/>
      <c r="J14417" s="750" t="e">
        <f t="shared" si="165"/>
        <v>#DIV/0!</v>
      </c>
      <c r="K14417" s="398"/>
      <c r="L14417" s="398"/>
      <c r="M14417" s="682"/>
    </row>
    <row r="14418" spans="8:13" hidden="1" x14ac:dyDescent="0.2">
      <c r="H14418" s="397"/>
      <c r="I14418" s="397"/>
      <c r="J14418" s="750" t="e">
        <f t="shared" si="165"/>
        <v>#DIV/0!</v>
      </c>
      <c r="K14418" s="398"/>
      <c r="L14418" s="398"/>
      <c r="M14418" s="682"/>
    </row>
    <row r="14419" spans="8:13" hidden="1" x14ac:dyDescent="0.2">
      <c r="H14419" s="397"/>
      <c r="I14419" s="397"/>
      <c r="J14419" s="750" t="e">
        <f t="shared" si="165"/>
        <v>#DIV/0!</v>
      </c>
      <c r="K14419" s="398"/>
      <c r="L14419" s="398"/>
      <c r="M14419" s="682"/>
    </row>
    <row r="14420" spans="8:13" hidden="1" x14ac:dyDescent="0.2">
      <c r="H14420" s="397"/>
      <c r="I14420" s="397"/>
      <c r="J14420" s="750" t="e">
        <f t="shared" si="165"/>
        <v>#DIV/0!</v>
      </c>
      <c r="K14420" s="398"/>
      <c r="L14420" s="398"/>
      <c r="M14420" s="682"/>
    </row>
    <row r="14421" spans="8:13" hidden="1" x14ac:dyDescent="0.2">
      <c r="H14421" s="397"/>
      <c r="I14421" s="397"/>
      <c r="J14421" s="750" t="e">
        <f t="shared" si="165"/>
        <v>#DIV/0!</v>
      </c>
      <c r="K14421" s="398"/>
      <c r="L14421" s="398"/>
      <c r="M14421" s="682"/>
    </row>
    <row r="14422" spans="8:13" hidden="1" x14ac:dyDescent="0.2">
      <c r="H14422" s="397"/>
      <c r="I14422" s="397"/>
      <c r="J14422" s="750" t="e">
        <f t="shared" si="165"/>
        <v>#DIV/0!</v>
      </c>
      <c r="K14422" s="398"/>
      <c r="L14422" s="398"/>
      <c r="M14422" s="682"/>
    </row>
    <row r="14423" spans="8:13" hidden="1" x14ac:dyDescent="0.2">
      <c r="H14423" s="397"/>
      <c r="I14423" s="397"/>
      <c r="J14423" s="750" t="e">
        <f t="shared" si="165"/>
        <v>#DIV/0!</v>
      </c>
      <c r="K14423" s="398"/>
      <c r="L14423" s="398"/>
      <c r="M14423" s="682"/>
    </row>
    <row r="14424" spans="8:13" hidden="1" x14ac:dyDescent="0.2">
      <c r="H14424" s="397"/>
      <c r="I14424" s="397"/>
      <c r="J14424" s="750" t="e">
        <f t="shared" si="165"/>
        <v>#DIV/0!</v>
      </c>
      <c r="K14424" s="398"/>
      <c r="L14424" s="398"/>
      <c r="M14424" s="682"/>
    </row>
    <row r="14425" spans="8:13" hidden="1" x14ac:dyDescent="0.2">
      <c r="H14425" s="397"/>
      <c r="I14425" s="397"/>
      <c r="J14425" s="750" t="e">
        <f t="shared" si="165"/>
        <v>#DIV/0!</v>
      </c>
      <c r="K14425" s="398"/>
      <c r="L14425" s="398"/>
      <c r="M14425" s="682"/>
    </row>
    <row r="14426" spans="8:13" hidden="1" x14ac:dyDescent="0.2">
      <c r="H14426" s="397"/>
      <c r="I14426" s="397"/>
      <c r="J14426" s="750" t="e">
        <f t="shared" si="165"/>
        <v>#DIV/0!</v>
      </c>
      <c r="K14426" s="398"/>
      <c r="L14426" s="398"/>
      <c r="M14426" s="682"/>
    </row>
    <row r="14427" spans="8:13" hidden="1" x14ac:dyDescent="0.2">
      <c r="H14427" s="397"/>
      <c r="I14427" s="397"/>
      <c r="J14427" s="750" t="e">
        <f t="shared" si="165"/>
        <v>#DIV/0!</v>
      </c>
      <c r="K14427" s="398"/>
      <c r="L14427" s="398"/>
      <c r="M14427" s="682"/>
    </row>
    <row r="14428" spans="8:13" ht="17.25" hidden="1" customHeight="1" x14ac:dyDescent="0.2">
      <c r="H14428" s="397"/>
      <c r="I14428" s="397"/>
      <c r="J14428" s="750" t="e">
        <f t="shared" si="165"/>
        <v>#DIV/0!</v>
      </c>
      <c r="K14428" s="398"/>
      <c r="L14428" s="398"/>
      <c r="M14428" s="682"/>
    </row>
    <row r="14429" spans="8:13" hidden="1" x14ac:dyDescent="0.2">
      <c r="H14429" s="397"/>
      <c r="I14429" s="397"/>
      <c r="J14429" s="750" t="e">
        <f t="shared" si="165"/>
        <v>#DIV/0!</v>
      </c>
      <c r="K14429" s="398"/>
      <c r="L14429" s="398"/>
      <c r="M14429" s="682"/>
    </row>
    <row r="14430" spans="8:13" hidden="1" x14ac:dyDescent="0.2">
      <c r="H14430" s="397"/>
      <c r="I14430" s="397"/>
      <c r="J14430" s="750" t="e">
        <f t="shared" si="165"/>
        <v>#DIV/0!</v>
      </c>
      <c r="K14430" s="398"/>
      <c r="L14430" s="398"/>
      <c r="M14430" s="682"/>
    </row>
    <row r="14431" spans="8:13" hidden="1" x14ac:dyDescent="0.2">
      <c r="H14431" s="397"/>
      <c r="I14431" s="397"/>
      <c r="J14431" s="750" t="e">
        <f t="shared" si="165"/>
        <v>#DIV/0!</v>
      </c>
      <c r="K14431" s="398"/>
      <c r="L14431" s="398"/>
      <c r="M14431" s="682"/>
    </row>
    <row r="14432" spans="8:13" hidden="1" x14ac:dyDescent="0.2">
      <c r="H14432" s="397"/>
      <c r="I14432" s="397"/>
      <c r="J14432" s="750" t="e">
        <f t="shared" si="165"/>
        <v>#DIV/0!</v>
      </c>
      <c r="K14432" s="398"/>
      <c r="L14432" s="398"/>
      <c r="M14432" s="682"/>
    </row>
    <row r="14433" spans="8:13" hidden="1" x14ac:dyDescent="0.2">
      <c r="H14433" s="397"/>
      <c r="I14433" s="397"/>
      <c r="J14433" s="750" t="e">
        <f t="shared" si="165"/>
        <v>#DIV/0!</v>
      </c>
      <c r="K14433" s="398"/>
      <c r="L14433" s="398"/>
      <c r="M14433" s="682"/>
    </row>
    <row r="14434" spans="8:13" hidden="1" x14ac:dyDescent="0.2">
      <c r="H14434" s="397"/>
      <c r="I14434" s="397"/>
      <c r="J14434" s="750" t="e">
        <f t="shared" si="165"/>
        <v>#DIV/0!</v>
      </c>
      <c r="K14434" s="398"/>
      <c r="L14434" s="398"/>
      <c r="M14434" s="682"/>
    </row>
    <row r="14435" spans="8:13" hidden="1" x14ac:dyDescent="0.2">
      <c r="H14435" s="397"/>
      <c r="I14435" s="397"/>
      <c r="J14435" s="750" t="e">
        <f t="shared" si="165"/>
        <v>#DIV/0!</v>
      </c>
      <c r="K14435" s="398"/>
      <c r="L14435" s="398"/>
      <c r="M14435" s="682"/>
    </row>
    <row r="14436" spans="8:13" hidden="1" x14ac:dyDescent="0.2">
      <c r="H14436" s="397"/>
      <c r="I14436" s="397"/>
      <c r="J14436" s="750" t="e">
        <f t="shared" si="165"/>
        <v>#DIV/0!</v>
      </c>
      <c r="K14436" s="398"/>
      <c r="L14436" s="398"/>
      <c r="M14436" s="682"/>
    </row>
    <row r="14437" spans="8:13" hidden="1" x14ac:dyDescent="0.2">
      <c r="H14437" s="397"/>
      <c r="I14437" s="397"/>
      <c r="J14437" s="750" t="e">
        <f t="shared" si="165"/>
        <v>#DIV/0!</v>
      </c>
      <c r="K14437" s="398"/>
      <c r="L14437" s="398"/>
      <c r="M14437" s="682"/>
    </row>
    <row r="14438" spans="8:13" hidden="1" x14ac:dyDescent="0.2">
      <c r="H14438" s="397"/>
      <c r="I14438" s="397"/>
      <c r="J14438" s="750" t="e">
        <f t="shared" si="165"/>
        <v>#DIV/0!</v>
      </c>
      <c r="K14438" s="398"/>
      <c r="L14438" s="398"/>
      <c r="M14438" s="682"/>
    </row>
    <row r="14439" spans="8:13" hidden="1" x14ac:dyDescent="0.2">
      <c r="H14439" s="397"/>
      <c r="I14439" s="397"/>
      <c r="J14439" s="750" t="e">
        <f t="shared" si="165"/>
        <v>#DIV/0!</v>
      </c>
      <c r="K14439" s="398"/>
      <c r="L14439" s="398"/>
      <c r="M14439" s="682"/>
    </row>
    <row r="14440" spans="8:13" hidden="1" x14ac:dyDescent="0.2">
      <c r="H14440" s="397"/>
      <c r="I14440" s="397"/>
      <c r="J14440" s="750" t="e">
        <f t="shared" si="165"/>
        <v>#DIV/0!</v>
      </c>
      <c r="K14440" s="398"/>
      <c r="L14440" s="398"/>
      <c r="M14440" s="682"/>
    </row>
    <row r="14441" spans="8:13" hidden="1" x14ac:dyDescent="0.2">
      <c r="H14441" s="397"/>
      <c r="I14441" s="397"/>
      <c r="J14441" s="750" t="e">
        <f t="shared" si="165"/>
        <v>#DIV/0!</v>
      </c>
      <c r="K14441" s="398"/>
      <c r="L14441" s="398"/>
      <c r="M14441" s="682"/>
    </row>
    <row r="14442" spans="8:13" hidden="1" x14ac:dyDescent="0.2">
      <c r="H14442" s="397"/>
      <c r="I14442" s="397"/>
      <c r="J14442" s="750" t="e">
        <f t="shared" si="165"/>
        <v>#DIV/0!</v>
      </c>
      <c r="K14442" s="398"/>
      <c r="L14442" s="398"/>
      <c r="M14442" s="682"/>
    </row>
    <row r="14443" spans="8:13" hidden="1" x14ac:dyDescent="0.2">
      <c r="H14443" s="397"/>
      <c r="I14443" s="397"/>
      <c r="J14443" s="750" t="e">
        <f t="shared" si="165"/>
        <v>#DIV/0!</v>
      </c>
      <c r="K14443" s="398"/>
      <c r="L14443" s="398"/>
      <c r="M14443" s="682"/>
    </row>
    <row r="14444" spans="8:13" hidden="1" x14ac:dyDescent="0.2">
      <c r="H14444" s="397"/>
      <c r="I14444" s="397"/>
      <c r="J14444" s="750" t="e">
        <f t="shared" si="165"/>
        <v>#DIV/0!</v>
      </c>
      <c r="K14444" s="398"/>
      <c r="L14444" s="398"/>
      <c r="M14444" s="682"/>
    </row>
    <row r="14445" spans="8:13" hidden="1" x14ac:dyDescent="0.2">
      <c r="H14445" s="397"/>
      <c r="I14445" s="397"/>
      <c r="J14445" s="750" t="e">
        <f t="shared" si="165"/>
        <v>#DIV/0!</v>
      </c>
      <c r="K14445" s="398"/>
      <c r="L14445" s="398"/>
      <c r="M14445" s="682"/>
    </row>
    <row r="14446" spans="8:13" hidden="1" x14ac:dyDescent="0.2">
      <c r="H14446" s="397"/>
      <c r="I14446" s="397"/>
      <c r="J14446" s="750" t="e">
        <f t="shared" si="165"/>
        <v>#DIV/0!</v>
      </c>
      <c r="K14446" s="398"/>
      <c r="L14446" s="398"/>
      <c r="M14446" s="682"/>
    </row>
    <row r="14447" spans="8:13" hidden="1" x14ac:dyDescent="0.2">
      <c r="H14447" s="397"/>
      <c r="I14447" s="397"/>
      <c r="J14447" s="750" t="e">
        <f t="shared" si="165"/>
        <v>#DIV/0!</v>
      </c>
      <c r="K14447" s="398"/>
      <c r="L14447" s="398"/>
      <c r="M14447" s="682"/>
    </row>
    <row r="14448" spans="8:13" hidden="1" x14ac:dyDescent="0.2">
      <c r="H14448" s="397"/>
      <c r="I14448" s="397"/>
      <c r="J14448" s="750" t="e">
        <f t="shared" si="165"/>
        <v>#DIV/0!</v>
      </c>
      <c r="K14448" s="398"/>
      <c r="L14448" s="398"/>
      <c r="M14448" s="682"/>
    </row>
    <row r="14449" spans="8:13" hidden="1" x14ac:dyDescent="0.2">
      <c r="H14449" s="397"/>
      <c r="I14449" s="397"/>
      <c r="J14449" s="750" t="e">
        <f t="shared" si="165"/>
        <v>#DIV/0!</v>
      </c>
      <c r="K14449" s="398"/>
      <c r="L14449" s="398"/>
      <c r="M14449" s="682"/>
    </row>
    <row r="14450" spans="8:13" hidden="1" x14ac:dyDescent="0.2">
      <c r="H14450" s="397"/>
      <c r="I14450" s="397"/>
      <c r="J14450" s="750" t="e">
        <f t="shared" si="165"/>
        <v>#DIV/0!</v>
      </c>
      <c r="K14450" s="398"/>
      <c r="L14450" s="398"/>
      <c r="M14450" s="682"/>
    </row>
    <row r="14451" spans="8:13" hidden="1" x14ac:dyDescent="0.2">
      <c r="H14451" s="397"/>
      <c r="I14451" s="397"/>
      <c r="J14451" s="750" t="e">
        <f t="shared" si="165"/>
        <v>#DIV/0!</v>
      </c>
      <c r="K14451" s="398"/>
      <c r="L14451" s="398"/>
      <c r="M14451" s="682"/>
    </row>
    <row r="14452" spans="8:13" hidden="1" x14ac:dyDescent="0.2">
      <c r="H14452" s="397"/>
      <c r="I14452" s="397"/>
      <c r="J14452" s="750" t="e">
        <f t="shared" si="165"/>
        <v>#DIV/0!</v>
      </c>
      <c r="K14452" s="398"/>
      <c r="L14452" s="398"/>
      <c r="M14452" s="682"/>
    </row>
    <row r="14453" spans="8:13" hidden="1" x14ac:dyDescent="0.2">
      <c r="H14453" s="397"/>
      <c r="I14453" s="397"/>
      <c r="J14453" s="750" t="e">
        <f t="shared" si="165"/>
        <v>#DIV/0!</v>
      </c>
      <c r="K14453" s="398"/>
      <c r="L14453" s="398"/>
      <c r="M14453" s="682"/>
    </row>
    <row r="14454" spans="8:13" hidden="1" x14ac:dyDescent="0.2">
      <c r="H14454" s="397"/>
      <c r="I14454" s="397"/>
      <c r="J14454" s="750" t="e">
        <f t="shared" si="165"/>
        <v>#DIV/0!</v>
      </c>
      <c r="K14454" s="398"/>
      <c r="L14454" s="398"/>
      <c r="M14454" s="682"/>
    </row>
    <row r="14455" spans="8:13" hidden="1" x14ac:dyDescent="0.2">
      <c r="H14455" s="397"/>
      <c r="I14455" s="397"/>
      <c r="J14455" s="750" t="e">
        <f t="shared" si="165"/>
        <v>#DIV/0!</v>
      </c>
      <c r="K14455" s="398"/>
      <c r="L14455" s="398"/>
      <c r="M14455" s="682"/>
    </row>
    <row r="14456" spans="8:13" hidden="1" x14ac:dyDescent="0.2">
      <c r="H14456" s="397"/>
      <c r="I14456" s="397"/>
      <c r="J14456" s="750" t="e">
        <f t="shared" si="165"/>
        <v>#DIV/0!</v>
      </c>
      <c r="K14456" s="398"/>
      <c r="L14456" s="398"/>
      <c r="M14456" s="682"/>
    </row>
    <row r="14457" spans="8:13" hidden="1" x14ac:dyDescent="0.2">
      <c r="H14457" s="397"/>
      <c r="I14457" s="397"/>
      <c r="J14457" s="750" t="e">
        <f t="shared" si="165"/>
        <v>#DIV/0!</v>
      </c>
      <c r="K14457" s="398"/>
      <c r="L14457" s="398"/>
      <c r="M14457" s="682"/>
    </row>
    <row r="14458" spans="8:13" hidden="1" x14ac:dyDescent="0.2">
      <c r="H14458" s="397"/>
      <c r="I14458" s="397"/>
      <c r="J14458" s="750" t="e">
        <f t="shared" si="165"/>
        <v>#DIV/0!</v>
      </c>
      <c r="K14458" s="398"/>
      <c r="L14458" s="398"/>
      <c r="M14458" s="682"/>
    </row>
    <row r="14459" spans="8:13" hidden="1" x14ac:dyDescent="0.2">
      <c r="H14459" s="397"/>
      <c r="I14459" s="397"/>
      <c r="J14459" s="750" t="e">
        <f t="shared" si="165"/>
        <v>#DIV/0!</v>
      </c>
      <c r="K14459" s="398"/>
      <c r="L14459" s="398"/>
      <c r="M14459" s="682"/>
    </row>
    <row r="14460" spans="8:13" hidden="1" x14ac:dyDescent="0.2">
      <c r="H14460" s="397"/>
      <c r="I14460" s="397"/>
      <c r="J14460" s="750" t="e">
        <f t="shared" si="165"/>
        <v>#DIV/0!</v>
      </c>
      <c r="K14460" s="398"/>
      <c r="L14460" s="398"/>
      <c r="M14460" s="682"/>
    </row>
    <row r="14461" spans="8:13" hidden="1" collapsed="1" x14ac:dyDescent="0.2">
      <c r="H14461" s="397"/>
      <c r="I14461" s="397"/>
      <c r="J14461" s="750" t="e">
        <f t="shared" si="165"/>
        <v>#DIV/0!</v>
      </c>
      <c r="K14461" s="398"/>
      <c r="L14461" s="398"/>
      <c r="M14461" s="682"/>
    </row>
    <row r="14462" spans="8:13" hidden="1" x14ac:dyDescent="0.2">
      <c r="H14462" s="397"/>
      <c r="I14462" s="397"/>
      <c r="J14462" s="750" t="e">
        <f t="shared" si="165"/>
        <v>#DIV/0!</v>
      </c>
      <c r="K14462" s="398"/>
      <c r="L14462" s="398"/>
      <c r="M14462" s="682"/>
    </row>
    <row r="14463" spans="8:13" hidden="1" x14ac:dyDescent="0.2">
      <c r="H14463" s="397"/>
      <c r="I14463" s="397"/>
      <c r="J14463" s="750" t="e">
        <f t="shared" si="165"/>
        <v>#DIV/0!</v>
      </c>
      <c r="K14463" s="398"/>
      <c r="L14463" s="398"/>
      <c r="M14463" s="682"/>
    </row>
    <row r="14464" spans="8:13" hidden="1" x14ac:dyDescent="0.2">
      <c r="H14464" s="397"/>
      <c r="I14464" s="397"/>
      <c r="J14464" s="750" t="e">
        <f t="shared" si="165"/>
        <v>#DIV/0!</v>
      </c>
      <c r="K14464" s="398"/>
      <c r="L14464" s="398"/>
      <c r="M14464" s="682"/>
    </row>
    <row r="14465" spans="1:13" hidden="1" x14ac:dyDescent="0.2">
      <c r="H14465" s="397"/>
      <c r="I14465" s="397"/>
      <c r="J14465" s="750" t="e">
        <f t="shared" si="165"/>
        <v>#DIV/0!</v>
      </c>
      <c r="K14465" s="398"/>
      <c r="L14465" s="398"/>
      <c r="M14465" s="682"/>
    </row>
    <row r="14466" spans="1:13" hidden="1" x14ac:dyDescent="0.2">
      <c r="H14466" s="397"/>
      <c r="I14466" s="397"/>
      <c r="J14466" s="750" t="e">
        <f t="shared" si="165"/>
        <v>#DIV/0!</v>
      </c>
      <c r="K14466" s="398"/>
      <c r="L14466" s="398"/>
      <c r="M14466" s="682"/>
    </row>
    <row r="14467" spans="1:13" hidden="1" x14ac:dyDescent="0.2">
      <c r="H14467" s="397"/>
      <c r="I14467" s="397"/>
      <c r="J14467" s="750" t="e">
        <f t="shared" si="165"/>
        <v>#DIV/0!</v>
      </c>
      <c r="K14467" s="398"/>
      <c r="L14467" s="398"/>
      <c r="M14467" s="682"/>
    </row>
    <row r="14468" spans="1:13" hidden="1" x14ac:dyDescent="0.2">
      <c r="H14468" s="397"/>
      <c r="I14468" s="397"/>
      <c r="J14468" s="750" t="e">
        <f t="shared" si="165"/>
        <v>#DIV/0!</v>
      </c>
      <c r="K14468" s="398"/>
      <c r="L14468" s="398"/>
      <c r="M14468" s="682"/>
    </row>
    <row r="14469" spans="1:13" hidden="1" x14ac:dyDescent="0.2">
      <c r="H14469" s="397"/>
      <c r="I14469" s="397"/>
      <c r="J14469" s="750" t="e">
        <f t="shared" si="165"/>
        <v>#DIV/0!</v>
      </c>
      <c r="K14469" s="398"/>
      <c r="L14469" s="398"/>
      <c r="M14469" s="682"/>
    </row>
    <row r="14470" spans="1:13" hidden="1" x14ac:dyDescent="0.2">
      <c r="H14470" s="397"/>
      <c r="I14470" s="397"/>
      <c r="J14470" s="750" t="e">
        <f t="shared" si="165"/>
        <v>#DIV/0!</v>
      </c>
      <c r="K14470" s="398"/>
      <c r="L14470" s="398"/>
      <c r="M14470" s="682"/>
    </row>
    <row r="14471" spans="1:13" hidden="1" x14ac:dyDescent="0.2">
      <c r="H14471" s="397"/>
      <c r="I14471" s="397"/>
      <c r="J14471" s="750" t="e">
        <f t="shared" si="165"/>
        <v>#DIV/0!</v>
      </c>
      <c r="K14471" s="398"/>
      <c r="L14471" s="398"/>
      <c r="M14471" s="682"/>
    </row>
    <row r="14472" spans="1:13" hidden="1" x14ac:dyDescent="0.2">
      <c r="H14472" s="397"/>
      <c r="I14472" s="397"/>
      <c r="J14472" s="750" t="e">
        <f t="shared" si="165"/>
        <v>#DIV/0!</v>
      </c>
      <c r="K14472" s="398"/>
      <c r="L14472" s="398"/>
      <c r="M14472" s="682"/>
    </row>
    <row r="14473" spans="1:13" hidden="1" x14ac:dyDescent="0.2">
      <c r="H14473" s="397"/>
      <c r="I14473" s="397"/>
      <c r="J14473" s="750" t="e">
        <f t="shared" si="165"/>
        <v>#DIV/0!</v>
      </c>
      <c r="K14473" s="398"/>
      <c r="L14473" s="398"/>
      <c r="M14473" s="682"/>
    </row>
    <row r="14474" spans="1:13" hidden="1" x14ac:dyDescent="0.2">
      <c r="H14474" s="397"/>
      <c r="I14474" s="397"/>
      <c r="J14474" s="750" t="e">
        <f t="shared" si="165"/>
        <v>#DIV/0!</v>
      </c>
      <c r="K14474" s="398"/>
      <c r="L14474" s="398"/>
      <c r="M14474" s="682"/>
    </row>
    <row r="14475" spans="1:13" hidden="1" x14ac:dyDescent="0.2">
      <c r="H14475" s="397"/>
      <c r="I14475" s="397"/>
      <c r="J14475" s="750" t="e">
        <f t="shared" si="165"/>
        <v>#DIV/0!</v>
      </c>
      <c r="K14475" s="398"/>
      <c r="L14475" s="398"/>
      <c r="M14475" s="682"/>
    </row>
    <row r="14476" spans="1:13" hidden="1" x14ac:dyDescent="0.2">
      <c r="H14476" s="397"/>
      <c r="I14476" s="397"/>
      <c r="J14476" s="750" t="e">
        <f t="shared" si="165"/>
        <v>#DIV/0!</v>
      </c>
      <c r="K14476" s="398"/>
      <c r="L14476" s="398"/>
      <c r="M14476" s="682"/>
    </row>
    <row r="14477" spans="1:13" hidden="1" x14ac:dyDescent="0.2">
      <c r="H14477" s="397"/>
      <c r="I14477" s="397"/>
      <c r="J14477" s="750" t="e">
        <f t="shared" si="165"/>
        <v>#DIV/0!</v>
      </c>
      <c r="K14477" s="398"/>
      <c r="L14477" s="398"/>
      <c r="M14477" s="682"/>
    </row>
    <row r="14478" spans="1:13" hidden="1" x14ac:dyDescent="0.2">
      <c r="H14478" s="397"/>
      <c r="I14478" s="397"/>
      <c r="J14478" s="750" t="e">
        <f t="shared" ref="J14478:J14517" si="166">SUM(I14478/H14478)*100</f>
        <v>#DIV/0!</v>
      </c>
      <c r="K14478" s="398"/>
      <c r="L14478" s="398"/>
      <c r="M14478" s="682"/>
    </row>
    <row r="14479" spans="1:13" hidden="1" x14ac:dyDescent="0.2">
      <c r="A14479" s="626"/>
      <c r="B14479" s="626"/>
      <c r="C14479" s="651"/>
      <c r="D14479" s="626"/>
      <c r="E14479" s="626"/>
      <c r="F14479" s="626"/>
      <c r="G14479" s="652"/>
      <c r="H14479" s="453"/>
      <c r="I14479" s="453"/>
      <c r="J14479" s="750" t="e">
        <f t="shared" si="166"/>
        <v>#DIV/0!</v>
      </c>
      <c r="K14479" s="423"/>
      <c r="L14479" s="423"/>
      <c r="M14479" s="682"/>
    </row>
    <row r="14480" spans="1:13" hidden="1" x14ac:dyDescent="0.2">
      <c r="E14480" s="500"/>
      <c r="F14480" s="498"/>
      <c r="G14480" s="511" t="s">
        <v>5164</v>
      </c>
      <c r="H14480" s="413"/>
      <c r="I14480" s="413"/>
      <c r="J14480" s="750" t="e">
        <f t="shared" si="166"/>
        <v>#DIV/0!</v>
      </c>
      <c r="K14480" s="414"/>
      <c r="L14480" s="415"/>
      <c r="M14480" s="682"/>
    </row>
    <row r="14481" spans="5:13" hidden="1" x14ac:dyDescent="0.2">
      <c r="E14481" s="502"/>
      <c r="F14481" s="503" t="s">
        <v>234</v>
      </c>
      <c r="G14481" s="504" t="s">
        <v>235</v>
      </c>
      <c r="H14481" s="403"/>
      <c r="I14481" s="403"/>
      <c r="J14481" s="750" t="e">
        <f t="shared" si="166"/>
        <v>#DIV/0!</v>
      </c>
      <c r="K14481" s="404"/>
      <c r="L14481" s="404"/>
      <c r="M14481" s="682"/>
    </row>
    <row r="14482" spans="5:13" hidden="1" x14ac:dyDescent="0.2">
      <c r="F14482" s="503" t="s">
        <v>236</v>
      </c>
      <c r="G14482" s="504" t="s">
        <v>237</v>
      </c>
      <c r="H14482" s="397"/>
      <c r="I14482" s="397"/>
      <c r="J14482" s="750" t="e">
        <f t="shared" si="166"/>
        <v>#DIV/0!</v>
      </c>
      <c r="K14482" s="398"/>
      <c r="L14482" s="404"/>
      <c r="M14482" s="682"/>
    </row>
    <row r="14483" spans="5:13" hidden="1" x14ac:dyDescent="0.2">
      <c r="F14483" s="503" t="s">
        <v>238</v>
      </c>
      <c r="G14483" s="504" t="s">
        <v>239</v>
      </c>
      <c r="H14483" s="397"/>
      <c r="I14483" s="397"/>
      <c r="J14483" s="750" t="e">
        <f t="shared" si="166"/>
        <v>#DIV/0!</v>
      </c>
      <c r="K14483" s="398"/>
      <c r="L14483" s="404"/>
      <c r="M14483" s="682"/>
    </row>
    <row r="14484" spans="5:13" hidden="1" x14ac:dyDescent="0.2">
      <c r="F14484" s="503" t="s">
        <v>240</v>
      </c>
      <c r="G14484" s="504" t="s">
        <v>241</v>
      </c>
      <c r="H14484" s="397"/>
      <c r="I14484" s="397"/>
      <c r="J14484" s="750" t="e">
        <f t="shared" si="166"/>
        <v>#DIV/0!</v>
      </c>
      <c r="K14484" s="398"/>
      <c r="L14484" s="404"/>
      <c r="M14484" s="682"/>
    </row>
    <row r="14485" spans="5:13" hidden="1" x14ac:dyDescent="0.2">
      <c r="F14485" s="503" t="s">
        <v>242</v>
      </c>
      <c r="G14485" s="504" t="s">
        <v>243</v>
      </c>
      <c r="H14485" s="397"/>
      <c r="I14485" s="397"/>
      <c r="J14485" s="750" t="e">
        <f t="shared" si="166"/>
        <v>#DIV/0!</v>
      </c>
      <c r="K14485" s="398"/>
      <c r="L14485" s="404"/>
      <c r="M14485" s="682"/>
    </row>
    <row r="14486" spans="5:13" hidden="1" x14ac:dyDescent="0.2">
      <c r="F14486" s="503" t="s">
        <v>244</v>
      </c>
      <c r="G14486" s="504" t="s">
        <v>245</v>
      </c>
      <c r="H14486" s="397"/>
      <c r="I14486" s="397"/>
      <c r="J14486" s="750" t="e">
        <f t="shared" si="166"/>
        <v>#DIV/0!</v>
      </c>
      <c r="K14486" s="398"/>
      <c r="L14486" s="404"/>
      <c r="M14486" s="682"/>
    </row>
    <row r="14487" spans="5:13" hidden="1" x14ac:dyDescent="0.2">
      <c r="F14487" s="503" t="s">
        <v>246</v>
      </c>
      <c r="G14487" s="504" t="s">
        <v>247</v>
      </c>
      <c r="H14487" s="397"/>
      <c r="I14487" s="397"/>
      <c r="J14487" s="750" t="e">
        <f t="shared" si="166"/>
        <v>#DIV/0!</v>
      </c>
      <c r="K14487" s="398"/>
      <c r="L14487" s="404"/>
      <c r="M14487" s="682"/>
    </row>
    <row r="14488" spans="5:13" ht="25.5" hidden="1" x14ac:dyDescent="0.2">
      <c r="F14488" s="503" t="s">
        <v>248</v>
      </c>
      <c r="G14488" s="504" t="s">
        <v>249</v>
      </c>
      <c r="H14488" s="397"/>
      <c r="I14488" s="397"/>
      <c r="J14488" s="750" t="e">
        <f t="shared" si="166"/>
        <v>#DIV/0!</v>
      </c>
      <c r="K14488" s="398"/>
      <c r="L14488" s="404"/>
      <c r="M14488" s="682"/>
    </row>
    <row r="14489" spans="5:13" hidden="1" x14ac:dyDescent="0.2">
      <c r="F14489" s="503" t="s">
        <v>250</v>
      </c>
      <c r="G14489" s="504" t="s">
        <v>57</v>
      </c>
      <c r="H14489" s="397"/>
      <c r="I14489" s="397"/>
      <c r="J14489" s="750" t="e">
        <f t="shared" si="166"/>
        <v>#DIV/0!</v>
      </c>
      <c r="K14489" s="398"/>
      <c r="L14489" s="404"/>
      <c r="M14489" s="682"/>
    </row>
    <row r="14490" spans="5:13" hidden="1" x14ac:dyDescent="0.2">
      <c r="F14490" s="503" t="s">
        <v>251</v>
      </c>
      <c r="G14490" s="504" t="s">
        <v>252</v>
      </c>
      <c r="H14490" s="397"/>
      <c r="I14490" s="397"/>
      <c r="J14490" s="750" t="e">
        <f t="shared" si="166"/>
        <v>#DIV/0!</v>
      </c>
      <c r="K14490" s="398"/>
      <c r="L14490" s="404"/>
      <c r="M14490" s="682"/>
    </row>
    <row r="14491" spans="5:13" hidden="1" x14ac:dyDescent="0.2">
      <c r="F14491" s="503" t="s">
        <v>253</v>
      </c>
      <c r="G14491" s="504" t="s">
        <v>254</v>
      </c>
      <c r="H14491" s="397"/>
      <c r="I14491" s="397"/>
      <c r="J14491" s="750" t="e">
        <f t="shared" si="166"/>
        <v>#DIV/0!</v>
      </c>
      <c r="K14491" s="398"/>
      <c r="L14491" s="404"/>
      <c r="M14491" s="682"/>
    </row>
    <row r="14492" spans="5:13" ht="25.5" hidden="1" x14ac:dyDescent="0.2">
      <c r="F14492" s="503" t="s">
        <v>255</v>
      </c>
      <c r="G14492" s="504" t="s">
        <v>256</v>
      </c>
      <c r="H14492" s="397"/>
      <c r="I14492" s="397"/>
      <c r="J14492" s="750" t="e">
        <f t="shared" si="166"/>
        <v>#DIV/0!</v>
      </c>
      <c r="K14492" s="398"/>
      <c r="L14492" s="404"/>
      <c r="M14492" s="682"/>
    </row>
    <row r="14493" spans="5:13" ht="25.5" hidden="1" x14ac:dyDescent="0.2">
      <c r="F14493" s="503" t="s">
        <v>257</v>
      </c>
      <c r="G14493" s="504" t="s">
        <v>258</v>
      </c>
      <c r="H14493" s="397"/>
      <c r="I14493" s="397"/>
      <c r="J14493" s="750" t="e">
        <f t="shared" si="166"/>
        <v>#DIV/0!</v>
      </c>
      <c r="K14493" s="398"/>
      <c r="L14493" s="404"/>
      <c r="M14493" s="682"/>
    </row>
    <row r="14494" spans="5:13" ht="25.5" hidden="1" x14ac:dyDescent="0.2">
      <c r="F14494" s="503" t="s">
        <v>259</v>
      </c>
      <c r="G14494" s="504" t="s">
        <v>260</v>
      </c>
      <c r="H14494" s="397"/>
      <c r="I14494" s="397"/>
      <c r="J14494" s="750" t="e">
        <f t="shared" si="166"/>
        <v>#DIV/0!</v>
      </c>
      <c r="K14494" s="398"/>
      <c r="L14494" s="404"/>
      <c r="M14494" s="682"/>
    </row>
    <row r="14495" spans="5:13" ht="25.5" hidden="1" x14ac:dyDescent="0.2">
      <c r="F14495" s="503" t="s">
        <v>261</v>
      </c>
      <c r="G14495" s="504" t="s">
        <v>262</v>
      </c>
      <c r="H14495" s="397"/>
      <c r="I14495" s="397"/>
      <c r="J14495" s="750" t="e">
        <f t="shared" si="166"/>
        <v>#DIV/0!</v>
      </c>
      <c r="K14495" s="398"/>
      <c r="L14495" s="404"/>
      <c r="M14495" s="682"/>
    </row>
    <row r="14496" spans="5:13" hidden="1" x14ac:dyDescent="0.2">
      <c r="F14496" s="503" t="s">
        <v>263</v>
      </c>
      <c r="G14496" s="504" t="s">
        <v>264</v>
      </c>
      <c r="H14496" s="403"/>
      <c r="I14496" s="403"/>
      <c r="J14496" s="750" t="e">
        <f t="shared" si="166"/>
        <v>#DIV/0!</v>
      </c>
      <c r="K14496" s="404"/>
      <c r="L14496" s="404"/>
      <c r="M14496" s="682"/>
    </row>
    <row r="14497" spans="5:13" ht="13.5" hidden="1" thickBot="1" x14ac:dyDescent="0.25">
      <c r="G14497" s="505" t="s">
        <v>5165</v>
      </c>
      <c r="H14497" s="405">
        <f>SUM(H14481:H14496)</f>
        <v>0</v>
      </c>
      <c r="I14497" s="405"/>
      <c r="J14497" s="750" t="e">
        <f t="shared" si="166"/>
        <v>#DIV/0!</v>
      </c>
      <c r="K14497" s="406">
        <f>SUM(K14482:K14496)</f>
        <v>0</v>
      </c>
      <c r="L14497" s="406"/>
      <c r="M14497" s="682"/>
    </row>
    <row r="14498" spans="5:13" hidden="1" x14ac:dyDescent="0.2">
      <c r="H14498" s="397"/>
      <c r="I14498" s="397"/>
      <c r="J14498" s="750" t="e">
        <f t="shared" si="166"/>
        <v>#DIV/0!</v>
      </c>
      <c r="K14498" s="398"/>
      <c r="L14498" s="398"/>
      <c r="M14498" s="682"/>
    </row>
    <row r="14499" spans="5:13" hidden="1" x14ac:dyDescent="0.2">
      <c r="E14499" s="500"/>
      <c r="F14499" s="498"/>
      <c r="G14499" s="511" t="s">
        <v>4448</v>
      </c>
      <c r="H14499" s="413"/>
      <c r="I14499" s="413"/>
      <c r="J14499" s="750" t="e">
        <f t="shared" si="166"/>
        <v>#DIV/0!</v>
      </c>
      <c r="K14499" s="414"/>
      <c r="L14499" s="415"/>
      <c r="M14499" s="682"/>
    </row>
    <row r="14500" spans="5:13" hidden="1" x14ac:dyDescent="0.2">
      <c r="E14500" s="502"/>
      <c r="F14500" s="503" t="s">
        <v>234</v>
      </c>
      <c r="G14500" s="504" t="s">
        <v>235</v>
      </c>
      <c r="H14500" s="403">
        <f>SUM(H14481)</f>
        <v>0</v>
      </c>
      <c r="I14500" s="403"/>
      <c r="J14500" s="750" t="e">
        <f t="shared" si="166"/>
        <v>#DIV/0!</v>
      </c>
      <c r="K14500" s="404"/>
      <c r="L14500" s="404"/>
      <c r="M14500" s="682"/>
    </row>
    <row r="14501" spans="5:13" hidden="1" x14ac:dyDescent="0.2">
      <c r="F14501" s="503" t="s">
        <v>236</v>
      </c>
      <c r="G14501" s="504" t="s">
        <v>237</v>
      </c>
      <c r="H14501" s="397"/>
      <c r="I14501" s="397"/>
      <c r="J14501" s="750" t="e">
        <f t="shared" si="166"/>
        <v>#DIV/0!</v>
      </c>
      <c r="K14501" s="398"/>
      <c r="L14501" s="404"/>
      <c r="M14501" s="682"/>
    </row>
    <row r="14502" spans="5:13" hidden="1" x14ac:dyDescent="0.2">
      <c r="F14502" s="503" t="s">
        <v>238</v>
      </c>
      <c r="G14502" s="504" t="s">
        <v>239</v>
      </c>
      <c r="H14502" s="397"/>
      <c r="I14502" s="397"/>
      <c r="J14502" s="750" t="e">
        <f t="shared" si="166"/>
        <v>#DIV/0!</v>
      </c>
      <c r="K14502" s="398"/>
      <c r="L14502" s="404"/>
      <c r="M14502" s="682"/>
    </row>
    <row r="14503" spans="5:13" hidden="1" x14ac:dyDescent="0.2">
      <c r="F14503" s="503" t="s">
        <v>240</v>
      </c>
      <c r="G14503" s="504" t="s">
        <v>241</v>
      </c>
      <c r="H14503" s="397"/>
      <c r="I14503" s="397"/>
      <c r="J14503" s="750" t="e">
        <f t="shared" si="166"/>
        <v>#DIV/0!</v>
      </c>
      <c r="K14503" s="398"/>
      <c r="L14503" s="404"/>
      <c r="M14503" s="682"/>
    </row>
    <row r="14504" spans="5:13" hidden="1" x14ac:dyDescent="0.2">
      <c r="F14504" s="503" t="s">
        <v>242</v>
      </c>
      <c r="G14504" s="504" t="s">
        <v>243</v>
      </c>
      <c r="H14504" s="397"/>
      <c r="I14504" s="397"/>
      <c r="J14504" s="750" t="e">
        <f t="shared" si="166"/>
        <v>#DIV/0!</v>
      </c>
      <c r="K14504" s="398"/>
      <c r="L14504" s="404"/>
      <c r="M14504" s="682"/>
    </row>
    <row r="14505" spans="5:13" hidden="1" x14ac:dyDescent="0.2">
      <c r="F14505" s="503" t="s">
        <v>244</v>
      </c>
      <c r="G14505" s="504" t="s">
        <v>245</v>
      </c>
      <c r="H14505" s="397"/>
      <c r="I14505" s="397"/>
      <c r="J14505" s="750" t="e">
        <f t="shared" si="166"/>
        <v>#DIV/0!</v>
      </c>
      <c r="K14505" s="398"/>
      <c r="L14505" s="404"/>
      <c r="M14505" s="682"/>
    </row>
    <row r="14506" spans="5:13" hidden="1" x14ac:dyDescent="0.2">
      <c r="F14506" s="503" t="s">
        <v>246</v>
      </c>
      <c r="G14506" s="504" t="s">
        <v>247</v>
      </c>
      <c r="H14506" s="397"/>
      <c r="I14506" s="397"/>
      <c r="J14506" s="750" t="e">
        <f t="shared" si="166"/>
        <v>#DIV/0!</v>
      </c>
      <c r="K14506" s="398"/>
      <c r="L14506" s="404"/>
      <c r="M14506" s="682"/>
    </row>
    <row r="14507" spans="5:13" ht="25.5" hidden="1" x14ac:dyDescent="0.2">
      <c r="F14507" s="503" t="s">
        <v>248</v>
      </c>
      <c r="G14507" s="504" t="s">
        <v>249</v>
      </c>
      <c r="H14507" s="397"/>
      <c r="I14507" s="397"/>
      <c r="J14507" s="750" t="e">
        <f t="shared" si="166"/>
        <v>#DIV/0!</v>
      </c>
      <c r="K14507" s="398"/>
      <c r="L14507" s="404"/>
      <c r="M14507" s="682"/>
    </row>
    <row r="14508" spans="5:13" hidden="1" x14ac:dyDescent="0.2">
      <c r="F14508" s="503" t="s">
        <v>250</v>
      </c>
      <c r="G14508" s="504" t="s">
        <v>57</v>
      </c>
      <c r="H14508" s="397"/>
      <c r="I14508" s="397"/>
      <c r="J14508" s="750" t="e">
        <f t="shared" si="166"/>
        <v>#DIV/0!</v>
      </c>
      <c r="K14508" s="398"/>
      <c r="L14508" s="404"/>
      <c r="M14508" s="682"/>
    </row>
    <row r="14509" spans="5:13" hidden="1" x14ac:dyDescent="0.2">
      <c r="F14509" s="503" t="s">
        <v>251</v>
      </c>
      <c r="G14509" s="504" t="s">
        <v>252</v>
      </c>
      <c r="H14509" s="397"/>
      <c r="I14509" s="397"/>
      <c r="J14509" s="750" t="e">
        <f t="shared" si="166"/>
        <v>#DIV/0!</v>
      </c>
      <c r="K14509" s="398"/>
      <c r="L14509" s="404"/>
      <c r="M14509" s="682"/>
    </row>
    <row r="14510" spans="5:13" hidden="1" x14ac:dyDescent="0.2">
      <c r="F14510" s="503" t="s">
        <v>253</v>
      </c>
      <c r="G14510" s="504" t="s">
        <v>254</v>
      </c>
      <c r="H14510" s="397"/>
      <c r="I14510" s="397"/>
      <c r="J14510" s="750" t="e">
        <f t="shared" si="166"/>
        <v>#DIV/0!</v>
      </c>
      <c r="K14510" s="398"/>
      <c r="L14510" s="404"/>
      <c r="M14510" s="682"/>
    </row>
    <row r="14511" spans="5:13" ht="25.5" hidden="1" x14ac:dyDescent="0.2">
      <c r="F14511" s="503" t="s">
        <v>255</v>
      </c>
      <c r="G14511" s="504" t="s">
        <v>256</v>
      </c>
      <c r="H14511" s="397"/>
      <c r="I14511" s="397"/>
      <c r="J14511" s="750" t="e">
        <f t="shared" si="166"/>
        <v>#DIV/0!</v>
      </c>
      <c r="K14511" s="398"/>
      <c r="L14511" s="404"/>
      <c r="M14511" s="682"/>
    </row>
    <row r="14512" spans="5:13" ht="25.5" hidden="1" x14ac:dyDescent="0.2">
      <c r="F14512" s="503" t="s">
        <v>257</v>
      </c>
      <c r="G14512" s="504" t="s">
        <v>258</v>
      </c>
      <c r="H14512" s="397"/>
      <c r="I14512" s="397"/>
      <c r="J14512" s="750" t="e">
        <f t="shared" si="166"/>
        <v>#DIV/0!</v>
      </c>
      <c r="K14512" s="398"/>
      <c r="L14512" s="404"/>
      <c r="M14512" s="682"/>
    </row>
    <row r="14513" spans="3:13" ht="25.5" hidden="1" x14ac:dyDescent="0.2">
      <c r="F14513" s="503" t="s">
        <v>259</v>
      </c>
      <c r="G14513" s="504" t="s">
        <v>260</v>
      </c>
      <c r="H14513" s="397"/>
      <c r="I14513" s="397"/>
      <c r="J14513" s="750" t="e">
        <f t="shared" si="166"/>
        <v>#DIV/0!</v>
      </c>
      <c r="K14513" s="398"/>
      <c r="L14513" s="404"/>
      <c r="M14513" s="682"/>
    </row>
    <row r="14514" spans="3:13" ht="25.5" hidden="1" x14ac:dyDescent="0.2">
      <c r="F14514" s="503" t="s">
        <v>261</v>
      </c>
      <c r="G14514" s="504" t="s">
        <v>262</v>
      </c>
      <c r="H14514" s="397"/>
      <c r="I14514" s="397"/>
      <c r="J14514" s="750" t="e">
        <f t="shared" si="166"/>
        <v>#DIV/0!</v>
      </c>
      <c r="K14514" s="398"/>
      <c r="L14514" s="404"/>
      <c r="M14514" s="682"/>
    </row>
    <row r="14515" spans="3:13" hidden="1" x14ac:dyDescent="0.2">
      <c r="F14515" s="503" t="s">
        <v>263</v>
      </c>
      <c r="G14515" s="504" t="s">
        <v>264</v>
      </c>
      <c r="H14515" s="403"/>
      <c r="I14515" s="403"/>
      <c r="J14515" s="750" t="e">
        <f t="shared" si="166"/>
        <v>#DIV/0!</v>
      </c>
      <c r="K14515" s="404"/>
      <c r="L14515" s="404"/>
      <c r="M14515" s="682"/>
    </row>
    <row r="14516" spans="3:13" ht="13.5" hidden="1" thickBot="1" x14ac:dyDescent="0.25">
      <c r="G14516" s="505" t="s">
        <v>4449</v>
      </c>
      <c r="H14516" s="405">
        <f>SUM(H14500:H14515)</f>
        <v>0</v>
      </c>
      <c r="I14516" s="405"/>
      <c r="J14516" s="750" t="e">
        <f t="shared" si="166"/>
        <v>#DIV/0!</v>
      </c>
      <c r="K14516" s="406">
        <f>SUM(K14501:K14515)</f>
        <v>0</v>
      </c>
      <c r="L14516" s="406"/>
      <c r="M14516" s="682"/>
    </row>
    <row r="14517" spans="3:13" ht="7.5" hidden="1" customHeight="1" x14ac:dyDescent="0.2">
      <c r="G14517" s="510"/>
      <c r="H14517" s="411"/>
      <c r="I14517" s="411"/>
      <c r="J14517" s="750" t="e">
        <f t="shared" si="166"/>
        <v>#DIV/0!</v>
      </c>
      <c r="K14517" s="412"/>
      <c r="L14517" s="412"/>
      <c r="M14517" s="682"/>
    </row>
    <row r="14518" spans="3:13" x14ac:dyDescent="0.2">
      <c r="C14518" s="489" t="s">
        <v>5161</v>
      </c>
      <c r="D14518" s="490"/>
      <c r="G14518" s="508" t="s">
        <v>5136</v>
      </c>
      <c r="H14518" s="397"/>
      <c r="I14518" s="397"/>
      <c r="J14518" s="750"/>
      <c r="K14518" s="398"/>
      <c r="L14518" s="398"/>
      <c r="M14518" s="682"/>
    </row>
    <row r="14519" spans="3:13" x14ac:dyDescent="0.2">
      <c r="C14519" s="489"/>
      <c r="D14519" s="492">
        <v>911</v>
      </c>
      <c r="E14519" s="492"/>
      <c r="F14519" s="492"/>
      <c r="G14519" s="493" t="s">
        <v>4333</v>
      </c>
      <c r="H14519" s="397"/>
      <c r="I14519" s="397"/>
      <c r="J14519" s="750"/>
      <c r="K14519" s="398"/>
      <c r="L14519" s="398"/>
      <c r="M14519" s="682"/>
    </row>
    <row r="14520" spans="3:13" hidden="1" x14ac:dyDescent="0.2">
      <c r="F14520" s="494">
        <v>411</v>
      </c>
      <c r="G14520" s="495" t="s">
        <v>4167</v>
      </c>
      <c r="H14520" s="397"/>
      <c r="I14520" s="397"/>
      <c r="J14520" s="750"/>
      <c r="K14520" s="398"/>
      <c r="L14520" s="398"/>
      <c r="M14520" s="682"/>
    </row>
    <row r="14521" spans="3:13" hidden="1" x14ac:dyDescent="0.2">
      <c r="F14521" s="494">
        <v>412</v>
      </c>
      <c r="G14521" s="496" t="s">
        <v>3764</v>
      </c>
      <c r="H14521" s="397"/>
      <c r="I14521" s="397"/>
      <c r="J14521" s="750"/>
      <c r="K14521" s="398"/>
      <c r="L14521" s="398"/>
      <c r="M14521" s="682"/>
    </row>
    <row r="14522" spans="3:13" hidden="1" x14ac:dyDescent="0.2">
      <c r="F14522" s="494">
        <v>413</v>
      </c>
      <c r="G14522" s="495" t="s">
        <v>4168</v>
      </c>
      <c r="H14522" s="397"/>
      <c r="I14522" s="397"/>
      <c r="J14522" s="750"/>
      <c r="K14522" s="398"/>
      <c r="L14522" s="398"/>
      <c r="M14522" s="682"/>
    </row>
    <row r="14523" spans="3:13" hidden="1" x14ac:dyDescent="0.2">
      <c r="F14523" s="494">
        <v>414</v>
      </c>
      <c r="G14523" s="495" t="s">
        <v>3767</v>
      </c>
      <c r="H14523" s="397"/>
      <c r="I14523" s="397"/>
      <c r="J14523" s="750"/>
      <c r="K14523" s="398"/>
      <c r="L14523" s="398"/>
      <c r="M14523" s="682"/>
    </row>
    <row r="14524" spans="3:13" hidden="1" x14ac:dyDescent="0.2">
      <c r="F14524" s="494">
        <v>415</v>
      </c>
      <c r="G14524" s="495" t="s">
        <v>4177</v>
      </c>
      <c r="H14524" s="397"/>
      <c r="I14524" s="397"/>
      <c r="J14524" s="750"/>
      <c r="K14524" s="398"/>
      <c r="L14524" s="398"/>
      <c r="M14524" s="682"/>
    </row>
    <row r="14525" spans="3:13" ht="25.5" hidden="1" x14ac:dyDescent="0.2">
      <c r="F14525" s="494">
        <v>416</v>
      </c>
      <c r="G14525" s="495" t="s">
        <v>4178</v>
      </c>
      <c r="H14525" s="397"/>
      <c r="I14525" s="397"/>
      <c r="J14525" s="750"/>
      <c r="K14525" s="398"/>
      <c r="L14525" s="398"/>
      <c r="M14525" s="682"/>
    </row>
    <row r="14526" spans="3:13" hidden="1" x14ac:dyDescent="0.2">
      <c r="F14526" s="494">
        <v>417</v>
      </c>
      <c r="G14526" s="495" t="s">
        <v>4179</v>
      </c>
      <c r="H14526" s="397"/>
      <c r="I14526" s="397"/>
      <c r="J14526" s="750"/>
      <c r="K14526" s="398"/>
      <c r="L14526" s="398"/>
      <c r="M14526" s="682"/>
    </row>
    <row r="14527" spans="3:13" hidden="1" x14ac:dyDescent="0.2">
      <c r="F14527" s="494">
        <v>418</v>
      </c>
      <c r="G14527" s="495" t="s">
        <v>3773</v>
      </c>
      <c r="H14527" s="397"/>
      <c r="I14527" s="397"/>
      <c r="J14527" s="750"/>
      <c r="K14527" s="398"/>
      <c r="L14527" s="398"/>
      <c r="M14527" s="682"/>
    </row>
    <row r="14528" spans="3:13" hidden="1" x14ac:dyDescent="0.2">
      <c r="F14528" s="494">
        <v>421</v>
      </c>
      <c r="G14528" s="495" t="s">
        <v>3777</v>
      </c>
      <c r="H14528" s="397"/>
      <c r="I14528" s="397"/>
      <c r="J14528" s="750"/>
      <c r="K14528" s="398"/>
      <c r="L14528" s="398"/>
      <c r="M14528" s="682"/>
    </row>
    <row r="14529" spans="6:13" hidden="1" x14ac:dyDescent="0.2">
      <c r="F14529" s="494">
        <v>422</v>
      </c>
      <c r="G14529" s="495" t="s">
        <v>3778</v>
      </c>
      <c r="H14529" s="397"/>
      <c r="I14529" s="397"/>
      <c r="J14529" s="750"/>
      <c r="K14529" s="398"/>
      <c r="L14529" s="398"/>
      <c r="M14529" s="682"/>
    </row>
    <row r="14530" spans="6:13" hidden="1" x14ac:dyDescent="0.2">
      <c r="F14530" s="494">
        <v>423</v>
      </c>
      <c r="G14530" s="495" t="s">
        <v>3779</v>
      </c>
      <c r="H14530" s="397"/>
      <c r="I14530" s="397"/>
      <c r="J14530" s="750"/>
      <c r="K14530" s="398"/>
      <c r="L14530" s="398"/>
      <c r="M14530" s="682"/>
    </row>
    <row r="14531" spans="6:13" hidden="1" x14ac:dyDescent="0.2">
      <c r="F14531" s="494">
        <v>424</v>
      </c>
      <c r="G14531" s="495" t="s">
        <v>3781</v>
      </c>
      <c r="H14531" s="397"/>
      <c r="I14531" s="397"/>
      <c r="J14531" s="750"/>
      <c r="K14531" s="398"/>
      <c r="L14531" s="398"/>
      <c r="M14531" s="682"/>
    </row>
    <row r="14532" spans="6:13" hidden="1" x14ac:dyDescent="0.2">
      <c r="F14532" s="494">
        <v>425</v>
      </c>
      <c r="G14532" s="495" t="s">
        <v>4180</v>
      </c>
      <c r="H14532" s="397"/>
      <c r="I14532" s="397"/>
      <c r="J14532" s="750"/>
      <c r="K14532" s="398"/>
      <c r="L14532" s="398"/>
      <c r="M14532" s="682"/>
    </row>
    <row r="14533" spans="6:13" hidden="1" x14ac:dyDescent="0.2">
      <c r="F14533" s="494">
        <v>426</v>
      </c>
      <c r="G14533" s="495" t="s">
        <v>3785</v>
      </c>
      <c r="H14533" s="397"/>
      <c r="I14533" s="397"/>
      <c r="J14533" s="750"/>
      <c r="K14533" s="398"/>
      <c r="L14533" s="398"/>
      <c r="M14533" s="682"/>
    </row>
    <row r="14534" spans="6:13" hidden="1" x14ac:dyDescent="0.2">
      <c r="F14534" s="494">
        <v>431</v>
      </c>
      <c r="G14534" s="495" t="s">
        <v>4181</v>
      </c>
      <c r="H14534" s="397"/>
      <c r="I14534" s="397"/>
      <c r="J14534" s="750"/>
      <c r="K14534" s="398"/>
      <c r="L14534" s="398"/>
      <c r="M14534" s="682"/>
    </row>
    <row r="14535" spans="6:13" hidden="1" x14ac:dyDescent="0.2">
      <c r="F14535" s="494">
        <v>432</v>
      </c>
      <c r="G14535" s="495" t="s">
        <v>4182</v>
      </c>
      <c r="H14535" s="397"/>
      <c r="I14535" s="397"/>
      <c r="J14535" s="750"/>
      <c r="K14535" s="398"/>
      <c r="L14535" s="398"/>
      <c r="M14535" s="682"/>
    </row>
    <row r="14536" spans="6:13" hidden="1" x14ac:dyDescent="0.2">
      <c r="F14536" s="494">
        <v>433</v>
      </c>
      <c r="G14536" s="495" t="s">
        <v>4183</v>
      </c>
      <c r="H14536" s="397"/>
      <c r="I14536" s="397"/>
      <c r="J14536" s="750"/>
      <c r="K14536" s="398"/>
      <c r="L14536" s="398"/>
      <c r="M14536" s="682"/>
    </row>
    <row r="14537" spans="6:13" hidden="1" x14ac:dyDescent="0.2">
      <c r="F14537" s="494">
        <v>434</v>
      </c>
      <c r="G14537" s="495" t="s">
        <v>4184</v>
      </c>
      <c r="H14537" s="397"/>
      <c r="I14537" s="397"/>
      <c r="J14537" s="750"/>
      <c r="K14537" s="398"/>
      <c r="L14537" s="398"/>
      <c r="M14537" s="682"/>
    </row>
    <row r="14538" spans="6:13" hidden="1" x14ac:dyDescent="0.2">
      <c r="F14538" s="494">
        <v>435</v>
      </c>
      <c r="G14538" s="495" t="s">
        <v>3792</v>
      </c>
      <c r="H14538" s="397"/>
      <c r="I14538" s="397"/>
      <c r="J14538" s="750"/>
      <c r="K14538" s="398"/>
      <c r="L14538" s="398"/>
      <c r="M14538" s="682"/>
    </row>
    <row r="14539" spans="6:13" hidden="1" x14ac:dyDescent="0.2">
      <c r="F14539" s="494">
        <v>441</v>
      </c>
      <c r="G14539" s="495" t="s">
        <v>4185</v>
      </c>
      <c r="H14539" s="397"/>
      <c r="I14539" s="397"/>
      <c r="J14539" s="750"/>
      <c r="K14539" s="398"/>
      <c r="L14539" s="398"/>
      <c r="M14539" s="682"/>
    </row>
    <row r="14540" spans="6:13" hidden="1" x14ac:dyDescent="0.2">
      <c r="F14540" s="494">
        <v>442</v>
      </c>
      <c r="G14540" s="495" t="s">
        <v>4186</v>
      </c>
      <c r="H14540" s="397"/>
      <c r="I14540" s="397"/>
      <c r="J14540" s="750"/>
      <c r="K14540" s="398"/>
      <c r="L14540" s="398"/>
      <c r="M14540" s="682"/>
    </row>
    <row r="14541" spans="6:13" hidden="1" x14ac:dyDescent="0.2">
      <c r="F14541" s="494">
        <v>443</v>
      </c>
      <c r="G14541" s="495" t="s">
        <v>3797</v>
      </c>
      <c r="H14541" s="397"/>
      <c r="I14541" s="397"/>
      <c r="J14541" s="750"/>
      <c r="K14541" s="398"/>
      <c r="L14541" s="398"/>
      <c r="M14541" s="682"/>
    </row>
    <row r="14542" spans="6:13" hidden="1" x14ac:dyDescent="0.2">
      <c r="F14542" s="494">
        <v>444</v>
      </c>
      <c r="G14542" s="495" t="s">
        <v>3798</v>
      </c>
      <c r="H14542" s="397"/>
      <c r="I14542" s="397"/>
      <c r="J14542" s="750"/>
      <c r="K14542" s="398"/>
      <c r="L14542" s="398"/>
      <c r="M14542" s="682"/>
    </row>
    <row r="14543" spans="6:13" ht="25.5" hidden="1" x14ac:dyDescent="0.2">
      <c r="F14543" s="494">
        <v>4511</v>
      </c>
      <c r="G14543" s="466" t="s">
        <v>1692</v>
      </c>
      <c r="H14543" s="397"/>
      <c r="I14543" s="397"/>
      <c r="J14543" s="750"/>
      <c r="K14543" s="398"/>
      <c r="L14543" s="398"/>
      <c r="M14543" s="682"/>
    </row>
    <row r="14544" spans="6:13" ht="25.5" hidden="1" x14ac:dyDescent="0.2">
      <c r="F14544" s="494">
        <v>4512</v>
      </c>
      <c r="G14544" s="466" t="s">
        <v>1701</v>
      </c>
      <c r="H14544" s="397"/>
      <c r="I14544" s="397"/>
      <c r="J14544" s="750"/>
      <c r="K14544" s="398"/>
      <c r="L14544" s="398"/>
      <c r="M14544" s="682"/>
    </row>
    <row r="14545" spans="6:13" ht="25.5" hidden="1" x14ac:dyDescent="0.2">
      <c r="F14545" s="494">
        <v>452</v>
      </c>
      <c r="G14545" s="495" t="s">
        <v>4187</v>
      </c>
      <c r="H14545" s="397"/>
      <c r="I14545" s="397"/>
      <c r="J14545" s="750"/>
      <c r="K14545" s="398"/>
      <c r="L14545" s="398"/>
      <c r="M14545" s="682"/>
    </row>
    <row r="14546" spans="6:13" ht="25.5" hidden="1" x14ac:dyDescent="0.2">
      <c r="F14546" s="494">
        <v>453</v>
      </c>
      <c r="G14546" s="495" t="s">
        <v>4188</v>
      </c>
      <c r="H14546" s="397"/>
      <c r="I14546" s="397"/>
      <c r="J14546" s="750"/>
      <c r="K14546" s="398"/>
      <c r="L14546" s="398"/>
      <c r="M14546" s="682"/>
    </row>
    <row r="14547" spans="6:13" hidden="1" x14ac:dyDescent="0.2">
      <c r="F14547" s="494">
        <v>454</v>
      </c>
      <c r="G14547" s="495" t="s">
        <v>3803</v>
      </c>
      <c r="H14547" s="397"/>
      <c r="I14547" s="397"/>
      <c r="J14547" s="750"/>
      <c r="K14547" s="398"/>
      <c r="L14547" s="398"/>
      <c r="M14547" s="682"/>
    </row>
    <row r="14548" spans="6:13" hidden="1" x14ac:dyDescent="0.2">
      <c r="F14548" s="494">
        <v>461</v>
      </c>
      <c r="G14548" s="495" t="s">
        <v>4169</v>
      </c>
      <c r="H14548" s="397"/>
      <c r="I14548" s="397"/>
      <c r="J14548" s="750"/>
      <c r="K14548" s="398"/>
      <c r="L14548" s="398"/>
      <c r="M14548" s="682"/>
    </row>
    <row r="14549" spans="6:13" ht="25.5" hidden="1" x14ac:dyDescent="0.2">
      <c r="F14549" s="494">
        <v>462</v>
      </c>
      <c r="G14549" s="495" t="s">
        <v>3806</v>
      </c>
      <c r="H14549" s="397"/>
      <c r="I14549" s="397"/>
      <c r="J14549" s="750"/>
      <c r="K14549" s="398"/>
      <c r="L14549" s="398"/>
      <c r="M14549" s="682"/>
    </row>
    <row r="14550" spans="6:13" hidden="1" x14ac:dyDescent="0.2">
      <c r="F14550" s="494">
        <v>4631</v>
      </c>
      <c r="G14550" s="495" t="s">
        <v>3807</v>
      </c>
      <c r="H14550" s="397"/>
      <c r="I14550" s="397"/>
      <c r="J14550" s="750"/>
      <c r="K14550" s="398"/>
      <c r="L14550" s="398"/>
      <c r="M14550" s="682"/>
    </row>
    <row r="14551" spans="6:13" hidden="1" x14ac:dyDescent="0.2">
      <c r="F14551" s="494">
        <v>4632</v>
      </c>
      <c r="G14551" s="495" t="s">
        <v>3808</v>
      </c>
      <c r="H14551" s="397"/>
      <c r="I14551" s="397"/>
      <c r="J14551" s="750"/>
      <c r="K14551" s="398"/>
      <c r="L14551" s="398"/>
      <c r="M14551" s="682"/>
    </row>
    <row r="14552" spans="6:13" ht="25.5" hidden="1" x14ac:dyDescent="0.2">
      <c r="F14552" s="494">
        <v>464</v>
      </c>
      <c r="G14552" s="495" t="s">
        <v>3809</v>
      </c>
      <c r="H14552" s="397"/>
      <c r="I14552" s="397"/>
      <c r="J14552" s="750"/>
      <c r="K14552" s="398"/>
      <c r="L14552" s="398"/>
      <c r="M14552" s="682"/>
    </row>
    <row r="14553" spans="6:13" hidden="1" x14ac:dyDescent="0.2">
      <c r="F14553" s="494">
        <v>465</v>
      </c>
      <c r="G14553" s="495" t="s">
        <v>4170</v>
      </c>
      <c r="H14553" s="397"/>
      <c r="I14553" s="397"/>
      <c r="J14553" s="750"/>
      <c r="K14553" s="398"/>
      <c r="L14553" s="398"/>
      <c r="M14553" s="682"/>
    </row>
    <row r="14554" spans="6:13" hidden="1" x14ac:dyDescent="0.2">
      <c r="F14554" s="494">
        <v>472</v>
      </c>
      <c r="G14554" s="495" t="s">
        <v>3813</v>
      </c>
      <c r="H14554" s="397"/>
      <c r="I14554" s="397"/>
      <c r="J14554" s="750"/>
      <c r="K14554" s="398"/>
      <c r="L14554" s="398"/>
      <c r="M14554" s="682"/>
    </row>
    <row r="14555" spans="6:13" hidden="1" x14ac:dyDescent="0.2">
      <c r="F14555" s="494">
        <v>481</v>
      </c>
      <c r="G14555" s="495" t="s">
        <v>4189</v>
      </c>
      <c r="H14555" s="397"/>
      <c r="I14555" s="397"/>
      <c r="J14555" s="750"/>
      <c r="K14555" s="398"/>
      <c r="L14555" s="398"/>
      <c r="M14555" s="682"/>
    </row>
    <row r="14556" spans="6:13" hidden="1" x14ac:dyDescent="0.2">
      <c r="F14556" s="494">
        <v>482</v>
      </c>
      <c r="G14556" s="495" t="s">
        <v>4190</v>
      </c>
      <c r="H14556" s="397"/>
      <c r="I14556" s="397"/>
      <c r="J14556" s="750"/>
      <c r="K14556" s="398"/>
      <c r="L14556" s="398"/>
      <c r="M14556" s="682"/>
    </row>
    <row r="14557" spans="6:13" hidden="1" x14ac:dyDescent="0.2">
      <c r="F14557" s="494">
        <v>483</v>
      </c>
      <c r="G14557" s="497" t="s">
        <v>4191</v>
      </c>
      <c r="H14557" s="397"/>
      <c r="I14557" s="397"/>
      <c r="J14557" s="750"/>
      <c r="K14557" s="398"/>
      <c r="L14557" s="398"/>
      <c r="M14557" s="682"/>
    </row>
    <row r="14558" spans="6:13" ht="38.25" hidden="1" x14ac:dyDescent="0.2">
      <c r="F14558" s="494">
        <v>484</v>
      </c>
      <c r="G14558" s="495" t="s">
        <v>4192</v>
      </c>
      <c r="H14558" s="397"/>
      <c r="I14558" s="397"/>
      <c r="J14558" s="750"/>
      <c r="K14558" s="398"/>
      <c r="L14558" s="398"/>
      <c r="M14558" s="682"/>
    </row>
    <row r="14559" spans="6:13" ht="25.5" hidden="1" x14ac:dyDescent="0.2">
      <c r="F14559" s="494">
        <v>485</v>
      </c>
      <c r="G14559" s="495" t="s">
        <v>4193</v>
      </c>
      <c r="H14559" s="397"/>
      <c r="I14559" s="397"/>
      <c r="J14559" s="750"/>
      <c r="K14559" s="398"/>
      <c r="L14559" s="398"/>
      <c r="M14559" s="682"/>
    </row>
    <row r="14560" spans="6:13" ht="25.5" hidden="1" x14ac:dyDescent="0.2">
      <c r="F14560" s="494">
        <v>489</v>
      </c>
      <c r="G14560" s="495" t="s">
        <v>3821</v>
      </c>
      <c r="H14560" s="397"/>
      <c r="I14560" s="397"/>
      <c r="J14560" s="750"/>
      <c r="K14560" s="398"/>
      <c r="L14560" s="398"/>
      <c r="M14560" s="682"/>
    </row>
    <row r="14561" spans="5:13" ht="25.5" hidden="1" x14ac:dyDescent="0.2">
      <c r="F14561" s="494">
        <v>494</v>
      </c>
      <c r="G14561" s="495" t="s">
        <v>4171</v>
      </c>
      <c r="H14561" s="397"/>
      <c r="I14561" s="397"/>
      <c r="J14561" s="750"/>
      <c r="K14561" s="398"/>
      <c r="L14561" s="398"/>
      <c r="M14561" s="682"/>
    </row>
    <row r="14562" spans="5:13" ht="25.5" hidden="1" x14ac:dyDescent="0.2">
      <c r="F14562" s="494">
        <v>495</v>
      </c>
      <c r="G14562" s="495" t="s">
        <v>4172</v>
      </c>
      <c r="H14562" s="397"/>
      <c r="I14562" s="397"/>
      <c r="J14562" s="750"/>
      <c r="K14562" s="398"/>
      <c r="L14562" s="398"/>
      <c r="M14562" s="682"/>
    </row>
    <row r="14563" spans="5:13" ht="38.25" hidden="1" x14ac:dyDescent="0.2">
      <c r="F14563" s="494">
        <v>496</v>
      </c>
      <c r="G14563" s="495" t="s">
        <v>4173</v>
      </c>
      <c r="H14563" s="397"/>
      <c r="I14563" s="397"/>
      <c r="J14563" s="750"/>
      <c r="K14563" s="398"/>
      <c r="L14563" s="398"/>
      <c r="M14563" s="682"/>
    </row>
    <row r="14564" spans="5:13" ht="25.5" hidden="1" x14ac:dyDescent="0.2">
      <c r="F14564" s="494">
        <v>499</v>
      </c>
      <c r="G14564" s="495" t="s">
        <v>4174</v>
      </c>
      <c r="H14564" s="397"/>
      <c r="I14564" s="397"/>
      <c r="J14564" s="750"/>
      <c r="K14564" s="398"/>
      <c r="L14564" s="398"/>
      <c r="M14564" s="682"/>
    </row>
    <row r="14565" spans="5:13" ht="13.5" thickBot="1" x14ac:dyDescent="0.25">
      <c r="E14565" s="464">
        <v>133</v>
      </c>
      <c r="F14565" s="494">
        <v>511</v>
      </c>
      <c r="G14565" s="497" t="s">
        <v>4194</v>
      </c>
      <c r="H14565" s="397"/>
      <c r="I14565" s="397"/>
      <c r="J14565" s="750"/>
      <c r="K14565" s="398">
        <v>280000</v>
      </c>
      <c r="L14565" s="398"/>
      <c r="M14565" s="682"/>
    </row>
    <row r="14566" spans="5:13" ht="13.5" hidden="1" thickBot="1" x14ac:dyDescent="0.25">
      <c r="F14566" s="494">
        <v>512</v>
      </c>
      <c r="G14566" s="497" t="s">
        <v>4195</v>
      </c>
      <c r="H14566" s="397"/>
      <c r="I14566" s="397"/>
      <c r="J14566" s="750"/>
      <c r="K14566" s="398"/>
      <c r="L14566" s="398"/>
      <c r="M14566" s="682"/>
    </row>
    <row r="14567" spans="5:13" ht="13.5" hidden="1" thickBot="1" x14ac:dyDescent="0.25">
      <c r="F14567" s="494">
        <v>513</v>
      </c>
      <c r="G14567" s="497" t="s">
        <v>4196</v>
      </c>
      <c r="H14567" s="397"/>
      <c r="I14567" s="397"/>
      <c r="J14567" s="750"/>
      <c r="K14567" s="398"/>
      <c r="L14567" s="398"/>
      <c r="M14567" s="682"/>
    </row>
    <row r="14568" spans="5:13" ht="13.5" hidden="1" thickBot="1" x14ac:dyDescent="0.25">
      <c r="F14568" s="494">
        <v>514</v>
      </c>
      <c r="G14568" s="495" t="s">
        <v>4197</v>
      </c>
      <c r="H14568" s="397"/>
      <c r="I14568" s="397"/>
      <c r="J14568" s="750"/>
      <c r="K14568" s="398"/>
      <c r="L14568" s="398"/>
      <c r="M14568" s="682"/>
    </row>
    <row r="14569" spans="5:13" ht="13.5" hidden="1" thickBot="1" x14ac:dyDescent="0.25">
      <c r="F14569" s="494">
        <v>515</v>
      </c>
      <c r="G14569" s="495" t="s">
        <v>3832</v>
      </c>
      <c r="H14569" s="397"/>
      <c r="I14569" s="397"/>
      <c r="J14569" s="750"/>
      <c r="K14569" s="398"/>
      <c r="L14569" s="398"/>
      <c r="M14569" s="682"/>
    </row>
    <row r="14570" spans="5:13" ht="13.5" hidden="1" thickBot="1" x14ac:dyDescent="0.25">
      <c r="F14570" s="494">
        <v>521</v>
      </c>
      <c r="G14570" s="495" t="s">
        <v>4198</v>
      </c>
      <c r="H14570" s="397"/>
      <c r="I14570" s="397"/>
      <c r="J14570" s="750"/>
      <c r="K14570" s="398"/>
      <c r="L14570" s="398"/>
      <c r="M14570" s="682"/>
    </row>
    <row r="14571" spans="5:13" ht="13.5" hidden="1" thickBot="1" x14ac:dyDescent="0.25">
      <c r="F14571" s="494">
        <v>522</v>
      </c>
      <c r="G14571" s="495" t="s">
        <v>4199</v>
      </c>
      <c r="H14571" s="397"/>
      <c r="I14571" s="397"/>
      <c r="J14571" s="750"/>
      <c r="K14571" s="398"/>
      <c r="L14571" s="398"/>
      <c r="M14571" s="682"/>
    </row>
    <row r="14572" spans="5:13" ht="13.5" hidden="1" thickBot="1" x14ac:dyDescent="0.25">
      <c r="F14572" s="494">
        <v>523</v>
      </c>
      <c r="G14572" s="495" t="s">
        <v>3837</v>
      </c>
      <c r="H14572" s="397"/>
      <c r="I14572" s="397"/>
      <c r="J14572" s="750"/>
      <c r="K14572" s="398"/>
      <c r="L14572" s="398"/>
      <c r="M14572" s="682"/>
    </row>
    <row r="14573" spans="5:13" ht="13.5" hidden="1" thickBot="1" x14ac:dyDescent="0.25">
      <c r="F14573" s="494">
        <v>531</v>
      </c>
      <c r="G14573" s="496" t="s">
        <v>4175</v>
      </c>
      <c r="H14573" s="397"/>
      <c r="I14573" s="397"/>
      <c r="J14573" s="750"/>
      <c r="K14573" s="398"/>
      <c r="L14573" s="398"/>
      <c r="M14573" s="682"/>
    </row>
    <row r="14574" spans="5:13" ht="13.5" hidden="1" thickBot="1" x14ac:dyDescent="0.25">
      <c r="F14574" s="494">
        <v>541</v>
      </c>
      <c r="G14574" s="495" t="s">
        <v>4200</v>
      </c>
      <c r="H14574" s="397"/>
      <c r="I14574" s="397"/>
      <c r="J14574" s="750"/>
      <c r="K14574" s="398"/>
      <c r="L14574" s="398"/>
      <c r="M14574" s="682"/>
    </row>
    <row r="14575" spans="5:13" ht="13.5" hidden="1" thickBot="1" x14ac:dyDescent="0.25">
      <c r="F14575" s="494">
        <v>542</v>
      </c>
      <c r="G14575" s="495" t="s">
        <v>4201</v>
      </c>
      <c r="H14575" s="397"/>
      <c r="I14575" s="397"/>
      <c r="J14575" s="750"/>
      <c r="K14575" s="398"/>
      <c r="L14575" s="398"/>
      <c r="M14575" s="682"/>
    </row>
    <row r="14576" spans="5:13" ht="13.5" hidden="1" thickBot="1" x14ac:dyDescent="0.25">
      <c r="F14576" s="494">
        <v>543</v>
      </c>
      <c r="G14576" s="495" t="s">
        <v>3842</v>
      </c>
      <c r="H14576" s="397"/>
      <c r="I14576" s="397"/>
      <c r="J14576" s="750"/>
      <c r="K14576" s="398"/>
      <c r="L14576" s="398"/>
      <c r="M14576" s="682"/>
    </row>
    <row r="14577" spans="5:13" ht="39" hidden="1" thickBot="1" x14ac:dyDescent="0.25">
      <c r="F14577" s="494">
        <v>551</v>
      </c>
      <c r="G14577" s="495" t="s">
        <v>4176</v>
      </c>
      <c r="H14577" s="397"/>
      <c r="I14577" s="397"/>
      <c r="J14577" s="750"/>
      <c r="K14577" s="398"/>
      <c r="L14577" s="398"/>
      <c r="M14577" s="682"/>
    </row>
    <row r="14578" spans="5:13" ht="13.5" hidden="1" thickBot="1" x14ac:dyDescent="0.25">
      <c r="F14578" s="498">
        <v>611</v>
      </c>
      <c r="G14578" s="499" t="s">
        <v>3848</v>
      </c>
      <c r="H14578" s="397"/>
      <c r="I14578" s="397"/>
      <c r="J14578" s="750"/>
      <c r="K14578" s="398"/>
      <c r="L14578" s="398"/>
      <c r="M14578" s="682"/>
    </row>
    <row r="14579" spans="5:13" ht="13.5" hidden="1" thickBot="1" x14ac:dyDescent="0.25">
      <c r="F14579" s="498">
        <v>620</v>
      </c>
      <c r="G14579" s="499" t="s">
        <v>88</v>
      </c>
      <c r="H14579" s="397"/>
      <c r="I14579" s="397"/>
      <c r="J14579" s="750"/>
      <c r="K14579" s="398"/>
      <c r="L14579" s="398"/>
      <c r="M14579" s="682"/>
    </row>
    <row r="14580" spans="5:13" x14ac:dyDescent="0.2">
      <c r="E14580" s="500"/>
      <c r="F14580" s="498"/>
      <c r="G14580" s="509" t="s">
        <v>4444</v>
      </c>
      <c r="H14580" s="400"/>
      <c r="I14580" s="400"/>
      <c r="J14580" s="750"/>
      <c r="K14580" s="401"/>
      <c r="L14580" s="402"/>
      <c r="M14580" s="682"/>
    </row>
    <row r="14581" spans="5:13" hidden="1" x14ac:dyDescent="0.2">
      <c r="E14581" s="502"/>
      <c r="F14581" s="503" t="s">
        <v>234</v>
      </c>
      <c r="G14581" s="504" t="s">
        <v>235</v>
      </c>
      <c r="H14581" s="403">
        <f>SUM(H14565)</f>
        <v>0</v>
      </c>
      <c r="I14581" s="403"/>
      <c r="J14581" s="750"/>
      <c r="K14581" s="404"/>
      <c r="L14581" s="404"/>
      <c r="M14581" s="682"/>
    </row>
    <row r="14582" spans="5:13" hidden="1" x14ac:dyDescent="0.2">
      <c r="F14582" s="503" t="s">
        <v>236</v>
      </c>
      <c r="G14582" s="504" t="s">
        <v>237</v>
      </c>
      <c r="H14582" s="397"/>
      <c r="I14582" s="397"/>
      <c r="J14582" s="750"/>
      <c r="K14582" s="398"/>
      <c r="L14582" s="404"/>
      <c r="M14582" s="682"/>
    </row>
    <row r="14583" spans="5:13" hidden="1" x14ac:dyDescent="0.2">
      <c r="F14583" s="503" t="s">
        <v>238</v>
      </c>
      <c r="G14583" s="504" t="s">
        <v>239</v>
      </c>
      <c r="H14583" s="397"/>
      <c r="I14583" s="397"/>
      <c r="J14583" s="750"/>
      <c r="K14583" s="398"/>
      <c r="L14583" s="404"/>
      <c r="M14583" s="682"/>
    </row>
    <row r="14584" spans="5:13" x14ac:dyDescent="0.2">
      <c r="F14584" s="503" t="s">
        <v>240</v>
      </c>
      <c r="G14584" s="504" t="s">
        <v>241</v>
      </c>
      <c r="H14584" s="397"/>
      <c r="I14584" s="397"/>
      <c r="J14584" s="750"/>
      <c r="K14584" s="398">
        <v>80000</v>
      </c>
      <c r="L14584" s="404"/>
      <c r="M14584" s="682"/>
    </row>
    <row r="14585" spans="5:13" hidden="1" x14ac:dyDescent="0.2">
      <c r="F14585" s="503" t="s">
        <v>242</v>
      </c>
      <c r="G14585" s="504" t="s">
        <v>243</v>
      </c>
      <c r="H14585" s="397"/>
      <c r="I14585" s="397"/>
      <c r="J14585" s="750"/>
      <c r="K14585" s="398"/>
      <c r="L14585" s="404"/>
      <c r="M14585" s="682"/>
    </row>
    <row r="14586" spans="5:13" hidden="1" x14ac:dyDescent="0.2">
      <c r="F14586" s="503" t="s">
        <v>244</v>
      </c>
      <c r="G14586" s="504" t="s">
        <v>245</v>
      </c>
      <c r="H14586" s="397"/>
      <c r="I14586" s="397"/>
      <c r="J14586" s="750"/>
      <c r="K14586" s="398"/>
      <c r="L14586" s="404"/>
      <c r="M14586" s="682"/>
    </row>
    <row r="14587" spans="5:13" ht="13.5" thickBot="1" x14ac:dyDescent="0.25">
      <c r="F14587" s="503" t="s">
        <v>246</v>
      </c>
      <c r="G14587" s="504" t="s">
        <v>247</v>
      </c>
      <c r="H14587" s="397"/>
      <c r="I14587" s="397"/>
      <c r="J14587" s="750"/>
      <c r="K14587" s="398">
        <v>200000</v>
      </c>
      <c r="L14587" s="404"/>
      <c r="M14587" s="682"/>
    </row>
    <row r="14588" spans="5:13" ht="26.25" hidden="1" thickBot="1" x14ac:dyDescent="0.25">
      <c r="F14588" s="503" t="s">
        <v>248</v>
      </c>
      <c r="G14588" s="504" t="s">
        <v>249</v>
      </c>
      <c r="H14588" s="397"/>
      <c r="I14588" s="397"/>
      <c r="J14588" s="750"/>
      <c r="K14588" s="398"/>
      <c r="L14588" s="404"/>
      <c r="M14588" s="682"/>
    </row>
    <row r="14589" spans="5:13" ht="13.5" hidden="1" thickBot="1" x14ac:dyDescent="0.25">
      <c r="F14589" s="503" t="s">
        <v>250</v>
      </c>
      <c r="G14589" s="504" t="s">
        <v>57</v>
      </c>
      <c r="H14589" s="397"/>
      <c r="I14589" s="397"/>
      <c r="J14589" s="750"/>
      <c r="K14589" s="398"/>
      <c r="L14589" s="404"/>
      <c r="M14589" s="682"/>
    </row>
    <row r="14590" spans="5:13" ht="13.5" hidden="1" thickBot="1" x14ac:dyDescent="0.25">
      <c r="F14590" s="503" t="s">
        <v>251</v>
      </c>
      <c r="G14590" s="504" t="s">
        <v>252</v>
      </c>
      <c r="H14590" s="397"/>
      <c r="I14590" s="397"/>
      <c r="J14590" s="750"/>
      <c r="K14590" s="398"/>
      <c r="L14590" s="404"/>
      <c r="M14590" s="682"/>
    </row>
    <row r="14591" spans="5:13" ht="13.5" hidden="1" thickBot="1" x14ac:dyDescent="0.25">
      <c r="F14591" s="503" t="s">
        <v>253</v>
      </c>
      <c r="G14591" s="504" t="s">
        <v>254</v>
      </c>
      <c r="H14591" s="397"/>
      <c r="I14591" s="397"/>
      <c r="J14591" s="750"/>
      <c r="K14591" s="398"/>
      <c r="L14591" s="404"/>
      <c r="M14591" s="682"/>
    </row>
    <row r="14592" spans="5:13" ht="26.25" hidden="1" thickBot="1" x14ac:dyDescent="0.25">
      <c r="F14592" s="503" t="s">
        <v>255</v>
      </c>
      <c r="G14592" s="504" t="s">
        <v>256</v>
      </c>
      <c r="H14592" s="397"/>
      <c r="I14592" s="397"/>
      <c r="J14592" s="750"/>
      <c r="K14592" s="398"/>
      <c r="L14592" s="404"/>
      <c r="M14592" s="682"/>
    </row>
    <row r="14593" spans="5:13" ht="26.25" hidden="1" thickBot="1" x14ac:dyDescent="0.25">
      <c r="F14593" s="503" t="s">
        <v>257</v>
      </c>
      <c r="G14593" s="504" t="s">
        <v>258</v>
      </c>
      <c r="H14593" s="397"/>
      <c r="I14593" s="397"/>
      <c r="J14593" s="750"/>
      <c r="K14593" s="398"/>
      <c r="L14593" s="404"/>
      <c r="M14593" s="682"/>
    </row>
    <row r="14594" spans="5:13" ht="26.25" hidden="1" thickBot="1" x14ac:dyDescent="0.25">
      <c r="F14594" s="503" t="s">
        <v>259</v>
      </c>
      <c r="G14594" s="504" t="s">
        <v>260</v>
      </c>
      <c r="H14594" s="397"/>
      <c r="I14594" s="397"/>
      <c r="J14594" s="750"/>
      <c r="K14594" s="398"/>
      <c r="L14594" s="404"/>
      <c r="M14594" s="682"/>
    </row>
    <row r="14595" spans="5:13" ht="26.25" hidden="1" thickBot="1" x14ac:dyDescent="0.25">
      <c r="F14595" s="503" t="s">
        <v>261</v>
      </c>
      <c r="G14595" s="504" t="s">
        <v>262</v>
      </c>
      <c r="H14595" s="397"/>
      <c r="I14595" s="397"/>
      <c r="J14595" s="750"/>
      <c r="K14595" s="398"/>
      <c r="L14595" s="404"/>
      <c r="M14595" s="682"/>
    </row>
    <row r="14596" spans="5:13" ht="13.5" hidden="1" thickBot="1" x14ac:dyDescent="0.25">
      <c r="F14596" s="503" t="s">
        <v>263</v>
      </c>
      <c r="G14596" s="504" t="s">
        <v>264</v>
      </c>
      <c r="H14596" s="403"/>
      <c r="I14596" s="403"/>
      <c r="J14596" s="750"/>
      <c r="K14596" s="404"/>
      <c r="L14596" s="404"/>
      <c r="M14596" s="682"/>
    </row>
    <row r="14597" spans="5:13" ht="13.5" thickBot="1" x14ac:dyDescent="0.25">
      <c r="G14597" s="505" t="s">
        <v>4445</v>
      </c>
      <c r="H14597" s="405">
        <f>SUM(H14581:H14596)</f>
        <v>0</v>
      </c>
      <c r="I14597" s="405"/>
      <c r="J14597" s="750"/>
      <c r="K14597" s="406">
        <f>SUM(K14582:K14596)</f>
        <v>280000</v>
      </c>
      <c r="L14597" s="406"/>
      <c r="M14597" s="682"/>
    </row>
    <row r="14598" spans="5:13" x14ac:dyDescent="0.2">
      <c r="E14598" s="500"/>
      <c r="F14598" s="498"/>
      <c r="G14598" s="506" t="s">
        <v>5162</v>
      </c>
      <c r="H14598" s="407"/>
      <c r="I14598" s="408"/>
      <c r="J14598" s="750"/>
      <c r="K14598" s="409"/>
      <c r="L14598" s="410"/>
      <c r="M14598" s="682"/>
    </row>
    <row r="14599" spans="5:13" hidden="1" x14ac:dyDescent="0.2">
      <c r="E14599" s="502"/>
      <c r="F14599" s="503" t="s">
        <v>234</v>
      </c>
      <c r="G14599" s="504" t="s">
        <v>235</v>
      </c>
      <c r="H14599" s="403">
        <f>SUM(H14521:H14579)</f>
        <v>0</v>
      </c>
      <c r="I14599" s="403"/>
      <c r="J14599" s="750"/>
      <c r="K14599" s="404"/>
      <c r="L14599" s="404"/>
      <c r="M14599" s="682"/>
    </row>
    <row r="14600" spans="5:13" hidden="1" x14ac:dyDescent="0.2">
      <c r="F14600" s="503" t="s">
        <v>236</v>
      </c>
      <c r="G14600" s="504" t="s">
        <v>237</v>
      </c>
      <c r="H14600" s="397"/>
      <c r="I14600" s="397"/>
      <c r="J14600" s="750"/>
      <c r="K14600" s="398"/>
      <c r="L14600" s="404"/>
      <c r="M14600" s="682"/>
    </row>
    <row r="14601" spans="5:13" hidden="1" x14ac:dyDescent="0.2">
      <c r="F14601" s="503" t="s">
        <v>238</v>
      </c>
      <c r="G14601" s="504" t="s">
        <v>239</v>
      </c>
      <c r="H14601" s="397"/>
      <c r="I14601" s="397"/>
      <c r="J14601" s="750"/>
      <c r="K14601" s="398"/>
      <c r="L14601" s="404"/>
      <c r="M14601" s="682"/>
    </row>
    <row r="14602" spans="5:13" x14ac:dyDescent="0.2">
      <c r="F14602" s="503" t="s">
        <v>240</v>
      </c>
      <c r="G14602" s="504" t="s">
        <v>241</v>
      </c>
      <c r="H14602" s="397"/>
      <c r="I14602" s="397"/>
      <c r="J14602" s="750"/>
      <c r="K14602" s="398">
        <v>80000</v>
      </c>
      <c r="L14602" s="404"/>
      <c r="M14602" s="682"/>
    </row>
    <row r="14603" spans="5:13" hidden="1" x14ac:dyDescent="0.2">
      <c r="F14603" s="503" t="s">
        <v>242</v>
      </c>
      <c r="G14603" s="504" t="s">
        <v>243</v>
      </c>
      <c r="H14603" s="397"/>
      <c r="I14603" s="397"/>
      <c r="J14603" s="750"/>
      <c r="K14603" s="398"/>
      <c r="L14603" s="404"/>
      <c r="M14603" s="682"/>
    </row>
    <row r="14604" spans="5:13" hidden="1" x14ac:dyDescent="0.2">
      <c r="F14604" s="503" t="s">
        <v>244</v>
      </c>
      <c r="G14604" s="504" t="s">
        <v>245</v>
      </c>
      <c r="H14604" s="397"/>
      <c r="I14604" s="397"/>
      <c r="J14604" s="750"/>
      <c r="K14604" s="398"/>
      <c r="L14604" s="404"/>
      <c r="M14604" s="682"/>
    </row>
    <row r="14605" spans="5:13" ht="13.5" thickBot="1" x14ac:dyDescent="0.25">
      <c r="F14605" s="503" t="s">
        <v>246</v>
      </c>
      <c r="G14605" s="504" t="s">
        <v>247</v>
      </c>
      <c r="H14605" s="397"/>
      <c r="I14605" s="397"/>
      <c r="J14605" s="750"/>
      <c r="K14605" s="398">
        <v>200000</v>
      </c>
      <c r="L14605" s="404"/>
      <c r="M14605" s="682"/>
    </row>
    <row r="14606" spans="5:13" ht="26.25" hidden="1" thickBot="1" x14ac:dyDescent="0.25">
      <c r="F14606" s="503" t="s">
        <v>248</v>
      </c>
      <c r="G14606" s="504" t="s">
        <v>249</v>
      </c>
      <c r="H14606" s="397"/>
      <c r="I14606" s="397"/>
      <c r="J14606" s="750"/>
      <c r="K14606" s="398"/>
      <c r="L14606" s="404"/>
      <c r="M14606" s="682"/>
    </row>
    <row r="14607" spans="5:13" ht="13.5" hidden="1" thickBot="1" x14ac:dyDescent="0.25">
      <c r="F14607" s="503" t="s">
        <v>250</v>
      </c>
      <c r="G14607" s="504" t="s">
        <v>57</v>
      </c>
      <c r="H14607" s="397"/>
      <c r="I14607" s="397"/>
      <c r="J14607" s="750"/>
      <c r="K14607" s="398"/>
      <c r="L14607" s="404"/>
      <c r="M14607" s="682"/>
    </row>
    <row r="14608" spans="5:13" ht="13.5" hidden="1" thickBot="1" x14ac:dyDescent="0.25">
      <c r="F14608" s="503" t="s">
        <v>251</v>
      </c>
      <c r="G14608" s="504" t="s">
        <v>252</v>
      </c>
      <c r="H14608" s="397"/>
      <c r="I14608" s="397"/>
      <c r="J14608" s="750"/>
      <c r="K14608" s="398"/>
      <c r="L14608" s="404"/>
      <c r="M14608" s="682"/>
    </row>
    <row r="14609" spans="3:13" ht="13.5" hidden="1" thickBot="1" x14ac:dyDescent="0.25">
      <c r="F14609" s="503" t="s">
        <v>253</v>
      </c>
      <c r="G14609" s="504" t="s">
        <v>254</v>
      </c>
      <c r="H14609" s="397"/>
      <c r="I14609" s="397"/>
      <c r="J14609" s="750"/>
      <c r="K14609" s="398"/>
      <c r="L14609" s="404"/>
      <c r="M14609" s="682"/>
    </row>
    <row r="14610" spans="3:13" ht="26.25" hidden="1" thickBot="1" x14ac:dyDescent="0.25">
      <c r="F14610" s="503" t="s">
        <v>255</v>
      </c>
      <c r="G14610" s="504" t="s">
        <v>256</v>
      </c>
      <c r="H14610" s="397"/>
      <c r="I14610" s="397"/>
      <c r="J14610" s="750"/>
      <c r="K14610" s="398"/>
      <c r="L14610" s="404"/>
      <c r="M14610" s="682"/>
    </row>
    <row r="14611" spans="3:13" ht="26.25" hidden="1" thickBot="1" x14ac:dyDescent="0.25">
      <c r="F14611" s="503" t="s">
        <v>257</v>
      </c>
      <c r="G14611" s="504" t="s">
        <v>258</v>
      </c>
      <c r="H14611" s="397"/>
      <c r="I14611" s="397"/>
      <c r="J14611" s="750"/>
      <c r="K14611" s="398"/>
      <c r="L14611" s="404"/>
      <c r="M14611" s="682"/>
    </row>
    <row r="14612" spans="3:13" ht="26.25" hidden="1" thickBot="1" x14ac:dyDescent="0.25">
      <c r="F14612" s="503" t="s">
        <v>259</v>
      </c>
      <c r="G14612" s="504" t="s">
        <v>260</v>
      </c>
      <c r="H14612" s="397"/>
      <c r="I14612" s="397"/>
      <c r="J14612" s="750"/>
      <c r="K14612" s="398"/>
      <c r="L14612" s="404"/>
      <c r="M14612" s="682"/>
    </row>
    <row r="14613" spans="3:13" ht="26.25" hidden="1" thickBot="1" x14ac:dyDescent="0.25">
      <c r="F14613" s="503" t="s">
        <v>261</v>
      </c>
      <c r="G14613" s="504" t="s">
        <v>262</v>
      </c>
      <c r="H14613" s="397"/>
      <c r="I14613" s="397"/>
      <c r="J14613" s="750"/>
      <c r="K14613" s="398"/>
      <c r="L14613" s="404"/>
      <c r="M14613" s="682"/>
    </row>
    <row r="14614" spans="3:13" ht="13.5" hidden="1" thickBot="1" x14ac:dyDescent="0.25">
      <c r="F14614" s="503" t="s">
        <v>263</v>
      </c>
      <c r="G14614" s="504" t="s">
        <v>264</v>
      </c>
      <c r="H14614" s="403"/>
      <c r="I14614" s="403"/>
      <c r="J14614" s="750"/>
      <c r="K14614" s="404"/>
      <c r="L14614" s="404"/>
      <c r="M14614" s="682"/>
    </row>
    <row r="14615" spans="3:13" ht="13.5" thickBot="1" x14ac:dyDescent="0.25">
      <c r="G14615" s="505" t="s">
        <v>5163</v>
      </c>
      <c r="H14615" s="405">
        <f>SUM(H14599:H14614)</f>
        <v>0</v>
      </c>
      <c r="I14615" s="405"/>
      <c r="J14615" s="750"/>
      <c r="K14615" s="406">
        <f>SUM(K14602:K14605)</f>
        <v>280000</v>
      </c>
      <c r="L14615" s="406"/>
      <c r="M14615" s="682"/>
    </row>
    <row r="14616" spans="3:13" hidden="1" x14ac:dyDescent="0.2">
      <c r="C14616" s="651"/>
      <c r="D14616" s="626"/>
      <c r="E14616" s="626"/>
      <c r="F14616" s="626"/>
      <c r="G14616" s="652"/>
      <c r="H14616" s="453"/>
      <c r="I14616" s="453"/>
      <c r="J14616" s="750"/>
      <c r="K14616" s="423"/>
      <c r="L14616" s="423"/>
      <c r="M14616" s="682"/>
    </row>
    <row r="14617" spans="3:13" x14ac:dyDescent="0.2">
      <c r="E14617" s="500"/>
      <c r="F14617" s="498"/>
      <c r="G14617" s="511" t="s">
        <v>5164</v>
      </c>
      <c r="H14617" s="413"/>
      <c r="I14617" s="413"/>
      <c r="J14617" s="750"/>
      <c r="K14617" s="414"/>
      <c r="L14617" s="415"/>
      <c r="M14617" s="682"/>
    </row>
    <row r="14618" spans="3:13" x14ac:dyDescent="0.2">
      <c r="E14618" s="502"/>
      <c r="F14618" s="503" t="s">
        <v>234</v>
      </c>
      <c r="G14618" s="504" t="s">
        <v>235</v>
      </c>
      <c r="H14618" s="403">
        <f>SUM(H14363)</f>
        <v>17864000</v>
      </c>
      <c r="I14618" s="403">
        <f>SUM(I14379)</f>
        <v>16297753.660000002</v>
      </c>
      <c r="J14618" s="750">
        <f t="shared" ref="J14618:J14669" si="167">SUM(I14618/H14618)*100</f>
        <v>91.232387259292452</v>
      </c>
      <c r="K14618" s="404"/>
      <c r="L14618" s="404"/>
      <c r="M14618" s="682"/>
    </row>
    <row r="14619" spans="3:13" hidden="1" x14ac:dyDescent="0.2">
      <c r="F14619" s="503" t="s">
        <v>236</v>
      </c>
      <c r="G14619" s="504" t="s">
        <v>237</v>
      </c>
      <c r="H14619" s="397"/>
      <c r="I14619" s="397"/>
      <c r="J14619" s="750" t="e">
        <f t="shared" si="167"/>
        <v>#DIV/0!</v>
      </c>
      <c r="K14619" s="398"/>
      <c r="L14619" s="404"/>
      <c r="M14619" s="682"/>
    </row>
    <row r="14620" spans="3:13" hidden="1" x14ac:dyDescent="0.2">
      <c r="F14620" s="503" t="s">
        <v>238</v>
      </c>
      <c r="G14620" s="504" t="s">
        <v>239</v>
      </c>
      <c r="H14620" s="397"/>
      <c r="I14620" s="397"/>
      <c r="J14620" s="750" t="e">
        <f t="shared" si="167"/>
        <v>#DIV/0!</v>
      </c>
      <c r="K14620" s="398"/>
      <c r="L14620" s="404"/>
      <c r="M14620" s="682"/>
    </row>
    <row r="14621" spans="3:13" x14ac:dyDescent="0.2">
      <c r="F14621" s="503" t="s">
        <v>240</v>
      </c>
      <c r="G14621" s="504" t="s">
        <v>241</v>
      </c>
      <c r="H14621" s="397"/>
      <c r="I14621" s="397"/>
      <c r="J14621" s="750"/>
      <c r="K14621" s="398">
        <f>SUM(K14602,K14366)</f>
        <v>5791884</v>
      </c>
      <c r="L14621" s="404">
        <v>3774356.66</v>
      </c>
      <c r="M14621" s="682"/>
    </row>
    <row r="14622" spans="3:13" hidden="1" x14ac:dyDescent="0.2">
      <c r="F14622" s="503" t="s">
        <v>242</v>
      </c>
      <c r="G14622" s="504" t="s">
        <v>243</v>
      </c>
      <c r="H14622" s="397"/>
      <c r="I14622" s="397"/>
      <c r="J14622" s="750"/>
      <c r="K14622" s="398"/>
      <c r="L14622" s="404"/>
      <c r="M14622" s="682"/>
    </row>
    <row r="14623" spans="3:13" hidden="1" x14ac:dyDescent="0.2">
      <c r="F14623" s="503" t="s">
        <v>244</v>
      </c>
      <c r="G14623" s="504" t="s">
        <v>245</v>
      </c>
      <c r="H14623" s="397"/>
      <c r="I14623" s="397"/>
      <c r="J14623" s="750"/>
      <c r="K14623" s="398"/>
      <c r="L14623" s="404"/>
      <c r="M14623" s="682"/>
    </row>
    <row r="14624" spans="3:13" ht="13.5" thickBot="1" x14ac:dyDescent="0.25">
      <c r="F14624" s="503" t="s">
        <v>246</v>
      </c>
      <c r="G14624" s="504" t="s">
        <v>247</v>
      </c>
      <c r="H14624" s="397"/>
      <c r="I14624" s="397"/>
      <c r="J14624" s="750"/>
      <c r="K14624" s="398">
        <v>4894216</v>
      </c>
      <c r="L14624" s="404">
        <v>6211992.71</v>
      </c>
      <c r="M14624" s="682"/>
    </row>
    <row r="14625" spans="5:13" ht="26.25" hidden="1" thickBot="1" x14ac:dyDescent="0.25">
      <c r="F14625" s="503" t="s">
        <v>248</v>
      </c>
      <c r="G14625" s="504" t="s">
        <v>249</v>
      </c>
      <c r="H14625" s="397"/>
      <c r="I14625" s="397"/>
      <c r="J14625" s="750" t="e">
        <f t="shared" si="167"/>
        <v>#DIV/0!</v>
      </c>
      <c r="K14625" s="398"/>
      <c r="L14625" s="404"/>
      <c r="M14625" s="682"/>
    </row>
    <row r="14626" spans="5:13" ht="13.5" hidden="1" thickBot="1" x14ac:dyDescent="0.25">
      <c r="F14626" s="503" t="s">
        <v>250</v>
      </c>
      <c r="G14626" s="504" t="s">
        <v>57</v>
      </c>
      <c r="H14626" s="397"/>
      <c r="I14626" s="397"/>
      <c r="J14626" s="750" t="e">
        <f t="shared" si="167"/>
        <v>#DIV/0!</v>
      </c>
      <c r="K14626" s="398"/>
      <c r="L14626" s="404"/>
      <c r="M14626" s="682"/>
    </row>
    <row r="14627" spans="5:13" ht="13.5" hidden="1" thickBot="1" x14ac:dyDescent="0.25">
      <c r="F14627" s="503" t="s">
        <v>251</v>
      </c>
      <c r="G14627" s="504" t="s">
        <v>252</v>
      </c>
      <c r="H14627" s="397"/>
      <c r="I14627" s="397"/>
      <c r="J14627" s="750" t="e">
        <f t="shared" si="167"/>
        <v>#DIV/0!</v>
      </c>
      <c r="K14627" s="398"/>
      <c r="L14627" s="404"/>
      <c r="M14627" s="682"/>
    </row>
    <row r="14628" spans="5:13" ht="13.5" hidden="1" thickBot="1" x14ac:dyDescent="0.25">
      <c r="F14628" s="503" t="s">
        <v>253</v>
      </c>
      <c r="G14628" s="504" t="s">
        <v>254</v>
      </c>
      <c r="H14628" s="397"/>
      <c r="I14628" s="397"/>
      <c r="J14628" s="750" t="e">
        <f t="shared" si="167"/>
        <v>#DIV/0!</v>
      </c>
      <c r="K14628" s="398"/>
      <c r="L14628" s="404"/>
      <c r="M14628" s="682"/>
    </row>
    <row r="14629" spans="5:13" ht="26.25" hidden="1" thickBot="1" x14ac:dyDescent="0.25">
      <c r="F14629" s="503" t="s">
        <v>255</v>
      </c>
      <c r="G14629" s="504" t="s">
        <v>256</v>
      </c>
      <c r="H14629" s="397"/>
      <c r="I14629" s="397"/>
      <c r="J14629" s="750" t="e">
        <f t="shared" si="167"/>
        <v>#DIV/0!</v>
      </c>
      <c r="K14629" s="398"/>
      <c r="L14629" s="404"/>
      <c r="M14629" s="682"/>
    </row>
    <row r="14630" spans="5:13" ht="26.25" hidden="1" thickBot="1" x14ac:dyDescent="0.25">
      <c r="F14630" s="503" t="s">
        <v>257</v>
      </c>
      <c r="G14630" s="504" t="s">
        <v>258</v>
      </c>
      <c r="H14630" s="397"/>
      <c r="I14630" s="397"/>
      <c r="J14630" s="750" t="e">
        <f t="shared" si="167"/>
        <v>#DIV/0!</v>
      </c>
      <c r="K14630" s="398"/>
      <c r="L14630" s="404"/>
      <c r="M14630" s="682"/>
    </row>
    <row r="14631" spans="5:13" ht="26.25" hidden="1" thickBot="1" x14ac:dyDescent="0.25">
      <c r="F14631" s="503" t="s">
        <v>259</v>
      </c>
      <c r="G14631" s="504" t="s">
        <v>260</v>
      </c>
      <c r="H14631" s="397"/>
      <c r="I14631" s="397"/>
      <c r="J14631" s="750" t="e">
        <f t="shared" si="167"/>
        <v>#DIV/0!</v>
      </c>
      <c r="K14631" s="398"/>
      <c r="L14631" s="404"/>
      <c r="M14631" s="682"/>
    </row>
    <row r="14632" spans="5:13" ht="26.25" hidden="1" thickBot="1" x14ac:dyDescent="0.25">
      <c r="F14632" s="503" t="s">
        <v>261</v>
      </c>
      <c r="G14632" s="504" t="s">
        <v>262</v>
      </c>
      <c r="H14632" s="397"/>
      <c r="I14632" s="397"/>
      <c r="J14632" s="750" t="e">
        <f t="shared" si="167"/>
        <v>#DIV/0!</v>
      </c>
      <c r="K14632" s="398"/>
      <c r="L14632" s="404"/>
      <c r="M14632" s="682"/>
    </row>
    <row r="14633" spans="5:13" ht="13.5" hidden="1" thickBot="1" x14ac:dyDescent="0.25">
      <c r="F14633" s="503" t="s">
        <v>263</v>
      </c>
      <c r="G14633" s="504" t="s">
        <v>264</v>
      </c>
      <c r="H14633" s="403"/>
      <c r="I14633" s="403"/>
      <c r="J14633" s="750" t="e">
        <f t="shared" si="167"/>
        <v>#DIV/0!</v>
      </c>
      <c r="K14633" s="404"/>
      <c r="L14633" s="404"/>
      <c r="M14633" s="682"/>
    </row>
    <row r="14634" spans="5:13" ht="13.5" thickBot="1" x14ac:dyDescent="0.25">
      <c r="G14634" s="505" t="s">
        <v>4324</v>
      </c>
      <c r="H14634" s="405">
        <f>SUM(H14618:H14633)</f>
        <v>17864000</v>
      </c>
      <c r="I14634" s="405">
        <f>SUM(I14618)</f>
        <v>16297753.660000002</v>
      </c>
      <c r="J14634" s="750">
        <f t="shared" si="167"/>
        <v>91.232387259292452</v>
      </c>
      <c r="K14634" s="406">
        <f>SUM(K14619:K14633)</f>
        <v>10686100</v>
      </c>
      <c r="L14634" s="406">
        <f>SUM(L14621:L14624)</f>
        <v>9986349.370000001</v>
      </c>
      <c r="M14634" s="682"/>
    </row>
    <row r="14635" spans="5:13" ht="0.75" customHeight="1" x14ac:dyDescent="0.2">
      <c r="H14635" s="397"/>
      <c r="I14635" s="397"/>
      <c r="J14635" s="750" t="e">
        <f t="shared" si="167"/>
        <v>#DIV/0!</v>
      </c>
      <c r="K14635" s="398"/>
      <c r="L14635" s="398"/>
      <c r="M14635" s="682"/>
    </row>
    <row r="14636" spans="5:13" x14ac:dyDescent="0.2">
      <c r="E14636" s="500"/>
      <c r="F14636" s="498"/>
      <c r="G14636" s="511" t="s">
        <v>5147</v>
      </c>
      <c r="H14636" s="413"/>
      <c r="I14636" s="413"/>
      <c r="J14636" s="750"/>
      <c r="K14636" s="414"/>
      <c r="L14636" s="415"/>
      <c r="M14636" s="682"/>
    </row>
    <row r="14637" spans="5:13" x14ac:dyDescent="0.2">
      <c r="E14637" s="502"/>
      <c r="F14637" s="503" t="s">
        <v>234</v>
      </c>
      <c r="G14637" s="504" t="s">
        <v>235</v>
      </c>
      <c r="H14637" s="403">
        <f>SUM(H14618)</f>
        <v>17864000</v>
      </c>
      <c r="I14637" s="403">
        <f>SUM(I14634)</f>
        <v>16297753.660000002</v>
      </c>
      <c r="J14637" s="750">
        <f t="shared" si="167"/>
        <v>91.232387259292452</v>
      </c>
      <c r="K14637" s="404"/>
      <c r="L14637" s="404"/>
      <c r="M14637" s="682"/>
    </row>
    <row r="14638" spans="5:13" hidden="1" x14ac:dyDescent="0.2">
      <c r="F14638" s="503" t="s">
        <v>236</v>
      </c>
      <c r="G14638" s="504" t="s">
        <v>237</v>
      </c>
      <c r="H14638" s="397"/>
      <c r="I14638" s="397"/>
      <c r="J14638" s="750" t="e">
        <f t="shared" si="167"/>
        <v>#DIV/0!</v>
      </c>
      <c r="K14638" s="398"/>
      <c r="L14638" s="404"/>
      <c r="M14638" s="682"/>
    </row>
    <row r="14639" spans="5:13" hidden="1" x14ac:dyDescent="0.2">
      <c r="F14639" s="503" t="s">
        <v>238</v>
      </c>
      <c r="G14639" s="504" t="s">
        <v>239</v>
      </c>
      <c r="H14639" s="397"/>
      <c r="I14639" s="397"/>
      <c r="J14639" s="750" t="e">
        <f t="shared" si="167"/>
        <v>#DIV/0!</v>
      </c>
      <c r="K14639" s="398"/>
      <c r="L14639" s="404"/>
      <c r="M14639" s="682"/>
    </row>
    <row r="14640" spans="5:13" x14ac:dyDescent="0.2">
      <c r="F14640" s="503" t="s">
        <v>240</v>
      </c>
      <c r="G14640" s="504" t="s">
        <v>241</v>
      </c>
      <c r="H14640" s="397"/>
      <c r="I14640" s="397"/>
      <c r="J14640" s="750"/>
      <c r="K14640" s="398">
        <f>SUM(K14621)</f>
        <v>5791884</v>
      </c>
      <c r="L14640" s="404">
        <v>3774356.66</v>
      </c>
      <c r="M14640" s="682"/>
    </row>
    <row r="14641" spans="6:13" hidden="1" x14ac:dyDescent="0.2">
      <c r="F14641" s="503" t="s">
        <v>242</v>
      </c>
      <c r="G14641" s="504" t="s">
        <v>243</v>
      </c>
      <c r="H14641" s="397"/>
      <c r="I14641" s="397"/>
      <c r="J14641" s="750" t="e">
        <f t="shared" si="167"/>
        <v>#DIV/0!</v>
      </c>
      <c r="K14641" s="398"/>
      <c r="L14641" s="404"/>
      <c r="M14641" s="682"/>
    </row>
    <row r="14642" spans="6:13" hidden="1" x14ac:dyDescent="0.2">
      <c r="F14642" s="503" t="s">
        <v>244</v>
      </c>
      <c r="G14642" s="504" t="s">
        <v>245</v>
      </c>
      <c r="H14642" s="397"/>
      <c r="I14642" s="397"/>
      <c r="J14642" s="750" t="e">
        <f t="shared" si="167"/>
        <v>#DIV/0!</v>
      </c>
      <c r="K14642" s="398"/>
      <c r="L14642" s="404"/>
      <c r="M14642" s="682"/>
    </row>
    <row r="14643" spans="6:13" ht="13.5" thickBot="1" x14ac:dyDescent="0.25">
      <c r="F14643" s="503" t="s">
        <v>246</v>
      </c>
      <c r="G14643" s="504" t="s">
        <v>247</v>
      </c>
      <c r="H14643" s="397"/>
      <c r="I14643" s="397"/>
      <c r="J14643" s="750"/>
      <c r="K14643" s="398">
        <f>SUM(K14624)</f>
        <v>4894216</v>
      </c>
      <c r="L14643" s="404">
        <v>6211992.71</v>
      </c>
      <c r="M14643" s="682"/>
    </row>
    <row r="14644" spans="6:13" ht="26.25" hidden="1" thickBot="1" x14ac:dyDescent="0.25">
      <c r="F14644" s="503" t="s">
        <v>248</v>
      </c>
      <c r="G14644" s="504" t="s">
        <v>249</v>
      </c>
      <c r="H14644" s="397"/>
      <c r="I14644" s="397"/>
      <c r="J14644" s="750" t="e">
        <f t="shared" si="167"/>
        <v>#DIV/0!</v>
      </c>
      <c r="K14644" s="398"/>
      <c r="L14644" s="404"/>
      <c r="M14644" s="682"/>
    </row>
    <row r="14645" spans="6:13" ht="13.5" hidden="1" thickBot="1" x14ac:dyDescent="0.25">
      <c r="F14645" s="503" t="s">
        <v>250</v>
      </c>
      <c r="G14645" s="504" t="s">
        <v>57</v>
      </c>
      <c r="H14645" s="397"/>
      <c r="I14645" s="397"/>
      <c r="J14645" s="750" t="e">
        <f t="shared" si="167"/>
        <v>#DIV/0!</v>
      </c>
      <c r="K14645" s="398"/>
      <c r="L14645" s="404"/>
      <c r="M14645" s="682"/>
    </row>
    <row r="14646" spans="6:13" ht="13.5" hidden="1" thickBot="1" x14ac:dyDescent="0.25">
      <c r="F14646" s="503" t="s">
        <v>251</v>
      </c>
      <c r="G14646" s="504" t="s">
        <v>252</v>
      </c>
      <c r="H14646" s="397"/>
      <c r="I14646" s="397"/>
      <c r="J14646" s="750" t="e">
        <f t="shared" si="167"/>
        <v>#DIV/0!</v>
      </c>
      <c r="K14646" s="398"/>
      <c r="L14646" s="404"/>
      <c r="M14646" s="682"/>
    </row>
    <row r="14647" spans="6:13" ht="13.5" hidden="1" thickBot="1" x14ac:dyDescent="0.25">
      <c r="F14647" s="503" t="s">
        <v>253</v>
      </c>
      <c r="G14647" s="504" t="s">
        <v>254</v>
      </c>
      <c r="H14647" s="397"/>
      <c r="I14647" s="397"/>
      <c r="J14647" s="750" t="e">
        <f t="shared" si="167"/>
        <v>#DIV/0!</v>
      </c>
      <c r="K14647" s="398"/>
      <c r="L14647" s="404"/>
      <c r="M14647" s="682"/>
    </row>
    <row r="14648" spans="6:13" ht="26.25" hidden="1" thickBot="1" x14ac:dyDescent="0.25">
      <c r="F14648" s="503" t="s">
        <v>255</v>
      </c>
      <c r="G14648" s="504" t="s">
        <v>256</v>
      </c>
      <c r="H14648" s="397"/>
      <c r="I14648" s="397"/>
      <c r="J14648" s="750" t="e">
        <f t="shared" si="167"/>
        <v>#DIV/0!</v>
      </c>
      <c r="K14648" s="398"/>
      <c r="L14648" s="404"/>
      <c r="M14648" s="682"/>
    </row>
    <row r="14649" spans="6:13" ht="26.25" hidden="1" thickBot="1" x14ac:dyDescent="0.25">
      <c r="F14649" s="503" t="s">
        <v>257</v>
      </c>
      <c r="G14649" s="504" t="s">
        <v>258</v>
      </c>
      <c r="H14649" s="397"/>
      <c r="I14649" s="397"/>
      <c r="J14649" s="750" t="e">
        <f t="shared" si="167"/>
        <v>#DIV/0!</v>
      </c>
      <c r="K14649" s="398"/>
      <c r="L14649" s="404"/>
      <c r="M14649" s="682"/>
    </row>
    <row r="14650" spans="6:13" ht="26.25" hidden="1" thickBot="1" x14ac:dyDescent="0.25">
      <c r="F14650" s="503" t="s">
        <v>259</v>
      </c>
      <c r="G14650" s="504" t="s">
        <v>260</v>
      </c>
      <c r="H14650" s="397"/>
      <c r="I14650" s="397"/>
      <c r="J14650" s="750" t="e">
        <f t="shared" si="167"/>
        <v>#DIV/0!</v>
      </c>
      <c r="K14650" s="398"/>
      <c r="L14650" s="404"/>
      <c r="M14650" s="682"/>
    </row>
    <row r="14651" spans="6:13" ht="26.25" hidden="1" thickBot="1" x14ac:dyDescent="0.25">
      <c r="F14651" s="503" t="s">
        <v>261</v>
      </c>
      <c r="G14651" s="504" t="s">
        <v>262</v>
      </c>
      <c r="H14651" s="397"/>
      <c r="I14651" s="397"/>
      <c r="J14651" s="750" t="e">
        <f t="shared" si="167"/>
        <v>#DIV/0!</v>
      </c>
      <c r="K14651" s="398"/>
      <c r="L14651" s="404"/>
      <c r="M14651" s="682"/>
    </row>
    <row r="14652" spans="6:13" ht="13.5" hidden="1" thickBot="1" x14ac:dyDescent="0.25">
      <c r="F14652" s="503" t="s">
        <v>263</v>
      </c>
      <c r="G14652" s="504" t="s">
        <v>264</v>
      </c>
      <c r="H14652" s="403"/>
      <c r="I14652" s="403"/>
      <c r="J14652" s="750" t="e">
        <f t="shared" si="167"/>
        <v>#DIV/0!</v>
      </c>
      <c r="K14652" s="404"/>
      <c r="L14652" s="404"/>
      <c r="M14652" s="682"/>
    </row>
    <row r="14653" spans="6:13" ht="13.5" thickBot="1" x14ac:dyDescent="0.25">
      <c r="G14653" s="505" t="s">
        <v>5148</v>
      </c>
      <c r="H14653" s="405">
        <f>SUM(H14637:H14652)</f>
        <v>17864000</v>
      </c>
      <c r="I14653" s="405">
        <f>SUM(I14637)</f>
        <v>16297753.660000002</v>
      </c>
      <c r="J14653" s="750">
        <f t="shared" si="167"/>
        <v>91.232387259292452</v>
      </c>
      <c r="K14653" s="406">
        <f>SUM(K14638:K14652)</f>
        <v>10686100</v>
      </c>
      <c r="L14653" s="406">
        <f>SUM(L14640:L14643)</f>
        <v>9986349.370000001</v>
      </c>
      <c r="M14653" s="682"/>
    </row>
    <row r="14654" spans="6:13" hidden="1" x14ac:dyDescent="0.2">
      <c r="G14654" s="510"/>
      <c r="H14654" s="411"/>
      <c r="I14654" s="411"/>
      <c r="J14654" s="750" t="e">
        <f t="shared" si="167"/>
        <v>#DIV/0!</v>
      </c>
      <c r="K14654" s="412"/>
      <c r="L14654" s="412"/>
      <c r="M14654" s="682"/>
    </row>
    <row r="14655" spans="6:13" hidden="1" x14ac:dyDescent="0.2">
      <c r="G14655" s="510"/>
      <c r="H14655" s="411"/>
      <c r="I14655" s="411"/>
      <c r="J14655" s="750" t="e">
        <f t="shared" si="167"/>
        <v>#DIV/0!</v>
      </c>
      <c r="K14655" s="412"/>
      <c r="L14655" s="412"/>
      <c r="M14655" s="682"/>
    </row>
    <row r="14656" spans="6:13" hidden="1" x14ac:dyDescent="0.2">
      <c r="G14656" s="510"/>
      <c r="H14656" s="411"/>
      <c r="I14656" s="411"/>
      <c r="J14656" s="750" t="e">
        <f t="shared" si="167"/>
        <v>#DIV/0!</v>
      </c>
      <c r="K14656" s="412"/>
      <c r="L14656" s="412"/>
      <c r="M14656" s="682"/>
    </row>
    <row r="14657" spans="1:13" hidden="1" x14ac:dyDescent="0.2">
      <c r="G14657" s="510"/>
      <c r="H14657" s="411"/>
      <c r="I14657" s="411"/>
      <c r="J14657" s="750" t="e">
        <f t="shared" si="167"/>
        <v>#DIV/0!</v>
      </c>
      <c r="K14657" s="412"/>
      <c r="L14657" s="412"/>
      <c r="M14657" s="682"/>
    </row>
    <row r="14658" spans="1:13" hidden="1" x14ac:dyDescent="0.2">
      <c r="G14658" s="510"/>
      <c r="H14658" s="411"/>
      <c r="I14658" s="411"/>
      <c r="J14658" s="750" t="e">
        <f t="shared" si="167"/>
        <v>#DIV/0!</v>
      </c>
      <c r="K14658" s="412"/>
      <c r="L14658" s="412"/>
      <c r="M14658" s="682"/>
    </row>
    <row r="14659" spans="1:13" hidden="1" x14ac:dyDescent="0.2">
      <c r="G14659" s="510"/>
      <c r="H14659" s="411"/>
      <c r="I14659" s="411"/>
      <c r="J14659" s="750" t="e">
        <f t="shared" si="167"/>
        <v>#DIV/0!</v>
      </c>
      <c r="K14659" s="412"/>
      <c r="L14659" s="412"/>
      <c r="M14659" s="682"/>
    </row>
    <row r="14660" spans="1:13" hidden="1" x14ac:dyDescent="0.2">
      <c r="G14660" s="510"/>
      <c r="H14660" s="411"/>
      <c r="I14660" s="411"/>
      <c r="J14660" s="750" t="e">
        <f t="shared" si="167"/>
        <v>#DIV/0!</v>
      </c>
      <c r="K14660" s="412"/>
      <c r="L14660" s="412"/>
      <c r="M14660" s="682"/>
    </row>
    <row r="14661" spans="1:13" hidden="1" x14ac:dyDescent="0.2">
      <c r="G14661" s="510"/>
      <c r="H14661" s="411"/>
      <c r="I14661" s="411"/>
      <c r="J14661" s="750" t="e">
        <f t="shared" si="167"/>
        <v>#DIV/0!</v>
      </c>
      <c r="K14661" s="412"/>
      <c r="L14661" s="412"/>
      <c r="M14661" s="682"/>
    </row>
    <row r="14662" spans="1:13" hidden="1" x14ac:dyDescent="0.2">
      <c r="G14662" s="510"/>
      <c r="H14662" s="411"/>
      <c r="I14662" s="411"/>
      <c r="J14662" s="750" t="e">
        <f t="shared" si="167"/>
        <v>#DIV/0!</v>
      </c>
      <c r="K14662" s="412"/>
      <c r="L14662" s="412"/>
      <c r="M14662" s="682"/>
    </row>
    <row r="14663" spans="1:13" hidden="1" x14ac:dyDescent="0.2">
      <c r="G14663" s="510"/>
      <c r="H14663" s="411"/>
      <c r="I14663" s="411"/>
      <c r="J14663" s="750" t="e">
        <f t="shared" si="167"/>
        <v>#DIV/0!</v>
      </c>
      <c r="K14663" s="412"/>
      <c r="L14663" s="412"/>
      <c r="M14663" s="682"/>
    </row>
    <row r="14664" spans="1:13" hidden="1" x14ac:dyDescent="0.2">
      <c r="G14664" s="510"/>
      <c r="H14664" s="411"/>
      <c r="I14664" s="411"/>
      <c r="J14664" s="750" t="e">
        <f t="shared" si="167"/>
        <v>#DIV/0!</v>
      </c>
      <c r="K14664" s="412"/>
      <c r="L14664" s="412"/>
      <c r="M14664" s="682"/>
    </row>
    <row r="14665" spans="1:13" hidden="1" x14ac:dyDescent="0.2">
      <c r="G14665" s="510"/>
      <c r="H14665" s="411"/>
      <c r="I14665" s="411"/>
      <c r="J14665" s="750" t="e">
        <f t="shared" si="167"/>
        <v>#DIV/0!</v>
      </c>
      <c r="K14665" s="412"/>
      <c r="L14665" s="412"/>
      <c r="M14665" s="682"/>
    </row>
    <row r="14666" spans="1:13" hidden="1" x14ac:dyDescent="0.2">
      <c r="G14666" s="510"/>
      <c r="H14666" s="411"/>
      <c r="I14666" s="411"/>
      <c r="J14666" s="750" t="e">
        <f t="shared" si="167"/>
        <v>#DIV/0!</v>
      </c>
      <c r="K14666" s="412"/>
      <c r="L14666" s="412"/>
      <c r="M14666" s="682"/>
    </row>
    <row r="14667" spans="1:13" hidden="1" x14ac:dyDescent="0.2">
      <c r="G14667" s="510"/>
      <c r="H14667" s="411"/>
      <c r="I14667" s="411"/>
      <c r="J14667" s="750" t="e">
        <f t="shared" si="167"/>
        <v>#DIV/0!</v>
      </c>
      <c r="K14667" s="412"/>
      <c r="L14667" s="412"/>
      <c r="M14667" s="682"/>
    </row>
    <row r="14668" spans="1:13" hidden="1" x14ac:dyDescent="0.2">
      <c r="G14668" s="510"/>
      <c r="H14668" s="411"/>
      <c r="I14668" s="411"/>
      <c r="J14668" s="750" t="e">
        <f t="shared" si="167"/>
        <v>#DIV/0!</v>
      </c>
      <c r="K14668" s="412"/>
      <c r="L14668" s="412"/>
      <c r="M14668" s="682"/>
    </row>
    <row r="14669" spans="1:13" hidden="1" x14ac:dyDescent="0.2">
      <c r="G14669" s="510"/>
      <c r="H14669" s="411"/>
      <c r="I14669" s="411"/>
      <c r="J14669" s="750" t="e">
        <f t="shared" si="167"/>
        <v>#DIV/0!</v>
      </c>
      <c r="K14669" s="412"/>
      <c r="L14669" s="412"/>
      <c r="M14669" s="682"/>
    </row>
    <row r="14670" spans="1:13" ht="7.5" customHeight="1" x14ac:dyDescent="0.2">
      <c r="G14670" s="510"/>
      <c r="H14670" s="411"/>
      <c r="I14670" s="411"/>
      <c r="J14670" s="750"/>
      <c r="K14670" s="412"/>
      <c r="L14670" s="412"/>
      <c r="M14670" s="682"/>
    </row>
    <row r="14671" spans="1:13" x14ac:dyDescent="0.2">
      <c r="A14671" s="653"/>
      <c r="B14671" s="653">
        <v>12</v>
      </c>
      <c r="C14671" s="654"/>
      <c r="D14671" s="653"/>
      <c r="E14671" s="653"/>
      <c r="F14671" s="653"/>
      <c r="G14671" s="655" t="s">
        <v>5295</v>
      </c>
      <c r="H14671" s="454"/>
      <c r="I14671" s="454"/>
      <c r="J14671" s="751"/>
      <c r="K14671" s="455"/>
      <c r="L14671" s="455"/>
      <c r="M14671" s="682"/>
    </row>
    <row r="14672" spans="1:13" x14ac:dyDescent="0.2">
      <c r="C14672" s="489" t="s">
        <v>3561</v>
      </c>
      <c r="G14672" s="645" t="s">
        <v>4303</v>
      </c>
      <c r="H14672" s="397"/>
      <c r="I14672" s="397"/>
      <c r="J14672" s="750"/>
      <c r="K14672" s="398"/>
      <c r="L14672" s="398"/>
      <c r="M14672" s="682"/>
    </row>
    <row r="14673" spans="3:15" ht="12" customHeight="1" x14ac:dyDescent="0.2">
      <c r="C14673" s="531" t="s">
        <v>4407</v>
      </c>
      <c r="D14673" s="490"/>
      <c r="E14673" s="490"/>
      <c r="F14673" s="532"/>
      <c r="G14673" s="644" t="s">
        <v>183</v>
      </c>
      <c r="H14673" s="422"/>
      <c r="I14673" s="422"/>
      <c r="J14673" s="750"/>
      <c r="K14673" s="423"/>
      <c r="L14673" s="424"/>
      <c r="M14673" s="682"/>
    </row>
    <row r="14674" spans="3:15" ht="13.5" customHeight="1" x14ac:dyDescent="0.2">
      <c r="C14674" s="489"/>
      <c r="D14674" s="492">
        <v>630</v>
      </c>
      <c r="E14674" s="492"/>
      <c r="F14674" s="492"/>
      <c r="G14674" s="493" t="s">
        <v>183</v>
      </c>
      <c r="H14674" s="397"/>
      <c r="I14674" s="397"/>
      <c r="J14674" s="750"/>
      <c r="K14674" s="398"/>
      <c r="L14674" s="398"/>
      <c r="M14674" s="682"/>
    </row>
    <row r="14675" spans="3:15" x14ac:dyDescent="0.2">
      <c r="E14675" s="464">
        <v>134</v>
      </c>
      <c r="F14675" s="494">
        <v>411</v>
      </c>
      <c r="G14675" s="495" t="s">
        <v>4167</v>
      </c>
      <c r="H14675" s="397">
        <v>21635250</v>
      </c>
      <c r="I14675" s="397">
        <v>21056239.57</v>
      </c>
      <c r="J14675" s="750">
        <f t="shared" ref="J14675:J14733" si="168">SUM(I14675/H14675)*100</f>
        <v>97.323763626489182</v>
      </c>
      <c r="K14675" s="398"/>
      <c r="L14675" s="398">
        <v>943805</v>
      </c>
      <c r="M14675" s="682"/>
    </row>
    <row r="14676" spans="3:15" x14ac:dyDescent="0.2">
      <c r="E14676" s="464">
        <v>135</v>
      </c>
      <c r="F14676" s="494">
        <v>412</v>
      </c>
      <c r="G14676" s="496" t="s">
        <v>3764</v>
      </c>
      <c r="H14676" s="397">
        <v>3872550</v>
      </c>
      <c r="I14676" s="397">
        <v>3758345.11</v>
      </c>
      <c r="J14676" s="750">
        <f t="shared" si="168"/>
        <v>97.05091244787026</v>
      </c>
      <c r="K14676" s="398"/>
      <c r="L14676" s="398">
        <v>172857</v>
      </c>
      <c r="M14676" s="682"/>
    </row>
    <row r="14677" spans="3:15" hidden="1" x14ac:dyDescent="0.2">
      <c r="F14677" s="494">
        <v>413</v>
      </c>
      <c r="G14677" s="495" t="s">
        <v>4168</v>
      </c>
      <c r="H14677" s="397"/>
      <c r="I14677" s="397"/>
      <c r="J14677" s="750" t="e">
        <f t="shared" si="168"/>
        <v>#DIV/0!</v>
      </c>
      <c r="K14677" s="398"/>
      <c r="L14677" s="398"/>
      <c r="M14677" s="682"/>
    </row>
    <row r="14678" spans="3:15" x14ac:dyDescent="0.2">
      <c r="E14678" s="464">
        <v>136</v>
      </c>
      <c r="F14678" s="494">
        <v>414</v>
      </c>
      <c r="G14678" s="495" t="s">
        <v>3767</v>
      </c>
      <c r="H14678" s="397">
        <v>590000</v>
      </c>
      <c r="I14678" s="397">
        <v>334956</v>
      </c>
      <c r="J14678" s="750">
        <f t="shared" si="168"/>
        <v>56.772203389830509</v>
      </c>
      <c r="K14678" s="398"/>
      <c r="L14678" s="398"/>
      <c r="M14678" s="682"/>
    </row>
    <row r="14679" spans="3:15" x14ac:dyDescent="0.2">
      <c r="E14679" s="464">
        <v>137</v>
      </c>
      <c r="F14679" s="494">
        <v>415</v>
      </c>
      <c r="G14679" s="495" t="s">
        <v>4177</v>
      </c>
      <c r="H14679" s="397">
        <v>1200000</v>
      </c>
      <c r="I14679" s="397">
        <v>1160708.3799999999</v>
      </c>
      <c r="J14679" s="750">
        <f t="shared" si="168"/>
        <v>96.725698333333327</v>
      </c>
      <c r="K14679" s="398"/>
      <c r="L14679" s="398">
        <v>31894</v>
      </c>
      <c r="M14679" s="682"/>
    </row>
    <row r="14680" spans="3:15" ht="25.5" x14ac:dyDescent="0.2">
      <c r="E14680" s="464">
        <v>138</v>
      </c>
      <c r="F14680" s="494">
        <v>416</v>
      </c>
      <c r="G14680" s="495" t="s">
        <v>4178</v>
      </c>
      <c r="H14680" s="397">
        <v>130000</v>
      </c>
      <c r="I14680" s="397">
        <v>110871.89</v>
      </c>
      <c r="J14680" s="750">
        <f t="shared" si="168"/>
        <v>85.286069230769229</v>
      </c>
      <c r="K14680" s="398"/>
      <c r="L14680" s="398"/>
      <c r="M14680" s="682"/>
    </row>
    <row r="14681" spans="3:15" hidden="1" x14ac:dyDescent="0.2">
      <c r="F14681" s="494">
        <v>417</v>
      </c>
      <c r="G14681" s="495" t="s">
        <v>4179</v>
      </c>
      <c r="H14681" s="397"/>
      <c r="I14681" s="397"/>
      <c r="J14681" s="750" t="e">
        <f t="shared" si="168"/>
        <v>#DIV/0!</v>
      </c>
      <c r="K14681" s="398"/>
      <c r="L14681" s="398"/>
      <c r="M14681" s="682"/>
    </row>
    <row r="14682" spans="3:15" hidden="1" x14ac:dyDescent="0.2">
      <c r="F14682" s="494">
        <v>418</v>
      </c>
      <c r="G14682" s="495" t="s">
        <v>3773</v>
      </c>
      <c r="H14682" s="397"/>
      <c r="I14682" s="397"/>
      <c r="J14682" s="750" t="e">
        <f t="shared" si="168"/>
        <v>#DIV/0!</v>
      </c>
      <c r="K14682" s="398"/>
      <c r="L14682" s="398"/>
      <c r="M14682" s="682"/>
    </row>
    <row r="14683" spans="3:15" x14ac:dyDescent="0.2">
      <c r="E14683" s="464">
        <v>139</v>
      </c>
      <c r="F14683" s="494">
        <v>421</v>
      </c>
      <c r="G14683" s="495" t="s">
        <v>3777</v>
      </c>
      <c r="H14683" s="397">
        <v>8100000</v>
      </c>
      <c r="I14683" s="397">
        <v>8006895.5300000003</v>
      </c>
      <c r="J14683" s="750">
        <f t="shared" si="168"/>
        <v>98.850562098765437</v>
      </c>
      <c r="K14683" s="398"/>
      <c r="L14683" s="398">
        <v>1172.81</v>
      </c>
      <c r="M14683" s="682"/>
      <c r="O14683" s="517"/>
    </row>
    <row r="14684" spans="3:15" x14ac:dyDescent="0.2">
      <c r="E14684" s="464">
        <v>140</v>
      </c>
      <c r="F14684" s="494">
        <v>422</v>
      </c>
      <c r="G14684" s="495" t="s">
        <v>3778</v>
      </c>
      <c r="H14684" s="397">
        <v>180000</v>
      </c>
      <c r="I14684" s="397">
        <v>176780</v>
      </c>
      <c r="J14684" s="750">
        <f t="shared" si="168"/>
        <v>98.211111111111109</v>
      </c>
      <c r="K14684" s="398"/>
      <c r="L14684" s="398"/>
      <c r="M14684" s="682"/>
      <c r="O14684" s="517"/>
    </row>
    <row r="14685" spans="3:15" x14ac:dyDescent="0.2">
      <c r="E14685" s="464">
        <v>141</v>
      </c>
      <c r="F14685" s="494">
        <v>423</v>
      </c>
      <c r="G14685" s="495" t="s">
        <v>3779</v>
      </c>
      <c r="H14685" s="397">
        <v>1598000</v>
      </c>
      <c r="I14685" s="397">
        <v>1424093.94</v>
      </c>
      <c r="J14685" s="750">
        <f t="shared" si="168"/>
        <v>89.117267834793495</v>
      </c>
      <c r="K14685" s="398"/>
      <c r="L14685" s="398"/>
      <c r="M14685" s="682"/>
    </row>
    <row r="14686" spans="3:15" x14ac:dyDescent="0.2">
      <c r="E14686" s="464">
        <v>142</v>
      </c>
      <c r="F14686" s="494">
        <v>424</v>
      </c>
      <c r="G14686" s="495" t="s">
        <v>3781</v>
      </c>
      <c r="H14686" s="397">
        <v>1850000</v>
      </c>
      <c r="I14686" s="397">
        <v>1431194.2</v>
      </c>
      <c r="J14686" s="750">
        <f t="shared" si="168"/>
        <v>77.361848648648646</v>
      </c>
      <c r="K14686" s="398"/>
      <c r="L14686" s="398"/>
      <c r="M14686" s="682"/>
      <c r="O14686" s="517"/>
    </row>
    <row r="14687" spans="3:15" x14ac:dyDescent="0.2">
      <c r="E14687" s="464">
        <v>143</v>
      </c>
      <c r="F14687" s="494">
        <v>425</v>
      </c>
      <c r="G14687" s="495" t="s">
        <v>4180</v>
      </c>
      <c r="H14687" s="397">
        <v>3150000</v>
      </c>
      <c r="I14687" s="397">
        <v>3028377.87</v>
      </c>
      <c r="J14687" s="750">
        <f t="shared" si="168"/>
        <v>96.138980000000004</v>
      </c>
      <c r="K14687" s="398"/>
      <c r="L14687" s="398"/>
      <c r="M14687" s="682"/>
    </row>
    <row r="14688" spans="3:15" x14ac:dyDescent="0.2">
      <c r="E14688" s="464">
        <v>144</v>
      </c>
      <c r="F14688" s="494">
        <v>426</v>
      </c>
      <c r="G14688" s="495" t="s">
        <v>3785</v>
      </c>
      <c r="H14688" s="397">
        <v>2200000</v>
      </c>
      <c r="I14688" s="397">
        <v>2017783.36</v>
      </c>
      <c r="J14688" s="750">
        <f t="shared" si="168"/>
        <v>91.717425454545449</v>
      </c>
      <c r="K14688" s="398"/>
      <c r="L14688" s="398">
        <v>30030</v>
      </c>
      <c r="M14688" s="682"/>
      <c r="O14688" s="517"/>
    </row>
    <row r="14689" spans="6:13" hidden="1" x14ac:dyDescent="0.2">
      <c r="F14689" s="494">
        <v>431</v>
      </c>
      <c r="G14689" s="495" t="s">
        <v>4181</v>
      </c>
      <c r="H14689" s="397"/>
      <c r="I14689" s="397"/>
      <c r="J14689" s="750" t="e">
        <f t="shared" si="168"/>
        <v>#DIV/0!</v>
      </c>
      <c r="K14689" s="398"/>
      <c r="L14689" s="398"/>
      <c r="M14689" s="682"/>
    </row>
    <row r="14690" spans="6:13" hidden="1" x14ac:dyDescent="0.2">
      <c r="F14690" s="494">
        <v>432</v>
      </c>
      <c r="G14690" s="495" t="s">
        <v>4182</v>
      </c>
      <c r="H14690" s="397"/>
      <c r="I14690" s="397"/>
      <c r="J14690" s="750" t="e">
        <f t="shared" si="168"/>
        <v>#DIV/0!</v>
      </c>
      <c r="K14690" s="398"/>
      <c r="L14690" s="398"/>
      <c r="M14690" s="682"/>
    </row>
    <row r="14691" spans="6:13" hidden="1" x14ac:dyDescent="0.2">
      <c r="F14691" s="494">
        <v>433</v>
      </c>
      <c r="G14691" s="495" t="s">
        <v>4183</v>
      </c>
      <c r="H14691" s="397"/>
      <c r="I14691" s="397"/>
      <c r="J14691" s="750" t="e">
        <f t="shared" si="168"/>
        <v>#DIV/0!</v>
      </c>
      <c r="K14691" s="398"/>
      <c r="L14691" s="398"/>
      <c r="M14691" s="682"/>
    </row>
    <row r="14692" spans="6:13" hidden="1" x14ac:dyDescent="0.2">
      <c r="F14692" s="494">
        <v>434</v>
      </c>
      <c r="G14692" s="495" t="s">
        <v>4184</v>
      </c>
      <c r="H14692" s="397"/>
      <c r="I14692" s="397"/>
      <c r="J14692" s="750" t="e">
        <f t="shared" si="168"/>
        <v>#DIV/0!</v>
      </c>
      <c r="K14692" s="398"/>
      <c r="L14692" s="398"/>
      <c r="M14692" s="682"/>
    </row>
    <row r="14693" spans="6:13" hidden="1" x14ac:dyDescent="0.2">
      <c r="F14693" s="494">
        <v>435</v>
      </c>
      <c r="G14693" s="495" t="s">
        <v>3792</v>
      </c>
      <c r="H14693" s="397"/>
      <c r="I14693" s="397"/>
      <c r="J14693" s="750" t="e">
        <f t="shared" si="168"/>
        <v>#DIV/0!</v>
      </c>
      <c r="K14693" s="398"/>
      <c r="L14693" s="398"/>
      <c r="M14693" s="682"/>
    </row>
    <row r="14694" spans="6:13" hidden="1" x14ac:dyDescent="0.2">
      <c r="F14694" s="494">
        <v>441</v>
      </c>
      <c r="G14694" s="495" t="s">
        <v>4185</v>
      </c>
      <c r="H14694" s="397"/>
      <c r="I14694" s="397"/>
      <c r="J14694" s="750" t="e">
        <f t="shared" si="168"/>
        <v>#DIV/0!</v>
      </c>
      <c r="K14694" s="398"/>
      <c r="L14694" s="398"/>
      <c r="M14694" s="682"/>
    </row>
    <row r="14695" spans="6:13" hidden="1" x14ac:dyDescent="0.2">
      <c r="F14695" s="494">
        <v>442</v>
      </c>
      <c r="G14695" s="495" t="s">
        <v>4186</v>
      </c>
      <c r="H14695" s="397"/>
      <c r="I14695" s="397"/>
      <c r="J14695" s="750" t="e">
        <f t="shared" si="168"/>
        <v>#DIV/0!</v>
      </c>
      <c r="K14695" s="398"/>
      <c r="L14695" s="398"/>
      <c r="M14695" s="682"/>
    </row>
    <row r="14696" spans="6:13" hidden="1" x14ac:dyDescent="0.2">
      <c r="F14696" s="494">
        <v>443</v>
      </c>
      <c r="G14696" s="495" t="s">
        <v>3797</v>
      </c>
      <c r="H14696" s="397"/>
      <c r="I14696" s="397"/>
      <c r="J14696" s="750" t="e">
        <f t="shared" si="168"/>
        <v>#DIV/0!</v>
      </c>
      <c r="K14696" s="398"/>
      <c r="L14696" s="398"/>
      <c r="M14696" s="682"/>
    </row>
    <row r="14697" spans="6:13" hidden="1" x14ac:dyDescent="0.2">
      <c r="F14697" s="494">
        <v>444</v>
      </c>
      <c r="G14697" s="495" t="s">
        <v>3798</v>
      </c>
      <c r="H14697" s="397"/>
      <c r="I14697" s="397"/>
      <c r="J14697" s="750" t="e">
        <f t="shared" si="168"/>
        <v>#DIV/0!</v>
      </c>
      <c r="K14697" s="398"/>
      <c r="L14697" s="398"/>
      <c r="M14697" s="682"/>
    </row>
    <row r="14698" spans="6:13" ht="25.5" hidden="1" x14ac:dyDescent="0.2">
      <c r="F14698" s="494">
        <v>4511</v>
      </c>
      <c r="G14698" s="466" t="s">
        <v>1692</v>
      </c>
      <c r="H14698" s="397"/>
      <c r="I14698" s="397"/>
      <c r="J14698" s="750" t="e">
        <f t="shared" si="168"/>
        <v>#DIV/0!</v>
      </c>
      <c r="K14698" s="398"/>
      <c r="L14698" s="398"/>
      <c r="M14698" s="682"/>
    </row>
    <row r="14699" spans="6:13" ht="25.5" hidden="1" x14ac:dyDescent="0.2">
      <c r="F14699" s="494">
        <v>4512</v>
      </c>
      <c r="G14699" s="466" t="s">
        <v>1701</v>
      </c>
      <c r="H14699" s="397"/>
      <c r="I14699" s="397"/>
      <c r="J14699" s="750" t="e">
        <f t="shared" si="168"/>
        <v>#DIV/0!</v>
      </c>
      <c r="K14699" s="398"/>
      <c r="L14699" s="398"/>
      <c r="M14699" s="682"/>
    </row>
    <row r="14700" spans="6:13" ht="25.5" hidden="1" x14ac:dyDescent="0.2">
      <c r="F14700" s="494">
        <v>452</v>
      </c>
      <c r="G14700" s="495" t="s">
        <v>4187</v>
      </c>
      <c r="H14700" s="397"/>
      <c r="I14700" s="397"/>
      <c r="J14700" s="750" t="e">
        <f t="shared" si="168"/>
        <v>#DIV/0!</v>
      </c>
      <c r="K14700" s="398"/>
      <c r="L14700" s="398"/>
      <c r="M14700" s="682"/>
    </row>
    <row r="14701" spans="6:13" ht="25.5" hidden="1" x14ac:dyDescent="0.2">
      <c r="F14701" s="494">
        <v>453</v>
      </c>
      <c r="G14701" s="495" t="s">
        <v>4188</v>
      </c>
      <c r="H14701" s="397"/>
      <c r="I14701" s="397"/>
      <c r="J14701" s="750" t="e">
        <f t="shared" si="168"/>
        <v>#DIV/0!</v>
      </c>
      <c r="K14701" s="398"/>
      <c r="L14701" s="398"/>
      <c r="M14701" s="682"/>
    </row>
    <row r="14702" spans="6:13" hidden="1" x14ac:dyDescent="0.2">
      <c r="F14702" s="494">
        <v>454</v>
      </c>
      <c r="G14702" s="495" t="s">
        <v>3803</v>
      </c>
      <c r="H14702" s="397"/>
      <c r="I14702" s="397"/>
      <c r="J14702" s="750" t="e">
        <f t="shared" si="168"/>
        <v>#DIV/0!</v>
      </c>
      <c r="K14702" s="398"/>
      <c r="L14702" s="398"/>
      <c r="M14702" s="682"/>
    </row>
    <row r="14703" spans="6:13" hidden="1" x14ac:dyDescent="0.2">
      <c r="F14703" s="494">
        <v>461</v>
      </c>
      <c r="G14703" s="495" t="s">
        <v>4169</v>
      </c>
      <c r="H14703" s="397"/>
      <c r="I14703" s="397"/>
      <c r="J14703" s="750" t="e">
        <f t="shared" si="168"/>
        <v>#DIV/0!</v>
      </c>
      <c r="K14703" s="398"/>
      <c r="L14703" s="398"/>
      <c r="M14703" s="682"/>
    </row>
    <row r="14704" spans="6:13" ht="25.5" hidden="1" x14ac:dyDescent="0.2">
      <c r="F14704" s="494">
        <v>462</v>
      </c>
      <c r="G14704" s="495" t="s">
        <v>3806</v>
      </c>
      <c r="H14704" s="397"/>
      <c r="I14704" s="397"/>
      <c r="J14704" s="750" t="e">
        <f t="shared" si="168"/>
        <v>#DIV/0!</v>
      </c>
      <c r="K14704" s="398"/>
      <c r="L14704" s="398"/>
      <c r="M14704" s="682"/>
    </row>
    <row r="14705" spans="5:13" hidden="1" x14ac:dyDescent="0.2">
      <c r="F14705" s="494">
        <v>4631</v>
      </c>
      <c r="G14705" s="495" t="s">
        <v>3807</v>
      </c>
      <c r="H14705" s="397"/>
      <c r="I14705" s="397"/>
      <c r="J14705" s="750" t="e">
        <f t="shared" si="168"/>
        <v>#DIV/0!</v>
      </c>
      <c r="K14705" s="398"/>
      <c r="L14705" s="398"/>
      <c r="M14705" s="682"/>
    </row>
    <row r="14706" spans="5:13" hidden="1" x14ac:dyDescent="0.2">
      <c r="F14706" s="494">
        <v>4632</v>
      </c>
      <c r="G14706" s="495" t="s">
        <v>3808</v>
      </c>
      <c r="H14706" s="397"/>
      <c r="I14706" s="397"/>
      <c r="J14706" s="750" t="e">
        <f t="shared" si="168"/>
        <v>#DIV/0!</v>
      </c>
      <c r="K14706" s="398"/>
      <c r="L14706" s="398"/>
      <c r="M14706" s="682"/>
    </row>
    <row r="14707" spans="5:13" ht="25.5" hidden="1" x14ac:dyDescent="0.2">
      <c r="F14707" s="494">
        <v>464</v>
      </c>
      <c r="G14707" s="495" t="s">
        <v>3809</v>
      </c>
      <c r="H14707" s="397"/>
      <c r="I14707" s="397"/>
      <c r="J14707" s="750" t="e">
        <f t="shared" si="168"/>
        <v>#DIV/0!</v>
      </c>
      <c r="K14707" s="398"/>
      <c r="L14707" s="398"/>
      <c r="M14707" s="682"/>
    </row>
    <row r="14708" spans="5:13" x14ac:dyDescent="0.2">
      <c r="E14708" s="464">
        <v>145</v>
      </c>
      <c r="F14708" s="494">
        <v>465</v>
      </c>
      <c r="G14708" s="495" t="s">
        <v>4170</v>
      </c>
      <c r="H14708" s="397">
        <v>2550000</v>
      </c>
      <c r="I14708" s="397">
        <v>2530637</v>
      </c>
      <c r="J14708" s="750">
        <f t="shared" si="168"/>
        <v>99.240666666666669</v>
      </c>
      <c r="K14708" s="398"/>
      <c r="L14708" s="398"/>
      <c r="M14708" s="682"/>
    </row>
    <row r="14709" spans="5:13" hidden="1" x14ac:dyDescent="0.2">
      <c r="F14709" s="494">
        <v>472</v>
      </c>
      <c r="G14709" s="495" t="s">
        <v>3813</v>
      </c>
      <c r="H14709" s="397"/>
      <c r="I14709" s="397"/>
      <c r="J14709" s="750" t="e">
        <f t="shared" si="168"/>
        <v>#DIV/0!</v>
      </c>
      <c r="K14709" s="398"/>
      <c r="L14709" s="398"/>
      <c r="M14709" s="682"/>
    </row>
    <row r="14710" spans="5:13" hidden="1" x14ac:dyDescent="0.2">
      <c r="F14710" s="494">
        <v>481</v>
      </c>
      <c r="G14710" s="495" t="s">
        <v>4189</v>
      </c>
      <c r="H14710" s="397"/>
      <c r="I14710" s="397"/>
      <c r="J14710" s="750" t="e">
        <f t="shared" si="168"/>
        <v>#DIV/0!</v>
      </c>
      <c r="K14710" s="398"/>
      <c r="L14710" s="398"/>
      <c r="M14710" s="682"/>
    </row>
    <row r="14711" spans="5:13" x14ac:dyDescent="0.2">
      <c r="E14711" s="464">
        <v>146</v>
      </c>
      <c r="F14711" s="494">
        <v>482</v>
      </c>
      <c r="G14711" s="495" t="s">
        <v>4190</v>
      </c>
      <c r="H14711" s="397">
        <v>100000</v>
      </c>
      <c r="I14711" s="397">
        <v>76255</v>
      </c>
      <c r="J14711" s="750">
        <f t="shared" si="168"/>
        <v>76.254999999999995</v>
      </c>
      <c r="K14711" s="398"/>
      <c r="L14711" s="398"/>
      <c r="M14711" s="682"/>
    </row>
    <row r="14712" spans="5:13" x14ac:dyDescent="0.2">
      <c r="E14712" s="464">
        <v>147</v>
      </c>
      <c r="F14712" s="494">
        <v>483</v>
      </c>
      <c r="G14712" s="497" t="s">
        <v>4191</v>
      </c>
      <c r="H14712" s="397">
        <v>2431000</v>
      </c>
      <c r="I14712" s="397">
        <v>1983853.34</v>
      </c>
      <c r="J14712" s="750">
        <f t="shared" si="168"/>
        <v>81.606472233648702</v>
      </c>
      <c r="K14712" s="398"/>
      <c r="L14712" s="398">
        <v>402876.18</v>
      </c>
      <c r="M14712" s="682"/>
    </row>
    <row r="14713" spans="5:13" ht="38.25" hidden="1" x14ac:dyDescent="0.2">
      <c r="F14713" s="494">
        <v>484</v>
      </c>
      <c r="G14713" s="495" t="s">
        <v>4192</v>
      </c>
      <c r="H14713" s="397"/>
      <c r="I14713" s="397"/>
      <c r="J14713" s="750" t="e">
        <f t="shared" si="168"/>
        <v>#DIV/0!</v>
      </c>
      <c r="K14713" s="398"/>
      <c r="L14713" s="398"/>
      <c r="M14713" s="682"/>
    </row>
    <row r="14714" spans="5:13" ht="18" customHeight="1" x14ac:dyDescent="0.2">
      <c r="E14714" s="464">
        <v>148</v>
      </c>
      <c r="F14714" s="494">
        <v>485</v>
      </c>
      <c r="G14714" s="495" t="s">
        <v>4193</v>
      </c>
      <c r="H14714" s="397">
        <v>1400000</v>
      </c>
      <c r="I14714" s="397">
        <v>784909.51</v>
      </c>
      <c r="J14714" s="750">
        <f t="shared" si="168"/>
        <v>56.064965000000001</v>
      </c>
      <c r="K14714" s="398"/>
      <c r="L14714" s="398"/>
      <c r="M14714" s="682"/>
    </row>
    <row r="14715" spans="5:13" ht="25.5" hidden="1" x14ac:dyDescent="0.2">
      <c r="F14715" s="494">
        <v>489</v>
      </c>
      <c r="G14715" s="495" t="s">
        <v>3821</v>
      </c>
      <c r="H14715" s="397"/>
      <c r="I14715" s="397"/>
      <c r="J14715" s="750" t="e">
        <f t="shared" si="168"/>
        <v>#DIV/0!</v>
      </c>
      <c r="K14715" s="398"/>
      <c r="L14715" s="398"/>
      <c r="M14715" s="682"/>
    </row>
    <row r="14716" spans="5:13" ht="25.5" hidden="1" x14ac:dyDescent="0.2">
      <c r="F14716" s="494">
        <v>494</v>
      </c>
      <c r="G14716" s="495" t="s">
        <v>4171</v>
      </c>
      <c r="H14716" s="397"/>
      <c r="I14716" s="397"/>
      <c r="J14716" s="750" t="e">
        <f t="shared" si="168"/>
        <v>#DIV/0!</v>
      </c>
      <c r="K14716" s="398"/>
      <c r="L14716" s="398"/>
      <c r="M14716" s="682"/>
    </row>
    <row r="14717" spans="5:13" ht="25.5" hidden="1" x14ac:dyDescent="0.2">
      <c r="F14717" s="494">
        <v>495</v>
      </c>
      <c r="G14717" s="495" t="s">
        <v>4172</v>
      </c>
      <c r="H14717" s="397"/>
      <c r="I14717" s="397"/>
      <c r="J14717" s="750" t="e">
        <f t="shared" si="168"/>
        <v>#DIV/0!</v>
      </c>
      <c r="K14717" s="398"/>
      <c r="L14717" s="398"/>
      <c r="M14717" s="682"/>
    </row>
    <row r="14718" spans="5:13" ht="38.25" hidden="1" x14ac:dyDescent="0.2">
      <c r="F14718" s="494">
        <v>496</v>
      </c>
      <c r="G14718" s="495" t="s">
        <v>4173</v>
      </c>
      <c r="H14718" s="397"/>
      <c r="I14718" s="397"/>
      <c r="J14718" s="750" t="e">
        <f t="shared" si="168"/>
        <v>#DIV/0!</v>
      </c>
      <c r="K14718" s="398"/>
      <c r="L14718" s="398"/>
      <c r="M14718" s="682"/>
    </row>
    <row r="14719" spans="5:13" ht="25.5" hidden="1" x14ac:dyDescent="0.2">
      <c r="F14719" s="494">
        <v>499</v>
      </c>
      <c r="G14719" s="495" t="s">
        <v>4174</v>
      </c>
      <c r="H14719" s="397"/>
      <c r="I14719" s="397"/>
      <c r="J14719" s="750" t="e">
        <f t="shared" si="168"/>
        <v>#DIV/0!</v>
      </c>
      <c r="K14719" s="398"/>
      <c r="L14719" s="398"/>
      <c r="M14719" s="682"/>
    </row>
    <row r="14720" spans="5:13" hidden="1" x14ac:dyDescent="0.2">
      <c r="F14720" s="494">
        <v>511</v>
      </c>
      <c r="G14720" s="497" t="s">
        <v>4194</v>
      </c>
      <c r="H14720" s="397"/>
      <c r="I14720" s="397"/>
      <c r="J14720" s="750" t="e">
        <f t="shared" si="168"/>
        <v>#DIV/0!</v>
      </c>
      <c r="K14720" s="398"/>
      <c r="L14720" s="398"/>
      <c r="M14720" s="682"/>
    </row>
    <row r="14721" spans="5:13" x14ac:dyDescent="0.2">
      <c r="E14721" s="464">
        <v>149</v>
      </c>
      <c r="F14721" s="494">
        <v>512</v>
      </c>
      <c r="G14721" s="497" t="s">
        <v>4195</v>
      </c>
      <c r="H14721" s="397">
        <v>1150000</v>
      </c>
      <c r="I14721" s="397">
        <v>1051450</v>
      </c>
      <c r="J14721" s="750">
        <f t="shared" si="168"/>
        <v>91.4304347826087</v>
      </c>
      <c r="K14721" s="398"/>
      <c r="L14721" s="398"/>
      <c r="M14721" s="682"/>
    </row>
    <row r="14722" spans="5:13" hidden="1" x14ac:dyDescent="0.2">
      <c r="F14722" s="494">
        <v>513</v>
      </c>
      <c r="G14722" s="497" t="s">
        <v>4196</v>
      </c>
      <c r="H14722" s="397"/>
      <c r="I14722" s="397"/>
      <c r="J14722" s="750" t="e">
        <f t="shared" si="168"/>
        <v>#DIV/0!</v>
      </c>
      <c r="K14722" s="398"/>
      <c r="L14722" s="398"/>
      <c r="M14722" s="682"/>
    </row>
    <row r="14723" spans="5:13" hidden="1" x14ac:dyDescent="0.2">
      <c r="F14723" s="494">
        <v>514</v>
      </c>
      <c r="G14723" s="495" t="s">
        <v>4197</v>
      </c>
      <c r="H14723" s="397"/>
      <c r="I14723" s="397"/>
      <c r="J14723" s="750" t="e">
        <f t="shared" si="168"/>
        <v>#DIV/0!</v>
      </c>
      <c r="K14723" s="398"/>
      <c r="L14723" s="398"/>
      <c r="M14723" s="682"/>
    </row>
    <row r="14724" spans="5:13" hidden="1" x14ac:dyDescent="0.2">
      <c r="F14724" s="494">
        <v>515</v>
      </c>
      <c r="G14724" s="495" t="s">
        <v>3832</v>
      </c>
      <c r="H14724" s="397"/>
      <c r="I14724" s="397"/>
      <c r="J14724" s="750" t="e">
        <f t="shared" si="168"/>
        <v>#DIV/0!</v>
      </c>
      <c r="K14724" s="398"/>
      <c r="L14724" s="398"/>
      <c r="M14724" s="682"/>
    </row>
    <row r="14725" spans="5:13" hidden="1" x14ac:dyDescent="0.2">
      <c r="F14725" s="494">
        <v>521</v>
      </c>
      <c r="G14725" s="495" t="s">
        <v>4198</v>
      </c>
      <c r="H14725" s="397"/>
      <c r="I14725" s="397"/>
      <c r="J14725" s="750" t="e">
        <f t="shared" si="168"/>
        <v>#DIV/0!</v>
      </c>
      <c r="K14725" s="398"/>
      <c r="L14725" s="398"/>
      <c r="M14725" s="682"/>
    </row>
    <row r="14726" spans="5:13" hidden="1" x14ac:dyDescent="0.2">
      <c r="F14726" s="494">
        <v>522</v>
      </c>
      <c r="G14726" s="495" t="s">
        <v>4199</v>
      </c>
      <c r="H14726" s="397"/>
      <c r="I14726" s="397"/>
      <c r="J14726" s="750" t="e">
        <f t="shared" si="168"/>
        <v>#DIV/0!</v>
      </c>
      <c r="K14726" s="398"/>
      <c r="L14726" s="398"/>
      <c r="M14726" s="682"/>
    </row>
    <row r="14727" spans="5:13" hidden="1" x14ac:dyDescent="0.2">
      <c r="F14727" s="494">
        <v>523</v>
      </c>
      <c r="G14727" s="495" t="s">
        <v>3837</v>
      </c>
      <c r="H14727" s="397"/>
      <c r="I14727" s="397"/>
      <c r="J14727" s="750" t="e">
        <f t="shared" si="168"/>
        <v>#DIV/0!</v>
      </c>
      <c r="K14727" s="398"/>
      <c r="L14727" s="398"/>
      <c r="M14727" s="682"/>
    </row>
    <row r="14728" spans="5:13" hidden="1" x14ac:dyDescent="0.2">
      <c r="F14728" s="494">
        <v>531</v>
      </c>
      <c r="G14728" s="496" t="s">
        <v>4175</v>
      </c>
      <c r="H14728" s="397"/>
      <c r="I14728" s="397"/>
      <c r="J14728" s="750" t="e">
        <f t="shared" si="168"/>
        <v>#DIV/0!</v>
      </c>
      <c r="K14728" s="398"/>
      <c r="L14728" s="398"/>
      <c r="M14728" s="682"/>
    </row>
    <row r="14729" spans="5:13" hidden="1" x14ac:dyDescent="0.2">
      <c r="F14729" s="494">
        <v>541</v>
      </c>
      <c r="G14729" s="495" t="s">
        <v>4200</v>
      </c>
      <c r="H14729" s="397"/>
      <c r="I14729" s="397"/>
      <c r="J14729" s="750" t="e">
        <f t="shared" si="168"/>
        <v>#DIV/0!</v>
      </c>
      <c r="K14729" s="398"/>
      <c r="L14729" s="398"/>
      <c r="M14729" s="682"/>
    </row>
    <row r="14730" spans="5:13" hidden="1" x14ac:dyDescent="0.2">
      <c r="F14730" s="494">
        <v>542</v>
      </c>
      <c r="G14730" s="495" t="s">
        <v>4201</v>
      </c>
      <c r="H14730" s="397"/>
      <c r="I14730" s="397"/>
      <c r="J14730" s="750" t="e">
        <f t="shared" si="168"/>
        <v>#DIV/0!</v>
      </c>
      <c r="K14730" s="398"/>
      <c r="L14730" s="398"/>
      <c r="M14730" s="682"/>
    </row>
    <row r="14731" spans="5:13" hidden="1" x14ac:dyDescent="0.2">
      <c r="F14731" s="494">
        <v>543</v>
      </c>
      <c r="G14731" s="495" t="s">
        <v>3842</v>
      </c>
      <c r="H14731" s="397"/>
      <c r="I14731" s="397"/>
      <c r="J14731" s="750" t="e">
        <f t="shared" si="168"/>
        <v>#DIV/0!</v>
      </c>
      <c r="K14731" s="398"/>
      <c r="L14731" s="398"/>
      <c r="M14731" s="682"/>
    </row>
    <row r="14732" spans="5:13" ht="38.25" hidden="1" x14ac:dyDescent="0.2">
      <c r="F14732" s="494">
        <v>551</v>
      </c>
      <c r="G14732" s="495" t="s">
        <v>4176</v>
      </c>
      <c r="H14732" s="397"/>
      <c r="I14732" s="397"/>
      <c r="J14732" s="750" t="e">
        <f t="shared" si="168"/>
        <v>#DIV/0!</v>
      </c>
      <c r="K14732" s="398"/>
      <c r="L14732" s="398"/>
      <c r="M14732" s="682"/>
    </row>
    <row r="14733" spans="5:13" hidden="1" x14ac:dyDescent="0.2">
      <c r="F14733" s="498">
        <v>611</v>
      </c>
      <c r="G14733" s="499" t="s">
        <v>3848</v>
      </c>
      <c r="H14733" s="397"/>
      <c r="I14733" s="397"/>
      <c r="J14733" s="750" t="e">
        <f t="shared" si="168"/>
        <v>#DIV/0!</v>
      </c>
      <c r="K14733" s="398"/>
      <c r="L14733" s="398"/>
      <c r="M14733" s="682"/>
    </row>
    <row r="14734" spans="5:13" ht="15" customHeight="1" thickBot="1" x14ac:dyDescent="0.25">
      <c r="E14734" s="464" t="s">
        <v>5305</v>
      </c>
      <c r="F14734" s="498">
        <v>511</v>
      </c>
      <c r="G14734" s="499" t="s">
        <v>4194</v>
      </c>
      <c r="H14734" s="397">
        <v>2240000</v>
      </c>
      <c r="I14734" s="397">
        <v>1076879.22</v>
      </c>
      <c r="J14734" s="750">
        <f t="shared" ref="J14734:J14797" si="169">SUM(I14734/H14734)*100</f>
        <v>48.074965178571425</v>
      </c>
      <c r="K14734" s="398"/>
      <c r="L14734" s="398"/>
      <c r="M14734" s="682"/>
    </row>
    <row r="14735" spans="5:13" ht="12.75" customHeight="1" x14ac:dyDescent="0.2">
      <c r="E14735" s="500"/>
      <c r="F14735" s="498"/>
      <c r="G14735" s="501" t="s">
        <v>4398</v>
      </c>
      <c r="H14735" s="400"/>
      <c r="I14735" s="400"/>
      <c r="J14735" s="750"/>
      <c r="K14735" s="401"/>
      <c r="L14735" s="402"/>
      <c r="M14735" s="682"/>
    </row>
    <row r="14736" spans="5:13" x14ac:dyDescent="0.2">
      <c r="E14736" s="502"/>
      <c r="F14736" s="503" t="s">
        <v>234</v>
      </c>
      <c r="G14736" s="504" t="s">
        <v>235</v>
      </c>
      <c r="H14736" s="403">
        <f>SUM(H14675:H14721)</f>
        <v>52136800</v>
      </c>
      <c r="I14736" s="403">
        <f>SUM(I14675:I14721)</f>
        <v>48933350.699999996</v>
      </c>
      <c r="J14736" s="750">
        <f t="shared" si="169"/>
        <v>93.855684852158163</v>
      </c>
      <c r="K14736" s="404"/>
      <c r="L14736" s="404"/>
      <c r="M14736" s="682"/>
    </row>
    <row r="14737" spans="6:13" hidden="1" x14ac:dyDescent="0.2">
      <c r="F14737" s="503" t="s">
        <v>236</v>
      </c>
      <c r="G14737" s="504" t="s">
        <v>237</v>
      </c>
      <c r="H14737" s="397"/>
      <c r="I14737" s="397"/>
      <c r="J14737" s="750" t="e">
        <f t="shared" si="169"/>
        <v>#DIV/0!</v>
      </c>
      <c r="K14737" s="398"/>
      <c r="L14737" s="404"/>
      <c r="M14737" s="682"/>
    </row>
    <row r="14738" spans="6:13" hidden="1" x14ac:dyDescent="0.2">
      <c r="F14738" s="503" t="s">
        <v>238</v>
      </c>
      <c r="G14738" s="504" t="s">
        <v>239</v>
      </c>
      <c r="H14738" s="397"/>
      <c r="I14738" s="397"/>
      <c r="J14738" s="750" t="e">
        <f t="shared" si="169"/>
        <v>#DIV/0!</v>
      </c>
      <c r="K14738" s="398"/>
      <c r="L14738" s="404"/>
      <c r="M14738" s="682"/>
    </row>
    <row r="14739" spans="6:13" hidden="1" x14ac:dyDescent="0.2">
      <c r="F14739" s="503" t="s">
        <v>240</v>
      </c>
      <c r="G14739" s="504" t="s">
        <v>241</v>
      </c>
      <c r="H14739" s="397"/>
      <c r="I14739" s="397"/>
      <c r="J14739" s="750" t="e">
        <f t="shared" si="169"/>
        <v>#DIV/0!</v>
      </c>
      <c r="K14739" s="398"/>
      <c r="L14739" s="404"/>
      <c r="M14739" s="682"/>
    </row>
    <row r="14740" spans="6:13" hidden="1" x14ac:dyDescent="0.2">
      <c r="F14740" s="503" t="s">
        <v>242</v>
      </c>
      <c r="G14740" s="504" t="s">
        <v>243</v>
      </c>
      <c r="H14740" s="397"/>
      <c r="I14740" s="397"/>
      <c r="J14740" s="750" t="e">
        <f t="shared" si="169"/>
        <v>#DIV/0!</v>
      </c>
      <c r="K14740" s="398"/>
      <c r="L14740" s="404"/>
      <c r="M14740" s="682"/>
    </row>
    <row r="14741" spans="6:13" hidden="1" x14ac:dyDescent="0.2">
      <c r="F14741" s="503" t="s">
        <v>244</v>
      </c>
      <c r="G14741" s="504" t="s">
        <v>245</v>
      </c>
      <c r="H14741" s="397"/>
      <c r="I14741" s="397"/>
      <c r="J14741" s="750" t="e">
        <f t="shared" si="169"/>
        <v>#DIV/0!</v>
      </c>
      <c r="K14741" s="398"/>
      <c r="L14741" s="404"/>
      <c r="M14741" s="682"/>
    </row>
    <row r="14742" spans="6:13" hidden="1" x14ac:dyDescent="0.2">
      <c r="F14742" s="503" t="s">
        <v>246</v>
      </c>
      <c r="G14742" s="504" t="s">
        <v>247</v>
      </c>
      <c r="H14742" s="397"/>
      <c r="I14742" s="397"/>
      <c r="J14742" s="750" t="e">
        <f t="shared" si="169"/>
        <v>#DIV/0!</v>
      </c>
      <c r="K14742" s="398"/>
      <c r="L14742" s="404"/>
      <c r="M14742" s="682"/>
    </row>
    <row r="14743" spans="6:13" ht="25.5" hidden="1" x14ac:dyDescent="0.2">
      <c r="F14743" s="503" t="s">
        <v>248</v>
      </c>
      <c r="G14743" s="504" t="s">
        <v>249</v>
      </c>
      <c r="H14743" s="397"/>
      <c r="I14743" s="397"/>
      <c r="J14743" s="750" t="e">
        <f t="shared" si="169"/>
        <v>#DIV/0!</v>
      </c>
      <c r="K14743" s="398"/>
      <c r="L14743" s="404"/>
      <c r="M14743" s="682"/>
    </row>
    <row r="14744" spans="6:13" hidden="1" x14ac:dyDescent="0.2">
      <c r="F14744" s="503" t="s">
        <v>250</v>
      </c>
      <c r="G14744" s="504" t="s">
        <v>57</v>
      </c>
      <c r="H14744" s="397"/>
      <c r="I14744" s="397"/>
      <c r="J14744" s="750" t="e">
        <f t="shared" si="169"/>
        <v>#DIV/0!</v>
      </c>
      <c r="K14744" s="398"/>
      <c r="L14744" s="404"/>
      <c r="M14744" s="682"/>
    </row>
    <row r="14745" spans="6:13" hidden="1" x14ac:dyDescent="0.2">
      <c r="F14745" s="503" t="s">
        <v>251</v>
      </c>
      <c r="G14745" s="504" t="s">
        <v>252</v>
      </c>
      <c r="H14745" s="397"/>
      <c r="I14745" s="397"/>
      <c r="J14745" s="750" t="e">
        <f t="shared" si="169"/>
        <v>#DIV/0!</v>
      </c>
      <c r="K14745" s="398"/>
      <c r="L14745" s="404"/>
      <c r="M14745" s="682"/>
    </row>
    <row r="14746" spans="6:13" hidden="1" x14ac:dyDescent="0.2">
      <c r="F14746" s="503" t="s">
        <v>253</v>
      </c>
      <c r="G14746" s="504" t="s">
        <v>254</v>
      </c>
      <c r="H14746" s="397"/>
      <c r="I14746" s="397"/>
      <c r="J14746" s="750" t="e">
        <f t="shared" si="169"/>
        <v>#DIV/0!</v>
      </c>
      <c r="K14746" s="398"/>
      <c r="L14746" s="404"/>
      <c r="M14746" s="682"/>
    </row>
    <row r="14747" spans="6:13" ht="25.5" hidden="1" x14ac:dyDescent="0.2">
      <c r="F14747" s="503" t="s">
        <v>255</v>
      </c>
      <c r="G14747" s="504" t="s">
        <v>256</v>
      </c>
      <c r="H14747" s="397"/>
      <c r="I14747" s="397"/>
      <c r="J14747" s="750" t="e">
        <f t="shared" si="169"/>
        <v>#DIV/0!</v>
      </c>
      <c r="K14747" s="398"/>
      <c r="L14747" s="404"/>
      <c r="M14747" s="682"/>
    </row>
    <row r="14748" spans="6:13" ht="25.5" hidden="1" x14ac:dyDescent="0.2">
      <c r="F14748" s="503" t="s">
        <v>257</v>
      </c>
      <c r="G14748" s="504" t="s">
        <v>258</v>
      </c>
      <c r="H14748" s="397"/>
      <c r="I14748" s="397"/>
      <c r="J14748" s="750" t="e">
        <f t="shared" si="169"/>
        <v>#DIV/0!</v>
      </c>
      <c r="K14748" s="398"/>
      <c r="L14748" s="404"/>
      <c r="M14748" s="682"/>
    </row>
    <row r="14749" spans="6:13" ht="25.5" hidden="1" x14ac:dyDescent="0.2">
      <c r="F14749" s="503" t="s">
        <v>259</v>
      </c>
      <c r="G14749" s="504" t="s">
        <v>260</v>
      </c>
      <c r="H14749" s="397"/>
      <c r="I14749" s="397"/>
      <c r="J14749" s="750" t="e">
        <f t="shared" si="169"/>
        <v>#DIV/0!</v>
      </c>
      <c r="K14749" s="398"/>
      <c r="L14749" s="404"/>
      <c r="M14749" s="682"/>
    </row>
    <row r="14750" spans="6:13" ht="15.75" customHeight="1" x14ac:dyDescent="0.2">
      <c r="F14750" s="549" t="s">
        <v>246</v>
      </c>
      <c r="G14750" s="504" t="s">
        <v>247</v>
      </c>
      <c r="H14750" s="397"/>
      <c r="I14750" s="397"/>
      <c r="J14750" s="750"/>
      <c r="K14750" s="398"/>
      <c r="L14750" s="404">
        <f>SUM(L14675:L14734)</f>
        <v>1582634.99</v>
      </c>
      <c r="M14750" s="682"/>
    </row>
    <row r="14751" spans="6:13" ht="14.25" customHeight="1" thickBot="1" x14ac:dyDescent="0.25">
      <c r="F14751" s="503" t="s">
        <v>257</v>
      </c>
      <c r="G14751" s="504" t="s">
        <v>258</v>
      </c>
      <c r="H14751" s="403">
        <v>2240000</v>
      </c>
      <c r="I14751" s="403">
        <f>SUM(I14734)</f>
        <v>1076879.22</v>
      </c>
      <c r="J14751" s="750">
        <f t="shared" si="169"/>
        <v>48.074965178571425</v>
      </c>
      <c r="K14751" s="404"/>
      <c r="L14751" s="404"/>
      <c r="M14751" s="682"/>
    </row>
    <row r="14752" spans="6:13" ht="12.75" customHeight="1" thickBot="1" x14ac:dyDescent="0.25">
      <c r="G14752" s="505" t="s">
        <v>4399</v>
      </c>
      <c r="H14752" s="405">
        <f>SUM(H14736:H14751)</f>
        <v>54376800</v>
      </c>
      <c r="I14752" s="405">
        <f>SUM(I14736:I14751)</f>
        <v>50010229.919999994</v>
      </c>
      <c r="J14752" s="750">
        <f t="shared" si="169"/>
        <v>91.969792117226461</v>
      </c>
      <c r="K14752" s="406">
        <f>SUM(K14737:K14751)</f>
        <v>0</v>
      </c>
      <c r="L14752" s="406">
        <f>SUM(L14750)</f>
        <v>1582634.99</v>
      </c>
      <c r="M14752" s="682"/>
    </row>
    <row r="14753" spans="5:13" ht="15" customHeight="1" x14ac:dyDescent="0.2">
      <c r="E14753" s="500"/>
      <c r="F14753" s="498"/>
      <c r="G14753" s="506" t="s">
        <v>4408</v>
      </c>
      <c r="H14753" s="407"/>
      <c r="I14753" s="408"/>
      <c r="J14753" s="750"/>
      <c r="K14753" s="409"/>
      <c r="L14753" s="410"/>
      <c r="M14753" s="682"/>
    </row>
    <row r="14754" spans="5:13" x14ac:dyDescent="0.2">
      <c r="E14754" s="502"/>
      <c r="F14754" s="503" t="s">
        <v>234</v>
      </c>
      <c r="G14754" s="504" t="s">
        <v>235</v>
      </c>
      <c r="H14754" s="403">
        <f>SUM(H14736)</f>
        <v>52136800</v>
      </c>
      <c r="I14754" s="403">
        <f>SUM(I14736)</f>
        <v>48933350.699999996</v>
      </c>
      <c r="J14754" s="750">
        <f t="shared" si="169"/>
        <v>93.855684852158163</v>
      </c>
      <c r="K14754" s="404"/>
      <c r="L14754" s="404"/>
      <c r="M14754" s="682"/>
    </row>
    <row r="14755" spans="5:13" hidden="1" x14ac:dyDescent="0.2">
      <c r="F14755" s="503" t="s">
        <v>236</v>
      </c>
      <c r="G14755" s="504" t="s">
        <v>237</v>
      </c>
      <c r="H14755" s="397"/>
      <c r="I14755" s="397"/>
      <c r="J14755" s="750" t="e">
        <f t="shared" si="169"/>
        <v>#DIV/0!</v>
      </c>
      <c r="K14755" s="398"/>
      <c r="L14755" s="404"/>
      <c r="M14755" s="682"/>
    </row>
    <row r="14756" spans="5:13" hidden="1" x14ac:dyDescent="0.2">
      <c r="F14756" s="503" t="s">
        <v>238</v>
      </c>
      <c r="G14756" s="504" t="s">
        <v>239</v>
      </c>
      <c r="H14756" s="397"/>
      <c r="I14756" s="397"/>
      <c r="J14756" s="750" t="e">
        <f t="shared" si="169"/>
        <v>#DIV/0!</v>
      </c>
      <c r="K14756" s="398"/>
      <c r="L14756" s="404"/>
      <c r="M14756" s="682"/>
    </row>
    <row r="14757" spans="5:13" hidden="1" x14ac:dyDescent="0.2">
      <c r="F14757" s="503" t="s">
        <v>240</v>
      </c>
      <c r="G14757" s="504" t="s">
        <v>241</v>
      </c>
      <c r="H14757" s="397"/>
      <c r="I14757" s="397"/>
      <c r="J14757" s="750" t="e">
        <f t="shared" si="169"/>
        <v>#DIV/0!</v>
      </c>
      <c r="K14757" s="398"/>
      <c r="L14757" s="404"/>
      <c r="M14757" s="682"/>
    </row>
    <row r="14758" spans="5:13" hidden="1" x14ac:dyDescent="0.2">
      <c r="F14758" s="503" t="s">
        <v>242</v>
      </c>
      <c r="G14758" s="504" t="s">
        <v>243</v>
      </c>
      <c r="H14758" s="397"/>
      <c r="I14758" s="397"/>
      <c r="J14758" s="750" t="e">
        <f t="shared" si="169"/>
        <v>#DIV/0!</v>
      </c>
      <c r="K14758" s="398"/>
      <c r="L14758" s="404"/>
      <c r="M14758" s="682"/>
    </row>
    <row r="14759" spans="5:13" hidden="1" x14ac:dyDescent="0.2">
      <c r="F14759" s="503" t="s">
        <v>244</v>
      </c>
      <c r="G14759" s="504" t="s">
        <v>245</v>
      </c>
      <c r="H14759" s="397"/>
      <c r="I14759" s="397"/>
      <c r="J14759" s="750" t="e">
        <f t="shared" si="169"/>
        <v>#DIV/0!</v>
      </c>
      <c r="K14759" s="398"/>
      <c r="L14759" s="404"/>
      <c r="M14759" s="682"/>
    </row>
    <row r="14760" spans="5:13" hidden="1" x14ac:dyDescent="0.2">
      <c r="F14760" s="503" t="s">
        <v>246</v>
      </c>
      <c r="G14760" s="504" t="s">
        <v>247</v>
      </c>
      <c r="H14760" s="397"/>
      <c r="I14760" s="397"/>
      <c r="J14760" s="750" t="e">
        <f t="shared" si="169"/>
        <v>#DIV/0!</v>
      </c>
      <c r="K14760" s="398"/>
      <c r="L14760" s="404"/>
      <c r="M14760" s="682"/>
    </row>
    <row r="14761" spans="5:13" ht="25.5" hidden="1" x14ac:dyDescent="0.2">
      <c r="F14761" s="503" t="s">
        <v>248</v>
      </c>
      <c r="G14761" s="504" t="s">
        <v>249</v>
      </c>
      <c r="H14761" s="397"/>
      <c r="I14761" s="397"/>
      <c r="J14761" s="750" t="e">
        <f t="shared" si="169"/>
        <v>#DIV/0!</v>
      </c>
      <c r="K14761" s="398"/>
      <c r="L14761" s="404"/>
      <c r="M14761" s="682"/>
    </row>
    <row r="14762" spans="5:13" hidden="1" x14ac:dyDescent="0.2">
      <c r="F14762" s="503" t="s">
        <v>250</v>
      </c>
      <c r="G14762" s="504" t="s">
        <v>57</v>
      </c>
      <c r="H14762" s="397"/>
      <c r="I14762" s="397"/>
      <c r="J14762" s="750" t="e">
        <f t="shared" si="169"/>
        <v>#DIV/0!</v>
      </c>
      <c r="K14762" s="398"/>
      <c r="L14762" s="404"/>
      <c r="M14762" s="682"/>
    </row>
    <row r="14763" spans="5:13" hidden="1" x14ac:dyDescent="0.2">
      <c r="F14763" s="503" t="s">
        <v>251</v>
      </c>
      <c r="G14763" s="504" t="s">
        <v>252</v>
      </c>
      <c r="H14763" s="397"/>
      <c r="I14763" s="397"/>
      <c r="J14763" s="750" t="e">
        <f t="shared" si="169"/>
        <v>#DIV/0!</v>
      </c>
      <c r="K14763" s="398"/>
      <c r="L14763" s="404"/>
      <c r="M14763" s="682"/>
    </row>
    <row r="14764" spans="5:13" hidden="1" x14ac:dyDescent="0.2">
      <c r="F14764" s="503" t="s">
        <v>253</v>
      </c>
      <c r="G14764" s="504" t="s">
        <v>254</v>
      </c>
      <c r="H14764" s="397"/>
      <c r="I14764" s="397"/>
      <c r="J14764" s="750" t="e">
        <f t="shared" si="169"/>
        <v>#DIV/0!</v>
      </c>
      <c r="K14764" s="398"/>
      <c r="L14764" s="404"/>
      <c r="M14764" s="682"/>
    </row>
    <row r="14765" spans="5:13" ht="25.5" hidden="1" x14ac:dyDescent="0.2">
      <c r="F14765" s="503" t="s">
        <v>255</v>
      </c>
      <c r="G14765" s="504" t="s">
        <v>256</v>
      </c>
      <c r="H14765" s="397"/>
      <c r="I14765" s="397"/>
      <c r="J14765" s="750" t="e">
        <f t="shared" si="169"/>
        <v>#DIV/0!</v>
      </c>
      <c r="K14765" s="398"/>
      <c r="L14765" s="404"/>
      <c r="M14765" s="682"/>
    </row>
    <row r="14766" spans="5:13" ht="25.5" hidden="1" x14ac:dyDescent="0.2">
      <c r="F14766" s="503" t="s">
        <v>257</v>
      </c>
      <c r="G14766" s="504" t="s">
        <v>258</v>
      </c>
      <c r="H14766" s="397"/>
      <c r="I14766" s="397"/>
      <c r="J14766" s="750" t="e">
        <f t="shared" si="169"/>
        <v>#DIV/0!</v>
      </c>
      <c r="K14766" s="398"/>
      <c r="L14766" s="404"/>
      <c r="M14766" s="682"/>
    </row>
    <row r="14767" spans="5:13" ht="25.5" hidden="1" x14ac:dyDescent="0.2">
      <c r="F14767" s="503" t="s">
        <v>259</v>
      </c>
      <c r="G14767" s="504" t="s">
        <v>260</v>
      </c>
      <c r="H14767" s="397"/>
      <c r="I14767" s="397"/>
      <c r="J14767" s="750" t="e">
        <f t="shared" si="169"/>
        <v>#DIV/0!</v>
      </c>
      <c r="K14767" s="398"/>
      <c r="L14767" s="404"/>
      <c r="M14767" s="682"/>
    </row>
    <row r="14768" spans="5:13" ht="15.75" customHeight="1" x14ac:dyDescent="0.2">
      <c r="F14768" s="549" t="s">
        <v>246</v>
      </c>
      <c r="G14768" s="504" t="s">
        <v>247</v>
      </c>
      <c r="H14768" s="397"/>
      <c r="I14768" s="397"/>
      <c r="J14768" s="750"/>
      <c r="K14768" s="398"/>
      <c r="L14768" s="404">
        <f>SUM(L14752)</f>
        <v>1582634.99</v>
      </c>
      <c r="M14768" s="682"/>
    </row>
    <row r="14769" spans="3:13" ht="14.25" customHeight="1" thickBot="1" x14ac:dyDescent="0.25">
      <c r="F14769" s="503" t="s">
        <v>257</v>
      </c>
      <c r="G14769" s="504" t="s">
        <v>258</v>
      </c>
      <c r="H14769" s="403">
        <v>2240000</v>
      </c>
      <c r="I14769" s="403">
        <f>SUM(I14751)</f>
        <v>1076879.22</v>
      </c>
      <c r="J14769" s="750">
        <f t="shared" si="169"/>
        <v>48.074965178571425</v>
      </c>
      <c r="K14769" s="404"/>
      <c r="L14769" s="404"/>
      <c r="M14769" s="682"/>
    </row>
    <row r="14770" spans="3:13" ht="13.5" thickBot="1" x14ac:dyDescent="0.25">
      <c r="G14770" s="505" t="s">
        <v>4409</v>
      </c>
      <c r="H14770" s="405">
        <f>SUM(H14754:H14769)</f>
        <v>54376800</v>
      </c>
      <c r="I14770" s="405">
        <f>SUM(I14754:I14769)</f>
        <v>50010229.919999994</v>
      </c>
      <c r="J14770" s="750">
        <f t="shared" si="169"/>
        <v>91.969792117226461</v>
      </c>
      <c r="K14770" s="406">
        <f>SUM(K14755:K14769)</f>
        <v>0</v>
      </c>
      <c r="L14770" s="406">
        <f>SUM(L14768)</f>
        <v>1582634.99</v>
      </c>
      <c r="M14770" s="682"/>
    </row>
    <row r="14771" spans="3:13" ht="0.75" customHeight="1" x14ac:dyDescent="0.2">
      <c r="H14771" s="397"/>
      <c r="I14771" s="397"/>
      <c r="J14771" s="750" t="e">
        <f t="shared" si="169"/>
        <v>#DIV/0!</v>
      </c>
      <c r="K14771" s="398"/>
      <c r="L14771" s="398"/>
      <c r="M14771" s="682"/>
    </row>
    <row r="14772" spans="3:13" x14ac:dyDescent="0.2">
      <c r="C14772" s="531" t="s">
        <v>4406</v>
      </c>
      <c r="D14772" s="490"/>
      <c r="E14772" s="490"/>
      <c r="F14772" s="532"/>
      <c r="G14772" s="644" t="s">
        <v>175</v>
      </c>
      <c r="H14772" s="422"/>
      <c r="I14772" s="422"/>
      <c r="J14772" s="750"/>
      <c r="K14772" s="423"/>
      <c r="L14772" s="424"/>
      <c r="M14772" s="682"/>
    </row>
    <row r="14773" spans="3:13" x14ac:dyDescent="0.2">
      <c r="C14773" s="489"/>
      <c r="D14773" s="492">
        <v>520</v>
      </c>
      <c r="E14773" s="492"/>
      <c r="F14773" s="492"/>
      <c r="G14773" s="493" t="s">
        <v>175</v>
      </c>
      <c r="H14773" s="397"/>
      <c r="I14773" s="397"/>
      <c r="J14773" s="750"/>
      <c r="K14773" s="398"/>
      <c r="L14773" s="398"/>
      <c r="M14773" s="682"/>
    </row>
    <row r="14774" spans="3:13" hidden="1" x14ac:dyDescent="0.2">
      <c r="F14774" s="494">
        <v>411</v>
      </c>
      <c r="G14774" s="495" t="s">
        <v>4167</v>
      </c>
      <c r="H14774" s="397"/>
      <c r="I14774" s="397"/>
      <c r="J14774" s="750" t="e">
        <f t="shared" si="169"/>
        <v>#DIV/0!</v>
      </c>
      <c r="K14774" s="398"/>
      <c r="L14774" s="398"/>
      <c r="M14774" s="682"/>
    </row>
    <row r="14775" spans="3:13" hidden="1" x14ac:dyDescent="0.2">
      <c r="F14775" s="494">
        <v>412</v>
      </c>
      <c r="G14775" s="496" t="s">
        <v>3764</v>
      </c>
      <c r="H14775" s="397"/>
      <c r="I14775" s="397"/>
      <c r="J14775" s="750" t="e">
        <f t="shared" si="169"/>
        <v>#DIV/0!</v>
      </c>
      <c r="K14775" s="398"/>
      <c r="L14775" s="398"/>
      <c r="M14775" s="682"/>
    </row>
    <row r="14776" spans="3:13" hidden="1" x14ac:dyDescent="0.2">
      <c r="F14776" s="494">
        <v>413</v>
      </c>
      <c r="G14776" s="495" t="s">
        <v>4168</v>
      </c>
      <c r="H14776" s="397"/>
      <c r="I14776" s="397"/>
      <c r="J14776" s="750" t="e">
        <f t="shared" si="169"/>
        <v>#DIV/0!</v>
      </c>
      <c r="K14776" s="398"/>
      <c r="L14776" s="398"/>
      <c r="M14776" s="682"/>
    </row>
    <row r="14777" spans="3:13" hidden="1" x14ac:dyDescent="0.2">
      <c r="F14777" s="494">
        <v>414</v>
      </c>
      <c r="G14777" s="495" t="s">
        <v>3767</v>
      </c>
      <c r="H14777" s="397"/>
      <c r="I14777" s="397"/>
      <c r="J14777" s="750" t="e">
        <f t="shared" si="169"/>
        <v>#DIV/0!</v>
      </c>
      <c r="K14777" s="398"/>
      <c r="L14777" s="398"/>
      <c r="M14777" s="682"/>
    </row>
    <row r="14778" spans="3:13" hidden="1" x14ac:dyDescent="0.2">
      <c r="F14778" s="494">
        <v>415</v>
      </c>
      <c r="G14778" s="495" t="s">
        <v>4177</v>
      </c>
      <c r="H14778" s="397"/>
      <c r="I14778" s="397"/>
      <c r="J14778" s="750" t="e">
        <f t="shared" si="169"/>
        <v>#DIV/0!</v>
      </c>
      <c r="K14778" s="398"/>
      <c r="L14778" s="398"/>
      <c r="M14778" s="682"/>
    </row>
    <row r="14779" spans="3:13" ht="25.5" hidden="1" x14ac:dyDescent="0.2">
      <c r="F14779" s="494">
        <v>416</v>
      </c>
      <c r="G14779" s="495" t="s">
        <v>4178</v>
      </c>
      <c r="H14779" s="397"/>
      <c r="I14779" s="397"/>
      <c r="J14779" s="750" t="e">
        <f t="shared" si="169"/>
        <v>#DIV/0!</v>
      </c>
      <c r="K14779" s="398"/>
      <c r="L14779" s="398"/>
      <c r="M14779" s="682"/>
    </row>
    <row r="14780" spans="3:13" hidden="1" x14ac:dyDescent="0.2">
      <c r="F14780" s="494">
        <v>417</v>
      </c>
      <c r="G14780" s="495" t="s">
        <v>4179</v>
      </c>
      <c r="H14780" s="397"/>
      <c r="I14780" s="397"/>
      <c r="J14780" s="750" t="e">
        <f t="shared" si="169"/>
        <v>#DIV/0!</v>
      </c>
      <c r="K14780" s="398"/>
      <c r="L14780" s="398"/>
      <c r="M14780" s="682"/>
    </row>
    <row r="14781" spans="3:13" hidden="1" x14ac:dyDescent="0.2">
      <c r="F14781" s="494">
        <v>418</v>
      </c>
      <c r="G14781" s="495" t="s">
        <v>3773</v>
      </c>
      <c r="H14781" s="397"/>
      <c r="I14781" s="397"/>
      <c r="J14781" s="750" t="e">
        <f t="shared" si="169"/>
        <v>#DIV/0!</v>
      </c>
      <c r="K14781" s="398"/>
      <c r="L14781" s="398"/>
      <c r="M14781" s="682"/>
    </row>
    <row r="14782" spans="3:13" x14ac:dyDescent="0.2">
      <c r="E14782" s="464">
        <v>150</v>
      </c>
      <c r="F14782" s="494">
        <v>421</v>
      </c>
      <c r="G14782" s="495" t="s">
        <v>3777</v>
      </c>
      <c r="H14782" s="397">
        <v>100000</v>
      </c>
      <c r="I14782" s="397">
        <v>0</v>
      </c>
      <c r="J14782" s="750">
        <f t="shared" si="169"/>
        <v>0</v>
      </c>
      <c r="K14782" s="398"/>
      <c r="L14782" s="398"/>
      <c r="M14782" s="682"/>
    </row>
    <row r="14783" spans="3:13" x14ac:dyDescent="0.2">
      <c r="E14783" s="464">
        <v>151</v>
      </c>
      <c r="F14783" s="494">
        <v>422</v>
      </c>
      <c r="G14783" s="495" t="s">
        <v>3778</v>
      </c>
      <c r="H14783" s="397">
        <v>20000</v>
      </c>
      <c r="I14783" s="397">
        <v>7588</v>
      </c>
      <c r="J14783" s="750">
        <f t="shared" si="169"/>
        <v>37.940000000000005</v>
      </c>
      <c r="K14783" s="398"/>
      <c r="L14783" s="398"/>
      <c r="M14783" s="682"/>
    </row>
    <row r="14784" spans="3:13" hidden="1" x14ac:dyDescent="0.2">
      <c r="F14784" s="494">
        <v>423</v>
      </c>
      <c r="G14784" s="495" t="s">
        <v>3779</v>
      </c>
      <c r="H14784" s="397"/>
      <c r="I14784" s="397"/>
      <c r="J14784" s="750" t="e">
        <f t="shared" si="169"/>
        <v>#DIV/0!</v>
      </c>
      <c r="K14784" s="398"/>
      <c r="L14784" s="398"/>
      <c r="M14784" s="682"/>
    </row>
    <row r="14785" spans="5:13" x14ac:dyDescent="0.2">
      <c r="E14785" s="464">
        <v>152</v>
      </c>
      <c r="F14785" s="494">
        <v>424</v>
      </c>
      <c r="G14785" s="495" t="s">
        <v>3781</v>
      </c>
      <c r="H14785" s="397">
        <v>100000</v>
      </c>
      <c r="I14785" s="397">
        <v>34400</v>
      </c>
      <c r="J14785" s="750">
        <f t="shared" si="169"/>
        <v>34.4</v>
      </c>
      <c r="K14785" s="398"/>
      <c r="L14785" s="398"/>
      <c r="M14785" s="682"/>
    </row>
    <row r="14786" spans="5:13" ht="13.5" thickBot="1" x14ac:dyDescent="0.25">
      <c r="E14786" s="464">
        <v>153</v>
      </c>
      <c r="F14786" s="494">
        <v>425</v>
      </c>
      <c r="G14786" s="495" t="s">
        <v>4180</v>
      </c>
      <c r="H14786" s="397">
        <v>400000</v>
      </c>
      <c r="I14786" s="397">
        <v>247045.25</v>
      </c>
      <c r="J14786" s="750">
        <f t="shared" si="169"/>
        <v>61.761312499999995</v>
      </c>
      <c r="K14786" s="398"/>
      <c r="L14786" s="398"/>
      <c r="M14786" s="682"/>
    </row>
    <row r="14787" spans="5:13" ht="13.5" hidden="1" thickBot="1" x14ac:dyDescent="0.25">
      <c r="F14787" s="494">
        <v>426</v>
      </c>
      <c r="G14787" s="495" t="s">
        <v>3785</v>
      </c>
      <c r="H14787" s="397"/>
      <c r="I14787" s="397"/>
      <c r="J14787" s="750" t="e">
        <f t="shared" si="169"/>
        <v>#DIV/0!</v>
      </c>
      <c r="K14787" s="398"/>
      <c r="L14787" s="398"/>
      <c r="M14787" s="682"/>
    </row>
    <row r="14788" spans="5:13" ht="13.5" hidden="1" thickBot="1" x14ac:dyDescent="0.25">
      <c r="F14788" s="494">
        <v>431</v>
      </c>
      <c r="G14788" s="495" t="s">
        <v>4181</v>
      </c>
      <c r="H14788" s="397"/>
      <c r="I14788" s="397"/>
      <c r="J14788" s="750" t="e">
        <f t="shared" si="169"/>
        <v>#DIV/0!</v>
      </c>
      <c r="K14788" s="398"/>
      <c r="L14788" s="398"/>
      <c r="M14788" s="682"/>
    </row>
    <row r="14789" spans="5:13" ht="13.5" hidden="1" thickBot="1" x14ac:dyDescent="0.25">
      <c r="F14789" s="494">
        <v>432</v>
      </c>
      <c r="G14789" s="495" t="s">
        <v>4182</v>
      </c>
      <c r="H14789" s="397"/>
      <c r="I14789" s="397"/>
      <c r="J14789" s="750" t="e">
        <f t="shared" si="169"/>
        <v>#DIV/0!</v>
      </c>
      <c r="K14789" s="398"/>
      <c r="L14789" s="398"/>
      <c r="M14789" s="682"/>
    </row>
    <row r="14790" spans="5:13" ht="13.5" hidden="1" thickBot="1" x14ac:dyDescent="0.25">
      <c r="F14790" s="494">
        <v>433</v>
      </c>
      <c r="G14790" s="495" t="s">
        <v>4183</v>
      </c>
      <c r="H14790" s="397"/>
      <c r="I14790" s="397"/>
      <c r="J14790" s="750" t="e">
        <f t="shared" si="169"/>
        <v>#DIV/0!</v>
      </c>
      <c r="K14790" s="398"/>
      <c r="L14790" s="398"/>
      <c r="M14790" s="682"/>
    </row>
    <row r="14791" spans="5:13" ht="13.5" hidden="1" thickBot="1" x14ac:dyDescent="0.25">
      <c r="F14791" s="494">
        <v>434</v>
      </c>
      <c r="G14791" s="495" t="s">
        <v>4184</v>
      </c>
      <c r="H14791" s="397"/>
      <c r="I14791" s="397"/>
      <c r="J14791" s="750" t="e">
        <f t="shared" si="169"/>
        <v>#DIV/0!</v>
      </c>
      <c r="K14791" s="398"/>
      <c r="L14791" s="398"/>
      <c r="M14791" s="682"/>
    </row>
    <row r="14792" spans="5:13" ht="13.5" hidden="1" thickBot="1" x14ac:dyDescent="0.25">
      <c r="F14792" s="494">
        <v>435</v>
      </c>
      <c r="G14792" s="495" t="s">
        <v>3792</v>
      </c>
      <c r="H14792" s="397"/>
      <c r="I14792" s="397"/>
      <c r="J14792" s="750" t="e">
        <f t="shared" si="169"/>
        <v>#DIV/0!</v>
      </c>
      <c r="K14792" s="398"/>
      <c r="L14792" s="398"/>
      <c r="M14792" s="682"/>
    </row>
    <row r="14793" spans="5:13" ht="13.5" hidden="1" thickBot="1" x14ac:dyDescent="0.25">
      <c r="F14793" s="494">
        <v>441</v>
      </c>
      <c r="G14793" s="495" t="s">
        <v>4185</v>
      </c>
      <c r="H14793" s="397"/>
      <c r="I14793" s="397"/>
      <c r="J14793" s="750" t="e">
        <f t="shared" si="169"/>
        <v>#DIV/0!</v>
      </c>
      <c r="K14793" s="398"/>
      <c r="L14793" s="398"/>
      <c r="M14793" s="682"/>
    </row>
    <row r="14794" spans="5:13" ht="13.5" hidden="1" thickBot="1" x14ac:dyDescent="0.25">
      <c r="F14794" s="494">
        <v>442</v>
      </c>
      <c r="G14794" s="495" t="s">
        <v>4186</v>
      </c>
      <c r="H14794" s="397"/>
      <c r="I14794" s="397"/>
      <c r="J14794" s="750" t="e">
        <f t="shared" si="169"/>
        <v>#DIV/0!</v>
      </c>
      <c r="K14794" s="398"/>
      <c r="L14794" s="398"/>
      <c r="M14794" s="682"/>
    </row>
    <row r="14795" spans="5:13" ht="13.5" hidden="1" thickBot="1" x14ac:dyDescent="0.25">
      <c r="F14795" s="494">
        <v>443</v>
      </c>
      <c r="G14795" s="495" t="s">
        <v>3797</v>
      </c>
      <c r="H14795" s="397"/>
      <c r="I14795" s="397"/>
      <c r="J14795" s="750" t="e">
        <f t="shared" si="169"/>
        <v>#DIV/0!</v>
      </c>
      <c r="K14795" s="398"/>
      <c r="L14795" s="398"/>
      <c r="M14795" s="682"/>
    </row>
    <row r="14796" spans="5:13" ht="13.5" hidden="1" thickBot="1" x14ac:dyDescent="0.25">
      <c r="F14796" s="494">
        <v>444</v>
      </c>
      <c r="G14796" s="495" t="s">
        <v>3798</v>
      </c>
      <c r="H14796" s="397"/>
      <c r="I14796" s="397"/>
      <c r="J14796" s="750" t="e">
        <f t="shared" si="169"/>
        <v>#DIV/0!</v>
      </c>
      <c r="K14796" s="398"/>
      <c r="L14796" s="398"/>
      <c r="M14796" s="682"/>
    </row>
    <row r="14797" spans="5:13" ht="26.25" hidden="1" thickBot="1" x14ac:dyDescent="0.25">
      <c r="F14797" s="494">
        <v>4511</v>
      </c>
      <c r="G14797" s="466" t="s">
        <v>1692</v>
      </c>
      <c r="H14797" s="397"/>
      <c r="I14797" s="397"/>
      <c r="J14797" s="750" t="e">
        <f t="shared" si="169"/>
        <v>#DIV/0!</v>
      </c>
      <c r="K14797" s="398"/>
      <c r="L14797" s="398"/>
      <c r="M14797" s="682"/>
    </row>
    <row r="14798" spans="5:13" ht="26.25" hidden="1" thickBot="1" x14ac:dyDescent="0.25">
      <c r="F14798" s="494">
        <v>4512</v>
      </c>
      <c r="G14798" s="466" t="s">
        <v>1701</v>
      </c>
      <c r="H14798" s="397"/>
      <c r="I14798" s="397"/>
      <c r="J14798" s="750" t="e">
        <f t="shared" ref="J14798:J14861" si="170">SUM(I14798/H14798)*100</f>
        <v>#DIV/0!</v>
      </c>
      <c r="K14798" s="398"/>
      <c r="L14798" s="398"/>
      <c r="M14798" s="682"/>
    </row>
    <row r="14799" spans="5:13" ht="26.25" hidden="1" thickBot="1" x14ac:dyDescent="0.25">
      <c r="F14799" s="494">
        <v>452</v>
      </c>
      <c r="G14799" s="495" t="s">
        <v>4187</v>
      </c>
      <c r="H14799" s="397"/>
      <c r="I14799" s="397"/>
      <c r="J14799" s="750" t="e">
        <f t="shared" si="170"/>
        <v>#DIV/0!</v>
      </c>
      <c r="K14799" s="398"/>
      <c r="L14799" s="398"/>
      <c r="M14799" s="682"/>
    </row>
    <row r="14800" spans="5:13" ht="26.25" hidden="1" thickBot="1" x14ac:dyDescent="0.25">
      <c r="F14800" s="494">
        <v>453</v>
      </c>
      <c r="G14800" s="495" t="s">
        <v>4188</v>
      </c>
      <c r="H14800" s="397"/>
      <c r="I14800" s="397"/>
      <c r="J14800" s="750" t="e">
        <f t="shared" si="170"/>
        <v>#DIV/0!</v>
      </c>
      <c r="K14800" s="398"/>
      <c r="L14800" s="398"/>
      <c r="M14800" s="682"/>
    </row>
    <row r="14801" spans="6:13" ht="13.5" hidden="1" thickBot="1" x14ac:dyDescent="0.25">
      <c r="F14801" s="494">
        <v>454</v>
      </c>
      <c r="G14801" s="495" t="s">
        <v>3803</v>
      </c>
      <c r="H14801" s="397"/>
      <c r="I14801" s="397"/>
      <c r="J14801" s="750" t="e">
        <f t="shared" si="170"/>
        <v>#DIV/0!</v>
      </c>
      <c r="K14801" s="398"/>
      <c r="L14801" s="398"/>
      <c r="M14801" s="682"/>
    </row>
    <row r="14802" spans="6:13" ht="13.5" hidden="1" thickBot="1" x14ac:dyDescent="0.25">
      <c r="F14802" s="494">
        <v>461</v>
      </c>
      <c r="G14802" s="495" t="s">
        <v>4169</v>
      </c>
      <c r="H14802" s="397"/>
      <c r="I14802" s="397"/>
      <c r="J14802" s="750" t="e">
        <f t="shared" si="170"/>
        <v>#DIV/0!</v>
      </c>
      <c r="K14802" s="398"/>
      <c r="L14802" s="398"/>
      <c r="M14802" s="682"/>
    </row>
    <row r="14803" spans="6:13" ht="26.25" hidden="1" thickBot="1" x14ac:dyDescent="0.25">
      <c r="F14803" s="494">
        <v>462</v>
      </c>
      <c r="G14803" s="495" t="s">
        <v>3806</v>
      </c>
      <c r="H14803" s="397"/>
      <c r="I14803" s="397"/>
      <c r="J14803" s="750" t="e">
        <f t="shared" si="170"/>
        <v>#DIV/0!</v>
      </c>
      <c r="K14803" s="398"/>
      <c r="L14803" s="398"/>
      <c r="M14803" s="682"/>
    </row>
    <row r="14804" spans="6:13" ht="13.5" hidden="1" thickBot="1" x14ac:dyDescent="0.25">
      <c r="F14804" s="494">
        <v>4631</v>
      </c>
      <c r="G14804" s="495" t="s">
        <v>3807</v>
      </c>
      <c r="H14804" s="397"/>
      <c r="I14804" s="397"/>
      <c r="J14804" s="750" t="e">
        <f t="shared" si="170"/>
        <v>#DIV/0!</v>
      </c>
      <c r="K14804" s="398"/>
      <c r="L14804" s="398"/>
      <c r="M14804" s="682"/>
    </row>
    <row r="14805" spans="6:13" ht="13.5" hidden="1" thickBot="1" x14ac:dyDescent="0.25">
      <c r="F14805" s="494">
        <v>4632</v>
      </c>
      <c r="G14805" s="495" t="s">
        <v>3808</v>
      </c>
      <c r="H14805" s="397"/>
      <c r="I14805" s="397"/>
      <c r="J14805" s="750" t="e">
        <f t="shared" si="170"/>
        <v>#DIV/0!</v>
      </c>
      <c r="K14805" s="398"/>
      <c r="L14805" s="398"/>
      <c r="M14805" s="682"/>
    </row>
    <row r="14806" spans="6:13" ht="26.25" hidden="1" thickBot="1" x14ac:dyDescent="0.25">
      <c r="F14806" s="494">
        <v>464</v>
      </c>
      <c r="G14806" s="495" t="s">
        <v>3809</v>
      </c>
      <c r="H14806" s="397"/>
      <c r="I14806" s="397"/>
      <c r="J14806" s="750" t="e">
        <f t="shared" si="170"/>
        <v>#DIV/0!</v>
      </c>
      <c r="K14806" s="398"/>
      <c r="L14806" s="398"/>
      <c r="M14806" s="682"/>
    </row>
    <row r="14807" spans="6:13" ht="13.5" hidden="1" thickBot="1" x14ac:dyDescent="0.25">
      <c r="F14807" s="494">
        <v>465</v>
      </c>
      <c r="G14807" s="495" t="s">
        <v>4170</v>
      </c>
      <c r="H14807" s="397"/>
      <c r="I14807" s="397"/>
      <c r="J14807" s="750" t="e">
        <f t="shared" si="170"/>
        <v>#DIV/0!</v>
      </c>
      <c r="K14807" s="398"/>
      <c r="L14807" s="398"/>
      <c r="M14807" s="682"/>
    </row>
    <row r="14808" spans="6:13" ht="13.5" hidden="1" thickBot="1" x14ac:dyDescent="0.25">
      <c r="F14808" s="494">
        <v>472</v>
      </c>
      <c r="G14808" s="495" t="s">
        <v>3813</v>
      </c>
      <c r="H14808" s="397"/>
      <c r="I14808" s="397"/>
      <c r="J14808" s="750" t="e">
        <f t="shared" si="170"/>
        <v>#DIV/0!</v>
      </c>
      <c r="K14808" s="398"/>
      <c r="L14808" s="398"/>
      <c r="M14808" s="682"/>
    </row>
    <row r="14809" spans="6:13" ht="13.5" hidden="1" thickBot="1" x14ac:dyDescent="0.25">
      <c r="F14809" s="494">
        <v>481</v>
      </c>
      <c r="G14809" s="495" t="s">
        <v>4189</v>
      </c>
      <c r="H14809" s="397"/>
      <c r="I14809" s="397"/>
      <c r="J14809" s="750" t="e">
        <f t="shared" si="170"/>
        <v>#DIV/0!</v>
      </c>
      <c r="K14809" s="398"/>
      <c r="L14809" s="398"/>
      <c r="M14809" s="682"/>
    </row>
    <row r="14810" spans="6:13" ht="13.5" hidden="1" thickBot="1" x14ac:dyDescent="0.25">
      <c r="F14810" s="494">
        <v>482</v>
      </c>
      <c r="G14810" s="495" t="s">
        <v>4190</v>
      </c>
      <c r="H14810" s="397"/>
      <c r="I14810" s="397"/>
      <c r="J14810" s="750" t="e">
        <f t="shared" si="170"/>
        <v>#DIV/0!</v>
      </c>
      <c r="K14810" s="398"/>
      <c r="L14810" s="398"/>
      <c r="M14810" s="682"/>
    </row>
    <row r="14811" spans="6:13" ht="13.5" hidden="1" thickBot="1" x14ac:dyDescent="0.25">
      <c r="F14811" s="494">
        <v>483</v>
      </c>
      <c r="G14811" s="497" t="s">
        <v>4191</v>
      </c>
      <c r="H14811" s="397"/>
      <c r="I14811" s="397"/>
      <c r="J14811" s="750" t="e">
        <f t="shared" si="170"/>
        <v>#DIV/0!</v>
      </c>
      <c r="K14811" s="398"/>
      <c r="L14811" s="398"/>
      <c r="M14811" s="682"/>
    </row>
    <row r="14812" spans="6:13" ht="39" hidden="1" thickBot="1" x14ac:dyDescent="0.25">
      <c r="F14812" s="494">
        <v>484</v>
      </c>
      <c r="G14812" s="495" t="s">
        <v>4192</v>
      </c>
      <c r="H14812" s="397"/>
      <c r="I14812" s="397"/>
      <c r="J14812" s="750" t="e">
        <f t="shared" si="170"/>
        <v>#DIV/0!</v>
      </c>
      <c r="K14812" s="398"/>
      <c r="L14812" s="398"/>
      <c r="M14812" s="682"/>
    </row>
    <row r="14813" spans="6:13" ht="26.25" hidden="1" thickBot="1" x14ac:dyDescent="0.25">
      <c r="F14813" s="494">
        <v>485</v>
      </c>
      <c r="G14813" s="495" t="s">
        <v>4193</v>
      </c>
      <c r="H14813" s="397"/>
      <c r="I14813" s="397"/>
      <c r="J14813" s="750" t="e">
        <f t="shared" si="170"/>
        <v>#DIV/0!</v>
      </c>
      <c r="K14813" s="398"/>
      <c r="L14813" s="398"/>
      <c r="M14813" s="682"/>
    </row>
    <row r="14814" spans="6:13" ht="26.25" hidden="1" thickBot="1" x14ac:dyDescent="0.25">
      <c r="F14814" s="494">
        <v>489</v>
      </c>
      <c r="G14814" s="495" t="s">
        <v>3821</v>
      </c>
      <c r="H14814" s="397"/>
      <c r="I14814" s="397"/>
      <c r="J14814" s="750" t="e">
        <f t="shared" si="170"/>
        <v>#DIV/0!</v>
      </c>
      <c r="K14814" s="398"/>
      <c r="L14814" s="398"/>
      <c r="M14814" s="682"/>
    </row>
    <row r="14815" spans="6:13" ht="26.25" hidden="1" thickBot="1" x14ac:dyDescent="0.25">
      <c r="F14815" s="494">
        <v>494</v>
      </c>
      <c r="G14815" s="495" t="s">
        <v>4171</v>
      </c>
      <c r="H14815" s="397"/>
      <c r="I14815" s="397"/>
      <c r="J14815" s="750" t="e">
        <f t="shared" si="170"/>
        <v>#DIV/0!</v>
      </c>
      <c r="K14815" s="398"/>
      <c r="L14815" s="398"/>
      <c r="M14815" s="682"/>
    </row>
    <row r="14816" spans="6:13" ht="26.25" hidden="1" thickBot="1" x14ac:dyDescent="0.25">
      <c r="F14816" s="494">
        <v>495</v>
      </c>
      <c r="G14816" s="495" t="s">
        <v>4172</v>
      </c>
      <c r="H14816" s="397"/>
      <c r="I14816" s="397"/>
      <c r="J14816" s="750" t="e">
        <f t="shared" si="170"/>
        <v>#DIV/0!</v>
      </c>
      <c r="K14816" s="398"/>
      <c r="L14816" s="398"/>
      <c r="M14816" s="682"/>
    </row>
    <row r="14817" spans="6:13" ht="39" hidden="1" thickBot="1" x14ac:dyDescent="0.25">
      <c r="F14817" s="494">
        <v>496</v>
      </c>
      <c r="G14817" s="495" t="s">
        <v>4173</v>
      </c>
      <c r="H14817" s="397"/>
      <c r="I14817" s="397"/>
      <c r="J14817" s="750" t="e">
        <f t="shared" si="170"/>
        <v>#DIV/0!</v>
      </c>
      <c r="K14817" s="398"/>
      <c r="L14817" s="398"/>
      <c r="M14817" s="682"/>
    </row>
    <row r="14818" spans="6:13" ht="26.25" hidden="1" thickBot="1" x14ac:dyDescent="0.25">
      <c r="F14818" s="494">
        <v>499</v>
      </c>
      <c r="G14818" s="495" t="s">
        <v>4174</v>
      </c>
      <c r="H14818" s="397"/>
      <c r="I14818" s="397"/>
      <c r="J14818" s="750" t="e">
        <f t="shared" si="170"/>
        <v>#DIV/0!</v>
      </c>
      <c r="K14818" s="398"/>
      <c r="L14818" s="398"/>
      <c r="M14818" s="682"/>
    </row>
    <row r="14819" spans="6:13" ht="13.5" hidden="1" thickBot="1" x14ac:dyDescent="0.25">
      <c r="F14819" s="494">
        <v>511</v>
      </c>
      <c r="G14819" s="497" t="s">
        <v>4194</v>
      </c>
      <c r="H14819" s="397"/>
      <c r="I14819" s="397"/>
      <c r="J14819" s="750" t="e">
        <f t="shared" si="170"/>
        <v>#DIV/0!</v>
      </c>
      <c r="K14819" s="398"/>
      <c r="L14819" s="398"/>
      <c r="M14819" s="682"/>
    </row>
    <row r="14820" spans="6:13" ht="13.5" hidden="1" thickBot="1" x14ac:dyDescent="0.25">
      <c r="F14820" s="494">
        <v>512</v>
      </c>
      <c r="G14820" s="497" t="s">
        <v>4195</v>
      </c>
      <c r="H14820" s="397"/>
      <c r="I14820" s="397"/>
      <c r="J14820" s="750" t="e">
        <f t="shared" si="170"/>
        <v>#DIV/0!</v>
      </c>
      <c r="K14820" s="398"/>
      <c r="L14820" s="398"/>
      <c r="M14820" s="682"/>
    </row>
    <row r="14821" spans="6:13" ht="13.5" hidden="1" thickBot="1" x14ac:dyDescent="0.25">
      <c r="F14821" s="494">
        <v>513</v>
      </c>
      <c r="G14821" s="497" t="s">
        <v>4196</v>
      </c>
      <c r="H14821" s="397"/>
      <c r="I14821" s="397"/>
      <c r="J14821" s="750" t="e">
        <f t="shared" si="170"/>
        <v>#DIV/0!</v>
      </c>
      <c r="K14821" s="398"/>
      <c r="L14821" s="398"/>
      <c r="M14821" s="682"/>
    </row>
    <row r="14822" spans="6:13" ht="13.5" hidden="1" thickBot="1" x14ac:dyDescent="0.25">
      <c r="F14822" s="494">
        <v>514</v>
      </c>
      <c r="G14822" s="495" t="s">
        <v>4197</v>
      </c>
      <c r="H14822" s="397"/>
      <c r="I14822" s="397"/>
      <c r="J14822" s="750" t="e">
        <f t="shared" si="170"/>
        <v>#DIV/0!</v>
      </c>
      <c r="K14822" s="398"/>
      <c r="L14822" s="398"/>
      <c r="M14822" s="682"/>
    </row>
    <row r="14823" spans="6:13" ht="13.5" hidden="1" thickBot="1" x14ac:dyDescent="0.25">
      <c r="F14823" s="494">
        <v>515</v>
      </c>
      <c r="G14823" s="495" t="s">
        <v>3832</v>
      </c>
      <c r="H14823" s="397"/>
      <c r="I14823" s="397"/>
      <c r="J14823" s="750" t="e">
        <f t="shared" si="170"/>
        <v>#DIV/0!</v>
      </c>
      <c r="K14823" s="398"/>
      <c r="L14823" s="398"/>
      <c r="M14823" s="682"/>
    </row>
    <row r="14824" spans="6:13" ht="13.5" hidden="1" thickBot="1" x14ac:dyDescent="0.25">
      <c r="F14824" s="494">
        <v>521</v>
      </c>
      <c r="G14824" s="495" t="s">
        <v>4198</v>
      </c>
      <c r="H14824" s="397"/>
      <c r="I14824" s="397"/>
      <c r="J14824" s="750" t="e">
        <f t="shared" si="170"/>
        <v>#DIV/0!</v>
      </c>
      <c r="K14824" s="398"/>
      <c r="L14824" s="398"/>
      <c r="M14824" s="682"/>
    </row>
    <row r="14825" spans="6:13" ht="13.5" hidden="1" thickBot="1" x14ac:dyDescent="0.25">
      <c r="F14825" s="494">
        <v>522</v>
      </c>
      <c r="G14825" s="495" t="s">
        <v>4199</v>
      </c>
      <c r="H14825" s="397"/>
      <c r="I14825" s="397"/>
      <c r="J14825" s="750" t="e">
        <f t="shared" si="170"/>
        <v>#DIV/0!</v>
      </c>
      <c r="K14825" s="398"/>
      <c r="L14825" s="398"/>
      <c r="M14825" s="682"/>
    </row>
    <row r="14826" spans="6:13" ht="13.5" hidden="1" thickBot="1" x14ac:dyDescent="0.25">
      <c r="F14826" s="494">
        <v>523</v>
      </c>
      <c r="G14826" s="495" t="s">
        <v>3837</v>
      </c>
      <c r="H14826" s="397"/>
      <c r="I14826" s="397"/>
      <c r="J14826" s="750" t="e">
        <f t="shared" si="170"/>
        <v>#DIV/0!</v>
      </c>
      <c r="K14826" s="398"/>
      <c r="L14826" s="398"/>
      <c r="M14826" s="682"/>
    </row>
    <row r="14827" spans="6:13" ht="13.5" hidden="1" thickBot="1" x14ac:dyDescent="0.25">
      <c r="F14827" s="494">
        <v>531</v>
      </c>
      <c r="G14827" s="496" t="s">
        <v>4175</v>
      </c>
      <c r="H14827" s="397"/>
      <c r="I14827" s="397"/>
      <c r="J14827" s="750" t="e">
        <f t="shared" si="170"/>
        <v>#DIV/0!</v>
      </c>
      <c r="K14827" s="398"/>
      <c r="L14827" s="398"/>
      <c r="M14827" s="682"/>
    </row>
    <row r="14828" spans="6:13" ht="13.5" hidden="1" thickBot="1" x14ac:dyDescent="0.25">
      <c r="F14828" s="494">
        <v>541</v>
      </c>
      <c r="G14828" s="495" t="s">
        <v>4200</v>
      </c>
      <c r="H14828" s="397"/>
      <c r="I14828" s="397"/>
      <c r="J14828" s="750" t="e">
        <f t="shared" si="170"/>
        <v>#DIV/0!</v>
      </c>
      <c r="K14828" s="398"/>
      <c r="L14828" s="398"/>
      <c r="M14828" s="682"/>
    </row>
    <row r="14829" spans="6:13" ht="13.5" hidden="1" thickBot="1" x14ac:dyDescent="0.25">
      <c r="F14829" s="494">
        <v>542</v>
      </c>
      <c r="G14829" s="495" t="s">
        <v>4201</v>
      </c>
      <c r="H14829" s="397"/>
      <c r="I14829" s="397"/>
      <c r="J14829" s="750" t="e">
        <f t="shared" si="170"/>
        <v>#DIV/0!</v>
      </c>
      <c r="K14829" s="398"/>
      <c r="L14829" s="398"/>
      <c r="M14829" s="682"/>
    </row>
    <row r="14830" spans="6:13" ht="13.5" hidden="1" thickBot="1" x14ac:dyDescent="0.25">
      <c r="F14830" s="494">
        <v>543</v>
      </c>
      <c r="G14830" s="495" t="s">
        <v>3842</v>
      </c>
      <c r="H14830" s="397"/>
      <c r="I14830" s="397"/>
      <c r="J14830" s="750" t="e">
        <f t="shared" si="170"/>
        <v>#DIV/0!</v>
      </c>
      <c r="K14830" s="398"/>
      <c r="L14830" s="398"/>
      <c r="M14830" s="682"/>
    </row>
    <row r="14831" spans="6:13" ht="39" hidden="1" thickBot="1" x14ac:dyDescent="0.25">
      <c r="F14831" s="494">
        <v>551</v>
      </c>
      <c r="G14831" s="495" t="s">
        <v>4176</v>
      </c>
      <c r="H14831" s="397"/>
      <c r="I14831" s="397"/>
      <c r="J14831" s="750" t="e">
        <f t="shared" si="170"/>
        <v>#DIV/0!</v>
      </c>
      <c r="K14831" s="398"/>
      <c r="L14831" s="398"/>
      <c r="M14831" s="682"/>
    </row>
    <row r="14832" spans="6:13" ht="13.5" hidden="1" thickBot="1" x14ac:dyDescent="0.25">
      <c r="F14832" s="498">
        <v>611</v>
      </c>
      <c r="G14832" s="499" t="s">
        <v>3848</v>
      </c>
      <c r="H14832" s="397"/>
      <c r="I14832" s="397"/>
      <c r="J14832" s="750" t="e">
        <f t="shared" si="170"/>
        <v>#DIV/0!</v>
      </c>
      <c r="K14832" s="398"/>
      <c r="L14832" s="398"/>
      <c r="M14832" s="682"/>
    </row>
    <row r="14833" spans="5:13" ht="13.5" hidden="1" thickBot="1" x14ac:dyDescent="0.25">
      <c r="F14833" s="498">
        <v>620</v>
      </c>
      <c r="G14833" s="499" t="s">
        <v>88</v>
      </c>
      <c r="H14833" s="397"/>
      <c r="I14833" s="397"/>
      <c r="J14833" s="750" t="e">
        <f t="shared" si="170"/>
        <v>#DIV/0!</v>
      </c>
      <c r="K14833" s="398"/>
      <c r="L14833" s="398"/>
      <c r="M14833" s="682"/>
    </row>
    <row r="14834" spans="5:13" x14ac:dyDescent="0.2">
      <c r="E14834" s="500"/>
      <c r="F14834" s="498"/>
      <c r="G14834" s="501" t="s">
        <v>5166</v>
      </c>
      <c r="H14834" s="400"/>
      <c r="I14834" s="400"/>
      <c r="J14834" s="750"/>
      <c r="K14834" s="401"/>
      <c r="L14834" s="402"/>
      <c r="M14834" s="682"/>
    </row>
    <row r="14835" spans="5:13" ht="13.5" thickBot="1" x14ac:dyDescent="0.25">
      <c r="E14835" s="502"/>
      <c r="F14835" s="503" t="s">
        <v>234</v>
      </c>
      <c r="G14835" s="504" t="s">
        <v>235</v>
      </c>
      <c r="H14835" s="403">
        <f>SUM(H14774:H14833)</f>
        <v>620000</v>
      </c>
      <c r="I14835" s="403">
        <f>SUM(I14782:I14786)</f>
        <v>289033.25</v>
      </c>
      <c r="J14835" s="750">
        <f t="shared" si="170"/>
        <v>46.618266129032257</v>
      </c>
      <c r="K14835" s="404"/>
      <c r="L14835" s="404"/>
      <c r="M14835" s="682"/>
    </row>
    <row r="14836" spans="5:13" ht="13.5" hidden="1" thickBot="1" x14ac:dyDescent="0.25">
      <c r="F14836" s="503" t="s">
        <v>236</v>
      </c>
      <c r="G14836" s="504" t="s">
        <v>237</v>
      </c>
      <c r="H14836" s="397"/>
      <c r="I14836" s="397"/>
      <c r="J14836" s="750" t="e">
        <f t="shared" si="170"/>
        <v>#DIV/0!</v>
      </c>
      <c r="K14836" s="398"/>
      <c r="L14836" s="404"/>
      <c r="M14836" s="682"/>
    </row>
    <row r="14837" spans="5:13" ht="13.5" hidden="1" thickBot="1" x14ac:dyDescent="0.25">
      <c r="F14837" s="503" t="s">
        <v>238</v>
      </c>
      <c r="G14837" s="504" t="s">
        <v>239</v>
      </c>
      <c r="H14837" s="397"/>
      <c r="I14837" s="397"/>
      <c r="J14837" s="750" t="e">
        <f t="shared" si="170"/>
        <v>#DIV/0!</v>
      </c>
      <c r="K14837" s="398"/>
      <c r="L14837" s="404"/>
      <c r="M14837" s="682"/>
    </row>
    <row r="14838" spans="5:13" ht="13.5" hidden="1" thickBot="1" x14ac:dyDescent="0.25">
      <c r="F14838" s="503" t="s">
        <v>240</v>
      </c>
      <c r="G14838" s="504" t="s">
        <v>241</v>
      </c>
      <c r="H14838" s="397"/>
      <c r="I14838" s="397"/>
      <c r="J14838" s="750" t="e">
        <f t="shared" si="170"/>
        <v>#DIV/0!</v>
      </c>
      <c r="K14838" s="398"/>
      <c r="L14838" s="404"/>
      <c r="M14838" s="682"/>
    </row>
    <row r="14839" spans="5:13" ht="13.5" hidden="1" thickBot="1" x14ac:dyDescent="0.25">
      <c r="F14839" s="503" t="s">
        <v>242</v>
      </c>
      <c r="G14839" s="504" t="s">
        <v>243</v>
      </c>
      <c r="H14839" s="397"/>
      <c r="I14839" s="397"/>
      <c r="J14839" s="750" t="e">
        <f t="shared" si="170"/>
        <v>#DIV/0!</v>
      </c>
      <c r="K14839" s="398"/>
      <c r="L14839" s="404"/>
      <c r="M14839" s="682"/>
    </row>
    <row r="14840" spans="5:13" ht="13.5" hidden="1" thickBot="1" x14ac:dyDescent="0.25">
      <c r="F14840" s="503" t="s">
        <v>244</v>
      </c>
      <c r="G14840" s="504" t="s">
        <v>245</v>
      </c>
      <c r="H14840" s="397"/>
      <c r="I14840" s="397"/>
      <c r="J14840" s="750" t="e">
        <f t="shared" si="170"/>
        <v>#DIV/0!</v>
      </c>
      <c r="K14840" s="398"/>
      <c r="L14840" s="404"/>
      <c r="M14840" s="682"/>
    </row>
    <row r="14841" spans="5:13" ht="13.5" hidden="1" thickBot="1" x14ac:dyDescent="0.25">
      <c r="F14841" s="503" t="s">
        <v>246</v>
      </c>
      <c r="G14841" s="504" t="s">
        <v>247</v>
      </c>
      <c r="H14841" s="397"/>
      <c r="I14841" s="397"/>
      <c r="J14841" s="750" t="e">
        <f t="shared" si="170"/>
        <v>#DIV/0!</v>
      </c>
      <c r="K14841" s="398"/>
      <c r="L14841" s="404"/>
      <c r="M14841" s="682"/>
    </row>
    <row r="14842" spans="5:13" ht="26.25" hidden="1" thickBot="1" x14ac:dyDescent="0.25">
      <c r="F14842" s="503" t="s">
        <v>248</v>
      </c>
      <c r="G14842" s="504" t="s">
        <v>249</v>
      </c>
      <c r="H14842" s="397"/>
      <c r="I14842" s="397"/>
      <c r="J14842" s="750" t="e">
        <f t="shared" si="170"/>
        <v>#DIV/0!</v>
      </c>
      <c r="K14842" s="398"/>
      <c r="L14842" s="404"/>
      <c r="M14842" s="682"/>
    </row>
    <row r="14843" spans="5:13" ht="13.5" hidden="1" thickBot="1" x14ac:dyDescent="0.25">
      <c r="F14843" s="503" t="s">
        <v>250</v>
      </c>
      <c r="G14843" s="504" t="s">
        <v>57</v>
      </c>
      <c r="H14843" s="397"/>
      <c r="I14843" s="397"/>
      <c r="J14843" s="750" t="e">
        <f t="shared" si="170"/>
        <v>#DIV/0!</v>
      </c>
      <c r="K14843" s="398"/>
      <c r="L14843" s="404"/>
      <c r="M14843" s="682"/>
    </row>
    <row r="14844" spans="5:13" ht="13.5" hidden="1" thickBot="1" x14ac:dyDescent="0.25">
      <c r="F14844" s="503" t="s">
        <v>251</v>
      </c>
      <c r="G14844" s="504" t="s">
        <v>252</v>
      </c>
      <c r="H14844" s="397"/>
      <c r="I14844" s="397"/>
      <c r="J14844" s="750" t="e">
        <f t="shared" si="170"/>
        <v>#DIV/0!</v>
      </c>
      <c r="K14844" s="398"/>
      <c r="L14844" s="404"/>
      <c r="M14844" s="682"/>
    </row>
    <row r="14845" spans="5:13" ht="13.5" hidden="1" thickBot="1" x14ac:dyDescent="0.25">
      <c r="F14845" s="503" t="s">
        <v>253</v>
      </c>
      <c r="G14845" s="504" t="s">
        <v>254</v>
      </c>
      <c r="H14845" s="397"/>
      <c r="I14845" s="397"/>
      <c r="J14845" s="750" t="e">
        <f t="shared" si="170"/>
        <v>#DIV/0!</v>
      </c>
      <c r="K14845" s="398"/>
      <c r="L14845" s="404"/>
      <c r="M14845" s="682"/>
    </row>
    <row r="14846" spans="5:13" ht="26.25" hidden="1" thickBot="1" x14ac:dyDescent="0.25">
      <c r="F14846" s="503" t="s">
        <v>255</v>
      </c>
      <c r="G14846" s="504" t="s">
        <v>256</v>
      </c>
      <c r="H14846" s="397"/>
      <c r="I14846" s="397"/>
      <c r="J14846" s="750" t="e">
        <f t="shared" si="170"/>
        <v>#DIV/0!</v>
      </c>
      <c r="K14846" s="398"/>
      <c r="L14846" s="404"/>
      <c r="M14846" s="682"/>
    </row>
    <row r="14847" spans="5:13" ht="26.25" hidden="1" thickBot="1" x14ac:dyDescent="0.25">
      <c r="F14847" s="503" t="s">
        <v>257</v>
      </c>
      <c r="G14847" s="504" t="s">
        <v>258</v>
      </c>
      <c r="H14847" s="397"/>
      <c r="I14847" s="397"/>
      <c r="J14847" s="750" t="e">
        <f t="shared" si="170"/>
        <v>#DIV/0!</v>
      </c>
      <c r="K14847" s="398"/>
      <c r="L14847" s="404"/>
      <c r="M14847" s="682"/>
    </row>
    <row r="14848" spans="5:13" ht="26.25" hidden="1" thickBot="1" x14ac:dyDescent="0.25">
      <c r="F14848" s="503" t="s">
        <v>259</v>
      </c>
      <c r="G14848" s="504" t="s">
        <v>260</v>
      </c>
      <c r="H14848" s="397"/>
      <c r="I14848" s="397"/>
      <c r="J14848" s="750" t="e">
        <f t="shared" si="170"/>
        <v>#DIV/0!</v>
      </c>
      <c r="K14848" s="398"/>
      <c r="L14848" s="404"/>
      <c r="M14848" s="682"/>
    </row>
    <row r="14849" spans="5:13" ht="26.25" hidden="1" thickBot="1" x14ac:dyDescent="0.25">
      <c r="F14849" s="503" t="s">
        <v>261</v>
      </c>
      <c r="G14849" s="504" t="s">
        <v>262</v>
      </c>
      <c r="H14849" s="397"/>
      <c r="I14849" s="397"/>
      <c r="J14849" s="750" t="e">
        <f t="shared" si="170"/>
        <v>#DIV/0!</v>
      </c>
      <c r="K14849" s="398"/>
      <c r="L14849" s="404"/>
      <c r="M14849" s="682"/>
    </row>
    <row r="14850" spans="5:13" ht="13.5" hidden="1" thickBot="1" x14ac:dyDescent="0.25">
      <c r="F14850" s="503" t="s">
        <v>263</v>
      </c>
      <c r="G14850" s="504" t="s">
        <v>264</v>
      </c>
      <c r="H14850" s="403"/>
      <c r="I14850" s="403"/>
      <c r="J14850" s="750" t="e">
        <f t="shared" si="170"/>
        <v>#DIV/0!</v>
      </c>
      <c r="K14850" s="404"/>
      <c r="L14850" s="404"/>
      <c r="M14850" s="682"/>
    </row>
    <row r="14851" spans="5:13" ht="13.5" thickBot="1" x14ac:dyDescent="0.25">
      <c r="G14851" s="505" t="s">
        <v>5167</v>
      </c>
      <c r="H14851" s="405">
        <f>SUM(H14835:H14850)</f>
        <v>620000</v>
      </c>
      <c r="I14851" s="405">
        <f>SUM(I14835)</f>
        <v>289033.25</v>
      </c>
      <c r="J14851" s="750">
        <f t="shared" si="170"/>
        <v>46.618266129032257</v>
      </c>
      <c r="K14851" s="406">
        <f>SUM(K14836:K14850)</f>
        <v>0</v>
      </c>
      <c r="L14851" s="406"/>
      <c r="M14851" s="682"/>
    </row>
    <row r="14852" spans="5:13" ht="15" customHeight="1" x14ac:dyDescent="0.2">
      <c r="E14852" s="500"/>
      <c r="F14852" s="498"/>
      <c r="G14852" s="506" t="s">
        <v>4410</v>
      </c>
      <c r="H14852" s="407"/>
      <c r="I14852" s="408"/>
      <c r="J14852" s="750"/>
      <c r="K14852" s="409"/>
      <c r="L14852" s="410"/>
      <c r="M14852" s="682"/>
    </row>
    <row r="14853" spans="5:13" ht="13.5" thickBot="1" x14ac:dyDescent="0.25">
      <c r="E14853" s="502"/>
      <c r="F14853" s="503" t="s">
        <v>234</v>
      </c>
      <c r="G14853" s="504" t="s">
        <v>235</v>
      </c>
      <c r="H14853" s="403">
        <f>SUM(H14774:H14833)</f>
        <v>620000</v>
      </c>
      <c r="I14853" s="403">
        <f>SUM(I14851)</f>
        <v>289033.25</v>
      </c>
      <c r="J14853" s="750">
        <f t="shared" si="170"/>
        <v>46.618266129032257</v>
      </c>
      <c r="K14853" s="404"/>
      <c r="L14853" s="404"/>
      <c r="M14853" s="682"/>
    </row>
    <row r="14854" spans="5:13" ht="13.5" hidden="1" thickBot="1" x14ac:dyDescent="0.25">
      <c r="F14854" s="503" t="s">
        <v>236</v>
      </c>
      <c r="G14854" s="504" t="s">
        <v>237</v>
      </c>
      <c r="H14854" s="397"/>
      <c r="I14854" s="397"/>
      <c r="J14854" s="750" t="e">
        <f t="shared" si="170"/>
        <v>#DIV/0!</v>
      </c>
      <c r="K14854" s="398"/>
      <c r="L14854" s="404"/>
      <c r="M14854" s="682"/>
    </row>
    <row r="14855" spans="5:13" ht="13.5" hidden="1" thickBot="1" x14ac:dyDescent="0.25">
      <c r="F14855" s="503" t="s">
        <v>238</v>
      </c>
      <c r="G14855" s="504" t="s">
        <v>239</v>
      </c>
      <c r="H14855" s="397"/>
      <c r="I14855" s="397"/>
      <c r="J14855" s="750" t="e">
        <f t="shared" si="170"/>
        <v>#DIV/0!</v>
      </c>
      <c r="K14855" s="398"/>
      <c r="L14855" s="404"/>
      <c r="M14855" s="682"/>
    </row>
    <row r="14856" spans="5:13" ht="13.5" hidden="1" thickBot="1" x14ac:dyDescent="0.25">
      <c r="F14856" s="503" t="s">
        <v>240</v>
      </c>
      <c r="G14856" s="504" t="s">
        <v>241</v>
      </c>
      <c r="H14856" s="397"/>
      <c r="I14856" s="397"/>
      <c r="J14856" s="750" t="e">
        <f t="shared" si="170"/>
        <v>#DIV/0!</v>
      </c>
      <c r="K14856" s="398"/>
      <c r="L14856" s="404"/>
      <c r="M14856" s="682"/>
    </row>
    <row r="14857" spans="5:13" ht="13.5" hidden="1" thickBot="1" x14ac:dyDescent="0.25">
      <c r="F14857" s="503" t="s">
        <v>242</v>
      </c>
      <c r="G14857" s="504" t="s">
        <v>243</v>
      </c>
      <c r="H14857" s="397"/>
      <c r="I14857" s="397"/>
      <c r="J14857" s="750" t="e">
        <f t="shared" si="170"/>
        <v>#DIV/0!</v>
      </c>
      <c r="K14857" s="398"/>
      <c r="L14857" s="404"/>
      <c r="M14857" s="682"/>
    </row>
    <row r="14858" spans="5:13" ht="13.5" hidden="1" thickBot="1" x14ac:dyDescent="0.25">
      <c r="F14858" s="503" t="s">
        <v>244</v>
      </c>
      <c r="G14858" s="504" t="s">
        <v>245</v>
      </c>
      <c r="H14858" s="397"/>
      <c r="I14858" s="397"/>
      <c r="J14858" s="750" t="e">
        <f t="shared" si="170"/>
        <v>#DIV/0!</v>
      </c>
      <c r="K14858" s="398"/>
      <c r="L14858" s="404"/>
      <c r="M14858" s="682"/>
    </row>
    <row r="14859" spans="5:13" ht="13.5" hidden="1" thickBot="1" x14ac:dyDescent="0.25">
      <c r="F14859" s="503" t="s">
        <v>246</v>
      </c>
      <c r="G14859" s="504" t="s">
        <v>247</v>
      </c>
      <c r="H14859" s="397"/>
      <c r="I14859" s="397"/>
      <c r="J14859" s="750" t="e">
        <f t="shared" si="170"/>
        <v>#DIV/0!</v>
      </c>
      <c r="K14859" s="398"/>
      <c r="L14859" s="404"/>
      <c r="M14859" s="682"/>
    </row>
    <row r="14860" spans="5:13" ht="26.25" hidden="1" thickBot="1" x14ac:dyDescent="0.25">
      <c r="F14860" s="503" t="s">
        <v>248</v>
      </c>
      <c r="G14860" s="504" t="s">
        <v>249</v>
      </c>
      <c r="H14860" s="397"/>
      <c r="I14860" s="397"/>
      <c r="J14860" s="750" t="e">
        <f t="shared" si="170"/>
        <v>#DIV/0!</v>
      </c>
      <c r="K14860" s="398"/>
      <c r="L14860" s="404"/>
      <c r="M14860" s="682"/>
    </row>
    <row r="14861" spans="5:13" ht="13.5" hidden="1" thickBot="1" x14ac:dyDescent="0.25">
      <c r="F14861" s="503" t="s">
        <v>250</v>
      </c>
      <c r="G14861" s="504" t="s">
        <v>57</v>
      </c>
      <c r="H14861" s="397"/>
      <c r="I14861" s="397"/>
      <c r="J14861" s="750" t="e">
        <f t="shared" si="170"/>
        <v>#DIV/0!</v>
      </c>
      <c r="K14861" s="398"/>
      <c r="L14861" s="404"/>
      <c r="M14861" s="682"/>
    </row>
    <row r="14862" spans="5:13" ht="13.5" hidden="1" thickBot="1" x14ac:dyDescent="0.25">
      <c r="F14862" s="503" t="s">
        <v>251</v>
      </c>
      <c r="G14862" s="504" t="s">
        <v>252</v>
      </c>
      <c r="H14862" s="397"/>
      <c r="I14862" s="397"/>
      <c r="J14862" s="750" t="e">
        <f t="shared" ref="J14862:J14918" si="171">SUM(I14862/H14862)*100</f>
        <v>#DIV/0!</v>
      </c>
      <c r="K14862" s="398"/>
      <c r="L14862" s="404"/>
      <c r="M14862" s="682"/>
    </row>
    <row r="14863" spans="5:13" ht="13.5" hidden="1" thickBot="1" x14ac:dyDescent="0.25">
      <c r="F14863" s="503" t="s">
        <v>253</v>
      </c>
      <c r="G14863" s="504" t="s">
        <v>254</v>
      </c>
      <c r="H14863" s="397"/>
      <c r="I14863" s="397"/>
      <c r="J14863" s="750" t="e">
        <f t="shared" si="171"/>
        <v>#DIV/0!</v>
      </c>
      <c r="K14863" s="398"/>
      <c r="L14863" s="404"/>
      <c r="M14863" s="682"/>
    </row>
    <row r="14864" spans="5:13" ht="26.25" hidden="1" thickBot="1" x14ac:dyDescent="0.25">
      <c r="F14864" s="503" t="s">
        <v>255</v>
      </c>
      <c r="G14864" s="504" t="s">
        <v>256</v>
      </c>
      <c r="H14864" s="397"/>
      <c r="I14864" s="397"/>
      <c r="J14864" s="750" t="e">
        <f t="shared" si="171"/>
        <v>#DIV/0!</v>
      </c>
      <c r="K14864" s="398"/>
      <c r="L14864" s="404"/>
      <c r="M14864" s="682"/>
    </row>
    <row r="14865" spans="3:13" ht="26.25" hidden="1" thickBot="1" x14ac:dyDescent="0.25">
      <c r="F14865" s="503" t="s">
        <v>257</v>
      </c>
      <c r="G14865" s="504" t="s">
        <v>258</v>
      </c>
      <c r="H14865" s="397"/>
      <c r="I14865" s="397"/>
      <c r="J14865" s="750" t="e">
        <f t="shared" si="171"/>
        <v>#DIV/0!</v>
      </c>
      <c r="K14865" s="398"/>
      <c r="L14865" s="404"/>
      <c r="M14865" s="682"/>
    </row>
    <row r="14866" spans="3:13" ht="26.25" hidden="1" thickBot="1" x14ac:dyDescent="0.25">
      <c r="F14866" s="503" t="s">
        <v>259</v>
      </c>
      <c r="G14866" s="504" t="s">
        <v>260</v>
      </c>
      <c r="H14866" s="397"/>
      <c r="I14866" s="397"/>
      <c r="J14866" s="750" t="e">
        <f t="shared" si="171"/>
        <v>#DIV/0!</v>
      </c>
      <c r="K14866" s="398"/>
      <c r="L14866" s="404"/>
      <c r="M14866" s="682"/>
    </row>
    <row r="14867" spans="3:13" ht="26.25" hidden="1" thickBot="1" x14ac:dyDescent="0.25">
      <c r="F14867" s="503" t="s">
        <v>261</v>
      </c>
      <c r="G14867" s="504" t="s">
        <v>262</v>
      </c>
      <c r="H14867" s="397"/>
      <c r="I14867" s="397"/>
      <c r="J14867" s="750" t="e">
        <f t="shared" si="171"/>
        <v>#DIV/0!</v>
      </c>
      <c r="K14867" s="398"/>
      <c r="L14867" s="404"/>
      <c r="M14867" s="682"/>
    </row>
    <row r="14868" spans="3:13" ht="13.5" hidden="1" thickBot="1" x14ac:dyDescent="0.25">
      <c r="F14868" s="503" t="s">
        <v>263</v>
      </c>
      <c r="G14868" s="504" t="s">
        <v>264</v>
      </c>
      <c r="H14868" s="403"/>
      <c r="I14868" s="403"/>
      <c r="J14868" s="750" t="e">
        <f t="shared" si="171"/>
        <v>#DIV/0!</v>
      </c>
      <c r="K14868" s="404"/>
      <c r="L14868" s="404"/>
      <c r="M14868" s="682"/>
    </row>
    <row r="14869" spans="3:13" ht="13.5" thickBot="1" x14ac:dyDescent="0.25">
      <c r="G14869" s="505" t="s">
        <v>4411</v>
      </c>
      <c r="H14869" s="405">
        <f>SUM(H14853:H14868)</f>
        <v>620000</v>
      </c>
      <c r="I14869" s="405">
        <f>SUM(I14851)</f>
        <v>289033.25</v>
      </c>
      <c r="J14869" s="750">
        <f t="shared" si="171"/>
        <v>46.618266129032257</v>
      </c>
      <c r="K14869" s="406">
        <f>SUM(K14854:K14868)</f>
        <v>0</v>
      </c>
      <c r="L14869" s="406"/>
      <c r="M14869" s="682"/>
    </row>
    <row r="14870" spans="3:13" ht="6" hidden="1" customHeight="1" x14ac:dyDescent="0.2">
      <c r="H14870" s="397"/>
      <c r="I14870" s="397"/>
      <c r="J14870" s="750" t="e">
        <f t="shared" si="171"/>
        <v>#DIV/0!</v>
      </c>
      <c r="K14870" s="398"/>
      <c r="L14870" s="398"/>
      <c r="M14870" s="682"/>
    </row>
    <row r="14871" spans="3:13" x14ac:dyDescent="0.2">
      <c r="C14871" s="531" t="s">
        <v>5168</v>
      </c>
      <c r="D14871" s="490"/>
      <c r="E14871" s="490"/>
      <c r="F14871" s="532"/>
      <c r="G14871" s="644" t="s">
        <v>5169</v>
      </c>
      <c r="H14871" s="422"/>
      <c r="I14871" s="422"/>
      <c r="J14871" s="750"/>
      <c r="K14871" s="423"/>
      <c r="L14871" s="424"/>
      <c r="M14871" s="682"/>
    </row>
    <row r="14872" spans="3:13" x14ac:dyDescent="0.2">
      <c r="C14872" s="489"/>
      <c r="D14872" s="492">
        <v>510</v>
      </c>
      <c r="E14872" s="492"/>
      <c r="F14872" s="492"/>
      <c r="G14872" s="493" t="s">
        <v>174</v>
      </c>
      <c r="H14872" s="397"/>
      <c r="I14872" s="397"/>
      <c r="J14872" s="750"/>
      <c r="K14872" s="398"/>
      <c r="L14872" s="398"/>
      <c r="M14872" s="682"/>
    </row>
    <row r="14873" spans="3:13" hidden="1" x14ac:dyDescent="0.2">
      <c r="F14873" s="494">
        <v>411</v>
      </c>
      <c r="G14873" s="495" t="s">
        <v>4167</v>
      </c>
      <c r="H14873" s="397"/>
      <c r="I14873" s="397"/>
      <c r="J14873" s="750" t="e">
        <f t="shared" si="171"/>
        <v>#DIV/0!</v>
      </c>
      <c r="K14873" s="398"/>
      <c r="L14873" s="398"/>
      <c r="M14873" s="682"/>
    </row>
    <row r="14874" spans="3:13" hidden="1" x14ac:dyDescent="0.2">
      <c r="F14874" s="494">
        <v>412</v>
      </c>
      <c r="G14874" s="496" t="s">
        <v>3764</v>
      </c>
      <c r="H14874" s="397"/>
      <c r="I14874" s="397"/>
      <c r="J14874" s="750" t="e">
        <f t="shared" si="171"/>
        <v>#DIV/0!</v>
      </c>
      <c r="K14874" s="398"/>
      <c r="L14874" s="398"/>
      <c r="M14874" s="682"/>
    </row>
    <row r="14875" spans="3:13" hidden="1" x14ac:dyDescent="0.2">
      <c r="F14875" s="494">
        <v>413</v>
      </c>
      <c r="G14875" s="495" t="s">
        <v>4168</v>
      </c>
      <c r="H14875" s="397"/>
      <c r="I14875" s="397"/>
      <c r="J14875" s="750" t="e">
        <f t="shared" si="171"/>
        <v>#DIV/0!</v>
      </c>
      <c r="K14875" s="398"/>
      <c r="L14875" s="398"/>
      <c r="M14875" s="682"/>
    </row>
    <row r="14876" spans="3:13" hidden="1" x14ac:dyDescent="0.2">
      <c r="F14876" s="494">
        <v>414</v>
      </c>
      <c r="G14876" s="495" t="s">
        <v>3767</v>
      </c>
      <c r="H14876" s="397"/>
      <c r="I14876" s="397"/>
      <c r="J14876" s="750" t="e">
        <f t="shared" si="171"/>
        <v>#DIV/0!</v>
      </c>
      <c r="K14876" s="398"/>
      <c r="L14876" s="398"/>
      <c r="M14876" s="682"/>
    </row>
    <row r="14877" spans="3:13" hidden="1" x14ac:dyDescent="0.2">
      <c r="F14877" s="494">
        <v>415</v>
      </c>
      <c r="G14877" s="495" t="s">
        <v>4177</v>
      </c>
      <c r="H14877" s="397"/>
      <c r="I14877" s="397"/>
      <c r="J14877" s="750" t="e">
        <f t="shared" si="171"/>
        <v>#DIV/0!</v>
      </c>
      <c r="K14877" s="398"/>
      <c r="L14877" s="398"/>
      <c r="M14877" s="682"/>
    </row>
    <row r="14878" spans="3:13" ht="25.5" hidden="1" x14ac:dyDescent="0.2">
      <c r="F14878" s="494">
        <v>416</v>
      </c>
      <c r="G14878" s="495" t="s">
        <v>4178</v>
      </c>
      <c r="H14878" s="397"/>
      <c r="I14878" s="397"/>
      <c r="J14878" s="750" t="e">
        <f t="shared" si="171"/>
        <v>#DIV/0!</v>
      </c>
      <c r="K14878" s="398"/>
      <c r="L14878" s="398"/>
      <c r="M14878" s="682"/>
    </row>
    <row r="14879" spans="3:13" hidden="1" x14ac:dyDescent="0.2">
      <c r="F14879" s="494">
        <v>417</v>
      </c>
      <c r="G14879" s="495" t="s">
        <v>4179</v>
      </c>
      <c r="H14879" s="397"/>
      <c r="I14879" s="397"/>
      <c r="J14879" s="750" t="e">
        <f t="shared" si="171"/>
        <v>#DIV/0!</v>
      </c>
      <c r="K14879" s="398"/>
      <c r="L14879" s="398"/>
      <c r="M14879" s="682"/>
    </row>
    <row r="14880" spans="3:13" hidden="1" x14ac:dyDescent="0.2">
      <c r="F14880" s="494">
        <v>418</v>
      </c>
      <c r="G14880" s="495" t="s">
        <v>3773</v>
      </c>
      <c r="H14880" s="397"/>
      <c r="I14880" s="397"/>
      <c r="J14880" s="750" t="e">
        <f t="shared" si="171"/>
        <v>#DIV/0!</v>
      </c>
      <c r="K14880" s="398"/>
      <c r="L14880" s="398"/>
      <c r="M14880" s="682"/>
    </row>
    <row r="14881" spans="5:13" x14ac:dyDescent="0.2">
      <c r="E14881" s="464">
        <v>154</v>
      </c>
      <c r="F14881" s="494">
        <v>421</v>
      </c>
      <c r="G14881" s="495" t="s">
        <v>3777</v>
      </c>
      <c r="H14881" s="397">
        <v>400000</v>
      </c>
      <c r="I14881" s="397">
        <v>200000</v>
      </c>
      <c r="J14881" s="750">
        <f t="shared" si="171"/>
        <v>50</v>
      </c>
      <c r="K14881" s="398"/>
      <c r="L14881" s="398"/>
      <c r="M14881" s="682"/>
    </row>
    <row r="14882" spans="5:13" x14ac:dyDescent="0.2">
      <c r="E14882" s="464">
        <v>155</v>
      </c>
      <c r="F14882" s="494">
        <v>422</v>
      </c>
      <c r="G14882" s="495" t="s">
        <v>3778</v>
      </c>
      <c r="H14882" s="397">
        <v>20000</v>
      </c>
      <c r="I14882" s="397">
        <v>18604</v>
      </c>
      <c r="J14882" s="750">
        <f t="shared" si="171"/>
        <v>93.02</v>
      </c>
      <c r="K14882" s="398"/>
      <c r="L14882" s="398"/>
      <c r="M14882" s="682"/>
    </row>
    <row r="14883" spans="5:13" hidden="1" x14ac:dyDescent="0.2">
      <c r="F14883" s="494">
        <v>423</v>
      </c>
      <c r="G14883" s="495" t="s">
        <v>3779</v>
      </c>
      <c r="H14883" s="397"/>
      <c r="I14883" s="397"/>
      <c r="J14883" s="750" t="e">
        <f t="shared" si="171"/>
        <v>#DIV/0!</v>
      </c>
      <c r="K14883" s="398"/>
      <c r="L14883" s="398"/>
      <c r="M14883" s="682"/>
    </row>
    <row r="14884" spans="5:13" x14ac:dyDescent="0.2">
      <c r="E14884" s="464">
        <v>156</v>
      </c>
      <c r="F14884" s="494">
        <v>424</v>
      </c>
      <c r="G14884" s="495" t="s">
        <v>3781</v>
      </c>
      <c r="H14884" s="397">
        <v>1000000</v>
      </c>
      <c r="I14884" s="397">
        <v>611359.6</v>
      </c>
      <c r="J14884" s="750">
        <f t="shared" si="171"/>
        <v>61.135959999999997</v>
      </c>
      <c r="K14884" s="398"/>
      <c r="L14884" s="398"/>
      <c r="M14884" s="682"/>
    </row>
    <row r="14885" spans="5:13" x14ac:dyDescent="0.2">
      <c r="E14885" s="464">
        <v>157</v>
      </c>
      <c r="F14885" s="494">
        <v>425</v>
      </c>
      <c r="G14885" s="495" t="s">
        <v>4180</v>
      </c>
      <c r="H14885" s="397">
        <v>1196000</v>
      </c>
      <c r="I14885" s="397">
        <v>988042.52</v>
      </c>
      <c r="J14885" s="750">
        <f t="shared" si="171"/>
        <v>82.61225083612041</v>
      </c>
      <c r="K14885" s="398"/>
      <c r="L14885" s="398"/>
      <c r="M14885" s="682"/>
    </row>
    <row r="14886" spans="5:13" x14ac:dyDescent="0.2">
      <c r="E14886" s="464">
        <v>158</v>
      </c>
      <c r="F14886" s="494">
        <v>426</v>
      </c>
      <c r="G14886" s="495" t="s">
        <v>3785</v>
      </c>
      <c r="H14886" s="397">
        <v>2800000</v>
      </c>
      <c r="I14886" s="397">
        <v>2670650.64</v>
      </c>
      <c r="J14886" s="750">
        <f t="shared" si="171"/>
        <v>95.380380000000002</v>
      </c>
      <c r="K14886" s="398"/>
      <c r="L14886" s="398"/>
      <c r="M14886" s="682"/>
    </row>
    <row r="14887" spans="5:13" hidden="1" x14ac:dyDescent="0.2">
      <c r="F14887" s="494">
        <v>431</v>
      </c>
      <c r="G14887" s="495" t="s">
        <v>4181</v>
      </c>
      <c r="H14887" s="397"/>
      <c r="I14887" s="397"/>
      <c r="J14887" s="750" t="e">
        <f t="shared" si="171"/>
        <v>#DIV/0!</v>
      </c>
      <c r="K14887" s="398"/>
      <c r="L14887" s="398"/>
      <c r="M14887" s="682"/>
    </row>
    <row r="14888" spans="5:13" hidden="1" x14ac:dyDescent="0.2">
      <c r="F14888" s="494">
        <v>432</v>
      </c>
      <c r="G14888" s="495" t="s">
        <v>4182</v>
      </c>
      <c r="H14888" s="397"/>
      <c r="I14888" s="397"/>
      <c r="J14888" s="750" t="e">
        <f t="shared" si="171"/>
        <v>#DIV/0!</v>
      </c>
      <c r="K14888" s="398"/>
      <c r="L14888" s="398"/>
      <c r="M14888" s="682"/>
    </row>
    <row r="14889" spans="5:13" hidden="1" x14ac:dyDescent="0.2">
      <c r="F14889" s="494">
        <v>433</v>
      </c>
      <c r="G14889" s="495" t="s">
        <v>4183</v>
      </c>
      <c r="H14889" s="397"/>
      <c r="I14889" s="397"/>
      <c r="J14889" s="750" t="e">
        <f t="shared" si="171"/>
        <v>#DIV/0!</v>
      </c>
      <c r="K14889" s="398"/>
      <c r="L14889" s="398"/>
      <c r="M14889" s="682"/>
    </row>
    <row r="14890" spans="5:13" hidden="1" x14ac:dyDescent="0.2">
      <c r="F14890" s="494">
        <v>434</v>
      </c>
      <c r="G14890" s="495" t="s">
        <v>4184</v>
      </c>
      <c r="H14890" s="397"/>
      <c r="I14890" s="397"/>
      <c r="J14890" s="750" t="e">
        <f t="shared" si="171"/>
        <v>#DIV/0!</v>
      </c>
      <c r="K14890" s="398"/>
      <c r="L14890" s="398"/>
      <c r="M14890" s="682"/>
    </row>
    <row r="14891" spans="5:13" hidden="1" x14ac:dyDescent="0.2">
      <c r="F14891" s="494">
        <v>435</v>
      </c>
      <c r="G14891" s="495" t="s">
        <v>3792</v>
      </c>
      <c r="H14891" s="397"/>
      <c r="I14891" s="397"/>
      <c r="J14891" s="750" t="e">
        <f t="shared" si="171"/>
        <v>#DIV/0!</v>
      </c>
      <c r="K14891" s="398"/>
      <c r="L14891" s="398"/>
      <c r="M14891" s="682"/>
    </row>
    <row r="14892" spans="5:13" hidden="1" x14ac:dyDescent="0.2">
      <c r="F14892" s="494">
        <v>441</v>
      </c>
      <c r="G14892" s="495" t="s">
        <v>4185</v>
      </c>
      <c r="H14892" s="397"/>
      <c r="I14892" s="397"/>
      <c r="J14892" s="750" t="e">
        <f t="shared" si="171"/>
        <v>#DIV/0!</v>
      </c>
      <c r="K14892" s="398"/>
      <c r="L14892" s="398"/>
      <c r="M14892" s="682"/>
    </row>
    <row r="14893" spans="5:13" hidden="1" x14ac:dyDescent="0.2">
      <c r="F14893" s="494">
        <v>442</v>
      </c>
      <c r="G14893" s="495" t="s">
        <v>4186</v>
      </c>
      <c r="H14893" s="397"/>
      <c r="I14893" s="397"/>
      <c r="J14893" s="750" t="e">
        <f t="shared" si="171"/>
        <v>#DIV/0!</v>
      </c>
      <c r="K14893" s="398"/>
      <c r="L14893" s="398"/>
      <c r="M14893" s="682"/>
    </row>
    <row r="14894" spans="5:13" hidden="1" x14ac:dyDescent="0.2">
      <c r="F14894" s="494">
        <v>443</v>
      </c>
      <c r="G14894" s="495" t="s">
        <v>3797</v>
      </c>
      <c r="H14894" s="397"/>
      <c r="I14894" s="397"/>
      <c r="J14894" s="750" t="e">
        <f t="shared" si="171"/>
        <v>#DIV/0!</v>
      </c>
      <c r="K14894" s="398"/>
      <c r="L14894" s="398"/>
      <c r="M14894" s="682"/>
    </row>
    <row r="14895" spans="5:13" hidden="1" x14ac:dyDescent="0.2">
      <c r="F14895" s="494">
        <v>444</v>
      </c>
      <c r="G14895" s="495" t="s">
        <v>3798</v>
      </c>
      <c r="H14895" s="397"/>
      <c r="I14895" s="397"/>
      <c r="J14895" s="750" t="e">
        <f t="shared" si="171"/>
        <v>#DIV/0!</v>
      </c>
      <c r="K14895" s="398"/>
      <c r="L14895" s="398"/>
      <c r="M14895" s="682"/>
    </row>
    <row r="14896" spans="5:13" ht="25.5" hidden="1" x14ac:dyDescent="0.2">
      <c r="F14896" s="494">
        <v>4511</v>
      </c>
      <c r="G14896" s="466" t="s">
        <v>1692</v>
      </c>
      <c r="H14896" s="397"/>
      <c r="I14896" s="397"/>
      <c r="J14896" s="750" t="e">
        <f t="shared" si="171"/>
        <v>#DIV/0!</v>
      </c>
      <c r="K14896" s="398"/>
      <c r="L14896" s="398"/>
      <c r="M14896" s="682"/>
    </row>
    <row r="14897" spans="6:13" ht="25.5" hidden="1" x14ac:dyDescent="0.2">
      <c r="F14897" s="494">
        <v>4512</v>
      </c>
      <c r="G14897" s="466" t="s">
        <v>1701</v>
      </c>
      <c r="H14897" s="397"/>
      <c r="I14897" s="397"/>
      <c r="J14897" s="750" t="e">
        <f t="shared" si="171"/>
        <v>#DIV/0!</v>
      </c>
      <c r="K14897" s="398"/>
      <c r="L14897" s="398"/>
      <c r="M14897" s="682"/>
    </row>
    <row r="14898" spans="6:13" ht="25.5" hidden="1" x14ac:dyDescent="0.2">
      <c r="F14898" s="494">
        <v>452</v>
      </c>
      <c r="G14898" s="495" t="s">
        <v>4187</v>
      </c>
      <c r="H14898" s="397"/>
      <c r="I14898" s="397"/>
      <c r="J14898" s="750" t="e">
        <f t="shared" si="171"/>
        <v>#DIV/0!</v>
      </c>
      <c r="K14898" s="398"/>
      <c r="L14898" s="398"/>
      <c r="M14898" s="682"/>
    </row>
    <row r="14899" spans="6:13" ht="25.5" hidden="1" x14ac:dyDescent="0.2">
      <c r="F14899" s="494">
        <v>453</v>
      </c>
      <c r="G14899" s="495" t="s">
        <v>4188</v>
      </c>
      <c r="H14899" s="397"/>
      <c r="I14899" s="397"/>
      <c r="J14899" s="750" t="e">
        <f t="shared" si="171"/>
        <v>#DIV/0!</v>
      </c>
      <c r="K14899" s="398"/>
      <c r="L14899" s="398"/>
      <c r="M14899" s="682"/>
    </row>
    <row r="14900" spans="6:13" hidden="1" x14ac:dyDescent="0.2">
      <c r="F14900" s="494">
        <v>454</v>
      </c>
      <c r="G14900" s="495" t="s">
        <v>3803</v>
      </c>
      <c r="H14900" s="397"/>
      <c r="I14900" s="397"/>
      <c r="J14900" s="750" t="e">
        <f t="shared" si="171"/>
        <v>#DIV/0!</v>
      </c>
      <c r="K14900" s="398"/>
      <c r="L14900" s="398"/>
      <c r="M14900" s="682"/>
    </row>
    <row r="14901" spans="6:13" hidden="1" x14ac:dyDescent="0.2">
      <c r="F14901" s="494">
        <v>461</v>
      </c>
      <c r="G14901" s="495" t="s">
        <v>4169</v>
      </c>
      <c r="H14901" s="397"/>
      <c r="I14901" s="397"/>
      <c r="J14901" s="750" t="e">
        <f t="shared" si="171"/>
        <v>#DIV/0!</v>
      </c>
      <c r="K14901" s="398"/>
      <c r="L14901" s="398"/>
      <c r="M14901" s="682"/>
    </row>
    <row r="14902" spans="6:13" ht="25.5" hidden="1" x14ac:dyDescent="0.2">
      <c r="F14902" s="494">
        <v>462</v>
      </c>
      <c r="G14902" s="495" t="s">
        <v>3806</v>
      </c>
      <c r="H14902" s="397"/>
      <c r="I14902" s="397"/>
      <c r="J14902" s="750" t="e">
        <f t="shared" si="171"/>
        <v>#DIV/0!</v>
      </c>
      <c r="K14902" s="398"/>
      <c r="L14902" s="398"/>
      <c r="M14902" s="682"/>
    </row>
    <row r="14903" spans="6:13" hidden="1" x14ac:dyDescent="0.2">
      <c r="F14903" s="494">
        <v>4631</v>
      </c>
      <c r="G14903" s="495" t="s">
        <v>3807</v>
      </c>
      <c r="H14903" s="397"/>
      <c r="I14903" s="397"/>
      <c r="J14903" s="750" t="e">
        <f t="shared" si="171"/>
        <v>#DIV/0!</v>
      </c>
      <c r="K14903" s="398"/>
      <c r="L14903" s="398"/>
      <c r="M14903" s="682"/>
    </row>
    <row r="14904" spans="6:13" hidden="1" x14ac:dyDescent="0.2">
      <c r="F14904" s="494">
        <v>4632</v>
      </c>
      <c r="G14904" s="495" t="s">
        <v>3808</v>
      </c>
      <c r="H14904" s="397"/>
      <c r="I14904" s="397"/>
      <c r="J14904" s="750" t="e">
        <f t="shared" si="171"/>
        <v>#DIV/0!</v>
      </c>
      <c r="K14904" s="398"/>
      <c r="L14904" s="398"/>
      <c r="M14904" s="682"/>
    </row>
    <row r="14905" spans="6:13" ht="25.5" hidden="1" x14ac:dyDescent="0.2">
      <c r="F14905" s="494">
        <v>464</v>
      </c>
      <c r="G14905" s="495" t="s">
        <v>3809</v>
      </c>
      <c r="H14905" s="397"/>
      <c r="I14905" s="397"/>
      <c r="J14905" s="750" t="e">
        <f t="shared" si="171"/>
        <v>#DIV/0!</v>
      </c>
      <c r="K14905" s="398"/>
      <c r="L14905" s="398"/>
      <c r="M14905" s="682"/>
    </row>
    <row r="14906" spans="6:13" hidden="1" x14ac:dyDescent="0.2">
      <c r="F14906" s="494">
        <v>465</v>
      </c>
      <c r="G14906" s="495" t="s">
        <v>4170</v>
      </c>
      <c r="H14906" s="397"/>
      <c r="I14906" s="397"/>
      <c r="J14906" s="750" t="e">
        <f t="shared" si="171"/>
        <v>#DIV/0!</v>
      </c>
      <c r="K14906" s="398"/>
      <c r="L14906" s="398"/>
      <c r="M14906" s="682"/>
    </row>
    <row r="14907" spans="6:13" hidden="1" x14ac:dyDescent="0.2">
      <c r="F14907" s="494">
        <v>472</v>
      </c>
      <c r="G14907" s="495" t="s">
        <v>3813</v>
      </c>
      <c r="H14907" s="397"/>
      <c r="I14907" s="397"/>
      <c r="J14907" s="750" t="e">
        <f t="shared" si="171"/>
        <v>#DIV/0!</v>
      </c>
      <c r="K14907" s="398"/>
      <c r="L14907" s="398"/>
      <c r="M14907" s="682"/>
    </row>
    <row r="14908" spans="6:13" hidden="1" x14ac:dyDescent="0.2">
      <c r="F14908" s="494">
        <v>481</v>
      </c>
      <c r="G14908" s="495" t="s">
        <v>4189</v>
      </c>
      <c r="H14908" s="397"/>
      <c r="I14908" s="397"/>
      <c r="J14908" s="750" t="e">
        <f t="shared" si="171"/>
        <v>#DIV/0!</v>
      </c>
      <c r="K14908" s="398"/>
      <c r="L14908" s="398"/>
      <c r="M14908" s="682"/>
    </row>
    <row r="14909" spans="6:13" hidden="1" x14ac:dyDescent="0.2">
      <c r="F14909" s="494">
        <v>482</v>
      </c>
      <c r="G14909" s="495" t="s">
        <v>4190</v>
      </c>
      <c r="H14909" s="397"/>
      <c r="I14909" s="397"/>
      <c r="J14909" s="750" t="e">
        <f t="shared" si="171"/>
        <v>#DIV/0!</v>
      </c>
      <c r="K14909" s="398"/>
      <c r="L14909" s="398"/>
      <c r="M14909" s="682"/>
    </row>
    <row r="14910" spans="6:13" hidden="1" x14ac:dyDescent="0.2">
      <c r="F14910" s="494">
        <v>483</v>
      </c>
      <c r="G14910" s="497" t="s">
        <v>4191</v>
      </c>
      <c r="H14910" s="397"/>
      <c r="I14910" s="397"/>
      <c r="J14910" s="750" t="e">
        <f t="shared" si="171"/>
        <v>#DIV/0!</v>
      </c>
      <c r="K14910" s="398"/>
      <c r="L14910" s="398"/>
      <c r="M14910" s="682"/>
    </row>
    <row r="14911" spans="6:13" ht="38.25" hidden="1" x14ac:dyDescent="0.2">
      <c r="F14911" s="494">
        <v>484</v>
      </c>
      <c r="G14911" s="495" t="s">
        <v>4192</v>
      </c>
      <c r="H14911" s="397"/>
      <c r="I14911" s="397"/>
      <c r="J14911" s="750" t="e">
        <f t="shared" si="171"/>
        <v>#DIV/0!</v>
      </c>
      <c r="K14911" s="398"/>
      <c r="L14911" s="398"/>
      <c r="M14911" s="682"/>
    </row>
    <row r="14912" spans="6:13" ht="25.5" hidden="1" x14ac:dyDescent="0.2">
      <c r="F14912" s="494">
        <v>485</v>
      </c>
      <c r="G14912" s="495" t="s">
        <v>4193</v>
      </c>
      <c r="H14912" s="397"/>
      <c r="I14912" s="397"/>
      <c r="J14912" s="750" t="e">
        <f t="shared" si="171"/>
        <v>#DIV/0!</v>
      </c>
      <c r="K14912" s="398"/>
      <c r="L14912" s="398"/>
      <c r="M14912" s="682"/>
    </row>
    <row r="14913" spans="5:13" ht="25.5" hidden="1" x14ac:dyDescent="0.2">
      <c r="F14913" s="494">
        <v>489</v>
      </c>
      <c r="G14913" s="495" t="s">
        <v>3821</v>
      </c>
      <c r="H14913" s="397"/>
      <c r="I14913" s="397"/>
      <c r="J14913" s="750" t="e">
        <f t="shared" si="171"/>
        <v>#DIV/0!</v>
      </c>
      <c r="K14913" s="398"/>
      <c r="L14913" s="398"/>
      <c r="M14913" s="682"/>
    </row>
    <row r="14914" spans="5:13" ht="25.5" hidden="1" x14ac:dyDescent="0.2">
      <c r="F14914" s="494">
        <v>494</v>
      </c>
      <c r="G14914" s="495" t="s">
        <v>4171</v>
      </c>
      <c r="H14914" s="397"/>
      <c r="I14914" s="397"/>
      <c r="J14914" s="750" t="e">
        <f t="shared" si="171"/>
        <v>#DIV/0!</v>
      </c>
      <c r="K14914" s="398"/>
      <c r="L14914" s="398"/>
      <c r="M14914" s="682"/>
    </row>
    <row r="14915" spans="5:13" ht="25.5" hidden="1" x14ac:dyDescent="0.2">
      <c r="F14915" s="494">
        <v>495</v>
      </c>
      <c r="G14915" s="495" t="s">
        <v>4172</v>
      </c>
      <c r="H14915" s="397"/>
      <c r="I14915" s="397"/>
      <c r="J14915" s="750" t="e">
        <f t="shared" si="171"/>
        <v>#DIV/0!</v>
      </c>
      <c r="K14915" s="398"/>
      <c r="L14915" s="398"/>
      <c r="M14915" s="682"/>
    </row>
    <row r="14916" spans="5:13" ht="38.25" hidden="1" x14ac:dyDescent="0.2">
      <c r="F14916" s="494">
        <v>496</v>
      </c>
      <c r="G14916" s="495" t="s">
        <v>4173</v>
      </c>
      <c r="H14916" s="397"/>
      <c r="I14916" s="397"/>
      <c r="J14916" s="750" t="e">
        <f t="shared" si="171"/>
        <v>#DIV/0!</v>
      </c>
      <c r="K14916" s="398"/>
      <c r="L14916" s="398"/>
      <c r="M14916" s="682"/>
    </row>
    <row r="14917" spans="5:13" ht="25.5" hidden="1" x14ac:dyDescent="0.2">
      <c r="F14917" s="494">
        <v>499</v>
      </c>
      <c r="G14917" s="495" t="s">
        <v>4174</v>
      </c>
      <c r="H14917" s="397"/>
      <c r="I14917" s="397"/>
      <c r="J14917" s="750" t="e">
        <f t="shared" si="171"/>
        <v>#DIV/0!</v>
      </c>
      <c r="K14917" s="398"/>
      <c r="L14917" s="398"/>
      <c r="M14917" s="682"/>
    </row>
    <row r="14918" spans="5:13" hidden="1" x14ac:dyDescent="0.2">
      <c r="F14918" s="494">
        <v>511</v>
      </c>
      <c r="G14918" s="497" t="s">
        <v>4194</v>
      </c>
      <c r="H14918" s="397"/>
      <c r="I14918" s="397"/>
      <c r="J14918" s="750" t="e">
        <f t="shared" si="171"/>
        <v>#DIV/0!</v>
      </c>
      <c r="K14918" s="398"/>
      <c r="L14918" s="398"/>
      <c r="M14918" s="682"/>
    </row>
    <row r="14919" spans="5:13" ht="13.5" thickBot="1" x14ac:dyDescent="0.25">
      <c r="E14919" s="464">
        <v>159</v>
      </c>
      <c r="F14919" s="494">
        <v>512</v>
      </c>
      <c r="G14919" s="497" t="s">
        <v>4195</v>
      </c>
      <c r="H14919" s="397"/>
      <c r="I14919" s="397"/>
      <c r="J14919" s="750"/>
      <c r="K14919" s="398"/>
      <c r="L14919" s="398"/>
      <c r="M14919" s="682"/>
    </row>
    <row r="14920" spans="5:13" ht="13.5" hidden="1" thickBot="1" x14ac:dyDescent="0.25">
      <c r="F14920" s="494">
        <v>513</v>
      </c>
      <c r="G14920" s="497" t="s">
        <v>4196</v>
      </c>
      <c r="H14920" s="397"/>
      <c r="I14920" s="397"/>
      <c r="J14920" s="750"/>
      <c r="K14920" s="398"/>
      <c r="L14920" s="398"/>
      <c r="M14920" s="682"/>
    </row>
    <row r="14921" spans="5:13" ht="13.5" hidden="1" thickBot="1" x14ac:dyDescent="0.25">
      <c r="F14921" s="494">
        <v>514</v>
      </c>
      <c r="G14921" s="495" t="s">
        <v>4197</v>
      </c>
      <c r="H14921" s="397"/>
      <c r="I14921" s="397"/>
      <c r="J14921" s="750"/>
      <c r="K14921" s="398"/>
      <c r="L14921" s="398"/>
      <c r="M14921" s="682"/>
    </row>
    <row r="14922" spans="5:13" ht="13.5" hidden="1" thickBot="1" x14ac:dyDescent="0.25">
      <c r="F14922" s="494">
        <v>515</v>
      </c>
      <c r="G14922" s="495" t="s">
        <v>3832</v>
      </c>
      <c r="H14922" s="397"/>
      <c r="I14922" s="397"/>
      <c r="J14922" s="750"/>
      <c r="K14922" s="398"/>
      <c r="L14922" s="398"/>
      <c r="M14922" s="682"/>
    </row>
    <row r="14923" spans="5:13" ht="13.5" hidden="1" thickBot="1" x14ac:dyDescent="0.25">
      <c r="F14923" s="494">
        <v>521</v>
      </c>
      <c r="G14923" s="495" t="s">
        <v>4198</v>
      </c>
      <c r="H14923" s="397"/>
      <c r="I14923" s="397"/>
      <c r="J14923" s="750"/>
      <c r="K14923" s="398"/>
      <c r="L14923" s="398"/>
      <c r="M14923" s="682"/>
    </row>
    <row r="14924" spans="5:13" ht="13.5" hidden="1" thickBot="1" x14ac:dyDescent="0.25">
      <c r="F14924" s="494">
        <v>522</v>
      </c>
      <c r="G14924" s="495" t="s">
        <v>4199</v>
      </c>
      <c r="H14924" s="397"/>
      <c r="I14924" s="397"/>
      <c r="J14924" s="750"/>
      <c r="K14924" s="398"/>
      <c r="L14924" s="398"/>
      <c r="M14924" s="682"/>
    </row>
    <row r="14925" spans="5:13" ht="13.5" hidden="1" thickBot="1" x14ac:dyDescent="0.25">
      <c r="F14925" s="494">
        <v>523</v>
      </c>
      <c r="G14925" s="495" t="s">
        <v>3837</v>
      </c>
      <c r="H14925" s="397"/>
      <c r="I14925" s="397"/>
      <c r="J14925" s="750"/>
      <c r="K14925" s="398"/>
      <c r="L14925" s="398"/>
      <c r="M14925" s="682"/>
    </row>
    <row r="14926" spans="5:13" ht="13.5" hidden="1" thickBot="1" x14ac:dyDescent="0.25">
      <c r="F14926" s="494">
        <v>531</v>
      </c>
      <c r="G14926" s="496" t="s">
        <v>4175</v>
      </c>
      <c r="H14926" s="397"/>
      <c r="I14926" s="397"/>
      <c r="J14926" s="750"/>
      <c r="K14926" s="398"/>
      <c r="L14926" s="398"/>
      <c r="M14926" s="682"/>
    </row>
    <row r="14927" spans="5:13" ht="13.5" hidden="1" thickBot="1" x14ac:dyDescent="0.25">
      <c r="F14927" s="494">
        <v>541</v>
      </c>
      <c r="G14927" s="495" t="s">
        <v>4200</v>
      </c>
      <c r="H14927" s="397"/>
      <c r="I14927" s="397"/>
      <c r="J14927" s="750"/>
      <c r="K14927" s="398"/>
      <c r="L14927" s="398"/>
      <c r="M14927" s="682"/>
    </row>
    <row r="14928" spans="5:13" ht="13.5" hidden="1" thickBot="1" x14ac:dyDescent="0.25">
      <c r="F14928" s="494">
        <v>542</v>
      </c>
      <c r="G14928" s="495" t="s">
        <v>4201</v>
      </c>
      <c r="H14928" s="397"/>
      <c r="I14928" s="397"/>
      <c r="J14928" s="750"/>
      <c r="K14928" s="398"/>
      <c r="L14928" s="398"/>
      <c r="M14928" s="682"/>
    </row>
    <row r="14929" spans="5:13" ht="13.5" hidden="1" thickBot="1" x14ac:dyDescent="0.25">
      <c r="F14929" s="494">
        <v>543</v>
      </c>
      <c r="G14929" s="495" t="s">
        <v>3842</v>
      </c>
      <c r="H14929" s="397"/>
      <c r="I14929" s="397"/>
      <c r="J14929" s="750"/>
      <c r="K14929" s="398"/>
      <c r="L14929" s="398"/>
      <c r="M14929" s="682"/>
    </row>
    <row r="14930" spans="5:13" ht="39" hidden="1" thickBot="1" x14ac:dyDescent="0.25">
      <c r="F14930" s="494">
        <v>551</v>
      </c>
      <c r="G14930" s="495" t="s">
        <v>4176</v>
      </c>
      <c r="H14930" s="397"/>
      <c r="I14930" s="397"/>
      <c r="J14930" s="750"/>
      <c r="K14930" s="398"/>
      <c r="L14930" s="398"/>
      <c r="M14930" s="682"/>
    </row>
    <row r="14931" spans="5:13" ht="13.5" hidden="1" thickBot="1" x14ac:dyDescent="0.25">
      <c r="F14931" s="498">
        <v>611</v>
      </c>
      <c r="G14931" s="499" t="s">
        <v>3848</v>
      </c>
      <c r="H14931" s="397"/>
      <c r="I14931" s="397"/>
      <c r="J14931" s="750"/>
      <c r="K14931" s="398"/>
      <c r="L14931" s="398"/>
      <c r="M14931" s="682"/>
    </row>
    <row r="14932" spans="5:13" ht="13.5" hidden="1" thickBot="1" x14ac:dyDescent="0.25">
      <c r="F14932" s="498">
        <v>620</v>
      </c>
      <c r="G14932" s="499" t="s">
        <v>88</v>
      </c>
      <c r="H14932" s="397"/>
      <c r="I14932" s="397"/>
      <c r="J14932" s="750"/>
      <c r="K14932" s="398"/>
      <c r="L14932" s="398"/>
      <c r="M14932" s="682"/>
    </row>
    <row r="14933" spans="5:13" x14ac:dyDescent="0.2">
      <c r="E14933" s="500"/>
      <c r="F14933" s="498"/>
      <c r="G14933" s="501" t="s">
        <v>4400</v>
      </c>
      <c r="H14933" s="400"/>
      <c r="I14933" s="400"/>
      <c r="J14933" s="750"/>
      <c r="K14933" s="401"/>
      <c r="L14933" s="402"/>
      <c r="M14933" s="682"/>
    </row>
    <row r="14934" spans="5:13" ht="13.5" thickBot="1" x14ac:dyDescent="0.25">
      <c r="E14934" s="502"/>
      <c r="F14934" s="503" t="s">
        <v>234</v>
      </c>
      <c r="G14934" s="504" t="s">
        <v>235</v>
      </c>
      <c r="H14934" s="403">
        <f>SUM(H14873:H14932)</f>
        <v>5416000</v>
      </c>
      <c r="I14934" s="403">
        <f>SUM(I14881:I14919)</f>
        <v>4488656.76</v>
      </c>
      <c r="J14934" s="750">
        <f t="shared" ref="J14934:J14982" si="172">SUM(I14934/H14934)*100</f>
        <v>82.877709748892173</v>
      </c>
      <c r="K14934" s="404"/>
      <c r="L14934" s="404"/>
      <c r="M14934" s="682"/>
    </row>
    <row r="14935" spans="5:13" ht="13.5" hidden="1" thickBot="1" x14ac:dyDescent="0.25">
      <c r="F14935" s="503" t="s">
        <v>236</v>
      </c>
      <c r="G14935" s="504" t="s">
        <v>237</v>
      </c>
      <c r="H14935" s="397"/>
      <c r="I14935" s="397"/>
      <c r="J14935" s="750" t="e">
        <f t="shared" si="172"/>
        <v>#DIV/0!</v>
      </c>
      <c r="K14935" s="398"/>
      <c r="L14935" s="404"/>
      <c r="M14935" s="682"/>
    </row>
    <row r="14936" spans="5:13" ht="13.5" hidden="1" thickBot="1" x14ac:dyDescent="0.25">
      <c r="F14936" s="503" t="s">
        <v>238</v>
      </c>
      <c r="G14936" s="504" t="s">
        <v>239</v>
      </c>
      <c r="H14936" s="397"/>
      <c r="I14936" s="397"/>
      <c r="J14936" s="750" t="e">
        <f t="shared" si="172"/>
        <v>#DIV/0!</v>
      </c>
      <c r="K14936" s="398"/>
      <c r="L14936" s="404"/>
      <c r="M14936" s="682"/>
    </row>
    <row r="14937" spans="5:13" ht="13.5" hidden="1" thickBot="1" x14ac:dyDescent="0.25">
      <c r="F14937" s="503" t="s">
        <v>240</v>
      </c>
      <c r="G14937" s="504" t="s">
        <v>241</v>
      </c>
      <c r="H14937" s="397"/>
      <c r="I14937" s="397"/>
      <c r="J14937" s="750" t="e">
        <f t="shared" si="172"/>
        <v>#DIV/0!</v>
      </c>
      <c r="K14937" s="398"/>
      <c r="L14937" s="404"/>
      <c r="M14937" s="682"/>
    </row>
    <row r="14938" spans="5:13" ht="13.5" hidden="1" thickBot="1" x14ac:dyDescent="0.25">
      <c r="F14938" s="503" t="s">
        <v>242</v>
      </c>
      <c r="G14938" s="504" t="s">
        <v>243</v>
      </c>
      <c r="H14938" s="397"/>
      <c r="I14938" s="397"/>
      <c r="J14938" s="750" t="e">
        <f t="shared" si="172"/>
        <v>#DIV/0!</v>
      </c>
      <c r="K14938" s="398"/>
      <c r="L14938" s="404"/>
      <c r="M14938" s="682"/>
    </row>
    <row r="14939" spans="5:13" ht="13.5" hidden="1" thickBot="1" x14ac:dyDescent="0.25">
      <c r="F14939" s="503" t="s">
        <v>244</v>
      </c>
      <c r="G14939" s="504" t="s">
        <v>245</v>
      </c>
      <c r="H14939" s="397"/>
      <c r="I14939" s="397"/>
      <c r="J14939" s="750" t="e">
        <f t="shared" si="172"/>
        <v>#DIV/0!</v>
      </c>
      <c r="K14939" s="398"/>
      <c r="L14939" s="404"/>
      <c r="M14939" s="682"/>
    </row>
    <row r="14940" spans="5:13" ht="13.5" hidden="1" thickBot="1" x14ac:dyDescent="0.25">
      <c r="F14940" s="503" t="s">
        <v>246</v>
      </c>
      <c r="G14940" s="504" t="s">
        <v>247</v>
      </c>
      <c r="H14940" s="397"/>
      <c r="I14940" s="397"/>
      <c r="J14940" s="750" t="e">
        <f t="shared" si="172"/>
        <v>#DIV/0!</v>
      </c>
      <c r="K14940" s="398"/>
      <c r="L14940" s="404"/>
      <c r="M14940" s="682"/>
    </row>
    <row r="14941" spans="5:13" ht="26.25" hidden="1" thickBot="1" x14ac:dyDescent="0.25">
      <c r="F14941" s="503" t="s">
        <v>248</v>
      </c>
      <c r="G14941" s="504" t="s">
        <v>249</v>
      </c>
      <c r="H14941" s="397"/>
      <c r="I14941" s="397"/>
      <c r="J14941" s="750" t="e">
        <f t="shared" si="172"/>
        <v>#DIV/0!</v>
      </c>
      <c r="K14941" s="398"/>
      <c r="L14941" s="404"/>
      <c r="M14941" s="682"/>
    </row>
    <row r="14942" spans="5:13" ht="13.5" hidden="1" thickBot="1" x14ac:dyDescent="0.25">
      <c r="F14942" s="503" t="s">
        <v>250</v>
      </c>
      <c r="G14942" s="504" t="s">
        <v>57</v>
      </c>
      <c r="H14942" s="397"/>
      <c r="I14942" s="397"/>
      <c r="J14942" s="750" t="e">
        <f t="shared" si="172"/>
        <v>#DIV/0!</v>
      </c>
      <c r="K14942" s="398"/>
      <c r="L14942" s="404"/>
      <c r="M14942" s="682"/>
    </row>
    <row r="14943" spans="5:13" ht="13.5" hidden="1" thickBot="1" x14ac:dyDescent="0.25">
      <c r="F14943" s="503" t="s">
        <v>251</v>
      </c>
      <c r="G14943" s="504" t="s">
        <v>252</v>
      </c>
      <c r="H14943" s="397"/>
      <c r="I14943" s="397"/>
      <c r="J14943" s="750" t="e">
        <f t="shared" si="172"/>
        <v>#DIV/0!</v>
      </c>
      <c r="K14943" s="398"/>
      <c r="L14943" s="404"/>
      <c r="M14943" s="682"/>
    </row>
    <row r="14944" spans="5:13" ht="13.5" hidden="1" thickBot="1" x14ac:dyDescent="0.25">
      <c r="F14944" s="503" t="s">
        <v>253</v>
      </c>
      <c r="G14944" s="504" t="s">
        <v>254</v>
      </c>
      <c r="H14944" s="397"/>
      <c r="I14944" s="397"/>
      <c r="J14944" s="750" t="e">
        <f t="shared" si="172"/>
        <v>#DIV/0!</v>
      </c>
      <c r="K14944" s="398"/>
      <c r="L14944" s="404"/>
      <c r="M14944" s="682"/>
    </row>
    <row r="14945" spans="5:13" ht="26.25" hidden="1" thickBot="1" x14ac:dyDescent="0.25">
      <c r="F14945" s="503" t="s">
        <v>255</v>
      </c>
      <c r="G14945" s="504" t="s">
        <v>256</v>
      </c>
      <c r="H14945" s="397"/>
      <c r="I14945" s="397"/>
      <c r="J14945" s="750" t="e">
        <f t="shared" si="172"/>
        <v>#DIV/0!</v>
      </c>
      <c r="K14945" s="398"/>
      <c r="L14945" s="404"/>
      <c r="M14945" s="682"/>
    </row>
    <row r="14946" spans="5:13" ht="26.25" hidden="1" thickBot="1" x14ac:dyDescent="0.25">
      <c r="F14946" s="503" t="s">
        <v>257</v>
      </c>
      <c r="G14946" s="504" t="s">
        <v>258</v>
      </c>
      <c r="H14946" s="397"/>
      <c r="I14946" s="397"/>
      <c r="J14946" s="750" t="e">
        <f t="shared" si="172"/>
        <v>#DIV/0!</v>
      </c>
      <c r="K14946" s="398"/>
      <c r="L14946" s="404"/>
      <c r="M14946" s="682"/>
    </row>
    <row r="14947" spans="5:13" ht="26.25" hidden="1" thickBot="1" x14ac:dyDescent="0.25">
      <c r="F14947" s="503" t="s">
        <v>259</v>
      </c>
      <c r="G14947" s="504" t="s">
        <v>260</v>
      </c>
      <c r="H14947" s="397"/>
      <c r="I14947" s="397"/>
      <c r="J14947" s="750" t="e">
        <f t="shared" si="172"/>
        <v>#DIV/0!</v>
      </c>
      <c r="K14947" s="398"/>
      <c r="L14947" s="404"/>
      <c r="M14947" s="682"/>
    </row>
    <row r="14948" spans="5:13" ht="26.25" hidden="1" thickBot="1" x14ac:dyDescent="0.25">
      <c r="F14948" s="503" t="s">
        <v>261</v>
      </c>
      <c r="G14948" s="504" t="s">
        <v>262</v>
      </c>
      <c r="H14948" s="397"/>
      <c r="I14948" s="397"/>
      <c r="J14948" s="750" t="e">
        <f t="shared" si="172"/>
        <v>#DIV/0!</v>
      </c>
      <c r="K14948" s="398"/>
      <c r="L14948" s="404"/>
      <c r="M14948" s="682"/>
    </row>
    <row r="14949" spans="5:13" ht="13.5" hidden="1" thickBot="1" x14ac:dyDescent="0.25">
      <c r="F14949" s="503" t="s">
        <v>263</v>
      </c>
      <c r="G14949" s="504" t="s">
        <v>264</v>
      </c>
      <c r="H14949" s="403"/>
      <c r="I14949" s="403"/>
      <c r="J14949" s="750" t="e">
        <f t="shared" si="172"/>
        <v>#DIV/0!</v>
      </c>
      <c r="K14949" s="404"/>
      <c r="L14949" s="404"/>
      <c r="M14949" s="682"/>
    </row>
    <row r="14950" spans="5:13" ht="13.5" thickBot="1" x14ac:dyDescent="0.25">
      <c r="G14950" s="505" t="s">
        <v>4401</v>
      </c>
      <c r="H14950" s="405">
        <f>SUM(H14934:H14949)</f>
        <v>5416000</v>
      </c>
      <c r="I14950" s="405">
        <f>SUM(I14934)</f>
        <v>4488656.76</v>
      </c>
      <c r="J14950" s="750">
        <f t="shared" si="172"/>
        <v>82.877709748892173</v>
      </c>
      <c r="K14950" s="406">
        <f>SUM(K14935:K14949)</f>
        <v>0</v>
      </c>
      <c r="L14950" s="406"/>
      <c r="M14950" s="682"/>
    </row>
    <row r="14951" spans="5:13" ht="16.5" customHeight="1" x14ac:dyDescent="0.2">
      <c r="E14951" s="500"/>
      <c r="F14951" s="498"/>
      <c r="G14951" s="506" t="s">
        <v>5170</v>
      </c>
      <c r="H14951" s="407"/>
      <c r="I14951" s="408"/>
      <c r="J14951" s="750"/>
      <c r="K14951" s="409"/>
      <c r="L14951" s="410"/>
      <c r="M14951" s="682"/>
    </row>
    <row r="14952" spans="5:13" ht="13.5" thickBot="1" x14ac:dyDescent="0.25">
      <c r="E14952" s="502"/>
      <c r="F14952" s="503" t="s">
        <v>234</v>
      </c>
      <c r="G14952" s="504" t="s">
        <v>235</v>
      </c>
      <c r="H14952" s="403">
        <f>SUM(H14873:H14932)</f>
        <v>5416000</v>
      </c>
      <c r="I14952" s="403">
        <f>SUM(I14950)</f>
        <v>4488656.76</v>
      </c>
      <c r="J14952" s="750">
        <f t="shared" si="172"/>
        <v>82.877709748892173</v>
      </c>
      <c r="K14952" s="404"/>
      <c r="L14952" s="404"/>
      <c r="M14952" s="682"/>
    </row>
    <row r="14953" spans="5:13" ht="13.5" hidden="1" thickBot="1" x14ac:dyDescent="0.25">
      <c r="F14953" s="503" t="s">
        <v>236</v>
      </c>
      <c r="G14953" s="504" t="s">
        <v>237</v>
      </c>
      <c r="H14953" s="397"/>
      <c r="I14953" s="397"/>
      <c r="J14953" s="750" t="e">
        <f t="shared" si="172"/>
        <v>#DIV/0!</v>
      </c>
      <c r="K14953" s="398"/>
      <c r="L14953" s="404"/>
      <c r="M14953" s="682"/>
    </row>
    <row r="14954" spans="5:13" ht="13.5" hidden="1" thickBot="1" x14ac:dyDescent="0.25">
      <c r="F14954" s="503" t="s">
        <v>238</v>
      </c>
      <c r="G14954" s="504" t="s">
        <v>239</v>
      </c>
      <c r="H14954" s="397"/>
      <c r="I14954" s="397"/>
      <c r="J14954" s="750" t="e">
        <f t="shared" si="172"/>
        <v>#DIV/0!</v>
      </c>
      <c r="K14954" s="398"/>
      <c r="L14954" s="404"/>
      <c r="M14954" s="682"/>
    </row>
    <row r="14955" spans="5:13" ht="13.5" hidden="1" thickBot="1" x14ac:dyDescent="0.25">
      <c r="F14955" s="503" t="s">
        <v>240</v>
      </c>
      <c r="G14955" s="504" t="s">
        <v>241</v>
      </c>
      <c r="H14955" s="397"/>
      <c r="I14955" s="397"/>
      <c r="J14955" s="750" t="e">
        <f t="shared" si="172"/>
        <v>#DIV/0!</v>
      </c>
      <c r="K14955" s="398"/>
      <c r="L14955" s="404"/>
      <c r="M14955" s="682"/>
    </row>
    <row r="14956" spans="5:13" ht="13.5" hidden="1" thickBot="1" x14ac:dyDescent="0.25">
      <c r="F14956" s="503" t="s">
        <v>242</v>
      </c>
      <c r="G14956" s="504" t="s">
        <v>243</v>
      </c>
      <c r="H14956" s="397"/>
      <c r="I14956" s="397"/>
      <c r="J14956" s="750" t="e">
        <f t="shared" si="172"/>
        <v>#DIV/0!</v>
      </c>
      <c r="K14956" s="398"/>
      <c r="L14956" s="404"/>
      <c r="M14956" s="682"/>
    </row>
    <row r="14957" spans="5:13" ht="13.5" hidden="1" thickBot="1" x14ac:dyDescent="0.25">
      <c r="F14957" s="503" t="s">
        <v>244</v>
      </c>
      <c r="G14957" s="504" t="s">
        <v>245</v>
      </c>
      <c r="H14957" s="397"/>
      <c r="I14957" s="397"/>
      <c r="J14957" s="750" t="e">
        <f t="shared" si="172"/>
        <v>#DIV/0!</v>
      </c>
      <c r="K14957" s="398"/>
      <c r="L14957" s="404"/>
      <c r="M14957" s="682"/>
    </row>
    <row r="14958" spans="5:13" ht="13.5" hidden="1" thickBot="1" x14ac:dyDescent="0.25">
      <c r="F14958" s="503" t="s">
        <v>246</v>
      </c>
      <c r="G14958" s="504" t="s">
        <v>247</v>
      </c>
      <c r="H14958" s="397"/>
      <c r="I14958" s="397"/>
      <c r="J14958" s="750" t="e">
        <f t="shared" si="172"/>
        <v>#DIV/0!</v>
      </c>
      <c r="K14958" s="398"/>
      <c r="L14958" s="404"/>
      <c r="M14958" s="682"/>
    </row>
    <row r="14959" spans="5:13" ht="26.25" hidden="1" thickBot="1" x14ac:dyDescent="0.25">
      <c r="F14959" s="503" t="s">
        <v>248</v>
      </c>
      <c r="G14959" s="504" t="s">
        <v>249</v>
      </c>
      <c r="H14959" s="397"/>
      <c r="I14959" s="397"/>
      <c r="J14959" s="750" t="e">
        <f t="shared" si="172"/>
        <v>#DIV/0!</v>
      </c>
      <c r="K14959" s="398"/>
      <c r="L14959" s="404"/>
      <c r="M14959" s="682"/>
    </row>
    <row r="14960" spans="5:13" ht="13.5" hidden="1" thickBot="1" x14ac:dyDescent="0.25">
      <c r="F14960" s="503" t="s">
        <v>250</v>
      </c>
      <c r="G14960" s="504" t="s">
        <v>57</v>
      </c>
      <c r="H14960" s="397"/>
      <c r="I14960" s="397"/>
      <c r="J14960" s="750" t="e">
        <f t="shared" si="172"/>
        <v>#DIV/0!</v>
      </c>
      <c r="K14960" s="398"/>
      <c r="L14960" s="404"/>
      <c r="M14960" s="682"/>
    </row>
    <row r="14961" spans="3:13" ht="13.5" hidden="1" thickBot="1" x14ac:dyDescent="0.25">
      <c r="F14961" s="503" t="s">
        <v>251</v>
      </c>
      <c r="G14961" s="504" t="s">
        <v>252</v>
      </c>
      <c r="H14961" s="397"/>
      <c r="I14961" s="397"/>
      <c r="J14961" s="750" t="e">
        <f t="shared" si="172"/>
        <v>#DIV/0!</v>
      </c>
      <c r="K14961" s="398"/>
      <c r="L14961" s="404"/>
      <c r="M14961" s="682"/>
    </row>
    <row r="14962" spans="3:13" ht="13.5" hidden="1" thickBot="1" x14ac:dyDescent="0.25">
      <c r="F14962" s="503" t="s">
        <v>253</v>
      </c>
      <c r="G14962" s="504" t="s">
        <v>254</v>
      </c>
      <c r="H14962" s="397"/>
      <c r="I14962" s="397"/>
      <c r="J14962" s="750" t="e">
        <f t="shared" si="172"/>
        <v>#DIV/0!</v>
      </c>
      <c r="K14962" s="398"/>
      <c r="L14962" s="404"/>
      <c r="M14962" s="682"/>
    </row>
    <row r="14963" spans="3:13" ht="26.25" hidden="1" thickBot="1" x14ac:dyDescent="0.25">
      <c r="F14963" s="503" t="s">
        <v>255</v>
      </c>
      <c r="G14963" s="504" t="s">
        <v>256</v>
      </c>
      <c r="H14963" s="397"/>
      <c r="I14963" s="397"/>
      <c r="J14963" s="750" t="e">
        <f t="shared" si="172"/>
        <v>#DIV/0!</v>
      </c>
      <c r="K14963" s="398"/>
      <c r="L14963" s="404"/>
      <c r="M14963" s="682"/>
    </row>
    <row r="14964" spans="3:13" ht="26.25" hidden="1" thickBot="1" x14ac:dyDescent="0.25">
      <c r="F14964" s="503" t="s">
        <v>257</v>
      </c>
      <c r="G14964" s="504" t="s">
        <v>258</v>
      </c>
      <c r="H14964" s="397"/>
      <c r="I14964" s="397"/>
      <c r="J14964" s="750" t="e">
        <f t="shared" si="172"/>
        <v>#DIV/0!</v>
      </c>
      <c r="K14964" s="398"/>
      <c r="L14964" s="404"/>
      <c r="M14964" s="682"/>
    </row>
    <row r="14965" spans="3:13" ht="26.25" hidden="1" thickBot="1" x14ac:dyDescent="0.25">
      <c r="F14965" s="503" t="s">
        <v>259</v>
      </c>
      <c r="G14965" s="504" t="s">
        <v>260</v>
      </c>
      <c r="H14965" s="397"/>
      <c r="I14965" s="397"/>
      <c r="J14965" s="750" t="e">
        <f t="shared" si="172"/>
        <v>#DIV/0!</v>
      </c>
      <c r="K14965" s="398"/>
      <c r="L14965" s="404"/>
      <c r="M14965" s="682"/>
    </row>
    <row r="14966" spans="3:13" ht="26.25" hidden="1" thickBot="1" x14ac:dyDescent="0.25">
      <c r="F14966" s="503" t="s">
        <v>261</v>
      </c>
      <c r="G14966" s="504" t="s">
        <v>262</v>
      </c>
      <c r="H14966" s="397"/>
      <c r="I14966" s="397"/>
      <c r="J14966" s="750" t="e">
        <f t="shared" si="172"/>
        <v>#DIV/0!</v>
      </c>
      <c r="K14966" s="398"/>
      <c r="L14966" s="404"/>
      <c r="M14966" s="682"/>
    </row>
    <row r="14967" spans="3:13" ht="13.5" hidden="1" thickBot="1" x14ac:dyDescent="0.25">
      <c r="F14967" s="503" t="s">
        <v>263</v>
      </c>
      <c r="G14967" s="504" t="s">
        <v>264</v>
      </c>
      <c r="H14967" s="403"/>
      <c r="I14967" s="403"/>
      <c r="J14967" s="750" t="e">
        <f t="shared" si="172"/>
        <v>#DIV/0!</v>
      </c>
      <c r="K14967" s="404"/>
      <c r="L14967" s="404"/>
      <c r="M14967" s="682"/>
    </row>
    <row r="14968" spans="3:13" ht="13.5" thickBot="1" x14ac:dyDescent="0.25">
      <c r="G14968" s="505" t="s">
        <v>5171</v>
      </c>
      <c r="H14968" s="405">
        <f>SUM(H14952:H14967)</f>
        <v>5416000</v>
      </c>
      <c r="I14968" s="405">
        <f>SUM(I14952)</f>
        <v>4488656.76</v>
      </c>
      <c r="J14968" s="750">
        <f t="shared" si="172"/>
        <v>82.877709748892173</v>
      </c>
      <c r="K14968" s="406">
        <f>SUM(K14953:K14967)</f>
        <v>0</v>
      </c>
      <c r="L14968" s="406"/>
      <c r="M14968" s="682"/>
    </row>
    <row r="14969" spans="3:13" ht="1.5" customHeight="1" x14ac:dyDescent="0.2">
      <c r="H14969" s="397"/>
      <c r="I14969" s="397"/>
      <c r="J14969" s="750" t="e">
        <f t="shared" si="172"/>
        <v>#DIV/0!</v>
      </c>
      <c r="K14969" s="398"/>
      <c r="L14969" s="398"/>
      <c r="M14969" s="682"/>
    </row>
    <row r="14970" spans="3:13" x14ac:dyDescent="0.2">
      <c r="C14970" s="531" t="s">
        <v>5172</v>
      </c>
      <c r="D14970" s="490"/>
      <c r="E14970" s="490"/>
      <c r="F14970" s="532"/>
      <c r="G14970" s="644" t="s">
        <v>4304</v>
      </c>
      <c r="H14970" s="422"/>
      <c r="I14970" s="422"/>
      <c r="J14970" s="750"/>
      <c r="K14970" s="423"/>
      <c r="L14970" s="424"/>
      <c r="M14970" s="682"/>
    </row>
    <row r="14971" spans="3:13" ht="22.5" customHeight="1" x14ac:dyDescent="0.2">
      <c r="C14971" s="489"/>
      <c r="D14971" s="492">
        <v>660</v>
      </c>
      <c r="E14971" s="492"/>
      <c r="F14971" s="492"/>
      <c r="G14971" s="493" t="s">
        <v>186</v>
      </c>
      <c r="H14971" s="397"/>
      <c r="I14971" s="397"/>
      <c r="J14971" s="750"/>
      <c r="K14971" s="398"/>
      <c r="L14971" s="398"/>
      <c r="M14971" s="682"/>
    </row>
    <row r="14972" spans="3:13" hidden="1" x14ac:dyDescent="0.2">
      <c r="F14972" s="494">
        <v>411</v>
      </c>
      <c r="G14972" s="495" t="s">
        <v>4167</v>
      </c>
      <c r="H14972" s="397"/>
      <c r="I14972" s="397"/>
      <c r="J14972" s="750" t="e">
        <f t="shared" si="172"/>
        <v>#DIV/0!</v>
      </c>
      <c r="K14972" s="398"/>
      <c r="L14972" s="398"/>
      <c r="M14972" s="682"/>
    </row>
    <row r="14973" spans="3:13" hidden="1" x14ac:dyDescent="0.2">
      <c r="F14973" s="494">
        <v>412</v>
      </c>
      <c r="G14973" s="496" t="s">
        <v>3764</v>
      </c>
      <c r="H14973" s="397"/>
      <c r="I14973" s="397"/>
      <c r="J14973" s="750" t="e">
        <f t="shared" si="172"/>
        <v>#DIV/0!</v>
      </c>
      <c r="K14973" s="398"/>
      <c r="L14973" s="398"/>
      <c r="M14973" s="682"/>
    </row>
    <row r="14974" spans="3:13" hidden="1" x14ac:dyDescent="0.2">
      <c r="F14974" s="494">
        <v>413</v>
      </c>
      <c r="G14974" s="495" t="s">
        <v>4168</v>
      </c>
      <c r="H14974" s="397"/>
      <c r="I14974" s="397"/>
      <c r="J14974" s="750" t="e">
        <f t="shared" si="172"/>
        <v>#DIV/0!</v>
      </c>
      <c r="K14974" s="398"/>
      <c r="L14974" s="398"/>
      <c r="M14974" s="682"/>
    </row>
    <row r="14975" spans="3:13" hidden="1" x14ac:dyDescent="0.2">
      <c r="F14975" s="494">
        <v>414</v>
      </c>
      <c r="G14975" s="495" t="s">
        <v>3767</v>
      </c>
      <c r="H14975" s="397"/>
      <c r="I14975" s="397"/>
      <c r="J14975" s="750" t="e">
        <f t="shared" si="172"/>
        <v>#DIV/0!</v>
      </c>
      <c r="K14975" s="398"/>
      <c r="L14975" s="398"/>
      <c r="M14975" s="682"/>
    </row>
    <row r="14976" spans="3:13" hidden="1" x14ac:dyDescent="0.2">
      <c r="F14976" s="494">
        <v>415</v>
      </c>
      <c r="G14976" s="495" t="s">
        <v>4177</v>
      </c>
      <c r="H14976" s="397"/>
      <c r="I14976" s="397"/>
      <c r="J14976" s="750" t="e">
        <f t="shared" si="172"/>
        <v>#DIV/0!</v>
      </c>
      <c r="K14976" s="398"/>
      <c r="L14976" s="398"/>
      <c r="M14976" s="682"/>
    </row>
    <row r="14977" spans="5:13" ht="25.5" hidden="1" x14ac:dyDescent="0.2">
      <c r="F14977" s="494">
        <v>416</v>
      </c>
      <c r="G14977" s="495" t="s">
        <v>4178</v>
      </c>
      <c r="H14977" s="397"/>
      <c r="I14977" s="397"/>
      <c r="J14977" s="750" t="e">
        <f t="shared" si="172"/>
        <v>#DIV/0!</v>
      </c>
      <c r="K14977" s="398"/>
      <c r="L14977" s="398"/>
      <c r="M14977" s="682"/>
    </row>
    <row r="14978" spans="5:13" hidden="1" x14ac:dyDescent="0.2">
      <c r="F14978" s="494">
        <v>417</v>
      </c>
      <c r="G14978" s="495" t="s">
        <v>4179</v>
      </c>
      <c r="H14978" s="397"/>
      <c r="I14978" s="397"/>
      <c r="J14978" s="750" t="e">
        <f t="shared" si="172"/>
        <v>#DIV/0!</v>
      </c>
      <c r="K14978" s="398"/>
      <c r="L14978" s="398"/>
      <c r="M14978" s="682"/>
    </row>
    <row r="14979" spans="5:13" hidden="1" x14ac:dyDescent="0.2">
      <c r="F14979" s="494">
        <v>418</v>
      </c>
      <c r="G14979" s="495" t="s">
        <v>3773</v>
      </c>
      <c r="H14979" s="397"/>
      <c r="I14979" s="397"/>
      <c r="J14979" s="750" t="e">
        <f t="shared" si="172"/>
        <v>#DIV/0!</v>
      </c>
      <c r="K14979" s="398"/>
      <c r="L14979" s="398"/>
      <c r="M14979" s="682"/>
    </row>
    <row r="14980" spans="5:13" x14ac:dyDescent="0.2">
      <c r="E14980" s="464">
        <v>160</v>
      </c>
      <c r="F14980" s="494">
        <v>421</v>
      </c>
      <c r="G14980" s="495" t="s">
        <v>3777</v>
      </c>
      <c r="H14980" s="397">
        <v>50000</v>
      </c>
      <c r="I14980" s="397">
        <v>0</v>
      </c>
      <c r="J14980" s="750">
        <f t="shared" si="172"/>
        <v>0</v>
      </c>
      <c r="K14980" s="398"/>
      <c r="L14980" s="398"/>
      <c r="M14980" s="682"/>
    </row>
    <row r="14981" spans="5:13" x14ac:dyDescent="0.2">
      <c r="E14981" s="464">
        <v>161</v>
      </c>
      <c r="F14981" s="494">
        <v>422</v>
      </c>
      <c r="G14981" s="495" t="s">
        <v>3778</v>
      </c>
      <c r="H14981" s="397">
        <v>20000</v>
      </c>
      <c r="I14981" s="397">
        <v>0</v>
      </c>
      <c r="J14981" s="750">
        <f t="shared" si="172"/>
        <v>0</v>
      </c>
      <c r="K14981" s="398"/>
      <c r="L14981" s="398"/>
      <c r="M14981" s="682"/>
    </row>
    <row r="14982" spans="5:13" hidden="1" x14ac:dyDescent="0.2">
      <c r="F14982" s="494">
        <v>423</v>
      </c>
      <c r="G14982" s="495" t="s">
        <v>3779</v>
      </c>
      <c r="H14982" s="397"/>
      <c r="I14982" s="397"/>
      <c r="J14982" s="750" t="e">
        <f t="shared" si="172"/>
        <v>#DIV/0!</v>
      </c>
      <c r="K14982" s="398"/>
      <c r="L14982" s="398"/>
      <c r="M14982" s="682"/>
    </row>
    <row r="14983" spans="5:13" ht="13.5" thickBot="1" x14ac:dyDescent="0.25">
      <c r="E14983" s="464">
        <v>162</v>
      </c>
      <c r="F14983" s="494">
        <v>424</v>
      </c>
      <c r="G14983" s="495" t="s">
        <v>3781</v>
      </c>
      <c r="H14983" s="397"/>
      <c r="I14983" s="397"/>
      <c r="J14983" s="750"/>
      <c r="K14983" s="398"/>
      <c r="L14983" s="398"/>
      <c r="M14983" s="682"/>
    </row>
    <row r="14984" spans="5:13" ht="13.5" hidden="1" thickBot="1" x14ac:dyDescent="0.25">
      <c r="F14984" s="494">
        <v>425</v>
      </c>
      <c r="G14984" s="495" t="s">
        <v>4180</v>
      </c>
      <c r="H14984" s="397"/>
      <c r="I14984" s="397"/>
      <c r="J14984" s="750"/>
      <c r="K14984" s="398"/>
      <c r="L14984" s="398"/>
      <c r="M14984" s="682"/>
    </row>
    <row r="14985" spans="5:13" ht="13.5" hidden="1" thickBot="1" x14ac:dyDescent="0.25">
      <c r="F14985" s="494">
        <v>426</v>
      </c>
      <c r="G14985" s="495" t="s">
        <v>3785</v>
      </c>
      <c r="H14985" s="397"/>
      <c r="I14985" s="397"/>
      <c r="J14985" s="750"/>
      <c r="K14985" s="398"/>
      <c r="L14985" s="398"/>
      <c r="M14985" s="682"/>
    </row>
    <row r="14986" spans="5:13" ht="13.5" hidden="1" thickBot="1" x14ac:dyDescent="0.25">
      <c r="F14986" s="494">
        <v>431</v>
      </c>
      <c r="G14986" s="495" t="s">
        <v>4181</v>
      </c>
      <c r="H14986" s="397"/>
      <c r="I14986" s="397"/>
      <c r="J14986" s="750"/>
      <c r="K14986" s="398"/>
      <c r="L14986" s="398"/>
      <c r="M14986" s="682"/>
    </row>
    <row r="14987" spans="5:13" ht="13.5" hidden="1" thickBot="1" x14ac:dyDescent="0.25">
      <c r="F14987" s="494">
        <v>432</v>
      </c>
      <c r="G14987" s="495" t="s">
        <v>4182</v>
      </c>
      <c r="H14987" s="397"/>
      <c r="I14987" s="397"/>
      <c r="J14987" s="750"/>
      <c r="K14987" s="398"/>
      <c r="L14987" s="398"/>
      <c r="M14987" s="682"/>
    </row>
    <row r="14988" spans="5:13" ht="13.5" hidden="1" thickBot="1" x14ac:dyDescent="0.25">
      <c r="F14988" s="494">
        <v>433</v>
      </c>
      <c r="G14988" s="495" t="s">
        <v>4183</v>
      </c>
      <c r="H14988" s="397"/>
      <c r="I14988" s="397"/>
      <c r="J14988" s="750"/>
      <c r="K14988" s="398"/>
      <c r="L14988" s="398"/>
      <c r="M14988" s="682"/>
    </row>
    <row r="14989" spans="5:13" ht="13.5" hidden="1" thickBot="1" x14ac:dyDescent="0.25">
      <c r="F14989" s="494">
        <v>434</v>
      </c>
      <c r="G14989" s="495" t="s">
        <v>4184</v>
      </c>
      <c r="H14989" s="397"/>
      <c r="I14989" s="397"/>
      <c r="J14989" s="750"/>
      <c r="K14989" s="398"/>
      <c r="L14989" s="398"/>
      <c r="M14989" s="682"/>
    </row>
    <row r="14990" spans="5:13" ht="13.5" hidden="1" thickBot="1" x14ac:dyDescent="0.25">
      <c r="F14990" s="494">
        <v>435</v>
      </c>
      <c r="G14990" s="495" t="s">
        <v>3792</v>
      </c>
      <c r="H14990" s="397"/>
      <c r="I14990" s="397"/>
      <c r="J14990" s="750"/>
      <c r="K14990" s="398"/>
      <c r="L14990" s="398"/>
      <c r="M14990" s="682"/>
    </row>
    <row r="14991" spans="5:13" ht="13.5" hidden="1" thickBot="1" x14ac:dyDescent="0.25">
      <c r="F14991" s="494">
        <v>441</v>
      </c>
      <c r="G14991" s="495" t="s">
        <v>4185</v>
      </c>
      <c r="H14991" s="397"/>
      <c r="I14991" s="397"/>
      <c r="J14991" s="750"/>
      <c r="K14991" s="398"/>
      <c r="L14991" s="398"/>
      <c r="M14991" s="682"/>
    </row>
    <row r="14992" spans="5:13" ht="13.5" hidden="1" thickBot="1" x14ac:dyDescent="0.25">
      <c r="F14992" s="494">
        <v>442</v>
      </c>
      <c r="G14992" s="495" t="s">
        <v>4186</v>
      </c>
      <c r="H14992" s="397"/>
      <c r="I14992" s="397"/>
      <c r="J14992" s="750"/>
      <c r="K14992" s="398"/>
      <c r="L14992" s="398"/>
      <c r="M14992" s="682"/>
    </row>
    <row r="14993" spans="6:13" ht="13.5" hidden="1" thickBot="1" x14ac:dyDescent="0.25">
      <c r="F14993" s="494">
        <v>443</v>
      </c>
      <c r="G14993" s="495" t="s">
        <v>3797</v>
      </c>
      <c r="H14993" s="397"/>
      <c r="I14993" s="397"/>
      <c r="J14993" s="750"/>
      <c r="K14993" s="398"/>
      <c r="L14993" s="398"/>
      <c r="M14993" s="682"/>
    </row>
    <row r="14994" spans="6:13" ht="13.5" hidden="1" thickBot="1" x14ac:dyDescent="0.25">
      <c r="F14994" s="494">
        <v>444</v>
      </c>
      <c r="G14994" s="495" t="s">
        <v>3798</v>
      </c>
      <c r="H14994" s="397"/>
      <c r="I14994" s="397"/>
      <c r="J14994" s="750"/>
      <c r="K14994" s="398"/>
      <c r="L14994" s="398"/>
      <c r="M14994" s="682"/>
    </row>
    <row r="14995" spans="6:13" ht="26.25" hidden="1" thickBot="1" x14ac:dyDescent="0.25">
      <c r="F14995" s="494">
        <v>4511</v>
      </c>
      <c r="G14995" s="466" t="s">
        <v>1692</v>
      </c>
      <c r="H14995" s="397"/>
      <c r="I14995" s="397"/>
      <c r="J14995" s="750"/>
      <c r="K14995" s="398"/>
      <c r="L14995" s="398"/>
      <c r="M14995" s="682"/>
    </row>
    <row r="14996" spans="6:13" ht="26.25" hidden="1" thickBot="1" x14ac:dyDescent="0.25">
      <c r="F14996" s="494">
        <v>4512</v>
      </c>
      <c r="G14996" s="466" t="s">
        <v>1701</v>
      </c>
      <c r="H14996" s="397"/>
      <c r="I14996" s="397"/>
      <c r="J14996" s="750"/>
      <c r="K14996" s="398"/>
      <c r="L14996" s="398"/>
      <c r="M14996" s="682"/>
    </row>
    <row r="14997" spans="6:13" ht="26.25" hidden="1" thickBot="1" x14ac:dyDescent="0.25">
      <c r="F14997" s="494">
        <v>452</v>
      </c>
      <c r="G14997" s="495" t="s">
        <v>4187</v>
      </c>
      <c r="H14997" s="397"/>
      <c r="I14997" s="397"/>
      <c r="J14997" s="750"/>
      <c r="K14997" s="398"/>
      <c r="L14997" s="398"/>
      <c r="M14997" s="682"/>
    </row>
    <row r="14998" spans="6:13" ht="26.25" hidden="1" thickBot="1" x14ac:dyDescent="0.25">
      <c r="F14998" s="494">
        <v>453</v>
      </c>
      <c r="G14998" s="495" t="s">
        <v>4188</v>
      </c>
      <c r="H14998" s="397"/>
      <c r="I14998" s="397"/>
      <c r="J14998" s="750"/>
      <c r="K14998" s="398"/>
      <c r="L14998" s="398"/>
      <c r="M14998" s="682"/>
    </row>
    <row r="14999" spans="6:13" ht="13.5" hidden="1" thickBot="1" x14ac:dyDescent="0.25">
      <c r="F14999" s="494">
        <v>454</v>
      </c>
      <c r="G14999" s="495" t="s">
        <v>3803</v>
      </c>
      <c r="H14999" s="397"/>
      <c r="I14999" s="397"/>
      <c r="J14999" s="750"/>
      <c r="K14999" s="398"/>
      <c r="L14999" s="398"/>
      <c r="M14999" s="682"/>
    </row>
    <row r="15000" spans="6:13" ht="13.5" hidden="1" thickBot="1" x14ac:dyDescent="0.25">
      <c r="F15000" s="494">
        <v>461</v>
      </c>
      <c r="G15000" s="495" t="s">
        <v>4169</v>
      </c>
      <c r="H15000" s="397"/>
      <c r="I15000" s="397"/>
      <c r="J15000" s="750"/>
      <c r="K15000" s="398"/>
      <c r="L15000" s="398"/>
      <c r="M15000" s="682"/>
    </row>
    <row r="15001" spans="6:13" ht="26.25" hidden="1" thickBot="1" x14ac:dyDescent="0.25">
      <c r="F15001" s="494">
        <v>462</v>
      </c>
      <c r="G15001" s="495" t="s">
        <v>3806</v>
      </c>
      <c r="H15001" s="397"/>
      <c r="I15001" s="397"/>
      <c r="J15001" s="750"/>
      <c r="K15001" s="398"/>
      <c r="L15001" s="398"/>
      <c r="M15001" s="682"/>
    </row>
    <row r="15002" spans="6:13" ht="13.5" hidden="1" thickBot="1" x14ac:dyDescent="0.25">
      <c r="F15002" s="494">
        <v>4631</v>
      </c>
      <c r="G15002" s="495" t="s">
        <v>3807</v>
      </c>
      <c r="H15002" s="397"/>
      <c r="I15002" s="397"/>
      <c r="J15002" s="750"/>
      <c r="K15002" s="398"/>
      <c r="L15002" s="398"/>
      <c r="M15002" s="682"/>
    </row>
    <row r="15003" spans="6:13" ht="13.5" hidden="1" thickBot="1" x14ac:dyDescent="0.25">
      <c r="F15003" s="494">
        <v>4632</v>
      </c>
      <c r="G15003" s="495" t="s">
        <v>3808</v>
      </c>
      <c r="H15003" s="397"/>
      <c r="I15003" s="397"/>
      <c r="J15003" s="750"/>
      <c r="K15003" s="398"/>
      <c r="L15003" s="398"/>
      <c r="M15003" s="682"/>
    </row>
    <row r="15004" spans="6:13" ht="26.25" hidden="1" thickBot="1" x14ac:dyDescent="0.25">
      <c r="F15004" s="494">
        <v>464</v>
      </c>
      <c r="G15004" s="495" t="s">
        <v>3809</v>
      </c>
      <c r="H15004" s="397"/>
      <c r="I15004" s="397"/>
      <c r="J15004" s="750"/>
      <c r="K15004" s="398"/>
      <c r="L15004" s="398"/>
      <c r="M15004" s="682"/>
    </row>
    <row r="15005" spans="6:13" ht="13.5" hidden="1" thickBot="1" x14ac:dyDescent="0.25">
      <c r="F15005" s="494">
        <v>465</v>
      </c>
      <c r="G15005" s="495" t="s">
        <v>4170</v>
      </c>
      <c r="H15005" s="397"/>
      <c r="I15005" s="397"/>
      <c r="J15005" s="750"/>
      <c r="K15005" s="398"/>
      <c r="L15005" s="398"/>
      <c r="M15005" s="682"/>
    </row>
    <row r="15006" spans="6:13" ht="13.5" hidden="1" thickBot="1" x14ac:dyDescent="0.25">
      <c r="F15006" s="494">
        <v>472</v>
      </c>
      <c r="G15006" s="495" t="s">
        <v>3813</v>
      </c>
      <c r="H15006" s="397"/>
      <c r="I15006" s="397"/>
      <c r="J15006" s="750"/>
      <c r="K15006" s="398"/>
      <c r="L15006" s="398"/>
      <c r="M15006" s="682"/>
    </row>
    <row r="15007" spans="6:13" ht="13.5" hidden="1" thickBot="1" x14ac:dyDescent="0.25">
      <c r="F15007" s="494">
        <v>481</v>
      </c>
      <c r="G15007" s="495" t="s">
        <v>4189</v>
      </c>
      <c r="H15007" s="397"/>
      <c r="I15007" s="397"/>
      <c r="J15007" s="750"/>
      <c r="K15007" s="398"/>
      <c r="L15007" s="398"/>
      <c r="M15007" s="682"/>
    </row>
    <row r="15008" spans="6:13" ht="13.5" hidden="1" thickBot="1" x14ac:dyDescent="0.25">
      <c r="F15008" s="494">
        <v>482</v>
      </c>
      <c r="G15008" s="495" t="s">
        <v>4190</v>
      </c>
      <c r="H15008" s="397"/>
      <c r="I15008" s="397"/>
      <c r="J15008" s="750"/>
      <c r="K15008" s="398"/>
      <c r="L15008" s="398"/>
      <c r="M15008" s="682"/>
    </row>
    <row r="15009" spans="6:13" ht="13.5" hidden="1" thickBot="1" x14ac:dyDescent="0.25">
      <c r="F15009" s="494">
        <v>483</v>
      </c>
      <c r="G15009" s="497" t="s">
        <v>4191</v>
      </c>
      <c r="H15009" s="397"/>
      <c r="I15009" s="397"/>
      <c r="J15009" s="750"/>
      <c r="K15009" s="398"/>
      <c r="L15009" s="398"/>
      <c r="M15009" s="682"/>
    </row>
    <row r="15010" spans="6:13" ht="39" hidden="1" thickBot="1" x14ac:dyDescent="0.25">
      <c r="F15010" s="494">
        <v>484</v>
      </c>
      <c r="G15010" s="495" t="s">
        <v>4192</v>
      </c>
      <c r="H15010" s="397"/>
      <c r="I15010" s="397"/>
      <c r="J15010" s="750"/>
      <c r="K15010" s="398"/>
      <c r="L15010" s="398"/>
      <c r="M15010" s="682"/>
    </row>
    <row r="15011" spans="6:13" ht="26.25" hidden="1" thickBot="1" x14ac:dyDescent="0.25">
      <c r="F15011" s="494">
        <v>485</v>
      </c>
      <c r="G15011" s="495" t="s">
        <v>4193</v>
      </c>
      <c r="H15011" s="397"/>
      <c r="I15011" s="397"/>
      <c r="J15011" s="750"/>
      <c r="K15011" s="398"/>
      <c r="L15011" s="398"/>
      <c r="M15011" s="682"/>
    </row>
    <row r="15012" spans="6:13" ht="26.25" hidden="1" thickBot="1" x14ac:dyDescent="0.25">
      <c r="F15012" s="494">
        <v>489</v>
      </c>
      <c r="G15012" s="495" t="s">
        <v>3821</v>
      </c>
      <c r="H15012" s="397"/>
      <c r="I15012" s="397"/>
      <c r="J15012" s="750"/>
      <c r="K15012" s="398"/>
      <c r="L15012" s="398"/>
      <c r="M15012" s="682"/>
    </row>
    <row r="15013" spans="6:13" ht="26.25" hidden="1" thickBot="1" x14ac:dyDescent="0.25">
      <c r="F15013" s="494">
        <v>494</v>
      </c>
      <c r="G15013" s="495" t="s">
        <v>4171</v>
      </c>
      <c r="H15013" s="397"/>
      <c r="I15013" s="397"/>
      <c r="J15013" s="750"/>
      <c r="K15013" s="398"/>
      <c r="L15013" s="398"/>
      <c r="M15013" s="682"/>
    </row>
    <row r="15014" spans="6:13" ht="26.25" hidden="1" thickBot="1" x14ac:dyDescent="0.25">
      <c r="F15014" s="494">
        <v>495</v>
      </c>
      <c r="G15014" s="495" t="s">
        <v>4172</v>
      </c>
      <c r="H15014" s="397"/>
      <c r="I15014" s="397"/>
      <c r="J15014" s="750"/>
      <c r="K15014" s="398"/>
      <c r="L15014" s="398"/>
      <c r="M15014" s="682"/>
    </row>
    <row r="15015" spans="6:13" ht="39" hidden="1" thickBot="1" x14ac:dyDescent="0.25">
      <c r="F15015" s="494">
        <v>496</v>
      </c>
      <c r="G15015" s="495" t="s">
        <v>4173</v>
      </c>
      <c r="H15015" s="397"/>
      <c r="I15015" s="397"/>
      <c r="J15015" s="750"/>
      <c r="K15015" s="398"/>
      <c r="L15015" s="398"/>
      <c r="M15015" s="682"/>
    </row>
    <row r="15016" spans="6:13" ht="26.25" hidden="1" thickBot="1" x14ac:dyDescent="0.25">
      <c r="F15016" s="494">
        <v>499</v>
      </c>
      <c r="G15016" s="495" t="s">
        <v>4174</v>
      </c>
      <c r="H15016" s="397"/>
      <c r="I15016" s="397"/>
      <c r="J15016" s="750"/>
      <c r="K15016" s="398"/>
      <c r="L15016" s="398"/>
      <c r="M15016" s="682"/>
    </row>
    <row r="15017" spans="6:13" ht="13.5" hidden="1" thickBot="1" x14ac:dyDescent="0.25">
      <c r="F15017" s="494">
        <v>511</v>
      </c>
      <c r="G15017" s="497" t="s">
        <v>4194</v>
      </c>
      <c r="H15017" s="397"/>
      <c r="I15017" s="397"/>
      <c r="J15017" s="750"/>
      <c r="K15017" s="398"/>
      <c r="L15017" s="398"/>
      <c r="M15017" s="682"/>
    </row>
    <row r="15018" spans="6:13" ht="13.5" hidden="1" thickBot="1" x14ac:dyDescent="0.25">
      <c r="F15018" s="494">
        <v>512</v>
      </c>
      <c r="G15018" s="497" t="s">
        <v>4195</v>
      </c>
      <c r="H15018" s="397"/>
      <c r="I15018" s="397"/>
      <c r="J15018" s="750"/>
      <c r="K15018" s="398"/>
      <c r="L15018" s="398"/>
      <c r="M15018" s="682"/>
    </row>
    <row r="15019" spans="6:13" ht="13.5" hidden="1" thickBot="1" x14ac:dyDescent="0.25">
      <c r="F15019" s="494">
        <v>513</v>
      </c>
      <c r="G15019" s="497" t="s">
        <v>4196</v>
      </c>
      <c r="H15019" s="397"/>
      <c r="I15019" s="397"/>
      <c r="J15019" s="750"/>
      <c r="K15019" s="398"/>
      <c r="L15019" s="398"/>
      <c r="M15019" s="682"/>
    </row>
    <row r="15020" spans="6:13" ht="13.5" hidden="1" thickBot="1" x14ac:dyDescent="0.25">
      <c r="F15020" s="494">
        <v>514</v>
      </c>
      <c r="G15020" s="495" t="s">
        <v>4197</v>
      </c>
      <c r="H15020" s="397"/>
      <c r="I15020" s="397"/>
      <c r="J15020" s="750"/>
      <c r="K15020" s="398"/>
      <c r="L15020" s="398"/>
      <c r="M15020" s="682"/>
    </row>
    <row r="15021" spans="6:13" ht="13.5" hidden="1" thickBot="1" x14ac:dyDescent="0.25">
      <c r="F15021" s="494">
        <v>515</v>
      </c>
      <c r="G15021" s="495" t="s">
        <v>3832</v>
      </c>
      <c r="H15021" s="397"/>
      <c r="I15021" s="397"/>
      <c r="J15021" s="750"/>
      <c r="K15021" s="398"/>
      <c r="L15021" s="398"/>
      <c r="M15021" s="682"/>
    </row>
    <row r="15022" spans="6:13" ht="13.5" hidden="1" thickBot="1" x14ac:dyDescent="0.25">
      <c r="F15022" s="494">
        <v>521</v>
      </c>
      <c r="G15022" s="495" t="s">
        <v>4198</v>
      </c>
      <c r="H15022" s="397"/>
      <c r="I15022" s="397"/>
      <c r="J15022" s="750"/>
      <c r="K15022" s="398"/>
      <c r="L15022" s="398"/>
      <c r="M15022" s="682"/>
    </row>
    <row r="15023" spans="6:13" ht="13.5" hidden="1" thickBot="1" x14ac:dyDescent="0.25">
      <c r="F15023" s="494">
        <v>522</v>
      </c>
      <c r="G15023" s="495" t="s">
        <v>4199</v>
      </c>
      <c r="H15023" s="397"/>
      <c r="I15023" s="397"/>
      <c r="J15023" s="750"/>
      <c r="K15023" s="398"/>
      <c r="L15023" s="398"/>
      <c r="M15023" s="682"/>
    </row>
    <row r="15024" spans="6:13" ht="13.5" hidden="1" thickBot="1" x14ac:dyDescent="0.25">
      <c r="F15024" s="494">
        <v>523</v>
      </c>
      <c r="G15024" s="495" t="s">
        <v>3837</v>
      </c>
      <c r="H15024" s="397"/>
      <c r="I15024" s="397"/>
      <c r="J15024" s="750"/>
      <c r="K15024" s="398"/>
      <c r="L15024" s="398"/>
      <c r="M15024" s="682"/>
    </row>
    <row r="15025" spans="5:13" ht="13.5" hidden="1" thickBot="1" x14ac:dyDescent="0.25">
      <c r="F15025" s="494">
        <v>531</v>
      </c>
      <c r="G15025" s="496" t="s">
        <v>4175</v>
      </c>
      <c r="H15025" s="397"/>
      <c r="I15025" s="397"/>
      <c r="J15025" s="750"/>
      <c r="K15025" s="398"/>
      <c r="L15025" s="398"/>
      <c r="M15025" s="682"/>
    </row>
    <row r="15026" spans="5:13" ht="13.5" hidden="1" thickBot="1" x14ac:dyDescent="0.25">
      <c r="F15026" s="494">
        <v>541</v>
      </c>
      <c r="G15026" s="495" t="s">
        <v>4200</v>
      </c>
      <c r="H15026" s="397"/>
      <c r="I15026" s="397"/>
      <c r="J15026" s="750"/>
      <c r="K15026" s="398"/>
      <c r="L15026" s="398"/>
      <c r="M15026" s="682"/>
    </row>
    <row r="15027" spans="5:13" ht="13.5" hidden="1" thickBot="1" x14ac:dyDescent="0.25">
      <c r="F15027" s="494">
        <v>542</v>
      </c>
      <c r="G15027" s="495" t="s">
        <v>4201</v>
      </c>
      <c r="H15027" s="397"/>
      <c r="I15027" s="397"/>
      <c r="J15027" s="750"/>
      <c r="K15027" s="398"/>
      <c r="L15027" s="398"/>
      <c r="M15027" s="682"/>
    </row>
    <row r="15028" spans="5:13" ht="13.5" hidden="1" thickBot="1" x14ac:dyDescent="0.25">
      <c r="F15028" s="494">
        <v>543</v>
      </c>
      <c r="G15028" s="495" t="s">
        <v>3842</v>
      </c>
      <c r="H15028" s="397"/>
      <c r="I15028" s="397"/>
      <c r="J15028" s="750"/>
      <c r="K15028" s="398"/>
      <c r="L15028" s="398"/>
      <c r="M15028" s="682"/>
    </row>
    <row r="15029" spans="5:13" ht="39" hidden="1" thickBot="1" x14ac:dyDescent="0.25">
      <c r="F15029" s="494">
        <v>551</v>
      </c>
      <c r="G15029" s="495" t="s">
        <v>4176</v>
      </c>
      <c r="H15029" s="397"/>
      <c r="I15029" s="397"/>
      <c r="J15029" s="750"/>
      <c r="K15029" s="398"/>
      <c r="L15029" s="398"/>
      <c r="M15029" s="682"/>
    </row>
    <row r="15030" spans="5:13" ht="13.5" hidden="1" thickBot="1" x14ac:dyDescent="0.25">
      <c r="F15030" s="498">
        <v>611</v>
      </c>
      <c r="G15030" s="499" t="s">
        <v>3848</v>
      </c>
      <c r="H15030" s="397"/>
      <c r="I15030" s="397"/>
      <c r="J15030" s="750"/>
      <c r="K15030" s="398"/>
      <c r="L15030" s="398"/>
      <c r="M15030" s="682"/>
    </row>
    <row r="15031" spans="5:13" ht="13.5" hidden="1" thickBot="1" x14ac:dyDescent="0.25">
      <c r="F15031" s="498">
        <v>620</v>
      </c>
      <c r="G15031" s="499" t="s">
        <v>88</v>
      </c>
      <c r="H15031" s="397"/>
      <c r="I15031" s="397"/>
      <c r="J15031" s="750"/>
      <c r="K15031" s="398"/>
      <c r="L15031" s="398"/>
      <c r="M15031" s="682"/>
    </row>
    <row r="15032" spans="5:13" x14ac:dyDescent="0.2">
      <c r="E15032" s="500"/>
      <c r="F15032" s="498"/>
      <c r="G15032" s="501" t="s">
        <v>4402</v>
      </c>
      <c r="H15032" s="400"/>
      <c r="I15032" s="400"/>
      <c r="J15032" s="750"/>
      <c r="K15032" s="401"/>
      <c r="L15032" s="402"/>
      <c r="M15032" s="682"/>
    </row>
    <row r="15033" spans="5:13" ht="13.5" thickBot="1" x14ac:dyDescent="0.25">
      <c r="E15033" s="502"/>
      <c r="F15033" s="503" t="s">
        <v>234</v>
      </c>
      <c r="G15033" s="504" t="s">
        <v>235</v>
      </c>
      <c r="H15033" s="403">
        <f>SUM(H14972:H15031)</f>
        <v>70000</v>
      </c>
      <c r="I15033" s="403">
        <v>0</v>
      </c>
      <c r="J15033" s="750">
        <f t="shared" ref="J15033:J15053" si="173">SUM(I15033/H15033)*100</f>
        <v>0</v>
      </c>
      <c r="K15033" s="404"/>
      <c r="L15033" s="404"/>
      <c r="M15033" s="682"/>
    </row>
    <row r="15034" spans="5:13" ht="13.5" hidden="1" thickBot="1" x14ac:dyDescent="0.25">
      <c r="F15034" s="503" t="s">
        <v>236</v>
      </c>
      <c r="G15034" s="504" t="s">
        <v>237</v>
      </c>
      <c r="H15034" s="397"/>
      <c r="I15034" s="397"/>
      <c r="J15034" s="750" t="e">
        <f t="shared" si="173"/>
        <v>#DIV/0!</v>
      </c>
      <c r="K15034" s="398"/>
      <c r="L15034" s="404"/>
      <c r="M15034" s="682"/>
    </row>
    <row r="15035" spans="5:13" ht="13.5" hidden="1" thickBot="1" x14ac:dyDescent="0.25">
      <c r="F15035" s="503" t="s">
        <v>238</v>
      </c>
      <c r="G15035" s="504" t="s">
        <v>239</v>
      </c>
      <c r="H15035" s="397"/>
      <c r="I15035" s="397"/>
      <c r="J15035" s="750" t="e">
        <f t="shared" si="173"/>
        <v>#DIV/0!</v>
      </c>
      <c r="K15035" s="398"/>
      <c r="L15035" s="404"/>
      <c r="M15035" s="682"/>
    </row>
    <row r="15036" spans="5:13" ht="13.5" hidden="1" thickBot="1" x14ac:dyDescent="0.25">
      <c r="F15036" s="503" t="s">
        <v>240</v>
      </c>
      <c r="G15036" s="504" t="s">
        <v>241</v>
      </c>
      <c r="H15036" s="397"/>
      <c r="I15036" s="397"/>
      <c r="J15036" s="750" t="e">
        <f t="shared" si="173"/>
        <v>#DIV/0!</v>
      </c>
      <c r="K15036" s="398"/>
      <c r="L15036" s="404"/>
      <c r="M15036" s="682"/>
    </row>
    <row r="15037" spans="5:13" ht="13.5" hidden="1" thickBot="1" x14ac:dyDescent="0.25">
      <c r="F15037" s="503" t="s">
        <v>242</v>
      </c>
      <c r="G15037" s="504" t="s">
        <v>243</v>
      </c>
      <c r="H15037" s="397"/>
      <c r="I15037" s="397"/>
      <c r="J15037" s="750" t="e">
        <f t="shared" si="173"/>
        <v>#DIV/0!</v>
      </c>
      <c r="K15037" s="398"/>
      <c r="L15037" s="404"/>
      <c r="M15037" s="682"/>
    </row>
    <row r="15038" spans="5:13" ht="13.5" hidden="1" thickBot="1" x14ac:dyDescent="0.25">
      <c r="F15038" s="503" t="s">
        <v>244</v>
      </c>
      <c r="G15038" s="504" t="s">
        <v>245</v>
      </c>
      <c r="H15038" s="397"/>
      <c r="I15038" s="397"/>
      <c r="J15038" s="750" t="e">
        <f t="shared" si="173"/>
        <v>#DIV/0!</v>
      </c>
      <c r="K15038" s="398"/>
      <c r="L15038" s="404"/>
      <c r="M15038" s="682"/>
    </row>
    <row r="15039" spans="5:13" ht="13.5" hidden="1" thickBot="1" x14ac:dyDescent="0.25">
      <c r="F15039" s="503" t="s">
        <v>246</v>
      </c>
      <c r="G15039" s="504" t="s">
        <v>247</v>
      </c>
      <c r="H15039" s="397"/>
      <c r="I15039" s="397"/>
      <c r="J15039" s="750" t="e">
        <f t="shared" si="173"/>
        <v>#DIV/0!</v>
      </c>
      <c r="K15039" s="398"/>
      <c r="L15039" s="404"/>
      <c r="M15039" s="682"/>
    </row>
    <row r="15040" spans="5:13" ht="26.25" hidden="1" thickBot="1" x14ac:dyDescent="0.25">
      <c r="F15040" s="503" t="s">
        <v>248</v>
      </c>
      <c r="G15040" s="504" t="s">
        <v>249</v>
      </c>
      <c r="H15040" s="397"/>
      <c r="I15040" s="397"/>
      <c r="J15040" s="750" t="e">
        <f t="shared" si="173"/>
        <v>#DIV/0!</v>
      </c>
      <c r="K15040" s="398"/>
      <c r="L15040" s="404"/>
      <c r="M15040" s="682"/>
    </row>
    <row r="15041" spans="5:13" ht="13.5" hidden="1" thickBot="1" x14ac:dyDescent="0.25">
      <c r="F15041" s="503" t="s">
        <v>250</v>
      </c>
      <c r="G15041" s="504" t="s">
        <v>57</v>
      </c>
      <c r="H15041" s="397"/>
      <c r="I15041" s="397"/>
      <c r="J15041" s="750" t="e">
        <f t="shared" si="173"/>
        <v>#DIV/0!</v>
      </c>
      <c r="K15041" s="398"/>
      <c r="L15041" s="404"/>
      <c r="M15041" s="682"/>
    </row>
    <row r="15042" spans="5:13" ht="13.5" hidden="1" thickBot="1" x14ac:dyDescent="0.25">
      <c r="F15042" s="503" t="s">
        <v>251</v>
      </c>
      <c r="G15042" s="504" t="s">
        <v>252</v>
      </c>
      <c r="H15042" s="397"/>
      <c r="I15042" s="397"/>
      <c r="J15042" s="750" t="e">
        <f t="shared" si="173"/>
        <v>#DIV/0!</v>
      </c>
      <c r="K15042" s="398"/>
      <c r="L15042" s="404"/>
      <c r="M15042" s="682"/>
    </row>
    <row r="15043" spans="5:13" ht="13.5" hidden="1" thickBot="1" x14ac:dyDescent="0.25">
      <c r="F15043" s="503" t="s">
        <v>253</v>
      </c>
      <c r="G15043" s="504" t="s">
        <v>254</v>
      </c>
      <c r="H15043" s="397"/>
      <c r="I15043" s="397"/>
      <c r="J15043" s="750" t="e">
        <f t="shared" si="173"/>
        <v>#DIV/0!</v>
      </c>
      <c r="K15043" s="398"/>
      <c r="L15043" s="404"/>
      <c r="M15043" s="682"/>
    </row>
    <row r="15044" spans="5:13" ht="26.25" hidden="1" thickBot="1" x14ac:dyDescent="0.25">
      <c r="F15044" s="503" t="s">
        <v>255</v>
      </c>
      <c r="G15044" s="504" t="s">
        <v>256</v>
      </c>
      <c r="H15044" s="397"/>
      <c r="I15044" s="397"/>
      <c r="J15044" s="750" t="e">
        <f t="shared" si="173"/>
        <v>#DIV/0!</v>
      </c>
      <c r="K15044" s="398"/>
      <c r="L15044" s="404"/>
      <c r="M15044" s="682"/>
    </row>
    <row r="15045" spans="5:13" ht="26.25" hidden="1" thickBot="1" x14ac:dyDescent="0.25">
      <c r="F15045" s="503" t="s">
        <v>257</v>
      </c>
      <c r="G15045" s="504" t="s">
        <v>258</v>
      </c>
      <c r="H15045" s="397"/>
      <c r="I15045" s="397"/>
      <c r="J15045" s="750" t="e">
        <f t="shared" si="173"/>
        <v>#DIV/0!</v>
      </c>
      <c r="K15045" s="398"/>
      <c r="L15045" s="404"/>
      <c r="M15045" s="682"/>
    </row>
    <row r="15046" spans="5:13" ht="26.25" hidden="1" thickBot="1" x14ac:dyDescent="0.25">
      <c r="F15046" s="503" t="s">
        <v>259</v>
      </c>
      <c r="G15046" s="504" t="s">
        <v>260</v>
      </c>
      <c r="H15046" s="397"/>
      <c r="I15046" s="397"/>
      <c r="J15046" s="750" t="e">
        <f t="shared" si="173"/>
        <v>#DIV/0!</v>
      </c>
      <c r="K15046" s="398"/>
      <c r="L15046" s="404"/>
      <c r="M15046" s="682"/>
    </row>
    <row r="15047" spans="5:13" ht="26.25" hidden="1" thickBot="1" x14ac:dyDescent="0.25">
      <c r="F15047" s="503" t="s">
        <v>261</v>
      </c>
      <c r="G15047" s="504" t="s">
        <v>262</v>
      </c>
      <c r="H15047" s="397"/>
      <c r="I15047" s="397"/>
      <c r="J15047" s="750" t="e">
        <f t="shared" si="173"/>
        <v>#DIV/0!</v>
      </c>
      <c r="K15047" s="398"/>
      <c r="L15047" s="404"/>
      <c r="M15047" s="682"/>
    </row>
    <row r="15048" spans="5:13" ht="13.5" hidden="1" thickBot="1" x14ac:dyDescent="0.25">
      <c r="F15048" s="503" t="s">
        <v>263</v>
      </c>
      <c r="G15048" s="504" t="s">
        <v>264</v>
      </c>
      <c r="H15048" s="403"/>
      <c r="I15048" s="403"/>
      <c r="J15048" s="750" t="e">
        <f t="shared" si="173"/>
        <v>#DIV/0!</v>
      </c>
      <c r="K15048" s="404"/>
      <c r="L15048" s="404"/>
      <c r="M15048" s="682"/>
    </row>
    <row r="15049" spans="5:13" ht="13.5" thickBot="1" x14ac:dyDescent="0.25">
      <c r="G15049" s="505" t="s">
        <v>4403</v>
      </c>
      <c r="H15049" s="405">
        <f>SUM(H15033:H15048)</f>
        <v>70000</v>
      </c>
      <c r="I15049" s="405">
        <v>0</v>
      </c>
      <c r="J15049" s="750">
        <f t="shared" si="173"/>
        <v>0</v>
      </c>
      <c r="K15049" s="406">
        <f>SUM(K15034:K15048)</f>
        <v>0</v>
      </c>
      <c r="L15049" s="406"/>
      <c r="M15049" s="682"/>
    </row>
    <row r="15050" spans="5:13" ht="19.5" customHeight="1" x14ac:dyDescent="0.2">
      <c r="E15050" s="500"/>
      <c r="F15050" s="498"/>
      <c r="G15050" s="506" t="s">
        <v>5173</v>
      </c>
      <c r="H15050" s="407"/>
      <c r="I15050" s="408"/>
      <c r="J15050" s="750"/>
      <c r="K15050" s="409"/>
      <c r="L15050" s="410"/>
      <c r="M15050" s="682"/>
    </row>
    <row r="15051" spans="5:13" ht="13.5" thickBot="1" x14ac:dyDescent="0.25">
      <c r="E15051" s="502"/>
      <c r="F15051" s="503" t="s">
        <v>234</v>
      </c>
      <c r="G15051" s="504" t="s">
        <v>235</v>
      </c>
      <c r="H15051" s="403">
        <f>SUM(H14972:H15031)</f>
        <v>70000</v>
      </c>
      <c r="I15051" s="403">
        <v>0</v>
      </c>
      <c r="J15051" s="750">
        <f t="shared" si="173"/>
        <v>0</v>
      </c>
      <c r="K15051" s="404"/>
      <c r="L15051" s="404"/>
      <c r="M15051" s="682"/>
    </row>
    <row r="15052" spans="5:13" ht="13.5" hidden="1" thickBot="1" x14ac:dyDescent="0.25">
      <c r="F15052" s="503" t="s">
        <v>236</v>
      </c>
      <c r="G15052" s="504" t="s">
        <v>237</v>
      </c>
      <c r="H15052" s="397"/>
      <c r="I15052" s="397"/>
      <c r="J15052" s="750" t="e">
        <f t="shared" si="173"/>
        <v>#DIV/0!</v>
      </c>
      <c r="K15052" s="398"/>
      <c r="L15052" s="404"/>
      <c r="M15052" s="682"/>
    </row>
    <row r="15053" spans="5:13" ht="13.5" hidden="1" thickBot="1" x14ac:dyDescent="0.25">
      <c r="F15053" s="503" t="s">
        <v>238</v>
      </c>
      <c r="G15053" s="504" t="s">
        <v>239</v>
      </c>
      <c r="H15053" s="397"/>
      <c r="I15053" s="397"/>
      <c r="J15053" s="750" t="e">
        <f t="shared" si="173"/>
        <v>#DIV/0!</v>
      </c>
      <c r="K15053" s="398"/>
      <c r="L15053" s="404"/>
      <c r="M15053" s="682"/>
    </row>
    <row r="15054" spans="5:13" ht="13.5" hidden="1" thickBot="1" x14ac:dyDescent="0.25">
      <c r="F15054" s="503" t="s">
        <v>240</v>
      </c>
      <c r="G15054" s="504" t="s">
        <v>241</v>
      </c>
      <c r="H15054" s="397"/>
      <c r="I15054" s="397"/>
      <c r="J15054" s="750" t="e">
        <f t="shared" ref="J15054:J15067" si="174">SUM(I15054/H15054)*100</f>
        <v>#DIV/0!</v>
      </c>
      <c r="K15054" s="398"/>
      <c r="L15054" s="404"/>
      <c r="M15054" s="682"/>
    </row>
    <row r="15055" spans="5:13" ht="13.5" hidden="1" thickBot="1" x14ac:dyDescent="0.25">
      <c r="F15055" s="503" t="s">
        <v>242</v>
      </c>
      <c r="G15055" s="504" t="s">
        <v>243</v>
      </c>
      <c r="H15055" s="397"/>
      <c r="I15055" s="397"/>
      <c r="J15055" s="750" t="e">
        <f t="shared" si="174"/>
        <v>#DIV/0!</v>
      </c>
      <c r="K15055" s="398"/>
      <c r="L15055" s="404"/>
      <c r="M15055" s="682"/>
    </row>
    <row r="15056" spans="5:13" ht="13.5" hidden="1" thickBot="1" x14ac:dyDescent="0.25">
      <c r="F15056" s="503" t="s">
        <v>244</v>
      </c>
      <c r="G15056" s="504" t="s">
        <v>245</v>
      </c>
      <c r="H15056" s="397"/>
      <c r="I15056" s="397"/>
      <c r="J15056" s="750" t="e">
        <f t="shared" si="174"/>
        <v>#DIV/0!</v>
      </c>
      <c r="K15056" s="398"/>
      <c r="L15056" s="404"/>
      <c r="M15056" s="682"/>
    </row>
    <row r="15057" spans="3:13" ht="13.5" hidden="1" thickBot="1" x14ac:dyDescent="0.25">
      <c r="F15057" s="503" t="s">
        <v>246</v>
      </c>
      <c r="G15057" s="504" t="s">
        <v>247</v>
      </c>
      <c r="H15057" s="397"/>
      <c r="I15057" s="397"/>
      <c r="J15057" s="750" t="e">
        <f t="shared" si="174"/>
        <v>#DIV/0!</v>
      </c>
      <c r="K15057" s="398"/>
      <c r="L15057" s="404"/>
      <c r="M15057" s="682"/>
    </row>
    <row r="15058" spans="3:13" ht="26.25" hidden="1" thickBot="1" x14ac:dyDescent="0.25">
      <c r="F15058" s="503" t="s">
        <v>248</v>
      </c>
      <c r="G15058" s="504" t="s">
        <v>249</v>
      </c>
      <c r="H15058" s="397"/>
      <c r="I15058" s="397"/>
      <c r="J15058" s="750" t="e">
        <f t="shared" si="174"/>
        <v>#DIV/0!</v>
      </c>
      <c r="K15058" s="398"/>
      <c r="L15058" s="404"/>
      <c r="M15058" s="682"/>
    </row>
    <row r="15059" spans="3:13" ht="13.5" hidden="1" thickBot="1" x14ac:dyDescent="0.25">
      <c r="F15059" s="503" t="s">
        <v>250</v>
      </c>
      <c r="G15059" s="504" t="s">
        <v>57</v>
      </c>
      <c r="H15059" s="397"/>
      <c r="I15059" s="397"/>
      <c r="J15059" s="750" t="e">
        <f t="shared" si="174"/>
        <v>#DIV/0!</v>
      </c>
      <c r="K15059" s="398"/>
      <c r="L15059" s="404"/>
      <c r="M15059" s="682"/>
    </row>
    <row r="15060" spans="3:13" ht="13.5" hidden="1" thickBot="1" x14ac:dyDescent="0.25">
      <c r="F15060" s="503" t="s">
        <v>251</v>
      </c>
      <c r="G15060" s="504" t="s">
        <v>252</v>
      </c>
      <c r="H15060" s="397"/>
      <c r="I15060" s="397"/>
      <c r="J15060" s="750" t="e">
        <f t="shared" si="174"/>
        <v>#DIV/0!</v>
      </c>
      <c r="K15060" s="398"/>
      <c r="L15060" s="404"/>
      <c r="M15060" s="682"/>
    </row>
    <row r="15061" spans="3:13" ht="13.5" hidden="1" thickBot="1" x14ac:dyDescent="0.25">
      <c r="F15061" s="503" t="s">
        <v>253</v>
      </c>
      <c r="G15061" s="504" t="s">
        <v>254</v>
      </c>
      <c r="H15061" s="397"/>
      <c r="I15061" s="397"/>
      <c r="J15061" s="750" t="e">
        <f t="shared" si="174"/>
        <v>#DIV/0!</v>
      </c>
      <c r="K15061" s="398"/>
      <c r="L15061" s="404"/>
      <c r="M15061" s="682"/>
    </row>
    <row r="15062" spans="3:13" ht="26.25" hidden="1" thickBot="1" x14ac:dyDescent="0.25">
      <c r="F15062" s="503" t="s">
        <v>255</v>
      </c>
      <c r="G15062" s="504" t="s">
        <v>256</v>
      </c>
      <c r="H15062" s="397"/>
      <c r="I15062" s="397"/>
      <c r="J15062" s="750" t="e">
        <f t="shared" si="174"/>
        <v>#DIV/0!</v>
      </c>
      <c r="K15062" s="398"/>
      <c r="L15062" s="404"/>
      <c r="M15062" s="682"/>
    </row>
    <row r="15063" spans="3:13" ht="26.25" hidden="1" thickBot="1" x14ac:dyDescent="0.25">
      <c r="F15063" s="503" t="s">
        <v>257</v>
      </c>
      <c r="G15063" s="504" t="s">
        <v>258</v>
      </c>
      <c r="H15063" s="397"/>
      <c r="I15063" s="397"/>
      <c r="J15063" s="750" t="e">
        <f t="shared" si="174"/>
        <v>#DIV/0!</v>
      </c>
      <c r="K15063" s="398"/>
      <c r="L15063" s="404"/>
      <c r="M15063" s="682"/>
    </row>
    <row r="15064" spans="3:13" ht="26.25" hidden="1" thickBot="1" x14ac:dyDescent="0.25">
      <c r="F15064" s="503" t="s">
        <v>259</v>
      </c>
      <c r="G15064" s="504" t="s">
        <v>260</v>
      </c>
      <c r="H15064" s="397"/>
      <c r="I15064" s="397"/>
      <c r="J15064" s="750" t="e">
        <f t="shared" si="174"/>
        <v>#DIV/0!</v>
      </c>
      <c r="K15064" s="398"/>
      <c r="L15064" s="404"/>
      <c r="M15064" s="682"/>
    </row>
    <row r="15065" spans="3:13" ht="26.25" hidden="1" thickBot="1" x14ac:dyDescent="0.25">
      <c r="F15065" s="503" t="s">
        <v>261</v>
      </c>
      <c r="G15065" s="504" t="s">
        <v>262</v>
      </c>
      <c r="H15065" s="397"/>
      <c r="I15065" s="397"/>
      <c r="J15065" s="750" t="e">
        <f t="shared" si="174"/>
        <v>#DIV/0!</v>
      </c>
      <c r="K15065" s="398"/>
      <c r="L15065" s="404"/>
      <c r="M15065" s="682"/>
    </row>
    <row r="15066" spans="3:13" ht="13.5" hidden="1" thickBot="1" x14ac:dyDescent="0.25">
      <c r="F15066" s="503" t="s">
        <v>263</v>
      </c>
      <c r="G15066" s="504" t="s">
        <v>264</v>
      </c>
      <c r="H15066" s="403"/>
      <c r="I15066" s="403"/>
      <c r="J15066" s="750" t="e">
        <f t="shared" si="174"/>
        <v>#DIV/0!</v>
      </c>
      <c r="K15066" s="404"/>
      <c r="L15066" s="404"/>
      <c r="M15066" s="682"/>
    </row>
    <row r="15067" spans="3:13" ht="13.5" thickBot="1" x14ac:dyDescent="0.25">
      <c r="G15067" s="505" t="s">
        <v>5174</v>
      </c>
      <c r="H15067" s="405">
        <f>SUM(H15051:H15066)</f>
        <v>70000</v>
      </c>
      <c r="I15067" s="405">
        <v>0</v>
      </c>
      <c r="J15067" s="750">
        <f t="shared" si="174"/>
        <v>0</v>
      </c>
      <c r="K15067" s="406">
        <f>SUM(K15052:K15066)</f>
        <v>0</v>
      </c>
      <c r="L15067" s="406"/>
      <c r="M15067" s="682"/>
    </row>
    <row r="15068" spans="3:13" x14ac:dyDescent="0.2">
      <c r="H15068" s="397"/>
      <c r="I15068" s="397"/>
      <c r="J15068" s="750"/>
      <c r="K15068" s="398"/>
      <c r="L15068" s="398"/>
      <c r="M15068" s="682"/>
    </row>
    <row r="15069" spans="3:13" hidden="1" x14ac:dyDescent="0.2">
      <c r="C15069" s="531" t="s">
        <v>4416</v>
      </c>
      <c r="D15069" s="490"/>
      <c r="E15069" s="490"/>
      <c r="F15069" s="532"/>
      <c r="G15069" s="559" t="s">
        <v>4070</v>
      </c>
      <c r="H15069" s="422"/>
      <c r="I15069" s="422"/>
      <c r="J15069" s="750"/>
      <c r="K15069" s="423"/>
      <c r="L15069" s="424"/>
      <c r="M15069" s="682"/>
    </row>
    <row r="15070" spans="3:13" ht="25.5" hidden="1" x14ac:dyDescent="0.2">
      <c r="C15070" s="489"/>
      <c r="D15070" s="492">
        <v>660</v>
      </c>
      <c r="E15070" s="492"/>
      <c r="F15070" s="492"/>
      <c r="G15070" s="493" t="s">
        <v>186</v>
      </c>
      <c r="H15070" s="397"/>
      <c r="I15070" s="397"/>
      <c r="J15070" s="750"/>
      <c r="K15070" s="398"/>
      <c r="L15070" s="398"/>
      <c r="M15070" s="682"/>
    </row>
    <row r="15071" spans="3:13" hidden="1" x14ac:dyDescent="0.2">
      <c r="F15071" s="494">
        <v>411</v>
      </c>
      <c r="G15071" s="495" t="s">
        <v>4167</v>
      </c>
      <c r="H15071" s="397"/>
      <c r="I15071" s="397"/>
      <c r="J15071" s="750"/>
      <c r="K15071" s="398"/>
      <c r="L15071" s="398"/>
      <c r="M15071" s="682"/>
    </row>
    <row r="15072" spans="3:13" hidden="1" x14ac:dyDescent="0.2">
      <c r="F15072" s="494">
        <v>412</v>
      </c>
      <c r="G15072" s="496" t="s">
        <v>3764</v>
      </c>
      <c r="H15072" s="397"/>
      <c r="I15072" s="397"/>
      <c r="J15072" s="750"/>
      <c r="K15072" s="398"/>
      <c r="L15072" s="398"/>
      <c r="M15072" s="682"/>
    </row>
    <row r="15073" spans="6:13" hidden="1" x14ac:dyDescent="0.2">
      <c r="F15073" s="494">
        <v>413</v>
      </c>
      <c r="G15073" s="495" t="s">
        <v>4168</v>
      </c>
      <c r="H15073" s="397"/>
      <c r="I15073" s="397"/>
      <c r="J15073" s="750"/>
      <c r="K15073" s="398"/>
      <c r="L15073" s="398"/>
      <c r="M15073" s="682"/>
    </row>
    <row r="15074" spans="6:13" hidden="1" x14ac:dyDescent="0.2">
      <c r="F15074" s="494">
        <v>414</v>
      </c>
      <c r="G15074" s="495" t="s">
        <v>3767</v>
      </c>
      <c r="H15074" s="397"/>
      <c r="I15074" s="397"/>
      <c r="J15074" s="750"/>
      <c r="K15074" s="398"/>
      <c r="L15074" s="398"/>
      <c r="M15074" s="682"/>
    </row>
    <row r="15075" spans="6:13" hidden="1" x14ac:dyDescent="0.2">
      <c r="F15075" s="494">
        <v>415</v>
      </c>
      <c r="G15075" s="495" t="s">
        <v>4177</v>
      </c>
      <c r="H15075" s="397"/>
      <c r="I15075" s="397"/>
      <c r="J15075" s="750"/>
      <c r="K15075" s="398"/>
      <c r="L15075" s="398"/>
      <c r="M15075" s="682"/>
    </row>
    <row r="15076" spans="6:13" ht="25.5" hidden="1" x14ac:dyDescent="0.2">
      <c r="F15076" s="494">
        <v>416</v>
      </c>
      <c r="G15076" s="495" t="s">
        <v>4178</v>
      </c>
      <c r="H15076" s="397"/>
      <c r="I15076" s="397"/>
      <c r="J15076" s="750"/>
      <c r="K15076" s="398"/>
      <c r="L15076" s="398"/>
      <c r="M15076" s="682"/>
    </row>
    <row r="15077" spans="6:13" hidden="1" x14ac:dyDescent="0.2">
      <c r="F15077" s="494">
        <v>417</v>
      </c>
      <c r="G15077" s="495" t="s">
        <v>4179</v>
      </c>
      <c r="H15077" s="397"/>
      <c r="I15077" s="397"/>
      <c r="J15077" s="750"/>
      <c r="K15077" s="398"/>
      <c r="L15077" s="398"/>
      <c r="M15077" s="682"/>
    </row>
    <row r="15078" spans="6:13" hidden="1" x14ac:dyDescent="0.2">
      <c r="F15078" s="494">
        <v>418</v>
      </c>
      <c r="G15078" s="495" t="s">
        <v>3773</v>
      </c>
      <c r="H15078" s="397"/>
      <c r="I15078" s="397"/>
      <c r="J15078" s="750"/>
      <c r="K15078" s="398"/>
      <c r="L15078" s="398"/>
      <c r="M15078" s="682"/>
    </row>
    <row r="15079" spans="6:13" hidden="1" x14ac:dyDescent="0.2">
      <c r="F15079" s="494">
        <v>421</v>
      </c>
      <c r="G15079" s="495" t="s">
        <v>3777</v>
      </c>
      <c r="H15079" s="397"/>
      <c r="I15079" s="397"/>
      <c r="J15079" s="750"/>
      <c r="K15079" s="398"/>
      <c r="L15079" s="398"/>
      <c r="M15079" s="682"/>
    </row>
    <row r="15080" spans="6:13" hidden="1" x14ac:dyDescent="0.2">
      <c r="F15080" s="494">
        <v>422</v>
      </c>
      <c r="G15080" s="495" t="s">
        <v>3778</v>
      </c>
      <c r="H15080" s="397"/>
      <c r="I15080" s="397"/>
      <c r="J15080" s="750"/>
      <c r="K15080" s="398"/>
      <c r="L15080" s="398"/>
      <c r="M15080" s="682"/>
    </row>
    <row r="15081" spans="6:13" hidden="1" x14ac:dyDescent="0.2">
      <c r="F15081" s="494">
        <v>423</v>
      </c>
      <c r="G15081" s="495" t="s">
        <v>3779</v>
      </c>
      <c r="H15081" s="397"/>
      <c r="I15081" s="397"/>
      <c r="J15081" s="750"/>
      <c r="K15081" s="398"/>
      <c r="L15081" s="398"/>
      <c r="M15081" s="682"/>
    </row>
    <row r="15082" spans="6:13" hidden="1" x14ac:dyDescent="0.2">
      <c r="F15082" s="494">
        <v>424</v>
      </c>
      <c r="G15082" s="495" t="s">
        <v>3781</v>
      </c>
      <c r="H15082" s="397"/>
      <c r="I15082" s="397"/>
      <c r="J15082" s="750"/>
      <c r="K15082" s="398"/>
      <c r="L15082" s="398"/>
      <c r="M15082" s="682"/>
    </row>
    <row r="15083" spans="6:13" hidden="1" x14ac:dyDescent="0.2">
      <c r="F15083" s="494">
        <v>425</v>
      </c>
      <c r="G15083" s="495" t="s">
        <v>4180</v>
      </c>
      <c r="H15083" s="397"/>
      <c r="I15083" s="397"/>
      <c r="J15083" s="750"/>
      <c r="K15083" s="398"/>
      <c r="L15083" s="398"/>
      <c r="M15083" s="682"/>
    </row>
    <row r="15084" spans="6:13" hidden="1" x14ac:dyDescent="0.2">
      <c r="F15084" s="494">
        <v>426</v>
      </c>
      <c r="G15084" s="495" t="s">
        <v>3785</v>
      </c>
      <c r="H15084" s="397"/>
      <c r="I15084" s="397"/>
      <c r="J15084" s="750"/>
      <c r="K15084" s="398"/>
      <c r="L15084" s="398"/>
      <c r="M15084" s="682"/>
    </row>
    <row r="15085" spans="6:13" hidden="1" x14ac:dyDescent="0.2">
      <c r="F15085" s="494">
        <v>431</v>
      </c>
      <c r="G15085" s="495" t="s">
        <v>4181</v>
      </c>
      <c r="H15085" s="397"/>
      <c r="I15085" s="397"/>
      <c r="J15085" s="750"/>
      <c r="K15085" s="398"/>
      <c r="L15085" s="398"/>
      <c r="M15085" s="682"/>
    </row>
    <row r="15086" spans="6:13" hidden="1" x14ac:dyDescent="0.2">
      <c r="F15086" s="494">
        <v>432</v>
      </c>
      <c r="G15086" s="495" t="s">
        <v>4182</v>
      </c>
      <c r="H15086" s="397"/>
      <c r="I15086" s="397"/>
      <c r="J15086" s="750"/>
      <c r="K15086" s="398"/>
      <c r="L15086" s="398"/>
      <c r="M15086" s="682"/>
    </row>
    <row r="15087" spans="6:13" hidden="1" x14ac:dyDescent="0.2">
      <c r="F15087" s="494">
        <v>433</v>
      </c>
      <c r="G15087" s="495" t="s">
        <v>4183</v>
      </c>
      <c r="H15087" s="397"/>
      <c r="I15087" s="397"/>
      <c r="J15087" s="750"/>
      <c r="K15087" s="398"/>
      <c r="L15087" s="398"/>
      <c r="M15087" s="682"/>
    </row>
    <row r="15088" spans="6:13" hidden="1" x14ac:dyDescent="0.2">
      <c r="F15088" s="494">
        <v>434</v>
      </c>
      <c r="G15088" s="495" t="s">
        <v>4184</v>
      </c>
      <c r="H15088" s="397"/>
      <c r="I15088" s="397"/>
      <c r="J15088" s="750"/>
      <c r="K15088" s="398"/>
      <c r="L15088" s="398"/>
      <c r="M15088" s="682"/>
    </row>
    <row r="15089" spans="6:13" hidden="1" x14ac:dyDescent="0.2">
      <c r="F15089" s="494">
        <v>435</v>
      </c>
      <c r="G15089" s="495" t="s">
        <v>3792</v>
      </c>
      <c r="H15089" s="397"/>
      <c r="I15089" s="397"/>
      <c r="J15089" s="750"/>
      <c r="K15089" s="398"/>
      <c r="L15089" s="398"/>
      <c r="M15089" s="682"/>
    </row>
    <row r="15090" spans="6:13" hidden="1" x14ac:dyDescent="0.2">
      <c r="F15090" s="494">
        <v>441</v>
      </c>
      <c r="G15090" s="495" t="s">
        <v>4185</v>
      </c>
      <c r="H15090" s="397"/>
      <c r="I15090" s="397"/>
      <c r="J15090" s="750"/>
      <c r="K15090" s="398"/>
      <c r="L15090" s="398"/>
      <c r="M15090" s="682"/>
    </row>
    <row r="15091" spans="6:13" hidden="1" x14ac:dyDescent="0.2">
      <c r="F15091" s="494">
        <v>442</v>
      </c>
      <c r="G15091" s="495" t="s">
        <v>4186</v>
      </c>
      <c r="H15091" s="397"/>
      <c r="I15091" s="397"/>
      <c r="J15091" s="750"/>
      <c r="K15091" s="398"/>
      <c r="L15091" s="398"/>
      <c r="M15091" s="682"/>
    </row>
    <row r="15092" spans="6:13" hidden="1" x14ac:dyDescent="0.2">
      <c r="F15092" s="494">
        <v>443</v>
      </c>
      <c r="G15092" s="495" t="s">
        <v>3797</v>
      </c>
      <c r="H15092" s="397"/>
      <c r="I15092" s="397"/>
      <c r="J15092" s="750"/>
      <c r="K15092" s="398"/>
      <c r="L15092" s="398"/>
      <c r="M15092" s="682"/>
    </row>
    <row r="15093" spans="6:13" hidden="1" x14ac:dyDescent="0.2">
      <c r="F15093" s="494">
        <v>444</v>
      </c>
      <c r="G15093" s="495" t="s">
        <v>3798</v>
      </c>
      <c r="H15093" s="397"/>
      <c r="I15093" s="397"/>
      <c r="J15093" s="750"/>
      <c r="K15093" s="398"/>
      <c r="L15093" s="398"/>
      <c r="M15093" s="682"/>
    </row>
    <row r="15094" spans="6:13" ht="25.5" hidden="1" x14ac:dyDescent="0.2">
      <c r="F15094" s="494">
        <v>4511</v>
      </c>
      <c r="G15094" s="466" t="s">
        <v>1692</v>
      </c>
      <c r="H15094" s="397"/>
      <c r="I15094" s="397"/>
      <c r="J15094" s="750"/>
      <c r="K15094" s="398"/>
      <c r="L15094" s="398"/>
      <c r="M15094" s="682"/>
    </row>
    <row r="15095" spans="6:13" ht="25.5" hidden="1" x14ac:dyDescent="0.2">
      <c r="F15095" s="494">
        <v>4512</v>
      </c>
      <c r="G15095" s="466" t="s">
        <v>1701</v>
      </c>
      <c r="H15095" s="397"/>
      <c r="I15095" s="397"/>
      <c r="J15095" s="750"/>
      <c r="K15095" s="398"/>
      <c r="L15095" s="398"/>
      <c r="M15095" s="682"/>
    </row>
    <row r="15096" spans="6:13" ht="25.5" hidden="1" x14ac:dyDescent="0.2">
      <c r="F15096" s="494">
        <v>452</v>
      </c>
      <c r="G15096" s="495" t="s">
        <v>4187</v>
      </c>
      <c r="H15096" s="397"/>
      <c r="I15096" s="397"/>
      <c r="J15096" s="750"/>
      <c r="K15096" s="398"/>
      <c r="L15096" s="398"/>
      <c r="M15096" s="682"/>
    </row>
    <row r="15097" spans="6:13" ht="25.5" hidden="1" x14ac:dyDescent="0.2">
      <c r="F15097" s="494">
        <v>453</v>
      </c>
      <c r="G15097" s="495" t="s">
        <v>4188</v>
      </c>
      <c r="H15097" s="397"/>
      <c r="I15097" s="397"/>
      <c r="J15097" s="750"/>
      <c r="K15097" s="398"/>
      <c r="L15097" s="398"/>
      <c r="M15097" s="682"/>
    </row>
    <row r="15098" spans="6:13" hidden="1" x14ac:dyDescent="0.2">
      <c r="F15098" s="494">
        <v>454</v>
      </c>
      <c r="G15098" s="495" t="s">
        <v>3803</v>
      </c>
      <c r="H15098" s="397"/>
      <c r="I15098" s="397"/>
      <c r="J15098" s="750"/>
      <c r="K15098" s="398"/>
      <c r="L15098" s="398"/>
      <c r="M15098" s="682"/>
    </row>
    <row r="15099" spans="6:13" hidden="1" x14ac:dyDescent="0.2">
      <c r="F15099" s="494">
        <v>461</v>
      </c>
      <c r="G15099" s="495" t="s">
        <v>4169</v>
      </c>
      <c r="H15099" s="397"/>
      <c r="I15099" s="397"/>
      <c r="J15099" s="750"/>
      <c r="K15099" s="398"/>
      <c r="L15099" s="398"/>
      <c r="M15099" s="682"/>
    </row>
    <row r="15100" spans="6:13" ht="25.5" hidden="1" x14ac:dyDescent="0.2">
      <c r="F15100" s="494">
        <v>462</v>
      </c>
      <c r="G15100" s="495" t="s">
        <v>3806</v>
      </c>
      <c r="H15100" s="397"/>
      <c r="I15100" s="397"/>
      <c r="J15100" s="750"/>
      <c r="K15100" s="398"/>
      <c r="L15100" s="398"/>
      <c r="M15100" s="682"/>
    </row>
    <row r="15101" spans="6:13" hidden="1" x14ac:dyDescent="0.2">
      <c r="F15101" s="494">
        <v>4631</v>
      </c>
      <c r="G15101" s="495" t="s">
        <v>3807</v>
      </c>
      <c r="H15101" s="397"/>
      <c r="I15101" s="397"/>
      <c r="J15101" s="750"/>
      <c r="K15101" s="398"/>
      <c r="L15101" s="398"/>
      <c r="M15101" s="682"/>
    </row>
    <row r="15102" spans="6:13" hidden="1" x14ac:dyDescent="0.2">
      <c r="F15102" s="494">
        <v>4632</v>
      </c>
      <c r="G15102" s="495" t="s">
        <v>3808</v>
      </c>
      <c r="H15102" s="397"/>
      <c r="I15102" s="397"/>
      <c r="J15102" s="750"/>
      <c r="K15102" s="398"/>
      <c r="L15102" s="398"/>
      <c r="M15102" s="682"/>
    </row>
    <row r="15103" spans="6:13" ht="25.5" hidden="1" x14ac:dyDescent="0.2">
      <c r="F15103" s="494">
        <v>464</v>
      </c>
      <c r="G15103" s="495" t="s">
        <v>3809</v>
      </c>
      <c r="H15103" s="397"/>
      <c r="I15103" s="397"/>
      <c r="J15103" s="750"/>
      <c r="K15103" s="398"/>
      <c r="L15103" s="398"/>
      <c r="M15103" s="682"/>
    </row>
    <row r="15104" spans="6:13" hidden="1" x14ac:dyDescent="0.2">
      <c r="F15104" s="494">
        <v>465</v>
      </c>
      <c r="G15104" s="495" t="s">
        <v>4170</v>
      </c>
      <c r="H15104" s="397"/>
      <c r="I15104" s="397"/>
      <c r="J15104" s="750"/>
      <c r="K15104" s="398"/>
      <c r="L15104" s="398"/>
      <c r="M15104" s="682"/>
    </row>
    <row r="15105" spans="6:13" hidden="1" x14ac:dyDescent="0.2">
      <c r="F15105" s="494">
        <v>472</v>
      </c>
      <c r="G15105" s="495" t="s">
        <v>3813</v>
      </c>
      <c r="H15105" s="397"/>
      <c r="I15105" s="397"/>
      <c r="J15105" s="750"/>
      <c r="K15105" s="398"/>
      <c r="L15105" s="398"/>
      <c r="M15105" s="682"/>
    </row>
    <row r="15106" spans="6:13" hidden="1" x14ac:dyDescent="0.2">
      <c r="F15106" s="494">
        <v>481</v>
      </c>
      <c r="G15106" s="495" t="s">
        <v>4189</v>
      </c>
      <c r="H15106" s="397"/>
      <c r="I15106" s="397"/>
      <c r="J15106" s="750"/>
      <c r="K15106" s="398"/>
      <c r="L15106" s="398"/>
      <c r="M15106" s="682"/>
    </row>
    <row r="15107" spans="6:13" hidden="1" x14ac:dyDescent="0.2">
      <c r="F15107" s="494">
        <v>482</v>
      </c>
      <c r="G15107" s="495" t="s">
        <v>4190</v>
      </c>
      <c r="H15107" s="397"/>
      <c r="I15107" s="397"/>
      <c r="J15107" s="750"/>
      <c r="K15107" s="398"/>
      <c r="L15107" s="398"/>
      <c r="M15107" s="682"/>
    </row>
    <row r="15108" spans="6:13" hidden="1" x14ac:dyDescent="0.2">
      <c r="F15108" s="494">
        <v>483</v>
      </c>
      <c r="G15108" s="497" t="s">
        <v>4191</v>
      </c>
      <c r="H15108" s="397"/>
      <c r="I15108" s="397"/>
      <c r="J15108" s="750"/>
      <c r="K15108" s="398"/>
      <c r="L15108" s="398"/>
      <c r="M15108" s="682"/>
    </row>
    <row r="15109" spans="6:13" ht="38.25" hidden="1" x14ac:dyDescent="0.2">
      <c r="F15109" s="494">
        <v>484</v>
      </c>
      <c r="G15109" s="495" t="s">
        <v>4192</v>
      </c>
      <c r="H15109" s="397"/>
      <c r="I15109" s="397"/>
      <c r="J15109" s="750"/>
      <c r="K15109" s="398"/>
      <c r="L15109" s="398"/>
      <c r="M15109" s="682"/>
    </row>
    <row r="15110" spans="6:13" ht="25.5" hidden="1" x14ac:dyDescent="0.2">
      <c r="F15110" s="494">
        <v>485</v>
      </c>
      <c r="G15110" s="495" t="s">
        <v>4193</v>
      </c>
      <c r="H15110" s="397"/>
      <c r="I15110" s="397"/>
      <c r="J15110" s="750"/>
      <c r="K15110" s="398"/>
      <c r="L15110" s="398"/>
      <c r="M15110" s="682"/>
    </row>
    <row r="15111" spans="6:13" ht="25.5" hidden="1" x14ac:dyDescent="0.2">
      <c r="F15111" s="494">
        <v>489</v>
      </c>
      <c r="G15111" s="495" t="s">
        <v>3821</v>
      </c>
      <c r="H15111" s="397"/>
      <c r="I15111" s="397"/>
      <c r="J15111" s="750"/>
      <c r="K15111" s="398"/>
      <c r="L15111" s="398"/>
      <c r="M15111" s="682"/>
    </row>
    <row r="15112" spans="6:13" ht="25.5" hidden="1" x14ac:dyDescent="0.2">
      <c r="F15112" s="494">
        <v>494</v>
      </c>
      <c r="G15112" s="495" t="s">
        <v>4171</v>
      </c>
      <c r="H15112" s="397"/>
      <c r="I15112" s="397"/>
      <c r="J15112" s="750"/>
      <c r="K15112" s="398"/>
      <c r="L15112" s="398"/>
      <c r="M15112" s="682"/>
    </row>
    <row r="15113" spans="6:13" ht="25.5" hidden="1" x14ac:dyDescent="0.2">
      <c r="F15113" s="494">
        <v>495</v>
      </c>
      <c r="G15113" s="495" t="s">
        <v>4172</v>
      </c>
      <c r="H15113" s="397"/>
      <c r="I15113" s="397"/>
      <c r="J15113" s="750"/>
      <c r="K15113" s="398"/>
      <c r="L15113" s="398"/>
      <c r="M15113" s="682"/>
    </row>
    <row r="15114" spans="6:13" ht="38.25" hidden="1" x14ac:dyDescent="0.2">
      <c r="F15114" s="494">
        <v>496</v>
      </c>
      <c r="G15114" s="495" t="s">
        <v>4173</v>
      </c>
      <c r="H15114" s="397"/>
      <c r="I15114" s="397"/>
      <c r="J15114" s="750"/>
      <c r="K15114" s="398"/>
      <c r="L15114" s="398"/>
      <c r="M15114" s="682"/>
    </row>
    <row r="15115" spans="6:13" ht="25.5" hidden="1" x14ac:dyDescent="0.2">
      <c r="F15115" s="494">
        <v>499</v>
      </c>
      <c r="G15115" s="495" t="s">
        <v>4174</v>
      </c>
      <c r="H15115" s="397"/>
      <c r="I15115" s="397"/>
      <c r="J15115" s="750"/>
      <c r="K15115" s="398"/>
      <c r="L15115" s="398"/>
      <c r="M15115" s="682"/>
    </row>
    <row r="15116" spans="6:13" hidden="1" x14ac:dyDescent="0.2">
      <c r="F15116" s="494">
        <v>511</v>
      </c>
      <c r="G15116" s="497" t="s">
        <v>4194</v>
      </c>
      <c r="H15116" s="397"/>
      <c r="I15116" s="397"/>
      <c r="J15116" s="750"/>
      <c r="K15116" s="398"/>
      <c r="L15116" s="398"/>
      <c r="M15116" s="682"/>
    </row>
    <row r="15117" spans="6:13" hidden="1" x14ac:dyDescent="0.2">
      <c r="F15117" s="494">
        <v>512</v>
      </c>
      <c r="G15117" s="497" t="s">
        <v>4195</v>
      </c>
      <c r="H15117" s="397"/>
      <c r="I15117" s="397"/>
      <c r="J15117" s="750"/>
      <c r="K15117" s="398"/>
      <c r="L15117" s="398"/>
      <c r="M15117" s="682"/>
    </row>
    <row r="15118" spans="6:13" hidden="1" x14ac:dyDescent="0.2">
      <c r="F15118" s="494">
        <v>513</v>
      </c>
      <c r="G15118" s="497" t="s">
        <v>4196</v>
      </c>
      <c r="H15118" s="397"/>
      <c r="I15118" s="397"/>
      <c r="J15118" s="750"/>
      <c r="K15118" s="398"/>
      <c r="L15118" s="398"/>
      <c r="M15118" s="682"/>
    </row>
    <row r="15119" spans="6:13" hidden="1" x14ac:dyDescent="0.2">
      <c r="F15119" s="494">
        <v>514</v>
      </c>
      <c r="G15119" s="495" t="s">
        <v>4197</v>
      </c>
      <c r="H15119" s="397"/>
      <c r="I15119" s="397"/>
      <c r="J15119" s="750"/>
      <c r="K15119" s="398"/>
      <c r="L15119" s="398"/>
      <c r="M15119" s="682"/>
    </row>
    <row r="15120" spans="6:13" hidden="1" x14ac:dyDescent="0.2">
      <c r="F15120" s="494">
        <v>515</v>
      </c>
      <c r="G15120" s="495" t="s">
        <v>3832</v>
      </c>
      <c r="H15120" s="397"/>
      <c r="I15120" s="397"/>
      <c r="J15120" s="750"/>
      <c r="K15120" s="398"/>
      <c r="L15120" s="398"/>
      <c r="M15120" s="682"/>
    </row>
    <row r="15121" spans="5:13" hidden="1" x14ac:dyDescent="0.2">
      <c r="F15121" s="494">
        <v>521</v>
      </c>
      <c r="G15121" s="495" t="s">
        <v>4198</v>
      </c>
      <c r="H15121" s="397"/>
      <c r="I15121" s="397"/>
      <c r="J15121" s="750"/>
      <c r="K15121" s="398"/>
      <c r="L15121" s="398"/>
      <c r="M15121" s="682"/>
    </row>
    <row r="15122" spans="5:13" hidden="1" x14ac:dyDescent="0.2">
      <c r="F15122" s="494">
        <v>522</v>
      </c>
      <c r="G15122" s="495" t="s">
        <v>4199</v>
      </c>
      <c r="H15122" s="397"/>
      <c r="I15122" s="397"/>
      <c r="J15122" s="750"/>
      <c r="K15122" s="398"/>
      <c r="L15122" s="398"/>
      <c r="M15122" s="682"/>
    </row>
    <row r="15123" spans="5:13" hidden="1" x14ac:dyDescent="0.2">
      <c r="F15123" s="494">
        <v>523</v>
      </c>
      <c r="G15123" s="495" t="s">
        <v>3837</v>
      </c>
      <c r="H15123" s="397"/>
      <c r="I15123" s="397"/>
      <c r="J15123" s="750"/>
      <c r="K15123" s="398"/>
      <c r="L15123" s="398"/>
      <c r="M15123" s="682"/>
    </row>
    <row r="15124" spans="5:13" hidden="1" x14ac:dyDescent="0.2">
      <c r="F15124" s="494">
        <v>531</v>
      </c>
      <c r="G15124" s="496" t="s">
        <v>4175</v>
      </c>
      <c r="H15124" s="397"/>
      <c r="I15124" s="397"/>
      <c r="J15124" s="750"/>
      <c r="K15124" s="398"/>
      <c r="L15124" s="398"/>
      <c r="M15124" s="682"/>
    </row>
    <row r="15125" spans="5:13" hidden="1" x14ac:dyDescent="0.2">
      <c r="F15125" s="494">
        <v>541</v>
      </c>
      <c r="G15125" s="495" t="s">
        <v>4200</v>
      </c>
      <c r="H15125" s="397"/>
      <c r="I15125" s="397"/>
      <c r="J15125" s="750"/>
      <c r="K15125" s="398"/>
      <c r="L15125" s="398"/>
      <c r="M15125" s="682"/>
    </row>
    <row r="15126" spans="5:13" hidden="1" x14ac:dyDescent="0.2">
      <c r="F15126" s="494">
        <v>542</v>
      </c>
      <c r="G15126" s="495" t="s">
        <v>4201</v>
      </c>
      <c r="H15126" s="397"/>
      <c r="I15126" s="397"/>
      <c r="J15126" s="750"/>
      <c r="K15126" s="398"/>
      <c r="L15126" s="398"/>
      <c r="M15126" s="682"/>
    </row>
    <row r="15127" spans="5:13" hidden="1" x14ac:dyDescent="0.2">
      <c r="F15127" s="494">
        <v>543</v>
      </c>
      <c r="G15127" s="495" t="s">
        <v>3842</v>
      </c>
      <c r="H15127" s="397"/>
      <c r="I15127" s="397"/>
      <c r="J15127" s="750"/>
      <c r="K15127" s="398"/>
      <c r="L15127" s="398"/>
      <c r="M15127" s="682"/>
    </row>
    <row r="15128" spans="5:13" ht="38.25" hidden="1" x14ac:dyDescent="0.2">
      <c r="F15128" s="494">
        <v>551</v>
      </c>
      <c r="G15128" s="495" t="s">
        <v>4176</v>
      </c>
      <c r="H15128" s="397"/>
      <c r="I15128" s="397"/>
      <c r="J15128" s="750"/>
      <c r="K15128" s="398"/>
      <c r="L15128" s="398"/>
      <c r="M15128" s="682"/>
    </row>
    <row r="15129" spans="5:13" hidden="1" x14ac:dyDescent="0.2">
      <c r="F15129" s="498">
        <v>611</v>
      </c>
      <c r="G15129" s="499" t="s">
        <v>3848</v>
      </c>
      <c r="H15129" s="397"/>
      <c r="I15129" s="397"/>
      <c r="J15129" s="750"/>
      <c r="K15129" s="398"/>
      <c r="L15129" s="398"/>
      <c r="M15129" s="682"/>
    </row>
    <row r="15130" spans="5:13" hidden="1" x14ac:dyDescent="0.2">
      <c r="F15130" s="498">
        <v>620</v>
      </c>
      <c r="G15130" s="499" t="s">
        <v>88</v>
      </c>
      <c r="H15130" s="397"/>
      <c r="I15130" s="397"/>
      <c r="J15130" s="750"/>
      <c r="K15130" s="398"/>
      <c r="L15130" s="398"/>
      <c r="M15130" s="682"/>
    </row>
    <row r="15131" spans="5:13" hidden="1" x14ac:dyDescent="0.2">
      <c r="E15131" s="500"/>
      <c r="F15131" s="498"/>
      <c r="G15131" s="501" t="s">
        <v>4402</v>
      </c>
      <c r="H15131" s="400"/>
      <c r="I15131" s="400"/>
      <c r="J15131" s="750"/>
      <c r="K15131" s="401"/>
      <c r="L15131" s="402"/>
      <c r="M15131" s="682"/>
    </row>
    <row r="15132" spans="5:13" hidden="1" x14ac:dyDescent="0.2">
      <c r="E15132" s="502"/>
      <c r="F15132" s="503" t="s">
        <v>234</v>
      </c>
      <c r="G15132" s="504" t="s">
        <v>235</v>
      </c>
      <c r="H15132" s="403">
        <f>SUM(H15071:H15130)</f>
        <v>0</v>
      </c>
      <c r="I15132" s="403"/>
      <c r="J15132" s="750"/>
      <c r="K15132" s="404"/>
      <c r="L15132" s="404"/>
      <c r="M15132" s="682"/>
    </row>
    <row r="15133" spans="5:13" hidden="1" x14ac:dyDescent="0.2">
      <c r="F15133" s="503" t="s">
        <v>236</v>
      </c>
      <c r="G15133" s="504" t="s">
        <v>237</v>
      </c>
      <c r="H15133" s="397"/>
      <c r="I15133" s="397"/>
      <c r="J15133" s="750"/>
      <c r="K15133" s="398"/>
      <c r="L15133" s="404"/>
      <c r="M15133" s="682"/>
    </row>
    <row r="15134" spans="5:13" hidden="1" x14ac:dyDescent="0.2">
      <c r="F15134" s="503" t="s">
        <v>238</v>
      </c>
      <c r="G15134" s="504" t="s">
        <v>239</v>
      </c>
      <c r="H15134" s="397"/>
      <c r="I15134" s="397"/>
      <c r="J15134" s="750"/>
      <c r="K15134" s="398"/>
      <c r="L15134" s="404"/>
      <c r="M15134" s="682"/>
    </row>
    <row r="15135" spans="5:13" hidden="1" x14ac:dyDescent="0.2">
      <c r="F15135" s="503" t="s">
        <v>240</v>
      </c>
      <c r="G15135" s="504" t="s">
        <v>241</v>
      </c>
      <c r="H15135" s="397"/>
      <c r="I15135" s="397"/>
      <c r="J15135" s="750"/>
      <c r="K15135" s="398"/>
      <c r="L15135" s="404"/>
      <c r="M15135" s="682"/>
    </row>
    <row r="15136" spans="5:13" hidden="1" x14ac:dyDescent="0.2">
      <c r="F15136" s="503" t="s">
        <v>242</v>
      </c>
      <c r="G15136" s="504" t="s">
        <v>243</v>
      </c>
      <c r="H15136" s="397"/>
      <c r="I15136" s="397"/>
      <c r="J15136" s="750"/>
      <c r="K15136" s="398"/>
      <c r="L15136" s="404"/>
      <c r="M15136" s="682"/>
    </row>
    <row r="15137" spans="5:13" hidden="1" x14ac:dyDescent="0.2">
      <c r="F15137" s="503" t="s">
        <v>244</v>
      </c>
      <c r="G15137" s="504" t="s">
        <v>245</v>
      </c>
      <c r="H15137" s="397"/>
      <c r="I15137" s="397"/>
      <c r="J15137" s="750"/>
      <c r="K15137" s="398"/>
      <c r="L15137" s="404"/>
      <c r="M15137" s="682"/>
    </row>
    <row r="15138" spans="5:13" hidden="1" x14ac:dyDescent="0.2">
      <c r="F15138" s="503" t="s">
        <v>246</v>
      </c>
      <c r="G15138" s="504" t="s">
        <v>247</v>
      </c>
      <c r="H15138" s="397"/>
      <c r="I15138" s="397"/>
      <c r="J15138" s="750"/>
      <c r="K15138" s="398"/>
      <c r="L15138" s="404"/>
      <c r="M15138" s="682"/>
    </row>
    <row r="15139" spans="5:13" ht="25.5" hidden="1" x14ac:dyDescent="0.2">
      <c r="F15139" s="503" t="s">
        <v>248</v>
      </c>
      <c r="G15139" s="504" t="s">
        <v>249</v>
      </c>
      <c r="H15139" s="397"/>
      <c r="I15139" s="397"/>
      <c r="J15139" s="750"/>
      <c r="K15139" s="398"/>
      <c r="L15139" s="404"/>
      <c r="M15139" s="682"/>
    </row>
    <row r="15140" spans="5:13" hidden="1" x14ac:dyDescent="0.2">
      <c r="F15140" s="503" t="s">
        <v>250</v>
      </c>
      <c r="G15140" s="504" t="s">
        <v>57</v>
      </c>
      <c r="H15140" s="397"/>
      <c r="I15140" s="397"/>
      <c r="J15140" s="750"/>
      <c r="K15140" s="398"/>
      <c r="L15140" s="404"/>
      <c r="M15140" s="682"/>
    </row>
    <row r="15141" spans="5:13" hidden="1" x14ac:dyDescent="0.2">
      <c r="F15141" s="503" t="s">
        <v>251</v>
      </c>
      <c r="G15141" s="504" t="s">
        <v>252</v>
      </c>
      <c r="H15141" s="397"/>
      <c r="I15141" s="397"/>
      <c r="J15141" s="750"/>
      <c r="K15141" s="398"/>
      <c r="L15141" s="404"/>
      <c r="M15141" s="682"/>
    </row>
    <row r="15142" spans="5:13" hidden="1" x14ac:dyDescent="0.2">
      <c r="F15142" s="503" t="s">
        <v>253</v>
      </c>
      <c r="G15142" s="504" t="s">
        <v>254</v>
      </c>
      <c r="H15142" s="397"/>
      <c r="I15142" s="397"/>
      <c r="J15142" s="750"/>
      <c r="K15142" s="398"/>
      <c r="L15142" s="404"/>
      <c r="M15142" s="682"/>
    </row>
    <row r="15143" spans="5:13" ht="25.5" hidden="1" x14ac:dyDescent="0.2">
      <c r="F15143" s="503" t="s">
        <v>255</v>
      </c>
      <c r="G15143" s="504" t="s">
        <v>256</v>
      </c>
      <c r="H15143" s="397"/>
      <c r="I15143" s="397"/>
      <c r="J15143" s="750"/>
      <c r="K15143" s="398"/>
      <c r="L15143" s="404"/>
      <c r="M15143" s="682"/>
    </row>
    <row r="15144" spans="5:13" ht="25.5" hidden="1" x14ac:dyDescent="0.2">
      <c r="F15144" s="503" t="s">
        <v>257</v>
      </c>
      <c r="G15144" s="504" t="s">
        <v>258</v>
      </c>
      <c r="H15144" s="397"/>
      <c r="I15144" s="397"/>
      <c r="J15144" s="750"/>
      <c r="K15144" s="398"/>
      <c r="L15144" s="404"/>
      <c r="M15144" s="682"/>
    </row>
    <row r="15145" spans="5:13" ht="25.5" hidden="1" x14ac:dyDescent="0.2">
      <c r="F15145" s="503" t="s">
        <v>259</v>
      </c>
      <c r="G15145" s="504" t="s">
        <v>260</v>
      </c>
      <c r="H15145" s="397"/>
      <c r="I15145" s="397"/>
      <c r="J15145" s="750"/>
      <c r="K15145" s="398"/>
      <c r="L15145" s="404"/>
      <c r="M15145" s="682"/>
    </row>
    <row r="15146" spans="5:13" ht="25.5" hidden="1" x14ac:dyDescent="0.2">
      <c r="F15146" s="503" t="s">
        <v>261</v>
      </c>
      <c r="G15146" s="504" t="s">
        <v>262</v>
      </c>
      <c r="H15146" s="397"/>
      <c r="I15146" s="397"/>
      <c r="J15146" s="750"/>
      <c r="K15146" s="398"/>
      <c r="L15146" s="404"/>
      <c r="M15146" s="682"/>
    </row>
    <row r="15147" spans="5:13" hidden="1" x14ac:dyDescent="0.2">
      <c r="F15147" s="503" t="s">
        <v>263</v>
      </c>
      <c r="G15147" s="504" t="s">
        <v>264</v>
      </c>
      <c r="H15147" s="403"/>
      <c r="I15147" s="403"/>
      <c r="J15147" s="750"/>
      <c r="K15147" s="404"/>
      <c r="L15147" s="404"/>
      <c r="M15147" s="682"/>
    </row>
    <row r="15148" spans="5:13" ht="13.5" hidden="1" thickBot="1" x14ac:dyDescent="0.25">
      <c r="G15148" s="505" t="s">
        <v>4403</v>
      </c>
      <c r="H15148" s="405">
        <f>SUM(H15132:H15147)</f>
        <v>0</v>
      </c>
      <c r="I15148" s="405"/>
      <c r="J15148" s="750"/>
      <c r="K15148" s="406">
        <f>SUM(K15133:K15147)</f>
        <v>0</v>
      </c>
      <c r="L15148" s="406"/>
      <c r="M15148" s="682"/>
    </row>
    <row r="15149" spans="5:13" ht="25.5" hidden="1" x14ac:dyDescent="0.2">
      <c r="E15149" s="500"/>
      <c r="F15149" s="498"/>
      <c r="G15149" s="506" t="s">
        <v>4421</v>
      </c>
      <c r="H15149" s="407"/>
      <c r="I15149" s="408"/>
      <c r="J15149" s="750"/>
      <c r="K15149" s="409"/>
      <c r="L15149" s="410"/>
      <c r="M15149" s="682"/>
    </row>
    <row r="15150" spans="5:13" hidden="1" x14ac:dyDescent="0.2">
      <c r="E15150" s="502"/>
      <c r="F15150" s="503" t="s">
        <v>234</v>
      </c>
      <c r="G15150" s="504" t="s">
        <v>235</v>
      </c>
      <c r="H15150" s="403">
        <f>SUM(H15071:H15130)</f>
        <v>0</v>
      </c>
      <c r="I15150" s="403"/>
      <c r="J15150" s="750"/>
      <c r="K15150" s="404"/>
      <c r="L15150" s="404"/>
      <c r="M15150" s="682"/>
    </row>
    <row r="15151" spans="5:13" hidden="1" x14ac:dyDescent="0.2">
      <c r="F15151" s="503" t="s">
        <v>236</v>
      </c>
      <c r="G15151" s="504" t="s">
        <v>237</v>
      </c>
      <c r="H15151" s="397"/>
      <c r="I15151" s="397"/>
      <c r="J15151" s="750"/>
      <c r="K15151" s="398"/>
      <c r="L15151" s="404"/>
      <c r="M15151" s="682"/>
    </row>
    <row r="15152" spans="5:13" hidden="1" x14ac:dyDescent="0.2">
      <c r="F15152" s="503" t="s">
        <v>238</v>
      </c>
      <c r="G15152" s="504" t="s">
        <v>239</v>
      </c>
      <c r="H15152" s="397"/>
      <c r="I15152" s="397"/>
      <c r="J15152" s="750"/>
      <c r="K15152" s="398"/>
      <c r="L15152" s="404"/>
      <c r="M15152" s="682"/>
    </row>
    <row r="15153" spans="3:13" hidden="1" x14ac:dyDescent="0.2">
      <c r="F15153" s="503" t="s">
        <v>240</v>
      </c>
      <c r="G15153" s="504" t="s">
        <v>241</v>
      </c>
      <c r="H15153" s="397"/>
      <c r="I15153" s="397"/>
      <c r="J15153" s="750"/>
      <c r="K15153" s="398"/>
      <c r="L15153" s="404"/>
      <c r="M15153" s="682"/>
    </row>
    <row r="15154" spans="3:13" hidden="1" x14ac:dyDescent="0.2">
      <c r="F15154" s="503" t="s">
        <v>242</v>
      </c>
      <c r="G15154" s="504" t="s">
        <v>243</v>
      </c>
      <c r="H15154" s="397"/>
      <c r="I15154" s="397"/>
      <c r="J15154" s="750"/>
      <c r="K15154" s="398"/>
      <c r="L15154" s="404"/>
      <c r="M15154" s="682"/>
    </row>
    <row r="15155" spans="3:13" hidden="1" x14ac:dyDescent="0.2">
      <c r="F15155" s="503" t="s">
        <v>244</v>
      </c>
      <c r="G15155" s="504" t="s">
        <v>245</v>
      </c>
      <c r="H15155" s="397"/>
      <c r="I15155" s="397"/>
      <c r="J15155" s="750"/>
      <c r="K15155" s="398"/>
      <c r="L15155" s="404"/>
      <c r="M15155" s="682"/>
    </row>
    <row r="15156" spans="3:13" hidden="1" x14ac:dyDescent="0.2">
      <c r="F15156" s="503" t="s">
        <v>246</v>
      </c>
      <c r="G15156" s="504" t="s">
        <v>247</v>
      </c>
      <c r="H15156" s="397"/>
      <c r="I15156" s="397"/>
      <c r="J15156" s="750"/>
      <c r="K15156" s="398"/>
      <c r="L15156" s="404"/>
      <c r="M15156" s="682"/>
    </row>
    <row r="15157" spans="3:13" ht="25.5" hidden="1" x14ac:dyDescent="0.2">
      <c r="F15157" s="503" t="s">
        <v>248</v>
      </c>
      <c r="G15157" s="504" t="s">
        <v>249</v>
      </c>
      <c r="H15157" s="397"/>
      <c r="I15157" s="397"/>
      <c r="J15157" s="750"/>
      <c r="K15157" s="398"/>
      <c r="L15157" s="404"/>
      <c r="M15157" s="682"/>
    </row>
    <row r="15158" spans="3:13" hidden="1" x14ac:dyDescent="0.2">
      <c r="F15158" s="503" t="s">
        <v>250</v>
      </c>
      <c r="G15158" s="504" t="s">
        <v>57</v>
      </c>
      <c r="H15158" s="397"/>
      <c r="I15158" s="397"/>
      <c r="J15158" s="750"/>
      <c r="K15158" s="398"/>
      <c r="L15158" s="404"/>
      <c r="M15158" s="682"/>
    </row>
    <row r="15159" spans="3:13" hidden="1" x14ac:dyDescent="0.2">
      <c r="F15159" s="503" t="s">
        <v>251</v>
      </c>
      <c r="G15159" s="504" t="s">
        <v>252</v>
      </c>
      <c r="H15159" s="397"/>
      <c r="I15159" s="397"/>
      <c r="J15159" s="750"/>
      <c r="K15159" s="398"/>
      <c r="L15159" s="404"/>
      <c r="M15159" s="682"/>
    </row>
    <row r="15160" spans="3:13" hidden="1" x14ac:dyDescent="0.2">
      <c r="F15160" s="503" t="s">
        <v>253</v>
      </c>
      <c r="G15160" s="504" t="s">
        <v>254</v>
      </c>
      <c r="H15160" s="397"/>
      <c r="I15160" s="397"/>
      <c r="J15160" s="750"/>
      <c r="K15160" s="398"/>
      <c r="L15160" s="404"/>
      <c r="M15160" s="682"/>
    </row>
    <row r="15161" spans="3:13" ht="25.5" hidden="1" x14ac:dyDescent="0.2">
      <c r="F15161" s="503" t="s">
        <v>255</v>
      </c>
      <c r="G15161" s="504" t="s">
        <v>256</v>
      </c>
      <c r="H15161" s="397"/>
      <c r="I15161" s="397"/>
      <c r="J15161" s="750"/>
      <c r="K15161" s="398"/>
      <c r="L15161" s="404"/>
      <c r="M15161" s="682"/>
    </row>
    <row r="15162" spans="3:13" ht="25.5" hidden="1" x14ac:dyDescent="0.2">
      <c r="F15162" s="503" t="s">
        <v>257</v>
      </c>
      <c r="G15162" s="504" t="s">
        <v>258</v>
      </c>
      <c r="H15162" s="397"/>
      <c r="I15162" s="397"/>
      <c r="J15162" s="750"/>
      <c r="K15162" s="398"/>
      <c r="L15162" s="404"/>
      <c r="M15162" s="682"/>
    </row>
    <row r="15163" spans="3:13" ht="25.5" hidden="1" x14ac:dyDescent="0.2">
      <c r="F15163" s="503" t="s">
        <v>259</v>
      </c>
      <c r="G15163" s="504" t="s">
        <v>260</v>
      </c>
      <c r="H15163" s="397"/>
      <c r="I15163" s="397"/>
      <c r="J15163" s="750"/>
      <c r="K15163" s="398"/>
      <c r="L15163" s="404"/>
      <c r="M15163" s="682"/>
    </row>
    <row r="15164" spans="3:13" ht="25.5" hidden="1" x14ac:dyDescent="0.2">
      <c r="F15164" s="503" t="s">
        <v>261</v>
      </c>
      <c r="G15164" s="504" t="s">
        <v>262</v>
      </c>
      <c r="H15164" s="397"/>
      <c r="I15164" s="397"/>
      <c r="J15164" s="750"/>
      <c r="K15164" s="398"/>
      <c r="L15164" s="404"/>
      <c r="M15164" s="682"/>
    </row>
    <row r="15165" spans="3:13" hidden="1" x14ac:dyDescent="0.2">
      <c r="F15165" s="503" t="s">
        <v>263</v>
      </c>
      <c r="G15165" s="504" t="s">
        <v>264</v>
      </c>
      <c r="H15165" s="403"/>
      <c r="I15165" s="403"/>
      <c r="J15165" s="750"/>
      <c r="K15165" s="404"/>
      <c r="L15165" s="404"/>
      <c r="M15165" s="682"/>
    </row>
    <row r="15166" spans="3:13" ht="13.5" hidden="1" thickBot="1" x14ac:dyDescent="0.25">
      <c r="G15166" s="505" t="s">
        <v>4422</v>
      </c>
      <c r="H15166" s="405">
        <f>SUM(H15150:H15165)</f>
        <v>0</v>
      </c>
      <c r="I15166" s="405"/>
      <c r="J15166" s="750"/>
      <c r="K15166" s="406">
        <f>SUM(K15151:K15165)</f>
        <v>0</v>
      </c>
      <c r="L15166" s="406"/>
      <c r="M15166" s="682"/>
    </row>
    <row r="15167" spans="3:13" hidden="1" x14ac:dyDescent="0.2">
      <c r="H15167" s="397"/>
      <c r="I15167" s="397"/>
      <c r="J15167" s="750"/>
      <c r="K15167" s="398"/>
      <c r="L15167" s="398"/>
      <c r="M15167" s="682"/>
    </row>
    <row r="15168" spans="3:13" hidden="1" x14ac:dyDescent="0.2">
      <c r="C15168" s="531" t="s">
        <v>4417</v>
      </c>
      <c r="D15168" s="490"/>
      <c r="E15168" s="490"/>
      <c r="F15168" s="532"/>
      <c r="G15168" s="644" t="s">
        <v>4072</v>
      </c>
      <c r="H15168" s="422"/>
      <c r="I15168" s="422"/>
      <c r="J15168" s="750"/>
      <c r="K15168" s="423"/>
      <c r="L15168" s="424"/>
      <c r="M15168" s="682"/>
    </row>
    <row r="15169" spans="3:13" hidden="1" x14ac:dyDescent="0.2">
      <c r="C15169" s="489"/>
      <c r="D15169" s="492">
        <v>640</v>
      </c>
      <c r="E15169" s="492"/>
      <c r="F15169" s="492"/>
      <c r="G15169" s="493" t="s">
        <v>184</v>
      </c>
      <c r="H15169" s="397"/>
      <c r="I15169" s="397"/>
      <c r="J15169" s="750"/>
      <c r="K15169" s="398"/>
      <c r="L15169" s="398"/>
      <c r="M15169" s="682"/>
    </row>
    <row r="15170" spans="3:13" hidden="1" x14ac:dyDescent="0.2">
      <c r="F15170" s="494">
        <v>411</v>
      </c>
      <c r="G15170" s="495" t="s">
        <v>4167</v>
      </c>
      <c r="H15170" s="397"/>
      <c r="I15170" s="397"/>
      <c r="J15170" s="750"/>
      <c r="K15170" s="398"/>
      <c r="L15170" s="398"/>
      <c r="M15170" s="682"/>
    </row>
    <row r="15171" spans="3:13" hidden="1" x14ac:dyDescent="0.2">
      <c r="F15171" s="494">
        <v>412</v>
      </c>
      <c r="G15171" s="496" t="s">
        <v>3764</v>
      </c>
      <c r="H15171" s="397"/>
      <c r="I15171" s="397"/>
      <c r="J15171" s="750"/>
      <c r="K15171" s="398"/>
      <c r="L15171" s="398"/>
      <c r="M15171" s="682"/>
    </row>
    <row r="15172" spans="3:13" hidden="1" x14ac:dyDescent="0.2">
      <c r="F15172" s="494">
        <v>413</v>
      </c>
      <c r="G15172" s="495" t="s">
        <v>4168</v>
      </c>
      <c r="H15172" s="397"/>
      <c r="I15172" s="397"/>
      <c r="J15172" s="750"/>
      <c r="K15172" s="398"/>
      <c r="L15172" s="398"/>
      <c r="M15172" s="682"/>
    </row>
    <row r="15173" spans="3:13" hidden="1" x14ac:dyDescent="0.2">
      <c r="F15173" s="494">
        <v>414</v>
      </c>
      <c r="G15173" s="495" t="s">
        <v>3767</v>
      </c>
      <c r="H15173" s="397"/>
      <c r="I15173" s="397"/>
      <c r="J15173" s="750"/>
      <c r="K15173" s="398"/>
      <c r="L15173" s="398"/>
      <c r="M15173" s="682"/>
    </row>
    <row r="15174" spans="3:13" hidden="1" x14ac:dyDescent="0.2">
      <c r="F15174" s="494">
        <v>415</v>
      </c>
      <c r="G15174" s="495" t="s">
        <v>4177</v>
      </c>
      <c r="H15174" s="397"/>
      <c r="I15174" s="397"/>
      <c r="J15174" s="750"/>
      <c r="K15174" s="398"/>
      <c r="L15174" s="398"/>
      <c r="M15174" s="682"/>
    </row>
    <row r="15175" spans="3:13" ht="25.5" hidden="1" x14ac:dyDescent="0.2">
      <c r="F15175" s="494">
        <v>416</v>
      </c>
      <c r="G15175" s="495" t="s">
        <v>4178</v>
      </c>
      <c r="H15175" s="397"/>
      <c r="I15175" s="397"/>
      <c r="J15175" s="750"/>
      <c r="K15175" s="398"/>
      <c r="L15175" s="398"/>
      <c r="M15175" s="682"/>
    </row>
    <row r="15176" spans="3:13" hidden="1" x14ac:dyDescent="0.2">
      <c r="F15176" s="494">
        <v>417</v>
      </c>
      <c r="G15176" s="495" t="s">
        <v>4179</v>
      </c>
      <c r="H15176" s="397"/>
      <c r="I15176" s="397"/>
      <c r="J15176" s="750"/>
      <c r="K15176" s="398"/>
      <c r="L15176" s="398"/>
      <c r="M15176" s="682"/>
    </row>
    <row r="15177" spans="3:13" hidden="1" x14ac:dyDescent="0.2">
      <c r="F15177" s="494">
        <v>418</v>
      </c>
      <c r="G15177" s="495" t="s">
        <v>3773</v>
      </c>
      <c r="H15177" s="397"/>
      <c r="I15177" s="397"/>
      <c r="J15177" s="750"/>
      <c r="K15177" s="398"/>
      <c r="L15177" s="398"/>
      <c r="M15177" s="682"/>
    </row>
    <row r="15178" spans="3:13" hidden="1" x14ac:dyDescent="0.2">
      <c r="F15178" s="494">
        <v>421</v>
      </c>
      <c r="G15178" s="495" t="s">
        <v>3777</v>
      </c>
      <c r="H15178" s="397"/>
      <c r="I15178" s="397"/>
      <c r="J15178" s="750"/>
      <c r="K15178" s="398"/>
      <c r="L15178" s="398"/>
      <c r="M15178" s="682"/>
    </row>
    <row r="15179" spans="3:13" hidden="1" x14ac:dyDescent="0.2">
      <c r="F15179" s="494">
        <v>422</v>
      </c>
      <c r="G15179" s="495" t="s">
        <v>3778</v>
      </c>
      <c r="H15179" s="397"/>
      <c r="I15179" s="397"/>
      <c r="J15179" s="750"/>
      <c r="K15179" s="398"/>
      <c r="L15179" s="398"/>
      <c r="M15179" s="682"/>
    </row>
    <row r="15180" spans="3:13" hidden="1" x14ac:dyDescent="0.2">
      <c r="F15180" s="494">
        <v>423</v>
      </c>
      <c r="G15180" s="495" t="s">
        <v>3779</v>
      </c>
      <c r="H15180" s="397"/>
      <c r="I15180" s="397"/>
      <c r="J15180" s="750"/>
      <c r="K15180" s="398"/>
      <c r="L15180" s="398"/>
      <c r="M15180" s="682"/>
    </row>
    <row r="15181" spans="3:13" hidden="1" x14ac:dyDescent="0.2">
      <c r="F15181" s="494">
        <v>424</v>
      </c>
      <c r="G15181" s="495" t="s">
        <v>3781</v>
      </c>
      <c r="H15181" s="397"/>
      <c r="I15181" s="397"/>
      <c r="J15181" s="750"/>
      <c r="K15181" s="398"/>
      <c r="L15181" s="398"/>
      <c r="M15181" s="682"/>
    </row>
    <row r="15182" spans="3:13" hidden="1" x14ac:dyDescent="0.2">
      <c r="F15182" s="494">
        <v>425</v>
      </c>
      <c r="G15182" s="495" t="s">
        <v>4180</v>
      </c>
      <c r="H15182" s="397"/>
      <c r="I15182" s="397"/>
      <c r="J15182" s="750"/>
      <c r="K15182" s="398"/>
      <c r="L15182" s="398"/>
      <c r="M15182" s="682"/>
    </row>
    <row r="15183" spans="3:13" hidden="1" x14ac:dyDescent="0.2">
      <c r="F15183" s="494">
        <v>426</v>
      </c>
      <c r="G15183" s="495" t="s">
        <v>3785</v>
      </c>
      <c r="H15183" s="397"/>
      <c r="I15183" s="397"/>
      <c r="J15183" s="750"/>
      <c r="K15183" s="398"/>
      <c r="L15183" s="398"/>
      <c r="M15183" s="682"/>
    </row>
    <row r="15184" spans="3:13" hidden="1" x14ac:dyDescent="0.2">
      <c r="F15184" s="494">
        <v>431</v>
      </c>
      <c r="G15184" s="495" t="s">
        <v>4181</v>
      </c>
      <c r="H15184" s="397"/>
      <c r="I15184" s="397"/>
      <c r="J15184" s="750"/>
      <c r="K15184" s="398"/>
      <c r="L15184" s="398"/>
      <c r="M15184" s="682"/>
    </row>
    <row r="15185" spans="6:13" hidden="1" x14ac:dyDescent="0.2">
      <c r="F15185" s="494">
        <v>432</v>
      </c>
      <c r="G15185" s="495" t="s">
        <v>4182</v>
      </c>
      <c r="H15185" s="397"/>
      <c r="I15185" s="397"/>
      <c r="J15185" s="750"/>
      <c r="K15185" s="398"/>
      <c r="L15185" s="398"/>
      <c r="M15185" s="682"/>
    </row>
    <row r="15186" spans="6:13" hidden="1" x14ac:dyDescent="0.2">
      <c r="F15186" s="494">
        <v>433</v>
      </c>
      <c r="G15186" s="495" t="s">
        <v>4183</v>
      </c>
      <c r="H15186" s="397"/>
      <c r="I15186" s="397"/>
      <c r="J15186" s="750"/>
      <c r="K15186" s="398"/>
      <c r="L15186" s="398"/>
      <c r="M15186" s="682"/>
    </row>
    <row r="15187" spans="6:13" hidden="1" x14ac:dyDescent="0.2">
      <c r="F15187" s="494">
        <v>434</v>
      </c>
      <c r="G15187" s="495" t="s">
        <v>4184</v>
      </c>
      <c r="H15187" s="397"/>
      <c r="I15187" s="397"/>
      <c r="J15187" s="750"/>
      <c r="K15187" s="398"/>
      <c r="L15187" s="398"/>
      <c r="M15187" s="682"/>
    </row>
    <row r="15188" spans="6:13" hidden="1" x14ac:dyDescent="0.2">
      <c r="F15188" s="494">
        <v>435</v>
      </c>
      <c r="G15188" s="495" t="s">
        <v>3792</v>
      </c>
      <c r="H15188" s="397"/>
      <c r="I15188" s="397"/>
      <c r="J15188" s="750"/>
      <c r="K15188" s="398"/>
      <c r="L15188" s="398"/>
      <c r="M15188" s="682"/>
    </row>
    <row r="15189" spans="6:13" hidden="1" x14ac:dyDescent="0.2">
      <c r="F15189" s="494">
        <v>441</v>
      </c>
      <c r="G15189" s="495" t="s">
        <v>4185</v>
      </c>
      <c r="H15189" s="397"/>
      <c r="I15189" s="397"/>
      <c r="J15189" s="750"/>
      <c r="K15189" s="398"/>
      <c r="L15189" s="398"/>
      <c r="M15189" s="682"/>
    </row>
    <row r="15190" spans="6:13" hidden="1" x14ac:dyDescent="0.2">
      <c r="F15190" s="494">
        <v>442</v>
      </c>
      <c r="G15190" s="495" t="s">
        <v>4186</v>
      </c>
      <c r="H15190" s="397"/>
      <c r="I15190" s="397"/>
      <c r="J15190" s="750"/>
      <c r="K15190" s="398"/>
      <c r="L15190" s="398"/>
      <c r="M15190" s="682"/>
    </row>
    <row r="15191" spans="6:13" hidden="1" x14ac:dyDescent="0.2">
      <c r="F15191" s="494">
        <v>443</v>
      </c>
      <c r="G15191" s="495" t="s">
        <v>3797</v>
      </c>
      <c r="H15191" s="397"/>
      <c r="I15191" s="397"/>
      <c r="J15191" s="750"/>
      <c r="K15191" s="398"/>
      <c r="L15191" s="398"/>
      <c r="M15191" s="682"/>
    </row>
    <row r="15192" spans="6:13" hidden="1" x14ac:dyDescent="0.2">
      <c r="F15192" s="494">
        <v>444</v>
      </c>
      <c r="G15192" s="495" t="s">
        <v>3798</v>
      </c>
      <c r="H15192" s="397"/>
      <c r="I15192" s="397"/>
      <c r="J15192" s="750"/>
      <c r="K15192" s="398"/>
      <c r="L15192" s="398"/>
      <c r="M15192" s="682"/>
    </row>
    <row r="15193" spans="6:13" ht="25.5" hidden="1" x14ac:dyDescent="0.2">
      <c r="F15193" s="494">
        <v>4511</v>
      </c>
      <c r="G15193" s="466" t="s">
        <v>1692</v>
      </c>
      <c r="H15193" s="397"/>
      <c r="I15193" s="397"/>
      <c r="J15193" s="750"/>
      <c r="K15193" s="398"/>
      <c r="L15193" s="398"/>
      <c r="M15193" s="682"/>
    </row>
    <row r="15194" spans="6:13" ht="25.5" hidden="1" x14ac:dyDescent="0.2">
      <c r="F15194" s="494">
        <v>4512</v>
      </c>
      <c r="G15194" s="466" t="s">
        <v>1701</v>
      </c>
      <c r="H15194" s="397"/>
      <c r="I15194" s="397"/>
      <c r="J15194" s="750"/>
      <c r="K15194" s="398"/>
      <c r="L15194" s="398"/>
      <c r="M15194" s="682"/>
    </row>
    <row r="15195" spans="6:13" ht="25.5" hidden="1" x14ac:dyDescent="0.2">
      <c r="F15195" s="494">
        <v>452</v>
      </c>
      <c r="G15195" s="495" t="s">
        <v>4187</v>
      </c>
      <c r="H15195" s="397"/>
      <c r="I15195" s="397"/>
      <c r="J15195" s="750"/>
      <c r="K15195" s="398"/>
      <c r="L15195" s="398"/>
      <c r="M15195" s="682"/>
    </row>
    <row r="15196" spans="6:13" ht="25.5" hidden="1" x14ac:dyDescent="0.2">
      <c r="F15196" s="494">
        <v>453</v>
      </c>
      <c r="G15196" s="495" t="s">
        <v>4188</v>
      </c>
      <c r="H15196" s="397"/>
      <c r="I15196" s="397"/>
      <c r="J15196" s="750"/>
      <c r="K15196" s="398"/>
      <c r="L15196" s="398"/>
      <c r="M15196" s="682"/>
    </row>
    <row r="15197" spans="6:13" hidden="1" x14ac:dyDescent="0.2">
      <c r="F15197" s="494">
        <v>454</v>
      </c>
      <c r="G15197" s="495" t="s">
        <v>3803</v>
      </c>
      <c r="H15197" s="397"/>
      <c r="I15197" s="397"/>
      <c r="J15197" s="750"/>
      <c r="K15197" s="398"/>
      <c r="L15197" s="398"/>
      <c r="M15197" s="682"/>
    </row>
    <row r="15198" spans="6:13" hidden="1" x14ac:dyDescent="0.2">
      <c r="F15198" s="494">
        <v>461</v>
      </c>
      <c r="G15198" s="495" t="s">
        <v>4169</v>
      </c>
      <c r="H15198" s="397"/>
      <c r="I15198" s="397"/>
      <c r="J15198" s="750"/>
      <c r="K15198" s="398"/>
      <c r="L15198" s="398"/>
      <c r="M15198" s="682"/>
    </row>
    <row r="15199" spans="6:13" ht="25.5" hidden="1" x14ac:dyDescent="0.2">
      <c r="F15199" s="494">
        <v>462</v>
      </c>
      <c r="G15199" s="495" t="s">
        <v>3806</v>
      </c>
      <c r="H15199" s="397"/>
      <c r="I15199" s="397"/>
      <c r="J15199" s="750"/>
      <c r="K15199" s="398"/>
      <c r="L15199" s="398"/>
      <c r="M15199" s="682"/>
    </row>
    <row r="15200" spans="6:13" hidden="1" x14ac:dyDescent="0.2">
      <c r="F15200" s="494">
        <v>4631</v>
      </c>
      <c r="G15200" s="495" t="s">
        <v>3807</v>
      </c>
      <c r="H15200" s="397"/>
      <c r="I15200" s="397"/>
      <c r="J15200" s="750"/>
      <c r="K15200" s="398"/>
      <c r="L15200" s="398"/>
      <c r="M15200" s="682"/>
    </row>
    <row r="15201" spans="6:13" hidden="1" x14ac:dyDescent="0.2">
      <c r="F15201" s="494">
        <v>4632</v>
      </c>
      <c r="G15201" s="495" t="s">
        <v>3808</v>
      </c>
      <c r="H15201" s="397"/>
      <c r="I15201" s="397"/>
      <c r="J15201" s="750"/>
      <c r="K15201" s="398"/>
      <c r="L15201" s="398"/>
      <c r="M15201" s="682"/>
    </row>
    <row r="15202" spans="6:13" ht="25.5" hidden="1" x14ac:dyDescent="0.2">
      <c r="F15202" s="494">
        <v>464</v>
      </c>
      <c r="G15202" s="495" t="s">
        <v>3809</v>
      </c>
      <c r="H15202" s="397"/>
      <c r="I15202" s="397"/>
      <c r="J15202" s="750"/>
      <c r="K15202" s="398"/>
      <c r="L15202" s="398"/>
      <c r="M15202" s="682"/>
    </row>
    <row r="15203" spans="6:13" hidden="1" x14ac:dyDescent="0.2">
      <c r="F15203" s="494">
        <v>465</v>
      </c>
      <c r="G15203" s="495" t="s">
        <v>4170</v>
      </c>
      <c r="H15203" s="397"/>
      <c r="I15203" s="397"/>
      <c r="J15203" s="750"/>
      <c r="K15203" s="398"/>
      <c r="L15203" s="398"/>
      <c r="M15203" s="682"/>
    </row>
    <row r="15204" spans="6:13" hidden="1" x14ac:dyDescent="0.2">
      <c r="F15204" s="494">
        <v>472</v>
      </c>
      <c r="G15204" s="495" t="s">
        <v>3813</v>
      </c>
      <c r="H15204" s="397"/>
      <c r="I15204" s="397"/>
      <c r="J15204" s="750"/>
      <c r="K15204" s="398"/>
      <c r="L15204" s="398"/>
      <c r="M15204" s="682"/>
    </row>
    <row r="15205" spans="6:13" hidden="1" x14ac:dyDescent="0.2">
      <c r="F15205" s="494">
        <v>481</v>
      </c>
      <c r="G15205" s="495" t="s">
        <v>4189</v>
      </c>
      <c r="H15205" s="397"/>
      <c r="I15205" s="397"/>
      <c r="J15205" s="750"/>
      <c r="K15205" s="398"/>
      <c r="L15205" s="398"/>
      <c r="M15205" s="682"/>
    </row>
    <row r="15206" spans="6:13" hidden="1" x14ac:dyDescent="0.2">
      <c r="F15206" s="494">
        <v>482</v>
      </c>
      <c r="G15206" s="495" t="s">
        <v>4190</v>
      </c>
      <c r="H15206" s="397"/>
      <c r="I15206" s="397"/>
      <c r="J15206" s="750"/>
      <c r="K15206" s="398"/>
      <c r="L15206" s="398"/>
      <c r="M15206" s="682"/>
    </row>
    <row r="15207" spans="6:13" hidden="1" x14ac:dyDescent="0.2">
      <c r="F15207" s="494">
        <v>483</v>
      </c>
      <c r="G15207" s="497" t="s">
        <v>4191</v>
      </c>
      <c r="H15207" s="397"/>
      <c r="I15207" s="397"/>
      <c r="J15207" s="750"/>
      <c r="K15207" s="398"/>
      <c r="L15207" s="398"/>
      <c r="M15207" s="682"/>
    </row>
    <row r="15208" spans="6:13" ht="38.25" hidden="1" x14ac:dyDescent="0.2">
      <c r="F15208" s="494">
        <v>484</v>
      </c>
      <c r="G15208" s="495" t="s">
        <v>4192</v>
      </c>
      <c r="H15208" s="397"/>
      <c r="I15208" s="397"/>
      <c r="J15208" s="750"/>
      <c r="K15208" s="398"/>
      <c r="L15208" s="398"/>
      <c r="M15208" s="682"/>
    </row>
    <row r="15209" spans="6:13" ht="25.5" hidden="1" x14ac:dyDescent="0.2">
      <c r="F15209" s="494">
        <v>485</v>
      </c>
      <c r="G15209" s="495" t="s">
        <v>4193</v>
      </c>
      <c r="H15209" s="397"/>
      <c r="I15209" s="397"/>
      <c r="J15209" s="750"/>
      <c r="K15209" s="398"/>
      <c r="L15209" s="398"/>
      <c r="M15209" s="682"/>
    </row>
    <row r="15210" spans="6:13" ht="25.5" hidden="1" x14ac:dyDescent="0.2">
      <c r="F15210" s="494">
        <v>489</v>
      </c>
      <c r="G15210" s="495" t="s">
        <v>3821</v>
      </c>
      <c r="H15210" s="397"/>
      <c r="I15210" s="397"/>
      <c r="J15210" s="750"/>
      <c r="K15210" s="398"/>
      <c r="L15210" s="398"/>
      <c r="M15210" s="682"/>
    </row>
    <row r="15211" spans="6:13" ht="25.5" hidden="1" x14ac:dyDescent="0.2">
      <c r="F15211" s="494">
        <v>494</v>
      </c>
      <c r="G15211" s="495" t="s">
        <v>4171</v>
      </c>
      <c r="H15211" s="397"/>
      <c r="I15211" s="397"/>
      <c r="J15211" s="750"/>
      <c r="K15211" s="398"/>
      <c r="L15211" s="398"/>
      <c r="M15211" s="682"/>
    </row>
    <row r="15212" spans="6:13" ht="25.5" hidden="1" x14ac:dyDescent="0.2">
      <c r="F15212" s="494">
        <v>495</v>
      </c>
      <c r="G15212" s="495" t="s">
        <v>4172</v>
      </c>
      <c r="H15212" s="397"/>
      <c r="I15212" s="397"/>
      <c r="J15212" s="750"/>
      <c r="K15212" s="398"/>
      <c r="L15212" s="398"/>
      <c r="M15212" s="682"/>
    </row>
    <row r="15213" spans="6:13" ht="38.25" hidden="1" x14ac:dyDescent="0.2">
      <c r="F15213" s="494">
        <v>496</v>
      </c>
      <c r="G15213" s="495" t="s">
        <v>4173</v>
      </c>
      <c r="H15213" s="397"/>
      <c r="I15213" s="397"/>
      <c r="J15213" s="750"/>
      <c r="K15213" s="398"/>
      <c r="L15213" s="398"/>
      <c r="M15213" s="682"/>
    </row>
    <row r="15214" spans="6:13" ht="25.5" hidden="1" x14ac:dyDescent="0.2">
      <c r="F15214" s="494">
        <v>499</v>
      </c>
      <c r="G15214" s="495" t="s">
        <v>4174</v>
      </c>
      <c r="H15214" s="397"/>
      <c r="I15214" s="397"/>
      <c r="J15214" s="750"/>
      <c r="K15214" s="398"/>
      <c r="L15214" s="398"/>
      <c r="M15214" s="682"/>
    </row>
    <row r="15215" spans="6:13" hidden="1" x14ac:dyDescent="0.2">
      <c r="F15215" s="494">
        <v>511</v>
      </c>
      <c r="G15215" s="497" t="s">
        <v>4194</v>
      </c>
      <c r="H15215" s="397"/>
      <c r="I15215" s="397"/>
      <c r="J15215" s="750"/>
      <c r="K15215" s="398"/>
      <c r="L15215" s="398"/>
      <c r="M15215" s="682"/>
    </row>
    <row r="15216" spans="6:13" hidden="1" x14ac:dyDescent="0.2">
      <c r="F15216" s="494">
        <v>512</v>
      </c>
      <c r="G15216" s="497" t="s">
        <v>4195</v>
      </c>
      <c r="H15216" s="397"/>
      <c r="I15216" s="397"/>
      <c r="J15216" s="750"/>
      <c r="K15216" s="398"/>
      <c r="L15216" s="398"/>
      <c r="M15216" s="682"/>
    </row>
    <row r="15217" spans="5:13" hidden="1" x14ac:dyDescent="0.2">
      <c r="F15217" s="494">
        <v>513</v>
      </c>
      <c r="G15217" s="497" t="s">
        <v>4196</v>
      </c>
      <c r="H15217" s="397"/>
      <c r="I15217" s="397"/>
      <c r="J15217" s="750"/>
      <c r="K15217" s="398"/>
      <c r="L15217" s="398"/>
      <c r="M15217" s="682"/>
    </row>
    <row r="15218" spans="5:13" hidden="1" x14ac:dyDescent="0.2">
      <c r="F15218" s="494">
        <v>514</v>
      </c>
      <c r="G15218" s="495" t="s">
        <v>4197</v>
      </c>
      <c r="H15218" s="397"/>
      <c r="I15218" s="397"/>
      <c r="J15218" s="750"/>
      <c r="K15218" s="398"/>
      <c r="L15218" s="398"/>
      <c r="M15218" s="682"/>
    </row>
    <row r="15219" spans="5:13" hidden="1" x14ac:dyDescent="0.2">
      <c r="F15219" s="494">
        <v>515</v>
      </c>
      <c r="G15219" s="495" t="s">
        <v>3832</v>
      </c>
      <c r="H15219" s="397"/>
      <c r="I15219" s="397"/>
      <c r="J15219" s="750"/>
      <c r="K15219" s="398"/>
      <c r="L15219" s="398"/>
      <c r="M15219" s="682"/>
    </row>
    <row r="15220" spans="5:13" hidden="1" x14ac:dyDescent="0.2">
      <c r="F15220" s="494">
        <v>521</v>
      </c>
      <c r="G15220" s="495" t="s">
        <v>4198</v>
      </c>
      <c r="H15220" s="397"/>
      <c r="I15220" s="397"/>
      <c r="J15220" s="750"/>
      <c r="K15220" s="398"/>
      <c r="L15220" s="398"/>
      <c r="M15220" s="682"/>
    </row>
    <row r="15221" spans="5:13" hidden="1" x14ac:dyDescent="0.2">
      <c r="F15221" s="494">
        <v>522</v>
      </c>
      <c r="G15221" s="495" t="s">
        <v>4199</v>
      </c>
      <c r="H15221" s="397"/>
      <c r="I15221" s="397"/>
      <c r="J15221" s="750"/>
      <c r="K15221" s="398"/>
      <c r="L15221" s="398"/>
      <c r="M15221" s="682"/>
    </row>
    <row r="15222" spans="5:13" hidden="1" x14ac:dyDescent="0.2">
      <c r="F15222" s="494">
        <v>523</v>
      </c>
      <c r="G15222" s="495" t="s">
        <v>3837</v>
      </c>
      <c r="H15222" s="397"/>
      <c r="I15222" s="397"/>
      <c r="J15222" s="750"/>
      <c r="K15222" s="398"/>
      <c r="L15222" s="398"/>
      <c r="M15222" s="682"/>
    </row>
    <row r="15223" spans="5:13" hidden="1" x14ac:dyDescent="0.2">
      <c r="F15223" s="494">
        <v>531</v>
      </c>
      <c r="G15223" s="496" t="s">
        <v>4175</v>
      </c>
      <c r="H15223" s="397"/>
      <c r="I15223" s="397"/>
      <c r="J15223" s="750"/>
      <c r="K15223" s="398"/>
      <c r="L15223" s="398"/>
      <c r="M15223" s="682"/>
    </row>
    <row r="15224" spans="5:13" hidden="1" x14ac:dyDescent="0.2">
      <c r="F15224" s="494">
        <v>541</v>
      </c>
      <c r="G15224" s="495" t="s">
        <v>4200</v>
      </c>
      <c r="H15224" s="397"/>
      <c r="I15224" s="397"/>
      <c r="J15224" s="750"/>
      <c r="K15224" s="398"/>
      <c r="L15224" s="398"/>
      <c r="M15224" s="682"/>
    </row>
    <row r="15225" spans="5:13" hidden="1" x14ac:dyDescent="0.2">
      <c r="F15225" s="494">
        <v>542</v>
      </c>
      <c r="G15225" s="495" t="s">
        <v>4201</v>
      </c>
      <c r="H15225" s="397"/>
      <c r="I15225" s="397"/>
      <c r="J15225" s="750"/>
      <c r="K15225" s="398"/>
      <c r="L15225" s="398"/>
      <c r="M15225" s="682"/>
    </row>
    <row r="15226" spans="5:13" hidden="1" x14ac:dyDescent="0.2">
      <c r="F15226" s="494">
        <v>543</v>
      </c>
      <c r="G15226" s="495" t="s">
        <v>3842</v>
      </c>
      <c r="H15226" s="397"/>
      <c r="I15226" s="397"/>
      <c r="J15226" s="750"/>
      <c r="K15226" s="398"/>
      <c r="L15226" s="398"/>
      <c r="M15226" s="682"/>
    </row>
    <row r="15227" spans="5:13" ht="38.25" hidden="1" x14ac:dyDescent="0.2">
      <c r="F15227" s="494">
        <v>551</v>
      </c>
      <c r="G15227" s="495" t="s">
        <v>4176</v>
      </c>
      <c r="H15227" s="397"/>
      <c r="I15227" s="397"/>
      <c r="J15227" s="750"/>
      <c r="K15227" s="398"/>
      <c r="L15227" s="398"/>
      <c r="M15227" s="682"/>
    </row>
    <row r="15228" spans="5:13" hidden="1" x14ac:dyDescent="0.2">
      <c r="F15228" s="498">
        <v>611</v>
      </c>
      <c r="G15228" s="499" t="s">
        <v>3848</v>
      </c>
      <c r="H15228" s="397"/>
      <c r="I15228" s="397"/>
      <c r="J15228" s="750"/>
      <c r="K15228" s="398"/>
      <c r="L15228" s="398"/>
      <c r="M15228" s="682"/>
    </row>
    <row r="15229" spans="5:13" hidden="1" x14ac:dyDescent="0.2">
      <c r="F15229" s="498">
        <v>620</v>
      </c>
      <c r="G15229" s="499" t="s">
        <v>88</v>
      </c>
      <c r="H15229" s="397"/>
      <c r="I15229" s="397"/>
      <c r="J15229" s="750"/>
      <c r="K15229" s="398"/>
      <c r="L15229" s="398"/>
      <c r="M15229" s="682"/>
    </row>
    <row r="15230" spans="5:13" hidden="1" x14ac:dyDescent="0.2">
      <c r="E15230" s="500"/>
      <c r="F15230" s="498"/>
      <c r="G15230" s="501" t="s">
        <v>4404</v>
      </c>
      <c r="H15230" s="400"/>
      <c r="I15230" s="400"/>
      <c r="J15230" s="750"/>
      <c r="K15230" s="401"/>
      <c r="L15230" s="402"/>
      <c r="M15230" s="682"/>
    </row>
    <row r="15231" spans="5:13" hidden="1" x14ac:dyDescent="0.2">
      <c r="E15231" s="502"/>
      <c r="F15231" s="503" t="s">
        <v>234</v>
      </c>
      <c r="G15231" s="504" t="s">
        <v>235</v>
      </c>
      <c r="H15231" s="403">
        <f>SUM(H15170:H15229)</f>
        <v>0</v>
      </c>
      <c r="I15231" s="403"/>
      <c r="J15231" s="750"/>
      <c r="K15231" s="404"/>
      <c r="L15231" s="404"/>
      <c r="M15231" s="682"/>
    </row>
    <row r="15232" spans="5:13" hidden="1" x14ac:dyDescent="0.2">
      <c r="F15232" s="503" t="s">
        <v>236</v>
      </c>
      <c r="G15232" s="504" t="s">
        <v>237</v>
      </c>
      <c r="H15232" s="397"/>
      <c r="I15232" s="397"/>
      <c r="J15232" s="750"/>
      <c r="K15232" s="398"/>
      <c r="L15232" s="404"/>
      <c r="M15232" s="682"/>
    </row>
    <row r="15233" spans="5:13" hidden="1" x14ac:dyDescent="0.2">
      <c r="F15233" s="503" t="s">
        <v>238</v>
      </c>
      <c r="G15233" s="504" t="s">
        <v>239</v>
      </c>
      <c r="H15233" s="397"/>
      <c r="I15233" s="397"/>
      <c r="J15233" s="750"/>
      <c r="K15233" s="398"/>
      <c r="L15233" s="404"/>
      <c r="M15233" s="682"/>
    </row>
    <row r="15234" spans="5:13" hidden="1" x14ac:dyDescent="0.2">
      <c r="F15234" s="503" t="s">
        <v>240</v>
      </c>
      <c r="G15234" s="504" t="s">
        <v>241</v>
      </c>
      <c r="H15234" s="397"/>
      <c r="I15234" s="397"/>
      <c r="J15234" s="750"/>
      <c r="K15234" s="398"/>
      <c r="L15234" s="404"/>
      <c r="M15234" s="682"/>
    </row>
    <row r="15235" spans="5:13" hidden="1" x14ac:dyDescent="0.2">
      <c r="F15235" s="503" t="s">
        <v>242</v>
      </c>
      <c r="G15235" s="504" t="s">
        <v>243</v>
      </c>
      <c r="H15235" s="397"/>
      <c r="I15235" s="397"/>
      <c r="J15235" s="750"/>
      <c r="K15235" s="398"/>
      <c r="L15235" s="404"/>
      <c r="M15235" s="682"/>
    </row>
    <row r="15236" spans="5:13" hidden="1" x14ac:dyDescent="0.2">
      <c r="F15236" s="503" t="s">
        <v>244</v>
      </c>
      <c r="G15236" s="504" t="s">
        <v>245</v>
      </c>
      <c r="H15236" s="397"/>
      <c r="I15236" s="397"/>
      <c r="J15236" s="750"/>
      <c r="K15236" s="398"/>
      <c r="L15236" s="404"/>
      <c r="M15236" s="682"/>
    </row>
    <row r="15237" spans="5:13" hidden="1" x14ac:dyDescent="0.2">
      <c r="F15237" s="503" t="s">
        <v>246</v>
      </c>
      <c r="G15237" s="504" t="s">
        <v>247</v>
      </c>
      <c r="H15237" s="397"/>
      <c r="I15237" s="397"/>
      <c r="J15237" s="750"/>
      <c r="K15237" s="398"/>
      <c r="L15237" s="404"/>
      <c r="M15237" s="682"/>
    </row>
    <row r="15238" spans="5:13" ht="25.5" hidden="1" x14ac:dyDescent="0.2">
      <c r="F15238" s="503" t="s">
        <v>248</v>
      </c>
      <c r="G15238" s="504" t="s">
        <v>249</v>
      </c>
      <c r="H15238" s="397"/>
      <c r="I15238" s="397"/>
      <c r="J15238" s="750"/>
      <c r="K15238" s="398"/>
      <c r="L15238" s="404"/>
      <c r="M15238" s="682"/>
    </row>
    <row r="15239" spans="5:13" hidden="1" x14ac:dyDescent="0.2">
      <c r="F15239" s="503" t="s">
        <v>250</v>
      </c>
      <c r="G15239" s="504" t="s">
        <v>57</v>
      </c>
      <c r="H15239" s="397"/>
      <c r="I15239" s="397"/>
      <c r="J15239" s="750"/>
      <c r="K15239" s="398"/>
      <c r="L15239" s="404"/>
      <c r="M15239" s="682"/>
    </row>
    <row r="15240" spans="5:13" hidden="1" x14ac:dyDescent="0.2">
      <c r="F15240" s="503" t="s">
        <v>251</v>
      </c>
      <c r="G15240" s="504" t="s">
        <v>252</v>
      </c>
      <c r="H15240" s="397"/>
      <c r="I15240" s="397"/>
      <c r="J15240" s="750"/>
      <c r="K15240" s="398"/>
      <c r="L15240" s="404"/>
      <c r="M15240" s="682"/>
    </row>
    <row r="15241" spans="5:13" hidden="1" x14ac:dyDescent="0.2">
      <c r="F15241" s="503" t="s">
        <v>253</v>
      </c>
      <c r="G15241" s="504" t="s">
        <v>254</v>
      </c>
      <c r="H15241" s="397"/>
      <c r="I15241" s="397"/>
      <c r="J15241" s="750"/>
      <c r="K15241" s="398"/>
      <c r="L15241" s="404"/>
      <c r="M15241" s="682"/>
    </row>
    <row r="15242" spans="5:13" ht="25.5" hidden="1" x14ac:dyDescent="0.2">
      <c r="F15242" s="503" t="s">
        <v>255</v>
      </c>
      <c r="G15242" s="504" t="s">
        <v>256</v>
      </c>
      <c r="H15242" s="397"/>
      <c r="I15242" s="397"/>
      <c r="J15242" s="750"/>
      <c r="K15242" s="398"/>
      <c r="L15242" s="404"/>
      <c r="M15242" s="682"/>
    </row>
    <row r="15243" spans="5:13" ht="25.5" hidden="1" x14ac:dyDescent="0.2">
      <c r="F15243" s="503" t="s">
        <v>257</v>
      </c>
      <c r="G15243" s="504" t="s">
        <v>258</v>
      </c>
      <c r="H15243" s="397"/>
      <c r="I15243" s="397"/>
      <c r="J15243" s="750"/>
      <c r="K15243" s="398"/>
      <c r="L15243" s="404"/>
      <c r="M15243" s="682"/>
    </row>
    <row r="15244" spans="5:13" ht="25.5" hidden="1" x14ac:dyDescent="0.2">
      <c r="F15244" s="503" t="s">
        <v>259</v>
      </c>
      <c r="G15244" s="504" t="s">
        <v>260</v>
      </c>
      <c r="H15244" s="397"/>
      <c r="I15244" s="397"/>
      <c r="J15244" s="750"/>
      <c r="K15244" s="398"/>
      <c r="L15244" s="404"/>
      <c r="M15244" s="682"/>
    </row>
    <row r="15245" spans="5:13" ht="25.5" hidden="1" x14ac:dyDescent="0.2">
      <c r="F15245" s="503" t="s">
        <v>261</v>
      </c>
      <c r="G15245" s="504" t="s">
        <v>262</v>
      </c>
      <c r="H15245" s="397"/>
      <c r="I15245" s="397"/>
      <c r="J15245" s="750"/>
      <c r="K15245" s="398"/>
      <c r="L15245" s="404"/>
      <c r="M15245" s="682"/>
    </row>
    <row r="15246" spans="5:13" hidden="1" x14ac:dyDescent="0.2">
      <c r="F15246" s="503" t="s">
        <v>263</v>
      </c>
      <c r="G15246" s="504" t="s">
        <v>264</v>
      </c>
      <c r="H15246" s="403"/>
      <c r="I15246" s="403"/>
      <c r="J15246" s="750"/>
      <c r="K15246" s="404"/>
      <c r="L15246" s="404"/>
      <c r="M15246" s="682"/>
    </row>
    <row r="15247" spans="5:13" ht="13.5" hidden="1" thickBot="1" x14ac:dyDescent="0.25">
      <c r="G15247" s="505" t="s">
        <v>4405</v>
      </c>
      <c r="H15247" s="405">
        <f>SUM(H15231:H15246)</f>
        <v>0</v>
      </c>
      <c r="I15247" s="405"/>
      <c r="J15247" s="750"/>
      <c r="K15247" s="406">
        <f>SUM(K15232:K15246)</f>
        <v>0</v>
      </c>
      <c r="L15247" s="406"/>
      <c r="M15247" s="682"/>
    </row>
    <row r="15248" spans="5:13" ht="25.5" hidden="1" x14ac:dyDescent="0.2">
      <c r="E15248" s="500"/>
      <c r="F15248" s="498"/>
      <c r="G15248" s="506" t="s">
        <v>4423</v>
      </c>
      <c r="H15248" s="407"/>
      <c r="I15248" s="408"/>
      <c r="J15248" s="750"/>
      <c r="K15248" s="409"/>
      <c r="L15248" s="410"/>
      <c r="M15248" s="682"/>
    </row>
    <row r="15249" spans="5:13" hidden="1" x14ac:dyDescent="0.2">
      <c r="E15249" s="502"/>
      <c r="F15249" s="503" t="s">
        <v>234</v>
      </c>
      <c r="G15249" s="504" t="s">
        <v>235</v>
      </c>
      <c r="H15249" s="403">
        <f>SUM(H15170:H15229)</f>
        <v>0</v>
      </c>
      <c r="I15249" s="403"/>
      <c r="J15249" s="750"/>
      <c r="K15249" s="404"/>
      <c r="L15249" s="404"/>
      <c r="M15249" s="682"/>
    </row>
    <row r="15250" spans="5:13" hidden="1" x14ac:dyDescent="0.2">
      <c r="F15250" s="503" t="s">
        <v>236</v>
      </c>
      <c r="G15250" s="504" t="s">
        <v>237</v>
      </c>
      <c r="H15250" s="397"/>
      <c r="I15250" s="397"/>
      <c r="J15250" s="750"/>
      <c r="K15250" s="398"/>
      <c r="L15250" s="404"/>
      <c r="M15250" s="682"/>
    </row>
    <row r="15251" spans="5:13" hidden="1" x14ac:dyDescent="0.2">
      <c r="F15251" s="503" t="s">
        <v>238</v>
      </c>
      <c r="G15251" s="504" t="s">
        <v>239</v>
      </c>
      <c r="H15251" s="397"/>
      <c r="I15251" s="397"/>
      <c r="J15251" s="750"/>
      <c r="K15251" s="398"/>
      <c r="L15251" s="404"/>
      <c r="M15251" s="682"/>
    </row>
    <row r="15252" spans="5:13" hidden="1" x14ac:dyDescent="0.2">
      <c r="F15252" s="503" t="s">
        <v>240</v>
      </c>
      <c r="G15252" s="504" t="s">
        <v>241</v>
      </c>
      <c r="H15252" s="397"/>
      <c r="I15252" s="397"/>
      <c r="J15252" s="750"/>
      <c r="K15252" s="398"/>
      <c r="L15252" s="404"/>
      <c r="M15252" s="682"/>
    </row>
    <row r="15253" spans="5:13" hidden="1" x14ac:dyDescent="0.2">
      <c r="F15253" s="503" t="s">
        <v>242</v>
      </c>
      <c r="G15253" s="504" t="s">
        <v>243</v>
      </c>
      <c r="H15253" s="397"/>
      <c r="I15253" s="397"/>
      <c r="J15253" s="750"/>
      <c r="K15253" s="398"/>
      <c r="L15253" s="404"/>
      <c r="M15253" s="682"/>
    </row>
    <row r="15254" spans="5:13" hidden="1" x14ac:dyDescent="0.2">
      <c r="F15254" s="503" t="s">
        <v>244</v>
      </c>
      <c r="G15254" s="504" t="s">
        <v>245</v>
      </c>
      <c r="H15254" s="397"/>
      <c r="I15254" s="397"/>
      <c r="J15254" s="750"/>
      <c r="K15254" s="398"/>
      <c r="L15254" s="404"/>
      <c r="M15254" s="682"/>
    </row>
    <row r="15255" spans="5:13" hidden="1" x14ac:dyDescent="0.2">
      <c r="F15255" s="503" t="s">
        <v>246</v>
      </c>
      <c r="G15255" s="504" t="s">
        <v>247</v>
      </c>
      <c r="H15255" s="397"/>
      <c r="I15255" s="397"/>
      <c r="J15255" s="750"/>
      <c r="K15255" s="398"/>
      <c r="L15255" s="404"/>
      <c r="M15255" s="682"/>
    </row>
    <row r="15256" spans="5:13" ht="25.5" hidden="1" x14ac:dyDescent="0.2">
      <c r="F15256" s="503" t="s">
        <v>248</v>
      </c>
      <c r="G15256" s="504" t="s">
        <v>249</v>
      </c>
      <c r="H15256" s="397"/>
      <c r="I15256" s="397"/>
      <c r="J15256" s="750"/>
      <c r="K15256" s="398"/>
      <c r="L15256" s="404"/>
      <c r="M15256" s="682"/>
    </row>
    <row r="15257" spans="5:13" hidden="1" x14ac:dyDescent="0.2">
      <c r="F15257" s="503" t="s">
        <v>250</v>
      </c>
      <c r="G15257" s="504" t="s">
        <v>57</v>
      </c>
      <c r="H15257" s="397"/>
      <c r="I15257" s="397"/>
      <c r="J15257" s="750"/>
      <c r="K15257" s="398"/>
      <c r="L15257" s="404"/>
      <c r="M15257" s="682"/>
    </row>
    <row r="15258" spans="5:13" hidden="1" x14ac:dyDescent="0.2">
      <c r="F15258" s="503" t="s">
        <v>251</v>
      </c>
      <c r="G15258" s="504" t="s">
        <v>252</v>
      </c>
      <c r="H15258" s="397"/>
      <c r="I15258" s="397"/>
      <c r="J15258" s="750"/>
      <c r="K15258" s="398"/>
      <c r="L15258" s="404"/>
      <c r="M15258" s="682"/>
    </row>
    <row r="15259" spans="5:13" hidden="1" x14ac:dyDescent="0.2">
      <c r="F15259" s="503" t="s">
        <v>253</v>
      </c>
      <c r="G15259" s="504" t="s">
        <v>254</v>
      </c>
      <c r="H15259" s="397"/>
      <c r="I15259" s="397"/>
      <c r="J15259" s="750"/>
      <c r="K15259" s="398"/>
      <c r="L15259" s="404"/>
      <c r="M15259" s="682"/>
    </row>
    <row r="15260" spans="5:13" ht="25.5" hidden="1" x14ac:dyDescent="0.2">
      <c r="F15260" s="503" t="s">
        <v>255</v>
      </c>
      <c r="G15260" s="504" t="s">
        <v>256</v>
      </c>
      <c r="H15260" s="397"/>
      <c r="I15260" s="397"/>
      <c r="J15260" s="750"/>
      <c r="K15260" s="398"/>
      <c r="L15260" s="404"/>
      <c r="M15260" s="682"/>
    </row>
    <row r="15261" spans="5:13" ht="25.5" hidden="1" x14ac:dyDescent="0.2">
      <c r="F15261" s="503" t="s">
        <v>257</v>
      </c>
      <c r="G15261" s="504" t="s">
        <v>258</v>
      </c>
      <c r="H15261" s="397"/>
      <c r="I15261" s="397"/>
      <c r="J15261" s="750"/>
      <c r="K15261" s="398"/>
      <c r="L15261" s="404"/>
      <c r="M15261" s="682"/>
    </row>
    <row r="15262" spans="5:13" ht="25.5" hidden="1" x14ac:dyDescent="0.2">
      <c r="F15262" s="503" t="s">
        <v>259</v>
      </c>
      <c r="G15262" s="504" t="s">
        <v>260</v>
      </c>
      <c r="H15262" s="397"/>
      <c r="I15262" s="397"/>
      <c r="J15262" s="750"/>
      <c r="K15262" s="398"/>
      <c r="L15262" s="404"/>
      <c r="M15262" s="682"/>
    </row>
    <row r="15263" spans="5:13" ht="25.5" hidden="1" x14ac:dyDescent="0.2">
      <c r="F15263" s="503" t="s">
        <v>261</v>
      </c>
      <c r="G15263" s="504" t="s">
        <v>262</v>
      </c>
      <c r="H15263" s="397"/>
      <c r="I15263" s="397"/>
      <c r="J15263" s="750"/>
      <c r="K15263" s="398"/>
      <c r="L15263" s="404"/>
      <c r="M15263" s="682"/>
    </row>
    <row r="15264" spans="5:13" hidden="1" x14ac:dyDescent="0.2">
      <c r="F15264" s="503" t="s">
        <v>263</v>
      </c>
      <c r="G15264" s="504" t="s">
        <v>264</v>
      </c>
      <c r="H15264" s="403"/>
      <c r="I15264" s="403"/>
      <c r="J15264" s="750"/>
      <c r="K15264" s="404"/>
      <c r="L15264" s="404"/>
      <c r="M15264" s="682"/>
    </row>
    <row r="15265" spans="3:13" ht="13.5" hidden="1" thickBot="1" x14ac:dyDescent="0.25">
      <c r="G15265" s="505" t="s">
        <v>4424</v>
      </c>
      <c r="H15265" s="405">
        <f>SUM(H15249:H15264)</f>
        <v>0</v>
      </c>
      <c r="I15265" s="405"/>
      <c r="J15265" s="750"/>
      <c r="K15265" s="406">
        <f>SUM(K15250:K15264)</f>
        <v>0</v>
      </c>
      <c r="L15265" s="406"/>
      <c r="M15265" s="682"/>
    </row>
    <row r="15266" spans="3:13" hidden="1" x14ac:dyDescent="0.2">
      <c r="H15266" s="397"/>
      <c r="I15266" s="397"/>
      <c r="J15266" s="750"/>
      <c r="K15266" s="398"/>
      <c r="L15266" s="398"/>
      <c r="M15266" s="682"/>
    </row>
    <row r="15267" spans="3:13" x14ac:dyDescent="0.2">
      <c r="C15267" s="531" t="s">
        <v>4073</v>
      </c>
      <c r="D15267" s="490"/>
      <c r="E15267" s="490"/>
      <c r="F15267" s="532"/>
      <c r="G15267" s="644" t="s">
        <v>4305</v>
      </c>
      <c r="H15267" s="422"/>
      <c r="I15267" s="422"/>
      <c r="J15267" s="750"/>
      <c r="K15267" s="423"/>
      <c r="L15267" s="424"/>
      <c r="M15267" s="682"/>
    </row>
    <row r="15268" spans="3:13" ht="24" customHeight="1" x14ac:dyDescent="0.2">
      <c r="C15268" s="489"/>
      <c r="D15268" s="492">
        <v>660</v>
      </c>
      <c r="E15268" s="492"/>
      <c r="F15268" s="492"/>
      <c r="G15268" s="493" t="s">
        <v>186</v>
      </c>
      <c r="H15268" s="397"/>
      <c r="I15268" s="397"/>
      <c r="J15268" s="750"/>
      <c r="K15268" s="398"/>
      <c r="L15268" s="398"/>
      <c r="M15268" s="682"/>
    </row>
    <row r="15269" spans="3:13" hidden="1" x14ac:dyDescent="0.2">
      <c r="F15269" s="494">
        <v>411</v>
      </c>
      <c r="G15269" s="495" t="s">
        <v>4167</v>
      </c>
      <c r="H15269" s="397"/>
      <c r="I15269" s="397"/>
      <c r="J15269" s="750" t="e">
        <f t="shared" ref="J15269:J15309" si="175">SUM(I15269/H15269)*100</f>
        <v>#DIV/0!</v>
      </c>
      <c r="K15269" s="398"/>
      <c r="L15269" s="398"/>
      <c r="M15269" s="682"/>
    </row>
    <row r="15270" spans="3:13" hidden="1" x14ac:dyDescent="0.2">
      <c r="F15270" s="494">
        <v>412</v>
      </c>
      <c r="G15270" s="496" t="s">
        <v>3764</v>
      </c>
      <c r="H15270" s="397"/>
      <c r="I15270" s="397"/>
      <c r="J15270" s="750" t="e">
        <f t="shared" si="175"/>
        <v>#DIV/0!</v>
      </c>
      <c r="K15270" s="398"/>
      <c r="L15270" s="398"/>
      <c r="M15270" s="682"/>
    </row>
    <row r="15271" spans="3:13" hidden="1" x14ac:dyDescent="0.2">
      <c r="F15271" s="494">
        <v>413</v>
      </c>
      <c r="G15271" s="495" t="s">
        <v>4168</v>
      </c>
      <c r="H15271" s="397"/>
      <c r="I15271" s="397"/>
      <c r="J15271" s="750" t="e">
        <f t="shared" si="175"/>
        <v>#DIV/0!</v>
      </c>
      <c r="K15271" s="398"/>
      <c r="L15271" s="398"/>
      <c r="M15271" s="682"/>
    </row>
    <row r="15272" spans="3:13" hidden="1" x14ac:dyDescent="0.2">
      <c r="F15272" s="494">
        <v>414</v>
      </c>
      <c r="G15272" s="495" t="s">
        <v>3767</v>
      </c>
      <c r="H15272" s="397"/>
      <c r="I15272" s="397"/>
      <c r="J15272" s="750" t="e">
        <f t="shared" si="175"/>
        <v>#DIV/0!</v>
      </c>
      <c r="K15272" s="398"/>
      <c r="L15272" s="398"/>
      <c r="M15272" s="682"/>
    </row>
    <row r="15273" spans="3:13" hidden="1" x14ac:dyDescent="0.2">
      <c r="F15273" s="494">
        <v>415</v>
      </c>
      <c r="G15273" s="495" t="s">
        <v>4177</v>
      </c>
      <c r="H15273" s="397"/>
      <c r="I15273" s="397"/>
      <c r="J15273" s="750" t="e">
        <f t="shared" si="175"/>
        <v>#DIV/0!</v>
      </c>
      <c r="K15273" s="398"/>
      <c r="L15273" s="398"/>
      <c r="M15273" s="682"/>
    </row>
    <row r="15274" spans="3:13" ht="25.5" hidden="1" x14ac:dyDescent="0.2">
      <c r="F15274" s="494">
        <v>416</v>
      </c>
      <c r="G15274" s="495" t="s">
        <v>4178</v>
      </c>
      <c r="H15274" s="397"/>
      <c r="I15274" s="397"/>
      <c r="J15274" s="750" t="e">
        <f t="shared" si="175"/>
        <v>#DIV/0!</v>
      </c>
      <c r="K15274" s="398"/>
      <c r="L15274" s="398"/>
      <c r="M15274" s="682"/>
    </row>
    <row r="15275" spans="3:13" hidden="1" x14ac:dyDescent="0.2">
      <c r="F15275" s="494">
        <v>417</v>
      </c>
      <c r="G15275" s="495" t="s">
        <v>4179</v>
      </c>
      <c r="H15275" s="397"/>
      <c r="I15275" s="397"/>
      <c r="J15275" s="750" t="e">
        <f t="shared" si="175"/>
        <v>#DIV/0!</v>
      </c>
      <c r="K15275" s="398"/>
      <c r="L15275" s="398"/>
      <c r="M15275" s="682"/>
    </row>
    <row r="15276" spans="3:13" hidden="1" x14ac:dyDescent="0.2">
      <c r="F15276" s="494">
        <v>418</v>
      </c>
      <c r="G15276" s="495" t="s">
        <v>3773</v>
      </c>
      <c r="H15276" s="397"/>
      <c r="I15276" s="397"/>
      <c r="J15276" s="750" t="e">
        <f t="shared" si="175"/>
        <v>#DIV/0!</v>
      </c>
      <c r="K15276" s="398"/>
      <c r="L15276" s="398"/>
      <c r="M15276" s="682"/>
    </row>
    <row r="15277" spans="3:13" x14ac:dyDescent="0.2">
      <c r="E15277" s="464">
        <v>163</v>
      </c>
      <c r="F15277" s="494">
        <v>421</v>
      </c>
      <c r="G15277" s="495" t="s">
        <v>3777</v>
      </c>
      <c r="H15277" s="397">
        <v>0</v>
      </c>
      <c r="I15277" s="397">
        <v>0</v>
      </c>
      <c r="J15277" s="750"/>
      <c r="K15277" s="398"/>
      <c r="L15277" s="398"/>
      <c r="M15277" s="682"/>
    </row>
    <row r="15278" spans="3:13" x14ac:dyDescent="0.2">
      <c r="E15278" s="464">
        <v>164</v>
      </c>
      <c r="F15278" s="494">
        <v>422</v>
      </c>
      <c r="G15278" s="495" t="s">
        <v>3778</v>
      </c>
      <c r="H15278" s="397">
        <v>20000</v>
      </c>
      <c r="I15278" s="397">
        <v>0</v>
      </c>
      <c r="J15278" s="750">
        <f t="shared" si="175"/>
        <v>0</v>
      </c>
      <c r="K15278" s="398"/>
      <c r="L15278" s="398"/>
      <c r="M15278" s="682"/>
    </row>
    <row r="15279" spans="3:13" hidden="1" x14ac:dyDescent="0.2">
      <c r="F15279" s="494">
        <v>423</v>
      </c>
      <c r="G15279" s="495" t="s">
        <v>3779</v>
      </c>
      <c r="H15279" s="397"/>
      <c r="I15279" s="397"/>
      <c r="J15279" s="750" t="e">
        <f t="shared" si="175"/>
        <v>#DIV/0!</v>
      </c>
      <c r="K15279" s="398"/>
      <c r="L15279" s="398"/>
      <c r="M15279" s="682"/>
    </row>
    <row r="15280" spans="3:13" x14ac:dyDescent="0.2">
      <c r="E15280" s="464">
        <v>165</v>
      </c>
      <c r="F15280" s="494">
        <v>424</v>
      </c>
      <c r="G15280" s="495" t="s">
        <v>3781</v>
      </c>
      <c r="H15280" s="397">
        <v>0</v>
      </c>
      <c r="I15280" s="397">
        <v>0</v>
      </c>
      <c r="J15280" s="750"/>
      <c r="K15280" s="398"/>
      <c r="L15280" s="398"/>
      <c r="M15280" s="682"/>
    </row>
    <row r="15281" spans="5:13" hidden="1" x14ac:dyDescent="0.2">
      <c r="F15281" s="494">
        <v>425</v>
      </c>
      <c r="G15281" s="495" t="s">
        <v>4180</v>
      </c>
      <c r="H15281" s="397"/>
      <c r="I15281" s="397"/>
      <c r="J15281" s="750" t="e">
        <f t="shared" si="175"/>
        <v>#DIV/0!</v>
      </c>
      <c r="K15281" s="398"/>
      <c r="L15281" s="398"/>
      <c r="M15281" s="682"/>
    </row>
    <row r="15282" spans="5:13" ht="13.5" thickBot="1" x14ac:dyDescent="0.25">
      <c r="E15282" s="464">
        <v>166</v>
      </c>
      <c r="F15282" s="494">
        <v>426</v>
      </c>
      <c r="G15282" s="495" t="s">
        <v>3785</v>
      </c>
      <c r="H15282" s="397">
        <v>400000</v>
      </c>
      <c r="I15282" s="397">
        <v>210151</v>
      </c>
      <c r="J15282" s="750">
        <f t="shared" si="175"/>
        <v>52.537750000000003</v>
      </c>
      <c r="K15282" s="398"/>
      <c r="L15282" s="398"/>
      <c r="M15282" s="682"/>
    </row>
    <row r="15283" spans="5:13" ht="13.5" hidden="1" thickBot="1" x14ac:dyDescent="0.25">
      <c r="F15283" s="494">
        <v>431</v>
      </c>
      <c r="G15283" s="495" t="s">
        <v>4181</v>
      </c>
      <c r="H15283" s="397"/>
      <c r="I15283" s="397"/>
      <c r="J15283" s="750" t="e">
        <f t="shared" si="175"/>
        <v>#DIV/0!</v>
      </c>
      <c r="K15283" s="398"/>
      <c r="L15283" s="398"/>
      <c r="M15283" s="682"/>
    </row>
    <row r="15284" spans="5:13" ht="13.5" hidden="1" thickBot="1" x14ac:dyDescent="0.25">
      <c r="F15284" s="494">
        <v>432</v>
      </c>
      <c r="G15284" s="495" t="s">
        <v>4182</v>
      </c>
      <c r="H15284" s="397"/>
      <c r="I15284" s="397"/>
      <c r="J15284" s="750" t="e">
        <f t="shared" si="175"/>
        <v>#DIV/0!</v>
      </c>
      <c r="K15284" s="398"/>
      <c r="L15284" s="398"/>
      <c r="M15284" s="682"/>
    </row>
    <row r="15285" spans="5:13" ht="13.5" hidden="1" thickBot="1" x14ac:dyDescent="0.25">
      <c r="F15285" s="494">
        <v>433</v>
      </c>
      <c r="G15285" s="495" t="s">
        <v>4183</v>
      </c>
      <c r="H15285" s="397"/>
      <c r="I15285" s="397"/>
      <c r="J15285" s="750" t="e">
        <f t="shared" si="175"/>
        <v>#DIV/0!</v>
      </c>
      <c r="K15285" s="398"/>
      <c r="L15285" s="398"/>
      <c r="M15285" s="682"/>
    </row>
    <row r="15286" spans="5:13" ht="13.5" hidden="1" thickBot="1" x14ac:dyDescent="0.25">
      <c r="F15286" s="494">
        <v>434</v>
      </c>
      <c r="G15286" s="495" t="s">
        <v>4184</v>
      </c>
      <c r="H15286" s="397"/>
      <c r="I15286" s="397"/>
      <c r="J15286" s="750" t="e">
        <f t="shared" si="175"/>
        <v>#DIV/0!</v>
      </c>
      <c r="K15286" s="398"/>
      <c r="L15286" s="398"/>
      <c r="M15286" s="682"/>
    </row>
    <row r="15287" spans="5:13" ht="13.5" hidden="1" thickBot="1" x14ac:dyDescent="0.25">
      <c r="F15287" s="494">
        <v>435</v>
      </c>
      <c r="G15287" s="495" t="s">
        <v>3792</v>
      </c>
      <c r="H15287" s="397"/>
      <c r="I15287" s="397"/>
      <c r="J15287" s="750" t="e">
        <f t="shared" si="175"/>
        <v>#DIV/0!</v>
      </c>
      <c r="K15287" s="398"/>
      <c r="L15287" s="398"/>
      <c r="M15287" s="682"/>
    </row>
    <row r="15288" spans="5:13" ht="13.5" hidden="1" thickBot="1" x14ac:dyDescent="0.25">
      <c r="F15288" s="494">
        <v>441</v>
      </c>
      <c r="G15288" s="495" t="s">
        <v>4185</v>
      </c>
      <c r="H15288" s="397"/>
      <c r="I15288" s="397"/>
      <c r="J15288" s="750" t="e">
        <f t="shared" si="175"/>
        <v>#DIV/0!</v>
      </c>
      <c r="K15288" s="398"/>
      <c r="L15288" s="398"/>
      <c r="M15288" s="682"/>
    </row>
    <row r="15289" spans="5:13" ht="13.5" hidden="1" thickBot="1" x14ac:dyDescent="0.25">
      <c r="F15289" s="494">
        <v>442</v>
      </c>
      <c r="G15289" s="495" t="s">
        <v>4186</v>
      </c>
      <c r="H15289" s="397"/>
      <c r="I15289" s="397"/>
      <c r="J15289" s="750" t="e">
        <f t="shared" si="175"/>
        <v>#DIV/0!</v>
      </c>
      <c r="K15289" s="398"/>
      <c r="L15289" s="398"/>
      <c r="M15289" s="682"/>
    </row>
    <row r="15290" spans="5:13" ht="13.5" hidden="1" thickBot="1" x14ac:dyDescent="0.25">
      <c r="F15290" s="494">
        <v>443</v>
      </c>
      <c r="G15290" s="495" t="s">
        <v>3797</v>
      </c>
      <c r="H15290" s="397"/>
      <c r="I15290" s="397"/>
      <c r="J15290" s="750" t="e">
        <f t="shared" si="175"/>
        <v>#DIV/0!</v>
      </c>
      <c r="K15290" s="398"/>
      <c r="L15290" s="398"/>
      <c r="M15290" s="682"/>
    </row>
    <row r="15291" spans="5:13" ht="13.5" hidden="1" thickBot="1" x14ac:dyDescent="0.25">
      <c r="F15291" s="494">
        <v>444</v>
      </c>
      <c r="G15291" s="495" t="s">
        <v>3798</v>
      </c>
      <c r="H15291" s="397"/>
      <c r="I15291" s="397"/>
      <c r="J15291" s="750" t="e">
        <f t="shared" si="175"/>
        <v>#DIV/0!</v>
      </c>
      <c r="K15291" s="398"/>
      <c r="L15291" s="398"/>
      <c r="M15291" s="682"/>
    </row>
    <row r="15292" spans="5:13" ht="26.25" hidden="1" thickBot="1" x14ac:dyDescent="0.25">
      <c r="F15292" s="494">
        <v>4511</v>
      </c>
      <c r="G15292" s="466" t="s">
        <v>1692</v>
      </c>
      <c r="H15292" s="397"/>
      <c r="I15292" s="397"/>
      <c r="J15292" s="750" t="e">
        <f t="shared" si="175"/>
        <v>#DIV/0!</v>
      </c>
      <c r="K15292" s="398"/>
      <c r="L15292" s="398"/>
      <c r="M15292" s="682"/>
    </row>
    <row r="15293" spans="5:13" ht="26.25" hidden="1" thickBot="1" x14ac:dyDescent="0.25">
      <c r="F15293" s="494">
        <v>4512</v>
      </c>
      <c r="G15293" s="466" t="s">
        <v>1701</v>
      </c>
      <c r="H15293" s="397"/>
      <c r="I15293" s="397"/>
      <c r="J15293" s="750" t="e">
        <f t="shared" si="175"/>
        <v>#DIV/0!</v>
      </c>
      <c r="K15293" s="398"/>
      <c r="L15293" s="398"/>
      <c r="M15293" s="682"/>
    </row>
    <row r="15294" spans="5:13" ht="26.25" hidden="1" thickBot="1" x14ac:dyDescent="0.25">
      <c r="F15294" s="494">
        <v>452</v>
      </c>
      <c r="G15294" s="495" t="s">
        <v>4187</v>
      </c>
      <c r="H15294" s="397"/>
      <c r="I15294" s="397"/>
      <c r="J15294" s="750" t="e">
        <f t="shared" si="175"/>
        <v>#DIV/0!</v>
      </c>
      <c r="K15294" s="398"/>
      <c r="L15294" s="398"/>
      <c r="M15294" s="682"/>
    </row>
    <row r="15295" spans="5:13" ht="26.25" hidden="1" thickBot="1" x14ac:dyDescent="0.25">
      <c r="F15295" s="494">
        <v>453</v>
      </c>
      <c r="G15295" s="495" t="s">
        <v>4188</v>
      </c>
      <c r="H15295" s="397"/>
      <c r="I15295" s="397"/>
      <c r="J15295" s="750" t="e">
        <f t="shared" si="175"/>
        <v>#DIV/0!</v>
      </c>
      <c r="K15295" s="398"/>
      <c r="L15295" s="398"/>
      <c r="M15295" s="682"/>
    </row>
    <row r="15296" spans="5:13" ht="13.5" hidden="1" thickBot="1" x14ac:dyDescent="0.25">
      <c r="F15296" s="494">
        <v>454</v>
      </c>
      <c r="G15296" s="495" t="s">
        <v>3803</v>
      </c>
      <c r="H15296" s="397"/>
      <c r="I15296" s="397"/>
      <c r="J15296" s="750" t="e">
        <f t="shared" si="175"/>
        <v>#DIV/0!</v>
      </c>
      <c r="K15296" s="398"/>
      <c r="L15296" s="398"/>
      <c r="M15296" s="682"/>
    </row>
    <row r="15297" spans="6:13" ht="13.5" hidden="1" thickBot="1" x14ac:dyDescent="0.25">
      <c r="F15297" s="494">
        <v>461</v>
      </c>
      <c r="G15297" s="495" t="s">
        <v>4169</v>
      </c>
      <c r="H15297" s="397"/>
      <c r="I15297" s="397"/>
      <c r="J15297" s="750" t="e">
        <f t="shared" si="175"/>
        <v>#DIV/0!</v>
      </c>
      <c r="K15297" s="398"/>
      <c r="L15297" s="398"/>
      <c r="M15297" s="682"/>
    </row>
    <row r="15298" spans="6:13" ht="26.25" hidden="1" thickBot="1" x14ac:dyDescent="0.25">
      <c r="F15298" s="494">
        <v>462</v>
      </c>
      <c r="G15298" s="495" t="s">
        <v>3806</v>
      </c>
      <c r="H15298" s="397"/>
      <c r="I15298" s="397"/>
      <c r="J15298" s="750" t="e">
        <f t="shared" si="175"/>
        <v>#DIV/0!</v>
      </c>
      <c r="K15298" s="398"/>
      <c r="L15298" s="398"/>
      <c r="M15298" s="682"/>
    </row>
    <row r="15299" spans="6:13" ht="13.5" hidden="1" thickBot="1" x14ac:dyDescent="0.25">
      <c r="F15299" s="494">
        <v>4631</v>
      </c>
      <c r="G15299" s="495" t="s">
        <v>3807</v>
      </c>
      <c r="H15299" s="397"/>
      <c r="I15299" s="397"/>
      <c r="J15299" s="750" t="e">
        <f t="shared" si="175"/>
        <v>#DIV/0!</v>
      </c>
      <c r="K15299" s="398"/>
      <c r="L15299" s="398"/>
      <c r="M15299" s="682"/>
    </row>
    <row r="15300" spans="6:13" ht="13.5" hidden="1" thickBot="1" x14ac:dyDescent="0.25">
      <c r="F15300" s="494">
        <v>4632</v>
      </c>
      <c r="G15300" s="495" t="s">
        <v>3808</v>
      </c>
      <c r="H15300" s="397"/>
      <c r="I15300" s="397"/>
      <c r="J15300" s="750" t="e">
        <f t="shared" si="175"/>
        <v>#DIV/0!</v>
      </c>
      <c r="K15300" s="398"/>
      <c r="L15300" s="398"/>
      <c r="M15300" s="682"/>
    </row>
    <row r="15301" spans="6:13" ht="26.25" hidden="1" thickBot="1" x14ac:dyDescent="0.25">
      <c r="F15301" s="494">
        <v>464</v>
      </c>
      <c r="G15301" s="495" t="s">
        <v>3809</v>
      </c>
      <c r="H15301" s="397"/>
      <c r="I15301" s="397"/>
      <c r="J15301" s="750" t="e">
        <f t="shared" si="175"/>
        <v>#DIV/0!</v>
      </c>
      <c r="K15301" s="398"/>
      <c r="L15301" s="398"/>
      <c r="M15301" s="682"/>
    </row>
    <row r="15302" spans="6:13" ht="13.5" hidden="1" thickBot="1" x14ac:dyDescent="0.25">
      <c r="F15302" s="494">
        <v>465</v>
      </c>
      <c r="G15302" s="495" t="s">
        <v>4170</v>
      </c>
      <c r="H15302" s="397"/>
      <c r="I15302" s="397"/>
      <c r="J15302" s="750" t="e">
        <f t="shared" si="175"/>
        <v>#DIV/0!</v>
      </c>
      <c r="K15302" s="398"/>
      <c r="L15302" s="398"/>
      <c r="M15302" s="682"/>
    </row>
    <row r="15303" spans="6:13" ht="13.5" hidden="1" thickBot="1" x14ac:dyDescent="0.25">
      <c r="F15303" s="494">
        <v>472</v>
      </c>
      <c r="G15303" s="495" t="s">
        <v>3813</v>
      </c>
      <c r="H15303" s="397"/>
      <c r="I15303" s="397"/>
      <c r="J15303" s="750" t="e">
        <f t="shared" si="175"/>
        <v>#DIV/0!</v>
      </c>
      <c r="K15303" s="398"/>
      <c r="L15303" s="398"/>
      <c r="M15303" s="682"/>
    </row>
    <row r="15304" spans="6:13" ht="13.5" hidden="1" thickBot="1" x14ac:dyDescent="0.25">
      <c r="F15304" s="494">
        <v>481</v>
      </c>
      <c r="G15304" s="495" t="s">
        <v>4189</v>
      </c>
      <c r="H15304" s="397"/>
      <c r="I15304" s="397"/>
      <c r="J15304" s="750" t="e">
        <f t="shared" si="175"/>
        <v>#DIV/0!</v>
      </c>
      <c r="K15304" s="398"/>
      <c r="L15304" s="398"/>
      <c r="M15304" s="682"/>
    </row>
    <row r="15305" spans="6:13" ht="13.5" hidden="1" thickBot="1" x14ac:dyDescent="0.25">
      <c r="F15305" s="494">
        <v>482</v>
      </c>
      <c r="G15305" s="495" t="s">
        <v>4190</v>
      </c>
      <c r="H15305" s="397"/>
      <c r="I15305" s="397"/>
      <c r="J15305" s="750" t="e">
        <f t="shared" si="175"/>
        <v>#DIV/0!</v>
      </c>
      <c r="K15305" s="398"/>
      <c r="L15305" s="398"/>
      <c r="M15305" s="682"/>
    </row>
    <row r="15306" spans="6:13" ht="13.5" hidden="1" thickBot="1" x14ac:dyDescent="0.25">
      <c r="F15306" s="494">
        <v>483</v>
      </c>
      <c r="G15306" s="497" t="s">
        <v>4191</v>
      </c>
      <c r="H15306" s="397"/>
      <c r="I15306" s="397"/>
      <c r="J15306" s="750" t="e">
        <f t="shared" si="175"/>
        <v>#DIV/0!</v>
      </c>
      <c r="K15306" s="398"/>
      <c r="L15306" s="398"/>
      <c r="M15306" s="682"/>
    </row>
    <row r="15307" spans="6:13" ht="39" hidden="1" thickBot="1" x14ac:dyDescent="0.25">
      <c r="F15307" s="494">
        <v>484</v>
      </c>
      <c r="G15307" s="495" t="s">
        <v>4192</v>
      </c>
      <c r="H15307" s="397"/>
      <c r="I15307" s="397"/>
      <c r="J15307" s="750" t="e">
        <f t="shared" si="175"/>
        <v>#DIV/0!</v>
      </c>
      <c r="K15307" s="398"/>
      <c r="L15307" s="398"/>
      <c r="M15307" s="682"/>
    </row>
    <row r="15308" spans="6:13" ht="26.25" hidden="1" thickBot="1" x14ac:dyDescent="0.25">
      <c r="F15308" s="494">
        <v>485</v>
      </c>
      <c r="G15308" s="495" t="s">
        <v>4193</v>
      </c>
      <c r="H15308" s="397"/>
      <c r="I15308" s="397"/>
      <c r="J15308" s="750" t="e">
        <f t="shared" si="175"/>
        <v>#DIV/0!</v>
      </c>
      <c r="K15308" s="398"/>
      <c r="L15308" s="398"/>
      <c r="M15308" s="682"/>
    </row>
    <row r="15309" spans="6:13" ht="26.25" hidden="1" thickBot="1" x14ac:dyDescent="0.25">
      <c r="F15309" s="494">
        <v>489</v>
      </c>
      <c r="G15309" s="495" t="s">
        <v>3821</v>
      </c>
      <c r="H15309" s="397"/>
      <c r="I15309" s="397"/>
      <c r="J15309" s="750" t="e">
        <f t="shared" si="175"/>
        <v>#DIV/0!</v>
      </c>
      <c r="K15309" s="398"/>
      <c r="L15309" s="398"/>
      <c r="M15309" s="682"/>
    </row>
    <row r="15310" spans="6:13" ht="26.25" hidden="1" thickBot="1" x14ac:dyDescent="0.25">
      <c r="F15310" s="494">
        <v>494</v>
      </c>
      <c r="G15310" s="495" t="s">
        <v>4171</v>
      </c>
      <c r="H15310" s="397"/>
      <c r="I15310" s="397"/>
      <c r="J15310" s="750" t="e">
        <f t="shared" ref="J15310:J15373" si="176">SUM(I15310/H15310)*100</f>
        <v>#DIV/0!</v>
      </c>
      <c r="K15310" s="398"/>
      <c r="L15310" s="398"/>
      <c r="M15310" s="682"/>
    </row>
    <row r="15311" spans="6:13" ht="26.25" hidden="1" thickBot="1" x14ac:dyDescent="0.25">
      <c r="F15311" s="494">
        <v>495</v>
      </c>
      <c r="G15311" s="495" t="s">
        <v>4172</v>
      </c>
      <c r="H15311" s="397"/>
      <c r="I15311" s="397"/>
      <c r="J15311" s="750" t="e">
        <f t="shared" si="176"/>
        <v>#DIV/0!</v>
      </c>
      <c r="K15311" s="398"/>
      <c r="L15311" s="398"/>
      <c r="M15311" s="682"/>
    </row>
    <row r="15312" spans="6:13" ht="39" hidden="1" thickBot="1" x14ac:dyDescent="0.25">
      <c r="F15312" s="494">
        <v>496</v>
      </c>
      <c r="G15312" s="495" t="s">
        <v>4173</v>
      </c>
      <c r="H15312" s="397"/>
      <c r="I15312" s="397"/>
      <c r="J15312" s="750" t="e">
        <f t="shared" si="176"/>
        <v>#DIV/0!</v>
      </c>
      <c r="K15312" s="398"/>
      <c r="L15312" s="398"/>
      <c r="M15312" s="682"/>
    </row>
    <row r="15313" spans="6:13" ht="26.25" hidden="1" thickBot="1" x14ac:dyDescent="0.25">
      <c r="F15313" s="494">
        <v>499</v>
      </c>
      <c r="G15313" s="495" t="s">
        <v>4174</v>
      </c>
      <c r="H15313" s="397"/>
      <c r="I15313" s="397"/>
      <c r="J15313" s="750" t="e">
        <f t="shared" si="176"/>
        <v>#DIV/0!</v>
      </c>
      <c r="K15313" s="398"/>
      <c r="L15313" s="398"/>
      <c r="M15313" s="682"/>
    </row>
    <row r="15314" spans="6:13" ht="13.5" hidden="1" thickBot="1" x14ac:dyDescent="0.25">
      <c r="F15314" s="494">
        <v>511</v>
      </c>
      <c r="G15314" s="497" t="s">
        <v>4194</v>
      </c>
      <c r="H15314" s="397"/>
      <c r="I15314" s="397"/>
      <c r="J15314" s="750" t="e">
        <f t="shared" si="176"/>
        <v>#DIV/0!</v>
      </c>
      <c r="K15314" s="398"/>
      <c r="L15314" s="398"/>
      <c r="M15314" s="682"/>
    </row>
    <row r="15315" spans="6:13" ht="13.5" hidden="1" thickBot="1" x14ac:dyDescent="0.25">
      <c r="F15315" s="494">
        <v>512</v>
      </c>
      <c r="G15315" s="497" t="s">
        <v>4195</v>
      </c>
      <c r="H15315" s="397"/>
      <c r="I15315" s="397"/>
      <c r="J15315" s="750" t="e">
        <f t="shared" si="176"/>
        <v>#DIV/0!</v>
      </c>
      <c r="K15315" s="398"/>
      <c r="L15315" s="398"/>
      <c r="M15315" s="682"/>
    </row>
    <row r="15316" spans="6:13" ht="13.5" hidden="1" thickBot="1" x14ac:dyDescent="0.25">
      <c r="F15316" s="494">
        <v>513</v>
      </c>
      <c r="G15316" s="497" t="s">
        <v>4196</v>
      </c>
      <c r="H15316" s="397"/>
      <c r="I15316" s="397"/>
      <c r="J15316" s="750" t="e">
        <f t="shared" si="176"/>
        <v>#DIV/0!</v>
      </c>
      <c r="K15316" s="398"/>
      <c r="L15316" s="398"/>
      <c r="M15316" s="682"/>
    </row>
    <row r="15317" spans="6:13" ht="13.5" hidden="1" thickBot="1" x14ac:dyDescent="0.25">
      <c r="F15317" s="494">
        <v>514</v>
      </c>
      <c r="G15317" s="495" t="s">
        <v>4197</v>
      </c>
      <c r="H15317" s="397"/>
      <c r="I15317" s="397"/>
      <c r="J15317" s="750" t="e">
        <f t="shared" si="176"/>
        <v>#DIV/0!</v>
      </c>
      <c r="K15317" s="398"/>
      <c r="L15317" s="398"/>
      <c r="M15317" s="682"/>
    </row>
    <row r="15318" spans="6:13" ht="13.5" hidden="1" thickBot="1" x14ac:dyDescent="0.25">
      <c r="F15318" s="494">
        <v>515</v>
      </c>
      <c r="G15318" s="495" t="s">
        <v>3832</v>
      </c>
      <c r="H15318" s="397"/>
      <c r="I15318" s="397"/>
      <c r="J15318" s="750" t="e">
        <f t="shared" si="176"/>
        <v>#DIV/0!</v>
      </c>
      <c r="K15318" s="398"/>
      <c r="L15318" s="398"/>
      <c r="M15318" s="682"/>
    </row>
    <row r="15319" spans="6:13" ht="13.5" hidden="1" thickBot="1" x14ac:dyDescent="0.25">
      <c r="F15319" s="494">
        <v>521</v>
      </c>
      <c r="G15319" s="495" t="s">
        <v>4198</v>
      </c>
      <c r="H15319" s="397"/>
      <c r="I15319" s="397"/>
      <c r="J15319" s="750" t="e">
        <f t="shared" si="176"/>
        <v>#DIV/0!</v>
      </c>
      <c r="K15319" s="398"/>
      <c r="L15319" s="398"/>
      <c r="M15319" s="682"/>
    </row>
    <row r="15320" spans="6:13" ht="13.5" hidden="1" thickBot="1" x14ac:dyDescent="0.25">
      <c r="F15320" s="494">
        <v>522</v>
      </c>
      <c r="G15320" s="495" t="s">
        <v>4199</v>
      </c>
      <c r="H15320" s="397"/>
      <c r="I15320" s="397"/>
      <c r="J15320" s="750" t="e">
        <f t="shared" si="176"/>
        <v>#DIV/0!</v>
      </c>
      <c r="K15320" s="398"/>
      <c r="L15320" s="398"/>
      <c r="M15320" s="682"/>
    </row>
    <row r="15321" spans="6:13" ht="13.5" hidden="1" thickBot="1" x14ac:dyDescent="0.25">
      <c r="F15321" s="494">
        <v>523</v>
      </c>
      <c r="G15321" s="495" t="s">
        <v>3837</v>
      </c>
      <c r="H15321" s="397"/>
      <c r="I15321" s="397"/>
      <c r="J15321" s="750" t="e">
        <f t="shared" si="176"/>
        <v>#DIV/0!</v>
      </c>
      <c r="K15321" s="398"/>
      <c r="L15321" s="398"/>
      <c r="M15321" s="682"/>
    </row>
    <row r="15322" spans="6:13" ht="13.5" hidden="1" thickBot="1" x14ac:dyDescent="0.25">
      <c r="F15322" s="494">
        <v>531</v>
      </c>
      <c r="G15322" s="496" t="s">
        <v>4175</v>
      </c>
      <c r="H15322" s="397"/>
      <c r="I15322" s="397"/>
      <c r="J15322" s="750" t="e">
        <f t="shared" si="176"/>
        <v>#DIV/0!</v>
      </c>
      <c r="K15322" s="398"/>
      <c r="L15322" s="398"/>
      <c r="M15322" s="682"/>
    </row>
    <row r="15323" spans="6:13" ht="13.5" hidden="1" thickBot="1" x14ac:dyDescent="0.25">
      <c r="F15323" s="494">
        <v>541</v>
      </c>
      <c r="G15323" s="495" t="s">
        <v>4200</v>
      </c>
      <c r="H15323" s="397"/>
      <c r="I15323" s="397"/>
      <c r="J15323" s="750" t="e">
        <f t="shared" si="176"/>
        <v>#DIV/0!</v>
      </c>
      <c r="K15323" s="398"/>
      <c r="L15323" s="398"/>
      <c r="M15323" s="682"/>
    </row>
    <row r="15324" spans="6:13" ht="13.5" hidden="1" thickBot="1" x14ac:dyDescent="0.25">
      <c r="F15324" s="494">
        <v>542</v>
      </c>
      <c r="G15324" s="495" t="s">
        <v>4201</v>
      </c>
      <c r="H15324" s="397"/>
      <c r="I15324" s="397"/>
      <c r="J15324" s="750" t="e">
        <f t="shared" si="176"/>
        <v>#DIV/0!</v>
      </c>
      <c r="K15324" s="398"/>
      <c r="L15324" s="398"/>
      <c r="M15324" s="682"/>
    </row>
    <row r="15325" spans="6:13" ht="13.5" hidden="1" thickBot="1" x14ac:dyDescent="0.25">
      <c r="F15325" s="494">
        <v>543</v>
      </c>
      <c r="G15325" s="495" t="s">
        <v>3842</v>
      </c>
      <c r="H15325" s="397"/>
      <c r="I15325" s="397"/>
      <c r="J15325" s="750" t="e">
        <f t="shared" si="176"/>
        <v>#DIV/0!</v>
      </c>
      <c r="K15325" s="398"/>
      <c r="L15325" s="398"/>
      <c r="M15325" s="682"/>
    </row>
    <row r="15326" spans="6:13" ht="39" hidden="1" thickBot="1" x14ac:dyDescent="0.25">
      <c r="F15326" s="494">
        <v>551</v>
      </c>
      <c r="G15326" s="495" t="s">
        <v>4176</v>
      </c>
      <c r="H15326" s="397"/>
      <c r="I15326" s="397"/>
      <c r="J15326" s="750" t="e">
        <f t="shared" si="176"/>
        <v>#DIV/0!</v>
      </c>
      <c r="K15326" s="398"/>
      <c r="L15326" s="398"/>
      <c r="M15326" s="682"/>
    </row>
    <row r="15327" spans="6:13" ht="13.5" hidden="1" thickBot="1" x14ac:dyDescent="0.25">
      <c r="F15327" s="498">
        <v>611</v>
      </c>
      <c r="G15327" s="499" t="s">
        <v>3848</v>
      </c>
      <c r="H15327" s="397"/>
      <c r="I15327" s="397"/>
      <c r="J15327" s="750" t="e">
        <f t="shared" si="176"/>
        <v>#DIV/0!</v>
      </c>
      <c r="K15327" s="398"/>
      <c r="L15327" s="398"/>
      <c r="M15327" s="682"/>
    </row>
    <row r="15328" spans="6:13" ht="13.5" hidden="1" thickBot="1" x14ac:dyDescent="0.25">
      <c r="F15328" s="498">
        <v>620</v>
      </c>
      <c r="G15328" s="499" t="s">
        <v>88</v>
      </c>
      <c r="H15328" s="397"/>
      <c r="I15328" s="397"/>
      <c r="J15328" s="750" t="e">
        <f t="shared" si="176"/>
        <v>#DIV/0!</v>
      </c>
      <c r="K15328" s="398"/>
      <c r="L15328" s="398"/>
      <c r="M15328" s="682"/>
    </row>
    <row r="15329" spans="5:13" x14ac:dyDescent="0.2">
      <c r="E15329" s="500"/>
      <c r="F15329" s="498"/>
      <c r="G15329" s="501" t="s">
        <v>4402</v>
      </c>
      <c r="H15329" s="400"/>
      <c r="I15329" s="400"/>
      <c r="J15329" s="750"/>
      <c r="K15329" s="401"/>
      <c r="L15329" s="402"/>
      <c r="M15329" s="682"/>
    </row>
    <row r="15330" spans="5:13" ht="13.5" thickBot="1" x14ac:dyDescent="0.25">
      <c r="E15330" s="502"/>
      <c r="F15330" s="503" t="s">
        <v>234</v>
      </c>
      <c r="G15330" s="504" t="s">
        <v>235</v>
      </c>
      <c r="H15330" s="403">
        <f>SUM(H15269:H15328)</f>
        <v>420000</v>
      </c>
      <c r="I15330" s="403">
        <f>SUM(I15277:I15282)</f>
        <v>210151</v>
      </c>
      <c r="J15330" s="750">
        <f t="shared" si="176"/>
        <v>50.035952380952374</v>
      </c>
      <c r="K15330" s="404"/>
      <c r="L15330" s="404"/>
      <c r="M15330" s="682"/>
    </row>
    <row r="15331" spans="5:13" ht="13.5" hidden="1" thickBot="1" x14ac:dyDescent="0.25">
      <c r="F15331" s="503" t="s">
        <v>236</v>
      </c>
      <c r="G15331" s="504" t="s">
        <v>237</v>
      </c>
      <c r="H15331" s="397"/>
      <c r="I15331" s="397"/>
      <c r="J15331" s="750" t="e">
        <f t="shared" si="176"/>
        <v>#DIV/0!</v>
      </c>
      <c r="K15331" s="398"/>
      <c r="L15331" s="404"/>
      <c r="M15331" s="682"/>
    </row>
    <row r="15332" spans="5:13" ht="13.5" hidden="1" thickBot="1" x14ac:dyDescent="0.25">
      <c r="F15332" s="503" t="s">
        <v>238</v>
      </c>
      <c r="G15332" s="504" t="s">
        <v>239</v>
      </c>
      <c r="H15332" s="397"/>
      <c r="I15332" s="397"/>
      <c r="J15332" s="750" t="e">
        <f t="shared" si="176"/>
        <v>#DIV/0!</v>
      </c>
      <c r="K15332" s="398"/>
      <c r="L15332" s="404"/>
      <c r="M15332" s="682"/>
    </row>
    <row r="15333" spans="5:13" ht="13.5" hidden="1" thickBot="1" x14ac:dyDescent="0.25">
      <c r="F15333" s="503" t="s">
        <v>240</v>
      </c>
      <c r="G15333" s="504" t="s">
        <v>241</v>
      </c>
      <c r="H15333" s="397"/>
      <c r="I15333" s="397"/>
      <c r="J15333" s="750" t="e">
        <f t="shared" si="176"/>
        <v>#DIV/0!</v>
      </c>
      <c r="K15333" s="398"/>
      <c r="L15333" s="404"/>
      <c r="M15333" s="682"/>
    </row>
    <row r="15334" spans="5:13" ht="13.5" hidden="1" thickBot="1" x14ac:dyDescent="0.25">
      <c r="F15334" s="503" t="s">
        <v>242</v>
      </c>
      <c r="G15334" s="504" t="s">
        <v>243</v>
      </c>
      <c r="H15334" s="397"/>
      <c r="I15334" s="397"/>
      <c r="J15334" s="750" t="e">
        <f t="shared" si="176"/>
        <v>#DIV/0!</v>
      </c>
      <c r="K15334" s="398"/>
      <c r="L15334" s="404"/>
      <c r="M15334" s="682"/>
    </row>
    <row r="15335" spans="5:13" ht="13.5" hidden="1" thickBot="1" x14ac:dyDescent="0.25">
      <c r="F15335" s="503" t="s">
        <v>244</v>
      </c>
      <c r="G15335" s="504" t="s">
        <v>245</v>
      </c>
      <c r="H15335" s="397"/>
      <c r="I15335" s="397"/>
      <c r="J15335" s="750" t="e">
        <f t="shared" si="176"/>
        <v>#DIV/0!</v>
      </c>
      <c r="K15335" s="398"/>
      <c r="L15335" s="404"/>
      <c r="M15335" s="682"/>
    </row>
    <row r="15336" spans="5:13" ht="13.5" hidden="1" thickBot="1" x14ac:dyDescent="0.25">
      <c r="F15336" s="503" t="s">
        <v>246</v>
      </c>
      <c r="G15336" s="504" t="s">
        <v>247</v>
      </c>
      <c r="H15336" s="397"/>
      <c r="I15336" s="397"/>
      <c r="J15336" s="750" t="e">
        <f t="shared" si="176"/>
        <v>#DIV/0!</v>
      </c>
      <c r="K15336" s="398"/>
      <c r="L15336" s="404"/>
      <c r="M15336" s="682"/>
    </row>
    <row r="15337" spans="5:13" ht="26.25" hidden="1" thickBot="1" x14ac:dyDescent="0.25">
      <c r="F15337" s="503" t="s">
        <v>248</v>
      </c>
      <c r="G15337" s="504" t="s">
        <v>249</v>
      </c>
      <c r="H15337" s="397"/>
      <c r="I15337" s="397"/>
      <c r="J15337" s="750" t="e">
        <f t="shared" si="176"/>
        <v>#DIV/0!</v>
      </c>
      <c r="K15337" s="398"/>
      <c r="L15337" s="404"/>
      <c r="M15337" s="682"/>
    </row>
    <row r="15338" spans="5:13" ht="13.5" hidden="1" thickBot="1" x14ac:dyDescent="0.25">
      <c r="F15338" s="503" t="s">
        <v>250</v>
      </c>
      <c r="G15338" s="504" t="s">
        <v>57</v>
      </c>
      <c r="H15338" s="397"/>
      <c r="I15338" s="397"/>
      <c r="J15338" s="750" t="e">
        <f t="shared" si="176"/>
        <v>#DIV/0!</v>
      </c>
      <c r="K15338" s="398"/>
      <c r="L15338" s="404"/>
      <c r="M15338" s="682"/>
    </row>
    <row r="15339" spans="5:13" ht="13.5" hidden="1" thickBot="1" x14ac:dyDescent="0.25">
      <c r="F15339" s="503" t="s">
        <v>251</v>
      </c>
      <c r="G15339" s="504" t="s">
        <v>252</v>
      </c>
      <c r="H15339" s="397"/>
      <c r="I15339" s="397"/>
      <c r="J15339" s="750" t="e">
        <f t="shared" si="176"/>
        <v>#DIV/0!</v>
      </c>
      <c r="K15339" s="398"/>
      <c r="L15339" s="404"/>
      <c r="M15339" s="682"/>
    </row>
    <row r="15340" spans="5:13" ht="13.5" hidden="1" thickBot="1" x14ac:dyDescent="0.25">
      <c r="F15340" s="503" t="s">
        <v>253</v>
      </c>
      <c r="G15340" s="504" t="s">
        <v>254</v>
      </c>
      <c r="H15340" s="397"/>
      <c r="I15340" s="397"/>
      <c r="J15340" s="750" t="e">
        <f t="shared" si="176"/>
        <v>#DIV/0!</v>
      </c>
      <c r="K15340" s="398"/>
      <c r="L15340" s="404"/>
      <c r="M15340" s="682"/>
    </row>
    <row r="15341" spans="5:13" ht="26.25" hidden="1" thickBot="1" x14ac:dyDescent="0.25">
      <c r="F15341" s="503" t="s">
        <v>255</v>
      </c>
      <c r="G15341" s="504" t="s">
        <v>256</v>
      </c>
      <c r="H15341" s="397"/>
      <c r="I15341" s="397"/>
      <c r="J15341" s="750" t="e">
        <f t="shared" si="176"/>
        <v>#DIV/0!</v>
      </c>
      <c r="K15341" s="398"/>
      <c r="L15341" s="404"/>
      <c r="M15341" s="682"/>
    </row>
    <row r="15342" spans="5:13" ht="26.25" hidden="1" thickBot="1" x14ac:dyDescent="0.25">
      <c r="F15342" s="503" t="s">
        <v>257</v>
      </c>
      <c r="G15342" s="504" t="s">
        <v>258</v>
      </c>
      <c r="H15342" s="397"/>
      <c r="I15342" s="397"/>
      <c r="J15342" s="750" t="e">
        <f t="shared" si="176"/>
        <v>#DIV/0!</v>
      </c>
      <c r="K15342" s="398"/>
      <c r="L15342" s="404"/>
      <c r="M15342" s="682"/>
    </row>
    <row r="15343" spans="5:13" ht="26.25" hidden="1" thickBot="1" x14ac:dyDescent="0.25">
      <c r="F15343" s="503" t="s">
        <v>259</v>
      </c>
      <c r="G15343" s="504" t="s">
        <v>260</v>
      </c>
      <c r="H15343" s="397"/>
      <c r="I15343" s="397"/>
      <c r="J15343" s="750" t="e">
        <f t="shared" si="176"/>
        <v>#DIV/0!</v>
      </c>
      <c r="K15343" s="398"/>
      <c r="L15343" s="404"/>
      <c r="M15343" s="682"/>
    </row>
    <row r="15344" spans="5:13" ht="26.25" hidden="1" thickBot="1" x14ac:dyDescent="0.25">
      <c r="F15344" s="503" t="s">
        <v>261</v>
      </c>
      <c r="G15344" s="504" t="s">
        <v>262</v>
      </c>
      <c r="H15344" s="397"/>
      <c r="I15344" s="397"/>
      <c r="J15344" s="750" t="e">
        <f t="shared" si="176"/>
        <v>#DIV/0!</v>
      </c>
      <c r="K15344" s="398"/>
      <c r="L15344" s="404"/>
      <c r="M15344" s="682"/>
    </row>
    <row r="15345" spans="5:13" ht="13.5" hidden="1" thickBot="1" x14ac:dyDescent="0.25">
      <c r="F15345" s="503" t="s">
        <v>263</v>
      </c>
      <c r="G15345" s="504" t="s">
        <v>264</v>
      </c>
      <c r="H15345" s="403"/>
      <c r="I15345" s="403"/>
      <c r="J15345" s="750" t="e">
        <f t="shared" si="176"/>
        <v>#DIV/0!</v>
      </c>
      <c r="K15345" s="404"/>
      <c r="L15345" s="404"/>
      <c r="M15345" s="682"/>
    </row>
    <row r="15346" spans="5:13" ht="13.5" thickBot="1" x14ac:dyDescent="0.25">
      <c r="G15346" s="505" t="s">
        <v>4403</v>
      </c>
      <c r="H15346" s="405">
        <f>SUM(H15330:H15345)</f>
        <v>420000</v>
      </c>
      <c r="I15346" s="405">
        <f>SUM(I15330)</f>
        <v>210151</v>
      </c>
      <c r="J15346" s="750">
        <f t="shared" si="176"/>
        <v>50.035952380952374</v>
      </c>
      <c r="K15346" s="406">
        <f>SUM(K15331:K15345)</f>
        <v>0</v>
      </c>
      <c r="L15346" s="406"/>
      <c r="M15346" s="682"/>
    </row>
    <row r="15347" spans="5:13" ht="18" customHeight="1" x14ac:dyDescent="0.2">
      <c r="E15347" s="500"/>
      <c r="F15347" s="498"/>
      <c r="G15347" s="506" t="s">
        <v>4425</v>
      </c>
      <c r="H15347" s="407"/>
      <c r="I15347" s="408"/>
      <c r="J15347" s="750"/>
      <c r="K15347" s="409"/>
      <c r="L15347" s="410"/>
      <c r="M15347" s="682"/>
    </row>
    <row r="15348" spans="5:13" ht="13.5" thickBot="1" x14ac:dyDescent="0.25">
      <c r="E15348" s="502"/>
      <c r="F15348" s="503" t="s">
        <v>234</v>
      </c>
      <c r="G15348" s="504" t="s">
        <v>235</v>
      </c>
      <c r="H15348" s="403">
        <f>SUM(H15269:H15328)</f>
        <v>420000</v>
      </c>
      <c r="I15348" s="403">
        <f>SUM(I15346)</f>
        <v>210151</v>
      </c>
      <c r="J15348" s="750">
        <f t="shared" si="176"/>
        <v>50.035952380952374</v>
      </c>
      <c r="K15348" s="404"/>
      <c r="L15348" s="404"/>
      <c r="M15348" s="682"/>
    </row>
    <row r="15349" spans="5:13" ht="13.5" hidden="1" thickBot="1" x14ac:dyDescent="0.25">
      <c r="F15349" s="503" t="s">
        <v>236</v>
      </c>
      <c r="G15349" s="504" t="s">
        <v>237</v>
      </c>
      <c r="H15349" s="397"/>
      <c r="I15349" s="397"/>
      <c r="J15349" s="750" t="e">
        <f t="shared" si="176"/>
        <v>#DIV/0!</v>
      </c>
      <c r="K15349" s="398"/>
      <c r="L15349" s="404"/>
      <c r="M15349" s="682"/>
    </row>
    <row r="15350" spans="5:13" ht="13.5" hidden="1" thickBot="1" x14ac:dyDescent="0.25">
      <c r="F15350" s="503" t="s">
        <v>238</v>
      </c>
      <c r="G15350" s="504" t="s">
        <v>239</v>
      </c>
      <c r="H15350" s="397"/>
      <c r="I15350" s="397"/>
      <c r="J15350" s="750" t="e">
        <f t="shared" si="176"/>
        <v>#DIV/0!</v>
      </c>
      <c r="K15350" s="398"/>
      <c r="L15350" s="404"/>
      <c r="M15350" s="682"/>
    </row>
    <row r="15351" spans="5:13" ht="13.5" hidden="1" thickBot="1" x14ac:dyDescent="0.25">
      <c r="F15351" s="503" t="s">
        <v>240</v>
      </c>
      <c r="G15351" s="504" t="s">
        <v>241</v>
      </c>
      <c r="H15351" s="397"/>
      <c r="I15351" s="397"/>
      <c r="J15351" s="750" t="e">
        <f t="shared" si="176"/>
        <v>#DIV/0!</v>
      </c>
      <c r="K15351" s="398"/>
      <c r="L15351" s="404"/>
      <c r="M15351" s="682"/>
    </row>
    <row r="15352" spans="5:13" ht="13.5" hidden="1" thickBot="1" x14ac:dyDescent="0.25">
      <c r="F15352" s="503" t="s">
        <v>242</v>
      </c>
      <c r="G15352" s="504" t="s">
        <v>243</v>
      </c>
      <c r="H15352" s="397"/>
      <c r="I15352" s="397"/>
      <c r="J15352" s="750" t="e">
        <f t="shared" si="176"/>
        <v>#DIV/0!</v>
      </c>
      <c r="K15352" s="398"/>
      <c r="L15352" s="404"/>
      <c r="M15352" s="682"/>
    </row>
    <row r="15353" spans="5:13" ht="13.5" hidden="1" thickBot="1" x14ac:dyDescent="0.25">
      <c r="F15353" s="503" t="s">
        <v>244</v>
      </c>
      <c r="G15353" s="504" t="s">
        <v>245</v>
      </c>
      <c r="H15353" s="397"/>
      <c r="I15353" s="397"/>
      <c r="J15353" s="750" t="e">
        <f t="shared" si="176"/>
        <v>#DIV/0!</v>
      </c>
      <c r="K15353" s="398"/>
      <c r="L15353" s="404"/>
      <c r="M15353" s="682"/>
    </row>
    <row r="15354" spans="5:13" ht="13.5" hidden="1" thickBot="1" x14ac:dyDescent="0.25">
      <c r="F15354" s="503" t="s">
        <v>246</v>
      </c>
      <c r="G15354" s="504" t="s">
        <v>247</v>
      </c>
      <c r="H15354" s="397"/>
      <c r="I15354" s="397"/>
      <c r="J15354" s="750" t="e">
        <f t="shared" si="176"/>
        <v>#DIV/0!</v>
      </c>
      <c r="K15354" s="398"/>
      <c r="L15354" s="404"/>
      <c r="M15354" s="682"/>
    </row>
    <row r="15355" spans="5:13" ht="26.25" hidden="1" thickBot="1" x14ac:dyDescent="0.25">
      <c r="F15355" s="503" t="s">
        <v>248</v>
      </c>
      <c r="G15355" s="504" t="s">
        <v>249</v>
      </c>
      <c r="H15355" s="397"/>
      <c r="I15355" s="397"/>
      <c r="J15355" s="750" t="e">
        <f t="shared" si="176"/>
        <v>#DIV/0!</v>
      </c>
      <c r="K15355" s="398"/>
      <c r="L15355" s="404"/>
      <c r="M15355" s="682"/>
    </row>
    <row r="15356" spans="5:13" ht="13.5" hidden="1" thickBot="1" x14ac:dyDescent="0.25">
      <c r="F15356" s="503" t="s">
        <v>250</v>
      </c>
      <c r="G15356" s="504" t="s">
        <v>57</v>
      </c>
      <c r="H15356" s="397"/>
      <c r="I15356" s="397"/>
      <c r="J15356" s="750" t="e">
        <f t="shared" si="176"/>
        <v>#DIV/0!</v>
      </c>
      <c r="K15356" s="398"/>
      <c r="L15356" s="404"/>
      <c r="M15356" s="682"/>
    </row>
    <row r="15357" spans="5:13" ht="13.5" hidden="1" thickBot="1" x14ac:dyDescent="0.25">
      <c r="F15357" s="503" t="s">
        <v>251</v>
      </c>
      <c r="G15357" s="504" t="s">
        <v>252</v>
      </c>
      <c r="H15357" s="397"/>
      <c r="I15357" s="397"/>
      <c r="J15357" s="750" t="e">
        <f t="shared" si="176"/>
        <v>#DIV/0!</v>
      </c>
      <c r="K15357" s="398"/>
      <c r="L15357" s="404"/>
      <c r="M15357" s="682"/>
    </row>
    <row r="15358" spans="5:13" ht="13.5" hidden="1" thickBot="1" x14ac:dyDescent="0.25">
      <c r="F15358" s="503" t="s">
        <v>253</v>
      </c>
      <c r="G15358" s="504" t="s">
        <v>254</v>
      </c>
      <c r="H15358" s="397"/>
      <c r="I15358" s="397"/>
      <c r="J15358" s="750" t="e">
        <f t="shared" si="176"/>
        <v>#DIV/0!</v>
      </c>
      <c r="K15358" s="398"/>
      <c r="L15358" s="404"/>
      <c r="M15358" s="682"/>
    </row>
    <row r="15359" spans="5:13" ht="26.25" hidden="1" thickBot="1" x14ac:dyDescent="0.25">
      <c r="F15359" s="503" t="s">
        <v>255</v>
      </c>
      <c r="G15359" s="504" t="s">
        <v>256</v>
      </c>
      <c r="H15359" s="397"/>
      <c r="I15359" s="397"/>
      <c r="J15359" s="750" t="e">
        <f t="shared" si="176"/>
        <v>#DIV/0!</v>
      </c>
      <c r="K15359" s="398"/>
      <c r="L15359" s="404"/>
      <c r="M15359" s="682"/>
    </row>
    <row r="15360" spans="5:13" ht="26.25" hidden="1" thickBot="1" x14ac:dyDescent="0.25">
      <c r="F15360" s="503" t="s">
        <v>257</v>
      </c>
      <c r="G15360" s="504" t="s">
        <v>258</v>
      </c>
      <c r="H15360" s="397"/>
      <c r="I15360" s="397"/>
      <c r="J15360" s="750" t="e">
        <f t="shared" si="176"/>
        <v>#DIV/0!</v>
      </c>
      <c r="K15360" s="398"/>
      <c r="L15360" s="404"/>
      <c r="M15360" s="682"/>
    </row>
    <row r="15361" spans="3:13" ht="26.25" hidden="1" thickBot="1" x14ac:dyDescent="0.25">
      <c r="F15361" s="503" t="s">
        <v>259</v>
      </c>
      <c r="G15361" s="504" t="s">
        <v>260</v>
      </c>
      <c r="H15361" s="397"/>
      <c r="I15361" s="397"/>
      <c r="J15361" s="750" t="e">
        <f t="shared" si="176"/>
        <v>#DIV/0!</v>
      </c>
      <c r="K15361" s="398"/>
      <c r="L15361" s="404"/>
      <c r="M15361" s="682"/>
    </row>
    <row r="15362" spans="3:13" ht="26.25" hidden="1" thickBot="1" x14ac:dyDescent="0.25">
      <c r="F15362" s="503" t="s">
        <v>261</v>
      </c>
      <c r="G15362" s="504" t="s">
        <v>262</v>
      </c>
      <c r="H15362" s="397"/>
      <c r="I15362" s="397"/>
      <c r="J15362" s="750" t="e">
        <f t="shared" si="176"/>
        <v>#DIV/0!</v>
      </c>
      <c r="K15362" s="398"/>
      <c r="L15362" s="404"/>
      <c r="M15362" s="682"/>
    </row>
    <row r="15363" spans="3:13" ht="13.5" hidden="1" thickBot="1" x14ac:dyDescent="0.25">
      <c r="F15363" s="503" t="s">
        <v>263</v>
      </c>
      <c r="G15363" s="504" t="s">
        <v>264</v>
      </c>
      <c r="H15363" s="403"/>
      <c r="I15363" s="403"/>
      <c r="J15363" s="750" t="e">
        <f t="shared" si="176"/>
        <v>#DIV/0!</v>
      </c>
      <c r="K15363" s="404"/>
      <c r="L15363" s="404"/>
      <c r="M15363" s="682"/>
    </row>
    <row r="15364" spans="3:13" ht="13.5" thickBot="1" x14ac:dyDescent="0.25">
      <c r="G15364" s="505" t="s">
        <v>4426</v>
      </c>
      <c r="H15364" s="405">
        <f>SUM(H15348:H15363)</f>
        <v>420000</v>
      </c>
      <c r="I15364" s="405">
        <f>SUM(I15346)</f>
        <v>210151</v>
      </c>
      <c r="J15364" s="750">
        <f t="shared" si="176"/>
        <v>50.035952380952374</v>
      </c>
      <c r="K15364" s="406">
        <f>SUM(K15349:K15363)</f>
        <v>0</v>
      </c>
      <c r="L15364" s="406"/>
      <c r="M15364" s="682"/>
    </row>
    <row r="15365" spans="3:13" ht="6.75" customHeight="1" x14ac:dyDescent="0.2">
      <c r="H15365" s="397"/>
      <c r="I15365" s="397"/>
      <c r="J15365" s="750"/>
      <c r="K15365" s="398"/>
      <c r="L15365" s="398"/>
      <c r="M15365" s="682"/>
    </row>
    <row r="15366" spans="3:13" x14ac:dyDescent="0.2">
      <c r="C15366" s="531" t="s">
        <v>4418</v>
      </c>
      <c r="D15366" s="490"/>
      <c r="E15366" s="490"/>
      <c r="F15366" s="532"/>
      <c r="G15366" s="644" t="s">
        <v>4080</v>
      </c>
      <c r="H15366" s="422"/>
      <c r="I15366" s="422"/>
      <c r="J15366" s="750"/>
      <c r="K15366" s="423"/>
      <c r="L15366" s="424"/>
      <c r="M15366" s="682"/>
    </row>
    <row r="15367" spans="3:13" ht="21.75" customHeight="1" x14ac:dyDescent="0.2">
      <c r="C15367" s="489"/>
      <c r="D15367" s="492">
        <v>660</v>
      </c>
      <c r="E15367" s="492"/>
      <c r="F15367" s="492"/>
      <c r="G15367" s="493" t="s">
        <v>186</v>
      </c>
      <c r="H15367" s="397"/>
      <c r="I15367" s="397"/>
      <c r="J15367" s="750"/>
      <c r="K15367" s="398"/>
      <c r="L15367" s="398"/>
      <c r="M15367" s="682"/>
    </row>
    <row r="15368" spans="3:13" hidden="1" x14ac:dyDescent="0.2">
      <c r="F15368" s="494">
        <v>411</v>
      </c>
      <c r="G15368" s="495" t="s">
        <v>4167</v>
      </c>
      <c r="H15368" s="397"/>
      <c r="I15368" s="397"/>
      <c r="J15368" s="750" t="e">
        <f t="shared" si="176"/>
        <v>#DIV/0!</v>
      </c>
      <c r="K15368" s="398"/>
      <c r="L15368" s="398"/>
      <c r="M15368" s="682"/>
    </row>
    <row r="15369" spans="3:13" hidden="1" x14ac:dyDescent="0.2">
      <c r="F15369" s="494">
        <v>412</v>
      </c>
      <c r="G15369" s="496" t="s">
        <v>3764</v>
      </c>
      <c r="H15369" s="397"/>
      <c r="I15369" s="397"/>
      <c r="J15369" s="750" t="e">
        <f t="shared" si="176"/>
        <v>#DIV/0!</v>
      </c>
      <c r="K15369" s="398"/>
      <c r="L15369" s="398"/>
      <c r="M15369" s="682"/>
    </row>
    <row r="15370" spans="3:13" hidden="1" x14ac:dyDescent="0.2">
      <c r="F15370" s="494">
        <v>413</v>
      </c>
      <c r="G15370" s="495" t="s">
        <v>4168</v>
      </c>
      <c r="H15370" s="397"/>
      <c r="I15370" s="397"/>
      <c r="J15370" s="750" t="e">
        <f t="shared" si="176"/>
        <v>#DIV/0!</v>
      </c>
      <c r="K15370" s="398"/>
      <c r="L15370" s="398"/>
      <c r="M15370" s="682"/>
    </row>
    <row r="15371" spans="3:13" hidden="1" x14ac:dyDescent="0.2">
      <c r="F15371" s="494">
        <v>414</v>
      </c>
      <c r="G15371" s="495" t="s">
        <v>3767</v>
      </c>
      <c r="H15371" s="397"/>
      <c r="I15371" s="397"/>
      <c r="J15371" s="750" t="e">
        <f t="shared" si="176"/>
        <v>#DIV/0!</v>
      </c>
      <c r="K15371" s="398"/>
      <c r="L15371" s="398"/>
      <c r="M15371" s="682"/>
    </row>
    <row r="15372" spans="3:13" hidden="1" x14ac:dyDescent="0.2">
      <c r="F15372" s="494">
        <v>415</v>
      </c>
      <c r="G15372" s="495" t="s">
        <v>4177</v>
      </c>
      <c r="H15372" s="397"/>
      <c r="I15372" s="397"/>
      <c r="J15372" s="750" t="e">
        <f t="shared" si="176"/>
        <v>#DIV/0!</v>
      </c>
      <c r="K15372" s="398"/>
      <c r="L15372" s="398"/>
      <c r="M15372" s="682"/>
    </row>
    <row r="15373" spans="3:13" ht="25.5" hidden="1" x14ac:dyDescent="0.2">
      <c r="F15373" s="494">
        <v>416</v>
      </c>
      <c r="G15373" s="495" t="s">
        <v>4178</v>
      </c>
      <c r="H15373" s="397"/>
      <c r="I15373" s="397"/>
      <c r="J15373" s="750" t="e">
        <f t="shared" si="176"/>
        <v>#DIV/0!</v>
      </c>
      <c r="K15373" s="398"/>
      <c r="L15373" s="398"/>
      <c r="M15373" s="682"/>
    </row>
    <row r="15374" spans="3:13" hidden="1" x14ac:dyDescent="0.2">
      <c r="F15374" s="494">
        <v>417</v>
      </c>
      <c r="G15374" s="495" t="s">
        <v>4179</v>
      </c>
      <c r="H15374" s="397"/>
      <c r="I15374" s="397"/>
      <c r="J15374" s="750" t="e">
        <f t="shared" ref="J15374:J15437" si="177">SUM(I15374/H15374)*100</f>
        <v>#DIV/0!</v>
      </c>
      <c r="K15374" s="398"/>
      <c r="L15374" s="398"/>
      <c r="M15374" s="682"/>
    </row>
    <row r="15375" spans="3:13" hidden="1" x14ac:dyDescent="0.2">
      <c r="F15375" s="494">
        <v>418</v>
      </c>
      <c r="G15375" s="495" t="s">
        <v>3773</v>
      </c>
      <c r="H15375" s="397"/>
      <c r="I15375" s="397"/>
      <c r="J15375" s="750" t="e">
        <f t="shared" si="177"/>
        <v>#DIV/0!</v>
      </c>
      <c r="K15375" s="398"/>
      <c r="L15375" s="398"/>
      <c r="M15375" s="682"/>
    </row>
    <row r="15376" spans="3:13" x14ac:dyDescent="0.2">
      <c r="E15376" s="464">
        <v>167</v>
      </c>
      <c r="F15376" s="494">
        <v>421</v>
      </c>
      <c r="G15376" s="495" t="s">
        <v>3777</v>
      </c>
      <c r="H15376" s="397">
        <v>50000</v>
      </c>
      <c r="I15376" s="397">
        <v>0</v>
      </c>
      <c r="J15376" s="750">
        <f t="shared" si="177"/>
        <v>0</v>
      </c>
      <c r="K15376" s="398"/>
      <c r="L15376" s="398"/>
      <c r="M15376" s="682"/>
    </row>
    <row r="15377" spans="5:13" x14ac:dyDescent="0.2">
      <c r="E15377" s="464">
        <v>168</v>
      </c>
      <c r="F15377" s="494">
        <v>422</v>
      </c>
      <c r="G15377" s="495" t="s">
        <v>3778</v>
      </c>
      <c r="H15377" s="397">
        <v>20000</v>
      </c>
      <c r="I15377" s="397">
        <v>0</v>
      </c>
      <c r="J15377" s="750">
        <f t="shared" si="177"/>
        <v>0</v>
      </c>
      <c r="K15377" s="398"/>
      <c r="L15377" s="398"/>
      <c r="M15377" s="682"/>
    </row>
    <row r="15378" spans="5:13" hidden="1" x14ac:dyDescent="0.2">
      <c r="F15378" s="494">
        <v>423</v>
      </c>
      <c r="G15378" s="495" t="s">
        <v>3779</v>
      </c>
      <c r="H15378" s="397"/>
      <c r="I15378" s="397"/>
      <c r="J15378" s="750" t="e">
        <f t="shared" si="177"/>
        <v>#DIV/0!</v>
      </c>
      <c r="K15378" s="398"/>
      <c r="L15378" s="398"/>
      <c r="M15378" s="682"/>
    </row>
    <row r="15379" spans="5:13" ht="13.5" thickBot="1" x14ac:dyDescent="0.25">
      <c r="E15379" s="464">
        <v>169</v>
      </c>
      <c r="F15379" s="494">
        <v>424</v>
      </c>
      <c r="G15379" s="495" t="s">
        <v>3781</v>
      </c>
      <c r="H15379" s="397">
        <v>200000</v>
      </c>
      <c r="I15379" s="397">
        <v>0</v>
      </c>
      <c r="J15379" s="750">
        <f t="shared" si="177"/>
        <v>0</v>
      </c>
      <c r="K15379" s="398"/>
      <c r="L15379" s="398"/>
      <c r="M15379" s="682"/>
    </row>
    <row r="15380" spans="5:13" ht="13.5" hidden="1" thickBot="1" x14ac:dyDescent="0.25">
      <c r="F15380" s="494">
        <v>425</v>
      </c>
      <c r="G15380" s="495" t="s">
        <v>4180</v>
      </c>
      <c r="H15380" s="397"/>
      <c r="I15380" s="397"/>
      <c r="J15380" s="750" t="e">
        <f t="shared" si="177"/>
        <v>#DIV/0!</v>
      </c>
      <c r="K15380" s="398"/>
      <c r="L15380" s="398"/>
      <c r="M15380" s="682"/>
    </row>
    <row r="15381" spans="5:13" ht="13.5" hidden="1" thickBot="1" x14ac:dyDescent="0.25">
      <c r="F15381" s="494">
        <v>426</v>
      </c>
      <c r="G15381" s="495" t="s">
        <v>3785</v>
      </c>
      <c r="H15381" s="397"/>
      <c r="I15381" s="397"/>
      <c r="J15381" s="750" t="e">
        <f t="shared" si="177"/>
        <v>#DIV/0!</v>
      </c>
      <c r="K15381" s="398"/>
      <c r="L15381" s="398"/>
      <c r="M15381" s="682"/>
    </row>
    <row r="15382" spans="5:13" ht="13.5" hidden="1" thickBot="1" x14ac:dyDescent="0.25">
      <c r="F15382" s="494">
        <v>431</v>
      </c>
      <c r="G15382" s="495" t="s">
        <v>4181</v>
      </c>
      <c r="H15382" s="397"/>
      <c r="I15382" s="397"/>
      <c r="J15382" s="750" t="e">
        <f t="shared" si="177"/>
        <v>#DIV/0!</v>
      </c>
      <c r="K15382" s="398"/>
      <c r="L15382" s="398"/>
      <c r="M15382" s="682"/>
    </row>
    <row r="15383" spans="5:13" ht="13.5" hidden="1" thickBot="1" x14ac:dyDescent="0.25">
      <c r="F15383" s="494">
        <v>432</v>
      </c>
      <c r="G15383" s="495" t="s">
        <v>4182</v>
      </c>
      <c r="H15383" s="397"/>
      <c r="I15383" s="397"/>
      <c r="J15383" s="750" t="e">
        <f t="shared" si="177"/>
        <v>#DIV/0!</v>
      </c>
      <c r="K15383" s="398"/>
      <c r="L15383" s="398"/>
      <c r="M15383" s="682"/>
    </row>
    <row r="15384" spans="5:13" ht="13.5" hidden="1" thickBot="1" x14ac:dyDescent="0.25">
      <c r="F15384" s="494">
        <v>433</v>
      </c>
      <c r="G15384" s="495" t="s">
        <v>4183</v>
      </c>
      <c r="H15384" s="397"/>
      <c r="I15384" s="397"/>
      <c r="J15384" s="750" t="e">
        <f t="shared" si="177"/>
        <v>#DIV/0!</v>
      </c>
      <c r="K15384" s="398"/>
      <c r="L15384" s="398"/>
      <c r="M15384" s="682"/>
    </row>
    <row r="15385" spans="5:13" ht="13.5" hidden="1" thickBot="1" x14ac:dyDescent="0.25">
      <c r="F15385" s="494">
        <v>434</v>
      </c>
      <c r="G15385" s="495" t="s">
        <v>4184</v>
      </c>
      <c r="H15385" s="397"/>
      <c r="I15385" s="397"/>
      <c r="J15385" s="750" t="e">
        <f t="shared" si="177"/>
        <v>#DIV/0!</v>
      </c>
      <c r="K15385" s="398"/>
      <c r="L15385" s="398"/>
      <c r="M15385" s="682"/>
    </row>
    <row r="15386" spans="5:13" ht="13.5" hidden="1" thickBot="1" x14ac:dyDescent="0.25">
      <c r="F15386" s="494">
        <v>435</v>
      </c>
      <c r="G15386" s="495" t="s">
        <v>3792</v>
      </c>
      <c r="H15386" s="397"/>
      <c r="I15386" s="397"/>
      <c r="J15386" s="750" t="e">
        <f t="shared" si="177"/>
        <v>#DIV/0!</v>
      </c>
      <c r="K15386" s="398"/>
      <c r="L15386" s="398"/>
      <c r="M15386" s="682"/>
    </row>
    <row r="15387" spans="5:13" ht="13.5" hidden="1" thickBot="1" x14ac:dyDescent="0.25">
      <c r="F15387" s="494">
        <v>441</v>
      </c>
      <c r="G15387" s="495" t="s">
        <v>4185</v>
      </c>
      <c r="H15387" s="397"/>
      <c r="I15387" s="397"/>
      <c r="J15387" s="750" t="e">
        <f t="shared" si="177"/>
        <v>#DIV/0!</v>
      </c>
      <c r="K15387" s="398"/>
      <c r="L15387" s="398"/>
      <c r="M15387" s="682"/>
    </row>
    <row r="15388" spans="5:13" ht="13.5" hidden="1" thickBot="1" x14ac:dyDescent="0.25">
      <c r="F15388" s="494">
        <v>442</v>
      </c>
      <c r="G15388" s="495" t="s">
        <v>4186</v>
      </c>
      <c r="H15388" s="397"/>
      <c r="I15388" s="397"/>
      <c r="J15388" s="750" t="e">
        <f t="shared" si="177"/>
        <v>#DIV/0!</v>
      </c>
      <c r="K15388" s="398"/>
      <c r="L15388" s="398"/>
      <c r="M15388" s="682"/>
    </row>
    <row r="15389" spans="5:13" ht="13.5" hidden="1" thickBot="1" x14ac:dyDescent="0.25">
      <c r="F15389" s="494">
        <v>443</v>
      </c>
      <c r="G15389" s="495" t="s">
        <v>3797</v>
      </c>
      <c r="H15389" s="397"/>
      <c r="I15389" s="397"/>
      <c r="J15389" s="750" t="e">
        <f t="shared" si="177"/>
        <v>#DIV/0!</v>
      </c>
      <c r="K15389" s="398"/>
      <c r="L15389" s="398"/>
      <c r="M15389" s="682"/>
    </row>
    <row r="15390" spans="5:13" ht="13.5" hidden="1" thickBot="1" x14ac:dyDescent="0.25">
      <c r="F15390" s="494">
        <v>444</v>
      </c>
      <c r="G15390" s="495" t="s">
        <v>3798</v>
      </c>
      <c r="H15390" s="397"/>
      <c r="I15390" s="397"/>
      <c r="J15390" s="750" t="e">
        <f t="shared" si="177"/>
        <v>#DIV/0!</v>
      </c>
      <c r="K15390" s="398"/>
      <c r="L15390" s="398"/>
      <c r="M15390" s="682"/>
    </row>
    <row r="15391" spans="5:13" ht="26.25" hidden="1" thickBot="1" x14ac:dyDescent="0.25">
      <c r="F15391" s="494">
        <v>4511</v>
      </c>
      <c r="G15391" s="466" t="s">
        <v>1692</v>
      </c>
      <c r="H15391" s="397"/>
      <c r="I15391" s="397"/>
      <c r="J15391" s="750" t="e">
        <f t="shared" si="177"/>
        <v>#DIV/0!</v>
      </c>
      <c r="K15391" s="398"/>
      <c r="L15391" s="398"/>
      <c r="M15391" s="682"/>
    </row>
    <row r="15392" spans="5:13" ht="26.25" hidden="1" thickBot="1" x14ac:dyDescent="0.25">
      <c r="F15392" s="494">
        <v>4512</v>
      </c>
      <c r="G15392" s="466" t="s">
        <v>1701</v>
      </c>
      <c r="H15392" s="397"/>
      <c r="I15392" s="397"/>
      <c r="J15392" s="750" t="e">
        <f t="shared" si="177"/>
        <v>#DIV/0!</v>
      </c>
      <c r="K15392" s="398"/>
      <c r="L15392" s="398"/>
      <c r="M15392" s="682"/>
    </row>
    <row r="15393" spans="6:13" ht="26.25" hidden="1" thickBot="1" x14ac:dyDescent="0.25">
      <c r="F15393" s="494">
        <v>452</v>
      </c>
      <c r="G15393" s="495" t="s">
        <v>4187</v>
      </c>
      <c r="H15393" s="397"/>
      <c r="I15393" s="397"/>
      <c r="J15393" s="750" t="e">
        <f t="shared" si="177"/>
        <v>#DIV/0!</v>
      </c>
      <c r="K15393" s="398"/>
      <c r="L15393" s="398"/>
      <c r="M15393" s="682"/>
    </row>
    <row r="15394" spans="6:13" ht="26.25" hidden="1" thickBot="1" x14ac:dyDescent="0.25">
      <c r="F15394" s="494">
        <v>453</v>
      </c>
      <c r="G15394" s="495" t="s">
        <v>4188</v>
      </c>
      <c r="H15394" s="397"/>
      <c r="I15394" s="397"/>
      <c r="J15394" s="750" t="e">
        <f t="shared" si="177"/>
        <v>#DIV/0!</v>
      </c>
      <c r="K15394" s="398"/>
      <c r="L15394" s="398"/>
      <c r="M15394" s="682"/>
    </row>
    <row r="15395" spans="6:13" ht="13.5" hidden="1" thickBot="1" x14ac:dyDescent="0.25">
      <c r="F15395" s="494">
        <v>454</v>
      </c>
      <c r="G15395" s="495" t="s">
        <v>3803</v>
      </c>
      <c r="H15395" s="397"/>
      <c r="I15395" s="397"/>
      <c r="J15395" s="750" t="e">
        <f t="shared" si="177"/>
        <v>#DIV/0!</v>
      </c>
      <c r="K15395" s="398"/>
      <c r="L15395" s="398"/>
      <c r="M15395" s="682"/>
    </row>
    <row r="15396" spans="6:13" ht="13.5" hidden="1" thickBot="1" x14ac:dyDescent="0.25">
      <c r="F15396" s="494">
        <v>461</v>
      </c>
      <c r="G15396" s="495" t="s">
        <v>4169</v>
      </c>
      <c r="H15396" s="397"/>
      <c r="I15396" s="397"/>
      <c r="J15396" s="750" t="e">
        <f t="shared" si="177"/>
        <v>#DIV/0!</v>
      </c>
      <c r="K15396" s="398"/>
      <c r="L15396" s="398"/>
      <c r="M15396" s="682"/>
    </row>
    <row r="15397" spans="6:13" ht="26.25" hidden="1" thickBot="1" x14ac:dyDescent="0.25">
      <c r="F15397" s="494">
        <v>462</v>
      </c>
      <c r="G15397" s="495" t="s">
        <v>3806</v>
      </c>
      <c r="H15397" s="397"/>
      <c r="I15397" s="397"/>
      <c r="J15397" s="750" t="e">
        <f t="shared" si="177"/>
        <v>#DIV/0!</v>
      </c>
      <c r="K15397" s="398"/>
      <c r="L15397" s="398"/>
      <c r="M15397" s="682"/>
    </row>
    <row r="15398" spans="6:13" ht="13.5" hidden="1" thickBot="1" x14ac:dyDescent="0.25">
      <c r="F15398" s="494">
        <v>4631</v>
      </c>
      <c r="G15398" s="495" t="s">
        <v>3807</v>
      </c>
      <c r="H15398" s="397"/>
      <c r="I15398" s="397"/>
      <c r="J15398" s="750" t="e">
        <f t="shared" si="177"/>
        <v>#DIV/0!</v>
      </c>
      <c r="K15398" s="398"/>
      <c r="L15398" s="398"/>
      <c r="M15398" s="682"/>
    </row>
    <row r="15399" spans="6:13" ht="13.5" hidden="1" thickBot="1" x14ac:dyDescent="0.25">
      <c r="F15399" s="494">
        <v>4632</v>
      </c>
      <c r="G15399" s="495" t="s">
        <v>3808</v>
      </c>
      <c r="H15399" s="397"/>
      <c r="I15399" s="397"/>
      <c r="J15399" s="750" t="e">
        <f t="shared" si="177"/>
        <v>#DIV/0!</v>
      </c>
      <c r="K15399" s="398"/>
      <c r="L15399" s="398"/>
      <c r="M15399" s="682"/>
    </row>
    <row r="15400" spans="6:13" ht="26.25" hidden="1" thickBot="1" x14ac:dyDescent="0.25">
      <c r="F15400" s="494">
        <v>464</v>
      </c>
      <c r="G15400" s="495" t="s">
        <v>3809</v>
      </c>
      <c r="H15400" s="397"/>
      <c r="I15400" s="397"/>
      <c r="J15400" s="750" t="e">
        <f t="shared" si="177"/>
        <v>#DIV/0!</v>
      </c>
      <c r="K15400" s="398"/>
      <c r="L15400" s="398"/>
      <c r="M15400" s="682"/>
    </row>
    <row r="15401" spans="6:13" ht="13.5" hidden="1" thickBot="1" x14ac:dyDescent="0.25">
      <c r="F15401" s="494">
        <v>465</v>
      </c>
      <c r="G15401" s="495" t="s">
        <v>4170</v>
      </c>
      <c r="H15401" s="397"/>
      <c r="I15401" s="397"/>
      <c r="J15401" s="750" t="e">
        <f t="shared" si="177"/>
        <v>#DIV/0!</v>
      </c>
      <c r="K15401" s="398"/>
      <c r="L15401" s="398"/>
      <c r="M15401" s="682"/>
    </row>
    <row r="15402" spans="6:13" ht="13.5" hidden="1" thickBot="1" x14ac:dyDescent="0.25">
      <c r="F15402" s="494">
        <v>472</v>
      </c>
      <c r="G15402" s="495" t="s">
        <v>3813</v>
      </c>
      <c r="H15402" s="397"/>
      <c r="I15402" s="397"/>
      <c r="J15402" s="750" t="e">
        <f t="shared" si="177"/>
        <v>#DIV/0!</v>
      </c>
      <c r="K15402" s="398"/>
      <c r="L15402" s="398"/>
      <c r="M15402" s="682"/>
    </row>
    <row r="15403" spans="6:13" ht="13.5" hidden="1" thickBot="1" x14ac:dyDescent="0.25">
      <c r="F15403" s="494">
        <v>481</v>
      </c>
      <c r="G15403" s="495" t="s">
        <v>4189</v>
      </c>
      <c r="H15403" s="397"/>
      <c r="I15403" s="397"/>
      <c r="J15403" s="750" t="e">
        <f t="shared" si="177"/>
        <v>#DIV/0!</v>
      </c>
      <c r="K15403" s="398"/>
      <c r="L15403" s="398"/>
      <c r="M15403" s="682"/>
    </row>
    <row r="15404" spans="6:13" ht="13.5" hidden="1" thickBot="1" x14ac:dyDescent="0.25">
      <c r="F15404" s="494">
        <v>482</v>
      </c>
      <c r="G15404" s="495" t="s">
        <v>4190</v>
      </c>
      <c r="H15404" s="397"/>
      <c r="I15404" s="397"/>
      <c r="J15404" s="750" t="e">
        <f t="shared" si="177"/>
        <v>#DIV/0!</v>
      </c>
      <c r="K15404" s="398"/>
      <c r="L15404" s="398"/>
      <c r="M15404" s="682"/>
    </row>
    <row r="15405" spans="6:13" ht="13.5" hidden="1" thickBot="1" x14ac:dyDescent="0.25">
      <c r="F15405" s="494">
        <v>483</v>
      </c>
      <c r="G15405" s="497" t="s">
        <v>4191</v>
      </c>
      <c r="H15405" s="397"/>
      <c r="I15405" s="397"/>
      <c r="J15405" s="750" t="e">
        <f t="shared" si="177"/>
        <v>#DIV/0!</v>
      </c>
      <c r="K15405" s="398"/>
      <c r="L15405" s="398"/>
      <c r="M15405" s="682"/>
    </row>
    <row r="15406" spans="6:13" ht="39" hidden="1" thickBot="1" x14ac:dyDescent="0.25">
      <c r="F15406" s="494">
        <v>484</v>
      </c>
      <c r="G15406" s="495" t="s">
        <v>4192</v>
      </c>
      <c r="H15406" s="397"/>
      <c r="I15406" s="397"/>
      <c r="J15406" s="750" t="e">
        <f t="shared" si="177"/>
        <v>#DIV/0!</v>
      </c>
      <c r="K15406" s="398"/>
      <c r="L15406" s="398"/>
      <c r="M15406" s="682"/>
    </row>
    <row r="15407" spans="6:13" ht="26.25" hidden="1" thickBot="1" x14ac:dyDescent="0.25">
      <c r="F15407" s="494">
        <v>485</v>
      </c>
      <c r="G15407" s="495" t="s">
        <v>4193</v>
      </c>
      <c r="H15407" s="397"/>
      <c r="I15407" s="397"/>
      <c r="J15407" s="750" t="e">
        <f t="shared" si="177"/>
        <v>#DIV/0!</v>
      </c>
      <c r="K15407" s="398"/>
      <c r="L15407" s="398"/>
      <c r="M15407" s="682"/>
    </row>
    <row r="15408" spans="6:13" ht="26.25" hidden="1" thickBot="1" x14ac:dyDescent="0.25">
      <c r="F15408" s="494">
        <v>489</v>
      </c>
      <c r="G15408" s="495" t="s">
        <v>3821</v>
      </c>
      <c r="H15408" s="397"/>
      <c r="I15408" s="397"/>
      <c r="J15408" s="750" t="e">
        <f t="shared" si="177"/>
        <v>#DIV/0!</v>
      </c>
      <c r="K15408" s="398"/>
      <c r="L15408" s="398"/>
      <c r="M15408" s="682"/>
    </row>
    <row r="15409" spans="6:13" ht="26.25" hidden="1" thickBot="1" x14ac:dyDescent="0.25">
      <c r="F15409" s="494">
        <v>494</v>
      </c>
      <c r="G15409" s="495" t="s">
        <v>4171</v>
      </c>
      <c r="H15409" s="397"/>
      <c r="I15409" s="397"/>
      <c r="J15409" s="750" t="e">
        <f t="shared" si="177"/>
        <v>#DIV/0!</v>
      </c>
      <c r="K15409" s="398"/>
      <c r="L15409" s="398"/>
      <c r="M15409" s="682"/>
    </row>
    <row r="15410" spans="6:13" ht="26.25" hidden="1" thickBot="1" x14ac:dyDescent="0.25">
      <c r="F15410" s="494">
        <v>495</v>
      </c>
      <c r="G15410" s="495" t="s">
        <v>4172</v>
      </c>
      <c r="H15410" s="397"/>
      <c r="I15410" s="397"/>
      <c r="J15410" s="750" t="e">
        <f t="shared" si="177"/>
        <v>#DIV/0!</v>
      </c>
      <c r="K15410" s="398"/>
      <c r="L15410" s="398"/>
      <c r="M15410" s="682"/>
    </row>
    <row r="15411" spans="6:13" ht="39" hidden="1" thickBot="1" x14ac:dyDescent="0.25">
      <c r="F15411" s="494">
        <v>496</v>
      </c>
      <c r="G15411" s="495" t="s">
        <v>4173</v>
      </c>
      <c r="H15411" s="397"/>
      <c r="I15411" s="397"/>
      <c r="J15411" s="750" t="e">
        <f t="shared" si="177"/>
        <v>#DIV/0!</v>
      </c>
      <c r="K15411" s="398"/>
      <c r="L15411" s="398"/>
      <c r="M15411" s="682"/>
    </row>
    <row r="15412" spans="6:13" ht="26.25" hidden="1" thickBot="1" x14ac:dyDescent="0.25">
      <c r="F15412" s="494">
        <v>499</v>
      </c>
      <c r="G15412" s="495" t="s">
        <v>4174</v>
      </c>
      <c r="H15412" s="397"/>
      <c r="I15412" s="397"/>
      <c r="J15412" s="750" t="e">
        <f t="shared" si="177"/>
        <v>#DIV/0!</v>
      </c>
      <c r="K15412" s="398"/>
      <c r="L15412" s="398"/>
      <c r="M15412" s="682"/>
    </row>
    <row r="15413" spans="6:13" ht="13.5" hidden="1" thickBot="1" x14ac:dyDescent="0.25">
      <c r="F15413" s="494">
        <v>511</v>
      </c>
      <c r="G15413" s="497" t="s">
        <v>4194</v>
      </c>
      <c r="H15413" s="397"/>
      <c r="I15413" s="397"/>
      <c r="J15413" s="750" t="e">
        <f t="shared" si="177"/>
        <v>#DIV/0!</v>
      </c>
      <c r="K15413" s="398"/>
      <c r="L15413" s="398"/>
      <c r="M15413" s="682"/>
    </row>
    <row r="15414" spans="6:13" ht="13.5" hidden="1" thickBot="1" x14ac:dyDescent="0.25">
      <c r="F15414" s="494">
        <v>512</v>
      </c>
      <c r="G15414" s="497" t="s">
        <v>4195</v>
      </c>
      <c r="H15414" s="397"/>
      <c r="I15414" s="397"/>
      <c r="J15414" s="750" t="e">
        <f t="shared" si="177"/>
        <v>#DIV/0!</v>
      </c>
      <c r="K15414" s="398"/>
      <c r="L15414" s="398"/>
      <c r="M15414" s="682"/>
    </row>
    <row r="15415" spans="6:13" ht="13.5" hidden="1" thickBot="1" x14ac:dyDescent="0.25">
      <c r="F15415" s="494">
        <v>513</v>
      </c>
      <c r="G15415" s="497" t="s">
        <v>4196</v>
      </c>
      <c r="H15415" s="397"/>
      <c r="I15415" s="397"/>
      <c r="J15415" s="750" t="e">
        <f t="shared" si="177"/>
        <v>#DIV/0!</v>
      </c>
      <c r="K15415" s="398"/>
      <c r="L15415" s="398"/>
      <c r="M15415" s="682"/>
    </row>
    <row r="15416" spans="6:13" ht="13.5" hidden="1" thickBot="1" x14ac:dyDescent="0.25">
      <c r="F15416" s="494">
        <v>514</v>
      </c>
      <c r="G15416" s="495" t="s">
        <v>4197</v>
      </c>
      <c r="H15416" s="397"/>
      <c r="I15416" s="397"/>
      <c r="J15416" s="750" t="e">
        <f t="shared" si="177"/>
        <v>#DIV/0!</v>
      </c>
      <c r="K15416" s="398"/>
      <c r="L15416" s="398"/>
      <c r="M15416" s="682"/>
    </row>
    <row r="15417" spans="6:13" ht="13.5" hidden="1" thickBot="1" x14ac:dyDescent="0.25">
      <c r="F15417" s="494">
        <v>515</v>
      </c>
      <c r="G15417" s="495" t="s">
        <v>3832</v>
      </c>
      <c r="H15417" s="397"/>
      <c r="I15417" s="397"/>
      <c r="J15417" s="750" t="e">
        <f t="shared" si="177"/>
        <v>#DIV/0!</v>
      </c>
      <c r="K15417" s="398"/>
      <c r="L15417" s="398"/>
      <c r="M15417" s="682"/>
    </row>
    <row r="15418" spans="6:13" ht="13.5" hidden="1" thickBot="1" x14ac:dyDescent="0.25">
      <c r="F15418" s="494">
        <v>521</v>
      </c>
      <c r="G15418" s="495" t="s">
        <v>4198</v>
      </c>
      <c r="H15418" s="397"/>
      <c r="I15418" s="397"/>
      <c r="J15418" s="750" t="e">
        <f t="shared" si="177"/>
        <v>#DIV/0!</v>
      </c>
      <c r="K15418" s="398"/>
      <c r="L15418" s="398"/>
      <c r="M15418" s="682"/>
    </row>
    <row r="15419" spans="6:13" ht="13.5" hidden="1" thickBot="1" x14ac:dyDescent="0.25">
      <c r="F15419" s="494">
        <v>522</v>
      </c>
      <c r="G15419" s="495" t="s">
        <v>4199</v>
      </c>
      <c r="H15419" s="397"/>
      <c r="I15419" s="397"/>
      <c r="J15419" s="750" t="e">
        <f t="shared" si="177"/>
        <v>#DIV/0!</v>
      </c>
      <c r="K15419" s="398"/>
      <c r="L15419" s="398"/>
      <c r="M15419" s="682"/>
    </row>
    <row r="15420" spans="6:13" ht="13.5" hidden="1" thickBot="1" x14ac:dyDescent="0.25">
      <c r="F15420" s="494">
        <v>523</v>
      </c>
      <c r="G15420" s="495" t="s">
        <v>3837</v>
      </c>
      <c r="H15420" s="397"/>
      <c r="I15420" s="397"/>
      <c r="J15420" s="750" t="e">
        <f t="shared" si="177"/>
        <v>#DIV/0!</v>
      </c>
      <c r="K15420" s="398"/>
      <c r="L15420" s="398"/>
      <c r="M15420" s="682"/>
    </row>
    <row r="15421" spans="6:13" ht="13.5" hidden="1" thickBot="1" x14ac:dyDescent="0.25">
      <c r="F15421" s="494">
        <v>531</v>
      </c>
      <c r="G15421" s="496" t="s">
        <v>4175</v>
      </c>
      <c r="H15421" s="397"/>
      <c r="I15421" s="397"/>
      <c r="J15421" s="750" t="e">
        <f t="shared" si="177"/>
        <v>#DIV/0!</v>
      </c>
      <c r="K15421" s="398"/>
      <c r="L15421" s="398"/>
      <c r="M15421" s="682"/>
    </row>
    <row r="15422" spans="6:13" ht="13.5" hidden="1" thickBot="1" x14ac:dyDescent="0.25">
      <c r="F15422" s="494">
        <v>541</v>
      </c>
      <c r="G15422" s="495" t="s">
        <v>4200</v>
      </c>
      <c r="H15422" s="397"/>
      <c r="I15422" s="397"/>
      <c r="J15422" s="750" t="e">
        <f t="shared" si="177"/>
        <v>#DIV/0!</v>
      </c>
      <c r="K15422" s="398"/>
      <c r="L15422" s="398"/>
      <c r="M15422" s="682"/>
    </row>
    <row r="15423" spans="6:13" ht="13.5" hidden="1" thickBot="1" x14ac:dyDescent="0.25">
      <c r="F15423" s="494">
        <v>542</v>
      </c>
      <c r="G15423" s="495" t="s">
        <v>4201</v>
      </c>
      <c r="H15423" s="397"/>
      <c r="I15423" s="397"/>
      <c r="J15423" s="750" t="e">
        <f t="shared" si="177"/>
        <v>#DIV/0!</v>
      </c>
      <c r="K15423" s="398"/>
      <c r="L15423" s="398"/>
      <c r="M15423" s="682"/>
    </row>
    <row r="15424" spans="6:13" ht="13.5" hidden="1" thickBot="1" x14ac:dyDescent="0.25">
      <c r="F15424" s="494">
        <v>543</v>
      </c>
      <c r="G15424" s="495" t="s">
        <v>3842</v>
      </c>
      <c r="H15424" s="397"/>
      <c r="I15424" s="397"/>
      <c r="J15424" s="750" t="e">
        <f t="shared" si="177"/>
        <v>#DIV/0!</v>
      </c>
      <c r="K15424" s="398"/>
      <c r="L15424" s="398"/>
      <c r="M15424" s="682"/>
    </row>
    <row r="15425" spans="5:13" ht="39" hidden="1" thickBot="1" x14ac:dyDescent="0.25">
      <c r="F15425" s="494">
        <v>551</v>
      </c>
      <c r="G15425" s="495" t="s">
        <v>4176</v>
      </c>
      <c r="H15425" s="397"/>
      <c r="I15425" s="397"/>
      <c r="J15425" s="750" t="e">
        <f t="shared" si="177"/>
        <v>#DIV/0!</v>
      </c>
      <c r="K15425" s="398"/>
      <c r="L15425" s="398"/>
      <c r="M15425" s="682"/>
    </row>
    <row r="15426" spans="5:13" ht="13.5" hidden="1" thickBot="1" x14ac:dyDescent="0.25">
      <c r="F15426" s="498">
        <v>611</v>
      </c>
      <c r="G15426" s="499" t="s">
        <v>3848</v>
      </c>
      <c r="H15426" s="397"/>
      <c r="I15426" s="397"/>
      <c r="J15426" s="750" t="e">
        <f t="shared" si="177"/>
        <v>#DIV/0!</v>
      </c>
      <c r="K15426" s="398"/>
      <c r="L15426" s="398"/>
      <c r="M15426" s="682"/>
    </row>
    <row r="15427" spans="5:13" ht="13.5" hidden="1" thickBot="1" x14ac:dyDescent="0.25">
      <c r="F15427" s="498">
        <v>620</v>
      </c>
      <c r="G15427" s="499" t="s">
        <v>88</v>
      </c>
      <c r="H15427" s="397"/>
      <c r="I15427" s="397"/>
      <c r="J15427" s="750" t="e">
        <f t="shared" si="177"/>
        <v>#DIV/0!</v>
      </c>
      <c r="K15427" s="398"/>
      <c r="L15427" s="398"/>
      <c r="M15427" s="682"/>
    </row>
    <row r="15428" spans="5:13" x14ac:dyDescent="0.2">
      <c r="E15428" s="500"/>
      <c r="F15428" s="498"/>
      <c r="G15428" s="501" t="s">
        <v>4402</v>
      </c>
      <c r="H15428" s="400"/>
      <c r="I15428" s="400"/>
      <c r="J15428" s="750"/>
      <c r="K15428" s="401"/>
      <c r="L15428" s="402"/>
      <c r="M15428" s="682"/>
    </row>
    <row r="15429" spans="5:13" ht="13.5" thickBot="1" x14ac:dyDescent="0.25">
      <c r="E15429" s="502"/>
      <c r="F15429" s="503" t="s">
        <v>234</v>
      </c>
      <c r="G15429" s="504" t="s">
        <v>235</v>
      </c>
      <c r="H15429" s="403">
        <f>SUM(H15368:H15427)</f>
        <v>270000</v>
      </c>
      <c r="I15429" s="403">
        <v>0</v>
      </c>
      <c r="J15429" s="750">
        <f t="shared" si="177"/>
        <v>0</v>
      </c>
      <c r="K15429" s="404"/>
      <c r="L15429" s="404"/>
      <c r="M15429" s="682"/>
    </row>
    <row r="15430" spans="5:13" ht="13.5" hidden="1" thickBot="1" x14ac:dyDescent="0.25">
      <c r="F15430" s="503" t="s">
        <v>236</v>
      </c>
      <c r="G15430" s="504" t="s">
        <v>237</v>
      </c>
      <c r="H15430" s="397"/>
      <c r="I15430" s="397"/>
      <c r="J15430" s="750" t="e">
        <f t="shared" si="177"/>
        <v>#DIV/0!</v>
      </c>
      <c r="K15430" s="398"/>
      <c r="L15430" s="404"/>
      <c r="M15430" s="682"/>
    </row>
    <row r="15431" spans="5:13" ht="13.5" hidden="1" thickBot="1" x14ac:dyDescent="0.25">
      <c r="F15431" s="503" t="s">
        <v>238</v>
      </c>
      <c r="G15431" s="504" t="s">
        <v>239</v>
      </c>
      <c r="H15431" s="397"/>
      <c r="I15431" s="397"/>
      <c r="J15431" s="750" t="e">
        <f t="shared" si="177"/>
        <v>#DIV/0!</v>
      </c>
      <c r="K15431" s="398"/>
      <c r="L15431" s="404"/>
      <c r="M15431" s="682"/>
    </row>
    <row r="15432" spans="5:13" ht="13.5" hidden="1" thickBot="1" x14ac:dyDescent="0.25">
      <c r="F15432" s="503" t="s">
        <v>240</v>
      </c>
      <c r="G15432" s="504" t="s">
        <v>241</v>
      </c>
      <c r="H15432" s="397"/>
      <c r="I15432" s="397"/>
      <c r="J15432" s="750" t="e">
        <f t="shared" si="177"/>
        <v>#DIV/0!</v>
      </c>
      <c r="K15432" s="398"/>
      <c r="L15432" s="404"/>
      <c r="M15432" s="682"/>
    </row>
    <row r="15433" spans="5:13" ht="13.5" hidden="1" thickBot="1" x14ac:dyDescent="0.25">
      <c r="F15433" s="503" t="s">
        <v>242</v>
      </c>
      <c r="G15433" s="504" t="s">
        <v>243</v>
      </c>
      <c r="H15433" s="397"/>
      <c r="I15433" s="397"/>
      <c r="J15433" s="750" t="e">
        <f t="shared" si="177"/>
        <v>#DIV/0!</v>
      </c>
      <c r="K15433" s="398"/>
      <c r="L15433" s="404"/>
      <c r="M15433" s="682"/>
    </row>
    <row r="15434" spans="5:13" ht="13.5" hidden="1" thickBot="1" x14ac:dyDescent="0.25">
      <c r="F15434" s="503" t="s">
        <v>244</v>
      </c>
      <c r="G15434" s="504" t="s">
        <v>245</v>
      </c>
      <c r="H15434" s="397"/>
      <c r="I15434" s="397"/>
      <c r="J15434" s="750" t="e">
        <f t="shared" si="177"/>
        <v>#DIV/0!</v>
      </c>
      <c r="K15434" s="398"/>
      <c r="L15434" s="404"/>
      <c r="M15434" s="682"/>
    </row>
    <row r="15435" spans="5:13" ht="13.5" hidden="1" thickBot="1" x14ac:dyDescent="0.25">
      <c r="F15435" s="503" t="s">
        <v>246</v>
      </c>
      <c r="G15435" s="504" t="s">
        <v>247</v>
      </c>
      <c r="H15435" s="397"/>
      <c r="I15435" s="397"/>
      <c r="J15435" s="750" t="e">
        <f t="shared" si="177"/>
        <v>#DIV/0!</v>
      </c>
      <c r="K15435" s="398"/>
      <c r="L15435" s="404"/>
      <c r="M15435" s="682"/>
    </row>
    <row r="15436" spans="5:13" ht="26.25" hidden="1" thickBot="1" x14ac:dyDescent="0.25">
      <c r="F15436" s="503" t="s">
        <v>248</v>
      </c>
      <c r="G15436" s="504" t="s">
        <v>249</v>
      </c>
      <c r="H15436" s="397"/>
      <c r="I15436" s="397"/>
      <c r="J15436" s="750" t="e">
        <f t="shared" si="177"/>
        <v>#DIV/0!</v>
      </c>
      <c r="K15436" s="398"/>
      <c r="L15436" s="404"/>
      <c r="M15436" s="682"/>
    </row>
    <row r="15437" spans="5:13" ht="13.5" hidden="1" thickBot="1" x14ac:dyDescent="0.25">
      <c r="F15437" s="503" t="s">
        <v>250</v>
      </c>
      <c r="G15437" s="504" t="s">
        <v>57</v>
      </c>
      <c r="H15437" s="397"/>
      <c r="I15437" s="397"/>
      <c r="J15437" s="750" t="e">
        <f t="shared" si="177"/>
        <v>#DIV/0!</v>
      </c>
      <c r="K15437" s="398"/>
      <c r="L15437" s="404"/>
      <c r="M15437" s="682"/>
    </row>
    <row r="15438" spans="5:13" ht="13.5" hidden="1" thickBot="1" x14ac:dyDescent="0.25">
      <c r="F15438" s="503" t="s">
        <v>251</v>
      </c>
      <c r="G15438" s="504" t="s">
        <v>252</v>
      </c>
      <c r="H15438" s="397"/>
      <c r="I15438" s="397"/>
      <c r="J15438" s="750" t="e">
        <f t="shared" ref="J15438:J15501" si="178">SUM(I15438/H15438)*100</f>
        <v>#DIV/0!</v>
      </c>
      <c r="K15438" s="398"/>
      <c r="L15438" s="404"/>
      <c r="M15438" s="682"/>
    </row>
    <row r="15439" spans="5:13" ht="13.5" hidden="1" thickBot="1" x14ac:dyDescent="0.25">
      <c r="F15439" s="503" t="s">
        <v>253</v>
      </c>
      <c r="G15439" s="504" t="s">
        <v>254</v>
      </c>
      <c r="H15439" s="397"/>
      <c r="I15439" s="397"/>
      <c r="J15439" s="750" t="e">
        <f t="shared" si="178"/>
        <v>#DIV/0!</v>
      </c>
      <c r="K15439" s="398"/>
      <c r="L15439" s="404"/>
      <c r="M15439" s="682"/>
    </row>
    <row r="15440" spans="5:13" ht="26.25" hidden="1" thickBot="1" x14ac:dyDescent="0.25">
      <c r="F15440" s="503" t="s">
        <v>255</v>
      </c>
      <c r="G15440" s="504" t="s">
        <v>256</v>
      </c>
      <c r="H15440" s="397"/>
      <c r="I15440" s="397"/>
      <c r="J15440" s="750" t="e">
        <f t="shared" si="178"/>
        <v>#DIV/0!</v>
      </c>
      <c r="K15440" s="398"/>
      <c r="L15440" s="404"/>
      <c r="M15440" s="682"/>
    </row>
    <row r="15441" spans="5:13" ht="26.25" hidden="1" thickBot="1" x14ac:dyDescent="0.25">
      <c r="F15441" s="503" t="s">
        <v>257</v>
      </c>
      <c r="G15441" s="504" t="s">
        <v>258</v>
      </c>
      <c r="H15441" s="397"/>
      <c r="I15441" s="397"/>
      <c r="J15441" s="750" t="e">
        <f t="shared" si="178"/>
        <v>#DIV/0!</v>
      </c>
      <c r="K15441" s="398"/>
      <c r="L15441" s="404"/>
      <c r="M15441" s="682"/>
    </row>
    <row r="15442" spans="5:13" ht="26.25" hidden="1" thickBot="1" x14ac:dyDescent="0.25">
      <c r="F15442" s="503" t="s">
        <v>259</v>
      </c>
      <c r="G15442" s="504" t="s">
        <v>260</v>
      </c>
      <c r="H15442" s="397"/>
      <c r="I15442" s="397"/>
      <c r="J15442" s="750" t="e">
        <f t="shared" si="178"/>
        <v>#DIV/0!</v>
      </c>
      <c r="K15442" s="398"/>
      <c r="L15442" s="404"/>
      <c r="M15442" s="682"/>
    </row>
    <row r="15443" spans="5:13" ht="26.25" hidden="1" thickBot="1" x14ac:dyDescent="0.25">
      <c r="F15443" s="503" t="s">
        <v>261</v>
      </c>
      <c r="G15443" s="504" t="s">
        <v>262</v>
      </c>
      <c r="H15443" s="397"/>
      <c r="I15443" s="397"/>
      <c r="J15443" s="750" t="e">
        <f t="shared" si="178"/>
        <v>#DIV/0!</v>
      </c>
      <c r="K15443" s="398"/>
      <c r="L15443" s="404"/>
      <c r="M15443" s="682"/>
    </row>
    <row r="15444" spans="5:13" ht="13.5" hidden="1" thickBot="1" x14ac:dyDescent="0.25">
      <c r="F15444" s="503" t="s">
        <v>263</v>
      </c>
      <c r="G15444" s="504" t="s">
        <v>264</v>
      </c>
      <c r="H15444" s="403"/>
      <c r="I15444" s="403"/>
      <c r="J15444" s="750" t="e">
        <f t="shared" si="178"/>
        <v>#DIV/0!</v>
      </c>
      <c r="K15444" s="404"/>
      <c r="L15444" s="404"/>
      <c r="M15444" s="682"/>
    </row>
    <row r="15445" spans="5:13" ht="13.5" thickBot="1" x14ac:dyDescent="0.25">
      <c r="G15445" s="505" t="s">
        <v>4403</v>
      </c>
      <c r="H15445" s="405">
        <f>SUM(H15429:H15444)</f>
        <v>270000</v>
      </c>
      <c r="I15445" s="405">
        <v>0</v>
      </c>
      <c r="J15445" s="750">
        <f t="shared" si="178"/>
        <v>0</v>
      </c>
      <c r="K15445" s="406">
        <f>SUM(K15430:K15444)</f>
        <v>0</v>
      </c>
      <c r="L15445" s="406"/>
      <c r="M15445" s="682"/>
    </row>
    <row r="15446" spans="5:13" ht="14.25" customHeight="1" x14ac:dyDescent="0.2">
      <c r="E15446" s="500"/>
      <c r="F15446" s="498"/>
      <c r="G15446" s="506" t="s">
        <v>4427</v>
      </c>
      <c r="H15446" s="407"/>
      <c r="I15446" s="408"/>
      <c r="J15446" s="750"/>
      <c r="K15446" s="409"/>
      <c r="L15446" s="410"/>
      <c r="M15446" s="682"/>
    </row>
    <row r="15447" spans="5:13" ht="13.5" thickBot="1" x14ac:dyDescent="0.25">
      <c r="E15447" s="502"/>
      <c r="F15447" s="503" t="s">
        <v>234</v>
      </c>
      <c r="G15447" s="504" t="s">
        <v>235</v>
      </c>
      <c r="H15447" s="403">
        <f>SUM(H15368:H15427)</f>
        <v>270000</v>
      </c>
      <c r="I15447" s="403">
        <v>0</v>
      </c>
      <c r="J15447" s="750">
        <f t="shared" si="178"/>
        <v>0</v>
      </c>
      <c r="K15447" s="404"/>
      <c r="L15447" s="404"/>
      <c r="M15447" s="682"/>
    </row>
    <row r="15448" spans="5:13" ht="13.5" hidden="1" thickBot="1" x14ac:dyDescent="0.25">
      <c r="F15448" s="503" t="s">
        <v>236</v>
      </c>
      <c r="G15448" s="504" t="s">
        <v>237</v>
      </c>
      <c r="H15448" s="397"/>
      <c r="I15448" s="397"/>
      <c r="J15448" s="750" t="e">
        <f t="shared" si="178"/>
        <v>#DIV/0!</v>
      </c>
      <c r="K15448" s="398"/>
      <c r="L15448" s="404"/>
      <c r="M15448" s="682"/>
    </row>
    <row r="15449" spans="5:13" ht="13.5" hidden="1" thickBot="1" x14ac:dyDescent="0.25">
      <c r="F15449" s="503" t="s">
        <v>238</v>
      </c>
      <c r="G15449" s="504" t="s">
        <v>239</v>
      </c>
      <c r="H15449" s="397"/>
      <c r="I15449" s="397"/>
      <c r="J15449" s="750" t="e">
        <f t="shared" si="178"/>
        <v>#DIV/0!</v>
      </c>
      <c r="K15449" s="398"/>
      <c r="L15449" s="404"/>
      <c r="M15449" s="682"/>
    </row>
    <row r="15450" spans="5:13" ht="13.5" hidden="1" thickBot="1" x14ac:dyDescent="0.25">
      <c r="F15450" s="503" t="s">
        <v>240</v>
      </c>
      <c r="G15450" s="504" t="s">
        <v>241</v>
      </c>
      <c r="H15450" s="397"/>
      <c r="I15450" s="397"/>
      <c r="J15450" s="750" t="e">
        <f t="shared" si="178"/>
        <v>#DIV/0!</v>
      </c>
      <c r="K15450" s="398"/>
      <c r="L15450" s="404"/>
      <c r="M15450" s="682"/>
    </row>
    <row r="15451" spans="5:13" ht="13.5" hidden="1" thickBot="1" x14ac:dyDescent="0.25">
      <c r="F15451" s="503" t="s">
        <v>242</v>
      </c>
      <c r="G15451" s="504" t="s">
        <v>243</v>
      </c>
      <c r="H15451" s="397"/>
      <c r="I15451" s="397"/>
      <c r="J15451" s="750" t="e">
        <f t="shared" si="178"/>
        <v>#DIV/0!</v>
      </c>
      <c r="K15451" s="398"/>
      <c r="L15451" s="404"/>
      <c r="M15451" s="682"/>
    </row>
    <row r="15452" spans="5:13" ht="13.5" hidden="1" thickBot="1" x14ac:dyDescent="0.25">
      <c r="F15452" s="503" t="s">
        <v>244</v>
      </c>
      <c r="G15452" s="504" t="s">
        <v>245</v>
      </c>
      <c r="H15452" s="397"/>
      <c r="I15452" s="397"/>
      <c r="J15452" s="750" t="e">
        <f t="shared" si="178"/>
        <v>#DIV/0!</v>
      </c>
      <c r="K15452" s="398"/>
      <c r="L15452" s="404"/>
      <c r="M15452" s="682"/>
    </row>
    <row r="15453" spans="5:13" ht="13.5" hidden="1" thickBot="1" x14ac:dyDescent="0.25">
      <c r="F15453" s="503" t="s">
        <v>246</v>
      </c>
      <c r="G15453" s="504" t="s">
        <v>247</v>
      </c>
      <c r="H15453" s="397"/>
      <c r="I15453" s="397"/>
      <c r="J15453" s="750" t="e">
        <f t="shared" si="178"/>
        <v>#DIV/0!</v>
      </c>
      <c r="K15453" s="398"/>
      <c r="L15453" s="404"/>
      <c r="M15453" s="682"/>
    </row>
    <row r="15454" spans="5:13" ht="26.25" hidden="1" thickBot="1" x14ac:dyDescent="0.25">
      <c r="F15454" s="503" t="s">
        <v>248</v>
      </c>
      <c r="G15454" s="504" t="s">
        <v>249</v>
      </c>
      <c r="H15454" s="397"/>
      <c r="I15454" s="397"/>
      <c r="J15454" s="750" t="e">
        <f t="shared" si="178"/>
        <v>#DIV/0!</v>
      </c>
      <c r="K15454" s="398"/>
      <c r="L15454" s="404"/>
      <c r="M15454" s="682"/>
    </row>
    <row r="15455" spans="5:13" ht="13.5" hidden="1" thickBot="1" x14ac:dyDescent="0.25">
      <c r="F15455" s="503" t="s">
        <v>250</v>
      </c>
      <c r="G15455" s="504" t="s">
        <v>57</v>
      </c>
      <c r="H15455" s="397"/>
      <c r="I15455" s="397"/>
      <c r="J15455" s="750" t="e">
        <f t="shared" si="178"/>
        <v>#DIV/0!</v>
      </c>
      <c r="K15455" s="398"/>
      <c r="L15455" s="404"/>
      <c r="M15455" s="682"/>
    </row>
    <row r="15456" spans="5:13" ht="13.5" hidden="1" thickBot="1" x14ac:dyDescent="0.25">
      <c r="F15456" s="503" t="s">
        <v>251</v>
      </c>
      <c r="G15456" s="504" t="s">
        <v>252</v>
      </c>
      <c r="H15456" s="397"/>
      <c r="I15456" s="397"/>
      <c r="J15456" s="750" t="e">
        <f t="shared" si="178"/>
        <v>#DIV/0!</v>
      </c>
      <c r="K15456" s="398"/>
      <c r="L15456" s="404"/>
      <c r="M15456" s="682"/>
    </row>
    <row r="15457" spans="1:13" ht="13.5" hidden="1" thickBot="1" x14ac:dyDescent="0.25">
      <c r="F15457" s="503" t="s">
        <v>253</v>
      </c>
      <c r="G15457" s="504" t="s">
        <v>254</v>
      </c>
      <c r="H15457" s="397"/>
      <c r="I15457" s="397"/>
      <c r="J15457" s="750" t="e">
        <f t="shared" si="178"/>
        <v>#DIV/0!</v>
      </c>
      <c r="K15457" s="398"/>
      <c r="L15457" s="404"/>
      <c r="M15457" s="682"/>
    </row>
    <row r="15458" spans="1:13" ht="26.25" hidden="1" thickBot="1" x14ac:dyDescent="0.25">
      <c r="F15458" s="503" t="s">
        <v>255</v>
      </c>
      <c r="G15458" s="504" t="s">
        <v>256</v>
      </c>
      <c r="H15458" s="397"/>
      <c r="I15458" s="397"/>
      <c r="J15458" s="750" t="e">
        <f t="shared" si="178"/>
        <v>#DIV/0!</v>
      </c>
      <c r="K15458" s="398"/>
      <c r="L15458" s="404"/>
      <c r="M15458" s="682"/>
    </row>
    <row r="15459" spans="1:13" ht="26.25" hidden="1" thickBot="1" x14ac:dyDescent="0.25">
      <c r="F15459" s="503" t="s">
        <v>257</v>
      </c>
      <c r="G15459" s="504" t="s">
        <v>258</v>
      </c>
      <c r="H15459" s="397"/>
      <c r="I15459" s="397"/>
      <c r="J15459" s="750" t="e">
        <f t="shared" si="178"/>
        <v>#DIV/0!</v>
      </c>
      <c r="K15459" s="398"/>
      <c r="L15459" s="404"/>
      <c r="M15459" s="682"/>
    </row>
    <row r="15460" spans="1:13" ht="26.25" hidden="1" thickBot="1" x14ac:dyDescent="0.25">
      <c r="F15460" s="503" t="s">
        <v>259</v>
      </c>
      <c r="G15460" s="504" t="s">
        <v>260</v>
      </c>
      <c r="H15460" s="397"/>
      <c r="I15460" s="397"/>
      <c r="J15460" s="750" t="e">
        <f t="shared" si="178"/>
        <v>#DIV/0!</v>
      </c>
      <c r="K15460" s="398"/>
      <c r="L15460" s="404"/>
      <c r="M15460" s="682"/>
    </row>
    <row r="15461" spans="1:13" ht="26.25" hidden="1" thickBot="1" x14ac:dyDescent="0.25">
      <c r="F15461" s="503" t="s">
        <v>261</v>
      </c>
      <c r="G15461" s="504" t="s">
        <v>262</v>
      </c>
      <c r="H15461" s="397"/>
      <c r="I15461" s="397"/>
      <c r="J15461" s="750" t="e">
        <f t="shared" si="178"/>
        <v>#DIV/0!</v>
      </c>
      <c r="K15461" s="398"/>
      <c r="L15461" s="404"/>
      <c r="M15461" s="682"/>
    </row>
    <row r="15462" spans="1:13" ht="13.5" hidden="1" thickBot="1" x14ac:dyDescent="0.25">
      <c r="F15462" s="503" t="s">
        <v>263</v>
      </c>
      <c r="G15462" s="504" t="s">
        <v>264</v>
      </c>
      <c r="H15462" s="403"/>
      <c r="I15462" s="403"/>
      <c r="J15462" s="750" t="e">
        <f t="shared" si="178"/>
        <v>#DIV/0!</v>
      </c>
      <c r="K15462" s="404"/>
      <c r="L15462" s="404"/>
      <c r="M15462" s="682"/>
    </row>
    <row r="15463" spans="1:13" ht="13.5" thickBot="1" x14ac:dyDescent="0.25">
      <c r="G15463" s="505" t="s">
        <v>4428</v>
      </c>
      <c r="H15463" s="405">
        <f>SUM(H15447:H15462)</f>
        <v>270000</v>
      </c>
      <c r="I15463" s="405">
        <v>0</v>
      </c>
      <c r="J15463" s="750">
        <f t="shared" si="178"/>
        <v>0</v>
      </c>
      <c r="K15463" s="406">
        <f>SUM(K15448:K15462)</f>
        <v>0</v>
      </c>
      <c r="L15463" s="406"/>
      <c r="M15463" s="682"/>
    </row>
    <row r="15464" spans="1:13" hidden="1" x14ac:dyDescent="0.2">
      <c r="H15464" s="397"/>
      <c r="I15464" s="397"/>
      <c r="J15464" s="750" t="e">
        <f t="shared" si="178"/>
        <v>#DIV/0!</v>
      </c>
      <c r="K15464" s="398"/>
      <c r="L15464" s="398"/>
      <c r="M15464" s="682"/>
    </row>
    <row r="15465" spans="1:13" ht="7.5" customHeight="1" x14ac:dyDescent="0.2">
      <c r="G15465" s="510"/>
      <c r="H15465" s="411"/>
      <c r="I15465" s="411"/>
      <c r="J15465" s="750"/>
      <c r="K15465" s="412"/>
      <c r="L15465" s="412"/>
      <c r="M15465" s="682"/>
    </row>
    <row r="15466" spans="1:13" hidden="1" x14ac:dyDescent="0.2">
      <c r="A15466" s="224"/>
      <c r="B15466" s="224"/>
      <c r="C15466" s="224"/>
      <c r="D15466" s="224"/>
      <c r="E15466" s="224"/>
      <c r="F15466" s="224"/>
      <c r="G15466" s="224"/>
      <c r="H15466" s="439"/>
      <c r="I15466" s="439"/>
      <c r="J15466" s="750" t="e">
        <f t="shared" si="178"/>
        <v>#DIV/0!</v>
      </c>
      <c r="K15466" s="439"/>
      <c r="L15466" s="439"/>
      <c r="M15466" s="682"/>
    </row>
    <row r="15467" spans="1:13" hidden="1" x14ac:dyDescent="0.2">
      <c r="A15467" s="224"/>
      <c r="B15467" s="224"/>
      <c r="C15467" s="224"/>
      <c r="D15467" s="224"/>
      <c r="E15467" s="224"/>
      <c r="F15467" s="224"/>
      <c r="G15467" s="224"/>
      <c r="H15467" s="439"/>
      <c r="I15467" s="439"/>
      <c r="J15467" s="750" t="e">
        <f t="shared" si="178"/>
        <v>#DIV/0!</v>
      </c>
      <c r="K15467" s="439"/>
      <c r="L15467" s="439"/>
      <c r="M15467" s="682"/>
    </row>
    <row r="15468" spans="1:13" hidden="1" x14ac:dyDescent="0.2">
      <c r="A15468" s="224"/>
      <c r="B15468" s="224"/>
      <c r="C15468" s="224"/>
      <c r="D15468" s="224"/>
      <c r="E15468" s="224"/>
      <c r="F15468" s="224"/>
      <c r="G15468" s="224"/>
      <c r="H15468" s="439"/>
      <c r="I15468" s="439"/>
      <c r="J15468" s="750" t="e">
        <f t="shared" si="178"/>
        <v>#DIV/0!</v>
      </c>
      <c r="K15468" s="439"/>
      <c r="L15468" s="439"/>
      <c r="M15468" s="682"/>
    </row>
    <row r="15469" spans="1:13" hidden="1" x14ac:dyDescent="0.2">
      <c r="A15469" s="224"/>
      <c r="B15469" s="224"/>
      <c r="C15469" s="224"/>
      <c r="D15469" s="224"/>
      <c r="E15469" s="224"/>
      <c r="F15469" s="224"/>
      <c r="G15469" s="224"/>
      <c r="H15469" s="439"/>
      <c r="I15469" s="439"/>
      <c r="J15469" s="750" t="e">
        <f t="shared" si="178"/>
        <v>#DIV/0!</v>
      </c>
      <c r="K15469" s="439"/>
      <c r="L15469" s="439"/>
      <c r="M15469" s="682"/>
    </row>
    <row r="15470" spans="1:13" hidden="1" x14ac:dyDescent="0.2">
      <c r="A15470" s="224"/>
      <c r="B15470" s="224"/>
      <c r="C15470" s="224"/>
      <c r="D15470" s="224"/>
      <c r="E15470" s="224"/>
      <c r="F15470" s="224"/>
      <c r="G15470" s="224"/>
      <c r="H15470" s="439"/>
      <c r="I15470" s="439"/>
      <c r="J15470" s="750" t="e">
        <f t="shared" si="178"/>
        <v>#DIV/0!</v>
      </c>
      <c r="K15470" s="439"/>
      <c r="L15470" s="439"/>
      <c r="M15470" s="682"/>
    </row>
    <row r="15471" spans="1:13" hidden="1" x14ac:dyDescent="0.2">
      <c r="A15471" s="224"/>
      <c r="B15471" s="224"/>
      <c r="C15471" s="224"/>
      <c r="D15471" s="224"/>
      <c r="E15471" s="224"/>
      <c r="F15471" s="224"/>
      <c r="G15471" s="224"/>
      <c r="H15471" s="439"/>
      <c r="I15471" s="439"/>
      <c r="J15471" s="750" t="e">
        <f t="shared" si="178"/>
        <v>#DIV/0!</v>
      </c>
      <c r="K15471" s="439"/>
      <c r="L15471" s="439"/>
      <c r="M15471" s="682"/>
    </row>
    <row r="15472" spans="1:13" hidden="1" x14ac:dyDescent="0.2">
      <c r="A15472" s="224"/>
      <c r="B15472" s="224"/>
      <c r="C15472" s="224"/>
      <c r="D15472" s="224"/>
      <c r="E15472" s="224"/>
      <c r="F15472" s="224"/>
      <c r="G15472" s="224"/>
      <c r="H15472" s="439"/>
      <c r="I15472" s="439"/>
      <c r="J15472" s="750" t="e">
        <f t="shared" si="178"/>
        <v>#DIV/0!</v>
      </c>
      <c r="K15472" s="439"/>
      <c r="L15472" s="439"/>
      <c r="M15472" s="682"/>
    </row>
    <row r="15473" spans="1:13" hidden="1" x14ac:dyDescent="0.2">
      <c r="A15473" s="224"/>
      <c r="B15473" s="224"/>
      <c r="C15473" s="224"/>
      <c r="D15473" s="224"/>
      <c r="E15473" s="224"/>
      <c r="F15473" s="224"/>
      <c r="G15473" s="224"/>
      <c r="H15473" s="439"/>
      <c r="I15473" s="439"/>
      <c r="J15473" s="750" t="e">
        <f t="shared" si="178"/>
        <v>#DIV/0!</v>
      </c>
      <c r="K15473" s="439"/>
      <c r="L15473" s="439"/>
      <c r="M15473" s="682"/>
    </row>
    <row r="15474" spans="1:13" hidden="1" x14ac:dyDescent="0.2">
      <c r="A15474" s="224"/>
      <c r="B15474" s="224"/>
      <c r="C15474" s="224"/>
      <c r="D15474" s="224"/>
      <c r="E15474" s="224"/>
      <c r="F15474" s="224"/>
      <c r="G15474" s="224"/>
      <c r="H15474" s="439"/>
      <c r="I15474" s="439"/>
      <c r="J15474" s="750" t="e">
        <f t="shared" si="178"/>
        <v>#DIV/0!</v>
      </c>
      <c r="K15474" s="439"/>
      <c r="L15474" s="439"/>
      <c r="M15474" s="682"/>
    </row>
    <row r="15475" spans="1:13" hidden="1" x14ac:dyDescent="0.2">
      <c r="A15475" s="224"/>
      <c r="B15475" s="224"/>
      <c r="C15475" s="224"/>
      <c r="D15475" s="224"/>
      <c r="E15475" s="224"/>
      <c r="F15475" s="224"/>
      <c r="G15475" s="224"/>
      <c r="H15475" s="439"/>
      <c r="I15475" s="439"/>
      <c r="J15475" s="750" t="e">
        <f t="shared" si="178"/>
        <v>#DIV/0!</v>
      </c>
      <c r="K15475" s="439"/>
      <c r="L15475" s="439"/>
      <c r="M15475" s="682"/>
    </row>
    <row r="15476" spans="1:13" hidden="1" x14ac:dyDescent="0.2">
      <c r="A15476" s="224"/>
      <c r="B15476" s="224"/>
      <c r="C15476" s="224"/>
      <c r="D15476" s="224"/>
      <c r="E15476" s="224"/>
      <c r="F15476" s="224"/>
      <c r="G15476" s="224"/>
      <c r="H15476" s="439"/>
      <c r="I15476" s="439"/>
      <c r="J15476" s="750" t="e">
        <f t="shared" si="178"/>
        <v>#DIV/0!</v>
      </c>
      <c r="K15476" s="439"/>
      <c r="L15476" s="439"/>
      <c r="M15476" s="682"/>
    </row>
    <row r="15477" spans="1:13" hidden="1" x14ac:dyDescent="0.2">
      <c r="A15477" s="224"/>
      <c r="B15477" s="224"/>
      <c r="C15477" s="224"/>
      <c r="D15477" s="224"/>
      <c r="E15477" s="224"/>
      <c r="F15477" s="224"/>
      <c r="G15477" s="224"/>
      <c r="H15477" s="439"/>
      <c r="I15477" s="439"/>
      <c r="J15477" s="750" t="e">
        <f t="shared" si="178"/>
        <v>#DIV/0!</v>
      </c>
      <c r="K15477" s="439"/>
      <c r="L15477" s="439"/>
      <c r="M15477" s="682"/>
    </row>
    <row r="15478" spans="1:13" hidden="1" x14ac:dyDescent="0.2">
      <c r="A15478" s="224"/>
      <c r="B15478" s="224"/>
      <c r="C15478" s="224"/>
      <c r="D15478" s="224"/>
      <c r="E15478" s="224"/>
      <c r="F15478" s="224"/>
      <c r="G15478" s="224"/>
      <c r="H15478" s="439"/>
      <c r="I15478" s="439"/>
      <c r="J15478" s="750" t="e">
        <f t="shared" si="178"/>
        <v>#DIV/0!</v>
      </c>
      <c r="K15478" s="439"/>
      <c r="L15478" s="439"/>
      <c r="M15478" s="682"/>
    </row>
    <row r="15479" spans="1:13" hidden="1" x14ac:dyDescent="0.2">
      <c r="A15479" s="224"/>
      <c r="B15479" s="224"/>
      <c r="C15479" s="224"/>
      <c r="D15479" s="224"/>
      <c r="E15479" s="224"/>
      <c r="F15479" s="224"/>
      <c r="G15479" s="224"/>
      <c r="H15479" s="439"/>
      <c r="I15479" s="439"/>
      <c r="J15479" s="750" t="e">
        <f t="shared" si="178"/>
        <v>#DIV/0!</v>
      </c>
      <c r="K15479" s="439"/>
      <c r="L15479" s="439"/>
      <c r="M15479" s="682"/>
    </row>
    <row r="15480" spans="1:13" hidden="1" x14ac:dyDescent="0.2">
      <c r="A15480" s="224"/>
      <c r="B15480" s="224"/>
      <c r="C15480" s="224"/>
      <c r="D15480" s="224"/>
      <c r="E15480" s="224"/>
      <c r="F15480" s="224"/>
      <c r="G15480" s="224"/>
      <c r="H15480" s="439"/>
      <c r="I15480" s="439"/>
      <c r="J15480" s="750" t="e">
        <f t="shared" si="178"/>
        <v>#DIV/0!</v>
      </c>
      <c r="K15480" s="439"/>
      <c r="L15480" s="439"/>
      <c r="M15480" s="682"/>
    </row>
    <row r="15481" spans="1:13" hidden="1" x14ac:dyDescent="0.2">
      <c r="A15481" s="224"/>
      <c r="B15481" s="224"/>
      <c r="C15481" s="224"/>
      <c r="D15481" s="224"/>
      <c r="E15481" s="224"/>
      <c r="F15481" s="224"/>
      <c r="G15481" s="224"/>
      <c r="H15481" s="439"/>
      <c r="I15481" s="439"/>
      <c r="J15481" s="750" t="e">
        <f t="shared" si="178"/>
        <v>#DIV/0!</v>
      </c>
      <c r="K15481" s="439"/>
      <c r="L15481" s="439"/>
      <c r="M15481" s="682"/>
    </row>
    <row r="15482" spans="1:13" hidden="1" x14ac:dyDescent="0.2">
      <c r="A15482" s="224"/>
      <c r="B15482" s="224"/>
      <c r="C15482" s="224"/>
      <c r="D15482" s="224"/>
      <c r="E15482" s="224"/>
      <c r="F15482" s="224"/>
      <c r="G15482" s="224"/>
      <c r="H15482" s="439"/>
      <c r="I15482" s="439"/>
      <c r="J15482" s="750" t="e">
        <f t="shared" si="178"/>
        <v>#DIV/0!</v>
      </c>
      <c r="K15482" s="439"/>
      <c r="L15482" s="439"/>
      <c r="M15482" s="682"/>
    </row>
    <row r="15483" spans="1:13" hidden="1" x14ac:dyDescent="0.2">
      <c r="A15483" s="224"/>
      <c r="B15483" s="224"/>
      <c r="C15483" s="224"/>
      <c r="D15483" s="224"/>
      <c r="E15483" s="224"/>
      <c r="F15483" s="224"/>
      <c r="G15483" s="224"/>
      <c r="H15483" s="439"/>
      <c r="I15483" s="439"/>
      <c r="J15483" s="750" t="e">
        <f t="shared" si="178"/>
        <v>#DIV/0!</v>
      </c>
      <c r="K15483" s="439"/>
      <c r="L15483" s="439"/>
      <c r="M15483" s="682"/>
    </row>
    <row r="15484" spans="1:13" hidden="1" x14ac:dyDescent="0.2">
      <c r="G15484" s="510"/>
      <c r="H15484" s="411"/>
      <c r="I15484" s="411"/>
      <c r="J15484" s="750" t="e">
        <f t="shared" si="178"/>
        <v>#DIV/0!</v>
      </c>
      <c r="K15484" s="412"/>
      <c r="L15484" s="412"/>
      <c r="M15484" s="682"/>
    </row>
    <row r="15485" spans="1:13" hidden="1" x14ac:dyDescent="0.2">
      <c r="H15485" s="397"/>
      <c r="I15485" s="397"/>
      <c r="J15485" s="750" t="e">
        <f t="shared" si="178"/>
        <v>#DIV/0!</v>
      </c>
      <c r="K15485" s="398"/>
      <c r="L15485" s="398"/>
      <c r="M15485" s="682"/>
    </row>
    <row r="15486" spans="1:13" hidden="1" x14ac:dyDescent="0.2">
      <c r="H15486" s="397"/>
      <c r="I15486" s="397"/>
      <c r="J15486" s="750" t="e">
        <f t="shared" si="178"/>
        <v>#DIV/0!</v>
      </c>
      <c r="K15486" s="398"/>
      <c r="L15486" s="398"/>
      <c r="M15486" s="682"/>
    </row>
    <row r="15487" spans="1:13" hidden="1" x14ac:dyDescent="0.2">
      <c r="H15487" s="397"/>
      <c r="I15487" s="397"/>
      <c r="J15487" s="750" t="e">
        <f t="shared" si="178"/>
        <v>#DIV/0!</v>
      </c>
      <c r="K15487" s="398"/>
      <c r="L15487" s="398"/>
      <c r="M15487" s="682"/>
    </row>
    <row r="15488" spans="1:13" hidden="1" x14ac:dyDescent="0.2">
      <c r="H15488" s="397"/>
      <c r="I15488" s="397"/>
      <c r="J15488" s="750" t="e">
        <f t="shared" si="178"/>
        <v>#DIV/0!</v>
      </c>
      <c r="K15488" s="398"/>
      <c r="L15488" s="398"/>
      <c r="M15488" s="682"/>
    </row>
    <row r="15489" spans="3:13" hidden="1" x14ac:dyDescent="0.2">
      <c r="H15489" s="397"/>
      <c r="I15489" s="397"/>
      <c r="J15489" s="750" t="e">
        <f t="shared" si="178"/>
        <v>#DIV/0!</v>
      </c>
      <c r="K15489" s="398"/>
      <c r="L15489" s="398"/>
      <c r="M15489" s="682"/>
    </row>
    <row r="15490" spans="3:13" hidden="1" x14ac:dyDescent="0.2">
      <c r="H15490" s="397"/>
      <c r="I15490" s="397"/>
      <c r="J15490" s="750" t="e">
        <f t="shared" si="178"/>
        <v>#DIV/0!</v>
      </c>
      <c r="K15490" s="398"/>
      <c r="L15490" s="398"/>
      <c r="M15490" s="682"/>
    </row>
    <row r="15491" spans="3:13" hidden="1" x14ac:dyDescent="0.2">
      <c r="H15491" s="397"/>
      <c r="I15491" s="397"/>
      <c r="J15491" s="750" t="e">
        <f t="shared" si="178"/>
        <v>#DIV/0!</v>
      </c>
      <c r="K15491" s="398"/>
      <c r="L15491" s="398"/>
      <c r="M15491" s="682"/>
    </row>
    <row r="15492" spans="3:13" hidden="1" x14ac:dyDescent="0.2">
      <c r="H15492" s="397"/>
      <c r="I15492" s="397"/>
      <c r="J15492" s="750" t="e">
        <f t="shared" si="178"/>
        <v>#DIV/0!</v>
      </c>
      <c r="K15492" s="398"/>
      <c r="L15492" s="398"/>
      <c r="M15492" s="682"/>
    </row>
    <row r="15493" spans="3:13" hidden="1" x14ac:dyDescent="0.2">
      <c r="H15493" s="397"/>
      <c r="I15493" s="397"/>
      <c r="J15493" s="750" t="e">
        <f t="shared" si="178"/>
        <v>#DIV/0!</v>
      </c>
      <c r="K15493" s="398"/>
      <c r="L15493" s="398"/>
      <c r="M15493" s="682"/>
    </row>
    <row r="15494" spans="3:13" hidden="1" x14ac:dyDescent="0.2">
      <c r="H15494" s="397"/>
      <c r="I15494" s="397"/>
      <c r="J15494" s="750" t="e">
        <f t="shared" si="178"/>
        <v>#DIV/0!</v>
      </c>
      <c r="K15494" s="398"/>
      <c r="L15494" s="398"/>
      <c r="M15494" s="682"/>
    </row>
    <row r="15495" spans="3:13" hidden="1" x14ac:dyDescent="0.2">
      <c r="H15495" s="397"/>
      <c r="I15495" s="397"/>
      <c r="J15495" s="750" t="e">
        <f t="shared" si="178"/>
        <v>#DIV/0!</v>
      </c>
      <c r="K15495" s="398"/>
      <c r="L15495" s="398"/>
      <c r="M15495" s="682"/>
    </row>
    <row r="15496" spans="3:13" hidden="1" x14ac:dyDescent="0.2">
      <c r="H15496" s="397"/>
      <c r="I15496" s="397"/>
      <c r="J15496" s="750" t="e">
        <f t="shared" si="178"/>
        <v>#DIV/0!</v>
      </c>
      <c r="K15496" s="398"/>
      <c r="L15496" s="398"/>
      <c r="M15496" s="682"/>
    </row>
    <row r="15497" spans="3:13" hidden="1" x14ac:dyDescent="0.2">
      <c r="H15497" s="397"/>
      <c r="I15497" s="397"/>
      <c r="J15497" s="750" t="e">
        <f t="shared" si="178"/>
        <v>#DIV/0!</v>
      </c>
      <c r="K15497" s="398"/>
      <c r="L15497" s="398"/>
      <c r="M15497" s="682"/>
    </row>
    <row r="15498" spans="3:13" hidden="1" x14ac:dyDescent="0.2">
      <c r="H15498" s="397"/>
      <c r="I15498" s="397"/>
      <c r="J15498" s="750" t="e">
        <f t="shared" si="178"/>
        <v>#DIV/0!</v>
      </c>
      <c r="K15498" s="398"/>
      <c r="L15498" s="398"/>
      <c r="M15498" s="682"/>
    </row>
    <row r="15499" spans="3:13" hidden="1" x14ac:dyDescent="0.2">
      <c r="H15499" s="397"/>
      <c r="I15499" s="397"/>
      <c r="J15499" s="750" t="e">
        <f t="shared" si="178"/>
        <v>#DIV/0!</v>
      </c>
      <c r="K15499" s="398"/>
      <c r="L15499" s="398"/>
      <c r="M15499" s="682"/>
    </row>
    <row r="15500" spans="3:13" hidden="1" x14ac:dyDescent="0.2">
      <c r="H15500" s="397"/>
      <c r="I15500" s="397"/>
      <c r="J15500" s="750" t="e">
        <f t="shared" si="178"/>
        <v>#DIV/0!</v>
      </c>
      <c r="K15500" s="398"/>
      <c r="L15500" s="398"/>
      <c r="M15500" s="682"/>
    </row>
    <row r="15501" spans="3:13" hidden="1" x14ac:dyDescent="0.2">
      <c r="H15501" s="397"/>
      <c r="I15501" s="397"/>
      <c r="J15501" s="750" t="e">
        <f t="shared" si="178"/>
        <v>#DIV/0!</v>
      </c>
      <c r="K15501" s="398"/>
      <c r="L15501" s="398"/>
      <c r="M15501" s="682"/>
    </row>
    <row r="15502" spans="3:13" hidden="1" x14ac:dyDescent="0.2">
      <c r="H15502" s="397"/>
      <c r="I15502" s="397"/>
      <c r="J15502" s="750" t="e">
        <f t="shared" ref="J15502:J15565" si="179">SUM(I15502/H15502)*100</f>
        <v>#DIV/0!</v>
      </c>
      <c r="K15502" s="398"/>
      <c r="L15502" s="398"/>
      <c r="M15502" s="682"/>
    </row>
    <row r="15503" spans="3:13" hidden="1" x14ac:dyDescent="0.2">
      <c r="G15503" s="510"/>
      <c r="H15503" s="411"/>
      <c r="I15503" s="411"/>
      <c r="J15503" s="750" t="e">
        <f t="shared" si="179"/>
        <v>#DIV/0!</v>
      </c>
      <c r="K15503" s="412"/>
      <c r="L15503" s="412"/>
      <c r="M15503" s="682"/>
    </row>
    <row r="15504" spans="3:13" ht="21" customHeight="1" x14ac:dyDescent="0.2">
      <c r="C15504" s="489" t="s">
        <v>4504</v>
      </c>
      <c r="D15504" s="490"/>
      <c r="G15504" s="508" t="s">
        <v>5175</v>
      </c>
      <c r="H15504" s="397"/>
      <c r="I15504" s="397"/>
      <c r="J15504" s="750"/>
      <c r="K15504" s="398"/>
      <c r="L15504" s="398"/>
      <c r="M15504" s="682"/>
    </row>
    <row r="15505" spans="3:13" x14ac:dyDescent="0.2">
      <c r="C15505" s="489"/>
      <c r="D15505" s="492">
        <v>630</v>
      </c>
      <c r="E15505" s="492"/>
      <c r="F15505" s="492"/>
      <c r="G15505" s="551" t="s">
        <v>183</v>
      </c>
      <c r="H15505" s="397"/>
      <c r="I15505" s="397"/>
      <c r="J15505" s="750"/>
      <c r="K15505" s="398"/>
      <c r="L15505" s="398"/>
      <c r="M15505" s="682"/>
    </row>
    <row r="15506" spans="3:13" hidden="1" x14ac:dyDescent="0.2">
      <c r="F15506" s="494">
        <v>411</v>
      </c>
      <c r="G15506" s="495" t="s">
        <v>4167</v>
      </c>
      <c r="H15506" s="397"/>
      <c r="I15506" s="397"/>
      <c r="J15506" s="750" t="e">
        <f t="shared" si="179"/>
        <v>#DIV/0!</v>
      </c>
      <c r="K15506" s="398"/>
      <c r="L15506" s="398"/>
      <c r="M15506" s="682"/>
    </row>
    <row r="15507" spans="3:13" hidden="1" x14ac:dyDescent="0.2">
      <c r="F15507" s="494">
        <v>412</v>
      </c>
      <c r="G15507" s="496" t="s">
        <v>3764</v>
      </c>
      <c r="H15507" s="397"/>
      <c r="I15507" s="397"/>
      <c r="J15507" s="750" t="e">
        <f t="shared" si="179"/>
        <v>#DIV/0!</v>
      </c>
      <c r="K15507" s="398"/>
      <c r="L15507" s="398"/>
      <c r="M15507" s="682"/>
    </row>
    <row r="15508" spans="3:13" hidden="1" x14ac:dyDescent="0.2">
      <c r="F15508" s="494">
        <v>413</v>
      </c>
      <c r="G15508" s="495" t="s">
        <v>4168</v>
      </c>
      <c r="H15508" s="397"/>
      <c r="I15508" s="397"/>
      <c r="J15508" s="750" t="e">
        <f t="shared" si="179"/>
        <v>#DIV/0!</v>
      </c>
      <c r="K15508" s="398"/>
      <c r="L15508" s="398"/>
      <c r="M15508" s="682"/>
    </row>
    <row r="15509" spans="3:13" hidden="1" x14ac:dyDescent="0.2">
      <c r="F15509" s="494">
        <v>414</v>
      </c>
      <c r="G15509" s="495" t="s">
        <v>3767</v>
      </c>
      <c r="H15509" s="397"/>
      <c r="I15509" s="397"/>
      <c r="J15509" s="750" t="e">
        <f t="shared" si="179"/>
        <v>#DIV/0!</v>
      </c>
      <c r="K15509" s="398"/>
      <c r="L15509" s="398"/>
      <c r="M15509" s="682"/>
    </row>
    <row r="15510" spans="3:13" hidden="1" x14ac:dyDescent="0.2">
      <c r="F15510" s="494">
        <v>415</v>
      </c>
      <c r="G15510" s="495" t="s">
        <v>4177</v>
      </c>
      <c r="H15510" s="397"/>
      <c r="I15510" s="397"/>
      <c r="J15510" s="750" t="e">
        <f t="shared" si="179"/>
        <v>#DIV/0!</v>
      </c>
      <c r="K15510" s="398"/>
      <c r="L15510" s="398"/>
      <c r="M15510" s="682"/>
    </row>
    <row r="15511" spans="3:13" ht="25.5" hidden="1" x14ac:dyDescent="0.2">
      <c r="F15511" s="494">
        <v>416</v>
      </c>
      <c r="G15511" s="495" t="s">
        <v>4178</v>
      </c>
      <c r="H15511" s="397"/>
      <c r="I15511" s="397"/>
      <c r="J15511" s="750" t="e">
        <f t="shared" si="179"/>
        <v>#DIV/0!</v>
      </c>
      <c r="K15511" s="398"/>
      <c r="L15511" s="398"/>
      <c r="M15511" s="682"/>
    </row>
    <row r="15512" spans="3:13" hidden="1" x14ac:dyDescent="0.2">
      <c r="F15512" s="494">
        <v>417</v>
      </c>
      <c r="G15512" s="495" t="s">
        <v>4179</v>
      </c>
      <c r="H15512" s="397"/>
      <c r="I15512" s="397"/>
      <c r="J15512" s="750" t="e">
        <f t="shared" si="179"/>
        <v>#DIV/0!</v>
      </c>
      <c r="K15512" s="398"/>
      <c r="L15512" s="398"/>
      <c r="M15512" s="682"/>
    </row>
    <row r="15513" spans="3:13" hidden="1" x14ac:dyDescent="0.2">
      <c r="F15513" s="494">
        <v>418</v>
      </c>
      <c r="G15513" s="495" t="s">
        <v>3773</v>
      </c>
      <c r="H15513" s="397"/>
      <c r="I15513" s="397"/>
      <c r="J15513" s="750" t="e">
        <f t="shared" si="179"/>
        <v>#DIV/0!</v>
      </c>
      <c r="K15513" s="398"/>
      <c r="L15513" s="398"/>
      <c r="M15513" s="682"/>
    </row>
    <row r="15514" spans="3:13" hidden="1" x14ac:dyDescent="0.2">
      <c r="F15514" s="494">
        <v>421</v>
      </c>
      <c r="G15514" s="495" t="s">
        <v>3777</v>
      </c>
      <c r="H15514" s="397"/>
      <c r="I15514" s="397"/>
      <c r="J15514" s="750" t="e">
        <f t="shared" si="179"/>
        <v>#DIV/0!</v>
      </c>
      <c r="K15514" s="398"/>
      <c r="L15514" s="398"/>
      <c r="M15514" s="682"/>
    </row>
    <row r="15515" spans="3:13" hidden="1" x14ac:dyDescent="0.2">
      <c r="F15515" s="494">
        <v>422</v>
      </c>
      <c r="G15515" s="495" t="s">
        <v>3778</v>
      </c>
      <c r="H15515" s="397"/>
      <c r="I15515" s="397"/>
      <c r="J15515" s="750" t="e">
        <f t="shared" si="179"/>
        <v>#DIV/0!</v>
      </c>
      <c r="K15515" s="398"/>
      <c r="L15515" s="398"/>
      <c r="M15515" s="682"/>
    </row>
    <row r="15516" spans="3:13" hidden="1" x14ac:dyDescent="0.2">
      <c r="F15516" s="494">
        <v>423</v>
      </c>
      <c r="G15516" s="495" t="s">
        <v>3779</v>
      </c>
      <c r="H15516" s="397"/>
      <c r="I15516" s="397"/>
      <c r="J15516" s="750" t="e">
        <f t="shared" si="179"/>
        <v>#DIV/0!</v>
      </c>
      <c r="K15516" s="398"/>
      <c r="L15516" s="398"/>
      <c r="M15516" s="682"/>
    </row>
    <row r="15517" spans="3:13" hidden="1" x14ac:dyDescent="0.2">
      <c r="F15517" s="494">
        <v>424</v>
      </c>
      <c r="G15517" s="495" t="s">
        <v>3781</v>
      </c>
      <c r="H15517" s="397"/>
      <c r="I15517" s="397"/>
      <c r="J15517" s="750" t="e">
        <f t="shared" si="179"/>
        <v>#DIV/0!</v>
      </c>
      <c r="K15517" s="398"/>
      <c r="L15517" s="398"/>
      <c r="M15517" s="682"/>
    </row>
    <row r="15518" spans="3:13" hidden="1" x14ac:dyDescent="0.2">
      <c r="F15518" s="494">
        <v>425</v>
      </c>
      <c r="G15518" s="495" t="s">
        <v>4180</v>
      </c>
      <c r="H15518" s="397"/>
      <c r="I15518" s="397"/>
      <c r="J15518" s="750" t="e">
        <f t="shared" si="179"/>
        <v>#DIV/0!</v>
      </c>
      <c r="K15518" s="398"/>
      <c r="L15518" s="398"/>
      <c r="M15518" s="682"/>
    </row>
    <row r="15519" spans="3:13" hidden="1" x14ac:dyDescent="0.2">
      <c r="F15519" s="494">
        <v>426</v>
      </c>
      <c r="G15519" s="495" t="s">
        <v>3785</v>
      </c>
      <c r="H15519" s="397"/>
      <c r="I15519" s="397"/>
      <c r="J15519" s="750" t="e">
        <f t="shared" si="179"/>
        <v>#DIV/0!</v>
      </c>
      <c r="K15519" s="398"/>
      <c r="L15519" s="398"/>
      <c r="M15519" s="682"/>
    </row>
    <row r="15520" spans="3:13" hidden="1" x14ac:dyDescent="0.2">
      <c r="F15520" s="494">
        <v>431</v>
      </c>
      <c r="G15520" s="495" t="s">
        <v>4181</v>
      </c>
      <c r="H15520" s="397"/>
      <c r="I15520" s="397"/>
      <c r="J15520" s="750" t="e">
        <f t="shared" si="179"/>
        <v>#DIV/0!</v>
      </c>
      <c r="K15520" s="398"/>
      <c r="L15520" s="398"/>
      <c r="M15520" s="682"/>
    </row>
    <row r="15521" spans="6:13" hidden="1" x14ac:dyDescent="0.2">
      <c r="F15521" s="494">
        <v>432</v>
      </c>
      <c r="G15521" s="495" t="s">
        <v>4182</v>
      </c>
      <c r="H15521" s="397"/>
      <c r="I15521" s="397"/>
      <c r="J15521" s="750" t="e">
        <f t="shared" si="179"/>
        <v>#DIV/0!</v>
      </c>
      <c r="K15521" s="398"/>
      <c r="L15521" s="398"/>
      <c r="M15521" s="682"/>
    </row>
    <row r="15522" spans="6:13" hidden="1" x14ac:dyDescent="0.2">
      <c r="F15522" s="494">
        <v>433</v>
      </c>
      <c r="G15522" s="495" t="s">
        <v>4183</v>
      </c>
      <c r="H15522" s="397"/>
      <c r="I15522" s="397"/>
      <c r="J15522" s="750" t="e">
        <f t="shared" si="179"/>
        <v>#DIV/0!</v>
      </c>
      <c r="K15522" s="398"/>
      <c r="L15522" s="398"/>
      <c r="M15522" s="682"/>
    </row>
    <row r="15523" spans="6:13" hidden="1" x14ac:dyDescent="0.2">
      <c r="F15523" s="494">
        <v>434</v>
      </c>
      <c r="G15523" s="495" t="s">
        <v>4184</v>
      </c>
      <c r="H15523" s="397"/>
      <c r="I15523" s="397"/>
      <c r="J15523" s="750" t="e">
        <f t="shared" si="179"/>
        <v>#DIV/0!</v>
      </c>
      <c r="K15523" s="398"/>
      <c r="L15523" s="398"/>
      <c r="M15523" s="682"/>
    </row>
    <row r="15524" spans="6:13" hidden="1" x14ac:dyDescent="0.2">
      <c r="F15524" s="494">
        <v>435</v>
      </c>
      <c r="G15524" s="495" t="s">
        <v>3792</v>
      </c>
      <c r="H15524" s="397"/>
      <c r="I15524" s="397"/>
      <c r="J15524" s="750" t="e">
        <f t="shared" si="179"/>
        <v>#DIV/0!</v>
      </c>
      <c r="K15524" s="398"/>
      <c r="L15524" s="398"/>
      <c r="M15524" s="682"/>
    </row>
    <row r="15525" spans="6:13" hidden="1" x14ac:dyDescent="0.2">
      <c r="F15525" s="494">
        <v>441</v>
      </c>
      <c r="G15525" s="495" t="s">
        <v>4185</v>
      </c>
      <c r="H15525" s="397"/>
      <c r="I15525" s="397"/>
      <c r="J15525" s="750" t="e">
        <f t="shared" si="179"/>
        <v>#DIV/0!</v>
      </c>
      <c r="K15525" s="398"/>
      <c r="L15525" s="398"/>
      <c r="M15525" s="682"/>
    </row>
    <row r="15526" spans="6:13" hidden="1" x14ac:dyDescent="0.2">
      <c r="F15526" s="494">
        <v>442</v>
      </c>
      <c r="G15526" s="495" t="s">
        <v>4186</v>
      </c>
      <c r="H15526" s="397"/>
      <c r="I15526" s="397"/>
      <c r="J15526" s="750" t="e">
        <f t="shared" si="179"/>
        <v>#DIV/0!</v>
      </c>
      <c r="K15526" s="398"/>
      <c r="L15526" s="398"/>
      <c r="M15526" s="682"/>
    </row>
    <row r="15527" spans="6:13" hidden="1" x14ac:dyDescent="0.2">
      <c r="F15527" s="494">
        <v>443</v>
      </c>
      <c r="G15527" s="495" t="s">
        <v>3797</v>
      </c>
      <c r="H15527" s="397"/>
      <c r="I15527" s="397"/>
      <c r="J15527" s="750" t="e">
        <f t="shared" si="179"/>
        <v>#DIV/0!</v>
      </c>
      <c r="K15527" s="398"/>
      <c r="L15527" s="398"/>
      <c r="M15527" s="682"/>
    </row>
    <row r="15528" spans="6:13" hidden="1" x14ac:dyDescent="0.2">
      <c r="F15528" s="494">
        <v>444</v>
      </c>
      <c r="G15528" s="495" t="s">
        <v>3798</v>
      </c>
      <c r="H15528" s="397"/>
      <c r="I15528" s="397"/>
      <c r="J15528" s="750" t="e">
        <f t="shared" si="179"/>
        <v>#DIV/0!</v>
      </c>
      <c r="K15528" s="398"/>
      <c r="L15528" s="398"/>
      <c r="M15528" s="682"/>
    </row>
    <row r="15529" spans="6:13" ht="25.5" hidden="1" x14ac:dyDescent="0.2">
      <c r="F15529" s="494">
        <v>4511</v>
      </c>
      <c r="G15529" s="466" t="s">
        <v>1692</v>
      </c>
      <c r="H15529" s="397"/>
      <c r="I15529" s="397"/>
      <c r="J15529" s="750" t="e">
        <f t="shared" si="179"/>
        <v>#DIV/0!</v>
      </c>
      <c r="K15529" s="398"/>
      <c r="L15529" s="398"/>
      <c r="M15529" s="682"/>
    </row>
    <row r="15530" spans="6:13" ht="25.5" hidden="1" x14ac:dyDescent="0.2">
      <c r="F15530" s="494">
        <v>4512</v>
      </c>
      <c r="G15530" s="466" t="s">
        <v>1701</v>
      </c>
      <c r="H15530" s="397"/>
      <c r="I15530" s="397"/>
      <c r="J15530" s="750" t="e">
        <f t="shared" si="179"/>
        <v>#DIV/0!</v>
      </c>
      <c r="K15530" s="398"/>
      <c r="L15530" s="398"/>
      <c r="M15530" s="682"/>
    </row>
    <row r="15531" spans="6:13" ht="25.5" hidden="1" x14ac:dyDescent="0.2">
      <c r="F15531" s="494">
        <v>452</v>
      </c>
      <c r="G15531" s="495" t="s">
        <v>4187</v>
      </c>
      <c r="H15531" s="397"/>
      <c r="I15531" s="397"/>
      <c r="J15531" s="750" t="e">
        <f t="shared" si="179"/>
        <v>#DIV/0!</v>
      </c>
      <c r="K15531" s="398"/>
      <c r="L15531" s="398"/>
      <c r="M15531" s="682"/>
    </row>
    <row r="15532" spans="6:13" ht="25.5" hidden="1" x14ac:dyDescent="0.2">
      <c r="F15532" s="494">
        <v>453</v>
      </c>
      <c r="G15532" s="495" t="s">
        <v>4188</v>
      </c>
      <c r="H15532" s="397"/>
      <c r="I15532" s="397"/>
      <c r="J15532" s="750" t="e">
        <f t="shared" si="179"/>
        <v>#DIV/0!</v>
      </c>
      <c r="K15532" s="398"/>
      <c r="L15532" s="398"/>
      <c r="M15532" s="682"/>
    </row>
    <row r="15533" spans="6:13" hidden="1" x14ac:dyDescent="0.2">
      <c r="F15533" s="494">
        <v>454</v>
      </c>
      <c r="G15533" s="495" t="s">
        <v>3803</v>
      </c>
      <c r="H15533" s="397"/>
      <c r="I15533" s="397"/>
      <c r="J15533" s="750" t="e">
        <f t="shared" si="179"/>
        <v>#DIV/0!</v>
      </c>
      <c r="K15533" s="398"/>
      <c r="L15533" s="398"/>
      <c r="M15533" s="682"/>
    </row>
    <row r="15534" spans="6:13" hidden="1" x14ac:dyDescent="0.2">
      <c r="F15534" s="494">
        <v>461</v>
      </c>
      <c r="G15534" s="495" t="s">
        <v>4169</v>
      </c>
      <c r="H15534" s="397"/>
      <c r="I15534" s="397"/>
      <c r="J15534" s="750" t="e">
        <f t="shared" si="179"/>
        <v>#DIV/0!</v>
      </c>
      <c r="K15534" s="398"/>
      <c r="L15534" s="398"/>
      <c r="M15534" s="682"/>
    </row>
    <row r="15535" spans="6:13" ht="25.5" hidden="1" x14ac:dyDescent="0.2">
      <c r="F15535" s="494">
        <v>462</v>
      </c>
      <c r="G15535" s="495" t="s">
        <v>3806</v>
      </c>
      <c r="H15535" s="397"/>
      <c r="I15535" s="397"/>
      <c r="J15535" s="750" t="e">
        <f t="shared" si="179"/>
        <v>#DIV/0!</v>
      </c>
      <c r="K15535" s="398"/>
      <c r="L15535" s="398"/>
      <c r="M15535" s="682"/>
    </row>
    <row r="15536" spans="6:13" hidden="1" x14ac:dyDescent="0.2">
      <c r="F15536" s="494">
        <v>4631</v>
      </c>
      <c r="G15536" s="495" t="s">
        <v>3807</v>
      </c>
      <c r="H15536" s="397"/>
      <c r="I15536" s="397"/>
      <c r="J15536" s="750" t="e">
        <f t="shared" si="179"/>
        <v>#DIV/0!</v>
      </c>
      <c r="K15536" s="398"/>
      <c r="L15536" s="398"/>
      <c r="M15536" s="682"/>
    </row>
    <row r="15537" spans="5:13" hidden="1" x14ac:dyDescent="0.2">
      <c r="F15537" s="494">
        <v>4632</v>
      </c>
      <c r="G15537" s="495" t="s">
        <v>3808</v>
      </c>
      <c r="H15537" s="397"/>
      <c r="I15537" s="397"/>
      <c r="J15537" s="750" t="e">
        <f t="shared" si="179"/>
        <v>#DIV/0!</v>
      </c>
      <c r="K15537" s="398"/>
      <c r="L15537" s="398"/>
      <c r="M15537" s="682"/>
    </row>
    <row r="15538" spans="5:13" ht="25.5" hidden="1" x14ac:dyDescent="0.2">
      <c r="F15538" s="494">
        <v>464</v>
      </c>
      <c r="G15538" s="495" t="s">
        <v>3809</v>
      </c>
      <c r="H15538" s="397"/>
      <c r="I15538" s="397"/>
      <c r="J15538" s="750" t="e">
        <f t="shared" si="179"/>
        <v>#DIV/0!</v>
      </c>
      <c r="K15538" s="398"/>
      <c r="L15538" s="398"/>
      <c r="M15538" s="682"/>
    </row>
    <row r="15539" spans="5:13" hidden="1" x14ac:dyDescent="0.2">
      <c r="F15539" s="494">
        <v>465</v>
      </c>
      <c r="G15539" s="495" t="s">
        <v>4170</v>
      </c>
      <c r="H15539" s="397"/>
      <c r="I15539" s="397"/>
      <c r="J15539" s="750" t="e">
        <f t="shared" si="179"/>
        <v>#DIV/0!</v>
      </c>
      <c r="K15539" s="398"/>
      <c r="L15539" s="398"/>
      <c r="M15539" s="682"/>
    </row>
    <row r="15540" spans="5:13" hidden="1" x14ac:dyDescent="0.2">
      <c r="F15540" s="494">
        <v>472</v>
      </c>
      <c r="G15540" s="495" t="s">
        <v>3813</v>
      </c>
      <c r="H15540" s="397"/>
      <c r="I15540" s="397"/>
      <c r="J15540" s="750" t="e">
        <f t="shared" si="179"/>
        <v>#DIV/0!</v>
      </c>
      <c r="K15540" s="398"/>
      <c r="L15540" s="398"/>
      <c r="M15540" s="682"/>
    </row>
    <row r="15541" spans="5:13" hidden="1" x14ac:dyDescent="0.2">
      <c r="F15541" s="494">
        <v>481</v>
      </c>
      <c r="G15541" s="495" t="s">
        <v>4189</v>
      </c>
      <c r="H15541" s="397"/>
      <c r="I15541" s="397"/>
      <c r="J15541" s="750" t="e">
        <f t="shared" si="179"/>
        <v>#DIV/0!</v>
      </c>
      <c r="K15541" s="398"/>
      <c r="L15541" s="398"/>
      <c r="M15541" s="682"/>
    </row>
    <row r="15542" spans="5:13" hidden="1" x14ac:dyDescent="0.2">
      <c r="F15542" s="494">
        <v>482</v>
      </c>
      <c r="G15542" s="495" t="s">
        <v>4190</v>
      </c>
      <c r="H15542" s="397"/>
      <c r="I15542" s="397"/>
      <c r="J15542" s="750" t="e">
        <f t="shared" si="179"/>
        <v>#DIV/0!</v>
      </c>
      <c r="K15542" s="398"/>
      <c r="L15542" s="398"/>
      <c r="M15542" s="682"/>
    </row>
    <row r="15543" spans="5:13" hidden="1" x14ac:dyDescent="0.2">
      <c r="F15543" s="494">
        <v>483</v>
      </c>
      <c r="G15543" s="497" t="s">
        <v>4191</v>
      </c>
      <c r="H15543" s="397"/>
      <c r="I15543" s="397"/>
      <c r="J15543" s="750" t="e">
        <f t="shared" si="179"/>
        <v>#DIV/0!</v>
      </c>
      <c r="K15543" s="398"/>
      <c r="L15543" s="398"/>
      <c r="M15543" s="682"/>
    </row>
    <row r="15544" spans="5:13" ht="38.25" hidden="1" x14ac:dyDescent="0.2">
      <c r="F15544" s="494">
        <v>484</v>
      </c>
      <c r="G15544" s="495" t="s">
        <v>4192</v>
      </c>
      <c r="H15544" s="397"/>
      <c r="I15544" s="397"/>
      <c r="J15544" s="750" t="e">
        <f t="shared" si="179"/>
        <v>#DIV/0!</v>
      </c>
      <c r="K15544" s="398"/>
      <c r="L15544" s="398"/>
      <c r="M15544" s="682"/>
    </row>
    <row r="15545" spans="5:13" ht="25.5" hidden="1" x14ac:dyDescent="0.2">
      <c r="F15545" s="494">
        <v>485</v>
      </c>
      <c r="G15545" s="495" t="s">
        <v>4193</v>
      </c>
      <c r="H15545" s="397"/>
      <c r="I15545" s="397"/>
      <c r="J15545" s="750" t="e">
        <f t="shared" si="179"/>
        <v>#DIV/0!</v>
      </c>
      <c r="K15545" s="398"/>
      <c r="L15545" s="398"/>
      <c r="M15545" s="682"/>
    </row>
    <row r="15546" spans="5:13" ht="25.5" hidden="1" x14ac:dyDescent="0.2">
      <c r="F15546" s="494">
        <v>489</v>
      </c>
      <c r="G15546" s="495" t="s">
        <v>3821</v>
      </c>
      <c r="H15546" s="397"/>
      <c r="I15546" s="397"/>
      <c r="J15546" s="750" t="e">
        <f t="shared" si="179"/>
        <v>#DIV/0!</v>
      </c>
      <c r="K15546" s="398"/>
      <c r="L15546" s="398"/>
      <c r="M15546" s="682"/>
    </row>
    <row r="15547" spans="5:13" ht="25.5" hidden="1" x14ac:dyDescent="0.2">
      <c r="F15547" s="494">
        <v>494</v>
      </c>
      <c r="G15547" s="495" t="s">
        <v>4171</v>
      </c>
      <c r="H15547" s="397"/>
      <c r="I15547" s="397"/>
      <c r="J15547" s="750" t="e">
        <f t="shared" si="179"/>
        <v>#DIV/0!</v>
      </c>
      <c r="K15547" s="398"/>
      <c r="L15547" s="398"/>
      <c r="M15547" s="682"/>
    </row>
    <row r="15548" spans="5:13" ht="25.5" hidden="1" x14ac:dyDescent="0.2">
      <c r="F15548" s="494">
        <v>495</v>
      </c>
      <c r="G15548" s="495" t="s">
        <v>4172</v>
      </c>
      <c r="H15548" s="397"/>
      <c r="I15548" s="397"/>
      <c r="J15548" s="750" t="e">
        <f t="shared" si="179"/>
        <v>#DIV/0!</v>
      </c>
      <c r="K15548" s="398"/>
      <c r="L15548" s="398"/>
      <c r="M15548" s="682"/>
    </row>
    <row r="15549" spans="5:13" ht="38.25" hidden="1" x14ac:dyDescent="0.2">
      <c r="F15549" s="494">
        <v>496</v>
      </c>
      <c r="G15549" s="495" t="s">
        <v>4173</v>
      </c>
      <c r="H15549" s="397"/>
      <c r="I15549" s="397"/>
      <c r="J15549" s="750" t="e">
        <f t="shared" si="179"/>
        <v>#DIV/0!</v>
      </c>
      <c r="K15549" s="398"/>
      <c r="L15549" s="398"/>
      <c r="M15549" s="682"/>
    </row>
    <row r="15550" spans="5:13" ht="25.5" hidden="1" x14ac:dyDescent="0.2">
      <c r="F15550" s="494">
        <v>499</v>
      </c>
      <c r="G15550" s="495" t="s">
        <v>4174</v>
      </c>
      <c r="H15550" s="397"/>
      <c r="I15550" s="397"/>
      <c r="J15550" s="750" t="e">
        <f t="shared" si="179"/>
        <v>#DIV/0!</v>
      </c>
      <c r="K15550" s="398"/>
      <c r="L15550" s="398"/>
      <c r="M15550" s="682"/>
    </row>
    <row r="15551" spans="5:13" ht="13.5" thickBot="1" x14ac:dyDescent="0.25">
      <c r="E15551" s="464">
        <v>170</v>
      </c>
      <c r="F15551" s="494">
        <v>511</v>
      </c>
      <c r="G15551" s="497" t="s">
        <v>4194</v>
      </c>
      <c r="H15551" s="397">
        <v>15900000</v>
      </c>
      <c r="I15551" s="397">
        <v>12978512.199999999</v>
      </c>
      <c r="J15551" s="750">
        <f t="shared" si="179"/>
        <v>81.625862893081759</v>
      </c>
      <c r="K15551" s="398"/>
      <c r="L15551" s="398"/>
      <c r="M15551" s="682"/>
    </row>
    <row r="15552" spans="5:13" ht="13.5" hidden="1" thickBot="1" x14ac:dyDescent="0.25">
      <c r="F15552" s="494">
        <v>512</v>
      </c>
      <c r="G15552" s="497" t="s">
        <v>4195</v>
      </c>
      <c r="H15552" s="397"/>
      <c r="I15552" s="397"/>
      <c r="J15552" s="750" t="e">
        <f t="shared" si="179"/>
        <v>#DIV/0!</v>
      </c>
      <c r="K15552" s="398"/>
      <c r="L15552" s="398"/>
      <c r="M15552" s="682"/>
    </row>
    <row r="15553" spans="5:13" ht="13.5" hidden="1" thickBot="1" x14ac:dyDescent="0.25">
      <c r="F15553" s="494">
        <v>513</v>
      </c>
      <c r="G15553" s="497" t="s">
        <v>4196</v>
      </c>
      <c r="H15553" s="397"/>
      <c r="I15553" s="397"/>
      <c r="J15553" s="750" t="e">
        <f t="shared" si="179"/>
        <v>#DIV/0!</v>
      </c>
      <c r="K15553" s="398"/>
      <c r="L15553" s="398"/>
      <c r="M15553" s="682"/>
    </row>
    <row r="15554" spans="5:13" ht="13.5" hidden="1" thickBot="1" x14ac:dyDescent="0.25">
      <c r="F15554" s="494">
        <v>514</v>
      </c>
      <c r="G15554" s="495" t="s">
        <v>4197</v>
      </c>
      <c r="H15554" s="397"/>
      <c r="I15554" s="397"/>
      <c r="J15554" s="750" t="e">
        <f t="shared" si="179"/>
        <v>#DIV/0!</v>
      </c>
      <c r="K15554" s="398"/>
      <c r="L15554" s="398"/>
      <c r="M15554" s="682"/>
    </row>
    <row r="15555" spans="5:13" ht="13.5" hidden="1" thickBot="1" x14ac:dyDescent="0.25">
      <c r="F15555" s="494">
        <v>515</v>
      </c>
      <c r="G15555" s="495" t="s">
        <v>3832</v>
      </c>
      <c r="H15555" s="397"/>
      <c r="I15555" s="397"/>
      <c r="J15555" s="750" t="e">
        <f t="shared" si="179"/>
        <v>#DIV/0!</v>
      </c>
      <c r="K15555" s="398"/>
      <c r="L15555" s="398"/>
      <c r="M15555" s="682"/>
    </row>
    <row r="15556" spans="5:13" ht="13.5" hidden="1" thickBot="1" x14ac:dyDescent="0.25">
      <c r="F15556" s="494">
        <v>521</v>
      </c>
      <c r="G15556" s="495" t="s">
        <v>4198</v>
      </c>
      <c r="H15556" s="397"/>
      <c r="I15556" s="397"/>
      <c r="J15556" s="750" t="e">
        <f t="shared" si="179"/>
        <v>#DIV/0!</v>
      </c>
      <c r="K15556" s="398"/>
      <c r="L15556" s="398"/>
      <c r="M15556" s="682"/>
    </row>
    <row r="15557" spans="5:13" ht="13.5" hidden="1" thickBot="1" x14ac:dyDescent="0.25">
      <c r="F15557" s="494">
        <v>522</v>
      </c>
      <c r="G15557" s="495" t="s">
        <v>4199</v>
      </c>
      <c r="H15557" s="397"/>
      <c r="I15557" s="397"/>
      <c r="J15557" s="750" t="e">
        <f t="shared" si="179"/>
        <v>#DIV/0!</v>
      </c>
      <c r="K15557" s="398"/>
      <c r="L15557" s="398"/>
      <c r="M15557" s="682"/>
    </row>
    <row r="15558" spans="5:13" ht="13.5" hidden="1" thickBot="1" x14ac:dyDescent="0.25">
      <c r="F15558" s="494">
        <v>523</v>
      </c>
      <c r="G15558" s="495" t="s">
        <v>3837</v>
      </c>
      <c r="H15558" s="397"/>
      <c r="I15558" s="397"/>
      <c r="J15558" s="750" t="e">
        <f t="shared" si="179"/>
        <v>#DIV/0!</v>
      </c>
      <c r="K15558" s="398"/>
      <c r="L15558" s="398"/>
      <c r="M15558" s="682"/>
    </row>
    <row r="15559" spans="5:13" ht="13.5" hidden="1" thickBot="1" x14ac:dyDescent="0.25">
      <c r="F15559" s="494">
        <v>531</v>
      </c>
      <c r="G15559" s="496" t="s">
        <v>4175</v>
      </c>
      <c r="H15559" s="397"/>
      <c r="I15559" s="397"/>
      <c r="J15559" s="750" t="e">
        <f t="shared" si="179"/>
        <v>#DIV/0!</v>
      </c>
      <c r="K15559" s="398"/>
      <c r="L15559" s="398"/>
      <c r="M15559" s="682"/>
    </row>
    <row r="15560" spans="5:13" ht="13.5" hidden="1" thickBot="1" x14ac:dyDescent="0.25">
      <c r="F15560" s="494">
        <v>541</v>
      </c>
      <c r="G15560" s="495" t="s">
        <v>4200</v>
      </c>
      <c r="H15560" s="397"/>
      <c r="I15560" s="397"/>
      <c r="J15560" s="750" t="e">
        <f t="shared" si="179"/>
        <v>#DIV/0!</v>
      </c>
      <c r="K15560" s="398"/>
      <c r="L15560" s="398"/>
      <c r="M15560" s="682"/>
    </row>
    <row r="15561" spans="5:13" ht="13.5" hidden="1" thickBot="1" x14ac:dyDescent="0.25">
      <c r="F15561" s="494">
        <v>542</v>
      </c>
      <c r="G15561" s="495" t="s">
        <v>4201</v>
      </c>
      <c r="H15561" s="397"/>
      <c r="I15561" s="397"/>
      <c r="J15561" s="750" t="e">
        <f t="shared" si="179"/>
        <v>#DIV/0!</v>
      </c>
      <c r="K15561" s="398"/>
      <c r="L15561" s="398"/>
      <c r="M15561" s="682"/>
    </row>
    <row r="15562" spans="5:13" ht="13.5" hidden="1" thickBot="1" x14ac:dyDescent="0.25">
      <c r="F15562" s="494">
        <v>543</v>
      </c>
      <c r="G15562" s="495" t="s">
        <v>3842</v>
      </c>
      <c r="H15562" s="397"/>
      <c r="I15562" s="397"/>
      <c r="J15562" s="750" t="e">
        <f t="shared" si="179"/>
        <v>#DIV/0!</v>
      </c>
      <c r="K15562" s="398"/>
      <c r="L15562" s="398"/>
      <c r="M15562" s="682"/>
    </row>
    <row r="15563" spans="5:13" ht="39" hidden="1" thickBot="1" x14ac:dyDescent="0.25">
      <c r="F15563" s="494">
        <v>551</v>
      </c>
      <c r="G15563" s="495" t="s">
        <v>4176</v>
      </c>
      <c r="H15563" s="397"/>
      <c r="I15563" s="397"/>
      <c r="J15563" s="750" t="e">
        <f t="shared" si="179"/>
        <v>#DIV/0!</v>
      </c>
      <c r="K15563" s="398"/>
      <c r="L15563" s="398"/>
      <c r="M15563" s="682"/>
    </row>
    <row r="15564" spans="5:13" ht="13.5" hidden="1" thickBot="1" x14ac:dyDescent="0.25">
      <c r="F15564" s="498">
        <v>611</v>
      </c>
      <c r="G15564" s="499" t="s">
        <v>3848</v>
      </c>
      <c r="H15564" s="397"/>
      <c r="I15564" s="397"/>
      <c r="J15564" s="750" t="e">
        <f t="shared" si="179"/>
        <v>#DIV/0!</v>
      </c>
      <c r="K15564" s="398"/>
      <c r="L15564" s="398"/>
      <c r="M15564" s="682"/>
    </row>
    <row r="15565" spans="5:13" ht="13.5" hidden="1" thickBot="1" x14ac:dyDescent="0.25">
      <c r="F15565" s="498">
        <v>620</v>
      </c>
      <c r="G15565" s="499" t="s">
        <v>88</v>
      </c>
      <c r="H15565" s="397"/>
      <c r="I15565" s="397"/>
      <c r="J15565" s="750" t="e">
        <f t="shared" si="179"/>
        <v>#DIV/0!</v>
      </c>
      <c r="K15565" s="398"/>
      <c r="L15565" s="398"/>
      <c r="M15565" s="682"/>
    </row>
    <row r="15566" spans="5:13" x14ac:dyDescent="0.2">
      <c r="E15566" s="500"/>
      <c r="F15566" s="498"/>
      <c r="G15566" s="501" t="s">
        <v>5176</v>
      </c>
      <c r="H15566" s="400"/>
      <c r="I15566" s="400"/>
      <c r="J15566" s="750"/>
      <c r="K15566" s="401"/>
      <c r="L15566" s="402"/>
      <c r="M15566" s="682"/>
    </row>
    <row r="15567" spans="5:13" ht="12" customHeight="1" x14ac:dyDescent="0.2">
      <c r="E15567" s="502"/>
      <c r="F15567" s="503" t="s">
        <v>234</v>
      </c>
      <c r="G15567" s="504" t="s">
        <v>235</v>
      </c>
      <c r="H15567" s="403">
        <v>13400000</v>
      </c>
      <c r="I15567" s="403">
        <f>SUM(I15551)</f>
        <v>12978512.199999999</v>
      </c>
      <c r="J15567" s="750">
        <f t="shared" ref="J15567:J15629" si="180">SUM(I15567/H15567)*100</f>
        <v>96.85456865671641</v>
      </c>
      <c r="K15567" s="404"/>
      <c r="L15567" s="404"/>
      <c r="M15567" s="682"/>
    </row>
    <row r="15568" spans="5:13" hidden="1" x14ac:dyDescent="0.2">
      <c r="F15568" s="503" t="s">
        <v>236</v>
      </c>
      <c r="G15568" s="504" t="s">
        <v>237</v>
      </c>
      <c r="H15568" s="397"/>
      <c r="I15568" s="397"/>
      <c r="J15568" s="750" t="e">
        <f t="shared" si="180"/>
        <v>#DIV/0!</v>
      </c>
      <c r="K15568" s="398"/>
      <c r="L15568" s="404"/>
      <c r="M15568" s="682"/>
    </row>
    <row r="15569" spans="5:13" hidden="1" x14ac:dyDescent="0.2">
      <c r="F15569" s="503" t="s">
        <v>238</v>
      </c>
      <c r="G15569" s="504" t="s">
        <v>239</v>
      </c>
      <c r="H15569" s="397"/>
      <c r="I15569" s="397"/>
      <c r="J15569" s="750" t="e">
        <f t="shared" si="180"/>
        <v>#DIV/0!</v>
      </c>
      <c r="K15569" s="398"/>
      <c r="L15569" s="404"/>
      <c r="M15569" s="682"/>
    </row>
    <row r="15570" spans="5:13" hidden="1" x14ac:dyDescent="0.2">
      <c r="F15570" s="503" t="s">
        <v>240</v>
      </c>
      <c r="G15570" s="504" t="s">
        <v>241</v>
      </c>
      <c r="H15570" s="397"/>
      <c r="I15570" s="397"/>
      <c r="J15570" s="750" t="e">
        <f t="shared" si="180"/>
        <v>#DIV/0!</v>
      </c>
      <c r="K15570" s="398"/>
      <c r="L15570" s="404"/>
      <c r="M15570" s="682"/>
    </row>
    <row r="15571" spans="5:13" hidden="1" x14ac:dyDescent="0.2">
      <c r="F15571" s="503" t="s">
        <v>242</v>
      </c>
      <c r="G15571" s="504" t="s">
        <v>243</v>
      </c>
      <c r="H15571" s="397"/>
      <c r="I15571" s="397"/>
      <c r="J15571" s="750" t="e">
        <f t="shared" si="180"/>
        <v>#DIV/0!</v>
      </c>
      <c r="K15571" s="398"/>
      <c r="L15571" s="404"/>
      <c r="M15571" s="682"/>
    </row>
    <row r="15572" spans="5:13" hidden="1" x14ac:dyDescent="0.2">
      <c r="F15572" s="503" t="s">
        <v>244</v>
      </c>
      <c r="G15572" s="504" t="s">
        <v>245</v>
      </c>
      <c r="H15572" s="397"/>
      <c r="I15572" s="397"/>
      <c r="J15572" s="750" t="e">
        <f t="shared" si="180"/>
        <v>#DIV/0!</v>
      </c>
      <c r="K15572" s="398"/>
      <c r="L15572" s="404"/>
      <c r="M15572" s="682"/>
    </row>
    <row r="15573" spans="5:13" hidden="1" x14ac:dyDescent="0.2">
      <c r="F15573" s="503" t="s">
        <v>246</v>
      </c>
      <c r="G15573" s="504" t="s">
        <v>247</v>
      </c>
      <c r="H15573" s="397"/>
      <c r="I15573" s="397"/>
      <c r="J15573" s="750" t="e">
        <f t="shared" si="180"/>
        <v>#DIV/0!</v>
      </c>
      <c r="K15573" s="398"/>
      <c r="L15573" s="404"/>
      <c r="M15573" s="682"/>
    </row>
    <row r="15574" spans="5:13" ht="25.5" hidden="1" x14ac:dyDescent="0.2">
      <c r="F15574" s="503" t="s">
        <v>248</v>
      </c>
      <c r="G15574" s="504" t="s">
        <v>249</v>
      </c>
      <c r="H15574" s="397"/>
      <c r="I15574" s="397"/>
      <c r="J15574" s="750" t="e">
        <f t="shared" si="180"/>
        <v>#DIV/0!</v>
      </c>
      <c r="K15574" s="398"/>
      <c r="L15574" s="404"/>
      <c r="M15574" s="682"/>
    </row>
    <row r="15575" spans="5:13" hidden="1" x14ac:dyDescent="0.2">
      <c r="F15575" s="503" t="s">
        <v>250</v>
      </c>
      <c r="G15575" s="504" t="s">
        <v>57</v>
      </c>
      <c r="H15575" s="397"/>
      <c r="I15575" s="397"/>
      <c r="J15575" s="750" t="e">
        <f t="shared" si="180"/>
        <v>#DIV/0!</v>
      </c>
      <c r="K15575" s="398"/>
      <c r="L15575" s="404"/>
      <c r="M15575" s="682"/>
    </row>
    <row r="15576" spans="5:13" hidden="1" x14ac:dyDescent="0.2">
      <c r="F15576" s="503" t="s">
        <v>251</v>
      </c>
      <c r="G15576" s="504" t="s">
        <v>252</v>
      </c>
      <c r="H15576" s="397"/>
      <c r="I15576" s="397"/>
      <c r="J15576" s="750" t="e">
        <f t="shared" si="180"/>
        <v>#DIV/0!</v>
      </c>
      <c r="K15576" s="398"/>
      <c r="L15576" s="404"/>
      <c r="M15576" s="682"/>
    </row>
    <row r="15577" spans="5:13" hidden="1" x14ac:dyDescent="0.2">
      <c r="F15577" s="503" t="s">
        <v>253</v>
      </c>
      <c r="G15577" s="504" t="s">
        <v>254</v>
      </c>
      <c r="H15577" s="397"/>
      <c r="I15577" s="397"/>
      <c r="J15577" s="750" t="e">
        <f t="shared" si="180"/>
        <v>#DIV/0!</v>
      </c>
      <c r="K15577" s="398"/>
      <c r="L15577" s="404"/>
      <c r="M15577" s="682"/>
    </row>
    <row r="15578" spans="5:13" ht="25.5" hidden="1" x14ac:dyDescent="0.2">
      <c r="F15578" s="503" t="s">
        <v>255</v>
      </c>
      <c r="G15578" s="504" t="s">
        <v>256</v>
      </c>
      <c r="H15578" s="397"/>
      <c r="I15578" s="397"/>
      <c r="J15578" s="750" t="e">
        <f t="shared" si="180"/>
        <v>#DIV/0!</v>
      </c>
      <c r="K15578" s="398"/>
      <c r="L15578" s="404"/>
      <c r="M15578" s="682"/>
    </row>
    <row r="15579" spans="5:13" ht="25.5" hidden="1" x14ac:dyDescent="0.2">
      <c r="F15579" s="503" t="s">
        <v>257</v>
      </c>
      <c r="G15579" s="504" t="s">
        <v>258</v>
      </c>
      <c r="H15579" s="397"/>
      <c r="I15579" s="397"/>
      <c r="J15579" s="750" t="e">
        <f t="shared" si="180"/>
        <v>#DIV/0!</v>
      </c>
      <c r="K15579" s="398"/>
      <c r="L15579" s="404"/>
      <c r="M15579" s="682"/>
    </row>
    <row r="15580" spans="5:13" ht="25.5" hidden="1" x14ac:dyDescent="0.2">
      <c r="F15580" s="503" t="s">
        <v>259</v>
      </c>
      <c r="G15580" s="504" t="s">
        <v>260</v>
      </c>
      <c r="H15580" s="397"/>
      <c r="I15580" s="397"/>
      <c r="J15580" s="750" t="e">
        <f t="shared" si="180"/>
        <v>#DIV/0!</v>
      </c>
      <c r="K15580" s="398"/>
      <c r="L15580" s="404"/>
      <c r="M15580" s="682"/>
    </row>
    <row r="15581" spans="5:13" ht="25.5" hidden="1" x14ac:dyDescent="0.2">
      <c r="F15581" s="503" t="s">
        <v>261</v>
      </c>
      <c r="G15581" s="504" t="s">
        <v>262</v>
      </c>
      <c r="H15581" s="397"/>
      <c r="I15581" s="397"/>
      <c r="J15581" s="750" t="e">
        <f t="shared" si="180"/>
        <v>#DIV/0!</v>
      </c>
      <c r="K15581" s="398"/>
      <c r="L15581" s="404"/>
      <c r="M15581" s="682"/>
    </row>
    <row r="15582" spans="5:13" ht="14.25" customHeight="1" thickBot="1" x14ac:dyDescent="0.25">
      <c r="F15582" s="503" t="s">
        <v>257</v>
      </c>
      <c r="G15582" s="504" t="s">
        <v>258</v>
      </c>
      <c r="H15582" s="403">
        <v>2500000</v>
      </c>
      <c r="I15582" s="403"/>
      <c r="J15582" s="750">
        <f t="shared" si="180"/>
        <v>0</v>
      </c>
      <c r="K15582" s="404"/>
      <c r="L15582" s="404"/>
      <c r="M15582" s="682"/>
    </row>
    <row r="15583" spans="5:13" ht="13.5" thickBot="1" x14ac:dyDescent="0.25">
      <c r="G15583" s="505" t="s">
        <v>4399</v>
      </c>
      <c r="H15583" s="405">
        <f>SUM(H15567:H15582)</f>
        <v>15900000</v>
      </c>
      <c r="I15583" s="405">
        <f>SUM(I15567)</f>
        <v>12978512.199999999</v>
      </c>
      <c r="J15583" s="750">
        <f t="shared" si="180"/>
        <v>81.625862893081759</v>
      </c>
      <c r="K15583" s="406">
        <f>SUM(K15568:K15582)</f>
        <v>0</v>
      </c>
      <c r="L15583" s="406"/>
      <c r="M15583" s="682"/>
    </row>
    <row r="15584" spans="5:13" x14ac:dyDescent="0.2">
      <c r="E15584" s="500"/>
      <c r="F15584" s="498"/>
      <c r="G15584" s="506" t="s">
        <v>5149</v>
      </c>
      <c r="H15584" s="407"/>
      <c r="I15584" s="408"/>
      <c r="J15584" s="750"/>
      <c r="K15584" s="409"/>
      <c r="L15584" s="410"/>
      <c r="M15584" s="682"/>
    </row>
    <row r="15585" spans="5:13" x14ac:dyDescent="0.2">
      <c r="E15585" s="502"/>
      <c r="F15585" s="503" t="s">
        <v>234</v>
      </c>
      <c r="G15585" s="504" t="s">
        <v>235</v>
      </c>
      <c r="H15585" s="403">
        <v>13400000</v>
      </c>
      <c r="I15585" s="403">
        <f>SUM(I15583)</f>
        <v>12978512.199999999</v>
      </c>
      <c r="J15585" s="750">
        <f t="shared" si="180"/>
        <v>96.85456865671641</v>
      </c>
      <c r="K15585" s="404"/>
      <c r="L15585" s="404"/>
      <c r="M15585" s="682"/>
    </row>
    <row r="15586" spans="5:13" hidden="1" x14ac:dyDescent="0.2">
      <c r="F15586" s="503" t="s">
        <v>236</v>
      </c>
      <c r="G15586" s="504" t="s">
        <v>237</v>
      </c>
      <c r="H15586" s="397"/>
      <c r="I15586" s="397"/>
      <c r="J15586" s="750" t="e">
        <f t="shared" si="180"/>
        <v>#DIV/0!</v>
      </c>
      <c r="K15586" s="398"/>
      <c r="L15586" s="404"/>
      <c r="M15586" s="682"/>
    </row>
    <row r="15587" spans="5:13" hidden="1" x14ac:dyDescent="0.2">
      <c r="F15587" s="503" t="s">
        <v>238</v>
      </c>
      <c r="G15587" s="504" t="s">
        <v>239</v>
      </c>
      <c r="H15587" s="397"/>
      <c r="I15587" s="397"/>
      <c r="J15587" s="750" t="e">
        <f t="shared" si="180"/>
        <v>#DIV/0!</v>
      </c>
      <c r="K15587" s="398"/>
      <c r="L15587" s="404"/>
      <c r="M15587" s="682"/>
    </row>
    <row r="15588" spans="5:13" hidden="1" x14ac:dyDescent="0.2">
      <c r="F15588" s="503" t="s">
        <v>240</v>
      </c>
      <c r="G15588" s="504" t="s">
        <v>241</v>
      </c>
      <c r="H15588" s="397"/>
      <c r="I15588" s="397"/>
      <c r="J15588" s="750" t="e">
        <f t="shared" si="180"/>
        <v>#DIV/0!</v>
      </c>
      <c r="K15588" s="398"/>
      <c r="L15588" s="404"/>
      <c r="M15588" s="682"/>
    </row>
    <row r="15589" spans="5:13" hidden="1" x14ac:dyDescent="0.2">
      <c r="F15589" s="503" t="s">
        <v>242</v>
      </c>
      <c r="G15589" s="504" t="s">
        <v>243</v>
      </c>
      <c r="H15589" s="397"/>
      <c r="I15589" s="397"/>
      <c r="J15589" s="750" t="e">
        <f t="shared" si="180"/>
        <v>#DIV/0!</v>
      </c>
      <c r="K15589" s="398"/>
      <c r="L15589" s="404"/>
      <c r="M15589" s="682"/>
    </row>
    <row r="15590" spans="5:13" hidden="1" x14ac:dyDescent="0.2">
      <c r="F15590" s="503" t="s">
        <v>244</v>
      </c>
      <c r="G15590" s="504" t="s">
        <v>245</v>
      </c>
      <c r="H15590" s="397"/>
      <c r="I15590" s="397"/>
      <c r="J15590" s="750" t="e">
        <f t="shared" si="180"/>
        <v>#DIV/0!</v>
      </c>
      <c r="K15590" s="398"/>
      <c r="L15590" s="404"/>
      <c r="M15590" s="682"/>
    </row>
    <row r="15591" spans="5:13" hidden="1" x14ac:dyDescent="0.2">
      <c r="F15591" s="503" t="s">
        <v>246</v>
      </c>
      <c r="G15591" s="504" t="s">
        <v>247</v>
      </c>
      <c r="H15591" s="397"/>
      <c r="I15591" s="397"/>
      <c r="J15591" s="750" t="e">
        <f t="shared" si="180"/>
        <v>#DIV/0!</v>
      </c>
      <c r="K15591" s="398"/>
      <c r="L15591" s="404"/>
      <c r="M15591" s="682"/>
    </row>
    <row r="15592" spans="5:13" ht="25.5" hidden="1" x14ac:dyDescent="0.2">
      <c r="F15592" s="503" t="s">
        <v>248</v>
      </c>
      <c r="G15592" s="504" t="s">
        <v>249</v>
      </c>
      <c r="H15592" s="397"/>
      <c r="I15592" s="397"/>
      <c r="J15592" s="750" t="e">
        <f t="shared" si="180"/>
        <v>#DIV/0!</v>
      </c>
      <c r="K15592" s="398"/>
      <c r="L15592" s="404"/>
      <c r="M15592" s="682"/>
    </row>
    <row r="15593" spans="5:13" hidden="1" x14ac:dyDescent="0.2">
      <c r="F15593" s="503" t="s">
        <v>250</v>
      </c>
      <c r="G15593" s="504" t="s">
        <v>57</v>
      </c>
      <c r="H15593" s="397"/>
      <c r="I15593" s="397"/>
      <c r="J15593" s="750" t="e">
        <f t="shared" si="180"/>
        <v>#DIV/0!</v>
      </c>
      <c r="K15593" s="398"/>
      <c r="L15593" s="404"/>
      <c r="M15593" s="682"/>
    </row>
    <row r="15594" spans="5:13" hidden="1" x14ac:dyDescent="0.2">
      <c r="F15594" s="503" t="s">
        <v>251</v>
      </c>
      <c r="G15594" s="504" t="s">
        <v>252</v>
      </c>
      <c r="H15594" s="397"/>
      <c r="I15594" s="397"/>
      <c r="J15594" s="750" t="e">
        <f t="shared" si="180"/>
        <v>#DIV/0!</v>
      </c>
      <c r="K15594" s="398"/>
      <c r="L15594" s="404"/>
      <c r="M15594" s="682"/>
    </row>
    <row r="15595" spans="5:13" hidden="1" x14ac:dyDescent="0.2">
      <c r="F15595" s="503" t="s">
        <v>253</v>
      </c>
      <c r="G15595" s="504" t="s">
        <v>254</v>
      </c>
      <c r="H15595" s="397"/>
      <c r="I15595" s="397"/>
      <c r="J15595" s="750" t="e">
        <f t="shared" si="180"/>
        <v>#DIV/0!</v>
      </c>
      <c r="K15595" s="398"/>
      <c r="L15595" s="404"/>
      <c r="M15595" s="682"/>
    </row>
    <row r="15596" spans="5:13" ht="25.5" hidden="1" x14ac:dyDescent="0.2">
      <c r="F15596" s="503" t="s">
        <v>255</v>
      </c>
      <c r="G15596" s="504" t="s">
        <v>256</v>
      </c>
      <c r="H15596" s="397"/>
      <c r="I15596" s="397"/>
      <c r="J15596" s="750" t="e">
        <f t="shared" si="180"/>
        <v>#DIV/0!</v>
      </c>
      <c r="K15596" s="398"/>
      <c r="L15596" s="404"/>
      <c r="M15596" s="682"/>
    </row>
    <row r="15597" spans="5:13" ht="25.5" hidden="1" x14ac:dyDescent="0.2">
      <c r="F15597" s="503" t="s">
        <v>257</v>
      </c>
      <c r="G15597" s="504" t="s">
        <v>258</v>
      </c>
      <c r="H15597" s="397"/>
      <c r="I15597" s="397"/>
      <c r="J15597" s="750" t="e">
        <f t="shared" si="180"/>
        <v>#DIV/0!</v>
      </c>
      <c r="K15597" s="398"/>
      <c r="L15597" s="404"/>
      <c r="M15597" s="682"/>
    </row>
    <row r="15598" spans="5:13" ht="25.5" hidden="1" x14ac:dyDescent="0.2">
      <c r="F15598" s="503" t="s">
        <v>259</v>
      </c>
      <c r="G15598" s="504" t="s">
        <v>260</v>
      </c>
      <c r="H15598" s="397"/>
      <c r="I15598" s="397"/>
      <c r="J15598" s="750" t="e">
        <f t="shared" si="180"/>
        <v>#DIV/0!</v>
      </c>
      <c r="K15598" s="398"/>
      <c r="L15598" s="404"/>
      <c r="M15598" s="682"/>
    </row>
    <row r="15599" spans="5:13" ht="25.5" hidden="1" x14ac:dyDescent="0.2">
      <c r="F15599" s="503" t="s">
        <v>261</v>
      </c>
      <c r="G15599" s="504" t="s">
        <v>262</v>
      </c>
      <c r="H15599" s="397"/>
      <c r="I15599" s="397"/>
      <c r="J15599" s="750" t="e">
        <f t="shared" si="180"/>
        <v>#DIV/0!</v>
      </c>
      <c r="K15599" s="398"/>
      <c r="L15599" s="404"/>
      <c r="M15599" s="682"/>
    </row>
    <row r="15600" spans="5:13" ht="17.25" customHeight="1" thickBot="1" x14ac:dyDescent="0.25">
      <c r="F15600" s="503" t="s">
        <v>257</v>
      </c>
      <c r="G15600" s="504" t="s">
        <v>258</v>
      </c>
      <c r="H15600" s="403">
        <v>2500000</v>
      </c>
      <c r="I15600" s="403"/>
      <c r="J15600" s="750">
        <f t="shared" si="180"/>
        <v>0</v>
      </c>
      <c r="K15600" s="404"/>
      <c r="L15600" s="404"/>
      <c r="M15600" s="682"/>
    </row>
    <row r="15601" spans="3:13" ht="13.5" customHeight="1" thickBot="1" x14ac:dyDescent="0.25">
      <c r="G15601" s="505" t="s">
        <v>5150</v>
      </c>
      <c r="H15601" s="405">
        <f>SUM(H15585:H15600)</f>
        <v>15900000</v>
      </c>
      <c r="I15601" s="405">
        <f>SUM(I15585)</f>
        <v>12978512.199999999</v>
      </c>
      <c r="J15601" s="750">
        <f t="shared" si="180"/>
        <v>81.625862893081759</v>
      </c>
      <c r="K15601" s="406">
        <f>SUM(K15586:K15600)</f>
        <v>0</v>
      </c>
      <c r="L15601" s="406"/>
      <c r="M15601" s="682"/>
    </row>
    <row r="15602" spans="3:13" ht="7.5" customHeight="1" x14ac:dyDescent="0.2">
      <c r="G15602" s="510"/>
      <c r="H15602" s="411"/>
      <c r="I15602" s="411"/>
      <c r="J15602" s="750"/>
      <c r="K15602" s="412"/>
      <c r="L15602" s="412"/>
      <c r="M15602" s="682"/>
    </row>
    <row r="15603" spans="3:13" x14ac:dyDescent="0.2">
      <c r="C15603" s="489" t="s">
        <v>4505</v>
      </c>
      <c r="D15603" s="490"/>
      <c r="G15603" s="508" t="s">
        <v>5180</v>
      </c>
      <c r="H15603" s="397"/>
      <c r="I15603" s="397"/>
      <c r="J15603" s="750"/>
      <c r="K15603" s="398"/>
      <c r="L15603" s="398"/>
      <c r="M15603" s="682"/>
    </row>
    <row r="15604" spans="3:13" x14ac:dyDescent="0.2">
      <c r="C15604" s="489"/>
      <c r="D15604" s="492">
        <v>520</v>
      </c>
      <c r="E15604" s="492"/>
      <c r="F15604" s="492"/>
      <c r="G15604" s="551" t="s">
        <v>175</v>
      </c>
      <c r="H15604" s="397"/>
      <c r="I15604" s="397"/>
      <c r="J15604" s="750"/>
      <c r="K15604" s="398"/>
      <c r="L15604" s="398"/>
      <c r="M15604" s="682"/>
    </row>
    <row r="15605" spans="3:13" hidden="1" x14ac:dyDescent="0.2">
      <c r="F15605" s="494">
        <v>411</v>
      </c>
      <c r="G15605" s="495" t="s">
        <v>4167</v>
      </c>
      <c r="H15605" s="397"/>
      <c r="I15605" s="397"/>
      <c r="J15605" s="750" t="e">
        <f t="shared" si="180"/>
        <v>#DIV/0!</v>
      </c>
      <c r="K15605" s="398"/>
      <c r="L15605" s="398"/>
      <c r="M15605" s="682"/>
    </row>
    <row r="15606" spans="3:13" hidden="1" x14ac:dyDescent="0.2">
      <c r="F15606" s="494">
        <v>412</v>
      </c>
      <c r="G15606" s="496" t="s">
        <v>3764</v>
      </c>
      <c r="H15606" s="397"/>
      <c r="I15606" s="397"/>
      <c r="J15606" s="750" t="e">
        <f t="shared" si="180"/>
        <v>#DIV/0!</v>
      </c>
      <c r="K15606" s="398"/>
      <c r="L15606" s="398"/>
      <c r="M15606" s="682"/>
    </row>
    <row r="15607" spans="3:13" hidden="1" x14ac:dyDescent="0.2">
      <c r="F15607" s="494">
        <v>413</v>
      </c>
      <c r="G15607" s="495" t="s">
        <v>4168</v>
      </c>
      <c r="H15607" s="397"/>
      <c r="I15607" s="397"/>
      <c r="J15607" s="750" t="e">
        <f t="shared" si="180"/>
        <v>#DIV/0!</v>
      </c>
      <c r="K15607" s="398"/>
      <c r="L15607" s="398"/>
      <c r="M15607" s="682"/>
    </row>
    <row r="15608" spans="3:13" hidden="1" x14ac:dyDescent="0.2">
      <c r="F15608" s="494">
        <v>414</v>
      </c>
      <c r="G15608" s="495" t="s">
        <v>3767</v>
      </c>
      <c r="H15608" s="397"/>
      <c r="I15608" s="397"/>
      <c r="J15608" s="750" t="e">
        <f t="shared" si="180"/>
        <v>#DIV/0!</v>
      </c>
      <c r="K15608" s="398"/>
      <c r="L15608" s="398"/>
      <c r="M15608" s="682"/>
    </row>
    <row r="15609" spans="3:13" hidden="1" x14ac:dyDescent="0.2">
      <c r="F15609" s="494">
        <v>415</v>
      </c>
      <c r="G15609" s="495" t="s">
        <v>4177</v>
      </c>
      <c r="H15609" s="397"/>
      <c r="I15609" s="397"/>
      <c r="J15609" s="750" t="e">
        <f t="shared" si="180"/>
        <v>#DIV/0!</v>
      </c>
      <c r="K15609" s="398"/>
      <c r="L15609" s="398"/>
      <c r="M15609" s="682"/>
    </row>
    <row r="15610" spans="3:13" ht="25.5" hidden="1" x14ac:dyDescent="0.2">
      <c r="F15610" s="494">
        <v>416</v>
      </c>
      <c r="G15610" s="495" t="s">
        <v>4178</v>
      </c>
      <c r="H15610" s="397"/>
      <c r="I15610" s="397"/>
      <c r="J15610" s="750" t="e">
        <f t="shared" si="180"/>
        <v>#DIV/0!</v>
      </c>
      <c r="K15610" s="398"/>
      <c r="L15610" s="398"/>
      <c r="M15610" s="682"/>
    </row>
    <row r="15611" spans="3:13" hidden="1" x14ac:dyDescent="0.2">
      <c r="F15611" s="494">
        <v>417</v>
      </c>
      <c r="G15611" s="495" t="s">
        <v>4179</v>
      </c>
      <c r="H15611" s="397"/>
      <c r="I15611" s="397"/>
      <c r="J15611" s="750" t="e">
        <f t="shared" si="180"/>
        <v>#DIV/0!</v>
      </c>
      <c r="K15611" s="398"/>
      <c r="L15611" s="398"/>
      <c r="M15611" s="682"/>
    </row>
    <row r="15612" spans="3:13" hidden="1" x14ac:dyDescent="0.2">
      <c r="F15612" s="494">
        <v>418</v>
      </c>
      <c r="G15612" s="495" t="s">
        <v>3773</v>
      </c>
      <c r="H15612" s="397"/>
      <c r="I15612" s="397"/>
      <c r="J15612" s="750" t="e">
        <f t="shared" si="180"/>
        <v>#DIV/0!</v>
      </c>
      <c r="K15612" s="398"/>
      <c r="L15612" s="398"/>
      <c r="M15612" s="682"/>
    </row>
    <row r="15613" spans="3:13" hidden="1" x14ac:dyDescent="0.2">
      <c r="F15613" s="494">
        <v>421</v>
      </c>
      <c r="G15613" s="495" t="s">
        <v>3777</v>
      </c>
      <c r="H15613" s="397"/>
      <c r="I15613" s="397"/>
      <c r="J15613" s="750" t="e">
        <f t="shared" si="180"/>
        <v>#DIV/0!</v>
      </c>
      <c r="K15613" s="398"/>
      <c r="L15613" s="398"/>
      <c r="M15613" s="682"/>
    </row>
    <row r="15614" spans="3:13" hidden="1" x14ac:dyDescent="0.2">
      <c r="F15614" s="494">
        <v>422</v>
      </c>
      <c r="G15614" s="495" t="s">
        <v>3778</v>
      </c>
      <c r="H15614" s="397"/>
      <c r="I15614" s="397"/>
      <c r="J15614" s="750" t="e">
        <f t="shared" si="180"/>
        <v>#DIV/0!</v>
      </c>
      <c r="K15614" s="398"/>
      <c r="L15614" s="398"/>
      <c r="M15614" s="682"/>
    </row>
    <row r="15615" spans="3:13" ht="19.5" hidden="1" customHeight="1" x14ac:dyDescent="0.2">
      <c r="F15615" s="494">
        <v>423</v>
      </c>
      <c r="G15615" s="495" t="s">
        <v>3779</v>
      </c>
      <c r="H15615" s="397"/>
      <c r="I15615" s="397"/>
      <c r="J15615" s="750" t="e">
        <f t="shared" si="180"/>
        <v>#DIV/0!</v>
      </c>
      <c r="K15615" s="398"/>
      <c r="L15615" s="398"/>
      <c r="M15615" s="682"/>
    </row>
    <row r="15616" spans="3:13" hidden="1" x14ac:dyDescent="0.2">
      <c r="F15616" s="494">
        <v>424</v>
      </c>
      <c r="G15616" s="495" t="s">
        <v>3781</v>
      </c>
      <c r="H15616" s="397"/>
      <c r="I15616" s="397"/>
      <c r="J15616" s="750" t="e">
        <f t="shared" si="180"/>
        <v>#DIV/0!</v>
      </c>
      <c r="K15616" s="398"/>
      <c r="L15616" s="398"/>
      <c r="M15616" s="682"/>
    </row>
    <row r="15617" spans="6:13" hidden="1" x14ac:dyDescent="0.2">
      <c r="F15617" s="494">
        <v>425</v>
      </c>
      <c r="G15617" s="495" t="s">
        <v>4180</v>
      </c>
      <c r="H15617" s="397"/>
      <c r="I15617" s="397"/>
      <c r="J15617" s="750" t="e">
        <f t="shared" si="180"/>
        <v>#DIV/0!</v>
      </c>
      <c r="K15617" s="398"/>
      <c r="L15617" s="398"/>
      <c r="M15617" s="682"/>
    </row>
    <row r="15618" spans="6:13" hidden="1" x14ac:dyDescent="0.2">
      <c r="F15618" s="494">
        <v>426</v>
      </c>
      <c r="G15618" s="495" t="s">
        <v>3785</v>
      </c>
      <c r="H15618" s="397"/>
      <c r="I15618" s="397"/>
      <c r="J15618" s="750" t="e">
        <f t="shared" si="180"/>
        <v>#DIV/0!</v>
      </c>
      <c r="K15618" s="398"/>
      <c r="L15618" s="398"/>
      <c r="M15618" s="682"/>
    </row>
    <row r="15619" spans="6:13" hidden="1" x14ac:dyDescent="0.2">
      <c r="F15619" s="494">
        <v>431</v>
      </c>
      <c r="G15619" s="495" t="s">
        <v>4181</v>
      </c>
      <c r="H15619" s="397"/>
      <c r="I15619" s="397"/>
      <c r="J15619" s="750" t="e">
        <f t="shared" si="180"/>
        <v>#DIV/0!</v>
      </c>
      <c r="K15619" s="398"/>
      <c r="L15619" s="398"/>
      <c r="M15619" s="682"/>
    </row>
    <row r="15620" spans="6:13" hidden="1" x14ac:dyDescent="0.2">
      <c r="F15620" s="494">
        <v>432</v>
      </c>
      <c r="G15620" s="495" t="s">
        <v>4182</v>
      </c>
      <c r="H15620" s="397"/>
      <c r="I15620" s="397"/>
      <c r="J15620" s="750" t="e">
        <f t="shared" si="180"/>
        <v>#DIV/0!</v>
      </c>
      <c r="K15620" s="398"/>
      <c r="L15620" s="398"/>
      <c r="M15620" s="682"/>
    </row>
    <row r="15621" spans="6:13" hidden="1" x14ac:dyDescent="0.2">
      <c r="F15621" s="494">
        <v>433</v>
      </c>
      <c r="G15621" s="495" t="s">
        <v>4183</v>
      </c>
      <c r="H15621" s="397"/>
      <c r="I15621" s="397"/>
      <c r="J15621" s="750" t="e">
        <f t="shared" si="180"/>
        <v>#DIV/0!</v>
      </c>
      <c r="K15621" s="398"/>
      <c r="L15621" s="398"/>
      <c r="M15621" s="682"/>
    </row>
    <row r="15622" spans="6:13" hidden="1" x14ac:dyDescent="0.2">
      <c r="F15622" s="494">
        <v>434</v>
      </c>
      <c r="G15622" s="495" t="s">
        <v>4184</v>
      </c>
      <c r="H15622" s="397"/>
      <c r="I15622" s="397"/>
      <c r="J15622" s="750" t="e">
        <f t="shared" si="180"/>
        <v>#DIV/0!</v>
      </c>
      <c r="K15622" s="398"/>
      <c r="L15622" s="398"/>
      <c r="M15622" s="682"/>
    </row>
    <row r="15623" spans="6:13" hidden="1" x14ac:dyDescent="0.2">
      <c r="F15623" s="494">
        <v>435</v>
      </c>
      <c r="G15623" s="495" t="s">
        <v>3792</v>
      </c>
      <c r="H15623" s="397"/>
      <c r="I15623" s="397"/>
      <c r="J15623" s="750" t="e">
        <f t="shared" si="180"/>
        <v>#DIV/0!</v>
      </c>
      <c r="K15623" s="398"/>
      <c r="L15623" s="398"/>
      <c r="M15623" s="682"/>
    </row>
    <row r="15624" spans="6:13" hidden="1" x14ac:dyDescent="0.2">
      <c r="F15624" s="494">
        <v>441</v>
      </c>
      <c r="G15624" s="495" t="s">
        <v>4185</v>
      </c>
      <c r="H15624" s="397"/>
      <c r="I15624" s="397"/>
      <c r="J15624" s="750" t="e">
        <f t="shared" si="180"/>
        <v>#DIV/0!</v>
      </c>
      <c r="K15624" s="398"/>
      <c r="L15624" s="398"/>
      <c r="M15624" s="682"/>
    </row>
    <row r="15625" spans="6:13" hidden="1" x14ac:dyDescent="0.2">
      <c r="F15625" s="494">
        <v>442</v>
      </c>
      <c r="G15625" s="495" t="s">
        <v>4186</v>
      </c>
      <c r="H15625" s="397"/>
      <c r="I15625" s="397"/>
      <c r="J15625" s="750" t="e">
        <f t="shared" si="180"/>
        <v>#DIV/0!</v>
      </c>
      <c r="K15625" s="398"/>
      <c r="L15625" s="398"/>
      <c r="M15625" s="682"/>
    </row>
    <row r="15626" spans="6:13" hidden="1" x14ac:dyDescent="0.2">
      <c r="F15626" s="494">
        <v>443</v>
      </c>
      <c r="G15626" s="495" t="s">
        <v>3797</v>
      </c>
      <c r="H15626" s="397"/>
      <c r="I15626" s="397"/>
      <c r="J15626" s="750" t="e">
        <f t="shared" si="180"/>
        <v>#DIV/0!</v>
      </c>
      <c r="K15626" s="398"/>
      <c r="L15626" s="398"/>
      <c r="M15626" s="682"/>
    </row>
    <row r="15627" spans="6:13" hidden="1" x14ac:dyDescent="0.2">
      <c r="F15627" s="494">
        <v>444</v>
      </c>
      <c r="G15627" s="495" t="s">
        <v>3798</v>
      </c>
      <c r="H15627" s="397"/>
      <c r="I15627" s="397"/>
      <c r="J15627" s="750" t="e">
        <f t="shared" si="180"/>
        <v>#DIV/0!</v>
      </c>
      <c r="K15627" s="398"/>
      <c r="L15627" s="398"/>
      <c r="M15627" s="682"/>
    </row>
    <row r="15628" spans="6:13" ht="25.5" hidden="1" x14ac:dyDescent="0.2">
      <c r="F15628" s="494">
        <v>4511</v>
      </c>
      <c r="G15628" s="466" t="s">
        <v>1692</v>
      </c>
      <c r="H15628" s="397"/>
      <c r="I15628" s="397"/>
      <c r="J15628" s="750" t="e">
        <f t="shared" si="180"/>
        <v>#DIV/0!</v>
      </c>
      <c r="K15628" s="398"/>
      <c r="L15628" s="398"/>
      <c r="M15628" s="682"/>
    </row>
    <row r="15629" spans="6:13" ht="25.5" hidden="1" x14ac:dyDescent="0.2">
      <c r="F15629" s="494">
        <v>4512</v>
      </c>
      <c r="G15629" s="466" t="s">
        <v>1701</v>
      </c>
      <c r="H15629" s="397"/>
      <c r="I15629" s="397"/>
      <c r="J15629" s="750" t="e">
        <f t="shared" si="180"/>
        <v>#DIV/0!</v>
      </c>
      <c r="K15629" s="398"/>
      <c r="L15629" s="398"/>
      <c r="M15629" s="682"/>
    </row>
    <row r="15630" spans="6:13" ht="25.5" hidden="1" x14ac:dyDescent="0.2">
      <c r="F15630" s="494">
        <v>452</v>
      </c>
      <c r="G15630" s="495" t="s">
        <v>4187</v>
      </c>
      <c r="H15630" s="397"/>
      <c r="I15630" s="397"/>
      <c r="J15630" s="750" t="e">
        <f t="shared" ref="J15630:J15693" si="181">SUM(I15630/H15630)*100</f>
        <v>#DIV/0!</v>
      </c>
      <c r="K15630" s="398"/>
      <c r="L15630" s="398"/>
      <c r="M15630" s="682"/>
    </row>
    <row r="15631" spans="6:13" ht="25.5" hidden="1" x14ac:dyDescent="0.2">
      <c r="F15631" s="494">
        <v>453</v>
      </c>
      <c r="G15631" s="495" t="s">
        <v>4188</v>
      </c>
      <c r="H15631" s="397"/>
      <c r="I15631" s="397"/>
      <c r="J15631" s="750" t="e">
        <f t="shared" si="181"/>
        <v>#DIV/0!</v>
      </c>
      <c r="K15631" s="398"/>
      <c r="L15631" s="398"/>
      <c r="M15631" s="682"/>
    </row>
    <row r="15632" spans="6:13" hidden="1" x14ac:dyDescent="0.2">
      <c r="F15632" s="494">
        <v>454</v>
      </c>
      <c r="G15632" s="495" t="s">
        <v>3803</v>
      </c>
      <c r="H15632" s="397"/>
      <c r="I15632" s="397"/>
      <c r="J15632" s="750" t="e">
        <f t="shared" si="181"/>
        <v>#DIV/0!</v>
      </c>
      <c r="K15632" s="398"/>
      <c r="L15632" s="398"/>
      <c r="M15632" s="682"/>
    </row>
    <row r="15633" spans="6:13" hidden="1" x14ac:dyDescent="0.2">
      <c r="F15633" s="494">
        <v>461</v>
      </c>
      <c r="G15633" s="495" t="s">
        <v>4169</v>
      </c>
      <c r="H15633" s="397"/>
      <c r="I15633" s="397"/>
      <c r="J15633" s="750" t="e">
        <f t="shared" si="181"/>
        <v>#DIV/0!</v>
      </c>
      <c r="K15633" s="398"/>
      <c r="L15633" s="398"/>
      <c r="M15633" s="682"/>
    </row>
    <row r="15634" spans="6:13" ht="25.5" hidden="1" x14ac:dyDescent="0.2">
      <c r="F15634" s="494">
        <v>462</v>
      </c>
      <c r="G15634" s="495" t="s">
        <v>3806</v>
      </c>
      <c r="H15634" s="397"/>
      <c r="I15634" s="397"/>
      <c r="J15634" s="750" t="e">
        <f t="shared" si="181"/>
        <v>#DIV/0!</v>
      </c>
      <c r="K15634" s="398"/>
      <c r="L15634" s="398"/>
      <c r="M15634" s="682"/>
    </row>
    <row r="15635" spans="6:13" hidden="1" x14ac:dyDescent="0.2">
      <c r="F15635" s="494">
        <v>4631</v>
      </c>
      <c r="G15635" s="495" t="s">
        <v>3807</v>
      </c>
      <c r="H15635" s="397"/>
      <c r="I15635" s="397"/>
      <c r="J15635" s="750" t="e">
        <f t="shared" si="181"/>
        <v>#DIV/0!</v>
      </c>
      <c r="K15635" s="398"/>
      <c r="L15635" s="398"/>
      <c r="M15635" s="682"/>
    </row>
    <row r="15636" spans="6:13" hidden="1" x14ac:dyDescent="0.2">
      <c r="F15636" s="494">
        <v>4632</v>
      </c>
      <c r="G15636" s="495" t="s">
        <v>3808</v>
      </c>
      <c r="H15636" s="397"/>
      <c r="I15636" s="397"/>
      <c r="J15636" s="750" t="e">
        <f t="shared" si="181"/>
        <v>#DIV/0!</v>
      </c>
      <c r="K15636" s="398"/>
      <c r="L15636" s="398"/>
      <c r="M15636" s="682"/>
    </row>
    <row r="15637" spans="6:13" ht="25.5" hidden="1" x14ac:dyDescent="0.2">
      <c r="F15637" s="494">
        <v>464</v>
      </c>
      <c r="G15637" s="495" t="s">
        <v>3809</v>
      </c>
      <c r="H15637" s="397"/>
      <c r="I15637" s="397"/>
      <c r="J15637" s="750" t="e">
        <f t="shared" si="181"/>
        <v>#DIV/0!</v>
      </c>
      <c r="K15637" s="398"/>
      <c r="L15637" s="398"/>
      <c r="M15637" s="682"/>
    </row>
    <row r="15638" spans="6:13" hidden="1" x14ac:dyDescent="0.2">
      <c r="F15638" s="494">
        <v>465</v>
      </c>
      <c r="G15638" s="495" t="s">
        <v>4170</v>
      </c>
      <c r="H15638" s="397"/>
      <c r="I15638" s="397"/>
      <c r="J15638" s="750" t="e">
        <f t="shared" si="181"/>
        <v>#DIV/0!</v>
      </c>
      <c r="K15638" s="398"/>
      <c r="L15638" s="398"/>
      <c r="M15638" s="682"/>
    </row>
    <row r="15639" spans="6:13" hidden="1" x14ac:dyDescent="0.2">
      <c r="F15639" s="494">
        <v>472</v>
      </c>
      <c r="G15639" s="495" t="s">
        <v>3813</v>
      </c>
      <c r="H15639" s="397"/>
      <c r="I15639" s="397"/>
      <c r="J15639" s="750" t="e">
        <f t="shared" si="181"/>
        <v>#DIV/0!</v>
      </c>
      <c r="K15639" s="398"/>
      <c r="L15639" s="398"/>
      <c r="M15639" s="682"/>
    </row>
    <row r="15640" spans="6:13" hidden="1" x14ac:dyDescent="0.2">
      <c r="F15640" s="494">
        <v>481</v>
      </c>
      <c r="G15640" s="495" t="s">
        <v>4189</v>
      </c>
      <c r="H15640" s="397"/>
      <c r="I15640" s="397"/>
      <c r="J15640" s="750" t="e">
        <f t="shared" si="181"/>
        <v>#DIV/0!</v>
      </c>
      <c r="K15640" s="398"/>
      <c r="L15640" s="398"/>
      <c r="M15640" s="682"/>
    </row>
    <row r="15641" spans="6:13" hidden="1" x14ac:dyDescent="0.2">
      <c r="F15641" s="494">
        <v>482</v>
      </c>
      <c r="G15641" s="495" t="s">
        <v>4190</v>
      </c>
      <c r="H15641" s="397"/>
      <c r="I15641" s="397"/>
      <c r="J15641" s="750" t="e">
        <f t="shared" si="181"/>
        <v>#DIV/0!</v>
      </c>
      <c r="K15641" s="398"/>
      <c r="L15641" s="398"/>
      <c r="M15641" s="682"/>
    </row>
    <row r="15642" spans="6:13" hidden="1" x14ac:dyDescent="0.2">
      <c r="F15642" s="494">
        <v>483</v>
      </c>
      <c r="G15642" s="497" t="s">
        <v>4191</v>
      </c>
      <c r="H15642" s="397"/>
      <c r="I15642" s="397"/>
      <c r="J15642" s="750" t="e">
        <f t="shared" si="181"/>
        <v>#DIV/0!</v>
      </c>
      <c r="K15642" s="398"/>
      <c r="L15642" s="398"/>
      <c r="M15642" s="682"/>
    </row>
    <row r="15643" spans="6:13" ht="38.25" hidden="1" x14ac:dyDescent="0.2">
      <c r="F15643" s="494">
        <v>484</v>
      </c>
      <c r="G15643" s="495" t="s">
        <v>4192</v>
      </c>
      <c r="H15643" s="397"/>
      <c r="I15643" s="397"/>
      <c r="J15643" s="750" t="e">
        <f t="shared" si="181"/>
        <v>#DIV/0!</v>
      </c>
      <c r="K15643" s="398"/>
      <c r="L15643" s="398"/>
      <c r="M15643" s="682"/>
    </row>
    <row r="15644" spans="6:13" ht="25.5" hidden="1" x14ac:dyDescent="0.2">
      <c r="F15644" s="494">
        <v>485</v>
      </c>
      <c r="G15644" s="495" t="s">
        <v>4193</v>
      </c>
      <c r="H15644" s="397"/>
      <c r="I15644" s="397"/>
      <c r="J15644" s="750" t="e">
        <f t="shared" si="181"/>
        <v>#DIV/0!</v>
      </c>
      <c r="K15644" s="398"/>
      <c r="L15644" s="398"/>
      <c r="M15644" s="682"/>
    </row>
    <row r="15645" spans="6:13" ht="25.5" hidden="1" x14ac:dyDescent="0.2">
      <c r="F15645" s="494">
        <v>489</v>
      </c>
      <c r="G15645" s="495" t="s">
        <v>3821</v>
      </c>
      <c r="H15645" s="397"/>
      <c r="I15645" s="397"/>
      <c r="J15645" s="750" t="e">
        <f t="shared" si="181"/>
        <v>#DIV/0!</v>
      </c>
      <c r="K15645" s="398"/>
      <c r="L15645" s="398"/>
      <c r="M15645" s="682"/>
    </row>
    <row r="15646" spans="6:13" ht="25.5" hidden="1" x14ac:dyDescent="0.2">
      <c r="F15646" s="494">
        <v>494</v>
      </c>
      <c r="G15646" s="495" t="s">
        <v>4171</v>
      </c>
      <c r="H15646" s="397"/>
      <c r="I15646" s="397"/>
      <c r="J15646" s="750" t="e">
        <f t="shared" si="181"/>
        <v>#DIV/0!</v>
      </c>
      <c r="K15646" s="398"/>
      <c r="L15646" s="398"/>
      <c r="M15646" s="682"/>
    </row>
    <row r="15647" spans="6:13" ht="25.5" hidden="1" x14ac:dyDescent="0.2">
      <c r="F15647" s="494">
        <v>495</v>
      </c>
      <c r="G15647" s="495" t="s">
        <v>4172</v>
      </c>
      <c r="H15647" s="397"/>
      <c r="I15647" s="397"/>
      <c r="J15647" s="750" t="e">
        <f t="shared" si="181"/>
        <v>#DIV/0!</v>
      </c>
      <c r="K15647" s="398"/>
      <c r="L15647" s="398"/>
      <c r="M15647" s="682"/>
    </row>
    <row r="15648" spans="6:13" ht="38.25" hidden="1" x14ac:dyDescent="0.2">
      <c r="F15648" s="494">
        <v>496</v>
      </c>
      <c r="G15648" s="495" t="s">
        <v>4173</v>
      </c>
      <c r="H15648" s="397"/>
      <c r="I15648" s="397"/>
      <c r="J15648" s="750" t="e">
        <f t="shared" si="181"/>
        <v>#DIV/0!</v>
      </c>
      <c r="K15648" s="398"/>
      <c r="L15648" s="398"/>
      <c r="M15648" s="682"/>
    </row>
    <row r="15649" spans="5:13" ht="25.5" hidden="1" x14ac:dyDescent="0.2">
      <c r="F15649" s="494">
        <v>499</v>
      </c>
      <c r="G15649" s="495" t="s">
        <v>4174</v>
      </c>
      <c r="H15649" s="397"/>
      <c r="I15649" s="397"/>
      <c r="J15649" s="750" t="e">
        <f t="shared" si="181"/>
        <v>#DIV/0!</v>
      </c>
      <c r="K15649" s="398"/>
      <c r="L15649" s="398"/>
      <c r="M15649" s="682"/>
    </row>
    <row r="15650" spans="5:13" ht="13.5" thickBot="1" x14ac:dyDescent="0.25">
      <c r="E15650" s="464">
        <v>171</v>
      </c>
      <c r="F15650" s="494">
        <v>511</v>
      </c>
      <c r="G15650" s="497" t="s">
        <v>4194</v>
      </c>
      <c r="H15650" s="397">
        <v>8900000</v>
      </c>
      <c r="I15650" s="397">
        <v>7893567.5</v>
      </c>
      <c r="J15650" s="750">
        <f t="shared" si="181"/>
        <v>88.691769662921345</v>
      </c>
      <c r="K15650" s="398"/>
      <c r="L15650" s="398"/>
      <c r="M15650" s="682"/>
    </row>
    <row r="15651" spans="5:13" ht="13.5" hidden="1" thickBot="1" x14ac:dyDescent="0.25">
      <c r="F15651" s="494">
        <v>512</v>
      </c>
      <c r="G15651" s="497" t="s">
        <v>4195</v>
      </c>
      <c r="H15651" s="397"/>
      <c r="I15651" s="397"/>
      <c r="J15651" s="750" t="e">
        <f t="shared" si="181"/>
        <v>#DIV/0!</v>
      </c>
      <c r="K15651" s="398"/>
      <c r="L15651" s="398"/>
      <c r="M15651" s="682"/>
    </row>
    <row r="15652" spans="5:13" ht="13.5" hidden="1" thickBot="1" x14ac:dyDescent="0.25">
      <c r="F15652" s="494">
        <v>513</v>
      </c>
      <c r="G15652" s="497" t="s">
        <v>4196</v>
      </c>
      <c r="H15652" s="397"/>
      <c r="I15652" s="397"/>
      <c r="J15652" s="750" t="e">
        <f t="shared" si="181"/>
        <v>#DIV/0!</v>
      </c>
      <c r="K15652" s="398"/>
      <c r="L15652" s="398"/>
      <c r="M15652" s="682"/>
    </row>
    <row r="15653" spans="5:13" ht="13.5" hidden="1" thickBot="1" x14ac:dyDescent="0.25">
      <c r="F15653" s="494">
        <v>514</v>
      </c>
      <c r="G15653" s="495" t="s">
        <v>4197</v>
      </c>
      <c r="H15653" s="397"/>
      <c r="I15653" s="397"/>
      <c r="J15653" s="750" t="e">
        <f t="shared" si="181"/>
        <v>#DIV/0!</v>
      </c>
      <c r="K15653" s="398"/>
      <c r="L15653" s="398"/>
      <c r="M15653" s="682"/>
    </row>
    <row r="15654" spans="5:13" ht="13.5" hidden="1" thickBot="1" x14ac:dyDescent="0.25">
      <c r="F15654" s="494">
        <v>515</v>
      </c>
      <c r="G15654" s="495" t="s">
        <v>3832</v>
      </c>
      <c r="H15654" s="397"/>
      <c r="I15654" s="397"/>
      <c r="J15654" s="750" t="e">
        <f t="shared" si="181"/>
        <v>#DIV/0!</v>
      </c>
      <c r="K15654" s="398"/>
      <c r="L15654" s="398"/>
      <c r="M15654" s="682"/>
    </row>
    <row r="15655" spans="5:13" ht="13.5" hidden="1" thickBot="1" x14ac:dyDescent="0.25">
      <c r="F15655" s="494">
        <v>521</v>
      </c>
      <c r="G15655" s="495" t="s">
        <v>4198</v>
      </c>
      <c r="H15655" s="397"/>
      <c r="I15655" s="397"/>
      <c r="J15655" s="750" t="e">
        <f t="shared" si="181"/>
        <v>#DIV/0!</v>
      </c>
      <c r="K15655" s="398"/>
      <c r="L15655" s="398"/>
      <c r="M15655" s="682"/>
    </row>
    <row r="15656" spans="5:13" ht="13.5" hidden="1" thickBot="1" x14ac:dyDescent="0.25">
      <c r="F15656" s="494">
        <v>522</v>
      </c>
      <c r="G15656" s="495" t="s">
        <v>4199</v>
      </c>
      <c r="H15656" s="397"/>
      <c r="I15656" s="397"/>
      <c r="J15656" s="750" t="e">
        <f t="shared" si="181"/>
        <v>#DIV/0!</v>
      </c>
      <c r="K15656" s="398"/>
      <c r="L15656" s="398"/>
      <c r="M15656" s="682"/>
    </row>
    <row r="15657" spans="5:13" ht="13.5" hidden="1" thickBot="1" x14ac:dyDescent="0.25">
      <c r="F15657" s="494">
        <v>523</v>
      </c>
      <c r="G15657" s="495" t="s">
        <v>3837</v>
      </c>
      <c r="H15657" s="397"/>
      <c r="I15657" s="397"/>
      <c r="J15657" s="750" t="e">
        <f t="shared" si="181"/>
        <v>#DIV/0!</v>
      </c>
      <c r="K15657" s="398"/>
      <c r="L15657" s="398"/>
      <c r="M15657" s="682"/>
    </row>
    <row r="15658" spans="5:13" ht="13.5" hidden="1" thickBot="1" x14ac:dyDescent="0.25">
      <c r="F15658" s="494">
        <v>531</v>
      </c>
      <c r="G15658" s="496" t="s">
        <v>4175</v>
      </c>
      <c r="H15658" s="397"/>
      <c r="I15658" s="397"/>
      <c r="J15658" s="750" t="e">
        <f t="shared" si="181"/>
        <v>#DIV/0!</v>
      </c>
      <c r="K15658" s="398"/>
      <c r="L15658" s="398"/>
      <c r="M15658" s="682"/>
    </row>
    <row r="15659" spans="5:13" ht="13.5" hidden="1" thickBot="1" x14ac:dyDescent="0.25">
      <c r="F15659" s="494">
        <v>541</v>
      </c>
      <c r="G15659" s="495" t="s">
        <v>4200</v>
      </c>
      <c r="H15659" s="397"/>
      <c r="I15659" s="397"/>
      <c r="J15659" s="750" t="e">
        <f t="shared" si="181"/>
        <v>#DIV/0!</v>
      </c>
      <c r="K15659" s="398"/>
      <c r="L15659" s="398"/>
      <c r="M15659" s="682"/>
    </row>
    <row r="15660" spans="5:13" ht="13.5" hidden="1" thickBot="1" x14ac:dyDescent="0.25">
      <c r="F15660" s="494">
        <v>542</v>
      </c>
      <c r="G15660" s="495" t="s">
        <v>4201</v>
      </c>
      <c r="H15660" s="397"/>
      <c r="I15660" s="397"/>
      <c r="J15660" s="750" t="e">
        <f t="shared" si="181"/>
        <v>#DIV/0!</v>
      </c>
      <c r="K15660" s="398"/>
      <c r="L15660" s="398"/>
      <c r="M15660" s="682"/>
    </row>
    <row r="15661" spans="5:13" ht="13.5" hidden="1" thickBot="1" x14ac:dyDescent="0.25">
      <c r="F15661" s="494">
        <v>543</v>
      </c>
      <c r="G15661" s="495" t="s">
        <v>3842</v>
      </c>
      <c r="H15661" s="397"/>
      <c r="I15661" s="397"/>
      <c r="J15661" s="750" t="e">
        <f t="shared" si="181"/>
        <v>#DIV/0!</v>
      </c>
      <c r="K15661" s="398"/>
      <c r="L15661" s="398"/>
      <c r="M15661" s="682"/>
    </row>
    <row r="15662" spans="5:13" ht="39" hidden="1" thickBot="1" x14ac:dyDescent="0.25">
      <c r="F15662" s="494">
        <v>551</v>
      </c>
      <c r="G15662" s="495" t="s">
        <v>4176</v>
      </c>
      <c r="H15662" s="397"/>
      <c r="I15662" s="397"/>
      <c r="J15662" s="750" t="e">
        <f t="shared" si="181"/>
        <v>#DIV/0!</v>
      </c>
      <c r="K15662" s="398"/>
      <c r="L15662" s="398"/>
      <c r="M15662" s="682"/>
    </row>
    <row r="15663" spans="5:13" ht="13.5" hidden="1" thickBot="1" x14ac:dyDescent="0.25">
      <c r="F15663" s="498">
        <v>611</v>
      </c>
      <c r="G15663" s="499" t="s">
        <v>3848</v>
      </c>
      <c r="H15663" s="397"/>
      <c r="I15663" s="397"/>
      <c r="J15663" s="750" t="e">
        <f t="shared" si="181"/>
        <v>#DIV/0!</v>
      </c>
      <c r="K15663" s="398"/>
      <c r="L15663" s="398"/>
      <c r="M15663" s="682"/>
    </row>
    <row r="15664" spans="5:13" ht="13.5" hidden="1" thickBot="1" x14ac:dyDescent="0.25">
      <c r="F15664" s="498">
        <v>620</v>
      </c>
      <c r="G15664" s="499" t="s">
        <v>88</v>
      </c>
      <c r="H15664" s="397"/>
      <c r="I15664" s="397"/>
      <c r="J15664" s="750" t="e">
        <f t="shared" si="181"/>
        <v>#DIV/0!</v>
      </c>
      <c r="K15664" s="398"/>
      <c r="L15664" s="398"/>
      <c r="M15664" s="682"/>
    </row>
    <row r="15665" spans="5:13" x14ac:dyDescent="0.2">
      <c r="E15665" s="500"/>
      <c r="F15665" s="498"/>
      <c r="G15665" s="501" t="s">
        <v>5177</v>
      </c>
      <c r="H15665" s="400"/>
      <c r="I15665" s="400"/>
      <c r="J15665" s="750"/>
      <c r="K15665" s="401"/>
      <c r="L15665" s="402"/>
      <c r="M15665" s="682"/>
    </row>
    <row r="15666" spans="5:13" ht="13.5" thickBot="1" x14ac:dyDescent="0.25">
      <c r="E15666" s="502"/>
      <c r="F15666" s="503" t="s">
        <v>234</v>
      </c>
      <c r="G15666" s="504" t="s">
        <v>235</v>
      </c>
      <c r="H15666" s="403">
        <f>SUM(H15605:H15664)</f>
        <v>8900000</v>
      </c>
      <c r="I15666" s="403">
        <f>SUM(I15650)</f>
        <v>7893567.5</v>
      </c>
      <c r="J15666" s="750">
        <f t="shared" si="181"/>
        <v>88.691769662921345</v>
      </c>
      <c r="K15666" s="404"/>
      <c r="L15666" s="404"/>
      <c r="M15666" s="682"/>
    </row>
    <row r="15667" spans="5:13" ht="13.5" hidden="1" thickBot="1" x14ac:dyDescent="0.25">
      <c r="F15667" s="503" t="s">
        <v>236</v>
      </c>
      <c r="G15667" s="504" t="s">
        <v>237</v>
      </c>
      <c r="H15667" s="397"/>
      <c r="I15667" s="397"/>
      <c r="J15667" s="750" t="e">
        <f t="shared" si="181"/>
        <v>#DIV/0!</v>
      </c>
      <c r="K15667" s="398"/>
      <c r="L15667" s="404"/>
      <c r="M15667" s="682"/>
    </row>
    <row r="15668" spans="5:13" ht="13.5" hidden="1" thickBot="1" x14ac:dyDescent="0.25">
      <c r="F15668" s="503" t="s">
        <v>238</v>
      </c>
      <c r="G15668" s="504" t="s">
        <v>239</v>
      </c>
      <c r="H15668" s="397"/>
      <c r="I15668" s="397"/>
      <c r="J15668" s="750" t="e">
        <f t="shared" si="181"/>
        <v>#DIV/0!</v>
      </c>
      <c r="K15668" s="398"/>
      <c r="L15668" s="404"/>
      <c r="M15668" s="682"/>
    </row>
    <row r="15669" spans="5:13" ht="13.5" hidden="1" thickBot="1" x14ac:dyDescent="0.25">
      <c r="F15669" s="503" t="s">
        <v>240</v>
      </c>
      <c r="G15669" s="504" t="s">
        <v>241</v>
      </c>
      <c r="H15669" s="397"/>
      <c r="I15669" s="397"/>
      <c r="J15669" s="750" t="e">
        <f t="shared" si="181"/>
        <v>#DIV/0!</v>
      </c>
      <c r="K15669" s="398"/>
      <c r="L15669" s="404"/>
      <c r="M15669" s="682"/>
    </row>
    <row r="15670" spans="5:13" ht="13.5" hidden="1" thickBot="1" x14ac:dyDescent="0.25">
      <c r="F15670" s="503" t="s">
        <v>242</v>
      </c>
      <c r="G15670" s="504" t="s">
        <v>243</v>
      </c>
      <c r="H15670" s="397"/>
      <c r="I15670" s="397"/>
      <c r="J15670" s="750" t="e">
        <f t="shared" si="181"/>
        <v>#DIV/0!</v>
      </c>
      <c r="K15670" s="398"/>
      <c r="L15670" s="404"/>
      <c r="M15670" s="682"/>
    </row>
    <row r="15671" spans="5:13" ht="13.5" hidden="1" thickBot="1" x14ac:dyDescent="0.25">
      <c r="F15671" s="503" t="s">
        <v>244</v>
      </c>
      <c r="G15671" s="504" t="s">
        <v>245</v>
      </c>
      <c r="H15671" s="397"/>
      <c r="I15671" s="397"/>
      <c r="J15671" s="750" t="e">
        <f t="shared" si="181"/>
        <v>#DIV/0!</v>
      </c>
      <c r="K15671" s="398"/>
      <c r="L15671" s="404"/>
      <c r="M15671" s="682"/>
    </row>
    <row r="15672" spans="5:13" ht="13.5" hidden="1" thickBot="1" x14ac:dyDescent="0.25">
      <c r="F15672" s="503" t="s">
        <v>246</v>
      </c>
      <c r="G15672" s="504" t="s">
        <v>247</v>
      </c>
      <c r="H15672" s="397"/>
      <c r="I15672" s="397"/>
      <c r="J15672" s="750" t="e">
        <f t="shared" si="181"/>
        <v>#DIV/0!</v>
      </c>
      <c r="K15672" s="398"/>
      <c r="L15672" s="404"/>
      <c r="M15672" s="682"/>
    </row>
    <row r="15673" spans="5:13" ht="26.25" hidden="1" thickBot="1" x14ac:dyDescent="0.25">
      <c r="F15673" s="503" t="s">
        <v>248</v>
      </c>
      <c r="G15673" s="504" t="s">
        <v>249</v>
      </c>
      <c r="H15673" s="397"/>
      <c r="I15673" s="397"/>
      <c r="J15673" s="750" t="e">
        <f t="shared" si="181"/>
        <v>#DIV/0!</v>
      </c>
      <c r="K15673" s="398"/>
      <c r="L15673" s="404"/>
      <c r="M15673" s="682"/>
    </row>
    <row r="15674" spans="5:13" ht="13.5" hidden="1" thickBot="1" x14ac:dyDescent="0.25">
      <c r="F15674" s="503" t="s">
        <v>250</v>
      </c>
      <c r="G15674" s="504" t="s">
        <v>57</v>
      </c>
      <c r="H15674" s="397"/>
      <c r="I15674" s="397"/>
      <c r="J15674" s="750" t="e">
        <f t="shared" si="181"/>
        <v>#DIV/0!</v>
      </c>
      <c r="K15674" s="398"/>
      <c r="L15674" s="404"/>
      <c r="M15674" s="682"/>
    </row>
    <row r="15675" spans="5:13" ht="13.5" hidden="1" thickBot="1" x14ac:dyDescent="0.25">
      <c r="F15675" s="503" t="s">
        <v>251</v>
      </c>
      <c r="G15675" s="504" t="s">
        <v>252</v>
      </c>
      <c r="H15675" s="397"/>
      <c r="I15675" s="397"/>
      <c r="J15675" s="750" t="e">
        <f t="shared" si="181"/>
        <v>#DIV/0!</v>
      </c>
      <c r="K15675" s="398"/>
      <c r="L15675" s="404"/>
      <c r="M15675" s="682"/>
    </row>
    <row r="15676" spans="5:13" ht="13.5" hidden="1" thickBot="1" x14ac:dyDescent="0.25">
      <c r="F15676" s="503" t="s">
        <v>253</v>
      </c>
      <c r="G15676" s="504" t="s">
        <v>254</v>
      </c>
      <c r="H15676" s="397"/>
      <c r="I15676" s="397"/>
      <c r="J15676" s="750" t="e">
        <f t="shared" si="181"/>
        <v>#DIV/0!</v>
      </c>
      <c r="K15676" s="398"/>
      <c r="L15676" s="404"/>
      <c r="M15676" s="682"/>
    </row>
    <row r="15677" spans="5:13" ht="26.25" hidden="1" thickBot="1" x14ac:dyDescent="0.25">
      <c r="F15677" s="503" t="s">
        <v>255</v>
      </c>
      <c r="G15677" s="504" t="s">
        <v>256</v>
      </c>
      <c r="H15677" s="397"/>
      <c r="I15677" s="397"/>
      <c r="J15677" s="750" t="e">
        <f t="shared" si="181"/>
        <v>#DIV/0!</v>
      </c>
      <c r="K15677" s="398"/>
      <c r="L15677" s="404"/>
      <c r="M15677" s="682"/>
    </row>
    <row r="15678" spans="5:13" ht="26.25" hidden="1" thickBot="1" x14ac:dyDescent="0.25">
      <c r="F15678" s="503" t="s">
        <v>257</v>
      </c>
      <c r="G15678" s="504" t="s">
        <v>258</v>
      </c>
      <c r="H15678" s="397"/>
      <c r="I15678" s="397"/>
      <c r="J15678" s="750" t="e">
        <f t="shared" si="181"/>
        <v>#DIV/0!</v>
      </c>
      <c r="K15678" s="398"/>
      <c r="L15678" s="404"/>
      <c r="M15678" s="682"/>
    </row>
    <row r="15679" spans="5:13" ht="26.25" hidden="1" thickBot="1" x14ac:dyDescent="0.25">
      <c r="F15679" s="503" t="s">
        <v>259</v>
      </c>
      <c r="G15679" s="504" t="s">
        <v>260</v>
      </c>
      <c r="H15679" s="397"/>
      <c r="I15679" s="397"/>
      <c r="J15679" s="750" t="e">
        <f t="shared" si="181"/>
        <v>#DIV/0!</v>
      </c>
      <c r="K15679" s="398"/>
      <c r="L15679" s="404"/>
      <c r="M15679" s="682"/>
    </row>
    <row r="15680" spans="5:13" ht="26.25" hidden="1" thickBot="1" x14ac:dyDescent="0.25">
      <c r="F15680" s="503" t="s">
        <v>261</v>
      </c>
      <c r="G15680" s="504" t="s">
        <v>262</v>
      </c>
      <c r="H15680" s="397"/>
      <c r="I15680" s="397"/>
      <c r="J15680" s="750" t="e">
        <f t="shared" si="181"/>
        <v>#DIV/0!</v>
      </c>
      <c r="K15680" s="398"/>
      <c r="L15680" s="404"/>
      <c r="M15680" s="682"/>
    </row>
    <row r="15681" spans="5:13" ht="13.5" hidden="1" thickBot="1" x14ac:dyDescent="0.25">
      <c r="F15681" s="503" t="s">
        <v>263</v>
      </c>
      <c r="G15681" s="504" t="s">
        <v>264</v>
      </c>
      <c r="H15681" s="403"/>
      <c r="I15681" s="403"/>
      <c r="J15681" s="750" t="e">
        <f t="shared" si="181"/>
        <v>#DIV/0!</v>
      </c>
      <c r="K15681" s="404"/>
      <c r="L15681" s="404"/>
      <c r="M15681" s="682"/>
    </row>
    <row r="15682" spans="5:13" ht="13.5" thickBot="1" x14ac:dyDescent="0.25">
      <c r="G15682" s="505" t="s">
        <v>5167</v>
      </c>
      <c r="H15682" s="405">
        <f>SUM(H15666:H15681)</f>
        <v>8900000</v>
      </c>
      <c r="I15682" s="405">
        <f>SUM(I15666)</f>
        <v>7893567.5</v>
      </c>
      <c r="J15682" s="750">
        <f t="shared" si="181"/>
        <v>88.691769662921345</v>
      </c>
      <c r="K15682" s="406">
        <f>SUM(K15667:K15681)</f>
        <v>0</v>
      </c>
      <c r="L15682" s="406"/>
      <c r="M15682" s="682"/>
    </row>
    <row r="15683" spans="5:13" x14ac:dyDescent="0.2">
      <c r="E15683" s="500"/>
      <c r="F15683" s="498"/>
      <c r="G15683" s="506" t="s">
        <v>5178</v>
      </c>
      <c r="H15683" s="407"/>
      <c r="I15683" s="408"/>
      <c r="J15683" s="750"/>
      <c r="K15683" s="409"/>
      <c r="L15683" s="410"/>
      <c r="M15683" s="682"/>
    </row>
    <row r="15684" spans="5:13" ht="13.5" thickBot="1" x14ac:dyDescent="0.25">
      <c r="E15684" s="502"/>
      <c r="F15684" s="503" t="s">
        <v>234</v>
      </c>
      <c r="G15684" s="504" t="s">
        <v>235</v>
      </c>
      <c r="H15684" s="403">
        <f>SUM(H15605:H15664)</f>
        <v>8900000</v>
      </c>
      <c r="I15684" s="403">
        <f>SUM(I15682)</f>
        <v>7893567.5</v>
      </c>
      <c r="J15684" s="750">
        <f t="shared" si="181"/>
        <v>88.691769662921345</v>
      </c>
      <c r="K15684" s="404"/>
      <c r="L15684" s="404"/>
      <c r="M15684" s="682"/>
    </row>
    <row r="15685" spans="5:13" ht="13.5" hidden="1" thickBot="1" x14ac:dyDescent="0.25">
      <c r="F15685" s="503" t="s">
        <v>236</v>
      </c>
      <c r="G15685" s="504" t="s">
        <v>237</v>
      </c>
      <c r="H15685" s="397"/>
      <c r="I15685" s="397"/>
      <c r="J15685" s="750" t="e">
        <f t="shared" si="181"/>
        <v>#DIV/0!</v>
      </c>
      <c r="K15685" s="398"/>
      <c r="L15685" s="404"/>
      <c r="M15685" s="682"/>
    </row>
    <row r="15686" spans="5:13" ht="13.5" hidden="1" thickBot="1" x14ac:dyDescent="0.25">
      <c r="F15686" s="503" t="s">
        <v>238</v>
      </c>
      <c r="G15686" s="504" t="s">
        <v>239</v>
      </c>
      <c r="H15686" s="397"/>
      <c r="I15686" s="397"/>
      <c r="J15686" s="750" t="e">
        <f t="shared" si="181"/>
        <v>#DIV/0!</v>
      </c>
      <c r="K15686" s="398"/>
      <c r="L15686" s="404"/>
      <c r="M15686" s="682"/>
    </row>
    <row r="15687" spans="5:13" ht="13.5" hidden="1" thickBot="1" x14ac:dyDescent="0.25">
      <c r="F15687" s="503" t="s">
        <v>240</v>
      </c>
      <c r="G15687" s="504" t="s">
        <v>241</v>
      </c>
      <c r="H15687" s="397"/>
      <c r="I15687" s="397"/>
      <c r="J15687" s="750" t="e">
        <f t="shared" si="181"/>
        <v>#DIV/0!</v>
      </c>
      <c r="K15687" s="398"/>
      <c r="L15687" s="404"/>
      <c r="M15687" s="682"/>
    </row>
    <row r="15688" spans="5:13" ht="13.5" hidden="1" thickBot="1" x14ac:dyDescent="0.25">
      <c r="F15688" s="503" t="s">
        <v>242</v>
      </c>
      <c r="G15688" s="504" t="s">
        <v>243</v>
      </c>
      <c r="H15688" s="397"/>
      <c r="I15688" s="397"/>
      <c r="J15688" s="750" t="e">
        <f t="shared" si="181"/>
        <v>#DIV/0!</v>
      </c>
      <c r="K15688" s="398"/>
      <c r="L15688" s="404"/>
      <c r="M15688" s="682"/>
    </row>
    <row r="15689" spans="5:13" ht="13.5" hidden="1" thickBot="1" x14ac:dyDescent="0.25">
      <c r="F15689" s="503" t="s">
        <v>244</v>
      </c>
      <c r="G15689" s="504" t="s">
        <v>245</v>
      </c>
      <c r="H15689" s="397"/>
      <c r="I15689" s="397"/>
      <c r="J15689" s="750" t="e">
        <f t="shared" si="181"/>
        <v>#DIV/0!</v>
      </c>
      <c r="K15689" s="398"/>
      <c r="L15689" s="404"/>
      <c r="M15689" s="682"/>
    </row>
    <row r="15690" spans="5:13" ht="13.5" hidden="1" thickBot="1" x14ac:dyDescent="0.25">
      <c r="F15690" s="503" t="s">
        <v>246</v>
      </c>
      <c r="G15690" s="504" t="s">
        <v>247</v>
      </c>
      <c r="H15690" s="397"/>
      <c r="I15690" s="397"/>
      <c r="J15690" s="750" t="e">
        <f t="shared" si="181"/>
        <v>#DIV/0!</v>
      </c>
      <c r="K15690" s="398"/>
      <c r="L15690" s="404"/>
      <c r="M15690" s="682"/>
    </row>
    <row r="15691" spans="5:13" ht="26.25" hidden="1" thickBot="1" x14ac:dyDescent="0.25">
      <c r="F15691" s="503" t="s">
        <v>248</v>
      </c>
      <c r="G15691" s="504" t="s">
        <v>249</v>
      </c>
      <c r="H15691" s="397"/>
      <c r="I15691" s="397"/>
      <c r="J15691" s="750" t="e">
        <f t="shared" si="181"/>
        <v>#DIV/0!</v>
      </c>
      <c r="K15691" s="398"/>
      <c r="L15691" s="404"/>
      <c r="M15691" s="682"/>
    </row>
    <row r="15692" spans="5:13" ht="13.5" hidden="1" thickBot="1" x14ac:dyDescent="0.25">
      <c r="F15692" s="503" t="s">
        <v>250</v>
      </c>
      <c r="G15692" s="504" t="s">
        <v>57</v>
      </c>
      <c r="H15692" s="397"/>
      <c r="I15692" s="397"/>
      <c r="J15692" s="750" t="e">
        <f t="shared" si="181"/>
        <v>#DIV/0!</v>
      </c>
      <c r="K15692" s="398"/>
      <c r="L15692" s="404"/>
      <c r="M15692" s="682"/>
    </row>
    <row r="15693" spans="5:13" ht="13.5" hidden="1" thickBot="1" x14ac:dyDescent="0.25">
      <c r="F15693" s="503" t="s">
        <v>251</v>
      </c>
      <c r="G15693" s="504" t="s">
        <v>252</v>
      </c>
      <c r="H15693" s="397"/>
      <c r="I15693" s="397"/>
      <c r="J15693" s="750" t="e">
        <f t="shared" si="181"/>
        <v>#DIV/0!</v>
      </c>
      <c r="K15693" s="398"/>
      <c r="L15693" s="404"/>
      <c r="M15693" s="682"/>
    </row>
    <row r="15694" spans="5:13" ht="13.5" hidden="1" thickBot="1" x14ac:dyDescent="0.25">
      <c r="F15694" s="503" t="s">
        <v>253</v>
      </c>
      <c r="G15694" s="504" t="s">
        <v>254</v>
      </c>
      <c r="H15694" s="397"/>
      <c r="I15694" s="397"/>
      <c r="J15694" s="750" t="e">
        <f t="shared" ref="J15694:J15757" si="182">SUM(I15694/H15694)*100</f>
        <v>#DIV/0!</v>
      </c>
      <c r="K15694" s="398"/>
      <c r="L15694" s="404"/>
      <c r="M15694" s="682"/>
    </row>
    <row r="15695" spans="5:13" ht="26.25" hidden="1" thickBot="1" x14ac:dyDescent="0.25">
      <c r="F15695" s="503" t="s">
        <v>255</v>
      </c>
      <c r="G15695" s="504" t="s">
        <v>256</v>
      </c>
      <c r="H15695" s="397"/>
      <c r="I15695" s="397"/>
      <c r="J15695" s="750" t="e">
        <f t="shared" si="182"/>
        <v>#DIV/0!</v>
      </c>
      <c r="K15695" s="398"/>
      <c r="L15695" s="404"/>
      <c r="M15695" s="682"/>
    </row>
    <row r="15696" spans="5:13" ht="26.25" hidden="1" thickBot="1" x14ac:dyDescent="0.25">
      <c r="F15696" s="503" t="s">
        <v>257</v>
      </c>
      <c r="G15696" s="504" t="s">
        <v>258</v>
      </c>
      <c r="H15696" s="397"/>
      <c r="I15696" s="397"/>
      <c r="J15696" s="750" t="e">
        <f t="shared" si="182"/>
        <v>#DIV/0!</v>
      </c>
      <c r="K15696" s="398"/>
      <c r="L15696" s="404"/>
      <c r="M15696" s="682"/>
    </row>
    <row r="15697" spans="3:13" ht="26.25" hidden="1" thickBot="1" x14ac:dyDescent="0.25">
      <c r="F15697" s="503" t="s">
        <v>259</v>
      </c>
      <c r="G15697" s="504" t="s">
        <v>260</v>
      </c>
      <c r="H15697" s="397"/>
      <c r="I15697" s="397"/>
      <c r="J15697" s="750" t="e">
        <f t="shared" si="182"/>
        <v>#DIV/0!</v>
      </c>
      <c r="K15697" s="398"/>
      <c r="L15697" s="404"/>
      <c r="M15697" s="682"/>
    </row>
    <row r="15698" spans="3:13" ht="26.25" hidden="1" thickBot="1" x14ac:dyDescent="0.25">
      <c r="F15698" s="503" t="s">
        <v>261</v>
      </c>
      <c r="G15698" s="504" t="s">
        <v>262</v>
      </c>
      <c r="H15698" s="397"/>
      <c r="I15698" s="397"/>
      <c r="J15698" s="750" t="e">
        <f t="shared" si="182"/>
        <v>#DIV/0!</v>
      </c>
      <c r="K15698" s="398"/>
      <c r="L15698" s="404"/>
      <c r="M15698" s="682"/>
    </row>
    <row r="15699" spans="3:13" ht="13.5" hidden="1" thickBot="1" x14ac:dyDescent="0.25">
      <c r="F15699" s="503" t="s">
        <v>263</v>
      </c>
      <c r="G15699" s="504" t="s">
        <v>264</v>
      </c>
      <c r="H15699" s="403"/>
      <c r="I15699" s="403"/>
      <c r="J15699" s="750" t="e">
        <f t="shared" si="182"/>
        <v>#DIV/0!</v>
      </c>
      <c r="K15699" s="404"/>
      <c r="L15699" s="404"/>
      <c r="M15699" s="682"/>
    </row>
    <row r="15700" spans="3:13" ht="13.5" thickBot="1" x14ac:dyDescent="0.25">
      <c r="G15700" s="505" t="s">
        <v>5179</v>
      </c>
      <c r="H15700" s="405">
        <f>SUM(H15684:H15699)</f>
        <v>8900000</v>
      </c>
      <c r="I15700" s="405">
        <f>SUM(I15684)</f>
        <v>7893567.5</v>
      </c>
      <c r="J15700" s="750">
        <f t="shared" si="182"/>
        <v>88.691769662921345</v>
      </c>
      <c r="K15700" s="406">
        <f>SUM(K15685:K15699)</f>
        <v>0</v>
      </c>
      <c r="L15700" s="406"/>
      <c r="M15700" s="682"/>
    </row>
    <row r="15701" spans="3:13" ht="6.75" customHeight="1" x14ac:dyDescent="0.2">
      <c r="G15701" s="510"/>
      <c r="H15701" s="411"/>
      <c r="I15701" s="411"/>
      <c r="J15701" s="750"/>
      <c r="K15701" s="412"/>
      <c r="L15701" s="412"/>
      <c r="M15701" s="682"/>
    </row>
    <row r="15702" spans="3:13" ht="25.5" x14ac:dyDescent="0.2">
      <c r="C15702" s="489" t="s">
        <v>4506</v>
      </c>
      <c r="D15702" s="490"/>
      <c r="G15702" s="508" t="s">
        <v>5181</v>
      </c>
      <c r="H15702" s="397"/>
      <c r="I15702" s="397"/>
      <c r="J15702" s="750"/>
      <c r="K15702" s="398"/>
      <c r="L15702" s="398"/>
      <c r="M15702" s="682"/>
    </row>
    <row r="15703" spans="3:13" x14ac:dyDescent="0.2">
      <c r="C15703" s="489"/>
      <c r="D15703" s="492">
        <v>520</v>
      </c>
      <c r="E15703" s="492"/>
      <c r="F15703" s="492"/>
      <c r="G15703" s="551" t="s">
        <v>175</v>
      </c>
      <c r="H15703" s="397"/>
      <c r="I15703" s="397"/>
      <c r="J15703" s="750"/>
      <c r="K15703" s="398"/>
      <c r="L15703" s="398"/>
      <c r="M15703" s="682"/>
    </row>
    <row r="15704" spans="3:13" hidden="1" x14ac:dyDescent="0.2">
      <c r="F15704" s="494">
        <v>411</v>
      </c>
      <c r="G15704" s="495" t="s">
        <v>4167</v>
      </c>
      <c r="H15704" s="397"/>
      <c r="I15704" s="397"/>
      <c r="J15704" s="750" t="e">
        <f t="shared" si="182"/>
        <v>#DIV/0!</v>
      </c>
      <c r="K15704" s="398"/>
      <c r="L15704" s="398"/>
      <c r="M15704" s="682"/>
    </row>
    <row r="15705" spans="3:13" hidden="1" x14ac:dyDescent="0.2">
      <c r="F15705" s="494">
        <v>412</v>
      </c>
      <c r="G15705" s="496" t="s">
        <v>3764</v>
      </c>
      <c r="H15705" s="397"/>
      <c r="I15705" s="397"/>
      <c r="J15705" s="750" t="e">
        <f t="shared" si="182"/>
        <v>#DIV/0!</v>
      </c>
      <c r="K15705" s="398"/>
      <c r="L15705" s="398"/>
      <c r="M15705" s="682"/>
    </row>
    <row r="15706" spans="3:13" hidden="1" x14ac:dyDescent="0.2">
      <c r="F15706" s="494">
        <v>413</v>
      </c>
      <c r="G15706" s="495" t="s">
        <v>4168</v>
      </c>
      <c r="H15706" s="397"/>
      <c r="I15706" s="397"/>
      <c r="J15706" s="750" t="e">
        <f t="shared" si="182"/>
        <v>#DIV/0!</v>
      </c>
      <c r="K15706" s="398"/>
      <c r="L15706" s="398"/>
      <c r="M15706" s="682"/>
    </row>
    <row r="15707" spans="3:13" hidden="1" x14ac:dyDescent="0.2">
      <c r="F15707" s="494">
        <v>414</v>
      </c>
      <c r="G15707" s="495" t="s">
        <v>3767</v>
      </c>
      <c r="H15707" s="397"/>
      <c r="I15707" s="397"/>
      <c r="J15707" s="750" t="e">
        <f t="shared" si="182"/>
        <v>#DIV/0!</v>
      </c>
      <c r="K15707" s="398"/>
      <c r="L15707" s="398"/>
      <c r="M15707" s="682"/>
    </row>
    <row r="15708" spans="3:13" hidden="1" x14ac:dyDescent="0.2">
      <c r="F15708" s="494">
        <v>415</v>
      </c>
      <c r="G15708" s="495" t="s">
        <v>4177</v>
      </c>
      <c r="H15708" s="397"/>
      <c r="I15708" s="397"/>
      <c r="J15708" s="750" t="e">
        <f t="shared" si="182"/>
        <v>#DIV/0!</v>
      </c>
      <c r="K15708" s="398"/>
      <c r="L15708" s="398"/>
      <c r="M15708" s="682"/>
    </row>
    <row r="15709" spans="3:13" ht="25.5" hidden="1" x14ac:dyDescent="0.2">
      <c r="F15709" s="494">
        <v>416</v>
      </c>
      <c r="G15709" s="495" t="s">
        <v>4178</v>
      </c>
      <c r="H15709" s="397"/>
      <c r="I15709" s="397"/>
      <c r="J15709" s="750" t="e">
        <f t="shared" si="182"/>
        <v>#DIV/0!</v>
      </c>
      <c r="K15709" s="398"/>
      <c r="L15709" s="398"/>
      <c r="M15709" s="682"/>
    </row>
    <row r="15710" spans="3:13" hidden="1" x14ac:dyDescent="0.2">
      <c r="F15710" s="494">
        <v>417</v>
      </c>
      <c r="G15710" s="495" t="s">
        <v>4179</v>
      </c>
      <c r="H15710" s="397"/>
      <c r="I15710" s="397"/>
      <c r="J15710" s="750" t="e">
        <f t="shared" si="182"/>
        <v>#DIV/0!</v>
      </c>
      <c r="K15710" s="398"/>
      <c r="L15710" s="398"/>
      <c r="M15710" s="682"/>
    </row>
    <row r="15711" spans="3:13" hidden="1" x14ac:dyDescent="0.2">
      <c r="F15711" s="494">
        <v>418</v>
      </c>
      <c r="G15711" s="495" t="s">
        <v>3773</v>
      </c>
      <c r="H15711" s="397"/>
      <c r="I15711" s="397"/>
      <c r="J15711" s="750" t="e">
        <f t="shared" si="182"/>
        <v>#DIV/0!</v>
      </c>
      <c r="K15711" s="398"/>
      <c r="L15711" s="398"/>
      <c r="M15711" s="682"/>
    </row>
    <row r="15712" spans="3:13" hidden="1" x14ac:dyDescent="0.2">
      <c r="F15712" s="494">
        <v>421</v>
      </c>
      <c r="G15712" s="495" t="s">
        <v>3777</v>
      </c>
      <c r="H15712" s="397"/>
      <c r="I15712" s="397"/>
      <c r="J15712" s="750" t="e">
        <f t="shared" si="182"/>
        <v>#DIV/0!</v>
      </c>
      <c r="K15712" s="398"/>
      <c r="L15712" s="398"/>
      <c r="M15712" s="682"/>
    </row>
    <row r="15713" spans="6:13" hidden="1" x14ac:dyDescent="0.2">
      <c r="F15713" s="494">
        <v>422</v>
      </c>
      <c r="G15713" s="495" t="s">
        <v>3778</v>
      </c>
      <c r="H15713" s="397"/>
      <c r="I15713" s="397"/>
      <c r="J15713" s="750" t="e">
        <f t="shared" si="182"/>
        <v>#DIV/0!</v>
      </c>
      <c r="K15713" s="398"/>
      <c r="L15713" s="398"/>
      <c r="M15713" s="682"/>
    </row>
    <row r="15714" spans="6:13" hidden="1" x14ac:dyDescent="0.2">
      <c r="F15714" s="494">
        <v>423</v>
      </c>
      <c r="G15714" s="495" t="s">
        <v>3779</v>
      </c>
      <c r="H15714" s="397"/>
      <c r="I15714" s="397"/>
      <c r="J15714" s="750" t="e">
        <f t="shared" si="182"/>
        <v>#DIV/0!</v>
      </c>
      <c r="K15714" s="398"/>
      <c r="L15714" s="398"/>
      <c r="M15714" s="682"/>
    </row>
    <row r="15715" spans="6:13" hidden="1" x14ac:dyDescent="0.2">
      <c r="F15715" s="494">
        <v>424</v>
      </c>
      <c r="G15715" s="495" t="s">
        <v>3781</v>
      </c>
      <c r="H15715" s="397"/>
      <c r="I15715" s="397"/>
      <c r="J15715" s="750" t="e">
        <f t="shared" si="182"/>
        <v>#DIV/0!</v>
      </c>
      <c r="K15715" s="398"/>
      <c r="L15715" s="398"/>
      <c r="M15715" s="682"/>
    </row>
    <row r="15716" spans="6:13" hidden="1" x14ac:dyDescent="0.2">
      <c r="F15716" s="494">
        <v>425</v>
      </c>
      <c r="G15716" s="495" t="s">
        <v>4180</v>
      </c>
      <c r="H15716" s="397"/>
      <c r="I15716" s="397"/>
      <c r="J15716" s="750" t="e">
        <f t="shared" si="182"/>
        <v>#DIV/0!</v>
      </c>
      <c r="K15716" s="398"/>
      <c r="L15716" s="398"/>
      <c r="M15716" s="682"/>
    </row>
    <row r="15717" spans="6:13" hidden="1" x14ac:dyDescent="0.2">
      <c r="F15717" s="494">
        <v>426</v>
      </c>
      <c r="G15717" s="495" t="s">
        <v>3785</v>
      </c>
      <c r="H15717" s="397"/>
      <c r="I15717" s="397"/>
      <c r="J15717" s="750" t="e">
        <f t="shared" si="182"/>
        <v>#DIV/0!</v>
      </c>
      <c r="K15717" s="398"/>
      <c r="L15717" s="398"/>
      <c r="M15717" s="682"/>
    </row>
    <row r="15718" spans="6:13" hidden="1" x14ac:dyDescent="0.2">
      <c r="F15718" s="494">
        <v>431</v>
      </c>
      <c r="G15718" s="495" t="s">
        <v>4181</v>
      </c>
      <c r="H15718" s="397"/>
      <c r="I15718" s="397"/>
      <c r="J15718" s="750" t="e">
        <f t="shared" si="182"/>
        <v>#DIV/0!</v>
      </c>
      <c r="K15718" s="398"/>
      <c r="L15718" s="398"/>
      <c r="M15718" s="682"/>
    </row>
    <row r="15719" spans="6:13" hidden="1" x14ac:dyDescent="0.2">
      <c r="F15719" s="494">
        <v>432</v>
      </c>
      <c r="G15719" s="495" t="s">
        <v>4182</v>
      </c>
      <c r="H15719" s="397"/>
      <c r="I15719" s="397"/>
      <c r="J15719" s="750" t="e">
        <f t="shared" si="182"/>
        <v>#DIV/0!</v>
      </c>
      <c r="K15719" s="398"/>
      <c r="L15719" s="398"/>
      <c r="M15719" s="682"/>
    </row>
    <row r="15720" spans="6:13" hidden="1" x14ac:dyDescent="0.2">
      <c r="F15720" s="494">
        <v>433</v>
      </c>
      <c r="G15720" s="495" t="s">
        <v>4183</v>
      </c>
      <c r="H15720" s="397"/>
      <c r="I15720" s="397"/>
      <c r="J15720" s="750" t="e">
        <f t="shared" si="182"/>
        <v>#DIV/0!</v>
      </c>
      <c r="K15720" s="398"/>
      <c r="L15720" s="398"/>
      <c r="M15720" s="682"/>
    </row>
    <row r="15721" spans="6:13" hidden="1" x14ac:dyDescent="0.2">
      <c r="F15721" s="494">
        <v>434</v>
      </c>
      <c r="G15721" s="495" t="s">
        <v>4184</v>
      </c>
      <c r="H15721" s="397"/>
      <c r="I15721" s="397"/>
      <c r="J15721" s="750" t="e">
        <f t="shared" si="182"/>
        <v>#DIV/0!</v>
      </c>
      <c r="K15721" s="398"/>
      <c r="L15721" s="398"/>
      <c r="M15721" s="682"/>
    </row>
    <row r="15722" spans="6:13" hidden="1" x14ac:dyDescent="0.2">
      <c r="F15722" s="494">
        <v>435</v>
      </c>
      <c r="G15722" s="495" t="s">
        <v>3792</v>
      </c>
      <c r="H15722" s="397"/>
      <c r="I15722" s="397"/>
      <c r="J15722" s="750" t="e">
        <f t="shared" si="182"/>
        <v>#DIV/0!</v>
      </c>
      <c r="K15722" s="398"/>
      <c r="L15722" s="398"/>
      <c r="M15722" s="682"/>
    </row>
    <row r="15723" spans="6:13" hidden="1" x14ac:dyDescent="0.2">
      <c r="F15723" s="494">
        <v>441</v>
      </c>
      <c r="G15723" s="495" t="s">
        <v>4185</v>
      </c>
      <c r="H15723" s="397"/>
      <c r="I15723" s="397"/>
      <c r="J15723" s="750" t="e">
        <f t="shared" si="182"/>
        <v>#DIV/0!</v>
      </c>
      <c r="K15723" s="398"/>
      <c r="L15723" s="398"/>
      <c r="M15723" s="682"/>
    </row>
    <row r="15724" spans="6:13" hidden="1" x14ac:dyDescent="0.2">
      <c r="F15724" s="494">
        <v>442</v>
      </c>
      <c r="G15724" s="495" t="s">
        <v>4186</v>
      </c>
      <c r="H15724" s="397"/>
      <c r="I15724" s="397"/>
      <c r="J15724" s="750" t="e">
        <f t="shared" si="182"/>
        <v>#DIV/0!</v>
      </c>
      <c r="K15724" s="398"/>
      <c r="L15724" s="398"/>
      <c r="M15724" s="682"/>
    </row>
    <row r="15725" spans="6:13" hidden="1" x14ac:dyDescent="0.2">
      <c r="F15725" s="494">
        <v>443</v>
      </c>
      <c r="G15725" s="495" t="s">
        <v>3797</v>
      </c>
      <c r="H15725" s="397"/>
      <c r="I15725" s="397"/>
      <c r="J15725" s="750" t="e">
        <f t="shared" si="182"/>
        <v>#DIV/0!</v>
      </c>
      <c r="K15725" s="398"/>
      <c r="L15725" s="398"/>
      <c r="M15725" s="682"/>
    </row>
    <row r="15726" spans="6:13" hidden="1" x14ac:dyDescent="0.2">
      <c r="F15726" s="494">
        <v>444</v>
      </c>
      <c r="G15726" s="495" t="s">
        <v>3798</v>
      </c>
      <c r="H15726" s="397"/>
      <c r="I15726" s="397"/>
      <c r="J15726" s="750" t="e">
        <f t="shared" si="182"/>
        <v>#DIV/0!</v>
      </c>
      <c r="K15726" s="398"/>
      <c r="L15726" s="398"/>
      <c r="M15726" s="682"/>
    </row>
    <row r="15727" spans="6:13" ht="25.5" hidden="1" x14ac:dyDescent="0.2">
      <c r="F15727" s="494">
        <v>4511</v>
      </c>
      <c r="G15727" s="466" t="s">
        <v>1692</v>
      </c>
      <c r="H15727" s="397"/>
      <c r="I15727" s="397"/>
      <c r="J15727" s="750" t="e">
        <f t="shared" si="182"/>
        <v>#DIV/0!</v>
      </c>
      <c r="K15727" s="398"/>
      <c r="L15727" s="398"/>
      <c r="M15727" s="682"/>
    </row>
    <row r="15728" spans="6:13" ht="25.5" hidden="1" x14ac:dyDescent="0.2">
      <c r="F15728" s="494">
        <v>4512</v>
      </c>
      <c r="G15728" s="466" t="s">
        <v>1701</v>
      </c>
      <c r="H15728" s="397"/>
      <c r="I15728" s="397"/>
      <c r="J15728" s="750" t="e">
        <f t="shared" si="182"/>
        <v>#DIV/0!</v>
      </c>
      <c r="K15728" s="398"/>
      <c r="L15728" s="398"/>
      <c r="M15728" s="682"/>
    </row>
    <row r="15729" spans="6:13" ht="25.5" hidden="1" x14ac:dyDescent="0.2">
      <c r="F15729" s="494">
        <v>452</v>
      </c>
      <c r="G15729" s="495" t="s">
        <v>4187</v>
      </c>
      <c r="H15729" s="397"/>
      <c r="I15729" s="397"/>
      <c r="J15729" s="750" t="e">
        <f t="shared" si="182"/>
        <v>#DIV/0!</v>
      </c>
      <c r="K15729" s="398"/>
      <c r="L15729" s="398"/>
      <c r="M15729" s="682"/>
    </row>
    <row r="15730" spans="6:13" ht="25.5" hidden="1" x14ac:dyDescent="0.2">
      <c r="F15730" s="494">
        <v>453</v>
      </c>
      <c r="G15730" s="495" t="s">
        <v>4188</v>
      </c>
      <c r="H15730" s="397"/>
      <c r="I15730" s="397"/>
      <c r="J15730" s="750" t="e">
        <f t="shared" si="182"/>
        <v>#DIV/0!</v>
      </c>
      <c r="K15730" s="398"/>
      <c r="L15730" s="398"/>
      <c r="M15730" s="682"/>
    </row>
    <row r="15731" spans="6:13" hidden="1" x14ac:dyDescent="0.2">
      <c r="F15731" s="494">
        <v>454</v>
      </c>
      <c r="G15731" s="495" t="s">
        <v>3803</v>
      </c>
      <c r="H15731" s="397"/>
      <c r="I15731" s="397"/>
      <c r="J15731" s="750" t="e">
        <f t="shared" si="182"/>
        <v>#DIV/0!</v>
      </c>
      <c r="K15731" s="398"/>
      <c r="L15731" s="398"/>
      <c r="M15731" s="682"/>
    </row>
    <row r="15732" spans="6:13" hidden="1" x14ac:dyDescent="0.2">
      <c r="F15732" s="494">
        <v>461</v>
      </c>
      <c r="G15732" s="495" t="s">
        <v>4169</v>
      </c>
      <c r="H15732" s="397"/>
      <c r="I15732" s="397"/>
      <c r="J15732" s="750" t="e">
        <f t="shared" si="182"/>
        <v>#DIV/0!</v>
      </c>
      <c r="K15732" s="398"/>
      <c r="L15732" s="398"/>
      <c r="M15732" s="682"/>
    </row>
    <row r="15733" spans="6:13" ht="25.5" hidden="1" x14ac:dyDescent="0.2">
      <c r="F15733" s="494">
        <v>462</v>
      </c>
      <c r="G15733" s="495" t="s">
        <v>3806</v>
      </c>
      <c r="H15733" s="397"/>
      <c r="I15733" s="397"/>
      <c r="J15733" s="750" t="e">
        <f t="shared" si="182"/>
        <v>#DIV/0!</v>
      </c>
      <c r="K15733" s="398"/>
      <c r="L15733" s="398"/>
      <c r="M15733" s="682"/>
    </row>
    <row r="15734" spans="6:13" hidden="1" x14ac:dyDescent="0.2">
      <c r="F15734" s="494">
        <v>4631</v>
      </c>
      <c r="G15734" s="495" t="s">
        <v>3807</v>
      </c>
      <c r="H15734" s="397"/>
      <c r="I15734" s="397"/>
      <c r="J15734" s="750" t="e">
        <f t="shared" si="182"/>
        <v>#DIV/0!</v>
      </c>
      <c r="K15734" s="398"/>
      <c r="L15734" s="398"/>
      <c r="M15734" s="682"/>
    </row>
    <row r="15735" spans="6:13" hidden="1" x14ac:dyDescent="0.2">
      <c r="F15735" s="494">
        <v>4632</v>
      </c>
      <c r="G15735" s="495" t="s">
        <v>3808</v>
      </c>
      <c r="H15735" s="397"/>
      <c r="I15735" s="397"/>
      <c r="J15735" s="750" t="e">
        <f t="shared" si="182"/>
        <v>#DIV/0!</v>
      </c>
      <c r="K15735" s="398"/>
      <c r="L15735" s="398"/>
      <c r="M15735" s="682"/>
    </row>
    <row r="15736" spans="6:13" ht="25.5" hidden="1" x14ac:dyDescent="0.2">
      <c r="F15736" s="494">
        <v>464</v>
      </c>
      <c r="G15736" s="495" t="s">
        <v>3809</v>
      </c>
      <c r="H15736" s="397"/>
      <c r="I15736" s="397"/>
      <c r="J15736" s="750" t="e">
        <f t="shared" si="182"/>
        <v>#DIV/0!</v>
      </c>
      <c r="K15736" s="398"/>
      <c r="L15736" s="398"/>
      <c r="M15736" s="682"/>
    </row>
    <row r="15737" spans="6:13" hidden="1" x14ac:dyDescent="0.2">
      <c r="F15737" s="494">
        <v>465</v>
      </c>
      <c r="G15737" s="495" t="s">
        <v>4170</v>
      </c>
      <c r="H15737" s="397"/>
      <c r="I15737" s="397"/>
      <c r="J15737" s="750" t="e">
        <f t="shared" si="182"/>
        <v>#DIV/0!</v>
      </c>
      <c r="K15737" s="398"/>
      <c r="L15737" s="398"/>
      <c r="M15737" s="682"/>
    </row>
    <row r="15738" spans="6:13" hidden="1" x14ac:dyDescent="0.2">
      <c r="F15738" s="494">
        <v>472</v>
      </c>
      <c r="G15738" s="495" t="s">
        <v>3813</v>
      </c>
      <c r="H15738" s="397"/>
      <c r="I15738" s="397"/>
      <c r="J15738" s="750" t="e">
        <f t="shared" si="182"/>
        <v>#DIV/0!</v>
      </c>
      <c r="K15738" s="398"/>
      <c r="L15738" s="398"/>
      <c r="M15738" s="682"/>
    </row>
    <row r="15739" spans="6:13" hidden="1" x14ac:dyDescent="0.2">
      <c r="F15739" s="494">
        <v>481</v>
      </c>
      <c r="G15739" s="495" t="s">
        <v>4189</v>
      </c>
      <c r="H15739" s="397"/>
      <c r="I15739" s="397"/>
      <c r="J15739" s="750" t="e">
        <f t="shared" si="182"/>
        <v>#DIV/0!</v>
      </c>
      <c r="K15739" s="398"/>
      <c r="L15739" s="398"/>
      <c r="M15739" s="682"/>
    </row>
    <row r="15740" spans="6:13" hidden="1" x14ac:dyDescent="0.2">
      <c r="F15740" s="494">
        <v>482</v>
      </c>
      <c r="G15740" s="495" t="s">
        <v>4190</v>
      </c>
      <c r="H15740" s="397"/>
      <c r="I15740" s="397"/>
      <c r="J15740" s="750" t="e">
        <f t="shared" si="182"/>
        <v>#DIV/0!</v>
      </c>
      <c r="K15740" s="398"/>
      <c r="L15740" s="398"/>
      <c r="M15740" s="682"/>
    </row>
    <row r="15741" spans="6:13" hidden="1" x14ac:dyDescent="0.2">
      <c r="F15741" s="494">
        <v>483</v>
      </c>
      <c r="G15741" s="497" t="s">
        <v>4191</v>
      </c>
      <c r="H15741" s="397"/>
      <c r="I15741" s="397"/>
      <c r="J15741" s="750" t="e">
        <f t="shared" si="182"/>
        <v>#DIV/0!</v>
      </c>
      <c r="K15741" s="398"/>
      <c r="L15741" s="398"/>
      <c r="M15741" s="682"/>
    </row>
    <row r="15742" spans="6:13" ht="38.25" hidden="1" x14ac:dyDescent="0.2">
      <c r="F15742" s="494">
        <v>484</v>
      </c>
      <c r="G15742" s="495" t="s">
        <v>4192</v>
      </c>
      <c r="H15742" s="397"/>
      <c r="I15742" s="397"/>
      <c r="J15742" s="750" t="e">
        <f t="shared" si="182"/>
        <v>#DIV/0!</v>
      </c>
      <c r="K15742" s="398"/>
      <c r="L15742" s="398"/>
      <c r="M15742" s="682"/>
    </row>
    <row r="15743" spans="6:13" ht="25.5" hidden="1" x14ac:dyDescent="0.2">
      <c r="F15743" s="494">
        <v>485</v>
      </c>
      <c r="G15743" s="495" t="s">
        <v>4193</v>
      </c>
      <c r="H15743" s="397"/>
      <c r="I15743" s="397"/>
      <c r="J15743" s="750" t="e">
        <f t="shared" si="182"/>
        <v>#DIV/0!</v>
      </c>
      <c r="K15743" s="398"/>
      <c r="L15743" s="398"/>
      <c r="M15743" s="682"/>
    </row>
    <row r="15744" spans="6:13" ht="25.5" hidden="1" x14ac:dyDescent="0.2">
      <c r="F15744" s="494">
        <v>489</v>
      </c>
      <c r="G15744" s="495" t="s">
        <v>3821</v>
      </c>
      <c r="H15744" s="397"/>
      <c r="I15744" s="397"/>
      <c r="J15744" s="750" t="e">
        <f t="shared" si="182"/>
        <v>#DIV/0!</v>
      </c>
      <c r="K15744" s="398"/>
      <c r="L15744" s="398"/>
      <c r="M15744" s="682"/>
    </row>
    <row r="15745" spans="5:13" ht="25.5" hidden="1" x14ac:dyDescent="0.2">
      <c r="F15745" s="494">
        <v>494</v>
      </c>
      <c r="G15745" s="495" t="s">
        <v>4171</v>
      </c>
      <c r="H15745" s="397"/>
      <c r="I15745" s="397"/>
      <c r="J15745" s="750" t="e">
        <f t="shared" si="182"/>
        <v>#DIV/0!</v>
      </c>
      <c r="K15745" s="398"/>
      <c r="L15745" s="398"/>
      <c r="M15745" s="682"/>
    </row>
    <row r="15746" spans="5:13" ht="25.5" hidden="1" x14ac:dyDescent="0.2">
      <c r="F15746" s="494">
        <v>495</v>
      </c>
      <c r="G15746" s="495" t="s">
        <v>4172</v>
      </c>
      <c r="H15746" s="397"/>
      <c r="I15746" s="397"/>
      <c r="J15746" s="750" t="e">
        <f t="shared" si="182"/>
        <v>#DIV/0!</v>
      </c>
      <c r="K15746" s="398"/>
      <c r="L15746" s="398"/>
      <c r="M15746" s="682"/>
    </row>
    <row r="15747" spans="5:13" ht="38.25" hidden="1" x14ac:dyDescent="0.2">
      <c r="F15747" s="494">
        <v>496</v>
      </c>
      <c r="G15747" s="495" t="s">
        <v>4173</v>
      </c>
      <c r="H15747" s="397"/>
      <c r="I15747" s="397"/>
      <c r="J15747" s="750" t="e">
        <f t="shared" si="182"/>
        <v>#DIV/0!</v>
      </c>
      <c r="K15747" s="398"/>
      <c r="L15747" s="398"/>
      <c r="M15747" s="682"/>
    </row>
    <row r="15748" spans="5:13" ht="25.5" hidden="1" x14ac:dyDescent="0.2">
      <c r="F15748" s="494">
        <v>499</v>
      </c>
      <c r="G15748" s="495" t="s">
        <v>4174</v>
      </c>
      <c r="H15748" s="397"/>
      <c r="I15748" s="397"/>
      <c r="J15748" s="750" t="e">
        <f t="shared" si="182"/>
        <v>#DIV/0!</v>
      </c>
      <c r="K15748" s="398"/>
      <c r="L15748" s="398"/>
      <c r="M15748" s="682"/>
    </row>
    <row r="15749" spans="5:13" ht="13.5" thickBot="1" x14ac:dyDescent="0.25">
      <c r="E15749" s="464">
        <v>172</v>
      </c>
      <c r="F15749" s="494">
        <v>511</v>
      </c>
      <c r="G15749" s="497" t="s">
        <v>4194</v>
      </c>
      <c r="H15749" s="397">
        <v>8500000</v>
      </c>
      <c r="I15749" s="397">
        <v>7172062.0999999996</v>
      </c>
      <c r="J15749" s="750">
        <f t="shared" si="182"/>
        <v>84.377201176470578</v>
      </c>
      <c r="K15749" s="398"/>
      <c r="L15749" s="398"/>
      <c r="M15749" s="682"/>
    </row>
    <row r="15750" spans="5:13" ht="13.5" hidden="1" thickBot="1" x14ac:dyDescent="0.25">
      <c r="F15750" s="494">
        <v>512</v>
      </c>
      <c r="G15750" s="497" t="s">
        <v>4195</v>
      </c>
      <c r="H15750" s="397"/>
      <c r="I15750" s="397"/>
      <c r="J15750" s="750" t="e">
        <f t="shared" si="182"/>
        <v>#DIV/0!</v>
      </c>
      <c r="K15750" s="398"/>
      <c r="L15750" s="398"/>
      <c r="M15750" s="682"/>
    </row>
    <row r="15751" spans="5:13" ht="13.5" hidden="1" thickBot="1" x14ac:dyDescent="0.25">
      <c r="F15751" s="494">
        <v>513</v>
      </c>
      <c r="G15751" s="497" t="s">
        <v>4196</v>
      </c>
      <c r="H15751" s="397"/>
      <c r="I15751" s="397"/>
      <c r="J15751" s="750" t="e">
        <f t="shared" si="182"/>
        <v>#DIV/0!</v>
      </c>
      <c r="K15751" s="398"/>
      <c r="L15751" s="398"/>
      <c r="M15751" s="682"/>
    </row>
    <row r="15752" spans="5:13" ht="13.5" hidden="1" thickBot="1" x14ac:dyDescent="0.25">
      <c r="F15752" s="494">
        <v>514</v>
      </c>
      <c r="G15752" s="495" t="s">
        <v>4197</v>
      </c>
      <c r="H15752" s="397"/>
      <c r="I15752" s="397"/>
      <c r="J15752" s="750" t="e">
        <f t="shared" si="182"/>
        <v>#DIV/0!</v>
      </c>
      <c r="K15752" s="398"/>
      <c r="L15752" s="398"/>
      <c r="M15752" s="682"/>
    </row>
    <row r="15753" spans="5:13" ht="13.5" hidden="1" thickBot="1" x14ac:dyDescent="0.25">
      <c r="F15753" s="494">
        <v>515</v>
      </c>
      <c r="G15753" s="495" t="s">
        <v>3832</v>
      </c>
      <c r="H15753" s="397"/>
      <c r="I15753" s="397"/>
      <c r="J15753" s="750" t="e">
        <f t="shared" si="182"/>
        <v>#DIV/0!</v>
      </c>
      <c r="K15753" s="398"/>
      <c r="L15753" s="398"/>
      <c r="M15753" s="682"/>
    </row>
    <row r="15754" spans="5:13" ht="13.5" hidden="1" thickBot="1" x14ac:dyDescent="0.25">
      <c r="F15754" s="494">
        <v>521</v>
      </c>
      <c r="G15754" s="495" t="s">
        <v>4198</v>
      </c>
      <c r="H15754" s="397"/>
      <c r="I15754" s="397"/>
      <c r="J15754" s="750" t="e">
        <f t="shared" si="182"/>
        <v>#DIV/0!</v>
      </c>
      <c r="K15754" s="398"/>
      <c r="L15754" s="398"/>
      <c r="M15754" s="682"/>
    </row>
    <row r="15755" spans="5:13" ht="13.5" hidden="1" thickBot="1" x14ac:dyDescent="0.25">
      <c r="F15755" s="494">
        <v>522</v>
      </c>
      <c r="G15755" s="495" t="s">
        <v>4199</v>
      </c>
      <c r="H15755" s="397"/>
      <c r="I15755" s="397"/>
      <c r="J15755" s="750" t="e">
        <f t="shared" si="182"/>
        <v>#DIV/0!</v>
      </c>
      <c r="K15755" s="398"/>
      <c r="L15755" s="398"/>
      <c r="M15755" s="682"/>
    </row>
    <row r="15756" spans="5:13" ht="13.5" hidden="1" thickBot="1" x14ac:dyDescent="0.25">
      <c r="F15756" s="494">
        <v>523</v>
      </c>
      <c r="G15756" s="495" t="s">
        <v>3837</v>
      </c>
      <c r="H15756" s="397"/>
      <c r="I15756" s="397"/>
      <c r="J15756" s="750" t="e">
        <f t="shared" si="182"/>
        <v>#DIV/0!</v>
      </c>
      <c r="K15756" s="398"/>
      <c r="L15756" s="398"/>
      <c r="M15756" s="682"/>
    </row>
    <row r="15757" spans="5:13" ht="13.5" hidden="1" thickBot="1" x14ac:dyDescent="0.25">
      <c r="F15757" s="494">
        <v>531</v>
      </c>
      <c r="G15757" s="496" t="s">
        <v>4175</v>
      </c>
      <c r="H15757" s="397"/>
      <c r="I15757" s="397"/>
      <c r="J15757" s="750" t="e">
        <f t="shared" si="182"/>
        <v>#DIV/0!</v>
      </c>
      <c r="K15757" s="398"/>
      <c r="L15757" s="398"/>
      <c r="M15757" s="682"/>
    </row>
    <row r="15758" spans="5:13" ht="13.5" hidden="1" thickBot="1" x14ac:dyDescent="0.25">
      <c r="F15758" s="494">
        <v>541</v>
      </c>
      <c r="G15758" s="495" t="s">
        <v>4200</v>
      </c>
      <c r="H15758" s="397"/>
      <c r="I15758" s="397"/>
      <c r="J15758" s="750" t="e">
        <f t="shared" ref="J15758:J15821" si="183">SUM(I15758/H15758)*100</f>
        <v>#DIV/0!</v>
      </c>
      <c r="K15758" s="398"/>
      <c r="L15758" s="398"/>
      <c r="M15758" s="682"/>
    </row>
    <row r="15759" spans="5:13" ht="13.5" hidden="1" thickBot="1" x14ac:dyDescent="0.25">
      <c r="F15759" s="494">
        <v>542</v>
      </c>
      <c r="G15759" s="495" t="s">
        <v>4201</v>
      </c>
      <c r="H15759" s="397"/>
      <c r="I15759" s="397"/>
      <c r="J15759" s="750" t="e">
        <f t="shared" si="183"/>
        <v>#DIV/0!</v>
      </c>
      <c r="K15759" s="398"/>
      <c r="L15759" s="398"/>
      <c r="M15759" s="682"/>
    </row>
    <row r="15760" spans="5:13" ht="13.5" hidden="1" thickBot="1" x14ac:dyDescent="0.25">
      <c r="F15760" s="494">
        <v>543</v>
      </c>
      <c r="G15760" s="495" t="s">
        <v>3842</v>
      </c>
      <c r="H15760" s="397"/>
      <c r="I15760" s="397"/>
      <c r="J15760" s="750" t="e">
        <f t="shared" si="183"/>
        <v>#DIV/0!</v>
      </c>
      <c r="K15760" s="398"/>
      <c r="L15760" s="398"/>
      <c r="M15760" s="682"/>
    </row>
    <row r="15761" spans="5:13" ht="39" hidden="1" thickBot="1" x14ac:dyDescent="0.25">
      <c r="F15761" s="494">
        <v>551</v>
      </c>
      <c r="G15761" s="495" t="s">
        <v>4176</v>
      </c>
      <c r="H15761" s="397"/>
      <c r="I15761" s="397"/>
      <c r="J15761" s="750" t="e">
        <f t="shared" si="183"/>
        <v>#DIV/0!</v>
      </c>
      <c r="K15761" s="398"/>
      <c r="L15761" s="398"/>
      <c r="M15761" s="682"/>
    </row>
    <row r="15762" spans="5:13" ht="13.5" hidden="1" thickBot="1" x14ac:dyDescent="0.25">
      <c r="F15762" s="498">
        <v>611</v>
      </c>
      <c r="G15762" s="499" t="s">
        <v>3848</v>
      </c>
      <c r="H15762" s="397"/>
      <c r="I15762" s="397"/>
      <c r="J15762" s="750" t="e">
        <f t="shared" si="183"/>
        <v>#DIV/0!</v>
      </c>
      <c r="K15762" s="398"/>
      <c r="L15762" s="398"/>
      <c r="M15762" s="682"/>
    </row>
    <row r="15763" spans="5:13" ht="13.5" hidden="1" thickBot="1" x14ac:dyDescent="0.25">
      <c r="F15763" s="498">
        <v>620</v>
      </c>
      <c r="G15763" s="499" t="s">
        <v>88</v>
      </c>
      <c r="H15763" s="397"/>
      <c r="I15763" s="397"/>
      <c r="J15763" s="750" t="e">
        <f t="shared" si="183"/>
        <v>#DIV/0!</v>
      </c>
      <c r="K15763" s="398"/>
      <c r="L15763" s="398"/>
      <c r="M15763" s="682"/>
    </row>
    <row r="15764" spans="5:13" x14ac:dyDescent="0.2">
      <c r="E15764" s="500"/>
      <c r="F15764" s="498"/>
      <c r="G15764" s="501" t="s">
        <v>5177</v>
      </c>
      <c r="H15764" s="400"/>
      <c r="I15764" s="400"/>
      <c r="J15764" s="750"/>
      <c r="K15764" s="401"/>
      <c r="L15764" s="402"/>
      <c r="M15764" s="682"/>
    </row>
    <row r="15765" spans="5:13" ht="13.5" thickBot="1" x14ac:dyDescent="0.25">
      <c r="E15765" s="502"/>
      <c r="F15765" s="503" t="s">
        <v>234</v>
      </c>
      <c r="G15765" s="504" t="s">
        <v>235</v>
      </c>
      <c r="H15765" s="403">
        <f>SUM(H15704:H15763)</f>
        <v>8500000</v>
      </c>
      <c r="I15765" s="403">
        <f>SUM(I15749)</f>
        <v>7172062.0999999996</v>
      </c>
      <c r="J15765" s="750">
        <f t="shared" si="183"/>
        <v>84.377201176470578</v>
      </c>
      <c r="K15765" s="404"/>
      <c r="L15765" s="404"/>
      <c r="M15765" s="682"/>
    </row>
    <row r="15766" spans="5:13" ht="13.5" hidden="1" thickBot="1" x14ac:dyDescent="0.25">
      <c r="F15766" s="503" t="s">
        <v>236</v>
      </c>
      <c r="G15766" s="504" t="s">
        <v>237</v>
      </c>
      <c r="H15766" s="397"/>
      <c r="I15766" s="397"/>
      <c r="J15766" s="750" t="e">
        <f t="shared" si="183"/>
        <v>#DIV/0!</v>
      </c>
      <c r="K15766" s="398"/>
      <c r="L15766" s="404"/>
      <c r="M15766" s="682"/>
    </row>
    <row r="15767" spans="5:13" ht="13.5" hidden="1" thickBot="1" x14ac:dyDescent="0.25">
      <c r="F15767" s="503" t="s">
        <v>238</v>
      </c>
      <c r="G15767" s="504" t="s">
        <v>239</v>
      </c>
      <c r="H15767" s="397"/>
      <c r="I15767" s="397"/>
      <c r="J15767" s="750" t="e">
        <f t="shared" si="183"/>
        <v>#DIV/0!</v>
      </c>
      <c r="K15767" s="398"/>
      <c r="L15767" s="404"/>
      <c r="M15767" s="682"/>
    </row>
    <row r="15768" spans="5:13" ht="13.5" hidden="1" thickBot="1" x14ac:dyDescent="0.25">
      <c r="F15768" s="503" t="s">
        <v>240</v>
      </c>
      <c r="G15768" s="504" t="s">
        <v>241</v>
      </c>
      <c r="H15768" s="397"/>
      <c r="I15768" s="397"/>
      <c r="J15768" s="750" t="e">
        <f t="shared" si="183"/>
        <v>#DIV/0!</v>
      </c>
      <c r="K15768" s="398"/>
      <c r="L15768" s="404"/>
      <c r="M15768" s="682"/>
    </row>
    <row r="15769" spans="5:13" ht="13.5" hidden="1" thickBot="1" x14ac:dyDescent="0.25">
      <c r="F15769" s="503" t="s">
        <v>242</v>
      </c>
      <c r="G15769" s="504" t="s">
        <v>243</v>
      </c>
      <c r="H15769" s="397"/>
      <c r="I15769" s="397"/>
      <c r="J15769" s="750" t="e">
        <f t="shared" si="183"/>
        <v>#DIV/0!</v>
      </c>
      <c r="K15769" s="398"/>
      <c r="L15769" s="404"/>
      <c r="M15769" s="682"/>
    </row>
    <row r="15770" spans="5:13" ht="13.5" hidden="1" thickBot="1" x14ac:dyDescent="0.25">
      <c r="F15770" s="503" t="s">
        <v>244</v>
      </c>
      <c r="G15770" s="504" t="s">
        <v>245</v>
      </c>
      <c r="H15770" s="397"/>
      <c r="I15770" s="397"/>
      <c r="J15770" s="750" t="e">
        <f t="shared" si="183"/>
        <v>#DIV/0!</v>
      </c>
      <c r="K15770" s="398"/>
      <c r="L15770" s="404"/>
      <c r="M15770" s="682"/>
    </row>
    <row r="15771" spans="5:13" ht="13.5" hidden="1" thickBot="1" x14ac:dyDescent="0.25">
      <c r="F15771" s="503" t="s">
        <v>246</v>
      </c>
      <c r="G15771" s="504" t="s">
        <v>247</v>
      </c>
      <c r="H15771" s="397"/>
      <c r="I15771" s="397"/>
      <c r="J15771" s="750" t="e">
        <f t="shared" si="183"/>
        <v>#DIV/0!</v>
      </c>
      <c r="K15771" s="398"/>
      <c r="L15771" s="404"/>
      <c r="M15771" s="682"/>
    </row>
    <row r="15772" spans="5:13" ht="26.25" hidden="1" thickBot="1" x14ac:dyDescent="0.25">
      <c r="F15772" s="503" t="s">
        <v>248</v>
      </c>
      <c r="G15772" s="504" t="s">
        <v>249</v>
      </c>
      <c r="H15772" s="397"/>
      <c r="I15772" s="397"/>
      <c r="J15772" s="750" t="e">
        <f t="shared" si="183"/>
        <v>#DIV/0!</v>
      </c>
      <c r="K15772" s="398"/>
      <c r="L15772" s="404"/>
      <c r="M15772" s="682"/>
    </row>
    <row r="15773" spans="5:13" ht="13.5" hidden="1" thickBot="1" x14ac:dyDescent="0.25">
      <c r="F15773" s="503" t="s">
        <v>250</v>
      </c>
      <c r="G15773" s="504" t="s">
        <v>57</v>
      </c>
      <c r="H15773" s="397"/>
      <c r="I15773" s="397"/>
      <c r="J15773" s="750" t="e">
        <f t="shared" si="183"/>
        <v>#DIV/0!</v>
      </c>
      <c r="K15773" s="398"/>
      <c r="L15773" s="404"/>
      <c r="M15773" s="682"/>
    </row>
    <row r="15774" spans="5:13" ht="13.5" hidden="1" thickBot="1" x14ac:dyDescent="0.25">
      <c r="F15774" s="503" t="s">
        <v>251</v>
      </c>
      <c r="G15774" s="504" t="s">
        <v>252</v>
      </c>
      <c r="H15774" s="397"/>
      <c r="I15774" s="397"/>
      <c r="J15774" s="750" t="e">
        <f t="shared" si="183"/>
        <v>#DIV/0!</v>
      </c>
      <c r="K15774" s="398"/>
      <c r="L15774" s="404"/>
      <c r="M15774" s="682"/>
    </row>
    <row r="15775" spans="5:13" ht="13.5" hidden="1" thickBot="1" x14ac:dyDescent="0.25">
      <c r="F15775" s="503" t="s">
        <v>253</v>
      </c>
      <c r="G15775" s="504" t="s">
        <v>254</v>
      </c>
      <c r="H15775" s="397"/>
      <c r="I15775" s="397"/>
      <c r="J15775" s="750" t="e">
        <f t="shared" si="183"/>
        <v>#DIV/0!</v>
      </c>
      <c r="K15775" s="398"/>
      <c r="L15775" s="404"/>
      <c r="M15775" s="682"/>
    </row>
    <row r="15776" spans="5:13" ht="26.25" hidden="1" thickBot="1" x14ac:dyDescent="0.25">
      <c r="F15776" s="503" t="s">
        <v>255</v>
      </c>
      <c r="G15776" s="504" t="s">
        <v>256</v>
      </c>
      <c r="H15776" s="397"/>
      <c r="I15776" s="397"/>
      <c r="J15776" s="750" t="e">
        <f t="shared" si="183"/>
        <v>#DIV/0!</v>
      </c>
      <c r="K15776" s="398"/>
      <c r="L15776" s="404"/>
      <c r="M15776" s="682"/>
    </row>
    <row r="15777" spans="5:13" ht="26.25" hidden="1" thickBot="1" x14ac:dyDescent="0.25">
      <c r="F15777" s="503" t="s">
        <v>257</v>
      </c>
      <c r="G15777" s="504" t="s">
        <v>258</v>
      </c>
      <c r="H15777" s="397"/>
      <c r="I15777" s="397"/>
      <c r="J15777" s="750" t="e">
        <f t="shared" si="183"/>
        <v>#DIV/0!</v>
      </c>
      <c r="K15777" s="398"/>
      <c r="L15777" s="404"/>
      <c r="M15777" s="682"/>
    </row>
    <row r="15778" spans="5:13" ht="26.25" hidden="1" thickBot="1" x14ac:dyDescent="0.25">
      <c r="F15778" s="503" t="s">
        <v>259</v>
      </c>
      <c r="G15778" s="504" t="s">
        <v>260</v>
      </c>
      <c r="H15778" s="397"/>
      <c r="I15778" s="397"/>
      <c r="J15778" s="750" t="e">
        <f t="shared" si="183"/>
        <v>#DIV/0!</v>
      </c>
      <c r="K15778" s="398"/>
      <c r="L15778" s="404"/>
      <c r="M15778" s="682"/>
    </row>
    <row r="15779" spans="5:13" ht="26.25" hidden="1" thickBot="1" x14ac:dyDescent="0.25">
      <c r="F15779" s="503" t="s">
        <v>261</v>
      </c>
      <c r="G15779" s="504" t="s">
        <v>262</v>
      </c>
      <c r="H15779" s="397"/>
      <c r="I15779" s="397"/>
      <c r="J15779" s="750" t="e">
        <f t="shared" si="183"/>
        <v>#DIV/0!</v>
      </c>
      <c r="K15779" s="398"/>
      <c r="L15779" s="404"/>
      <c r="M15779" s="682"/>
    </row>
    <row r="15780" spans="5:13" ht="13.5" hidden="1" thickBot="1" x14ac:dyDescent="0.25">
      <c r="F15780" s="503" t="s">
        <v>263</v>
      </c>
      <c r="G15780" s="504" t="s">
        <v>264</v>
      </c>
      <c r="H15780" s="403"/>
      <c r="I15780" s="403"/>
      <c r="J15780" s="750" t="e">
        <f t="shared" si="183"/>
        <v>#DIV/0!</v>
      </c>
      <c r="K15780" s="404"/>
      <c r="L15780" s="404"/>
      <c r="M15780" s="682"/>
    </row>
    <row r="15781" spans="5:13" ht="13.5" thickBot="1" x14ac:dyDescent="0.25">
      <c r="G15781" s="505" t="s">
        <v>5167</v>
      </c>
      <c r="H15781" s="405">
        <f>SUM(H15765:H15780)</f>
        <v>8500000</v>
      </c>
      <c r="I15781" s="405">
        <f>SUM(I15765)</f>
        <v>7172062.0999999996</v>
      </c>
      <c r="J15781" s="750">
        <f t="shared" si="183"/>
        <v>84.377201176470578</v>
      </c>
      <c r="K15781" s="406">
        <f>SUM(K15766:K15780)</f>
        <v>0</v>
      </c>
      <c r="L15781" s="406"/>
      <c r="M15781" s="682"/>
    </row>
    <row r="15782" spans="5:13" x14ac:dyDescent="0.2">
      <c r="E15782" s="500"/>
      <c r="F15782" s="498"/>
      <c r="G15782" s="506" t="s">
        <v>5182</v>
      </c>
      <c r="H15782" s="407"/>
      <c r="I15782" s="408"/>
      <c r="J15782" s="750"/>
      <c r="K15782" s="409"/>
      <c r="L15782" s="410"/>
      <c r="M15782" s="682"/>
    </row>
    <row r="15783" spans="5:13" ht="13.5" thickBot="1" x14ac:dyDescent="0.25">
      <c r="E15783" s="502"/>
      <c r="F15783" s="503" t="s">
        <v>234</v>
      </c>
      <c r="G15783" s="504" t="s">
        <v>235</v>
      </c>
      <c r="H15783" s="403">
        <f>SUM(H15704:H15763)</f>
        <v>8500000</v>
      </c>
      <c r="I15783" s="403">
        <f>SUM(I15781)</f>
        <v>7172062.0999999996</v>
      </c>
      <c r="J15783" s="750">
        <f t="shared" si="183"/>
        <v>84.377201176470578</v>
      </c>
      <c r="K15783" s="404"/>
      <c r="L15783" s="404"/>
      <c r="M15783" s="682"/>
    </row>
    <row r="15784" spans="5:13" ht="13.5" hidden="1" thickBot="1" x14ac:dyDescent="0.25">
      <c r="F15784" s="503" t="s">
        <v>236</v>
      </c>
      <c r="G15784" s="504" t="s">
        <v>237</v>
      </c>
      <c r="H15784" s="397"/>
      <c r="I15784" s="397"/>
      <c r="J15784" s="750" t="e">
        <f t="shared" si="183"/>
        <v>#DIV/0!</v>
      </c>
      <c r="K15784" s="398"/>
      <c r="L15784" s="404"/>
      <c r="M15784" s="682"/>
    </row>
    <row r="15785" spans="5:13" ht="13.5" hidden="1" thickBot="1" x14ac:dyDescent="0.25">
      <c r="F15785" s="503" t="s">
        <v>238</v>
      </c>
      <c r="G15785" s="504" t="s">
        <v>239</v>
      </c>
      <c r="H15785" s="397"/>
      <c r="I15785" s="397"/>
      <c r="J15785" s="750" t="e">
        <f t="shared" si="183"/>
        <v>#DIV/0!</v>
      </c>
      <c r="K15785" s="398"/>
      <c r="L15785" s="404"/>
      <c r="M15785" s="682"/>
    </row>
    <row r="15786" spans="5:13" ht="13.5" hidden="1" thickBot="1" x14ac:dyDescent="0.25">
      <c r="F15786" s="503" t="s">
        <v>240</v>
      </c>
      <c r="G15786" s="504" t="s">
        <v>241</v>
      </c>
      <c r="H15786" s="397"/>
      <c r="I15786" s="397"/>
      <c r="J15786" s="750" t="e">
        <f t="shared" si="183"/>
        <v>#DIV/0!</v>
      </c>
      <c r="K15786" s="398"/>
      <c r="L15786" s="404"/>
      <c r="M15786" s="682"/>
    </row>
    <row r="15787" spans="5:13" ht="13.5" hidden="1" thickBot="1" x14ac:dyDescent="0.25">
      <c r="F15787" s="503" t="s">
        <v>242</v>
      </c>
      <c r="G15787" s="504" t="s">
        <v>243</v>
      </c>
      <c r="H15787" s="397"/>
      <c r="I15787" s="397"/>
      <c r="J15787" s="750" t="e">
        <f t="shared" si="183"/>
        <v>#DIV/0!</v>
      </c>
      <c r="K15787" s="398"/>
      <c r="L15787" s="404"/>
      <c r="M15787" s="682"/>
    </row>
    <row r="15788" spans="5:13" ht="13.5" hidden="1" thickBot="1" x14ac:dyDescent="0.25">
      <c r="F15788" s="503" t="s">
        <v>244</v>
      </c>
      <c r="G15788" s="504" t="s">
        <v>245</v>
      </c>
      <c r="H15788" s="397"/>
      <c r="I15788" s="397"/>
      <c r="J15788" s="750" t="e">
        <f t="shared" si="183"/>
        <v>#DIV/0!</v>
      </c>
      <c r="K15788" s="398"/>
      <c r="L15788" s="404"/>
      <c r="M15788" s="682"/>
    </row>
    <row r="15789" spans="5:13" ht="13.5" hidden="1" thickBot="1" x14ac:dyDescent="0.25">
      <c r="F15789" s="503" t="s">
        <v>246</v>
      </c>
      <c r="G15789" s="504" t="s">
        <v>247</v>
      </c>
      <c r="H15789" s="397"/>
      <c r="I15789" s="397"/>
      <c r="J15789" s="750" t="e">
        <f t="shared" si="183"/>
        <v>#DIV/0!</v>
      </c>
      <c r="K15789" s="398"/>
      <c r="L15789" s="404"/>
      <c r="M15789" s="682"/>
    </row>
    <row r="15790" spans="5:13" ht="26.25" hidden="1" thickBot="1" x14ac:dyDescent="0.25">
      <c r="F15790" s="503" t="s">
        <v>248</v>
      </c>
      <c r="G15790" s="504" t="s">
        <v>249</v>
      </c>
      <c r="H15790" s="397"/>
      <c r="I15790" s="397"/>
      <c r="J15790" s="750" t="e">
        <f t="shared" si="183"/>
        <v>#DIV/0!</v>
      </c>
      <c r="K15790" s="398"/>
      <c r="L15790" s="404"/>
      <c r="M15790" s="682"/>
    </row>
    <row r="15791" spans="5:13" ht="13.5" hidden="1" thickBot="1" x14ac:dyDescent="0.25">
      <c r="F15791" s="503" t="s">
        <v>250</v>
      </c>
      <c r="G15791" s="504" t="s">
        <v>57</v>
      </c>
      <c r="H15791" s="397"/>
      <c r="I15791" s="397"/>
      <c r="J15791" s="750" t="e">
        <f t="shared" si="183"/>
        <v>#DIV/0!</v>
      </c>
      <c r="K15791" s="398"/>
      <c r="L15791" s="404"/>
      <c r="M15791" s="682"/>
    </row>
    <row r="15792" spans="5:13" ht="13.5" hidden="1" thickBot="1" x14ac:dyDescent="0.25">
      <c r="F15792" s="503" t="s">
        <v>251</v>
      </c>
      <c r="G15792" s="504" t="s">
        <v>252</v>
      </c>
      <c r="H15792" s="397"/>
      <c r="I15792" s="397"/>
      <c r="J15792" s="750" t="e">
        <f t="shared" si="183"/>
        <v>#DIV/0!</v>
      </c>
      <c r="K15792" s="398"/>
      <c r="L15792" s="404"/>
      <c r="M15792" s="682"/>
    </row>
    <row r="15793" spans="3:13" ht="13.5" hidden="1" thickBot="1" x14ac:dyDescent="0.25">
      <c r="F15793" s="503" t="s">
        <v>253</v>
      </c>
      <c r="G15793" s="504" t="s">
        <v>254</v>
      </c>
      <c r="H15793" s="397"/>
      <c r="I15793" s="397"/>
      <c r="J15793" s="750" t="e">
        <f t="shared" si="183"/>
        <v>#DIV/0!</v>
      </c>
      <c r="K15793" s="398"/>
      <c r="L15793" s="404"/>
      <c r="M15793" s="682"/>
    </row>
    <row r="15794" spans="3:13" ht="26.25" hidden="1" thickBot="1" x14ac:dyDescent="0.25">
      <c r="F15794" s="503" t="s">
        <v>255</v>
      </c>
      <c r="G15794" s="504" t="s">
        <v>256</v>
      </c>
      <c r="H15794" s="397"/>
      <c r="I15794" s="397"/>
      <c r="J15794" s="750" t="e">
        <f t="shared" si="183"/>
        <v>#DIV/0!</v>
      </c>
      <c r="K15794" s="398"/>
      <c r="L15794" s="404"/>
      <c r="M15794" s="682"/>
    </row>
    <row r="15795" spans="3:13" ht="26.25" hidden="1" thickBot="1" x14ac:dyDescent="0.25">
      <c r="F15795" s="503" t="s">
        <v>257</v>
      </c>
      <c r="G15795" s="504" t="s">
        <v>258</v>
      </c>
      <c r="H15795" s="397"/>
      <c r="I15795" s="397"/>
      <c r="J15795" s="750" t="e">
        <f t="shared" si="183"/>
        <v>#DIV/0!</v>
      </c>
      <c r="K15795" s="398"/>
      <c r="L15795" s="404"/>
      <c r="M15795" s="682"/>
    </row>
    <row r="15796" spans="3:13" ht="26.25" hidden="1" thickBot="1" x14ac:dyDescent="0.25">
      <c r="F15796" s="503" t="s">
        <v>259</v>
      </c>
      <c r="G15796" s="504" t="s">
        <v>260</v>
      </c>
      <c r="H15796" s="397"/>
      <c r="I15796" s="397"/>
      <c r="J15796" s="750" t="e">
        <f t="shared" si="183"/>
        <v>#DIV/0!</v>
      </c>
      <c r="K15796" s="398"/>
      <c r="L15796" s="404"/>
      <c r="M15796" s="682"/>
    </row>
    <row r="15797" spans="3:13" ht="26.25" hidden="1" thickBot="1" x14ac:dyDescent="0.25">
      <c r="F15797" s="503" t="s">
        <v>261</v>
      </c>
      <c r="G15797" s="504" t="s">
        <v>262</v>
      </c>
      <c r="H15797" s="397"/>
      <c r="I15797" s="397"/>
      <c r="J15797" s="750" t="e">
        <f t="shared" si="183"/>
        <v>#DIV/0!</v>
      </c>
      <c r="K15797" s="398"/>
      <c r="L15797" s="404"/>
      <c r="M15797" s="682"/>
    </row>
    <row r="15798" spans="3:13" ht="13.5" hidden="1" thickBot="1" x14ac:dyDescent="0.25">
      <c r="F15798" s="503" t="s">
        <v>263</v>
      </c>
      <c r="G15798" s="504" t="s">
        <v>264</v>
      </c>
      <c r="H15798" s="403"/>
      <c r="I15798" s="403"/>
      <c r="J15798" s="750" t="e">
        <f t="shared" si="183"/>
        <v>#DIV/0!</v>
      </c>
      <c r="K15798" s="404"/>
      <c r="L15798" s="404"/>
      <c r="M15798" s="682"/>
    </row>
    <row r="15799" spans="3:13" ht="13.5" thickBot="1" x14ac:dyDescent="0.25">
      <c r="G15799" s="505" t="s">
        <v>5183</v>
      </c>
      <c r="H15799" s="405">
        <f>SUM(H15783:H15798)</f>
        <v>8500000</v>
      </c>
      <c r="I15799" s="405">
        <f>SUM(I15783)</f>
        <v>7172062.0999999996</v>
      </c>
      <c r="J15799" s="750">
        <f t="shared" si="183"/>
        <v>84.377201176470578</v>
      </c>
      <c r="K15799" s="406">
        <f>SUM(K15784:K15798)</f>
        <v>0</v>
      </c>
      <c r="L15799" s="406"/>
      <c r="M15799" s="682"/>
    </row>
    <row r="15800" spans="3:13" ht="4.5" customHeight="1" x14ac:dyDescent="0.2">
      <c r="G15800" s="510"/>
      <c r="H15800" s="411"/>
      <c r="I15800" s="411"/>
      <c r="J15800" s="750"/>
      <c r="K15800" s="412"/>
      <c r="L15800" s="412"/>
      <c r="M15800" s="682"/>
    </row>
    <row r="15801" spans="3:13" x14ac:dyDescent="0.2">
      <c r="C15801" s="489" t="s">
        <v>4507</v>
      </c>
      <c r="D15801" s="490"/>
      <c r="G15801" s="508" t="s">
        <v>5184</v>
      </c>
      <c r="H15801" s="397"/>
      <c r="I15801" s="397"/>
      <c r="J15801" s="750"/>
      <c r="K15801" s="398"/>
      <c r="L15801" s="398"/>
      <c r="M15801" s="682"/>
    </row>
    <row r="15802" spans="3:13" x14ac:dyDescent="0.2">
      <c r="C15802" s="489"/>
      <c r="D15802" s="492">
        <v>630</v>
      </c>
      <c r="E15802" s="492"/>
      <c r="F15802" s="492"/>
      <c r="G15802" s="551" t="s">
        <v>183</v>
      </c>
      <c r="H15802" s="397"/>
      <c r="I15802" s="397"/>
      <c r="J15802" s="750"/>
      <c r="K15802" s="398"/>
      <c r="L15802" s="398"/>
      <c r="M15802" s="682"/>
    </row>
    <row r="15803" spans="3:13" hidden="1" x14ac:dyDescent="0.2">
      <c r="F15803" s="494">
        <v>411</v>
      </c>
      <c r="G15803" s="495" t="s">
        <v>4167</v>
      </c>
      <c r="H15803" s="397"/>
      <c r="I15803" s="397"/>
      <c r="J15803" s="750" t="e">
        <f t="shared" si="183"/>
        <v>#DIV/0!</v>
      </c>
      <c r="K15803" s="398"/>
      <c r="L15803" s="398"/>
      <c r="M15803" s="682"/>
    </row>
    <row r="15804" spans="3:13" hidden="1" x14ac:dyDescent="0.2">
      <c r="F15804" s="494">
        <v>412</v>
      </c>
      <c r="G15804" s="496" t="s">
        <v>3764</v>
      </c>
      <c r="H15804" s="397"/>
      <c r="I15804" s="397"/>
      <c r="J15804" s="750" t="e">
        <f t="shared" si="183"/>
        <v>#DIV/0!</v>
      </c>
      <c r="K15804" s="398"/>
      <c r="L15804" s="398"/>
      <c r="M15804" s="682"/>
    </row>
    <row r="15805" spans="3:13" hidden="1" x14ac:dyDescent="0.2">
      <c r="F15805" s="494">
        <v>413</v>
      </c>
      <c r="G15805" s="495" t="s">
        <v>4168</v>
      </c>
      <c r="H15805" s="397"/>
      <c r="I15805" s="397"/>
      <c r="J15805" s="750" t="e">
        <f t="shared" si="183"/>
        <v>#DIV/0!</v>
      </c>
      <c r="K15805" s="398"/>
      <c r="L15805" s="398"/>
      <c r="M15805" s="682"/>
    </row>
    <row r="15806" spans="3:13" hidden="1" x14ac:dyDescent="0.2">
      <c r="F15806" s="494">
        <v>414</v>
      </c>
      <c r="G15806" s="495" t="s">
        <v>3767</v>
      </c>
      <c r="H15806" s="397"/>
      <c r="I15806" s="397"/>
      <c r="J15806" s="750" t="e">
        <f t="shared" si="183"/>
        <v>#DIV/0!</v>
      </c>
      <c r="K15806" s="398"/>
      <c r="L15806" s="398"/>
      <c r="M15806" s="682"/>
    </row>
    <row r="15807" spans="3:13" hidden="1" x14ac:dyDescent="0.2">
      <c r="F15807" s="494">
        <v>415</v>
      </c>
      <c r="G15807" s="495" t="s">
        <v>4177</v>
      </c>
      <c r="H15807" s="397"/>
      <c r="I15807" s="397"/>
      <c r="J15807" s="750" t="e">
        <f t="shared" si="183"/>
        <v>#DIV/0!</v>
      </c>
      <c r="K15807" s="398"/>
      <c r="L15807" s="398"/>
      <c r="M15807" s="682"/>
    </row>
    <row r="15808" spans="3:13" ht="25.5" hidden="1" x14ac:dyDescent="0.2">
      <c r="F15808" s="494">
        <v>416</v>
      </c>
      <c r="G15808" s="495" t="s">
        <v>4178</v>
      </c>
      <c r="H15808" s="397"/>
      <c r="I15808" s="397"/>
      <c r="J15808" s="750" t="e">
        <f t="shared" si="183"/>
        <v>#DIV/0!</v>
      </c>
      <c r="K15808" s="398"/>
      <c r="L15808" s="398"/>
      <c r="M15808" s="682"/>
    </row>
    <row r="15809" spans="6:13" hidden="1" x14ac:dyDescent="0.2">
      <c r="F15809" s="494">
        <v>417</v>
      </c>
      <c r="G15809" s="495" t="s">
        <v>4179</v>
      </c>
      <c r="H15809" s="397"/>
      <c r="I15809" s="397"/>
      <c r="J15809" s="750" t="e">
        <f t="shared" si="183"/>
        <v>#DIV/0!</v>
      </c>
      <c r="K15809" s="398"/>
      <c r="L15809" s="398"/>
      <c r="M15809" s="682"/>
    </row>
    <row r="15810" spans="6:13" hidden="1" x14ac:dyDescent="0.2">
      <c r="F15810" s="494">
        <v>418</v>
      </c>
      <c r="G15810" s="495" t="s">
        <v>3773</v>
      </c>
      <c r="H15810" s="397"/>
      <c r="I15810" s="397"/>
      <c r="J15810" s="750" t="e">
        <f t="shared" si="183"/>
        <v>#DIV/0!</v>
      </c>
      <c r="K15810" s="398"/>
      <c r="L15810" s="398"/>
      <c r="M15810" s="682"/>
    </row>
    <row r="15811" spans="6:13" hidden="1" x14ac:dyDescent="0.2">
      <c r="F15811" s="494">
        <v>421</v>
      </c>
      <c r="G15811" s="495" t="s">
        <v>3777</v>
      </c>
      <c r="H15811" s="397"/>
      <c r="I15811" s="397"/>
      <c r="J15811" s="750" t="e">
        <f t="shared" si="183"/>
        <v>#DIV/0!</v>
      </c>
      <c r="K15811" s="398"/>
      <c r="L15811" s="398"/>
      <c r="M15811" s="682"/>
    </row>
    <row r="15812" spans="6:13" hidden="1" x14ac:dyDescent="0.2">
      <c r="F15812" s="494">
        <v>422</v>
      </c>
      <c r="G15812" s="495" t="s">
        <v>3778</v>
      </c>
      <c r="H15812" s="397"/>
      <c r="I15812" s="397"/>
      <c r="J15812" s="750" t="e">
        <f t="shared" si="183"/>
        <v>#DIV/0!</v>
      </c>
      <c r="K15812" s="398"/>
      <c r="L15812" s="398"/>
      <c r="M15812" s="682"/>
    </row>
    <row r="15813" spans="6:13" hidden="1" x14ac:dyDescent="0.2">
      <c r="F15813" s="494">
        <v>423</v>
      </c>
      <c r="G15813" s="495" t="s">
        <v>3779</v>
      </c>
      <c r="H15813" s="397"/>
      <c r="I15813" s="397"/>
      <c r="J15813" s="750" t="e">
        <f t="shared" si="183"/>
        <v>#DIV/0!</v>
      </c>
      <c r="K15813" s="398"/>
      <c r="L15813" s="398"/>
      <c r="M15813" s="682"/>
    </row>
    <row r="15814" spans="6:13" hidden="1" x14ac:dyDescent="0.2">
      <c r="F15814" s="494">
        <v>424</v>
      </c>
      <c r="G15814" s="495" t="s">
        <v>3781</v>
      </c>
      <c r="H15814" s="397"/>
      <c r="I15814" s="397"/>
      <c r="J15814" s="750" t="e">
        <f t="shared" si="183"/>
        <v>#DIV/0!</v>
      </c>
      <c r="K15814" s="398"/>
      <c r="L15814" s="398"/>
      <c r="M15814" s="682"/>
    </row>
    <row r="15815" spans="6:13" hidden="1" x14ac:dyDescent="0.2">
      <c r="F15815" s="494">
        <v>425</v>
      </c>
      <c r="G15815" s="495" t="s">
        <v>4180</v>
      </c>
      <c r="H15815" s="397"/>
      <c r="I15815" s="397"/>
      <c r="J15815" s="750" t="e">
        <f t="shared" si="183"/>
        <v>#DIV/0!</v>
      </c>
      <c r="K15815" s="398"/>
      <c r="L15815" s="398"/>
      <c r="M15815" s="682"/>
    </row>
    <row r="15816" spans="6:13" hidden="1" x14ac:dyDescent="0.2">
      <c r="F15816" s="494">
        <v>426</v>
      </c>
      <c r="G15816" s="495" t="s">
        <v>3785</v>
      </c>
      <c r="H15816" s="397"/>
      <c r="I15816" s="397"/>
      <c r="J15816" s="750" t="e">
        <f t="shared" si="183"/>
        <v>#DIV/0!</v>
      </c>
      <c r="K15816" s="398"/>
      <c r="L15816" s="398"/>
      <c r="M15816" s="682"/>
    </row>
    <row r="15817" spans="6:13" hidden="1" x14ac:dyDescent="0.2">
      <c r="F15817" s="494">
        <v>431</v>
      </c>
      <c r="G15817" s="495" t="s">
        <v>4181</v>
      </c>
      <c r="H15817" s="397"/>
      <c r="I15817" s="397"/>
      <c r="J15817" s="750" t="e">
        <f t="shared" si="183"/>
        <v>#DIV/0!</v>
      </c>
      <c r="K15817" s="398"/>
      <c r="L15817" s="398"/>
      <c r="M15817" s="682"/>
    </row>
    <row r="15818" spans="6:13" hidden="1" x14ac:dyDescent="0.2">
      <c r="F15818" s="494">
        <v>432</v>
      </c>
      <c r="G15818" s="495" t="s">
        <v>4182</v>
      </c>
      <c r="H15818" s="397"/>
      <c r="I15818" s="397"/>
      <c r="J15818" s="750" t="e">
        <f t="shared" si="183"/>
        <v>#DIV/0!</v>
      </c>
      <c r="K15818" s="398"/>
      <c r="L15818" s="398"/>
      <c r="M15818" s="682"/>
    </row>
    <row r="15819" spans="6:13" hidden="1" x14ac:dyDescent="0.2">
      <c r="F15819" s="494">
        <v>433</v>
      </c>
      <c r="G15819" s="495" t="s">
        <v>4183</v>
      </c>
      <c r="H15819" s="397"/>
      <c r="I15819" s="397"/>
      <c r="J15819" s="750" t="e">
        <f t="shared" si="183"/>
        <v>#DIV/0!</v>
      </c>
      <c r="K15819" s="398"/>
      <c r="L15819" s="398"/>
      <c r="M15819" s="682"/>
    </row>
    <row r="15820" spans="6:13" hidden="1" x14ac:dyDescent="0.2">
      <c r="F15820" s="494">
        <v>434</v>
      </c>
      <c r="G15820" s="495" t="s">
        <v>4184</v>
      </c>
      <c r="H15820" s="397"/>
      <c r="I15820" s="397"/>
      <c r="J15820" s="750" t="e">
        <f t="shared" si="183"/>
        <v>#DIV/0!</v>
      </c>
      <c r="K15820" s="398"/>
      <c r="L15820" s="398"/>
      <c r="M15820" s="682"/>
    </row>
    <row r="15821" spans="6:13" hidden="1" x14ac:dyDescent="0.2">
      <c r="F15821" s="494">
        <v>435</v>
      </c>
      <c r="G15821" s="495" t="s">
        <v>3792</v>
      </c>
      <c r="H15821" s="397"/>
      <c r="I15821" s="397"/>
      <c r="J15821" s="750" t="e">
        <f t="shared" si="183"/>
        <v>#DIV/0!</v>
      </c>
      <c r="K15821" s="398"/>
      <c r="L15821" s="398"/>
      <c r="M15821" s="682"/>
    </row>
    <row r="15822" spans="6:13" hidden="1" x14ac:dyDescent="0.2">
      <c r="F15822" s="494">
        <v>441</v>
      </c>
      <c r="G15822" s="495" t="s">
        <v>4185</v>
      </c>
      <c r="H15822" s="397"/>
      <c r="I15822" s="397"/>
      <c r="J15822" s="750" t="e">
        <f t="shared" ref="J15822:J15885" si="184">SUM(I15822/H15822)*100</f>
        <v>#DIV/0!</v>
      </c>
      <c r="K15822" s="398"/>
      <c r="L15822" s="398"/>
      <c r="M15822" s="682"/>
    </row>
    <row r="15823" spans="6:13" hidden="1" x14ac:dyDescent="0.2">
      <c r="F15823" s="494">
        <v>442</v>
      </c>
      <c r="G15823" s="495" t="s">
        <v>4186</v>
      </c>
      <c r="H15823" s="397"/>
      <c r="I15823" s="397"/>
      <c r="J15823" s="750" t="e">
        <f t="shared" si="184"/>
        <v>#DIV/0!</v>
      </c>
      <c r="K15823" s="398"/>
      <c r="L15823" s="398"/>
      <c r="M15823" s="682"/>
    </row>
    <row r="15824" spans="6:13" hidden="1" x14ac:dyDescent="0.2">
      <c r="F15824" s="494">
        <v>443</v>
      </c>
      <c r="G15824" s="495" t="s">
        <v>3797</v>
      </c>
      <c r="H15824" s="397"/>
      <c r="I15824" s="397"/>
      <c r="J15824" s="750" t="e">
        <f t="shared" si="184"/>
        <v>#DIV/0!</v>
      </c>
      <c r="K15824" s="398"/>
      <c r="L15824" s="398"/>
      <c r="M15824" s="682"/>
    </row>
    <row r="15825" spans="6:13" hidden="1" x14ac:dyDescent="0.2">
      <c r="F15825" s="494">
        <v>444</v>
      </c>
      <c r="G15825" s="495" t="s">
        <v>3798</v>
      </c>
      <c r="H15825" s="397"/>
      <c r="I15825" s="397"/>
      <c r="J15825" s="750" t="e">
        <f t="shared" si="184"/>
        <v>#DIV/0!</v>
      </c>
      <c r="K15825" s="398"/>
      <c r="L15825" s="398"/>
      <c r="M15825" s="682"/>
    </row>
    <row r="15826" spans="6:13" ht="25.5" hidden="1" x14ac:dyDescent="0.2">
      <c r="F15826" s="494">
        <v>4511</v>
      </c>
      <c r="G15826" s="466" t="s">
        <v>1692</v>
      </c>
      <c r="H15826" s="397"/>
      <c r="I15826" s="397"/>
      <c r="J15826" s="750" t="e">
        <f t="shared" si="184"/>
        <v>#DIV/0!</v>
      </c>
      <c r="K15826" s="398"/>
      <c r="L15826" s="398"/>
      <c r="M15826" s="682"/>
    </row>
    <row r="15827" spans="6:13" ht="25.5" hidden="1" x14ac:dyDescent="0.2">
      <c r="F15827" s="494">
        <v>4512</v>
      </c>
      <c r="G15827" s="466" t="s">
        <v>1701</v>
      </c>
      <c r="H15827" s="397"/>
      <c r="I15827" s="397"/>
      <c r="J15827" s="750" t="e">
        <f t="shared" si="184"/>
        <v>#DIV/0!</v>
      </c>
      <c r="K15827" s="398"/>
      <c r="L15827" s="398"/>
      <c r="M15827" s="682"/>
    </row>
    <row r="15828" spans="6:13" ht="25.5" hidden="1" x14ac:dyDescent="0.2">
      <c r="F15828" s="494">
        <v>452</v>
      </c>
      <c r="G15828" s="495" t="s">
        <v>4187</v>
      </c>
      <c r="H15828" s="397"/>
      <c r="I15828" s="397"/>
      <c r="J15828" s="750" t="e">
        <f t="shared" si="184"/>
        <v>#DIV/0!</v>
      </c>
      <c r="K15828" s="398"/>
      <c r="L15828" s="398"/>
      <c r="M15828" s="682"/>
    </row>
    <row r="15829" spans="6:13" ht="25.5" hidden="1" x14ac:dyDescent="0.2">
      <c r="F15829" s="494">
        <v>453</v>
      </c>
      <c r="G15829" s="495" t="s">
        <v>4188</v>
      </c>
      <c r="H15829" s="397"/>
      <c r="I15829" s="397"/>
      <c r="J15829" s="750" t="e">
        <f t="shared" si="184"/>
        <v>#DIV/0!</v>
      </c>
      <c r="K15829" s="398"/>
      <c r="L15829" s="398"/>
      <c r="M15829" s="682"/>
    </row>
    <row r="15830" spans="6:13" hidden="1" x14ac:dyDescent="0.2">
      <c r="F15830" s="494">
        <v>454</v>
      </c>
      <c r="G15830" s="495" t="s">
        <v>3803</v>
      </c>
      <c r="H15830" s="397"/>
      <c r="I15830" s="397"/>
      <c r="J15830" s="750" t="e">
        <f t="shared" si="184"/>
        <v>#DIV/0!</v>
      </c>
      <c r="K15830" s="398"/>
      <c r="L15830" s="398"/>
      <c r="M15830" s="682"/>
    </row>
    <row r="15831" spans="6:13" hidden="1" x14ac:dyDescent="0.2">
      <c r="F15831" s="494">
        <v>461</v>
      </c>
      <c r="G15831" s="495" t="s">
        <v>4169</v>
      </c>
      <c r="H15831" s="397"/>
      <c r="I15831" s="397"/>
      <c r="J15831" s="750" t="e">
        <f t="shared" si="184"/>
        <v>#DIV/0!</v>
      </c>
      <c r="K15831" s="398"/>
      <c r="L15831" s="398"/>
      <c r="M15831" s="682"/>
    </row>
    <row r="15832" spans="6:13" ht="25.5" hidden="1" x14ac:dyDescent="0.2">
      <c r="F15832" s="494">
        <v>462</v>
      </c>
      <c r="G15832" s="495" t="s">
        <v>3806</v>
      </c>
      <c r="H15832" s="397"/>
      <c r="I15832" s="397"/>
      <c r="J15832" s="750" t="e">
        <f t="shared" si="184"/>
        <v>#DIV/0!</v>
      </c>
      <c r="K15832" s="398"/>
      <c r="L15832" s="398"/>
      <c r="M15832" s="682"/>
    </row>
    <row r="15833" spans="6:13" hidden="1" x14ac:dyDescent="0.2">
      <c r="F15833" s="494">
        <v>4631</v>
      </c>
      <c r="G15833" s="495" t="s">
        <v>3807</v>
      </c>
      <c r="H15833" s="397"/>
      <c r="I15833" s="397"/>
      <c r="J15833" s="750" t="e">
        <f t="shared" si="184"/>
        <v>#DIV/0!</v>
      </c>
      <c r="K15833" s="398"/>
      <c r="L15833" s="398"/>
      <c r="M15833" s="682"/>
    </row>
    <row r="15834" spans="6:13" hidden="1" x14ac:dyDescent="0.2">
      <c r="F15834" s="494">
        <v>4632</v>
      </c>
      <c r="G15834" s="495" t="s">
        <v>3808</v>
      </c>
      <c r="H15834" s="397"/>
      <c r="I15834" s="397"/>
      <c r="J15834" s="750" t="e">
        <f t="shared" si="184"/>
        <v>#DIV/0!</v>
      </c>
      <c r="K15834" s="398"/>
      <c r="L15834" s="398"/>
      <c r="M15834" s="682"/>
    </row>
    <row r="15835" spans="6:13" ht="25.5" hidden="1" x14ac:dyDescent="0.2">
      <c r="F15835" s="494">
        <v>464</v>
      </c>
      <c r="G15835" s="495" t="s">
        <v>3809</v>
      </c>
      <c r="H15835" s="397"/>
      <c r="I15835" s="397"/>
      <c r="J15835" s="750" t="e">
        <f t="shared" si="184"/>
        <v>#DIV/0!</v>
      </c>
      <c r="K15835" s="398"/>
      <c r="L15835" s="398"/>
      <c r="M15835" s="682"/>
    </row>
    <row r="15836" spans="6:13" hidden="1" x14ac:dyDescent="0.2">
      <c r="F15836" s="494">
        <v>465</v>
      </c>
      <c r="G15836" s="495" t="s">
        <v>4170</v>
      </c>
      <c r="H15836" s="397"/>
      <c r="I15836" s="397"/>
      <c r="J15836" s="750" t="e">
        <f t="shared" si="184"/>
        <v>#DIV/0!</v>
      </c>
      <c r="K15836" s="398"/>
      <c r="L15836" s="398"/>
      <c r="M15836" s="682"/>
    </row>
    <row r="15837" spans="6:13" hidden="1" x14ac:dyDescent="0.2">
      <c r="F15837" s="494">
        <v>472</v>
      </c>
      <c r="G15837" s="495" t="s">
        <v>3813</v>
      </c>
      <c r="H15837" s="397"/>
      <c r="I15837" s="397"/>
      <c r="J15837" s="750" t="e">
        <f t="shared" si="184"/>
        <v>#DIV/0!</v>
      </c>
      <c r="K15837" s="398"/>
      <c r="L15837" s="398"/>
      <c r="M15837" s="682"/>
    </row>
    <row r="15838" spans="6:13" hidden="1" x14ac:dyDescent="0.2">
      <c r="F15838" s="494">
        <v>481</v>
      </c>
      <c r="G15838" s="495" t="s">
        <v>4189</v>
      </c>
      <c r="H15838" s="397"/>
      <c r="I15838" s="397"/>
      <c r="J15838" s="750" t="e">
        <f t="shared" si="184"/>
        <v>#DIV/0!</v>
      </c>
      <c r="K15838" s="398"/>
      <c r="L15838" s="398"/>
      <c r="M15838" s="682"/>
    </row>
    <row r="15839" spans="6:13" hidden="1" x14ac:dyDescent="0.2">
      <c r="F15839" s="494">
        <v>482</v>
      </c>
      <c r="G15839" s="495" t="s">
        <v>4190</v>
      </c>
      <c r="H15839" s="397"/>
      <c r="I15839" s="397"/>
      <c r="J15839" s="750" t="e">
        <f t="shared" si="184"/>
        <v>#DIV/0!</v>
      </c>
      <c r="K15839" s="398"/>
      <c r="L15839" s="398"/>
      <c r="M15839" s="682"/>
    </row>
    <row r="15840" spans="6:13" hidden="1" x14ac:dyDescent="0.2">
      <c r="F15840" s="494">
        <v>483</v>
      </c>
      <c r="G15840" s="497" t="s">
        <v>4191</v>
      </c>
      <c r="H15840" s="397"/>
      <c r="I15840" s="397"/>
      <c r="J15840" s="750" t="e">
        <f t="shared" si="184"/>
        <v>#DIV/0!</v>
      </c>
      <c r="K15840" s="398"/>
      <c r="L15840" s="398"/>
      <c r="M15840" s="682"/>
    </row>
    <row r="15841" spans="5:13" ht="38.25" hidden="1" x14ac:dyDescent="0.2">
      <c r="F15841" s="494">
        <v>484</v>
      </c>
      <c r="G15841" s="495" t="s">
        <v>4192</v>
      </c>
      <c r="H15841" s="397"/>
      <c r="I15841" s="397"/>
      <c r="J15841" s="750" t="e">
        <f t="shared" si="184"/>
        <v>#DIV/0!</v>
      </c>
      <c r="K15841" s="398"/>
      <c r="L15841" s="398"/>
      <c r="M15841" s="682"/>
    </row>
    <row r="15842" spans="5:13" ht="25.5" hidden="1" x14ac:dyDescent="0.2">
      <c r="F15842" s="494">
        <v>485</v>
      </c>
      <c r="G15842" s="495" t="s">
        <v>4193</v>
      </c>
      <c r="H15842" s="397"/>
      <c r="I15842" s="397"/>
      <c r="J15842" s="750" t="e">
        <f t="shared" si="184"/>
        <v>#DIV/0!</v>
      </c>
      <c r="K15842" s="398"/>
      <c r="L15842" s="398"/>
      <c r="M15842" s="682"/>
    </row>
    <row r="15843" spans="5:13" ht="25.5" hidden="1" x14ac:dyDescent="0.2">
      <c r="F15843" s="494">
        <v>489</v>
      </c>
      <c r="G15843" s="495" t="s">
        <v>3821</v>
      </c>
      <c r="H15843" s="397"/>
      <c r="I15843" s="397"/>
      <c r="J15843" s="750" t="e">
        <f t="shared" si="184"/>
        <v>#DIV/0!</v>
      </c>
      <c r="K15843" s="398"/>
      <c r="L15843" s="398"/>
      <c r="M15843" s="682"/>
    </row>
    <row r="15844" spans="5:13" ht="25.5" hidden="1" x14ac:dyDescent="0.2">
      <c r="F15844" s="494">
        <v>494</v>
      </c>
      <c r="G15844" s="495" t="s">
        <v>4171</v>
      </c>
      <c r="H15844" s="397"/>
      <c r="I15844" s="397"/>
      <c r="J15844" s="750" t="e">
        <f t="shared" si="184"/>
        <v>#DIV/0!</v>
      </c>
      <c r="K15844" s="398"/>
      <c r="L15844" s="398"/>
      <c r="M15844" s="682"/>
    </row>
    <row r="15845" spans="5:13" ht="25.5" hidden="1" x14ac:dyDescent="0.2">
      <c r="F15845" s="494">
        <v>495</v>
      </c>
      <c r="G15845" s="495" t="s">
        <v>4172</v>
      </c>
      <c r="H15845" s="397"/>
      <c r="I15845" s="397"/>
      <c r="J15845" s="750" t="e">
        <f t="shared" si="184"/>
        <v>#DIV/0!</v>
      </c>
      <c r="K15845" s="398"/>
      <c r="L15845" s="398"/>
      <c r="M15845" s="682"/>
    </row>
    <row r="15846" spans="5:13" ht="38.25" hidden="1" x14ac:dyDescent="0.2">
      <c r="F15846" s="494">
        <v>496</v>
      </c>
      <c r="G15846" s="495" t="s">
        <v>4173</v>
      </c>
      <c r="H15846" s="397"/>
      <c r="I15846" s="397"/>
      <c r="J15846" s="750" t="e">
        <f t="shared" si="184"/>
        <v>#DIV/0!</v>
      </c>
      <c r="K15846" s="398"/>
      <c r="L15846" s="398"/>
      <c r="M15846" s="682"/>
    </row>
    <row r="15847" spans="5:13" ht="25.5" hidden="1" x14ac:dyDescent="0.2">
      <c r="F15847" s="494">
        <v>499</v>
      </c>
      <c r="G15847" s="495" t="s">
        <v>4174</v>
      </c>
      <c r="H15847" s="397"/>
      <c r="I15847" s="397"/>
      <c r="J15847" s="750" t="e">
        <f t="shared" si="184"/>
        <v>#DIV/0!</v>
      </c>
      <c r="K15847" s="398"/>
      <c r="L15847" s="398"/>
      <c r="M15847" s="682"/>
    </row>
    <row r="15848" spans="5:13" ht="13.5" thickBot="1" x14ac:dyDescent="0.25">
      <c r="E15848" s="464">
        <v>173</v>
      </c>
      <c r="F15848" s="494">
        <v>511</v>
      </c>
      <c r="G15848" s="497" t="s">
        <v>4194</v>
      </c>
      <c r="H15848" s="397">
        <v>2200000</v>
      </c>
      <c r="I15848" s="397">
        <v>2136708</v>
      </c>
      <c r="J15848" s="750">
        <f t="shared" si="184"/>
        <v>97.123090909090919</v>
      </c>
      <c r="K15848" s="398"/>
      <c r="L15848" s="398"/>
      <c r="M15848" s="682"/>
    </row>
    <row r="15849" spans="5:13" ht="13.5" hidden="1" thickBot="1" x14ac:dyDescent="0.25">
      <c r="F15849" s="494">
        <v>512</v>
      </c>
      <c r="G15849" s="497" t="s">
        <v>4195</v>
      </c>
      <c r="H15849" s="397"/>
      <c r="I15849" s="397"/>
      <c r="J15849" s="750" t="e">
        <f t="shared" si="184"/>
        <v>#DIV/0!</v>
      </c>
      <c r="K15849" s="398"/>
      <c r="L15849" s="398"/>
      <c r="M15849" s="682"/>
    </row>
    <row r="15850" spans="5:13" ht="13.5" hidden="1" thickBot="1" x14ac:dyDescent="0.25">
      <c r="F15850" s="494">
        <v>513</v>
      </c>
      <c r="G15850" s="497" t="s">
        <v>4196</v>
      </c>
      <c r="H15850" s="397"/>
      <c r="I15850" s="397"/>
      <c r="J15850" s="750" t="e">
        <f t="shared" si="184"/>
        <v>#DIV/0!</v>
      </c>
      <c r="K15850" s="398"/>
      <c r="L15850" s="398"/>
      <c r="M15850" s="682"/>
    </row>
    <row r="15851" spans="5:13" ht="13.5" hidden="1" thickBot="1" x14ac:dyDescent="0.25">
      <c r="F15851" s="494">
        <v>514</v>
      </c>
      <c r="G15851" s="495" t="s">
        <v>4197</v>
      </c>
      <c r="H15851" s="397"/>
      <c r="I15851" s="397"/>
      <c r="J15851" s="750" t="e">
        <f t="shared" si="184"/>
        <v>#DIV/0!</v>
      </c>
      <c r="K15851" s="398"/>
      <c r="L15851" s="398"/>
      <c r="M15851" s="682"/>
    </row>
    <row r="15852" spans="5:13" ht="13.5" hidden="1" thickBot="1" x14ac:dyDescent="0.25">
      <c r="F15852" s="494">
        <v>515</v>
      </c>
      <c r="G15852" s="495" t="s">
        <v>3832</v>
      </c>
      <c r="H15852" s="397"/>
      <c r="I15852" s="397"/>
      <c r="J15852" s="750" t="e">
        <f t="shared" si="184"/>
        <v>#DIV/0!</v>
      </c>
      <c r="K15852" s="398"/>
      <c r="L15852" s="398"/>
      <c r="M15852" s="682"/>
    </row>
    <row r="15853" spans="5:13" ht="13.5" hidden="1" thickBot="1" x14ac:dyDescent="0.25">
      <c r="F15853" s="494">
        <v>521</v>
      </c>
      <c r="G15853" s="495" t="s">
        <v>4198</v>
      </c>
      <c r="H15853" s="397"/>
      <c r="I15853" s="397"/>
      <c r="J15853" s="750" t="e">
        <f t="shared" si="184"/>
        <v>#DIV/0!</v>
      </c>
      <c r="K15853" s="398"/>
      <c r="L15853" s="398"/>
      <c r="M15853" s="682"/>
    </row>
    <row r="15854" spans="5:13" ht="13.5" hidden="1" thickBot="1" x14ac:dyDescent="0.25">
      <c r="F15854" s="494">
        <v>522</v>
      </c>
      <c r="G15854" s="495" t="s">
        <v>4199</v>
      </c>
      <c r="H15854" s="397"/>
      <c r="I15854" s="397"/>
      <c r="J15854" s="750" t="e">
        <f t="shared" si="184"/>
        <v>#DIV/0!</v>
      </c>
      <c r="K15854" s="398"/>
      <c r="L15854" s="398"/>
      <c r="M15854" s="682"/>
    </row>
    <row r="15855" spans="5:13" ht="13.5" hidden="1" thickBot="1" x14ac:dyDescent="0.25">
      <c r="F15855" s="494">
        <v>523</v>
      </c>
      <c r="G15855" s="495" t="s">
        <v>3837</v>
      </c>
      <c r="H15855" s="397"/>
      <c r="I15855" s="397"/>
      <c r="J15855" s="750" t="e">
        <f t="shared" si="184"/>
        <v>#DIV/0!</v>
      </c>
      <c r="K15855" s="398"/>
      <c r="L15855" s="398"/>
      <c r="M15855" s="682"/>
    </row>
    <row r="15856" spans="5:13" ht="13.5" hidden="1" thickBot="1" x14ac:dyDescent="0.25">
      <c r="F15856" s="494">
        <v>531</v>
      </c>
      <c r="G15856" s="496" t="s">
        <v>4175</v>
      </c>
      <c r="H15856" s="397"/>
      <c r="I15856" s="397"/>
      <c r="J15856" s="750" t="e">
        <f t="shared" si="184"/>
        <v>#DIV/0!</v>
      </c>
      <c r="K15856" s="398"/>
      <c r="L15856" s="398"/>
      <c r="M15856" s="682"/>
    </row>
    <row r="15857" spans="5:13" ht="13.5" hidden="1" thickBot="1" x14ac:dyDescent="0.25">
      <c r="F15857" s="494">
        <v>541</v>
      </c>
      <c r="G15857" s="495" t="s">
        <v>4200</v>
      </c>
      <c r="H15857" s="397"/>
      <c r="I15857" s="397"/>
      <c r="J15857" s="750" t="e">
        <f t="shared" si="184"/>
        <v>#DIV/0!</v>
      </c>
      <c r="K15857" s="398"/>
      <c r="L15857" s="398"/>
      <c r="M15857" s="682"/>
    </row>
    <row r="15858" spans="5:13" ht="13.5" hidden="1" thickBot="1" x14ac:dyDescent="0.25">
      <c r="F15858" s="494">
        <v>542</v>
      </c>
      <c r="G15858" s="495" t="s">
        <v>4201</v>
      </c>
      <c r="H15858" s="397"/>
      <c r="I15858" s="397"/>
      <c r="J15858" s="750" t="e">
        <f t="shared" si="184"/>
        <v>#DIV/0!</v>
      </c>
      <c r="K15858" s="398"/>
      <c r="L15858" s="398"/>
      <c r="M15858" s="682"/>
    </row>
    <row r="15859" spans="5:13" ht="13.5" hidden="1" thickBot="1" x14ac:dyDescent="0.25">
      <c r="F15859" s="494">
        <v>543</v>
      </c>
      <c r="G15859" s="495" t="s">
        <v>3842</v>
      </c>
      <c r="H15859" s="397"/>
      <c r="I15859" s="397"/>
      <c r="J15859" s="750" t="e">
        <f t="shared" si="184"/>
        <v>#DIV/0!</v>
      </c>
      <c r="K15859" s="398"/>
      <c r="L15859" s="398"/>
      <c r="M15859" s="682"/>
    </row>
    <row r="15860" spans="5:13" ht="39" hidden="1" thickBot="1" x14ac:dyDescent="0.25">
      <c r="F15860" s="494">
        <v>551</v>
      </c>
      <c r="G15860" s="495" t="s">
        <v>4176</v>
      </c>
      <c r="H15860" s="397"/>
      <c r="I15860" s="397"/>
      <c r="J15860" s="750" t="e">
        <f t="shared" si="184"/>
        <v>#DIV/0!</v>
      </c>
      <c r="K15860" s="398"/>
      <c r="L15860" s="398"/>
      <c r="M15860" s="682"/>
    </row>
    <row r="15861" spans="5:13" ht="13.5" hidden="1" thickBot="1" x14ac:dyDescent="0.25">
      <c r="F15861" s="498">
        <v>611</v>
      </c>
      <c r="G15861" s="499" t="s">
        <v>3848</v>
      </c>
      <c r="H15861" s="397"/>
      <c r="I15861" s="397"/>
      <c r="J15861" s="750" t="e">
        <f t="shared" si="184"/>
        <v>#DIV/0!</v>
      </c>
      <c r="K15861" s="398"/>
      <c r="L15861" s="398"/>
      <c r="M15861" s="682"/>
    </row>
    <row r="15862" spans="5:13" ht="13.5" hidden="1" thickBot="1" x14ac:dyDescent="0.25">
      <c r="F15862" s="498">
        <v>620</v>
      </c>
      <c r="G15862" s="499" t="s">
        <v>88</v>
      </c>
      <c r="H15862" s="397"/>
      <c r="I15862" s="397"/>
      <c r="J15862" s="750" t="e">
        <f t="shared" si="184"/>
        <v>#DIV/0!</v>
      </c>
      <c r="K15862" s="398"/>
      <c r="L15862" s="398"/>
      <c r="M15862" s="682"/>
    </row>
    <row r="15863" spans="5:13" x14ac:dyDescent="0.2">
      <c r="E15863" s="500"/>
      <c r="F15863" s="498"/>
      <c r="G15863" s="501" t="s">
        <v>5176</v>
      </c>
      <c r="H15863" s="400"/>
      <c r="I15863" s="400"/>
      <c r="J15863" s="750"/>
      <c r="K15863" s="401"/>
      <c r="L15863" s="402"/>
      <c r="M15863" s="682"/>
    </row>
    <row r="15864" spans="5:13" ht="13.5" thickBot="1" x14ac:dyDescent="0.25">
      <c r="E15864" s="502"/>
      <c r="F15864" s="503" t="s">
        <v>234</v>
      </c>
      <c r="G15864" s="504" t="s">
        <v>235</v>
      </c>
      <c r="H15864" s="403">
        <f>SUM(H15803:H15862)</f>
        <v>2200000</v>
      </c>
      <c r="I15864" s="403">
        <f>SUM(I15848)</f>
        <v>2136708</v>
      </c>
      <c r="J15864" s="750">
        <f t="shared" si="184"/>
        <v>97.123090909090919</v>
      </c>
      <c r="K15864" s="404"/>
      <c r="L15864" s="404"/>
      <c r="M15864" s="682"/>
    </row>
    <row r="15865" spans="5:13" ht="13.5" hidden="1" thickBot="1" x14ac:dyDescent="0.25">
      <c r="F15865" s="503" t="s">
        <v>236</v>
      </c>
      <c r="G15865" s="504" t="s">
        <v>237</v>
      </c>
      <c r="H15865" s="397"/>
      <c r="I15865" s="397"/>
      <c r="J15865" s="750" t="e">
        <f t="shared" si="184"/>
        <v>#DIV/0!</v>
      </c>
      <c r="K15865" s="398"/>
      <c r="L15865" s="404"/>
      <c r="M15865" s="682"/>
    </row>
    <row r="15866" spans="5:13" ht="13.5" hidden="1" thickBot="1" x14ac:dyDescent="0.25">
      <c r="F15866" s="503" t="s">
        <v>238</v>
      </c>
      <c r="G15866" s="504" t="s">
        <v>239</v>
      </c>
      <c r="H15866" s="397"/>
      <c r="I15866" s="397"/>
      <c r="J15866" s="750" t="e">
        <f t="shared" si="184"/>
        <v>#DIV/0!</v>
      </c>
      <c r="K15866" s="398"/>
      <c r="L15866" s="404"/>
      <c r="M15866" s="682"/>
    </row>
    <row r="15867" spans="5:13" ht="13.5" hidden="1" thickBot="1" x14ac:dyDescent="0.25">
      <c r="F15867" s="503" t="s">
        <v>240</v>
      </c>
      <c r="G15867" s="504" t="s">
        <v>241</v>
      </c>
      <c r="H15867" s="397"/>
      <c r="I15867" s="397"/>
      <c r="J15867" s="750" t="e">
        <f t="shared" si="184"/>
        <v>#DIV/0!</v>
      </c>
      <c r="K15867" s="398"/>
      <c r="L15867" s="404"/>
      <c r="M15867" s="682"/>
    </row>
    <row r="15868" spans="5:13" ht="13.5" hidden="1" thickBot="1" x14ac:dyDescent="0.25">
      <c r="F15868" s="503" t="s">
        <v>242</v>
      </c>
      <c r="G15868" s="504" t="s">
        <v>243</v>
      </c>
      <c r="H15868" s="397"/>
      <c r="I15868" s="397"/>
      <c r="J15868" s="750" t="e">
        <f t="shared" si="184"/>
        <v>#DIV/0!</v>
      </c>
      <c r="K15868" s="398"/>
      <c r="L15868" s="404"/>
      <c r="M15868" s="682"/>
    </row>
    <row r="15869" spans="5:13" ht="13.5" hidden="1" thickBot="1" x14ac:dyDescent="0.25">
      <c r="F15869" s="503" t="s">
        <v>244</v>
      </c>
      <c r="G15869" s="504" t="s">
        <v>245</v>
      </c>
      <c r="H15869" s="397"/>
      <c r="I15869" s="397"/>
      <c r="J15869" s="750" t="e">
        <f t="shared" si="184"/>
        <v>#DIV/0!</v>
      </c>
      <c r="K15869" s="398"/>
      <c r="L15869" s="404"/>
      <c r="M15869" s="682"/>
    </row>
    <row r="15870" spans="5:13" ht="13.5" hidden="1" thickBot="1" x14ac:dyDescent="0.25">
      <c r="F15870" s="503" t="s">
        <v>246</v>
      </c>
      <c r="G15870" s="504" t="s">
        <v>247</v>
      </c>
      <c r="H15870" s="397"/>
      <c r="I15870" s="397"/>
      <c r="J15870" s="750" t="e">
        <f t="shared" si="184"/>
        <v>#DIV/0!</v>
      </c>
      <c r="K15870" s="398"/>
      <c r="L15870" s="404"/>
      <c r="M15870" s="682"/>
    </row>
    <row r="15871" spans="5:13" ht="26.25" hidden="1" thickBot="1" x14ac:dyDescent="0.25">
      <c r="F15871" s="503" t="s">
        <v>248</v>
      </c>
      <c r="G15871" s="504" t="s">
        <v>249</v>
      </c>
      <c r="H15871" s="397"/>
      <c r="I15871" s="397"/>
      <c r="J15871" s="750" t="e">
        <f t="shared" si="184"/>
        <v>#DIV/0!</v>
      </c>
      <c r="K15871" s="398"/>
      <c r="L15871" s="404"/>
      <c r="M15871" s="682"/>
    </row>
    <row r="15872" spans="5:13" ht="13.5" hidden="1" thickBot="1" x14ac:dyDescent="0.25">
      <c r="F15872" s="503" t="s">
        <v>250</v>
      </c>
      <c r="G15872" s="504" t="s">
        <v>57</v>
      </c>
      <c r="H15872" s="397"/>
      <c r="I15872" s="397"/>
      <c r="J15872" s="750" t="e">
        <f t="shared" si="184"/>
        <v>#DIV/0!</v>
      </c>
      <c r="K15872" s="398"/>
      <c r="L15872" s="404"/>
      <c r="M15872" s="682"/>
    </row>
    <row r="15873" spans="5:13" ht="13.5" hidden="1" thickBot="1" x14ac:dyDescent="0.25">
      <c r="F15873" s="503" t="s">
        <v>251</v>
      </c>
      <c r="G15873" s="504" t="s">
        <v>252</v>
      </c>
      <c r="H15873" s="397"/>
      <c r="I15873" s="397"/>
      <c r="J15873" s="750" t="e">
        <f t="shared" si="184"/>
        <v>#DIV/0!</v>
      </c>
      <c r="K15873" s="398"/>
      <c r="L15873" s="404"/>
      <c r="M15873" s="682"/>
    </row>
    <row r="15874" spans="5:13" ht="13.5" hidden="1" thickBot="1" x14ac:dyDescent="0.25">
      <c r="F15874" s="503" t="s">
        <v>253</v>
      </c>
      <c r="G15874" s="504" t="s">
        <v>254</v>
      </c>
      <c r="H15874" s="397"/>
      <c r="I15874" s="397"/>
      <c r="J15874" s="750" t="e">
        <f t="shared" si="184"/>
        <v>#DIV/0!</v>
      </c>
      <c r="K15874" s="398"/>
      <c r="L15874" s="404"/>
      <c r="M15874" s="682"/>
    </row>
    <row r="15875" spans="5:13" ht="26.25" hidden="1" thickBot="1" x14ac:dyDescent="0.25">
      <c r="F15875" s="503" t="s">
        <v>255</v>
      </c>
      <c r="G15875" s="504" t="s">
        <v>256</v>
      </c>
      <c r="H15875" s="397"/>
      <c r="I15875" s="397"/>
      <c r="J15875" s="750" t="e">
        <f t="shared" si="184"/>
        <v>#DIV/0!</v>
      </c>
      <c r="K15875" s="398"/>
      <c r="L15875" s="404"/>
      <c r="M15875" s="682"/>
    </row>
    <row r="15876" spans="5:13" ht="26.25" hidden="1" thickBot="1" x14ac:dyDescent="0.25">
      <c r="F15876" s="503" t="s">
        <v>257</v>
      </c>
      <c r="G15876" s="504" t="s">
        <v>258</v>
      </c>
      <c r="H15876" s="397"/>
      <c r="I15876" s="397"/>
      <c r="J15876" s="750" t="e">
        <f t="shared" si="184"/>
        <v>#DIV/0!</v>
      </c>
      <c r="K15876" s="398"/>
      <c r="L15876" s="404"/>
      <c r="M15876" s="682"/>
    </row>
    <row r="15877" spans="5:13" ht="26.25" hidden="1" thickBot="1" x14ac:dyDescent="0.25">
      <c r="F15877" s="503" t="s">
        <v>259</v>
      </c>
      <c r="G15877" s="504" t="s">
        <v>260</v>
      </c>
      <c r="H15877" s="397"/>
      <c r="I15877" s="397"/>
      <c r="J15877" s="750" t="e">
        <f t="shared" si="184"/>
        <v>#DIV/0!</v>
      </c>
      <c r="K15877" s="398"/>
      <c r="L15877" s="404"/>
      <c r="M15877" s="682"/>
    </row>
    <row r="15878" spans="5:13" ht="26.25" hidden="1" thickBot="1" x14ac:dyDescent="0.25">
      <c r="F15878" s="503" t="s">
        <v>261</v>
      </c>
      <c r="G15878" s="504" t="s">
        <v>262</v>
      </c>
      <c r="H15878" s="397"/>
      <c r="I15878" s="397"/>
      <c r="J15878" s="750" t="e">
        <f t="shared" si="184"/>
        <v>#DIV/0!</v>
      </c>
      <c r="K15878" s="398"/>
      <c r="L15878" s="404"/>
      <c r="M15878" s="682"/>
    </row>
    <row r="15879" spans="5:13" ht="13.5" hidden="1" thickBot="1" x14ac:dyDescent="0.25">
      <c r="F15879" s="503" t="s">
        <v>263</v>
      </c>
      <c r="G15879" s="504" t="s">
        <v>264</v>
      </c>
      <c r="H15879" s="403"/>
      <c r="I15879" s="403"/>
      <c r="J15879" s="750" t="e">
        <f t="shared" si="184"/>
        <v>#DIV/0!</v>
      </c>
      <c r="K15879" s="404"/>
      <c r="L15879" s="404"/>
      <c r="M15879" s="682"/>
    </row>
    <row r="15880" spans="5:13" ht="13.5" thickBot="1" x14ac:dyDescent="0.25">
      <c r="G15880" s="505" t="s">
        <v>4399</v>
      </c>
      <c r="H15880" s="405">
        <f>SUM(H15864:H15879)</f>
        <v>2200000</v>
      </c>
      <c r="I15880" s="405">
        <f>SUM(I15864)</f>
        <v>2136708</v>
      </c>
      <c r="J15880" s="750">
        <f t="shared" si="184"/>
        <v>97.123090909090919</v>
      </c>
      <c r="K15880" s="406">
        <f>SUM(K15865:K15879)</f>
        <v>0</v>
      </c>
      <c r="L15880" s="406"/>
      <c r="M15880" s="682"/>
    </row>
    <row r="15881" spans="5:13" x14ac:dyDescent="0.2">
      <c r="E15881" s="500"/>
      <c r="F15881" s="498"/>
      <c r="G15881" s="506" t="s">
        <v>5185</v>
      </c>
      <c r="H15881" s="407"/>
      <c r="I15881" s="408"/>
      <c r="J15881" s="750"/>
      <c r="K15881" s="409"/>
      <c r="L15881" s="410"/>
      <c r="M15881" s="682"/>
    </row>
    <row r="15882" spans="5:13" ht="13.5" thickBot="1" x14ac:dyDescent="0.25">
      <c r="E15882" s="502"/>
      <c r="F15882" s="503" t="s">
        <v>234</v>
      </c>
      <c r="G15882" s="504" t="s">
        <v>235</v>
      </c>
      <c r="H15882" s="403">
        <f>SUM(H15803:H15862)</f>
        <v>2200000</v>
      </c>
      <c r="I15882" s="403">
        <f>SUM(I15880)</f>
        <v>2136708</v>
      </c>
      <c r="J15882" s="750">
        <f t="shared" si="184"/>
        <v>97.123090909090919</v>
      </c>
      <c r="K15882" s="404"/>
      <c r="L15882" s="404"/>
      <c r="M15882" s="682"/>
    </row>
    <row r="15883" spans="5:13" ht="13.5" hidden="1" thickBot="1" x14ac:dyDescent="0.25">
      <c r="F15883" s="503" t="s">
        <v>236</v>
      </c>
      <c r="G15883" s="504" t="s">
        <v>237</v>
      </c>
      <c r="H15883" s="397"/>
      <c r="I15883" s="397"/>
      <c r="J15883" s="750" t="e">
        <f t="shared" si="184"/>
        <v>#DIV/0!</v>
      </c>
      <c r="K15883" s="398"/>
      <c r="L15883" s="404"/>
      <c r="M15883" s="682"/>
    </row>
    <row r="15884" spans="5:13" ht="13.5" hidden="1" thickBot="1" x14ac:dyDescent="0.25">
      <c r="F15884" s="503" t="s">
        <v>238</v>
      </c>
      <c r="G15884" s="504" t="s">
        <v>239</v>
      </c>
      <c r="H15884" s="397"/>
      <c r="I15884" s="397"/>
      <c r="J15884" s="750" t="e">
        <f t="shared" si="184"/>
        <v>#DIV/0!</v>
      </c>
      <c r="K15884" s="398"/>
      <c r="L15884" s="404"/>
      <c r="M15884" s="682"/>
    </row>
    <row r="15885" spans="5:13" ht="13.5" hidden="1" thickBot="1" x14ac:dyDescent="0.25">
      <c r="F15885" s="503" t="s">
        <v>240</v>
      </c>
      <c r="G15885" s="504" t="s">
        <v>241</v>
      </c>
      <c r="H15885" s="397"/>
      <c r="I15885" s="397"/>
      <c r="J15885" s="750" t="e">
        <f t="shared" si="184"/>
        <v>#DIV/0!</v>
      </c>
      <c r="K15885" s="398"/>
      <c r="L15885" s="404"/>
      <c r="M15885" s="682"/>
    </row>
    <row r="15886" spans="5:13" ht="13.5" hidden="1" thickBot="1" x14ac:dyDescent="0.25">
      <c r="F15886" s="503" t="s">
        <v>242</v>
      </c>
      <c r="G15886" s="504" t="s">
        <v>243</v>
      </c>
      <c r="H15886" s="397"/>
      <c r="I15886" s="397"/>
      <c r="J15886" s="750" t="e">
        <f t="shared" ref="J15886:J15949" si="185">SUM(I15886/H15886)*100</f>
        <v>#DIV/0!</v>
      </c>
      <c r="K15886" s="398"/>
      <c r="L15886" s="404"/>
      <c r="M15886" s="682"/>
    </row>
    <row r="15887" spans="5:13" ht="13.5" hidden="1" thickBot="1" x14ac:dyDescent="0.25">
      <c r="F15887" s="503" t="s">
        <v>244</v>
      </c>
      <c r="G15887" s="504" t="s">
        <v>245</v>
      </c>
      <c r="H15887" s="397"/>
      <c r="I15887" s="397"/>
      <c r="J15887" s="750" t="e">
        <f t="shared" si="185"/>
        <v>#DIV/0!</v>
      </c>
      <c r="K15887" s="398"/>
      <c r="L15887" s="404"/>
      <c r="M15887" s="682"/>
    </row>
    <row r="15888" spans="5:13" ht="13.5" hidden="1" thickBot="1" x14ac:dyDescent="0.25">
      <c r="F15888" s="503" t="s">
        <v>246</v>
      </c>
      <c r="G15888" s="504" t="s">
        <v>247</v>
      </c>
      <c r="H15888" s="397"/>
      <c r="I15888" s="397"/>
      <c r="J15888" s="750" t="e">
        <f t="shared" si="185"/>
        <v>#DIV/0!</v>
      </c>
      <c r="K15888" s="398"/>
      <c r="L15888" s="404"/>
      <c r="M15888" s="682"/>
    </row>
    <row r="15889" spans="3:13" ht="26.25" hidden="1" thickBot="1" x14ac:dyDescent="0.25">
      <c r="F15889" s="503" t="s">
        <v>248</v>
      </c>
      <c r="G15889" s="504" t="s">
        <v>249</v>
      </c>
      <c r="H15889" s="397"/>
      <c r="I15889" s="397"/>
      <c r="J15889" s="750" t="e">
        <f t="shared" si="185"/>
        <v>#DIV/0!</v>
      </c>
      <c r="K15889" s="398"/>
      <c r="L15889" s="404"/>
      <c r="M15889" s="682"/>
    </row>
    <row r="15890" spans="3:13" ht="13.5" hidden="1" thickBot="1" x14ac:dyDescent="0.25">
      <c r="F15890" s="503" t="s">
        <v>250</v>
      </c>
      <c r="G15890" s="504" t="s">
        <v>57</v>
      </c>
      <c r="H15890" s="397"/>
      <c r="I15890" s="397"/>
      <c r="J15890" s="750" t="e">
        <f t="shared" si="185"/>
        <v>#DIV/0!</v>
      </c>
      <c r="K15890" s="398"/>
      <c r="L15890" s="404"/>
      <c r="M15890" s="682"/>
    </row>
    <row r="15891" spans="3:13" ht="13.5" hidden="1" thickBot="1" x14ac:dyDescent="0.25">
      <c r="F15891" s="503" t="s">
        <v>251</v>
      </c>
      <c r="G15891" s="504" t="s">
        <v>252</v>
      </c>
      <c r="H15891" s="397"/>
      <c r="I15891" s="397"/>
      <c r="J15891" s="750" t="e">
        <f t="shared" si="185"/>
        <v>#DIV/0!</v>
      </c>
      <c r="K15891" s="398"/>
      <c r="L15891" s="404"/>
      <c r="M15891" s="682"/>
    </row>
    <row r="15892" spans="3:13" ht="13.5" hidden="1" thickBot="1" x14ac:dyDescent="0.25">
      <c r="F15892" s="503" t="s">
        <v>253</v>
      </c>
      <c r="G15892" s="504" t="s">
        <v>254</v>
      </c>
      <c r="H15892" s="397"/>
      <c r="I15892" s="397"/>
      <c r="J15892" s="750" t="e">
        <f t="shared" si="185"/>
        <v>#DIV/0!</v>
      </c>
      <c r="K15892" s="398"/>
      <c r="L15892" s="404"/>
      <c r="M15892" s="682"/>
    </row>
    <row r="15893" spans="3:13" ht="26.25" hidden="1" thickBot="1" x14ac:dyDescent="0.25">
      <c r="F15893" s="503" t="s">
        <v>255</v>
      </c>
      <c r="G15893" s="504" t="s">
        <v>256</v>
      </c>
      <c r="H15893" s="397"/>
      <c r="I15893" s="397"/>
      <c r="J15893" s="750" t="e">
        <f t="shared" si="185"/>
        <v>#DIV/0!</v>
      </c>
      <c r="K15893" s="398"/>
      <c r="L15893" s="404"/>
      <c r="M15893" s="682"/>
    </row>
    <row r="15894" spans="3:13" ht="26.25" hidden="1" thickBot="1" x14ac:dyDescent="0.25">
      <c r="F15894" s="503" t="s">
        <v>257</v>
      </c>
      <c r="G15894" s="504" t="s">
        <v>258</v>
      </c>
      <c r="H15894" s="397"/>
      <c r="I15894" s="397"/>
      <c r="J15894" s="750" t="e">
        <f t="shared" si="185"/>
        <v>#DIV/0!</v>
      </c>
      <c r="K15894" s="398"/>
      <c r="L15894" s="404"/>
      <c r="M15894" s="682"/>
    </row>
    <row r="15895" spans="3:13" ht="26.25" hidden="1" thickBot="1" x14ac:dyDescent="0.25">
      <c r="F15895" s="503" t="s">
        <v>259</v>
      </c>
      <c r="G15895" s="504" t="s">
        <v>260</v>
      </c>
      <c r="H15895" s="397"/>
      <c r="I15895" s="397"/>
      <c r="J15895" s="750" t="e">
        <f t="shared" si="185"/>
        <v>#DIV/0!</v>
      </c>
      <c r="K15895" s="398"/>
      <c r="L15895" s="404"/>
      <c r="M15895" s="682"/>
    </row>
    <row r="15896" spans="3:13" ht="26.25" hidden="1" thickBot="1" x14ac:dyDescent="0.25">
      <c r="F15896" s="503" t="s">
        <v>261</v>
      </c>
      <c r="G15896" s="504" t="s">
        <v>262</v>
      </c>
      <c r="H15896" s="397"/>
      <c r="I15896" s="397"/>
      <c r="J15896" s="750" t="e">
        <f t="shared" si="185"/>
        <v>#DIV/0!</v>
      </c>
      <c r="K15896" s="398"/>
      <c r="L15896" s="404"/>
      <c r="M15896" s="682"/>
    </row>
    <row r="15897" spans="3:13" ht="13.5" hidden="1" thickBot="1" x14ac:dyDescent="0.25">
      <c r="F15897" s="503" t="s">
        <v>263</v>
      </c>
      <c r="G15897" s="504" t="s">
        <v>264</v>
      </c>
      <c r="H15897" s="403"/>
      <c r="I15897" s="403"/>
      <c r="J15897" s="750" t="e">
        <f t="shared" si="185"/>
        <v>#DIV/0!</v>
      </c>
      <c r="K15897" s="404"/>
      <c r="L15897" s="404"/>
      <c r="M15897" s="682"/>
    </row>
    <row r="15898" spans="3:13" ht="13.5" thickBot="1" x14ac:dyDescent="0.25">
      <c r="G15898" s="505" t="s">
        <v>5186</v>
      </c>
      <c r="H15898" s="405">
        <f>SUM(H15882:H15897)</f>
        <v>2200000</v>
      </c>
      <c r="I15898" s="405">
        <f>SUM(I15882)</f>
        <v>2136708</v>
      </c>
      <c r="J15898" s="750">
        <f t="shared" si="185"/>
        <v>97.123090909090919</v>
      </c>
      <c r="K15898" s="406">
        <f>SUM(K15883:K15897)</f>
        <v>0</v>
      </c>
      <c r="L15898" s="406"/>
      <c r="M15898" s="682"/>
    </row>
    <row r="15899" spans="3:13" hidden="1" x14ac:dyDescent="0.2">
      <c r="G15899" s="510"/>
      <c r="H15899" s="411"/>
      <c r="I15899" s="411"/>
      <c r="J15899" s="750" t="e">
        <f t="shared" si="185"/>
        <v>#DIV/0!</v>
      </c>
      <c r="K15899" s="412"/>
      <c r="L15899" s="412"/>
      <c r="M15899" s="682"/>
    </row>
    <row r="15900" spans="3:13" hidden="1" x14ac:dyDescent="0.2">
      <c r="C15900" s="489" t="s">
        <v>4508</v>
      </c>
      <c r="D15900" s="490"/>
      <c r="G15900" s="508" t="s">
        <v>5187</v>
      </c>
      <c r="H15900" s="397"/>
      <c r="I15900" s="397"/>
      <c r="J15900" s="750" t="e">
        <f t="shared" si="185"/>
        <v>#DIV/0!</v>
      </c>
      <c r="K15900" s="398"/>
      <c r="L15900" s="398"/>
      <c r="M15900" s="682"/>
    </row>
    <row r="15901" spans="3:13" hidden="1" x14ac:dyDescent="0.2">
      <c r="C15901" s="489"/>
      <c r="D15901" s="492">
        <v>630</v>
      </c>
      <c r="E15901" s="492"/>
      <c r="F15901" s="492"/>
      <c r="G15901" s="551" t="s">
        <v>183</v>
      </c>
      <c r="H15901" s="397"/>
      <c r="I15901" s="397"/>
      <c r="J15901" s="750" t="e">
        <f t="shared" si="185"/>
        <v>#DIV/0!</v>
      </c>
      <c r="K15901" s="398"/>
      <c r="L15901" s="398"/>
      <c r="M15901" s="682"/>
    </row>
    <row r="15902" spans="3:13" hidden="1" x14ac:dyDescent="0.2">
      <c r="F15902" s="494">
        <v>411</v>
      </c>
      <c r="G15902" s="495" t="s">
        <v>4167</v>
      </c>
      <c r="H15902" s="397"/>
      <c r="I15902" s="397"/>
      <c r="J15902" s="750" t="e">
        <f t="shared" si="185"/>
        <v>#DIV/0!</v>
      </c>
      <c r="K15902" s="398"/>
      <c r="L15902" s="398"/>
      <c r="M15902" s="682"/>
    </row>
    <row r="15903" spans="3:13" hidden="1" x14ac:dyDescent="0.2">
      <c r="F15903" s="494">
        <v>412</v>
      </c>
      <c r="G15903" s="496" t="s">
        <v>3764</v>
      </c>
      <c r="H15903" s="397"/>
      <c r="I15903" s="397"/>
      <c r="J15903" s="750" t="e">
        <f t="shared" si="185"/>
        <v>#DIV/0!</v>
      </c>
      <c r="K15903" s="398"/>
      <c r="L15903" s="398"/>
      <c r="M15903" s="682"/>
    </row>
    <row r="15904" spans="3:13" hidden="1" x14ac:dyDescent="0.2">
      <c r="F15904" s="494">
        <v>413</v>
      </c>
      <c r="G15904" s="495" t="s">
        <v>4168</v>
      </c>
      <c r="H15904" s="397"/>
      <c r="I15904" s="397"/>
      <c r="J15904" s="750" t="e">
        <f t="shared" si="185"/>
        <v>#DIV/0!</v>
      </c>
      <c r="K15904" s="398"/>
      <c r="L15904" s="398"/>
      <c r="M15904" s="682"/>
    </row>
    <row r="15905" spans="6:13" hidden="1" x14ac:dyDescent="0.2">
      <c r="F15905" s="494">
        <v>414</v>
      </c>
      <c r="G15905" s="495" t="s">
        <v>3767</v>
      </c>
      <c r="H15905" s="397"/>
      <c r="I15905" s="397"/>
      <c r="J15905" s="750" t="e">
        <f t="shared" si="185"/>
        <v>#DIV/0!</v>
      </c>
      <c r="K15905" s="398"/>
      <c r="L15905" s="398"/>
      <c r="M15905" s="682"/>
    </row>
    <row r="15906" spans="6:13" hidden="1" x14ac:dyDescent="0.2">
      <c r="F15906" s="494">
        <v>415</v>
      </c>
      <c r="G15906" s="495" t="s">
        <v>4177</v>
      </c>
      <c r="H15906" s="397"/>
      <c r="I15906" s="397"/>
      <c r="J15906" s="750" t="e">
        <f t="shared" si="185"/>
        <v>#DIV/0!</v>
      </c>
      <c r="K15906" s="398"/>
      <c r="L15906" s="398"/>
      <c r="M15906" s="682"/>
    </row>
    <row r="15907" spans="6:13" ht="25.5" hidden="1" x14ac:dyDescent="0.2">
      <c r="F15907" s="494">
        <v>416</v>
      </c>
      <c r="G15907" s="495" t="s">
        <v>4178</v>
      </c>
      <c r="H15907" s="397"/>
      <c r="I15907" s="397"/>
      <c r="J15907" s="750" t="e">
        <f t="shared" si="185"/>
        <v>#DIV/0!</v>
      </c>
      <c r="K15907" s="398"/>
      <c r="L15907" s="398"/>
      <c r="M15907" s="682"/>
    </row>
    <row r="15908" spans="6:13" hidden="1" x14ac:dyDescent="0.2">
      <c r="F15908" s="494">
        <v>417</v>
      </c>
      <c r="G15908" s="495" t="s">
        <v>4179</v>
      </c>
      <c r="H15908" s="397"/>
      <c r="I15908" s="397"/>
      <c r="J15908" s="750" t="e">
        <f t="shared" si="185"/>
        <v>#DIV/0!</v>
      </c>
      <c r="K15908" s="398"/>
      <c r="L15908" s="398"/>
      <c r="M15908" s="682"/>
    </row>
    <row r="15909" spans="6:13" hidden="1" x14ac:dyDescent="0.2">
      <c r="F15909" s="494">
        <v>418</v>
      </c>
      <c r="G15909" s="495" t="s">
        <v>3773</v>
      </c>
      <c r="H15909" s="397"/>
      <c r="I15909" s="397"/>
      <c r="J15909" s="750" t="e">
        <f t="shared" si="185"/>
        <v>#DIV/0!</v>
      </c>
      <c r="K15909" s="398"/>
      <c r="L15909" s="398"/>
      <c r="M15909" s="682"/>
    </row>
    <row r="15910" spans="6:13" hidden="1" x14ac:dyDescent="0.2">
      <c r="F15910" s="494">
        <v>421</v>
      </c>
      <c r="G15910" s="495" t="s">
        <v>3777</v>
      </c>
      <c r="H15910" s="397"/>
      <c r="I15910" s="397"/>
      <c r="J15910" s="750" t="e">
        <f t="shared" si="185"/>
        <v>#DIV/0!</v>
      </c>
      <c r="K15910" s="398"/>
      <c r="L15910" s="398"/>
      <c r="M15910" s="682"/>
    </row>
    <row r="15911" spans="6:13" hidden="1" x14ac:dyDescent="0.2">
      <c r="F15911" s="494">
        <v>422</v>
      </c>
      <c r="G15911" s="495" t="s">
        <v>3778</v>
      </c>
      <c r="H15911" s="397"/>
      <c r="I15911" s="397"/>
      <c r="J15911" s="750" t="e">
        <f t="shared" si="185"/>
        <v>#DIV/0!</v>
      </c>
      <c r="K15911" s="398"/>
      <c r="L15911" s="398"/>
      <c r="M15911" s="682"/>
    </row>
    <row r="15912" spans="6:13" hidden="1" x14ac:dyDescent="0.2">
      <c r="F15912" s="494">
        <v>423</v>
      </c>
      <c r="G15912" s="495" t="s">
        <v>3779</v>
      </c>
      <c r="H15912" s="397"/>
      <c r="I15912" s="397"/>
      <c r="J15912" s="750" t="e">
        <f t="shared" si="185"/>
        <v>#DIV/0!</v>
      </c>
      <c r="K15912" s="398"/>
      <c r="L15912" s="398"/>
      <c r="M15912" s="682"/>
    </row>
    <row r="15913" spans="6:13" hidden="1" x14ac:dyDescent="0.2">
      <c r="F15913" s="494">
        <v>424</v>
      </c>
      <c r="G15913" s="495" t="s">
        <v>3781</v>
      </c>
      <c r="H15913" s="397"/>
      <c r="I15913" s="397"/>
      <c r="J15913" s="750" t="e">
        <f t="shared" si="185"/>
        <v>#DIV/0!</v>
      </c>
      <c r="K15913" s="398"/>
      <c r="L15913" s="398"/>
      <c r="M15913" s="682"/>
    </row>
    <row r="15914" spans="6:13" hidden="1" x14ac:dyDescent="0.2">
      <c r="F15914" s="494">
        <v>425</v>
      </c>
      <c r="G15914" s="495" t="s">
        <v>4180</v>
      </c>
      <c r="H15914" s="397"/>
      <c r="I15914" s="397"/>
      <c r="J15914" s="750" t="e">
        <f t="shared" si="185"/>
        <v>#DIV/0!</v>
      </c>
      <c r="K15914" s="398"/>
      <c r="L15914" s="398"/>
      <c r="M15914" s="682"/>
    </row>
    <row r="15915" spans="6:13" hidden="1" x14ac:dyDescent="0.2">
      <c r="F15915" s="494">
        <v>426</v>
      </c>
      <c r="G15915" s="495" t="s">
        <v>3785</v>
      </c>
      <c r="H15915" s="397"/>
      <c r="I15915" s="397"/>
      <c r="J15915" s="750" t="e">
        <f t="shared" si="185"/>
        <v>#DIV/0!</v>
      </c>
      <c r="K15915" s="398"/>
      <c r="L15915" s="398"/>
      <c r="M15915" s="682"/>
    </row>
    <row r="15916" spans="6:13" hidden="1" x14ac:dyDescent="0.2">
      <c r="F15916" s="494">
        <v>431</v>
      </c>
      <c r="G15916" s="495" t="s">
        <v>4181</v>
      </c>
      <c r="H15916" s="397"/>
      <c r="I15916" s="397"/>
      <c r="J15916" s="750" t="e">
        <f t="shared" si="185"/>
        <v>#DIV/0!</v>
      </c>
      <c r="K15916" s="398"/>
      <c r="L15916" s="398"/>
      <c r="M15916" s="682"/>
    </row>
    <row r="15917" spans="6:13" hidden="1" x14ac:dyDescent="0.2">
      <c r="F15917" s="494">
        <v>432</v>
      </c>
      <c r="G15917" s="495" t="s">
        <v>4182</v>
      </c>
      <c r="H15917" s="397"/>
      <c r="I15917" s="397"/>
      <c r="J15917" s="750" t="e">
        <f t="shared" si="185"/>
        <v>#DIV/0!</v>
      </c>
      <c r="K15917" s="398"/>
      <c r="L15917" s="398"/>
      <c r="M15917" s="682"/>
    </row>
    <row r="15918" spans="6:13" hidden="1" x14ac:dyDescent="0.2">
      <c r="F15918" s="494">
        <v>433</v>
      </c>
      <c r="G15918" s="495" t="s">
        <v>4183</v>
      </c>
      <c r="H15918" s="397"/>
      <c r="I15918" s="397"/>
      <c r="J15918" s="750" t="e">
        <f t="shared" si="185"/>
        <v>#DIV/0!</v>
      </c>
      <c r="K15918" s="398"/>
      <c r="L15918" s="398"/>
      <c r="M15918" s="682"/>
    </row>
    <row r="15919" spans="6:13" hidden="1" x14ac:dyDescent="0.2">
      <c r="F15919" s="494">
        <v>434</v>
      </c>
      <c r="G15919" s="495" t="s">
        <v>4184</v>
      </c>
      <c r="H15919" s="397"/>
      <c r="I15919" s="397"/>
      <c r="J15919" s="750" t="e">
        <f t="shared" si="185"/>
        <v>#DIV/0!</v>
      </c>
      <c r="K15919" s="398"/>
      <c r="L15919" s="398"/>
      <c r="M15919" s="682"/>
    </row>
    <row r="15920" spans="6:13" hidden="1" x14ac:dyDescent="0.2">
      <c r="F15920" s="494">
        <v>435</v>
      </c>
      <c r="G15920" s="495" t="s">
        <v>3792</v>
      </c>
      <c r="H15920" s="397"/>
      <c r="I15920" s="397"/>
      <c r="J15920" s="750" t="e">
        <f t="shared" si="185"/>
        <v>#DIV/0!</v>
      </c>
      <c r="K15920" s="398"/>
      <c r="L15920" s="398"/>
      <c r="M15920" s="682"/>
    </row>
    <row r="15921" spans="6:13" hidden="1" x14ac:dyDescent="0.2">
      <c r="F15921" s="494">
        <v>441</v>
      </c>
      <c r="G15921" s="495" t="s">
        <v>4185</v>
      </c>
      <c r="H15921" s="397"/>
      <c r="I15921" s="397"/>
      <c r="J15921" s="750" t="e">
        <f t="shared" si="185"/>
        <v>#DIV/0!</v>
      </c>
      <c r="K15921" s="398"/>
      <c r="L15921" s="398"/>
      <c r="M15921" s="682"/>
    </row>
    <row r="15922" spans="6:13" hidden="1" x14ac:dyDescent="0.2">
      <c r="F15922" s="494">
        <v>442</v>
      </c>
      <c r="G15922" s="495" t="s">
        <v>4186</v>
      </c>
      <c r="H15922" s="397"/>
      <c r="I15922" s="397"/>
      <c r="J15922" s="750" t="e">
        <f t="shared" si="185"/>
        <v>#DIV/0!</v>
      </c>
      <c r="K15922" s="398"/>
      <c r="L15922" s="398"/>
      <c r="M15922" s="682"/>
    </row>
    <row r="15923" spans="6:13" hidden="1" x14ac:dyDescent="0.2">
      <c r="F15923" s="494">
        <v>443</v>
      </c>
      <c r="G15923" s="495" t="s">
        <v>3797</v>
      </c>
      <c r="H15923" s="397"/>
      <c r="I15923" s="397"/>
      <c r="J15923" s="750" t="e">
        <f t="shared" si="185"/>
        <v>#DIV/0!</v>
      </c>
      <c r="K15923" s="398"/>
      <c r="L15923" s="398"/>
      <c r="M15923" s="682"/>
    </row>
    <row r="15924" spans="6:13" hidden="1" x14ac:dyDescent="0.2">
      <c r="F15924" s="494">
        <v>444</v>
      </c>
      <c r="G15924" s="495" t="s">
        <v>3798</v>
      </c>
      <c r="H15924" s="397"/>
      <c r="I15924" s="397"/>
      <c r="J15924" s="750" t="e">
        <f t="shared" si="185"/>
        <v>#DIV/0!</v>
      </c>
      <c r="K15924" s="398"/>
      <c r="L15924" s="398"/>
      <c r="M15924" s="682"/>
    </row>
    <row r="15925" spans="6:13" ht="25.5" hidden="1" x14ac:dyDescent="0.2">
      <c r="F15925" s="494">
        <v>4511</v>
      </c>
      <c r="G15925" s="466" t="s">
        <v>1692</v>
      </c>
      <c r="H15925" s="397"/>
      <c r="I15925" s="397"/>
      <c r="J15925" s="750" t="e">
        <f t="shared" si="185"/>
        <v>#DIV/0!</v>
      </c>
      <c r="K15925" s="398"/>
      <c r="L15925" s="398"/>
      <c r="M15925" s="682"/>
    </row>
    <row r="15926" spans="6:13" ht="25.5" hidden="1" x14ac:dyDescent="0.2">
      <c r="F15926" s="494">
        <v>4512</v>
      </c>
      <c r="G15926" s="466" t="s">
        <v>1701</v>
      </c>
      <c r="H15926" s="397"/>
      <c r="I15926" s="397"/>
      <c r="J15926" s="750" t="e">
        <f t="shared" si="185"/>
        <v>#DIV/0!</v>
      </c>
      <c r="K15926" s="398"/>
      <c r="L15926" s="398"/>
      <c r="M15926" s="682"/>
    </row>
    <row r="15927" spans="6:13" ht="25.5" hidden="1" x14ac:dyDescent="0.2">
      <c r="F15927" s="494">
        <v>452</v>
      </c>
      <c r="G15927" s="495" t="s">
        <v>4187</v>
      </c>
      <c r="H15927" s="397"/>
      <c r="I15927" s="397"/>
      <c r="J15927" s="750" t="e">
        <f t="shared" si="185"/>
        <v>#DIV/0!</v>
      </c>
      <c r="K15927" s="398"/>
      <c r="L15927" s="398"/>
      <c r="M15927" s="682"/>
    </row>
    <row r="15928" spans="6:13" ht="25.5" hidden="1" x14ac:dyDescent="0.2">
      <c r="F15928" s="494">
        <v>453</v>
      </c>
      <c r="G15928" s="495" t="s">
        <v>4188</v>
      </c>
      <c r="H15928" s="397"/>
      <c r="I15928" s="397"/>
      <c r="J15928" s="750" t="e">
        <f t="shared" si="185"/>
        <v>#DIV/0!</v>
      </c>
      <c r="K15928" s="398"/>
      <c r="L15928" s="398"/>
      <c r="M15928" s="682"/>
    </row>
    <row r="15929" spans="6:13" hidden="1" x14ac:dyDescent="0.2">
      <c r="F15929" s="494">
        <v>454</v>
      </c>
      <c r="G15929" s="495" t="s">
        <v>3803</v>
      </c>
      <c r="H15929" s="397"/>
      <c r="I15929" s="397"/>
      <c r="J15929" s="750" t="e">
        <f t="shared" si="185"/>
        <v>#DIV/0!</v>
      </c>
      <c r="K15929" s="398"/>
      <c r="L15929" s="398"/>
      <c r="M15929" s="682"/>
    </row>
    <row r="15930" spans="6:13" hidden="1" x14ac:dyDescent="0.2">
      <c r="F15930" s="494">
        <v>461</v>
      </c>
      <c r="G15930" s="495" t="s">
        <v>4169</v>
      </c>
      <c r="H15930" s="397"/>
      <c r="I15930" s="397"/>
      <c r="J15930" s="750" t="e">
        <f t="shared" si="185"/>
        <v>#DIV/0!</v>
      </c>
      <c r="K15930" s="398"/>
      <c r="L15930" s="398"/>
      <c r="M15930" s="682"/>
    </row>
    <row r="15931" spans="6:13" ht="25.5" hidden="1" x14ac:dyDescent="0.2">
      <c r="F15931" s="494">
        <v>462</v>
      </c>
      <c r="G15931" s="495" t="s">
        <v>3806</v>
      </c>
      <c r="H15931" s="397"/>
      <c r="I15931" s="397"/>
      <c r="J15931" s="750" t="e">
        <f t="shared" si="185"/>
        <v>#DIV/0!</v>
      </c>
      <c r="K15931" s="398"/>
      <c r="L15931" s="398"/>
      <c r="M15931" s="682"/>
    </row>
    <row r="15932" spans="6:13" hidden="1" x14ac:dyDescent="0.2">
      <c r="F15932" s="494">
        <v>4631</v>
      </c>
      <c r="G15932" s="495" t="s">
        <v>3807</v>
      </c>
      <c r="H15932" s="397"/>
      <c r="I15932" s="397"/>
      <c r="J15932" s="750" t="e">
        <f t="shared" si="185"/>
        <v>#DIV/0!</v>
      </c>
      <c r="K15932" s="398"/>
      <c r="L15932" s="398"/>
      <c r="M15932" s="682"/>
    </row>
    <row r="15933" spans="6:13" hidden="1" x14ac:dyDescent="0.2">
      <c r="F15933" s="494">
        <v>4632</v>
      </c>
      <c r="G15933" s="495" t="s">
        <v>3808</v>
      </c>
      <c r="H15933" s="397"/>
      <c r="I15933" s="397"/>
      <c r="J15933" s="750" t="e">
        <f t="shared" si="185"/>
        <v>#DIV/0!</v>
      </c>
      <c r="K15933" s="398"/>
      <c r="L15933" s="398"/>
      <c r="M15933" s="682"/>
    </row>
    <row r="15934" spans="6:13" ht="25.5" hidden="1" x14ac:dyDescent="0.2">
      <c r="F15934" s="494">
        <v>464</v>
      </c>
      <c r="G15934" s="495" t="s">
        <v>3809</v>
      </c>
      <c r="H15934" s="397"/>
      <c r="I15934" s="397"/>
      <c r="J15934" s="750" t="e">
        <f t="shared" si="185"/>
        <v>#DIV/0!</v>
      </c>
      <c r="K15934" s="398"/>
      <c r="L15934" s="398"/>
      <c r="M15934" s="682"/>
    </row>
    <row r="15935" spans="6:13" hidden="1" x14ac:dyDescent="0.2">
      <c r="F15935" s="494">
        <v>465</v>
      </c>
      <c r="G15935" s="495" t="s">
        <v>4170</v>
      </c>
      <c r="H15935" s="397"/>
      <c r="I15935" s="397"/>
      <c r="J15935" s="750" t="e">
        <f t="shared" si="185"/>
        <v>#DIV/0!</v>
      </c>
      <c r="K15935" s="398"/>
      <c r="L15935" s="398"/>
      <c r="M15935" s="682"/>
    </row>
    <row r="15936" spans="6:13" hidden="1" x14ac:dyDescent="0.2">
      <c r="F15936" s="494">
        <v>472</v>
      </c>
      <c r="G15936" s="495" t="s">
        <v>3813</v>
      </c>
      <c r="H15936" s="397"/>
      <c r="I15936" s="397"/>
      <c r="J15936" s="750" t="e">
        <f t="shared" si="185"/>
        <v>#DIV/0!</v>
      </c>
      <c r="K15936" s="398"/>
      <c r="L15936" s="398"/>
      <c r="M15936" s="682"/>
    </row>
    <row r="15937" spans="5:13" hidden="1" x14ac:dyDescent="0.2">
      <c r="F15937" s="494">
        <v>481</v>
      </c>
      <c r="G15937" s="495" t="s">
        <v>4189</v>
      </c>
      <c r="H15937" s="397"/>
      <c r="I15937" s="397"/>
      <c r="J15937" s="750" t="e">
        <f t="shared" si="185"/>
        <v>#DIV/0!</v>
      </c>
      <c r="K15937" s="398"/>
      <c r="L15937" s="398"/>
      <c r="M15937" s="682"/>
    </row>
    <row r="15938" spans="5:13" hidden="1" x14ac:dyDescent="0.2">
      <c r="F15938" s="494">
        <v>482</v>
      </c>
      <c r="G15938" s="495" t="s">
        <v>4190</v>
      </c>
      <c r="H15938" s="397"/>
      <c r="I15938" s="397"/>
      <c r="J15938" s="750" t="e">
        <f t="shared" si="185"/>
        <v>#DIV/0!</v>
      </c>
      <c r="K15938" s="398"/>
      <c r="L15938" s="398"/>
      <c r="M15938" s="682"/>
    </row>
    <row r="15939" spans="5:13" hidden="1" x14ac:dyDescent="0.2">
      <c r="F15939" s="494">
        <v>483</v>
      </c>
      <c r="G15939" s="497" t="s">
        <v>4191</v>
      </c>
      <c r="H15939" s="397"/>
      <c r="I15939" s="397"/>
      <c r="J15939" s="750" t="e">
        <f t="shared" si="185"/>
        <v>#DIV/0!</v>
      </c>
      <c r="K15939" s="398"/>
      <c r="L15939" s="398"/>
      <c r="M15939" s="682"/>
    </row>
    <row r="15940" spans="5:13" ht="38.25" hidden="1" x14ac:dyDescent="0.2">
      <c r="F15940" s="494">
        <v>484</v>
      </c>
      <c r="G15940" s="495" t="s">
        <v>4192</v>
      </c>
      <c r="H15940" s="397"/>
      <c r="I15940" s="397"/>
      <c r="J15940" s="750" t="e">
        <f t="shared" si="185"/>
        <v>#DIV/0!</v>
      </c>
      <c r="K15940" s="398"/>
      <c r="L15940" s="398"/>
      <c r="M15940" s="682"/>
    </row>
    <row r="15941" spans="5:13" ht="25.5" hidden="1" x14ac:dyDescent="0.2">
      <c r="F15941" s="494">
        <v>485</v>
      </c>
      <c r="G15941" s="495" t="s">
        <v>4193</v>
      </c>
      <c r="H15941" s="397"/>
      <c r="I15941" s="397"/>
      <c r="J15941" s="750" t="e">
        <f t="shared" si="185"/>
        <v>#DIV/0!</v>
      </c>
      <c r="K15941" s="398"/>
      <c r="L15941" s="398"/>
      <c r="M15941" s="682"/>
    </row>
    <row r="15942" spans="5:13" ht="25.5" hidden="1" x14ac:dyDescent="0.2">
      <c r="F15942" s="494">
        <v>489</v>
      </c>
      <c r="G15942" s="495" t="s">
        <v>3821</v>
      </c>
      <c r="H15942" s="397"/>
      <c r="I15942" s="397"/>
      <c r="J15942" s="750" t="e">
        <f t="shared" si="185"/>
        <v>#DIV/0!</v>
      </c>
      <c r="K15942" s="398"/>
      <c r="L15942" s="398"/>
      <c r="M15942" s="682"/>
    </row>
    <row r="15943" spans="5:13" ht="25.5" hidden="1" x14ac:dyDescent="0.2">
      <c r="F15943" s="494">
        <v>494</v>
      </c>
      <c r="G15943" s="495" t="s">
        <v>4171</v>
      </c>
      <c r="H15943" s="397"/>
      <c r="I15943" s="397"/>
      <c r="J15943" s="750" t="e">
        <f t="shared" si="185"/>
        <v>#DIV/0!</v>
      </c>
      <c r="K15943" s="398"/>
      <c r="L15943" s="398"/>
      <c r="M15943" s="682"/>
    </row>
    <row r="15944" spans="5:13" ht="25.5" hidden="1" x14ac:dyDescent="0.2">
      <c r="F15944" s="494">
        <v>495</v>
      </c>
      <c r="G15944" s="495" t="s">
        <v>4172</v>
      </c>
      <c r="H15944" s="397"/>
      <c r="I15944" s="397"/>
      <c r="J15944" s="750" t="e">
        <f t="shared" si="185"/>
        <v>#DIV/0!</v>
      </c>
      <c r="K15944" s="398"/>
      <c r="L15944" s="398"/>
      <c r="M15944" s="682"/>
    </row>
    <row r="15945" spans="5:13" ht="38.25" hidden="1" x14ac:dyDescent="0.2">
      <c r="F15945" s="494">
        <v>496</v>
      </c>
      <c r="G15945" s="495" t="s">
        <v>4173</v>
      </c>
      <c r="H15945" s="397"/>
      <c r="I15945" s="397"/>
      <c r="J15945" s="750" t="e">
        <f t="shared" si="185"/>
        <v>#DIV/0!</v>
      </c>
      <c r="K15945" s="398"/>
      <c r="L15945" s="398"/>
      <c r="M15945" s="682"/>
    </row>
    <row r="15946" spans="5:13" ht="25.5" hidden="1" x14ac:dyDescent="0.2">
      <c r="F15946" s="494">
        <v>499</v>
      </c>
      <c r="G15946" s="495" t="s">
        <v>4174</v>
      </c>
      <c r="H15946" s="397"/>
      <c r="I15946" s="397"/>
      <c r="J15946" s="750" t="e">
        <f t="shared" si="185"/>
        <v>#DIV/0!</v>
      </c>
      <c r="K15946" s="398"/>
      <c r="L15946" s="398"/>
      <c r="M15946" s="682"/>
    </row>
    <row r="15947" spans="5:13" hidden="1" x14ac:dyDescent="0.2">
      <c r="E15947" s="464">
        <v>174</v>
      </c>
      <c r="F15947" s="494">
        <v>511</v>
      </c>
      <c r="G15947" s="497" t="s">
        <v>4194</v>
      </c>
      <c r="H15947" s="397"/>
      <c r="I15947" s="397"/>
      <c r="J15947" s="750" t="e">
        <f t="shared" si="185"/>
        <v>#DIV/0!</v>
      </c>
      <c r="K15947" s="398"/>
      <c r="L15947" s="398"/>
      <c r="M15947" s="682"/>
    </row>
    <row r="15948" spans="5:13" hidden="1" x14ac:dyDescent="0.2">
      <c r="F15948" s="494">
        <v>512</v>
      </c>
      <c r="G15948" s="497" t="s">
        <v>4195</v>
      </c>
      <c r="H15948" s="397"/>
      <c r="I15948" s="397"/>
      <c r="J15948" s="750" t="e">
        <f t="shared" si="185"/>
        <v>#DIV/0!</v>
      </c>
      <c r="K15948" s="398"/>
      <c r="L15948" s="398"/>
      <c r="M15948" s="682"/>
    </row>
    <row r="15949" spans="5:13" hidden="1" x14ac:dyDescent="0.2">
      <c r="F15949" s="494">
        <v>513</v>
      </c>
      <c r="G15949" s="497" t="s">
        <v>4196</v>
      </c>
      <c r="H15949" s="397"/>
      <c r="I15949" s="397"/>
      <c r="J15949" s="750" t="e">
        <f t="shared" si="185"/>
        <v>#DIV/0!</v>
      </c>
      <c r="K15949" s="398"/>
      <c r="L15949" s="398"/>
      <c r="M15949" s="682"/>
    </row>
    <row r="15950" spans="5:13" hidden="1" x14ac:dyDescent="0.2">
      <c r="F15950" s="494">
        <v>514</v>
      </c>
      <c r="G15950" s="495" t="s">
        <v>4197</v>
      </c>
      <c r="H15950" s="397"/>
      <c r="I15950" s="397"/>
      <c r="J15950" s="750" t="e">
        <f t="shared" ref="J15950:J16013" si="186">SUM(I15950/H15950)*100</f>
        <v>#DIV/0!</v>
      </c>
      <c r="K15950" s="398"/>
      <c r="L15950" s="398"/>
      <c r="M15950" s="682"/>
    </row>
    <row r="15951" spans="5:13" hidden="1" x14ac:dyDescent="0.2">
      <c r="F15951" s="494">
        <v>515</v>
      </c>
      <c r="G15951" s="495" t="s">
        <v>3832</v>
      </c>
      <c r="H15951" s="397"/>
      <c r="I15951" s="397"/>
      <c r="J15951" s="750" t="e">
        <f t="shared" si="186"/>
        <v>#DIV/0!</v>
      </c>
      <c r="K15951" s="398"/>
      <c r="L15951" s="398"/>
      <c r="M15951" s="682"/>
    </row>
    <row r="15952" spans="5:13" hidden="1" x14ac:dyDescent="0.2">
      <c r="F15952" s="494">
        <v>521</v>
      </c>
      <c r="G15952" s="495" t="s">
        <v>4198</v>
      </c>
      <c r="H15952" s="397"/>
      <c r="I15952" s="397"/>
      <c r="J15952" s="750" t="e">
        <f t="shared" si="186"/>
        <v>#DIV/0!</v>
      </c>
      <c r="K15952" s="398"/>
      <c r="L15952" s="398"/>
      <c r="M15952" s="682"/>
    </row>
    <row r="15953" spans="5:13" hidden="1" x14ac:dyDescent="0.2">
      <c r="F15953" s="494">
        <v>522</v>
      </c>
      <c r="G15953" s="495" t="s">
        <v>4199</v>
      </c>
      <c r="H15953" s="397"/>
      <c r="I15953" s="397"/>
      <c r="J15953" s="750" t="e">
        <f t="shared" si="186"/>
        <v>#DIV/0!</v>
      </c>
      <c r="K15953" s="398"/>
      <c r="L15953" s="398"/>
      <c r="M15953" s="682"/>
    </row>
    <row r="15954" spans="5:13" hidden="1" x14ac:dyDescent="0.2">
      <c r="F15954" s="494">
        <v>523</v>
      </c>
      <c r="G15954" s="495" t="s">
        <v>3837</v>
      </c>
      <c r="H15954" s="397"/>
      <c r="I15954" s="397"/>
      <c r="J15954" s="750" t="e">
        <f t="shared" si="186"/>
        <v>#DIV/0!</v>
      </c>
      <c r="K15954" s="398"/>
      <c r="L15954" s="398"/>
      <c r="M15954" s="682"/>
    </row>
    <row r="15955" spans="5:13" hidden="1" x14ac:dyDescent="0.2">
      <c r="F15955" s="494">
        <v>531</v>
      </c>
      <c r="G15955" s="496" t="s">
        <v>4175</v>
      </c>
      <c r="H15955" s="397"/>
      <c r="I15955" s="397"/>
      <c r="J15955" s="750" t="e">
        <f t="shared" si="186"/>
        <v>#DIV/0!</v>
      </c>
      <c r="K15955" s="398"/>
      <c r="L15955" s="398"/>
      <c r="M15955" s="682"/>
    </row>
    <row r="15956" spans="5:13" hidden="1" x14ac:dyDescent="0.2">
      <c r="F15956" s="494">
        <v>541</v>
      </c>
      <c r="G15956" s="495" t="s">
        <v>4200</v>
      </c>
      <c r="H15956" s="397"/>
      <c r="I15956" s="397"/>
      <c r="J15956" s="750" t="e">
        <f t="shared" si="186"/>
        <v>#DIV/0!</v>
      </c>
      <c r="K15956" s="398"/>
      <c r="L15956" s="398"/>
      <c r="M15956" s="682"/>
    </row>
    <row r="15957" spans="5:13" hidden="1" x14ac:dyDescent="0.2">
      <c r="F15957" s="494">
        <v>542</v>
      </c>
      <c r="G15957" s="495" t="s">
        <v>4201</v>
      </c>
      <c r="H15957" s="397"/>
      <c r="I15957" s="397"/>
      <c r="J15957" s="750" t="e">
        <f t="shared" si="186"/>
        <v>#DIV/0!</v>
      </c>
      <c r="K15957" s="398"/>
      <c r="L15957" s="398"/>
      <c r="M15957" s="682"/>
    </row>
    <row r="15958" spans="5:13" hidden="1" x14ac:dyDescent="0.2">
      <c r="F15958" s="494">
        <v>543</v>
      </c>
      <c r="G15958" s="495" t="s">
        <v>3842</v>
      </c>
      <c r="H15958" s="397"/>
      <c r="I15958" s="397"/>
      <c r="J15958" s="750" t="e">
        <f t="shared" si="186"/>
        <v>#DIV/0!</v>
      </c>
      <c r="K15958" s="398"/>
      <c r="L15958" s="398"/>
      <c r="M15958" s="682"/>
    </row>
    <row r="15959" spans="5:13" ht="38.25" hidden="1" x14ac:dyDescent="0.2">
      <c r="F15959" s="494">
        <v>551</v>
      </c>
      <c r="G15959" s="495" t="s">
        <v>4176</v>
      </c>
      <c r="H15959" s="397"/>
      <c r="I15959" s="397"/>
      <c r="J15959" s="750" t="e">
        <f t="shared" si="186"/>
        <v>#DIV/0!</v>
      </c>
      <c r="K15959" s="398"/>
      <c r="L15959" s="398"/>
      <c r="M15959" s="682"/>
    </row>
    <row r="15960" spans="5:13" hidden="1" x14ac:dyDescent="0.2">
      <c r="F15960" s="498">
        <v>611</v>
      </c>
      <c r="G15960" s="499" t="s">
        <v>3848</v>
      </c>
      <c r="H15960" s="397"/>
      <c r="I15960" s="397"/>
      <c r="J15960" s="750" t="e">
        <f t="shared" si="186"/>
        <v>#DIV/0!</v>
      </c>
      <c r="K15960" s="398"/>
      <c r="L15960" s="398"/>
      <c r="M15960" s="682"/>
    </row>
    <row r="15961" spans="5:13" hidden="1" x14ac:dyDescent="0.2">
      <c r="F15961" s="498">
        <v>620</v>
      </c>
      <c r="G15961" s="499" t="s">
        <v>88</v>
      </c>
      <c r="H15961" s="397"/>
      <c r="I15961" s="397"/>
      <c r="J15961" s="750" t="e">
        <f t="shared" si="186"/>
        <v>#DIV/0!</v>
      </c>
      <c r="K15961" s="398"/>
      <c r="L15961" s="398"/>
      <c r="M15961" s="682"/>
    </row>
    <row r="15962" spans="5:13" hidden="1" x14ac:dyDescent="0.2">
      <c r="E15962" s="500"/>
      <c r="F15962" s="498"/>
      <c r="G15962" s="501" t="s">
        <v>5176</v>
      </c>
      <c r="H15962" s="400"/>
      <c r="I15962" s="400"/>
      <c r="J15962" s="750" t="e">
        <f t="shared" si="186"/>
        <v>#DIV/0!</v>
      </c>
      <c r="K15962" s="401"/>
      <c r="L15962" s="402"/>
      <c r="M15962" s="682"/>
    </row>
    <row r="15963" spans="5:13" hidden="1" x14ac:dyDescent="0.2">
      <c r="E15963" s="502"/>
      <c r="F15963" s="503" t="s">
        <v>234</v>
      </c>
      <c r="G15963" s="504" t="s">
        <v>235</v>
      </c>
      <c r="H15963" s="403">
        <f>SUM(H15902:H15961)</f>
        <v>0</v>
      </c>
      <c r="I15963" s="403"/>
      <c r="J15963" s="750" t="e">
        <f t="shared" si="186"/>
        <v>#DIV/0!</v>
      </c>
      <c r="K15963" s="404"/>
      <c r="L15963" s="404"/>
      <c r="M15963" s="682"/>
    </row>
    <row r="15964" spans="5:13" hidden="1" x14ac:dyDescent="0.2">
      <c r="F15964" s="503" t="s">
        <v>236</v>
      </c>
      <c r="G15964" s="504" t="s">
        <v>237</v>
      </c>
      <c r="H15964" s="397"/>
      <c r="I15964" s="397"/>
      <c r="J15964" s="750" t="e">
        <f t="shared" si="186"/>
        <v>#DIV/0!</v>
      </c>
      <c r="K15964" s="398"/>
      <c r="L15964" s="404"/>
      <c r="M15964" s="682"/>
    </row>
    <row r="15965" spans="5:13" hidden="1" x14ac:dyDescent="0.2">
      <c r="F15965" s="503" t="s">
        <v>238</v>
      </c>
      <c r="G15965" s="504" t="s">
        <v>239</v>
      </c>
      <c r="H15965" s="397"/>
      <c r="I15965" s="397"/>
      <c r="J15965" s="750" t="e">
        <f t="shared" si="186"/>
        <v>#DIV/0!</v>
      </c>
      <c r="K15965" s="398"/>
      <c r="L15965" s="404"/>
      <c r="M15965" s="682"/>
    </row>
    <row r="15966" spans="5:13" hidden="1" x14ac:dyDescent="0.2">
      <c r="F15966" s="503" t="s">
        <v>240</v>
      </c>
      <c r="G15966" s="504" t="s">
        <v>241</v>
      </c>
      <c r="H15966" s="397"/>
      <c r="I15966" s="397"/>
      <c r="J15966" s="750" t="e">
        <f t="shared" si="186"/>
        <v>#DIV/0!</v>
      </c>
      <c r="K15966" s="398"/>
      <c r="L15966" s="404"/>
      <c r="M15966" s="682"/>
    </row>
    <row r="15967" spans="5:13" hidden="1" x14ac:dyDescent="0.2">
      <c r="F15967" s="503" t="s">
        <v>242</v>
      </c>
      <c r="G15967" s="504" t="s">
        <v>243</v>
      </c>
      <c r="H15967" s="397"/>
      <c r="I15967" s="397"/>
      <c r="J15967" s="750" t="e">
        <f t="shared" si="186"/>
        <v>#DIV/0!</v>
      </c>
      <c r="K15967" s="398"/>
      <c r="L15967" s="404"/>
      <c r="M15967" s="682"/>
    </row>
    <row r="15968" spans="5:13" hidden="1" x14ac:dyDescent="0.2">
      <c r="F15968" s="503" t="s">
        <v>244</v>
      </c>
      <c r="G15968" s="504" t="s">
        <v>245</v>
      </c>
      <c r="H15968" s="397"/>
      <c r="I15968" s="397"/>
      <c r="J15968" s="750" t="e">
        <f t="shared" si="186"/>
        <v>#DIV/0!</v>
      </c>
      <c r="K15968" s="398"/>
      <c r="L15968" s="404"/>
      <c r="M15968" s="682"/>
    </row>
    <row r="15969" spans="5:13" hidden="1" x14ac:dyDescent="0.2">
      <c r="F15969" s="503" t="s">
        <v>246</v>
      </c>
      <c r="G15969" s="504" t="s">
        <v>247</v>
      </c>
      <c r="H15969" s="397"/>
      <c r="I15969" s="397"/>
      <c r="J15969" s="750" t="e">
        <f t="shared" si="186"/>
        <v>#DIV/0!</v>
      </c>
      <c r="K15969" s="398"/>
      <c r="L15969" s="404"/>
      <c r="M15969" s="682"/>
    </row>
    <row r="15970" spans="5:13" ht="25.5" hidden="1" x14ac:dyDescent="0.2">
      <c r="F15970" s="503" t="s">
        <v>248</v>
      </c>
      <c r="G15970" s="504" t="s">
        <v>249</v>
      </c>
      <c r="H15970" s="397"/>
      <c r="I15970" s="397"/>
      <c r="J15970" s="750" t="e">
        <f t="shared" si="186"/>
        <v>#DIV/0!</v>
      </c>
      <c r="K15970" s="398"/>
      <c r="L15970" s="404"/>
      <c r="M15970" s="682"/>
    </row>
    <row r="15971" spans="5:13" hidden="1" x14ac:dyDescent="0.2">
      <c r="F15971" s="503" t="s">
        <v>250</v>
      </c>
      <c r="G15971" s="504" t="s">
        <v>57</v>
      </c>
      <c r="H15971" s="397"/>
      <c r="I15971" s="397"/>
      <c r="J15971" s="750" t="e">
        <f t="shared" si="186"/>
        <v>#DIV/0!</v>
      </c>
      <c r="K15971" s="398"/>
      <c r="L15971" s="404"/>
      <c r="M15971" s="682"/>
    </row>
    <row r="15972" spans="5:13" hidden="1" x14ac:dyDescent="0.2">
      <c r="F15972" s="503" t="s">
        <v>251</v>
      </c>
      <c r="G15972" s="504" t="s">
        <v>252</v>
      </c>
      <c r="H15972" s="397"/>
      <c r="I15972" s="397"/>
      <c r="J15972" s="750" t="e">
        <f t="shared" si="186"/>
        <v>#DIV/0!</v>
      </c>
      <c r="K15972" s="398"/>
      <c r="L15972" s="404"/>
      <c r="M15972" s="682"/>
    </row>
    <row r="15973" spans="5:13" hidden="1" x14ac:dyDescent="0.2">
      <c r="F15973" s="503" t="s">
        <v>253</v>
      </c>
      <c r="G15973" s="504" t="s">
        <v>254</v>
      </c>
      <c r="H15973" s="397"/>
      <c r="I15973" s="397"/>
      <c r="J15973" s="750" t="e">
        <f t="shared" si="186"/>
        <v>#DIV/0!</v>
      </c>
      <c r="K15973" s="398"/>
      <c r="L15973" s="404"/>
      <c r="M15973" s="682"/>
    </row>
    <row r="15974" spans="5:13" ht="25.5" hidden="1" x14ac:dyDescent="0.2">
      <c r="F15974" s="503" t="s">
        <v>255</v>
      </c>
      <c r="G15974" s="504" t="s">
        <v>256</v>
      </c>
      <c r="H15974" s="397"/>
      <c r="I15974" s="397"/>
      <c r="J15974" s="750" t="e">
        <f t="shared" si="186"/>
        <v>#DIV/0!</v>
      </c>
      <c r="K15974" s="398"/>
      <c r="L15974" s="404"/>
      <c r="M15974" s="682"/>
    </row>
    <row r="15975" spans="5:13" ht="25.5" hidden="1" x14ac:dyDescent="0.2">
      <c r="F15975" s="503" t="s">
        <v>257</v>
      </c>
      <c r="G15975" s="504" t="s">
        <v>258</v>
      </c>
      <c r="H15975" s="397"/>
      <c r="I15975" s="397"/>
      <c r="J15975" s="750" t="e">
        <f t="shared" si="186"/>
        <v>#DIV/0!</v>
      </c>
      <c r="K15975" s="398"/>
      <c r="L15975" s="404"/>
      <c r="M15975" s="682"/>
    </row>
    <row r="15976" spans="5:13" ht="25.5" hidden="1" x14ac:dyDescent="0.2">
      <c r="F15976" s="503" t="s">
        <v>259</v>
      </c>
      <c r="G15976" s="504" t="s">
        <v>260</v>
      </c>
      <c r="H15976" s="397"/>
      <c r="I15976" s="397"/>
      <c r="J15976" s="750" t="e">
        <f t="shared" si="186"/>
        <v>#DIV/0!</v>
      </c>
      <c r="K15976" s="398"/>
      <c r="L15976" s="404"/>
      <c r="M15976" s="682"/>
    </row>
    <row r="15977" spans="5:13" ht="25.5" hidden="1" x14ac:dyDescent="0.2">
      <c r="F15977" s="503" t="s">
        <v>261</v>
      </c>
      <c r="G15977" s="504" t="s">
        <v>262</v>
      </c>
      <c r="H15977" s="397"/>
      <c r="I15977" s="397"/>
      <c r="J15977" s="750" t="e">
        <f t="shared" si="186"/>
        <v>#DIV/0!</v>
      </c>
      <c r="K15977" s="398"/>
      <c r="L15977" s="404"/>
      <c r="M15977" s="682"/>
    </row>
    <row r="15978" spans="5:13" hidden="1" x14ac:dyDescent="0.2">
      <c r="F15978" s="503" t="s">
        <v>263</v>
      </c>
      <c r="G15978" s="504" t="s">
        <v>264</v>
      </c>
      <c r="H15978" s="403"/>
      <c r="I15978" s="403"/>
      <c r="J15978" s="750" t="e">
        <f t="shared" si="186"/>
        <v>#DIV/0!</v>
      </c>
      <c r="K15978" s="404"/>
      <c r="L15978" s="404"/>
      <c r="M15978" s="682"/>
    </row>
    <row r="15979" spans="5:13" ht="13.5" hidden="1" thickBot="1" x14ac:dyDescent="0.25">
      <c r="G15979" s="505" t="s">
        <v>4399</v>
      </c>
      <c r="H15979" s="405">
        <f>SUM(H15963:H15978)</f>
        <v>0</v>
      </c>
      <c r="I15979" s="405"/>
      <c r="J15979" s="750" t="e">
        <f t="shared" si="186"/>
        <v>#DIV/0!</v>
      </c>
      <c r="K15979" s="406">
        <f>SUM(K15964:K15978)</f>
        <v>0</v>
      </c>
      <c r="L15979" s="406"/>
      <c r="M15979" s="682"/>
    </row>
    <row r="15980" spans="5:13" hidden="1" x14ac:dyDescent="0.2">
      <c r="E15980" s="500"/>
      <c r="F15980" s="498"/>
      <c r="G15980" s="506" t="s">
        <v>5188</v>
      </c>
      <c r="H15980" s="407"/>
      <c r="I15980" s="408"/>
      <c r="J15980" s="750" t="e">
        <f t="shared" si="186"/>
        <v>#DIV/0!</v>
      </c>
      <c r="K15980" s="409"/>
      <c r="L15980" s="410"/>
      <c r="M15980" s="682"/>
    </row>
    <row r="15981" spans="5:13" hidden="1" x14ac:dyDescent="0.2">
      <c r="E15981" s="502"/>
      <c r="F15981" s="503" t="s">
        <v>234</v>
      </c>
      <c r="G15981" s="504" t="s">
        <v>235</v>
      </c>
      <c r="H15981" s="403">
        <f>SUM(H15902:H15961)</f>
        <v>0</v>
      </c>
      <c r="I15981" s="403"/>
      <c r="J15981" s="750" t="e">
        <f t="shared" si="186"/>
        <v>#DIV/0!</v>
      </c>
      <c r="K15981" s="404"/>
      <c r="L15981" s="404"/>
      <c r="M15981" s="682"/>
    </row>
    <row r="15982" spans="5:13" hidden="1" x14ac:dyDescent="0.2">
      <c r="F15982" s="503" t="s">
        <v>236</v>
      </c>
      <c r="G15982" s="504" t="s">
        <v>237</v>
      </c>
      <c r="H15982" s="397"/>
      <c r="I15982" s="397"/>
      <c r="J15982" s="750" t="e">
        <f t="shared" si="186"/>
        <v>#DIV/0!</v>
      </c>
      <c r="K15982" s="398"/>
      <c r="L15982" s="404"/>
      <c r="M15982" s="682"/>
    </row>
    <row r="15983" spans="5:13" hidden="1" x14ac:dyDescent="0.2">
      <c r="F15983" s="503" t="s">
        <v>238</v>
      </c>
      <c r="G15983" s="504" t="s">
        <v>239</v>
      </c>
      <c r="H15983" s="397"/>
      <c r="I15983" s="397"/>
      <c r="J15983" s="750" t="e">
        <f t="shared" si="186"/>
        <v>#DIV/0!</v>
      </c>
      <c r="K15983" s="398"/>
      <c r="L15983" s="404"/>
      <c r="M15983" s="682"/>
    </row>
    <row r="15984" spans="5:13" hidden="1" x14ac:dyDescent="0.2">
      <c r="F15984" s="503" t="s">
        <v>240</v>
      </c>
      <c r="G15984" s="504" t="s">
        <v>241</v>
      </c>
      <c r="H15984" s="397"/>
      <c r="I15984" s="397"/>
      <c r="J15984" s="750" t="e">
        <f t="shared" si="186"/>
        <v>#DIV/0!</v>
      </c>
      <c r="K15984" s="398"/>
      <c r="L15984" s="404"/>
      <c r="M15984" s="682"/>
    </row>
    <row r="15985" spans="3:13" hidden="1" x14ac:dyDescent="0.2">
      <c r="F15985" s="503" t="s">
        <v>242</v>
      </c>
      <c r="G15985" s="504" t="s">
        <v>243</v>
      </c>
      <c r="H15985" s="397"/>
      <c r="I15985" s="397"/>
      <c r="J15985" s="750" t="e">
        <f t="shared" si="186"/>
        <v>#DIV/0!</v>
      </c>
      <c r="K15985" s="398"/>
      <c r="L15985" s="404"/>
      <c r="M15985" s="682"/>
    </row>
    <row r="15986" spans="3:13" hidden="1" x14ac:dyDescent="0.2">
      <c r="F15986" s="503" t="s">
        <v>244</v>
      </c>
      <c r="G15986" s="504" t="s">
        <v>245</v>
      </c>
      <c r="H15986" s="397"/>
      <c r="I15986" s="397"/>
      <c r="J15986" s="750" t="e">
        <f t="shared" si="186"/>
        <v>#DIV/0!</v>
      </c>
      <c r="K15986" s="398"/>
      <c r="L15986" s="404"/>
      <c r="M15986" s="682"/>
    </row>
    <row r="15987" spans="3:13" hidden="1" x14ac:dyDescent="0.2">
      <c r="F15987" s="503" t="s">
        <v>246</v>
      </c>
      <c r="G15987" s="504" t="s">
        <v>247</v>
      </c>
      <c r="H15987" s="397"/>
      <c r="I15987" s="397"/>
      <c r="J15987" s="750" t="e">
        <f t="shared" si="186"/>
        <v>#DIV/0!</v>
      </c>
      <c r="K15987" s="398"/>
      <c r="L15987" s="404"/>
      <c r="M15987" s="682"/>
    </row>
    <row r="15988" spans="3:13" ht="25.5" hidden="1" x14ac:dyDescent="0.2">
      <c r="F15988" s="503" t="s">
        <v>248</v>
      </c>
      <c r="G15988" s="504" t="s">
        <v>249</v>
      </c>
      <c r="H15988" s="397"/>
      <c r="I15988" s="397"/>
      <c r="J15988" s="750" t="e">
        <f t="shared" si="186"/>
        <v>#DIV/0!</v>
      </c>
      <c r="K15988" s="398"/>
      <c r="L15988" s="404"/>
      <c r="M15988" s="682"/>
    </row>
    <row r="15989" spans="3:13" hidden="1" x14ac:dyDescent="0.2">
      <c r="F15989" s="503" t="s">
        <v>250</v>
      </c>
      <c r="G15989" s="504" t="s">
        <v>57</v>
      </c>
      <c r="H15989" s="397"/>
      <c r="I15989" s="397"/>
      <c r="J15989" s="750" t="e">
        <f t="shared" si="186"/>
        <v>#DIV/0!</v>
      </c>
      <c r="K15989" s="398"/>
      <c r="L15989" s="404"/>
      <c r="M15989" s="682"/>
    </row>
    <row r="15990" spans="3:13" hidden="1" x14ac:dyDescent="0.2">
      <c r="F15990" s="503" t="s">
        <v>251</v>
      </c>
      <c r="G15990" s="504" t="s">
        <v>252</v>
      </c>
      <c r="H15990" s="397"/>
      <c r="I15990" s="397"/>
      <c r="J15990" s="750" t="e">
        <f t="shared" si="186"/>
        <v>#DIV/0!</v>
      </c>
      <c r="K15990" s="398"/>
      <c r="L15990" s="404"/>
      <c r="M15990" s="682"/>
    </row>
    <row r="15991" spans="3:13" hidden="1" x14ac:dyDescent="0.2">
      <c r="F15991" s="503" t="s">
        <v>253</v>
      </c>
      <c r="G15991" s="504" t="s">
        <v>254</v>
      </c>
      <c r="H15991" s="397"/>
      <c r="I15991" s="397"/>
      <c r="J15991" s="750" t="e">
        <f t="shared" si="186"/>
        <v>#DIV/0!</v>
      </c>
      <c r="K15991" s="398"/>
      <c r="L15991" s="404"/>
      <c r="M15991" s="682"/>
    </row>
    <row r="15992" spans="3:13" ht="25.5" hidden="1" x14ac:dyDescent="0.2">
      <c r="F15992" s="503" t="s">
        <v>255</v>
      </c>
      <c r="G15992" s="504" t="s">
        <v>256</v>
      </c>
      <c r="H15992" s="397"/>
      <c r="I15992" s="397"/>
      <c r="J15992" s="750" t="e">
        <f t="shared" si="186"/>
        <v>#DIV/0!</v>
      </c>
      <c r="K15992" s="398"/>
      <c r="L15992" s="404"/>
      <c r="M15992" s="682"/>
    </row>
    <row r="15993" spans="3:13" ht="25.5" hidden="1" x14ac:dyDescent="0.2">
      <c r="F15993" s="503" t="s">
        <v>257</v>
      </c>
      <c r="G15993" s="504" t="s">
        <v>258</v>
      </c>
      <c r="H15993" s="397"/>
      <c r="I15993" s="397"/>
      <c r="J15993" s="750" t="e">
        <f t="shared" si="186"/>
        <v>#DIV/0!</v>
      </c>
      <c r="K15993" s="398"/>
      <c r="L15993" s="404"/>
      <c r="M15993" s="682"/>
    </row>
    <row r="15994" spans="3:13" ht="25.5" hidden="1" x14ac:dyDescent="0.2">
      <c r="F15994" s="503" t="s">
        <v>259</v>
      </c>
      <c r="G15994" s="504" t="s">
        <v>260</v>
      </c>
      <c r="H15994" s="397"/>
      <c r="I15994" s="397"/>
      <c r="J15994" s="750" t="e">
        <f t="shared" si="186"/>
        <v>#DIV/0!</v>
      </c>
      <c r="K15994" s="398"/>
      <c r="L15994" s="404"/>
      <c r="M15994" s="682"/>
    </row>
    <row r="15995" spans="3:13" ht="25.5" hidden="1" x14ac:dyDescent="0.2">
      <c r="F15995" s="503" t="s">
        <v>261</v>
      </c>
      <c r="G15995" s="504" t="s">
        <v>262</v>
      </c>
      <c r="H15995" s="397"/>
      <c r="I15995" s="397"/>
      <c r="J15995" s="750" t="e">
        <f t="shared" si="186"/>
        <v>#DIV/0!</v>
      </c>
      <c r="K15995" s="398"/>
      <c r="L15995" s="404"/>
      <c r="M15995" s="682"/>
    </row>
    <row r="15996" spans="3:13" hidden="1" x14ac:dyDescent="0.2">
      <c r="F15996" s="503" t="s">
        <v>263</v>
      </c>
      <c r="G15996" s="504" t="s">
        <v>264</v>
      </c>
      <c r="H15996" s="403"/>
      <c r="I15996" s="403"/>
      <c r="J15996" s="750" t="e">
        <f t="shared" si="186"/>
        <v>#DIV/0!</v>
      </c>
      <c r="K15996" s="404"/>
      <c r="L15996" s="404"/>
      <c r="M15996" s="682"/>
    </row>
    <row r="15997" spans="3:13" ht="13.5" hidden="1" thickBot="1" x14ac:dyDescent="0.25">
      <c r="G15997" s="505" t="s">
        <v>5189</v>
      </c>
      <c r="H15997" s="405">
        <f>SUM(H15981:H15996)</f>
        <v>0</v>
      </c>
      <c r="I15997" s="405"/>
      <c r="J15997" s="750" t="e">
        <f t="shared" si="186"/>
        <v>#DIV/0!</v>
      </c>
      <c r="K15997" s="406">
        <f>SUM(K15982:K15996)</f>
        <v>0</v>
      </c>
      <c r="L15997" s="406"/>
      <c r="M15997" s="682"/>
    </row>
    <row r="15998" spans="3:13" hidden="1" x14ac:dyDescent="0.2">
      <c r="G15998" s="510"/>
      <c r="H15998" s="411"/>
      <c r="I15998" s="411"/>
      <c r="J15998" s="750" t="e">
        <f t="shared" si="186"/>
        <v>#DIV/0!</v>
      </c>
      <c r="K15998" s="412"/>
      <c r="L15998" s="412"/>
      <c r="M15998" s="682"/>
    </row>
    <row r="15999" spans="3:13" hidden="1" x14ac:dyDescent="0.2">
      <c r="C15999" s="489" t="s">
        <v>4509</v>
      </c>
      <c r="D15999" s="490"/>
      <c r="G15999" s="508" t="s">
        <v>5193</v>
      </c>
      <c r="H15999" s="397"/>
      <c r="I15999" s="397"/>
      <c r="J15999" s="750" t="e">
        <f t="shared" si="186"/>
        <v>#DIV/0!</v>
      </c>
      <c r="K15999" s="398"/>
      <c r="L15999" s="398"/>
      <c r="M15999" s="682"/>
    </row>
    <row r="16000" spans="3:13" ht="25.5" hidden="1" x14ac:dyDescent="0.2">
      <c r="C16000" s="489"/>
      <c r="D16000" s="492">
        <v>660</v>
      </c>
      <c r="E16000" s="492"/>
      <c r="F16000" s="492"/>
      <c r="G16000" s="493" t="s">
        <v>186</v>
      </c>
      <c r="H16000" s="397"/>
      <c r="I16000" s="397"/>
      <c r="J16000" s="750" t="e">
        <f t="shared" si="186"/>
        <v>#DIV/0!</v>
      </c>
      <c r="K16000" s="398"/>
      <c r="L16000" s="398"/>
      <c r="M16000" s="682"/>
    </row>
    <row r="16001" spans="6:13" hidden="1" x14ac:dyDescent="0.2">
      <c r="F16001" s="494">
        <v>411</v>
      </c>
      <c r="G16001" s="495" t="s">
        <v>4167</v>
      </c>
      <c r="H16001" s="397"/>
      <c r="I16001" s="397"/>
      <c r="J16001" s="750" t="e">
        <f t="shared" si="186"/>
        <v>#DIV/0!</v>
      </c>
      <c r="K16001" s="398"/>
      <c r="L16001" s="398"/>
      <c r="M16001" s="682"/>
    </row>
    <row r="16002" spans="6:13" hidden="1" x14ac:dyDescent="0.2">
      <c r="F16002" s="494">
        <v>412</v>
      </c>
      <c r="G16002" s="496" t="s">
        <v>3764</v>
      </c>
      <c r="H16002" s="397"/>
      <c r="I16002" s="397"/>
      <c r="J16002" s="750" t="e">
        <f t="shared" si="186"/>
        <v>#DIV/0!</v>
      </c>
      <c r="K16002" s="398"/>
      <c r="L16002" s="398"/>
      <c r="M16002" s="682"/>
    </row>
    <row r="16003" spans="6:13" hidden="1" x14ac:dyDescent="0.2">
      <c r="F16003" s="494">
        <v>413</v>
      </c>
      <c r="G16003" s="495" t="s">
        <v>4168</v>
      </c>
      <c r="H16003" s="397"/>
      <c r="I16003" s="397"/>
      <c r="J16003" s="750" t="e">
        <f t="shared" si="186"/>
        <v>#DIV/0!</v>
      </c>
      <c r="K16003" s="398"/>
      <c r="L16003" s="398"/>
      <c r="M16003" s="682"/>
    </row>
    <row r="16004" spans="6:13" hidden="1" x14ac:dyDescent="0.2">
      <c r="F16004" s="494">
        <v>414</v>
      </c>
      <c r="G16004" s="495" t="s">
        <v>3767</v>
      </c>
      <c r="H16004" s="397"/>
      <c r="I16004" s="397"/>
      <c r="J16004" s="750" t="e">
        <f t="shared" si="186"/>
        <v>#DIV/0!</v>
      </c>
      <c r="K16004" s="398"/>
      <c r="L16004" s="398"/>
      <c r="M16004" s="682"/>
    </row>
    <row r="16005" spans="6:13" hidden="1" x14ac:dyDescent="0.2">
      <c r="F16005" s="494">
        <v>415</v>
      </c>
      <c r="G16005" s="495" t="s">
        <v>4177</v>
      </c>
      <c r="H16005" s="397"/>
      <c r="I16005" s="397"/>
      <c r="J16005" s="750" t="e">
        <f t="shared" si="186"/>
        <v>#DIV/0!</v>
      </c>
      <c r="K16005" s="398"/>
      <c r="L16005" s="398"/>
      <c r="M16005" s="682"/>
    </row>
    <row r="16006" spans="6:13" ht="25.5" hidden="1" x14ac:dyDescent="0.2">
      <c r="F16006" s="494">
        <v>416</v>
      </c>
      <c r="G16006" s="495" t="s">
        <v>4178</v>
      </c>
      <c r="H16006" s="397"/>
      <c r="I16006" s="397"/>
      <c r="J16006" s="750" t="e">
        <f t="shared" si="186"/>
        <v>#DIV/0!</v>
      </c>
      <c r="K16006" s="398"/>
      <c r="L16006" s="398"/>
      <c r="M16006" s="682"/>
    </row>
    <row r="16007" spans="6:13" hidden="1" x14ac:dyDescent="0.2">
      <c r="F16007" s="494">
        <v>417</v>
      </c>
      <c r="G16007" s="495" t="s">
        <v>4179</v>
      </c>
      <c r="H16007" s="397"/>
      <c r="I16007" s="397"/>
      <c r="J16007" s="750" t="e">
        <f t="shared" si="186"/>
        <v>#DIV/0!</v>
      </c>
      <c r="K16007" s="398"/>
      <c r="L16007" s="398"/>
      <c r="M16007" s="682"/>
    </row>
    <row r="16008" spans="6:13" hidden="1" x14ac:dyDescent="0.2">
      <c r="F16008" s="494">
        <v>418</v>
      </c>
      <c r="G16008" s="495" t="s">
        <v>3773</v>
      </c>
      <c r="H16008" s="397"/>
      <c r="I16008" s="397"/>
      <c r="J16008" s="750" t="e">
        <f t="shared" si="186"/>
        <v>#DIV/0!</v>
      </c>
      <c r="K16008" s="398"/>
      <c r="L16008" s="398"/>
      <c r="M16008" s="682"/>
    </row>
    <row r="16009" spans="6:13" hidden="1" x14ac:dyDescent="0.2">
      <c r="F16009" s="494">
        <v>421</v>
      </c>
      <c r="G16009" s="495" t="s">
        <v>3777</v>
      </c>
      <c r="H16009" s="397"/>
      <c r="I16009" s="397"/>
      <c r="J16009" s="750" t="e">
        <f t="shared" si="186"/>
        <v>#DIV/0!</v>
      </c>
      <c r="K16009" s="398"/>
      <c r="L16009" s="398"/>
      <c r="M16009" s="682"/>
    </row>
    <row r="16010" spans="6:13" hidden="1" x14ac:dyDescent="0.2">
      <c r="F16010" s="494">
        <v>422</v>
      </c>
      <c r="G16010" s="495" t="s">
        <v>3778</v>
      </c>
      <c r="H16010" s="397"/>
      <c r="I16010" s="397"/>
      <c r="J16010" s="750" t="e">
        <f t="shared" si="186"/>
        <v>#DIV/0!</v>
      </c>
      <c r="K16010" s="398"/>
      <c r="L16010" s="398"/>
      <c r="M16010" s="682"/>
    </row>
    <row r="16011" spans="6:13" hidden="1" x14ac:dyDescent="0.2">
      <c r="F16011" s="494">
        <v>423</v>
      </c>
      <c r="G16011" s="495" t="s">
        <v>3779</v>
      </c>
      <c r="H16011" s="397"/>
      <c r="I16011" s="397"/>
      <c r="J16011" s="750" t="e">
        <f t="shared" si="186"/>
        <v>#DIV/0!</v>
      </c>
      <c r="K16011" s="398"/>
      <c r="L16011" s="398"/>
      <c r="M16011" s="682"/>
    </row>
    <row r="16012" spans="6:13" hidden="1" x14ac:dyDescent="0.2">
      <c r="F16012" s="494">
        <v>424</v>
      </c>
      <c r="G16012" s="495" t="s">
        <v>3781</v>
      </c>
      <c r="H16012" s="397"/>
      <c r="I16012" s="397"/>
      <c r="J16012" s="750" t="e">
        <f t="shared" si="186"/>
        <v>#DIV/0!</v>
      </c>
      <c r="K16012" s="398"/>
      <c r="L16012" s="398"/>
      <c r="M16012" s="682"/>
    </row>
    <row r="16013" spans="6:13" hidden="1" x14ac:dyDescent="0.2">
      <c r="F16013" s="494">
        <v>425</v>
      </c>
      <c r="G16013" s="495" t="s">
        <v>4180</v>
      </c>
      <c r="H16013" s="397"/>
      <c r="I16013" s="397"/>
      <c r="J16013" s="750" t="e">
        <f t="shared" si="186"/>
        <v>#DIV/0!</v>
      </c>
      <c r="K16013" s="398"/>
      <c r="L16013" s="398"/>
      <c r="M16013" s="682"/>
    </row>
    <row r="16014" spans="6:13" hidden="1" x14ac:dyDescent="0.2">
      <c r="F16014" s="494">
        <v>426</v>
      </c>
      <c r="G16014" s="495" t="s">
        <v>3785</v>
      </c>
      <c r="H16014" s="397"/>
      <c r="I16014" s="397"/>
      <c r="J16014" s="750" t="e">
        <f t="shared" ref="J16014:J16077" si="187">SUM(I16014/H16014)*100</f>
        <v>#DIV/0!</v>
      </c>
      <c r="K16014" s="398"/>
      <c r="L16014" s="398"/>
      <c r="M16014" s="682"/>
    </row>
    <row r="16015" spans="6:13" hidden="1" x14ac:dyDescent="0.2">
      <c r="F16015" s="494">
        <v>431</v>
      </c>
      <c r="G16015" s="495" t="s">
        <v>4181</v>
      </c>
      <c r="H16015" s="397"/>
      <c r="I16015" s="397"/>
      <c r="J16015" s="750" t="e">
        <f t="shared" si="187"/>
        <v>#DIV/0!</v>
      </c>
      <c r="K16015" s="398"/>
      <c r="L16015" s="398"/>
      <c r="M16015" s="682"/>
    </row>
    <row r="16016" spans="6:13" hidden="1" x14ac:dyDescent="0.2">
      <c r="F16016" s="494">
        <v>432</v>
      </c>
      <c r="G16016" s="495" t="s">
        <v>4182</v>
      </c>
      <c r="H16016" s="397"/>
      <c r="I16016" s="397"/>
      <c r="J16016" s="750" t="e">
        <f t="shared" si="187"/>
        <v>#DIV/0!</v>
      </c>
      <c r="K16016" s="398"/>
      <c r="L16016" s="398"/>
      <c r="M16016" s="682"/>
    </row>
    <row r="16017" spans="6:13" hidden="1" x14ac:dyDescent="0.2">
      <c r="F16017" s="494">
        <v>433</v>
      </c>
      <c r="G16017" s="495" t="s">
        <v>4183</v>
      </c>
      <c r="H16017" s="397"/>
      <c r="I16017" s="397"/>
      <c r="J16017" s="750" t="e">
        <f t="shared" si="187"/>
        <v>#DIV/0!</v>
      </c>
      <c r="K16017" s="398"/>
      <c r="L16017" s="398"/>
      <c r="M16017" s="682"/>
    </row>
    <row r="16018" spans="6:13" hidden="1" x14ac:dyDescent="0.2">
      <c r="F16018" s="494">
        <v>434</v>
      </c>
      <c r="G16018" s="495" t="s">
        <v>4184</v>
      </c>
      <c r="H16018" s="397"/>
      <c r="I16018" s="397"/>
      <c r="J16018" s="750" t="e">
        <f t="shared" si="187"/>
        <v>#DIV/0!</v>
      </c>
      <c r="K16018" s="398"/>
      <c r="L16018" s="398"/>
      <c r="M16018" s="682"/>
    </row>
    <row r="16019" spans="6:13" hidden="1" x14ac:dyDescent="0.2">
      <c r="F16019" s="494">
        <v>435</v>
      </c>
      <c r="G16019" s="495" t="s">
        <v>3792</v>
      </c>
      <c r="H16019" s="397"/>
      <c r="I16019" s="397"/>
      <c r="J16019" s="750" t="e">
        <f t="shared" si="187"/>
        <v>#DIV/0!</v>
      </c>
      <c r="K16019" s="398"/>
      <c r="L16019" s="398"/>
      <c r="M16019" s="682"/>
    </row>
    <row r="16020" spans="6:13" hidden="1" x14ac:dyDescent="0.2">
      <c r="F16020" s="494">
        <v>441</v>
      </c>
      <c r="G16020" s="495" t="s">
        <v>4185</v>
      </c>
      <c r="H16020" s="397"/>
      <c r="I16020" s="397"/>
      <c r="J16020" s="750" t="e">
        <f t="shared" si="187"/>
        <v>#DIV/0!</v>
      </c>
      <c r="K16020" s="398"/>
      <c r="L16020" s="398"/>
      <c r="M16020" s="682"/>
    </row>
    <row r="16021" spans="6:13" hidden="1" x14ac:dyDescent="0.2">
      <c r="F16021" s="494">
        <v>442</v>
      </c>
      <c r="G16021" s="495" t="s">
        <v>4186</v>
      </c>
      <c r="H16021" s="397"/>
      <c r="I16021" s="397"/>
      <c r="J16021" s="750" t="e">
        <f t="shared" si="187"/>
        <v>#DIV/0!</v>
      </c>
      <c r="K16021" s="398"/>
      <c r="L16021" s="398"/>
      <c r="M16021" s="682"/>
    </row>
    <row r="16022" spans="6:13" hidden="1" x14ac:dyDescent="0.2">
      <c r="F16022" s="494">
        <v>443</v>
      </c>
      <c r="G16022" s="495" t="s">
        <v>3797</v>
      </c>
      <c r="H16022" s="397"/>
      <c r="I16022" s="397"/>
      <c r="J16022" s="750" t="e">
        <f t="shared" si="187"/>
        <v>#DIV/0!</v>
      </c>
      <c r="K16022" s="398"/>
      <c r="L16022" s="398"/>
      <c r="M16022" s="682"/>
    </row>
    <row r="16023" spans="6:13" hidden="1" x14ac:dyDescent="0.2">
      <c r="F16023" s="494">
        <v>444</v>
      </c>
      <c r="G16023" s="495" t="s">
        <v>3798</v>
      </c>
      <c r="H16023" s="397"/>
      <c r="I16023" s="397"/>
      <c r="J16023" s="750" t="e">
        <f t="shared" si="187"/>
        <v>#DIV/0!</v>
      </c>
      <c r="K16023" s="398"/>
      <c r="L16023" s="398"/>
      <c r="M16023" s="682"/>
    </row>
    <row r="16024" spans="6:13" ht="25.5" hidden="1" x14ac:dyDescent="0.2">
      <c r="F16024" s="494">
        <v>4511</v>
      </c>
      <c r="G16024" s="466" t="s">
        <v>1692</v>
      </c>
      <c r="H16024" s="397"/>
      <c r="I16024" s="397"/>
      <c r="J16024" s="750" t="e">
        <f t="shared" si="187"/>
        <v>#DIV/0!</v>
      </c>
      <c r="K16024" s="398"/>
      <c r="L16024" s="398"/>
      <c r="M16024" s="682"/>
    </row>
    <row r="16025" spans="6:13" ht="25.5" hidden="1" x14ac:dyDescent="0.2">
      <c r="F16025" s="494">
        <v>4512</v>
      </c>
      <c r="G16025" s="466" t="s">
        <v>1701</v>
      </c>
      <c r="H16025" s="397"/>
      <c r="I16025" s="397"/>
      <c r="J16025" s="750" t="e">
        <f t="shared" si="187"/>
        <v>#DIV/0!</v>
      </c>
      <c r="K16025" s="398"/>
      <c r="L16025" s="398"/>
      <c r="M16025" s="682"/>
    </row>
    <row r="16026" spans="6:13" ht="25.5" hidden="1" x14ac:dyDescent="0.2">
      <c r="F16026" s="494">
        <v>452</v>
      </c>
      <c r="G16026" s="495" t="s">
        <v>4187</v>
      </c>
      <c r="H16026" s="397"/>
      <c r="I16026" s="397"/>
      <c r="J16026" s="750" t="e">
        <f t="shared" si="187"/>
        <v>#DIV/0!</v>
      </c>
      <c r="K16026" s="398"/>
      <c r="L16026" s="398"/>
      <c r="M16026" s="682"/>
    </row>
    <row r="16027" spans="6:13" ht="25.5" hidden="1" x14ac:dyDescent="0.2">
      <c r="F16027" s="494">
        <v>453</v>
      </c>
      <c r="G16027" s="495" t="s">
        <v>4188</v>
      </c>
      <c r="H16027" s="397"/>
      <c r="I16027" s="397"/>
      <c r="J16027" s="750" t="e">
        <f t="shared" si="187"/>
        <v>#DIV/0!</v>
      </c>
      <c r="K16027" s="398"/>
      <c r="L16027" s="398"/>
      <c r="M16027" s="682"/>
    </row>
    <row r="16028" spans="6:13" hidden="1" x14ac:dyDescent="0.2">
      <c r="F16028" s="494">
        <v>454</v>
      </c>
      <c r="G16028" s="495" t="s">
        <v>3803</v>
      </c>
      <c r="H16028" s="397"/>
      <c r="I16028" s="397"/>
      <c r="J16028" s="750" t="e">
        <f t="shared" si="187"/>
        <v>#DIV/0!</v>
      </c>
      <c r="K16028" s="398"/>
      <c r="L16028" s="398"/>
      <c r="M16028" s="682"/>
    </row>
    <row r="16029" spans="6:13" hidden="1" x14ac:dyDescent="0.2">
      <c r="F16029" s="494">
        <v>461</v>
      </c>
      <c r="G16029" s="495" t="s">
        <v>4169</v>
      </c>
      <c r="H16029" s="397"/>
      <c r="I16029" s="397"/>
      <c r="J16029" s="750" t="e">
        <f t="shared" si="187"/>
        <v>#DIV/0!</v>
      </c>
      <c r="K16029" s="398"/>
      <c r="L16029" s="398"/>
      <c r="M16029" s="682"/>
    </row>
    <row r="16030" spans="6:13" ht="25.5" hidden="1" x14ac:dyDescent="0.2">
      <c r="F16030" s="494">
        <v>462</v>
      </c>
      <c r="G16030" s="495" t="s">
        <v>3806</v>
      </c>
      <c r="H16030" s="397"/>
      <c r="I16030" s="397"/>
      <c r="J16030" s="750" t="e">
        <f t="shared" si="187"/>
        <v>#DIV/0!</v>
      </c>
      <c r="K16030" s="398"/>
      <c r="L16030" s="398"/>
      <c r="M16030" s="682"/>
    </row>
    <row r="16031" spans="6:13" hidden="1" x14ac:dyDescent="0.2">
      <c r="F16031" s="494">
        <v>4631</v>
      </c>
      <c r="G16031" s="495" t="s">
        <v>3807</v>
      </c>
      <c r="H16031" s="397"/>
      <c r="I16031" s="397"/>
      <c r="J16031" s="750" t="e">
        <f t="shared" si="187"/>
        <v>#DIV/0!</v>
      </c>
      <c r="K16031" s="398"/>
      <c r="L16031" s="398"/>
      <c r="M16031" s="682"/>
    </row>
    <row r="16032" spans="6:13" hidden="1" x14ac:dyDescent="0.2">
      <c r="F16032" s="494">
        <v>4632</v>
      </c>
      <c r="G16032" s="495" t="s">
        <v>3808</v>
      </c>
      <c r="H16032" s="397"/>
      <c r="I16032" s="397"/>
      <c r="J16032" s="750" t="e">
        <f t="shared" si="187"/>
        <v>#DIV/0!</v>
      </c>
      <c r="K16032" s="398"/>
      <c r="L16032" s="398"/>
      <c r="M16032" s="682"/>
    </row>
    <row r="16033" spans="5:13" ht="25.5" hidden="1" x14ac:dyDescent="0.2">
      <c r="F16033" s="494">
        <v>464</v>
      </c>
      <c r="G16033" s="495" t="s">
        <v>3809</v>
      </c>
      <c r="H16033" s="397"/>
      <c r="I16033" s="397"/>
      <c r="J16033" s="750" t="e">
        <f t="shared" si="187"/>
        <v>#DIV/0!</v>
      </c>
      <c r="K16033" s="398"/>
      <c r="L16033" s="398"/>
      <c r="M16033" s="682"/>
    </row>
    <row r="16034" spans="5:13" hidden="1" x14ac:dyDescent="0.2">
      <c r="F16034" s="494">
        <v>465</v>
      </c>
      <c r="G16034" s="495" t="s">
        <v>4170</v>
      </c>
      <c r="H16034" s="397"/>
      <c r="I16034" s="397"/>
      <c r="J16034" s="750" t="e">
        <f t="shared" si="187"/>
        <v>#DIV/0!</v>
      </c>
      <c r="K16034" s="398"/>
      <c r="L16034" s="398"/>
      <c r="M16034" s="682"/>
    </row>
    <row r="16035" spans="5:13" hidden="1" x14ac:dyDescent="0.2">
      <c r="F16035" s="494">
        <v>472</v>
      </c>
      <c r="G16035" s="495" t="s">
        <v>3813</v>
      </c>
      <c r="H16035" s="397"/>
      <c r="I16035" s="397"/>
      <c r="J16035" s="750" t="e">
        <f t="shared" si="187"/>
        <v>#DIV/0!</v>
      </c>
      <c r="K16035" s="398"/>
      <c r="L16035" s="398"/>
      <c r="M16035" s="682"/>
    </row>
    <row r="16036" spans="5:13" hidden="1" x14ac:dyDescent="0.2">
      <c r="F16036" s="494">
        <v>481</v>
      </c>
      <c r="G16036" s="495" t="s">
        <v>4189</v>
      </c>
      <c r="H16036" s="397"/>
      <c r="I16036" s="397"/>
      <c r="J16036" s="750" t="e">
        <f t="shared" si="187"/>
        <v>#DIV/0!</v>
      </c>
      <c r="K16036" s="398"/>
      <c r="L16036" s="398"/>
      <c r="M16036" s="682"/>
    </row>
    <row r="16037" spans="5:13" hidden="1" x14ac:dyDescent="0.2">
      <c r="F16037" s="494">
        <v>482</v>
      </c>
      <c r="G16037" s="495" t="s">
        <v>4190</v>
      </c>
      <c r="H16037" s="397"/>
      <c r="I16037" s="397"/>
      <c r="J16037" s="750" t="e">
        <f t="shared" si="187"/>
        <v>#DIV/0!</v>
      </c>
      <c r="K16037" s="398"/>
      <c r="L16037" s="398"/>
      <c r="M16037" s="682"/>
    </row>
    <row r="16038" spans="5:13" hidden="1" x14ac:dyDescent="0.2">
      <c r="F16038" s="494">
        <v>483</v>
      </c>
      <c r="G16038" s="497" t="s">
        <v>4191</v>
      </c>
      <c r="H16038" s="397"/>
      <c r="I16038" s="397"/>
      <c r="J16038" s="750" t="e">
        <f t="shared" si="187"/>
        <v>#DIV/0!</v>
      </c>
      <c r="K16038" s="398"/>
      <c r="L16038" s="398"/>
      <c r="M16038" s="682"/>
    </row>
    <row r="16039" spans="5:13" ht="38.25" hidden="1" x14ac:dyDescent="0.2">
      <c r="F16039" s="494">
        <v>484</v>
      </c>
      <c r="G16039" s="495" t="s">
        <v>4192</v>
      </c>
      <c r="H16039" s="397"/>
      <c r="I16039" s="397"/>
      <c r="J16039" s="750" t="e">
        <f t="shared" si="187"/>
        <v>#DIV/0!</v>
      </c>
      <c r="K16039" s="398"/>
      <c r="L16039" s="398"/>
      <c r="M16039" s="682"/>
    </row>
    <row r="16040" spans="5:13" ht="25.5" hidden="1" x14ac:dyDescent="0.2">
      <c r="F16040" s="494">
        <v>485</v>
      </c>
      <c r="G16040" s="495" t="s">
        <v>4193</v>
      </c>
      <c r="H16040" s="397"/>
      <c r="I16040" s="397"/>
      <c r="J16040" s="750" t="e">
        <f t="shared" si="187"/>
        <v>#DIV/0!</v>
      </c>
      <c r="K16040" s="398"/>
      <c r="L16040" s="398"/>
      <c r="M16040" s="682"/>
    </row>
    <row r="16041" spans="5:13" ht="25.5" hidden="1" x14ac:dyDescent="0.2">
      <c r="F16041" s="494">
        <v>489</v>
      </c>
      <c r="G16041" s="495" t="s">
        <v>3821</v>
      </c>
      <c r="H16041" s="397"/>
      <c r="I16041" s="397"/>
      <c r="J16041" s="750" t="e">
        <f t="shared" si="187"/>
        <v>#DIV/0!</v>
      </c>
      <c r="K16041" s="398"/>
      <c r="L16041" s="398"/>
      <c r="M16041" s="682"/>
    </row>
    <row r="16042" spans="5:13" ht="25.5" hidden="1" x14ac:dyDescent="0.2">
      <c r="F16042" s="494">
        <v>494</v>
      </c>
      <c r="G16042" s="495" t="s">
        <v>4171</v>
      </c>
      <c r="H16042" s="397"/>
      <c r="I16042" s="397"/>
      <c r="J16042" s="750" t="e">
        <f t="shared" si="187"/>
        <v>#DIV/0!</v>
      </c>
      <c r="K16042" s="398"/>
      <c r="L16042" s="398"/>
      <c r="M16042" s="682"/>
    </row>
    <row r="16043" spans="5:13" ht="25.5" hidden="1" x14ac:dyDescent="0.2">
      <c r="F16043" s="494">
        <v>495</v>
      </c>
      <c r="G16043" s="495" t="s">
        <v>4172</v>
      </c>
      <c r="H16043" s="397"/>
      <c r="I16043" s="397"/>
      <c r="J16043" s="750" t="e">
        <f t="shared" si="187"/>
        <v>#DIV/0!</v>
      </c>
      <c r="K16043" s="398"/>
      <c r="L16043" s="398"/>
      <c r="M16043" s="682"/>
    </row>
    <row r="16044" spans="5:13" ht="38.25" hidden="1" x14ac:dyDescent="0.2">
      <c r="F16044" s="494">
        <v>496</v>
      </c>
      <c r="G16044" s="495" t="s">
        <v>4173</v>
      </c>
      <c r="H16044" s="397"/>
      <c r="I16044" s="397"/>
      <c r="J16044" s="750" t="e">
        <f t="shared" si="187"/>
        <v>#DIV/0!</v>
      </c>
      <c r="K16044" s="398"/>
      <c r="L16044" s="398"/>
      <c r="M16044" s="682"/>
    </row>
    <row r="16045" spans="5:13" ht="25.5" hidden="1" x14ac:dyDescent="0.2">
      <c r="F16045" s="494">
        <v>499</v>
      </c>
      <c r="G16045" s="495" t="s">
        <v>4174</v>
      </c>
      <c r="H16045" s="397"/>
      <c r="I16045" s="397"/>
      <c r="J16045" s="750" t="e">
        <f t="shared" si="187"/>
        <v>#DIV/0!</v>
      </c>
      <c r="K16045" s="398"/>
      <c r="L16045" s="398"/>
      <c r="M16045" s="682"/>
    </row>
    <row r="16046" spans="5:13" hidden="1" x14ac:dyDescent="0.2">
      <c r="E16046" s="464">
        <v>175</v>
      </c>
      <c r="F16046" s="494">
        <v>511</v>
      </c>
      <c r="G16046" s="497" t="s">
        <v>4194</v>
      </c>
      <c r="H16046" s="397"/>
      <c r="I16046" s="397"/>
      <c r="J16046" s="750" t="e">
        <f t="shared" si="187"/>
        <v>#DIV/0!</v>
      </c>
      <c r="K16046" s="398"/>
      <c r="L16046" s="398"/>
      <c r="M16046" s="682"/>
    </row>
    <row r="16047" spans="5:13" hidden="1" x14ac:dyDescent="0.2">
      <c r="F16047" s="494">
        <v>512</v>
      </c>
      <c r="G16047" s="497" t="s">
        <v>4195</v>
      </c>
      <c r="H16047" s="397"/>
      <c r="I16047" s="397"/>
      <c r="J16047" s="750" t="e">
        <f t="shared" si="187"/>
        <v>#DIV/0!</v>
      </c>
      <c r="K16047" s="398"/>
      <c r="L16047" s="398"/>
      <c r="M16047" s="682"/>
    </row>
    <row r="16048" spans="5:13" hidden="1" x14ac:dyDescent="0.2">
      <c r="F16048" s="494">
        <v>513</v>
      </c>
      <c r="G16048" s="497" t="s">
        <v>4196</v>
      </c>
      <c r="H16048" s="397"/>
      <c r="I16048" s="397"/>
      <c r="J16048" s="750" t="e">
        <f t="shared" si="187"/>
        <v>#DIV/0!</v>
      </c>
      <c r="K16048" s="398"/>
      <c r="L16048" s="398"/>
      <c r="M16048" s="682"/>
    </row>
    <row r="16049" spans="5:13" hidden="1" x14ac:dyDescent="0.2">
      <c r="F16049" s="494">
        <v>514</v>
      </c>
      <c r="G16049" s="495" t="s">
        <v>4197</v>
      </c>
      <c r="H16049" s="397"/>
      <c r="I16049" s="397"/>
      <c r="J16049" s="750" t="e">
        <f t="shared" si="187"/>
        <v>#DIV/0!</v>
      </c>
      <c r="K16049" s="398"/>
      <c r="L16049" s="398"/>
      <c r="M16049" s="682"/>
    </row>
    <row r="16050" spans="5:13" hidden="1" x14ac:dyDescent="0.2">
      <c r="F16050" s="494">
        <v>515</v>
      </c>
      <c r="G16050" s="495" t="s">
        <v>3832</v>
      </c>
      <c r="H16050" s="397"/>
      <c r="I16050" s="397"/>
      <c r="J16050" s="750" t="e">
        <f t="shared" si="187"/>
        <v>#DIV/0!</v>
      </c>
      <c r="K16050" s="398"/>
      <c r="L16050" s="398"/>
      <c r="M16050" s="682"/>
    </row>
    <row r="16051" spans="5:13" hidden="1" x14ac:dyDescent="0.2">
      <c r="F16051" s="494">
        <v>521</v>
      </c>
      <c r="G16051" s="495" t="s">
        <v>4198</v>
      </c>
      <c r="H16051" s="397"/>
      <c r="I16051" s="397"/>
      <c r="J16051" s="750" t="e">
        <f t="shared" si="187"/>
        <v>#DIV/0!</v>
      </c>
      <c r="K16051" s="398"/>
      <c r="L16051" s="398"/>
      <c r="M16051" s="682"/>
    </row>
    <row r="16052" spans="5:13" hidden="1" x14ac:dyDescent="0.2">
      <c r="F16052" s="494">
        <v>522</v>
      </c>
      <c r="G16052" s="495" t="s">
        <v>4199</v>
      </c>
      <c r="H16052" s="397"/>
      <c r="I16052" s="397"/>
      <c r="J16052" s="750" t="e">
        <f t="shared" si="187"/>
        <v>#DIV/0!</v>
      </c>
      <c r="K16052" s="398"/>
      <c r="L16052" s="398"/>
      <c r="M16052" s="682"/>
    </row>
    <row r="16053" spans="5:13" hidden="1" x14ac:dyDescent="0.2">
      <c r="F16053" s="494">
        <v>523</v>
      </c>
      <c r="G16053" s="495" t="s">
        <v>3837</v>
      </c>
      <c r="H16053" s="397"/>
      <c r="I16053" s="397"/>
      <c r="J16053" s="750" t="e">
        <f t="shared" si="187"/>
        <v>#DIV/0!</v>
      </c>
      <c r="K16053" s="398"/>
      <c r="L16053" s="398"/>
      <c r="M16053" s="682"/>
    </row>
    <row r="16054" spans="5:13" hidden="1" x14ac:dyDescent="0.2">
      <c r="F16054" s="494">
        <v>531</v>
      </c>
      <c r="G16054" s="496" t="s">
        <v>4175</v>
      </c>
      <c r="H16054" s="397"/>
      <c r="I16054" s="397"/>
      <c r="J16054" s="750" t="e">
        <f t="shared" si="187"/>
        <v>#DIV/0!</v>
      </c>
      <c r="K16054" s="398"/>
      <c r="L16054" s="398"/>
      <c r="M16054" s="682"/>
    </row>
    <row r="16055" spans="5:13" hidden="1" x14ac:dyDescent="0.2">
      <c r="F16055" s="494">
        <v>541</v>
      </c>
      <c r="G16055" s="495" t="s">
        <v>4200</v>
      </c>
      <c r="H16055" s="397"/>
      <c r="I16055" s="397"/>
      <c r="J16055" s="750" t="e">
        <f t="shared" si="187"/>
        <v>#DIV/0!</v>
      </c>
      <c r="K16055" s="398"/>
      <c r="L16055" s="398"/>
      <c r="M16055" s="682"/>
    </row>
    <row r="16056" spans="5:13" hidden="1" x14ac:dyDescent="0.2">
      <c r="F16056" s="494">
        <v>542</v>
      </c>
      <c r="G16056" s="495" t="s">
        <v>4201</v>
      </c>
      <c r="H16056" s="397"/>
      <c r="I16056" s="397"/>
      <c r="J16056" s="750" t="e">
        <f t="shared" si="187"/>
        <v>#DIV/0!</v>
      </c>
      <c r="K16056" s="398"/>
      <c r="L16056" s="398"/>
      <c r="M16056" s="682"/>
    </row>
    <row r="16057" spans="5:13" hidden="1" x14ac:dyDescent="0.2">
      <c r="F16057" s="494">
        <v>543</v>
      </c>
      <c r="G16057" s="495" t="s">
        <v>3842</v>
      </c>
      <c r="H16057" s="397"/>
      <c r="I16057" s="397"/>
      <c r="J16057" s="750" t="e">
        <f t="shared" si="187"/>
        <v>#DIV/0!</v>
      </c>
      <c r="K16057" s="398"/>
      <c r="L16057" s="398"/>
      <c r="M16057" s="682"/>
    </row>
    <row r="16058" spans="5:13" ht="38.25" hidden="1" x14ac:dyDescent="0.2">
      <c r="F16058" s="494">
        <v>551</v>
      </c>
      <c r="G16058" s="495" t="s">
        <v>4176</v>
      </c>
      <c r="H16058" s="397"/>
      <c r="I16058" s="397"/>
      <c r="J16058" s="750" t="e">
        <f t="shared" si="187"/>
        <v>#DIV/0!</v>
      </c>
      <c r="K16058" s="398"/>
      <c r="L16058" s="398"/>
      <c r="M16058" s="682"/>
    </row>
    <row r="16059" spans="5:13" hidden="1" x14ac:dyDescent="0.2">
      <c r="F16059" s="498">
        <v>611</v>
      </c>
      <c r="G16059" s="499" t="s">
        <v>3848</v>
      </c>
      <c r="H16059" s="397"/>
      <c r="I16059" s="397"/>
      <c r="J16059" s="750" t="e">
        <f t="shared" si="187"/>
        <v>#DIV/0!</v>
      </c>
      <c r="K16059" s="398"/>
      <c r="L16059" s="398"/>
      <c r="M16059" s="682"/>
    </row>
    <row r="16060" spans="5:13" hidden="1" x14ac:dyDescent="0.2">
      <c r="F16060" s="498">
        <v>620</v>
      </c>
      <c r="G16060" s="499" t="s">
        <v>88</v>
      </c>
      <c r="H16060" s="397"/>
      <c r="I16060" s="397"/>
      <c r="J16060" s="750" t="e">
        <f t="shared" si="187"/>
        <v>#DIV/0!</v>
      </c>
      <c r="K16060" s="398"/>
      <c r="L16060" s="398"/>
      <c r="M16060" s="682"/>
    </row>
    <row r="16061" spans="5:13" hidden="1" x14ac:dyDescent="0.2">
      <c r="E16061" s="500"/>
      <c r="F16061" s="498"/>
      <c r="G16061" s="501" t="s">
        <v>5190</v>
      </c>
      <c r="H16061" s="400"/>
      <c r="I16061" s="400"/>
      <c r="J16061" s="750" t="e">
        <f t="shared" si="187"/>
        <v>#DIV/0!</v>
      </c>
      <c r="K16061" s="401"/>
      <c r="L16061" s="402"/>
      <c r="M16061" s="682"/>
    </row>
    <row r="16062" spans="5:13" hidden="1" x14ac:dyDescent="0.2">
      <c r="E16062" s="502"/>
      <c r="F16062" s="503" t="s">
        <v>234</v>
      </c>
      <c r="G16062" s="504" t="s">
        <v>235</v>
      </c>
      <c r="H16062" s="403">
        <f>SUM(H16001:H16060)</f>
        <v>0</v>
      </c>
      <c r="I16062" s="403"/>
      <c r="J16062" s="750" t="e">
        <f t="shared" si="187"/>
        <v>#DIV/0!</v>
      </c>
      <c r="K16062" s="404"/>
      <c r="L16062" s="404"/>
      <c r="M16062" s="682"/>
    </row>
    <row r="16063" spans="5:13" hidden="1" x14ac:dyDescent="0.2">
      <c r="F16063" s="503" t="s">
        <v>236</v>
      </c>
      <c r="G16063" s="504" t="s">
        <v>237</v>
      </c>
      <c r="H16063" s="397"/>
      <c r="I16063" s="397"/>
      <c r="J16063" s="750" t="e">
        <f t="shared" si="187"/>
        <v>#DIV/0!</v>
      </c>
      <c r="K16063" s="398"/>
      <c r="L16063" s="404"/>
      <c r="M16063" s="682"/>
    </row>
    <row r="16064" spans="5:13" hidden="1" x14ac:dyDescent="0.2">
      <c r="F16064" s="503" t="s">
        <v>238</v>
      </c>
      <c r="G16064" s="504" t="s">
        <v>239</v>
      </c>
      <c r="H16064" s="397"/>
      <c r="I16064" s="397"/>
      <c r="J16064" s="750" t="e">
        <f t="shared" si="187"/>
        <v>#DIV/0!</v>
      </c>
      <c r="K16064" s="398"/>
      <c r="L16064" s="404"/>
      <c r="M16064" s="682"/>
    </row>
    <row r="16065" spans="5:13" hidden="1" x14ac:dyDescent="0.2">
      <c r="F16065" s="503" t="s">
        <v>240</v>
      </c>
      <c r="G16065" s="504" t="s">
        <v>241</v>
      </c>
      <c r="H16065" s="397"/>
      <c r="I16065" s="397"/>
      <c r="J16065" s="750" t="e">
        <f t="shared" si="187"/>
        <v>#DIV/0!</v>
      </c>
      <c r="K16065" s="398"/>
      <c r="L16065" s="404"/>
      <c r="M16065" s="682"/>
    </row>
    <row r="16066" spans="5:13" hidden="1" x14ac:dyDescent="0.2">
      <c r="F16066" s="503" t="s">
        <v>242</v>
      </c>
      <c r="G16066" s="504" t="s">
        <v>243</v>
      </c>
      <c r="H16066" s="397"/>
      <c r="I16066" s="397"/>
      <c r="J16066" s="750" t="e">
        <f t="shared" si="187"/>
        <v>#DIV/0!</v>
      </c>
      <c r="K16066" s="398"/>
      <c r="L16066" s="404"/>
      <c r="M16066" s="682"/>
    </row>
    <row r="16067" spans="5:13" hidden="1" x14ac:dyDescent="0.2">
      <c r="F16067" s="503" t="s">
        <v>244</v>
      </c>
      <c r="G16067" s="504" t="s">
        <v>245</v>
      </c>
      <c r="H16067" s="397"/>
      <c r="I16067" s="397"/>
      <c r="J16067" s="750" t="e">
        <f t="shared" si="187"/>
        <v>#DIV/0!</v>
      </c>
      <c r="K16067" s="398"/>
      <c r="L16067" s="404"/>
      <c r="M16067" s="682"/>
    </row>
    <row r="16068" spans="5:13" hidden="1" x14ac:dyDescent="0.2">
      <c r="F16068" s="503" t="s">
        <v>246</v>
      </c>
      <c r="G16068" s="504" t="s">
        <v>247</v>
      </c>
      <c r="H16068" s="397"/>
      <c r="I16068" s="397"/>
      <c r="J16068" s="750" t="e">
        <f t="shared" si="187"/>
        <v>#DIV/0!</v>
      </c>
      <c r="K16068" s="398"/>
      <c r="L16068" s="404"/>
      <c r="M16068" s="682"/>
    </row>
    <row r="16069" spans="5:13" ht="25.5" hidden="1" x14ac:dyDescent="0.2">
      <c r="F16069" s="503" t="s">
        <v>248</v>
      </c>
      <c r="G16069" s="504" t="s">
        <v>249</v>
      </c>
      <c r="H16069" s="397"/>
      <c r="I16069" s="397"/>
      <c r="J16069" s="750" t="e">
        <f t="shared" si="187"/>
        <v>#DIV/0!</v>
      </c>
      <c r="K16069" s="398"/>
      <c r="L16069" s="404"/>
      <c r="M16069" s="682"/>
    </row>
    <row r="16070" spans="5:13" hidden="1" x14ac:dyDescent="0.2">
      <c r="F16070" s="503" t="s">
        <v>250</v>
      </c>
      <c r="G16070" s="504" t="s">
        <v>57</v>
      </c>
      <c r="H16070" s="397"/>
      <c r="I16070" s="397"/>
      <c r="J16070" s="750" t="e">
        <f t="shared" si="187"/>
        <v>#DIV/0!</v>
      </c>
      <c r="K16070" s="398"/>
      <c r="L16070" s="404"/>
      <c r="M16070" s="682"/>
    </row>
    <row r="16071" spans="5:13" hidden="1" x14ac:dyDescent="0.2">
      <c r="F16071" s="503" t="s">
        <v>251</v>
      </c>
      <c r="G16071" s="504" t="s">
        <v>252</v>
      </c>
      <c r="H16071" s="397"/>
      <c r="I16071" s="397"/>
      <c r="J16071" s="750" t="e">
        <f t="shared" si="187"/>
        <v>#DIV/0!</v>
      </c>
      <c r="K16071" s="398"/>
      <c r="L16071" s="404"/>
      <c r="M16071" s="682"/>
    </row>
    <row r="16072" spans="5:13" hidden="1" x14ac:dyDescent="0.2">
      <c r="F16072" s="503" t="s">
        <v>253</v>
      </c>
      <c r="G16072" s="504" t="s">
        <v>254</v>
      </c>
      <c r="H16072" s="397"/>
      <c r="I16072" s="397"/>
      <c r="J16072" s="750" t="e">
        <f t="shared" si="187"/>
        <v>#DIV/0!</v>
      </c>
      <c r="K16072" s="398"/>
      <c r="L16072" s="404"/>
      <c r="M16072" s="682"/>
    </row>
    <row r="16073" spans="5:13" ht="25.5" hidden="1" x14ac:dyDescent="0.2">
      <c r="F16073" s="503" t="s">
        <v>255</v>
      </c>
      <c r="G16073" s="504" t="s">
        <v>256</v>
      </c>
      <c r="H16073" s="397"/>
      <c r="I16073" s="397"/>
      <c r="J16073" s="750" t="e">
        <f t="shared" si="187"/>
        <v>#DIV/0!</v>
      </c>
      <c r="K16073" s="398"/>
      <c r="L16073" s="404"/>
      <c r="M16073" s="682"/>
    </row>
    <row r="16074" spans="5:13" ht="25.5" hidden="1" x14ac:dyDescent="0.2">
      <c r="F16074" s="503" t="s">
        <v>257</v>
      </c>
      <c r="G16074" s="504" t="s">
        <v>258</v>
      </c>
      <c r="H16074" s="397"/>
      <c r="I16074" s="397"/>
      <c r="J16074" s="750" t="e">
        <f t="shared" si="187"/>
        <v>#DIV/0!</v>
      </c>
      <c r="K16074" s="398"/>
      <c r="L16074" s="404"/>
      <c r="M16074" s="682"/>
    </row>
    <row r="16075" spans="5:13" ht="25.5" hidden="1" x14ac:dyDescent="0.2">
      <c r="F16075" s="503" t="s">
        <v>259</v>
      </c>
      <c r="G16075" s="504" t="s">
        <v>260</v>
      </c>
      <c r="H16075" s="397"/>
      <c r="I16075" s="397"/>
      <c r="J16075" s="750" t="e">
        <f t="shared" si="187"/>
        <v>#DIV/0!</v>
      </c>
      <c r="K16075" s="398"/>
      <c r="L16075" s="404"/>
      <c r="M16075" s="682"/>
    </row>
    <row r="16076" spans="5:13" ht="25.5" hidden="1" x14ac:dyDescent="0.2">
      <c r="F16076" s="503" t="s">
        <v>261</v>
      </c>
      <c r="G16076" s="504" t="s">
        <v>262</v>
      </c>
      <c r="H16076" s="397"/>
      <c r="I16076" s="397"/>
      <c r="J16076" s="750" t="e">
        <f t="shared" si="187"/>
        <v>#DIV/0!</v>
      </c>
      <c r="K16076" s="398"/>
      <c r="L16076" s="404"/>
      <c r="M16076" s="682"/>
    </row>
    <row r="16077" spans="5:13" hidden="1" x14ac:dyDescent="0.2">
      <c r="F16077" s="503" t="s">
        <v>263</v>
      </c>
      <c r="G16077" s="504" t="s">
        <v>264</v>
      </c>
      <c r="H16077" s="403"/>
      <c r="I16077" s="403"/>
      <c r="J16077" s="750" t="e">
        <f t="shared" si="187"/>
        <v>#DIV/0!</v>
      </c>
      <c r="K16077" s="404"/>
      <c r="L16077" s="404"/>
      <c r="M16077" s="682"/>
    </row>
    <row r="16078" spans="5:13" ht="13.5" hidden="1" thickBot="1" x14ac:dyDescent="0.25">
      <c r="G16078" s="505" t="s">
        <v>4403</v>
      </c>
      <c r="H16078" s="405">
        <f>SUM(H16062:H16077)</f>
        <v>0</v>
      </c>
      <c r="I16078" s="405"/>
      <c r="J16078" s="750" t="e">
        <f t="shared" ref="J16078:J16141" si="188">SUM(I16078/H16078)*100</f>
        <v>#DIV/0!</v>
      </c>
      <c r="K16078" s="406">
        <f>SUM(K16063:K16077)</f>
        <v>0</v>
      </c>
      <c r="L16078" s="406"/>
      <c r="M16078" s="682"/>
    </row>
    <row r="16079" spans="5:13" hidden="1" x14ac:dyDescent="0.2">
      <c r="E16079" s="500"/>
      <c r="F16079" s="498"/>
      <c r="G16079" s="506" t="s">
        <v>5191</v>
      </c>
      <c r="H16079" s="407"/>
      <c r="I16079" s="408"/>
      <c r="J16079" s="750" t="e">
        <f t="shared" si="188"/>
        <v>#DIV/0!</v>
      </c>
      <c r="K16079" s="409"/>
      <c r="L16079" s="410"/>
      <c r="M16079" s="682"/>
    </row>
    <row r="16080" spans="5:13" hidden="1" x14ac:dyDescent="0.2">
      <c r="E16080" s="502"/>
      <c r="F16080" s="503" t="s">
        <v>234</v>
      </c>
      <c r="G16080" s="504" t="s">
        <v>235</v>
      </c>
      <c r="H16080" s="403">
        <f>SUM(H16001:H16060)</f>
        <v>0</v>
      </c>
      <c r="I16080" s="403"/>
      <c r="J16080" s="750" t="e">
        <f t="shared" si="188"/>
        <v>#DIV/0!</v>
      </c>
      <c r="K16080" s="404"/>
      <c r="L16080" s="404"/>
      <c r="M16080" s="682"/>
    </row>
    <row r="16081" spans="6:13" hidden="1" x14ac:dyDescent="0.2">
      <c r="F16081" s="503" t="s">
        <v>236</v>
      </c>
      <c r="G16081" s="504" t="s">
        <v>237</v>
      </c>
      <c r="H16081" s="397"/>
      <c r="I16081" s="397"/>
      <c r="J16081" s="750" t="e">
        <f t="shared" si="188"/>
        <v>#DIV/0!</v>
      </c>
      <c r="K16081" s="398"/>
      <c r="L16081" s="404"/>
      <c r="M16081" s="682"/>
    </row>
    <row r="16082" spans="6:13" hidden="1" x14ac:dyDescent="0.2">
      <c r="F16082" s="503" t="s">
        <v>238</v>
      </c>
      <c r="G16082" s="504" t="s">
        <v>239</v>
      </c>
      <c r="H16082" s="397"/>
      <c r="I16082" s="397"/>
      <c r="J16082" s="750" t="e">
        <f t="shared" si="188"/>
        <v>#DIV/0!</v>
      </c>
      <c r="K16082" s="398"/>
      <c r="L16082" s="404"/>
      <c r="M16082" s="682"/>
    </row>
    <row r="16083" spans="6:13" hidden="1" x14ac:dyDescent="0.2">
      <c r="F16083" s="503" t="s">
        <v>240</v>
      </c>
      <c r="G16083" s="504" t="s">
        <v>241</v>
      </c>
      <c r="H16083" s="397"/>
      <c r="I16083" s="397"/>
      <c r="J16083" s="750" t="e">
        <f t="shared" si="188"/>
        <v>#DIV/0!</v>
      </c>
      <c r="K16083" s="398"/>
      <c r="L16083" s="404"/>
      <c r="M16083" s="682"/>
    </row>
    <row r="16084" spans="6:13" hidden="1" x14ac:dyDescent="0.2">
      <c r="F16084" s="503" t="s">
        <v>242</v>
      </c>
      <c r="G16084" s="504" t="s">
        <v>243</v>
      </c>
      <c r="H16084" s="397"/>
      <c r="I16084" s="397"/>
      <c r="J16084" s="750" t="e">
        <f t="shared" si="188"/>
        <v>#DIV/0!</v>
      </c>
      <c r="K16084" s="398"/>
      <c r="L16084" s="404"/>
      <c r="M16084" s="682"/>
    </row>
    <row r="16085" spans="6:13" hidden="1" x14ac:dyDescent="0.2">
      <c r="F16085" s="503" t="s">
        <v>244</v>
      </c>
      <c r="G16085" s="504" t="s">
        <v>245</v>
      </c>
      <c r="H16085" s="397"/>
      <c r="I16085" s="397"/>
      <c r="J16085" s="750" t="e">
        <f t="shared" si="188"/>
        <v>#DIV/0!</v>
      </c>
      <c r="K16085" s="398"/>
      <c r="L16085" s="404"/>
      <c r="M16085" s="682"/>
    </row>
    <row r="16086" spans="6:13" hidden="1" x14ac:dyDescent="0.2">
      <c r="F16086" s="503" t="s">
        <v>246</v>
      </c>
      <c r="G16086" s="504" t="s">
        <v>247</v>
      </c>
      <c r="H16086" s="397"/>
      <c r="I16086" s="397"/>
      <c r="J16086" s="750" t="e">
        <f t="shared" si="188"/>
        <v>#DIV/0!</v>
      </c>
      <c r="K16086" s="398"/>
      <c r="L16086" s="404"/>
      <c r="M16086" s="682"/>
    </row>
    <row r="16087" spans="6:13" ht="25.5" hidden="1" x14ac:dyDescent="0.2">
      <c r="F16087" s="503" t="s">
        <v>248</v>
      </c>
      <c r="G16087" s="504" t="s">
        <v>249</v>
      </c>
      <c r="H16087" s="397"/>
      <c r="I16087" s="397"/>
      <c r="J16087" s="750" t="e">
        <f t="shared" si="188"/>
        <v>#DIV/0!</v>
      </c>
      <c r="K16087" s="398"/>
      <c r="L16087" s="404"/>
      <c r="M16087" s="682"/>
    </row>
    <row r="16088" spans="6:13" hidden="1" x14ac:dyDescent="0.2">
      <c r="F16088" s="503" t="s">
        <v>250</v>
      </c>
      <c r="G16088" s="504" t="s">
        <v>57</v>
      </c>
      <c r="H16088" s="397"/>
      <c r="I16088" s="397"/>
      <c r="J16088" s="750" t="e">
        <f t="shared" si="188"/>
        <v>#DIV/0!</v>
      </c>
      <c r="K16088" s="398"/>
      <c r="L16088" s="404"/>
      <c r="M16088" s="682"/>
    </row>
    <row r="16089" spans="6:13" hidden="1" x14ac:dyDescent="0.2">
      <c r="F16089" s="503" t="s">
        <v>251</v>
      </c>
      <c r="G16089" s="504" t="s">
        <v>252</v>
      </c>
      <c r="H16089" s="397"/>
      <c r="I16089" s="397"/>
      <c r="J16089" s="750" t="e">
        <f t="shared" si="188"/>
        <v>#DIV/0!</v>
      </c>
      <c r="K16089" s="398"/>
      <c r="L16089" s="404"/>
      <c r="M16089" s="682"/>
    </row>
    <row r="16090" spans="6:13" hidden="1" x14ac:dyDescent="0.2">
      <c r="F16090" s="503" t="s">
        <v>253</v>
      </c>
      <c r="G16090" s="504" t="s">
        <v>254</v>
      </c>
      <c r="H16090" s="397"/>
      <c r="I16090" s="397"/>
      <c r="J16090" s="750" t="e">
        <f t="shared" si="188"/>
        <v>#DIV/0!</v>
      </c>
      <c r="K16090" s="398"/>
      <c r="L16090" s="404"/>
      <c r="M16090" s="682"/>
    </row>
    <row r="16091" spans="6:13" ht="25.5" hidden="1" x14ac:dyDescent="0.2">
      <c r="F16091" s="503" t="s">
        <v>255</v>
      </c>
      <c r="G16091" s="504" t="s">
        <v>256</v>
      </c>
      <c r="H16091" s="397"/>
      <c r="I16091" s="397"/>
      <c r="J16091" s="750" t="e">
        <f t="shared" si="188"/>
        <v>#DIV/0!</v>
      </c>
      <c r="K16091" s="398"/>
      <c r="L16091" s="404"/>
      <c r="M16091" s="682"/>
    </row>
    <row r="16092" spans="6:13" ht="25.5" hidden="1" x14ac:dyDescent="0.2">
      <c r="F16092" s="503" t="s">
        <v>257</v>
      </c>
      <c r="G16092" s="504" t="s">
        <v>258</v>
      </c>
      <c r="H16092" s="397"/>
      <c r="I16092" s="397"/>
      <c r="J16092" s="750" t="e">
        <f t="shared" si="188"/>
        <v>#DIV/0!</v>
      </c>
      <c r="K16092" s="398"/>
      <c r="L16092" s="404"/>
      <c r="M16092" s="682"/>
    </row>
    <row r="16093" spans="6:13" ht="25.5" hidden="1" x14ac:dyDescent="0.2">
      <c r="F16093" s="503" t="s">
        <v>259</v>
      </c>
      <c r="G16093" s="504" t="s">
        <v>260</v>
      </c>
      <c r="H16093" s="397"/>
      <c r="I16093" s="397"/>
      <c r="J16093" s="750" t="e">
        <f t="shared" si="188"/>
        <v>#DIV/0!</v>
      </c>
      <c r="K16093" s="398"/>
      <c r="L16093" s="404"/>
      <c r="M16093" s="682"/>
    </row>
    <row r="16094" spans="6:13" ht="25.5" hidden="1" x14ac:dyDescent="0.2">
      <c r="F16094" s="503" t="s">
        <v>261</v>
      </c>
      <c r="G16094" s="504" t="s">
        <v>262</v>
      </c>
      <c r="H16094" s="397"/>
      <c r="I16094" s="397"/>
      <c r="J16094" s="750" t="e">
        <f t="shared" si="188"/>
        <v>#DIV/0!</v>
      </c>
      <c r="K16094" s="398"/>
      <c r="L16094" s="404"/>
      <c r="M16094" s="682"/>
    </row>
    <row r="16095" spans="6:13" hidden="1" x14ac:dyDescent="0.2">
      <c r="F16095" s="503" t="s">
        <v>263</v>
      </c>
      <c r="G16095" s="504" t="s">
        <v>264</v>
      </c>
      <c r="H16095" s="403"/>
      <c r="I16095" s="403"/>
      <c r="J16095" s="750" t="e">
        <f t="shared" si="188"/>
        <v>#DIV/0!</v>
      </c>
      <c r="K16095" s="404"/>
      <c r="L16095" s="404"/>
      <c r="M16095" s="682"/>
    </row>
    <row r="16096" spans="6:13" ht="13.5" hidden="1" thickBot="1" x14ac:dyDescent="0.25">
      <c r="G16096" s="505" t="s">
        <v>5192</v>
      </c>
      <c r="H16096" s="405">
        <f>SUM(H16080:H16095)</f>
        <v>0</v>
      </c>
      <c r="I16096" s="405"/>
      <c r="J16096" s="750" t="e">
        <f t="shared" si="188"/>
        <v>#DIV/0!</v>
      </c>
      <c r="K16096" s="406">
        <f>SUM(K16081:K16095)</f>
        <v>0</v>
      </c>
      <c r="L16096" s="406"/>
      <c r="M16096" s="682"/>
    </row>
    <row r="16097" spans="3:13" ht="1.5" customHeight="1" x14ac:dyDescent="0.2">
      <c r="G16097" s="510"/>
      <c r="H16097" s="411"/>
      <c r="I16097" s="411"/>
      <c r="J16097" s="750"/>
      <c r="K16097" s="412"/>
      <c r="L16097" s="412"/>
      <c r="M16097" s="682"/>
    </row>
    <row r="16098" spans="3:13" x14ac:dyDescent="0.2">
      <c r="C16098" s="489" t="s">
        <v>4510</v>
      </c>
      <c r="D16098" s="490"/>
      <c r="G16098" s="508" t="s">
        <v>5194</v>
      </c>
      <c r="H16098" s="397"/>
      <c r="I16098" s="397"/>
      <c r="J16098" s="750"/>
      <c r="K16098" s="398"/>
      <c r="L16098" s="398"/>
      <c r="M16098" s="682"/>
    </row>
    <row r="16099" spans="3:13" x14ac:dyDescent="0.2">
      <c r="C16099" s="489"/>
      <c r="D16099" s="492">
        <v>630</v>
      </c>
      <c r="E16099" s="492"/>
      <c r="F16099" s="492"/>
      <c r="G16099" s="493" t="s">
        <v>183</v>
      </c>
      <c r="H16099" s="397"/>
      <c r="I16099" s="397"/>
      <c r="J16099" s="750"/>
      <c r="K16099" s="398"/>
      <c r="L16099" s="398"/>
      <c r="M16099" s="682"/>
    </row>
    <row r="16100" spans="3:13" hidden="1" x14ac:dyDescent="0.2">
      <c r="F16100" s="494">
        <v>411</v>
      </c>
      <c r="G16100" s="495" t="s">
        <v>4167</v>
      </c>
      <c r="H16100" s="397"/>
      <c r="I16100" s="397"/>
      <c r="J16100" s="750" t="e">
        <f t="shared" si="188"/>
        <v>#DIV/0!</v>
      </c>
      <c r="K16100" s="398"/>
      <c r="L16100" s="398"/>
      <c r="M16100" s="682"/>
    </row>
    <row r="16101" spans="3:13" hidden="1" x14ac:dyDescent="0.2">
      <c r="F16101" s="494">
        <v>412</v>
      </c>
      <c r="G16101" s="496" t="s">
        <v>3764</v>
      </c>
      <c r="H16101" s="397"/>
      <c r="I16101" s="397"/>
      <c r="J16101" s="750" t="e">
        <f t="shared" si="188"/>
        <v>#DIV/0!</v>
      </c>
      <c r="K16101" s="398"/>
      <c r="L16101" s="398"/>
      <c r="M16101" s="682"/>
    </row>
    <row r="16102" spans="3:13" hidden="1" x14ac:dyDescent="0.2">
      <c r="F16102" s="494">
        <v>413</v>
      </c>
      <c r="G16102" s="495" t="s">
        <v>4168</v>
      </c>
      <c r="H16102" s="397"/>
      <c r="I16102" s="397"/>
      <c r="J16102" s="750" t="e">
        <f t="shared" si="188"/>
        <v>#DIV/0!</v>
      </c>
      <c r="K16102" s="398"/>
      <c r="L16102" s="398"/>
      <c r="M16102" s="682"/>
    </row>
    <row r="16103" spans="3:13" hidden="1" x14ac:dyDescent="0.2">
      <c r="F16103" s="494">
        <v>414</v>
      </c>
      <c r="G16103" s="495" t="s">
        <v>3767</v>
      </c>
      <c r="H16103" s="397"/>
      <c r="I16103" s="397"/>
      <c r="J16103" s="750" t="e">
        <f t="shared" si="188"/>
        <v>#DIV/0!</v>
      </c>
      <c r="K16103" s="398"/>
      <c r="L16103" s="398"/>
      <c r="M16103" s="682"/>
    </row>
    <row r="16104" spans="3:13" hidden="1" x14ac:dyDescent="0.2">
      <c r="F16104" s="494">
        <v>415</v>
      </c>
      <c r="G16104" s="495" t="s">
        <v>4177</v>
      </c>
      <c r="H16104" s="397"/>
      <c r="I16104" s="397"/>
      <c r="J16104" s="750" t="e">
        <f t="shared" si="188"/>
        <v>#DIV/0!</v>
      </c>
      <c r="K16104" s="398"/>
      <c r="L16104" s="398"/>
      <c r="M16104" s="682"/>
    </row>
    <row r="16105" spans="3:13" ht="25.5" hidden="1" x14ac:dyDescent="0.2">
      <c r="F16105" s="494">
        <v>416</v>
      </c>
      <c r="G16105" s="495" t="s">
        <v>4178</v>
      </c>
      <c r="H16105" s="397"/>
      <c r="I16105" s="397"/>
      <c r="J16105" s="750" t="e">
        <f t="shared" si="188"/>
        <v>#DIV/0!</v>
      </c>
      <c r="K16105" s="398"/>
      <c r="L16105" s="398"/>
      <c r="M16105" s="682"/>
    </row>
    <row r="16106" spans="3:13" hidden="1" x14ac:dyDescent="0.2">
      <c r="F16106" s="494">
        <v>417</v>
      </c>
      <c r="G16106" s="495" t="s">
        <v>4179</v>
      </c>
      <c r="H16106" s="397"/>
      <c r="I16106" s="397"/>
      <c r="J16106" s="750" t="e">
        <f t="shared" si="188"/>
        <v>#DIV/0!</v>
      </c>
      <c r="K16106" s="398"/>
      <c r="L16106" s="398"/>
      <c r="M16106" s="682"/>
    </row>
    <row r="16107" spans="3:13" hidden="1" x14ac:dyDescent="0.2">
      <c r="F16107" s="494">
        <v>418</v>
      </c>
      <c r="G16107" s="495" t="s">
        <v>3773</v>
      </c>
      <c r="H16107" s="397"/>
      <c r="I16107" s="397"/>
      <c r="J16107" s="750" t="e">
        <f t="shared" si="188"/>
        <v>#DIV/0!</v>
      </c>
      <c r="K16107" s="398"/>
      <c r="L16107" s="398"/>
      <c r="M16107" s="682"/>
    </row>
    <row r="16108" spans="3:13" hidden="1" x14ac:dyDescent="0.2">
      <c r="F16108" s="494">
        <v>421</v>
      </c>
      <c r="G16108" s="495" t="s">
        <v>3777</v>
      </c>
      <c r="H16108" s="397"/>
      <c r="I16108" s="397"/>
      <c r="J16108" s="750" t="e">
        <f t="shared" si="188"/>
        <v>#DIV/0!</v>
      </c>
      <c r="K16108" s="398"/>
      <c r="L16108" s="398"/>
      <c r="M16108" s="682"/>
    </row>
    <row r="16109" spans="3:13" hidden="1" x14ac:dyDescent="0.2">
      <c r="F16109" s="494">
        <v>422</v>
      </c>
      <c r="G16109" s="495" t="s">
        <v>3778</v>
      </c>
      <c r="H16109" s="397"/>
      <c r="I16109" s="397"/>
      <c r="J16109" s="750" t="e">
        <f t="shared" si="188"/>
        <v>#DIV/0!</v>
      </c>
      <c r="K16109" s="398"/>
      <c r="L16109" s="398"/>
      <c r="M16109" s="682"/>
    </row>
    <row r="16110" spans="3:13" hidden="1" x14ac:dyDescent="0.2">
      <c r="F16110" s="494">
        <v>423</v>
      </c>
      <c r="G16110" s="495" t="s">
        <v>3779</v>
      </c>
      <c r="H16110" s="397"/>
      <c r="I16110" s="397"/>
      <c r="J16110" s="750" t="e">
        <f t="shared" si="188"/>
        <v>#DIV/0!</v>
      </c>
      <c r="K16110" s="398"/>
      <c r="L16110" s="398"/>
      <c r="M16110" s="682"/>
    </row>
    <row r="16111" spans="3:13" hidden="1" x14ac:dyDescent="0.2">
      <c r="F16111" s="494">
        <v>424</v>
      </c>
      <c r="G16111" s="495" t="s">
        <v>3781</v>
      </c>
      <c r="H16111" s="397"/>
      <c r="I16111" s="397"/>
      <c r="J16111" s="750" t="e">
        <f t="shared" si="188"/>
        <v>#DIV/0!</v>
      </c>
      <c r="K16111" s="398"/>
      <c r="L16111" s="398"/>
      <c r="M16111" s="682"/>
    </row>
    <row r="16112" spans="3:13" hidden="1" x14ac:dyDescent="0.2">
      <c r="F16112" s="494">
        <v>425</v>
      </c>
      <c r="G16112" s="495" t="s">
        <v>4180</v>
      </c>
      <c r="H16112" s="397"/>
      <c r="I16112" s="397"/>
      <c r="J16112" s="750" t="e">
        <f t="shared" si="188"/>
        <v>#DIV/0!</v>
      </c>
      <c r="K16112" s="398"/>
      <c r="L16112" s="398"/>
      <c r="M16112" s="682"/>
    </row>
    <row r="16113" spans="6:13" hidden="1" x14ac:dyDescent="0.2">
      <c r="F16113" s="494">
        <v>426</v>
      </c>
      <c r="G16113" s="495" t="s">
        <v>3785</v>
      </c>
      <c r="H16113" s="397"/>
      <c r="I16113" s="397"/>
      <c r="J16113" s="750" t="e">
        <f t="shared" si="188"/>
        <v>#DIV/0!</v>
      </c>
      <c r="K16113" s="398"/>
      <c r="L16113" s="398"/>
      <c r="M16113" s="682"/>
    </row>
    <row r="16114" spans="6:13" hidden="1" x14ac:dyDescent="0.2">
      <c r="F16114" s="494">
        <v>431</v>
      </c>
      <c r="G16114" s="495" t="s">
        <v>4181</v>
      </c>
      <c r="H16114" s="397"/>
      <c r="I16114" s="397"/>
      <c r="J16114" s="750" t="e">
        <f t="shared" si="188"/>
        <v>#DIV/0!</v>
      </c>
      <c r="K16114" s="398"/>
      <c r="L16114" s="398"/>
      <c r="M16114" s="682"/>
    </row>
    <row r="16115" spans="6:13" hidden="1" x14ac:dyDescent="0.2">
      <c r="F16115" s="494">
        <v>432</v>
      </c>
      <c r="G16115" s="495" t="s">
        <v>4182</v>
      </c>
      <c r="H16115" s="397"/>
      <c r="I16115" s="397"/>
      <c r="J16115" s="750" t="e">
        <f t="shared" si="188"/>
        <v>#DIV/0!</v>
      </c>
      <c r="K16115" s="398"/>
      <c r="L16115" s="398"/>
      <c r="M16115" s="682"/>
    </row>
    <row r="16116" spans="6:13" hidden="1" x14ac:dyDescent="0.2">
      <c r="F16116" s="494">
        <v>433</v>
      </c>
      <c r="G16116" s="495" t="s">
        <v>4183</v>
      </c>
      <c r="H16116" s="397"/>
      <c r="I16116" s="397"/>
      <c r="J16116" s="750" t="e">
        <f t="shared" si="188"/>
        <v>#DIV/0!</v>
      </c>
      <c r="K16116" s="398"/>
      <c r="L16116" s="398"/>
      <c r="M16116" s="682"/>
    </row>
    <row r="16117" spans="6:13" hidden="1" x14ac:dyDescent="0.2">
      <c r="F16117" s="494">
        <v>434</v>
      </c>
      <c r="G16117" s="495" t="s">
        <v>4184</v>
      </c>
      <c r="H16117" s="397"/>
      <c r="I16117" s="397"/>
      <c r="J16117" s="750" t="e">
        <f t="shared" si="188"/>
        <v>#DIV/0!</v>
      </c>
      <c r="K16117" s="398"/>
      <c r="L16117" s="398"/>
      <c r="M16117" s="682"/>
    </row>
    <row r="16118" spans="6:13" hidden="1" x14ac:dyDescent="0.2">
      <c r="F16118" s="494">
        <v>435</v>
      </c>
      <c r="G16118" s="495" t="s">
        <v>3792</v>
      </c>
      <c r="H16118" s="397"/>
      <c r="I16118" s="397"/>
      <c r="J16118" s="750" t="e">
        <f t="shared" si="188"/>
        <v>#DIV/0!</v>
      </c>
      <c r="K16118" s="398"/>
      <c r="L16118" s="398"/>
      <c r="M16118" s="682"/>
    </row>
    <row r="16119" spans="6:13" hidden="1" x14ac:dyDescent="0.2">
      <c r="F16119" s="494">
        <v>441</v>
      </c>
      <c r="G16119" s="495" t="s">
        <v>4185</v>
      </c>
      <c r="H16119" s="397"/>
      <c r="I16119" s="397"/>
      <c r="J16119" s="750" t="e">
        <f t="shared" si="188"/>
        <v>#DIV/0!</v>
      </c>
      <c r="K16119" s="398"/>
      <c r="L16119" s="398"/>
      <c r="M16119" s="682"/>
    </row>
    <row r="16120" spans="6:13" hidden="1" x14ac:dyDescent="0.2">
      <c r="F16120" s="494">
        <v>442</v>
      </c>
      <c r="G16120" s="495" t="s">
        <v>4186</v>
      </c>
      <c r="H16120" s="397"/>
      <c r="I16120" s="397"/>
      <c r="J16120" s="750" t="e">
        <f t="shared" si="188"/>
        <v>#DIV/0!</v>
      </c>
      <c r="K16120" s="398"/>
      <c r="L16120" s="398"/>
      <c r="M16120" s="682"/>
    </row>
    <row r="16121" spans="6:13" hidden="1" x14ac:dyDescent="0.2">
      <c r="F16121" s="494">
        <v>443</v>
      </c>
      <c r="G16121" s="495" t="s">
        <v>3797</v>
      </c>
      <c r="H16121" s="397"/>
      <c r="I16121" s="397"/>
      <c r="J16121" s="750" t="e">
        <f t="shared" si="188"/>
        <v>#DIV/0!</v>
      </c>
      <c r="K16121" s="398"/>
      <c r="L16121" s="398"/>
      <c r="M16121" s="682"/>
    </row>
    <row r="16122" spans="6:13" hidden="1" x14ac:dyDescent="0.2">
      <c r="F16122" s="494">
        <v>444</v>
      </c>
      <c r="G16122" s="495" t="s">
        <v>3798</v>
      </c>
      <c r="H16122" s="397"/>
      <c r="I16122" s="397"/>
      <c r="J16122" s="750" t="e">
        <f t="shared" si="188"/>
        <v>#DIV/0!</v>
      </c>
      <c r="K16122" s="398"/>
      <c r="L16122" s="398"/>
      <c r="M16122" s="682"/>
    </row>
    <row r="16123" spans="6:13" ht="25.5" hidden="1" x14ac:dyDescent="0.2">
      <c r="F16123" s="494">
        <v>4511</v>
      </c>
      <c r="G16123" s="466" t="s">
        <v>1692</v>
      </c>
      <c r="H16123" s="397"/>
      <c r="I16123" s="397"/>
      <c r="J16123" s="750" t="e">
        <f t="shared" si="188"/>
        <v>#DIV/0!</v>
      </c>
      <c r="K16123" s="398"/>
      <c r="L16123" s="398"/>
      <c r="M16123" s="682"/>
    </row>
    <row r="16124" spans="6:13" ht="25.5" hidden="1" x14ac:dyDescent="0.2">
      <c r="F16124" s="494">
        <v>4512</v>
      </c>
      <c r="G16124" s="466" t="s">
        <v>1701</v>
      </c>
      <c r="H16124" s="397"/>
      <c r="I16124" s="397"/>
      <c r="J16124" s="750" t="e">
        <f t="shared" si="188"/>
        <v>#DIV/0!</v>
      </c>
      <c r="K16124" s="398"/>
      <c r="L16124" s="398"/>
      <c r="M16124" s="682"/>
    </row>
    <row r="16125" spans="6:13" ht="25.5" hidden="1" x14ac:dyDescent="0.2">
      <c r="F16125" s="494">
        <v>452</v>
      </c>
      <c r="G16125" s="495" t="s">
        <v>4187</v>
      </c>
      <c r="H16125" s="397"/>
      <c r="I16125" s="397"/>
      <c r="J16125" s="750" t="e">
        <f t="shared" si="188"/>
        <v>#DIV/0!</v>
      </c>
      <c r="K16125" s="398"/>
      <c r="L16125" s="398"/>
      <c r="M16125" s="682"/>
    </row>
    <row r="16126" spans="6:13" ht="25.5" hidden="1" x14ac:dyDescent="0.2">
      <c r="F16126" s="494">
        <v>453</v>
      </c>
      <c r="G16126" s="495" t="s">
        <v>4188</v>
      </c>
      <c r="H16126" s="397"/>
      <c r="I16126" s="397"/>
      <c r="J16126" s="750" t="e">
        <f t="shared" si="188"/>
        <v>#DIV/0!</v>
      </c>
      <c r="K16126" s="398"/>
      <c r="L16126" s="398"/>
      <c r="M16126" s="682"/>
    </row>
    <row r="16127" spans="6:13" hidden="1" x14ac:dyDescent="0.2">
      <c r="F16127" s="494">
        <v>454</v>
      </c>
      <c r="G16127" s="495" t="s">
        <v>3803</v>
      </c>
      <c r="H16127" s="397"/>
      <c r="I16127" s="397"/>
      <c r="J16127" s="750" t="e">
        <f t="shared" si="188"/>
        <v>#DIV/0!</v>
      </c>
      <c r="K16127" s="398"/>
      <c r="L16127" s="398"/>
      <c r="M16127" s="682"/>
    </row>
    <row r="16128" spans="6:13" hidden="1" x14ac:dyDescent="0.2">
      <c r="F16128" s="494">
        <v>461</v>
      </c>
      <c r="G16128" s="495" t="s">
        <v>4169</v>
      </c>
      <c r="H16128" s="397"/>
      <c r="I16128" s="397"/>
      <c r="J16128" s="750" t="e">
        <f t="shared" si="188"/>
        <v>#DIV/0!</v>
      </c>
      <c r="K16128" s="398"/>
      <c r="L16128" s="398"/>
      <c r="M16128" s="682"/>
    </row>
    <row r="16129" spans="6:13" ht="25.5" hidden="1" x14ac:dyDescent="0.2">
      <c r="F16129" s="494">
        <v>462</v>
      </c>
      <c r="G16129" s="495" t="s">
        <v>3806</v>
      </c>
      <c r="H16129" s="397"/>
      <c r="I16129" s="397"/>
      <c r="J16129" s="750" t="e">
        <f t="shared" si="188"/>
        <v>#DIV/0!</v>
      </c>
      <c r="K16129" s="398"/>
      <c r="L16129" s="398"/>
      <c r="M16129" s="682"/>
    </row>
    <row r="16130" spans="6:13" hidden="1" x14ac:dyDescent="0.2">
      <c r="F16130" s="494">
        <v>4631</v>
      </c>
      <c r="G16130" s="495" t="s">
        <v>3807</v>
      </c>
      <c r="H16130" s="397"/>
      <c r="I16130" s="397"/>
      <c r="J16130" s="750" t="e">
        <f t="shared" si="188"/>
        <v>#DIV/0!</v>
      </c>
      <c r="K16130" s="398"/>
      <c r="L16130" s="398"/>
      <c r="M16130" s="682"/>
    </row>
    <row r="16131" spans="6:13" hidden="1" x14ac:dyDescent="0.2">
      <c r="F16131" s="494">
        <v>4632</v>
      </c>
      <c r="G16131" s="495" t="s">
        <v>3808</v>
      </c>
      <c r="H16131" s="397"/>
      <c r="I16131" s="397"/>
      <c r="J16131" s="750" t="e">
        <f t="shared" si="188"/>
        <v>#DIV/0!</v>
      </c>
      <c r="K16131" s="398"/>
      <c r="L16131" s="398"/>
      <c r="M16131" s="682"/>
    </row>
    <row r="16132" spans="6:13" ht="25.5" hidden="1" x14ac:dyDescent="0.2">
      <c r="F16132" s="494">
        <v>464</v>
      </c>
      <c r="G16132" s="495" t="s">
        <v>3809</v>
      </c>
      <c r="H16132" s="397"/>
      <c r="I16132" s="397"/>
      <c r="J16132" s="750" t="e">
        <f t="shared" si="188"/>
        <v>#DIV/0!</v>
      </c>
      <c r="K16132" s="398"/>
      <c r="L16132" s="398"/>
      <c r="M16132" s="682"/>
    </row>
    <row r="16133" spans="6:13" hidden="1" x14ac:dyDescent="0.2">
      <c r="F16133" s="494">
        <v>465</v>
      </c>
      <c r="G16133" s="495" t="s">
        <v>4170</v>
      </c>
      <c r="H16133" s="397"/>
      <c r="I16133" s="397"/>
      <c r="J16133" s="750" t="e">
        <f t="shared" si="188"/>
        <v>#DIV/0!</v>
      </c>
      <c r="K16133" s="398"/>
      <c r="L16133" s="398"/>
      <c r="M16133" s="682"/>
    </row>
    <row r="16134" spans="6:13" hidden="1" x14ac:dyDescent="0.2">
      <c r="F16134" s="494">
        <v>472</v>
      </c>
      <c r="G16134" s="495" t="s">
        <v>3813</v>
      </c>
      <c r="H16134" s="397"/>
      <c r="I16134" s="397"/>
      <c r="J16134" s="750" t="e">
        <f t="shared" si="188"/>
        <v>#DIV/0!</v>
      </c>
      <c r="K16134" s="398"/>
      <c r="L16134" s="398"/>
      <c r="M16134" s="682"/>
    </row>
    <row r="16135" spans="6:13" hidden="1" x14ac:dyDescent="0.2">
      <c r="F16135" s="494">
        <v>481</v>
      </c>
      <c r="G16135" s="495" t="s">
        <v>4189</v>
      </c>
      <c r="H16135" s="397"/>
      <c r="I16135" s="397"/>
      <c r="J16135" s="750" t="e">
        <f t="shared" si="188"/>
        <v>#DIV/0!</v>
      </c>
      <c r="K16135" s="398"/>
      <c r="L16135" s="398"/>
      <c r="M16135" s="682"/>
    </row>
    <row r="16136" spans="6:13" hidden="1" x14ac:dyDescent="0.2">
      <c r="F16136" s="494">
        <v>482</v>
      </c>
      <c r="G16136" s="495" t="s">
        <v>4190</v>
      </c>
      <c r="H16136" s="397"/>
      <c r="I16136" s="397"/>
      <c r="J16136" s="750" t="e">
        <f t="shared" si="188"/>
        <v>#DIV/0!</v>
      </c>
      <c r="K16136" s="398"/>
      <c r="L16136" s="398"/>
      <c r="M16136" s="682"/>
    </row>
    <row r="16137" spans="6:13" hidden="1" x14ac:dyDescent="0.2">
      <c r="F16137" s="494">
        <v>483</v>
      </c>
      <c r="G16137" s="497" t="s">
        <v>4191</v>
      </c>
      <c r="H16137" s="397"/>
      <c r="I16137" s="397"/>
      <c r="J16137" s="750" t="e">
        <f t="shared" si="188"/>
        <v>#DIV/0!</v>
      </c>
      <c r="K16137" s="398"/>
      <c r="L16137" s="398"/>
      <c r="M16137" s="682"/>
    </row>
    <row r="16138" spans="6:13" ht="38.25" hidden="1" x14ac:dyDescent="0.2">
      <c r="F16138" s="494">
        <v>484</v>
      </c>
      <c r="G16138" s="495" t="s">
        <v>4192</v>
      </c>
      <c r="H16138" s="397"/>
      <c r="I16138" s="397"/>
      <c r="J16138" s="750" t="e">
        <f t="shared" si="188"/>
        <v>#DIV/0!</v>
      </c>
      <c r="K16138" s="398"/>
      <c r="L16138" s="398"/>
      <c r="M16138" s="682"/>
    </row>
    <row r="16139" spans="6:13" ht="25.5" hidden="1" x14ac:dyDescent="0.2">
      <c r="F16139" s="494">
        <v>485</v>
      </c>
      <c r="G16139" s="495" t="s">
        <v>4193</v>
      </c>
      <c r="H16139" s="397"/>
      <c r="I16139" s="397"/>
      <c r="J16139" s="750" t="e">
        <f t="shared" si="188"/>
        <v>#DIV/0!</v>
      </c>
      <c r="K16139" s="398"/>
      <c r="L16139" s="398"/>
      <c r="M16139" s="682"/>
    </row>
    <row r="16140" spans="6:13" ht="25.5" hidden="1" x14ac:dyDescent="0.2">
      <c r="F16140" s="494">
        <v>489</v>
      </c>
      <c r="G16140" s="495" t="s">
        <v>3821</v>
      </c>
      <c r="H16140" s="397"/>
      <c r="I16140" s="397"/>
      <c r="J16140" s="750" t="e">
        <f t="shared" si="188"/>
        <v>#DIV/0!</v>
      </c>
      <c r="K16140" s="398"/>
      <c r="L16140" s="398"/>
      <c r="M16140" s="682"/>
    </row>
    <row r="16141" spans="6:13" ht="25.5" hidden="1" x14ac:dyDescent="0.2">
      <c r="F16141" s="494">
        <v>494</v>
      </c>
      <c r="G16141" s="495" t="s">
        <v>4171</v>
      </c>
      <c r="H16141" s="397"/>
      <c r="I16141" s="397"/>
      <c r="J16141" s="750" t="e">
        <f t="shared" si="188"/>
        <v>#DIV/0!</v>
      </c>
      <c r="K16141" s="398"/>
      <c r="L16141" s="398"/>
      <c r="M16141" s="682"/>
    </row>
    <row r="16142" spans="6:13" ht="25.5" hidden="1" x14ac:dyDescent="0.2">
      <c r="F16142" s="494">
        <v>495</v>
      </c>
      <c r="G16142" s="495" t="s">
        <v>4172</v>
      </c>
      <c r="H16142" s="397"/>
      <c r="I16142" s="397"/>
      <c r="J16142" s="750" t="e">
        <f t="shared" ref="J16142:J16205" si="189">SUM(I16142/H16142)*100</f>
        <v>#DIV/0!</v>
      </c>
      <c r="K16142" s="398"/>
      <c r="L16142" s="398"/>
      <c r="M16142" s="682"/>
    </row>
    <row r="16143" spans="6:13" ht="38.25" hidden="1" x14ac:dyDescent="0.2">
      <c r="F16143" s="494">
        <v>496</v>
      </c>
      <c r="G16143" s="495" t="s">
        <v>4173</v>
      </c>
      <c r="H16143" s="397"/>
      <c r="I16143" s="397"/>
      <c r="J16143" s="750" t="e">
        <f t="shared" si="189"/>
        <v>#DIV/0!</v>
      </c>
      <c r="K16143" s="398"/>
      <c r="L16143" s="398"/>
      <c r="M16143" s="682"/>
    </row>
    <row r="16144" spans="6:13" ht="25.5" hidden="1" x14ac:dyDescent="0.2">
      <c r="F16144" s="494">
        <v>499</v>
      </c>
      <c r="G16144" s="495" t="s">
        <v>4174</v>
      </c>
      <c r="H16144" s="397"/>
      <c r="I16144" s="397"/>
      <c r="J16144" s="750" t="e">
        <f t="shared" si="189"/>
        <v>#DIV/0!</v>
      </c>
      <c r="K16144" s="398"/>
      <c r="L16144" s="398"/>
      <c r="M16144" s="682"/>
    </row>
    <row r="16145" spans="5:13" ht="13.5" thickBot="1" x14ac:dyDescent="0.25">
      <c r="E16145" s="464">
        <v>174</v>
      </c>
      <c r="F16145" s="494">
        <v>511</v>
      </c>
      <c r="G16145" s="497" t="s">
        <v>4194</v>
      </c>
      <c r="H16145" s="397">
        <v>1110000</v>
      </c>
      <c r="I16145" s="397">
        <v>420000</v>
      </c>
      <c r="J16145" s="750">
        <f t="shared" si="189"/>
        <v>37.837837837837839</v>
      </c>
      <c r="K16145" s="398"/>
      <c r="L16145" s="398"/>
      <c r="M16145" s="682"/>
    </row>
    <row r="16146" spans="5:13" ht="13.5" hidden="1" thickBot="1" x14ac:dyDescent="0.25">
      <c r="F16146" s="494">
        <v>512</v>
      </c>
      <c r="G16146" s="497" t="s">
        <v>4195</v>
      </c>
      <c r="H16146" s="397"/>
      <c r="I16146" s="397"/>
      <c r="J16146" s="750" t="e">
        <f t="shared" si="189"/>
        <v>#DIV/0!</v>
      </c>
      <c r="K16146" s="398"/>
      <c r="L16146" s="398"/>
      <c r="M16146" s="682"/>
    </row>
    <row r="16147" spans="5:13" ht="13.5" hidden="1" thickBot="1" x14ac:dyDescent="0.25">
      <c r="F16147" s="494">
        <v>513</v>
      </c>
      <c r="G16147" s="497" t="s">
        <v>4196</v>
      </c>
      <c r="H16147" s="397"/>
      <c r="I16147" s="397"/>
      <c r="J16147" s="750" t="e">
        <f t="shared" si="189"/>
        <v>#DIV/0!</v>
      </c>
      <c r="K16147" s="398"/>
      <c r="L16147" s="398"/>
      <c r="M16147" s="682"/>
    </row>
    <row r="16148" spans="5:13" ht="13.5" hidden="1" thickBot="1" x14ac:dyDescent="0.25">
      <c r="F16148" s="494">
        <v>514</v>
      </c>
      <c r="G16148" s="495" t="s">
        <v>4197</v>
      </c>
      <c r="H16148" s="397"/>
      <c r="I16148" s="397"/>
      <c r="J16148" s="750" t="e">
        <f t="shared" si="189"/>
        <v>#DIV/0!</v>
      </c>
      <c r="K16148" s="398"/>
      <c r="L16148" s="398"/>
      <c r="M16148" s="682"/>
    </row>
    <row r="16149" spans="5:13" ht="13.5" hidden="1" thickBot="1" x14ac:dyDescent="0.25">
      <c r="F16149" s="494">
        <v>515</v>
      </c>
      <c r="G16149" s="495" t="s">
        <v>3832</v>
      </c>
      <c r="H16149" s="397"/>
      <c r="I16149" s="397"/>
      <c r="J16149" s="750" t="e">
        <f t="shared" si="189"/>
        <v>#DIV/0!</v>
      </c>
      <c r="K16149" s="398"/>
      <c r="L16149" s="398"/>
      <c r="M16149" s="682"/>
    </row>
    <row r="16150" spans="5:13" ht="13.5" hidden="1" thickBot="1" x14ac:dyDescent="0.25">
      <c r="F16150" s="494">
        <v>521</v>
      </c>
      <c r="G16150" s="495" t="s">
        <v>4198</v>
      </c>
      <c r="H16150" s="397"/>
      <c r="I16150" s="397"/>
      <c r="J16150" s="750" t="e">
        <f t="shared" si="189"/>
        <v>#DIV/0!</v>
      </c>
      <c r="K16150" s="398"/>
      <c r="L16150" s="398"/>
      <c r="M16150" s="682"/>
    </row>
    <row r="16151" spans="5:13" ht="13.5" hidden="1" thickBot="1" x14ac:dyDescent="0.25">
      <c r="F16151" s="494">
        <v>522</v>
      </c>
      <c r="G16151" s="495" t="s">
        <v>4199</v>
      </c>
      <c r="H16151" s="397"/>
      <c r="I16151" s="397"/>
      <c r="J16151" s="750" t="e">
        <f t="shared" si="189"/>
        <v>#DIV/0!</v>
      </c>
      <c r="K16151" s="398"/>
      <c r="L16151" s="398"/>
      <c r="M16151" s="682"/>
    </row>
    <row r="16152" spans="5:13" ht="13.5" hidden="1" thickBot="1" x14ac:dyDescent="0.25">
      <c r="F16152" s="494">
        <v>523</v>
      </c>
      <c r="G16152" s="495" t="s">
        <v>3837</v>
      </c>
      <c r="H16152" s="397"/>
      <c r="I16152" s="397"/>
      <c r="J16152" s="750" t="e">
        <f t="shared" si="189"/>
        <v>#DIV/0!</v>
      </c>
      <c r="K16152" s="398"/>
      <c r="L16152" s="398"/>
      <c r="M16152" s="682"/>
    </row>
    <row r="16153" spans="5:13" ht="13.5" hidden="1" thickBot="1" x14ac:dyDescent="0.25">
      <c r="F16153" s="494">
        <v>531</v>
      </c>
      <c r="G16153" s="496" t="s">
        <v>4175</v>
      </c>
      <c r="H16153" s="397"/>
      <c r="I16153" s="397"/>
      <c r="J16153" s="750" t="e">
        <f t="shared" si="189"/>
        <v>#DIV/0!</v>
      </c>
      <c r="K16153" s="398"/>
      <c r="L16153" s="398"/>
      <c r="M16153" s="682"/>
    </row>
    <row r="16154" spans="5:13" ht="13.5" hidden="1" thickBot="1" x14ac:dyDescent="0.25">
      <c r="F16154" s="494">
        <v>541</v>
      </c>
      <c r="G16154" s="495" t="s">
        <v>4200</v>
      </c>
      <c r="H16154" s="397"/>
      <c r="I16154" s="397"/>
      <c r="J16154" s="750" t="e">
        <f t="shared" si="189"/>
        <v>#DIV/0!</v>
      </c>
      <c r="K16154" s="398"/>
      <c r="L16154" s="398"/>
      <c r="M16154" s="682"/>
    </row>
    <row r="16155" spans="5:13" ht="13.5" hidden="1" thickBot="1" x14ac:dyDescent="0.25">
      <c r="F16155" s="494">
        <v>542</v>
      </c>
      <c r="G16155" s="495" t="s">
        <v>4201</v>
      </c>
      <c r="H16155" s="397"/>
      <c r="I16155" s="397"/>
      <c r="J16155" s="750" t="e">
        <f t="shared" si="189"/>
        <v>#DIV/0!</v>
      </c>
      <c r="K16155" s="398"/>
      <c r="L16155" s="398"/>
      <c r="M16155" s="682"/>
    </row>
    <row r="16156" spans="5:13" ht="13.5" hidden="1" thickBot="1" x14ac:dyDescent="0.25">
      <c r="F16156" s="494">
        <v>543</v>
      </c>
      <c r="G16156" s="495" t="s">
        <v>3842</v>
      </c>
      <c r="H16156" s="397"/>
      <c r="I16156" s="397"/>
      <c r="J16156" s="750" t="e">
        <f t="shared" si="189"/>
        <v>#DIV/0!</v>
      </c>
      <c r="K16156" s="398"/>
      <c r="L16156" s="398"/>
      <c r="M16156" s="682"/>
    </row>
    <row r="16157" spans="5:13" ht="39" hidden="1" thickBot="1" x14ac:dyDescent="0.25">
      <c r="F16157" s="494">
        <v>551</v>
      </c>
      <c r="G16157" s="495" t="s">
        <v>4176</v>
      </c>
      <c r="H16157" s="397"/>
      <c r="I16157" s="397"/>
      <c r="J16157" s="750" t="e">
        <f t="shared" si="189"/>
        <v>#DIV/0!</v>
      </c>
      <c r="K16157" s="398"/>
      <c r="L16157" s="398"/>
      <c r="M16157" s="682"/>
    </row>
    <row r="16158" spans="5:13" ht="13.5" hidden="1" thickBot="1" x14ac:dyDescent="0.25">
      <c r="F16158" s="498">
        <v>611</v>
      </c>
      <c r="G16158" s="499" t="s">
        <v>3848</v>
      </c>
      <c r="H16158" s="397"/>
      <c r="I16158" s="397"/>
      <c r="J16158" s="750" t="e">
        <f t="shared" si="189"/>
        <v>#DIV/0!</v>
      </c>
      <c r="K16158" s="398"/>
      <c r="L16158" s="398"/>
      <c r="M16158" s="682"/>
    </row>
    <row r="16159" spans="5:13" ht="13.5" hidden="1" thickBot="1" x14ac:dyDescent="0.25">
      <c r="F16159" s="498">
        <v>620</v>
      </c>
      <c r="G16159" s="499" t="s">
        <v>88</v>
      </c>
      <c r="H16159" s="397"/>
      <c r="I16159" s="397"/>
      <c r="J16159" s="750" t="e">
        <f t="shared" si="189"/>
        <v>#DIV/0!</v>
      </c>
      <c r="K16159" s="398"/>
      <c r="L16159" s="398"/>
      <c r="M16159" s="682"/>
    </row>
    <row r="16160" spans="5:13" x14ac:dyDescent="0.2">
      <c r="E16160" s="500"/>
      <c r="F16160" s="498"/>
      <c r="G16160" s="501" t="s">
        <v>5176</v>
      </c>
      <c r="H16160" s="400"/>
      <c r="I16160" s="400"/>
      <c r="J16160" s="750"/>
      <c r="K16160" s="401"/>
      <c r="L16160" s="402"/>
      <c r="M16160" s="682"/>
    </row>
    <row r="16161" spans="5:13" ht="13.5" thickBot="1" x14ac:dyDescent="0.25">
      <c r="E16161" s="502"/>
      <c r="F16161" s="503" t="s">
        <v>234</v>
      </c>
      <c r="G16161" s="504" t="s">
        <v>235</v>
      </c>
      <c r="H16161" s="403">
        <f>SUM(H16100:H16159)</f>
        <v>1110000</v>
      </c>
      <c r="I16161" s="403">
        <f>SUM(I16145)</f>
        <v>420000</v>
      </c>
      <c r="J16161" s="750">
        <f t="shared" si="189"/>
        <v>37.837837837837839</v>
      </c>
      <c r="K16161" s="404"/>
      <c r="L16161" s="404"/>
      <c r="M16161" s="682"/>
    </row>
    <row r="16162" spans="5:13" ht="13.5" hidden="1" thickBot="1" x14ac:dyDescent="0.25">
      <c r="F16162" s="503" t="s">
        <v>236</v>
      </c>
      <c r="G16162" s="504" t="s">
        <v>237</v>
      </c>
      <c r="H16162" s="397"/>
      <c r="I16162" s="397"/>
      <c r="J16162" s="750" t="e">
        <f t="shared" si="189"/>
        <v>#DIV/0!</v>
      </c>
      <c r="K16162" s="398"/>
      <c r="L16162" s="404"/>
      <c r="M16162" s="682"/>
    </row>
    <row r="16163" spans="5:13" ht="13.5" hidden="1" thickBot="1" x14ac:dyDescent="0.25">
      <c r="F16163" s="503" t="s">
        <v>238</v>
      </c>
      <c r="G16163" s="504" t="s">
        <v>239</v>
      </c>
      <c r="H16163" s="397"/>
      <c r="I16163" s="397"/>
      <c r="J16163" s="750" t="e">
        <f t="shared" si="189"/>
        <v>#DIV/0!</v>
      </c>
      <c r="K16163" s="398"/>
      <c r="L16163" s="404"/>
      <c r="M16163" s="682"/>
    </row>
    <row r="16164" spans="5:13" ht="13.5" hidden="1" thickBot="1" x14ac:dyDescent="0.25">
      <c r="F16164" s="503" t="s">
        <v>240</v>
      </c>
      <c r="G16164" s="504" t="s">
        <v>241</v>
      </c>
      <c r="H16164" s="397"/>
      <c r="I16164" s="397"/>
      <c r="J16164" s="750" t="e">
        <f t="shared" si="189"/>
        <v>#DIV/0!</v>
      </c>
      <c r="K16164" s="398"/>
      <c r="L16164" s="404"/>
      <c r="M16164" s="682"/>
    </row>
    <row r="16165" spans="5:13" ht="13.5" hidden="1" thickBot="1" x14ac:dyDescent="0.25">
      <c r="F16165" s="503" t="s">
        <v>242</v>
      </c>
      <c r="G16165" s="504" t="s">
        <v>243</v>
      </c>
      <c r="H16165" s="397"/>
      <c r="I16165" s="397"/>
      <c r="J16165" s="750" t="e">
        <f t="shared" si="189"/>
        <v>#DIV/0!</v>
      </c>
      <c r="K16165" s="398"/>
      <c r="L16165" s="404"/>
      <c r="M16165" s="682"/>
    </row>
    <row r="16166" spans="5:13" ht="13.5" hidden="1" thickBot="1" x14ac:dyDescent="0.25">
      <c r="F16166" s="503" t="s">
        <v>244</v>
      </c>
      <c r="G16166" s="504" t="s">
        <v>245</v>
      </c>
      <c r="H16166" s="397"/>
      <c r="I16166" s="397"/>
      <c r="J16166" s="750" t="e">
        <f t="shared" si="189"/>
        <v>#DIV/0!</v>
      </c>
      <c r="K16166" s="398"/>
      <c r="L16166" s="404"/>
      <c r="M16166" s="682"/>
    </row>
    <row r="16167" spans="5:13" ht="13.5" hidden="1" thickBot="1" x14ac:dyDescent="0.25">
      <c r="F16167" s="503" t="s">
        <v>246</v>
      </c>
      <c r="G16167" s="504" t="s">
        <v>247</v>
      </c>
      <c r="H16167" s="397"/>
      <c r="I16167" s="397"/>
      <c r="J16167" s="750" t="e">
        <f t="shared" si="189"/>
        <v>#DIV/0!</v>
      </c>
      <c r="K16167" s="398"/>
      <c r="L16167" s="404"/>
      <c r="M16167" s="682"/>
    </row>
    <row r="16168" spans="5:13" ht="26.25" hidden="1" thickBot="1" x14ac:dyDescent="0.25">
      <c r="F16168" s="503" t="s">
        <v>248</v>
      </c>
      <c r="G16168" s="504" t="s">
        <v>249</v>
      </c>
      <c r="H16168" s="397"/>
      <c r="I16168" s="397"/>
      <c r="J16168" s="750" t="e">
        <f t="shared" si="189"/>
        <v>#DIV/0!</v>
      </c>
      <c r="K16168" s="398"/>
      <c r="L16168" s="404"/>
      <c r="M16168" s="682"/>
    </row>
    <row r="16169" spans="5:13" ht="13.5" hidden="1" thickBot="1" x14ac:dyDescent="0.25">
      <c r="F16169" s="503" t="s">
        <v>250</v>
      </c>
      <c r="G16169" s="504" t="s">
        <v>57</v>
      </c>
      <c r="H16169" s="397"/>
      <c r="I16169" s="397"/>
      <c r="J16169" s="750" t="e">
        <f t="shared" si="189"/>
        <v>#DIV/0!</v>
      </c>
      <c r="K16169" s="398"/>
      <c r="L16169" s="404"/>
      <c r="M16169" s="682"/>
    </row>
    <row r="16170" spans="5:13" ht="13.5" hidden="1" thickBot="1" x14ac:dyDescent="0.25">
      <c r="F16170" s="503" t="s">
        <v>251</v>
      </c>
      <c r="G16170" s="504" t="s">
        <v>252</v>
      </c>
      <c r="H16170" s="397"/>
      <c r="I16170" s="397"/>
      <c r="J16170" s="750" t="e">
        <f t="shared" si="189"/>
        <v>#DIV/0!</v>
      </c>
      <c r="K16170" s="398"/>
      <c r="L16170" s="404"/>
      <c r="M16170" s="682"/>
    </row>
    <row r="16171" spans="5:13" ht="13.5" hidden="1" thickBot="1" x14ac:dyDescent="0.25">
      <c r="F16171" s="503" t="s">
        <v>253</v>
      </c>
      <c r="G16171" s="504" t="s">
        <v>254</v>
      </c>
      <c r="H16171" s="397"/>
      <c r="I16171" s="397"/>
      <c r="J16171" s="750" t="e">
        <f t="shared" si="189"/>
        <v>#DIV/0!</v>
      </c>
      <c r="K16171" s="398"/>
      <c r="L16171" s="404"/>
      <c r="M16171" s="682"/>
    </row>
    <row r="16172" spans="5:13" ht="26.25" hidden="1" thickBot="1" x14ac:dyDescent="0.25">
      <c r="F16172" s="503" t="s">
        <v>255</v>
      </c>
      <c r="G16172" s="504" t="s">
        <v>256</v>
      </c>
      <c r="H16172" s="397"/>
      <c r="I16172" s="397"/>
      <c r="J16172" s="750" t="e">
        <f t="shared" si="189"/>
        <v>#DIV/0!</v>
      </c>
      <c r="K16172" s="398"/>
      <c r="L16172" s="404"/>
      <c r="M16172" s="682"/>
    </row>
    <row r="16173" spans="5:13" ht="26.25" hidden="1" thickBot="1" x14ac:dyDescent="0.25">
      <c r="F16173" s="503" t="s">
        <v>257</v>
      </c>
      <c r="G16173" s="504" t="s">
        <v>258</v>
      </c>
      <c r="H16173" s="397"/>
      <c r="I16173" s="397"/>
      <c r="J16173" s="750" t="e">
        <f t="shared" si="189"/>
        <v>#DIV/0!</v>
      </c>
      <c r="K16173" s="398"/>
      <c r="L16173" s="404"/>
      <c r="M16173" s="682"/>
    </row>
    <row r="16174" spans="5:13" ht="26.25" hidden="1" thickBot="1" x14ac:dyDescent="0.25">
      <c r="F16174" s="503" t="s">
        <v>259</v>
      </c>
      <c r="G16174" s="504" t="s">
        <v>260</v>
      </c>
      <c r="H16174" s="397"/>
      <c r="I16174" s="397"/>
      <c r="J16174" s="750" t="e">
        <f t="shared" si="189"/>
        <v>#DIV/0!</v>
      </c>
      <c r="K16174" s="398"/>
      <c r="L16174" s="404"/>
      <c r="M16174" s="682"/>
    </row>
    <row r="16175" spans="5:13" ht="26.25" hidden="1" thickBot="1" x14ac:dyDescent="0.25">
      <c r="F16175" s="503" t="s">
        <v>261</v>
      </c>
      <c r="G16175" s="504" t="s">
        <v>262</v>
      </c>
      <c r="H16175" s="397"/>
      <c r="I16175" s="397"/>
      <c r="J16175" s="750" t="e">
        <f t="shared" si="189"/>
        <v>#DIV/0!</v>
      </c>
      <c r="K16175" s="398"/>
      <c r="L16175" s="404"/>
      <c r="M16175" s="682"/>
    </row>
    <row r="16176" spans="5:13" ht="13.5" hidden="1" thickBot="1" x14ac:dyDescent="0.25">
      <c r="F16176" s="503" t="s">
        <v>263</v>
      </c>
      <c r="G16176" s="504" t="s">
        <v>264</v>
      </c>
      <c r="H16176" s="403"/>
      <c r="I16176" s="403"/>
      <c r="J16176" s="750" t="e">
        <f t="shared" si="189"/>
        <v>#DIV/0!</v>
      </c>
      <c r="K16176" s="404"/>
      <c r="L16176" s="404"/>
      <c r="M16176" s="682"/>
    </row>
    <row r="16177" spans="5:13" ht="13.5" thickBot="1" x14ac:dyDescent="0.25">
      <c r="G16177" s="505" t="s">
        <v>4399</v>
      </c>
      <c r="H16177" s="405">
        <f>SUM(H16161:H16176)</f>
        <v>1110000</v>
      </c>
      <c r="I16177" s="405">
        <f>SUM(I16161)</f>
        <v>420000</v>
      </c>
      <c r="J16177" s="750">
        <f t="shared" si="189"/>
        <v>37.837837837837839</v>
      </c>
      <c r="K16177" s="406">
        <f>SUM(K16162:K16176)</f>
        <v>0</v>
      </c>
      <c r="L16177" s="406"/>
      <c r="M16177" s="682"/>
    </row>
    <row r="16178" spans="5:13" x14ac:dyDescent="0.2">
      <c r="E16178" s="500"/>
      <c r="F16178" s="498"/>
      <c r="G16178" s="506" t="s">
        <v>5195</v>
      </c>
      <c r="H16178" s="407"/>
      <c r="I16178" s="408"/>
      <c r="J16178" s="750"/>
      <c r="K16178" s="409"/>
      <c r="L16178" s="410"/>
      <c r="M16178" s="682"/>
    </row>
    <row r="16179" spans="5:13" ht="13.5" thickBot="1" x14ac:dyDescent="0.25">
      <c r="E16179" s="502"/>
      <c r="F16179" s="503" t="s">
        <v>234</v>
      </c>
      <c r="G16179" s="504" t="s">
        <v>235</v>
      </c>
      <c r="H16179" s="403">
        <f>SUM(H16100:H16159)</f>
        <v>1110000</v>
      </c>
      <c r="I16179" s="403">
        <f>SUM(I16177)</f>
        <v>420000</v>
      </c>
      <c r="J16179" s="750">
        <f t="shared" si="189"/>
        <v>37.837837837837839</v>
      </c>
      <c r="K16179" s="404"/>
      <c r="L16179" s="404"/>
      <c r="M16179" s="682"/>
    </row>
    <row r="16180" spans="5:13" ht="13.5" hidden="1" thickBot="1" x14ac:dyDescent="0.25">
      <c r="F16180" s="503" t="s">
        <v>236</v>
      </c>
      <c r="G16180" s="504" t="s">
        <v>237</v>
      </c>
      <c r="H16180" s="397"/>
      <c r="I16180" s="397"/>
      <c r="J16180" s="750" t="e">
        <f t="shared" si="189"/>
        <v>#DIV/0!</v>
      </c>
      <c r="K16180" s="398"/>
      <c r="L16180" s="404"/>
      <c r="M16180" s="682"/>
    </row>
    <row r="16181" spans="5:13" ht="13.5" hidden="1" thickBot="1" x14ac:dyDescent="0.25">
      <c r="F16181" s="503" t="s">
        <v>238</v>
      </c>
      <c r="G16181" s="504" t="s">
        <v>239</v>
      </c>
      <c r="H16181" s="397"/>
      <c r="I16181" s="397"/>
      <c r="J16181" s="750" t="e">
        <f t="shared" si="189"/>
        <v>#DIV/0!</v>
      </c>
      <c r="K16181" s="398"/>
      <c r="L16181" s="404"/>
      <c r="M16181" s="682"/>
    </row>
    <row r="16182" spans="5:13" ht="13.5" hidden="1" thickBot="1" x14ac:dyDescent="0.25">
      <c r="F16182" s="503" t="s">
        <v>240</v>
      </c>
      <c r="G16182" s="504" t="s">
        <v>241</v>
      </c>
      <c r="H16182" s="397"/>
      <c r="I16182" s="397"/>
      <c r="J16182" s="750" t="e">
        <f t="shared" si="189"/>
        <v>#DIV/0!</v>
      </c>
      <c r="K16182" s="398"/>
      <c r="L16182" s="404"/>
      <c r="M16182" s="682"/>
    </row>
    <row r="16183" spans="5:13" ht="13.5" hidden="1" thickBot="1" x14ac:dyDescent="0.25">
      <c r="F16183" s="503" t="s">
        <v>242</v>
      </c>
      <c r="G16183" s="504" t="s">
        <v>243</v>
      </c>
      <c r="H16183" s="397"/>
      <c r="I16183" s="397"/>
      <c r="J16183" s="750" t="e">
        <f t="shared" si="189"/>
        <v>#DIV/0!</v>
      </c>
      <c r="K16183" s="398"/>
      <c r="L16183" s="404"/>
      <c r="M16183" s="682"/>
    </row>
    <row r="16184" spans="5:13" ht="13.5" hidden="1" thickBot="1" x14ac:dyDescent="0.25">
      <c r="F16184" s="503" t="s">
        <v>244</v>
      </c>
      <c r="G16184" s="504" t="s">
        <v>245</v>
      </c>
      <c r="H16184" s="397"/>
      <c r="I16184" s="397"/>
      <c r="J16184" s="750" t="e">
        <f t="shared" si="189"/>
        <v>#DIV/0!</v>
      </c>
      <c r="K16184" s="398"/>
      <c r="L16184" s="404"/>
      <c r="M16184" s="682"/>
    </row>
    <row r="16185" spans="5:13" ht="13.5" hidden="1" thickBot="1" x14ac:dyDescent="0.25">
      <c r="F16185" s="503" t="s">
        <v>246</v>
      </c>
      <c r="G16185" s="504" t="s">
        <v>247</v>
      </c>
      <c r="H16185" s="397"/>
      <c r="I16185" s="397"/>
      <c r="J16185" s="750" t="e">
        <f t="shared" si="189"/>
        <v>#DIV/0!</v>
      </c>
      <c r="K16185" s="398"/>
      <c r="L16185" s="404"/>
      <c r="M16185" s="682"/>
    </row>
    <row r="16186" spans="5:13" ht="26.25" hidden="1" thickBot="1" x14ac:dyDescent="0.25">
      <c r="F16186" s="503" t="s">
        <v>248</v>
      </c>
      <c r="G16186" s="504" t="s">
        <v>249</v>
      </c>
      <c r="H16186" s="397"/>
      <c r="I16186" s="397"/>
      <c r="J16186" s="750" t="e">
        <f t="shared" si="189"/>
        <v>#DIV/0!</v>
      </c>
      <c r="K16186" s="398"/>
      <c r="L16186" s="404"/>
      <c r="M16186" s="682"/>
    </row>
    <row r="16187" spans="5:13" ht="13.5" hidden="1" thickBot="1" x14ac:dyDescent="0.25">
      <c r="F16187" s="503" t="s">
        <v>250</v>
      </c>
      <c r="G16187" s="504" t="s">
        <v>57</v>
      </c>
      <c r="H16187" s="397"/>
      <c r="I16187" s="397"/>
      <c r="J16187" s="750" t="e">
        <f t="shared" si="189"/>
        <v>#DIV/0!</v>
      </c>
      <c r="K16187" s="398"/>
      <c r="L16187" s="404"/>
      <c r="M16187" s="682"/>
    </row>
    <row r="16188" spans="5:13" ht="13.5" hidden="1" thickBot="1" x14ac:dyDescent="0.25">
      <c r="F16188" s="503" t="s">
        <v>251</v>
      </c>
      <c r="G16188" s="504" t="s">
        <v>252</v>
      </c>
      <c r="H16188" s="397"/>
      <c r="I16188" s="397"/>
      <c r="J16188" s="750" t="e">
        <f t="shared" si="189"/>
        <v>#DIV/0!</v>
      </c>
      <c r="K16188" s="398"/>
      <c r="L16188" s="404"/>
      <c r="M16188" s="682"/>
    </row>
    <row r="16189" spans="5:13" ht="13.5" hidden="1" thickBot="1" x14ac:dyDescent="0.25">
      <c r="F16189" s="503" t="s">
        <v>253</v>
      </c>
      <c r="G16189" s="504" t="s">
        <v>254</v>
      </c>
      <c r="H16189" s="397"/>
      <c r="I16189" s="397"/>
      <c r="J16189" s="750" t="e">
        <f t="shared" si="189"/>
        <v>#DIV/0!</v>
      </c>
      <c r="K16189" s="398"/>
      <c r="L16189" s="404"/>
      <c r="M16189" s="682"/>
    </row>
    <row r="16190" spans="5:13" ht="26.25" hidden="1" thickBot="1" x14ac:dyDescent="0.25">
      <c r="F16190" s="503" t="s">
        <v>255</v>
      </c>
      <c r="G16190" s="504" t="s">
        <v>256</v>
      </c>
      <c r="H16190" s="397"/>
      <c r="I16190" s="397"/>
      <c r="J16190" s="750" t="e">
        <f t="shared" si="189"/>
        <v>#DIV/0!</v>
      </c>
      <c r="K16190" s="398"/>
      <c r="L16190" s="404"/>
      <c r="M16190" s="682"/>
    </row>
    <row r="16191" spans="5:13" ht="26.25" hidden="1" thickBot="1" x14ac:dyDescent="0.25">
      <c r="F16191" s="503" t="s">
        <v>257</v>
      </c>
      <c r="G16191" s="504" t="s">
        <v>258</v>
      </c>
      <c r="H16191" s="397"/>
      <c r="I16191" s="397"/>
      <c r="J16191" s="750" t="e">
        <f t="shared" si="189"/>
        <v>#DIV/0!</v>
      </c>
      <c r="K16191" s="398"/>
      <c r="L16191" s="404"/>
      <c r="M16191" s="682"/>
    </row>
    <row r="16192" spans="5:13" ht="26.25" hidden="1" thickBot="1" x14ac:dyDescent="0.25">
      <c r="F16192" s="503" t="s">
        <v>259</v>
      </c>
      <c r="G16192" s="504" t="s">
        <v>260</v>
      </c>
      <c r="H16192" s="397"/>
      <c r="I16192" s="397"/>
      <c r="J16192" s="750" t="e">
        <f t="shared" si="189"/>
        <v>#DIV/0!</v>
      </c>
      <c r="K16192" s="398"/>
      <c r="L16192" s="404"/>
      <c r="M16192" s="682"/>
    </row>
    <row r="16193" spans="3:13" ht="26.25" hidden="1" thickBot="1" x14ac:dyDescent="0.25">
      <c r="F16193" s="503" t="s">
        <v>261</v>
      </c>
      <c r="G16193" s="504" t="s">
        <v>262</v>
      </c>
      <c r="H16193" s="397"/>
      <c r="I16193" s="397"/>
      <c r="J16193" s="750" t="e">
        <f t="shared" si="189"/>
        <v>#DIV/0!</v>
      </c>
      <c r="K16193" s="398"/>
      <c r="L16193" s="404"/>
      <c r="M16193" s="682"/>
    </row>
    <row r="16194" spans="3:13" ht="13.5" hidden="1" thickBot="1" x14ac:dyDescent="0.25">
      <c r="F16194" s="503" t="s">
        <v>263</v>
      </c>
      <c r="G16194" s="504" t="s">
        <v>264</v>
      </c>
      <c r="H16194" s="403"/>
      <c r="I16194" s="403"/>
      <c r="J16194" s="750" t="e">
        <f t="shared" si="189"/>
        <v>#DIV/0!</v>
      </c>
      <c r="K16194" s="404"/>
      <c r="L16194" s="404"/>
      <c r="M16194" s="682"/>
    </row>
    <row r="16195" spans="3:13" ht="13.5" thickBot="1" x14ac:dyDescent="0.25">
      <c r="G16195" s="505" t="s">
        <v>5196</v>
      </c>
      <c r="H16195" s="405">
        <f>SUM(H16179:H16194)</f>
        <v>1110000</v>
      </c>
      <c r="I16195" s="405">
        <f>SUM(I16179)</f>
        <v>420000</v>
      </c>
      <c r="J16195" s="750">
        <f t="shared" si="189"/>
        <v>37.837837837837839</v>
      </c>
      <c r="K16195" s="406">
        <f>SUM(K16180:K16194)</f>
        <v>0</v>
      </c>
      <c r="L16195" s="406"/>
      <c r="M16195" s="682"/>
    </row>
    <row r="16196" spans="3:13" ht="4.5" customHeight="1" x14ac:dyDescent="0.2">
      <c r="G16196" s="510"/>
      <c r="H16196" s="411"/>
      <c r="I16196" s="411"/>
      <c r="J16196" s="750"/>
      <c r="K16196" s="412"/>
      <c r="L16196" s="412"/>
      <c r="M16196" s="682"/>
    </row>
    <row r="16197" spans="3:13" x14ac:dyDescent="0.2">
      <c r="C16197" s="489" t="s">
        <v>4511</v>
      </c>
      <c r="D16197" s="490"/>
      <c r="G16197" s="508" t="s">
        <v>5323</v>
      </c>
      <c r="H16197" s="397"/>
      <c r="I16197" s="397"/>
      <c r="J16197" s="750"/>
      <c r="K16197" s="398"/>
      <c r="L16197" s="398"/>
      <c r="M16197" s="682"/>
    </row>
    <row r="16198" spans="3:13" ht="14.25" customHeight="1" x14ac:dyDescent="0.2">
      <c r="C16198" s="489"/>
      <c r="D16198" s="492">
        <v>810</v>
      </c>
      <c r="E16198" s="492"/>
      <c r="F16198" s="492"/>
      <c r="G16198" s="493" t="s">
        <v>206</v>
      </c>
      <c r="H16198" s="397"/>
      <c r="I16198" s="397"/>
      <c r="J16198" s="750"/>
      <c r="K16198" s="398"/>
      <c r="L16198" s="398"/>
      <c r="M16198" s="682"/>
    </row>
    <row r="16199" spans="3:13" hidden="1" x14ac:dyDescent="0.2">
      <c r="F16199" s="494">
        <v>411</v>
      </c>
      <c r="G16199" s="495" t="s">
        <v>4167</v>
      </c>
      <c r="H16199" s="397"/>
      <c r="I16199" s="397"/>
      <c r="J16199" s="750" t="e">
        <f t="shared" si="189"/>
        <v>#DIV/0!</v>
      </c>
      <c r="K16199" s="398"/>
      <c r="L16199" s="398"/>
      <c r="M16199" s="682"/>
    </row>
    <row r="16200" spans="3:13" hidden="1" x14ac:dyDescent="0.2">
      <c r="F16200" s="494">
        <v>412</v>
      </c>
      <c r="G16200" s="496" t="s">
        <v>3764</v>
      </c>
      <c r="H16200" s="397"/>
      <c r="I16200" s="397"/>
      <c r="J16200" s="750" t="e">
        <f t="shared" si="189"/>
        <v>#DIV/0!</v>
      </c>
      <c r="K16200" s="398"/>
      <c r="L16200" s="398"/>
      <c r="M16200" s="682"/>
    </row>
    <row r="16201" spans="3:13" hidden="1" x14ac:dyDescent="0.2">
      <c r="F16201" s="494">
        <v>413</v>
      </c>
      <c r="G16201" s="495" t="s">
        <v>4168</v>
      </c>
      <c r="H16201" s="397"/>
      <c r="I16201" s="397"/>
      <c r="J16201" s="750" t="e">
        <f t="shared" si="189"/>
        <v>#DIV/0!</v>
      </c>
      <c r="K16201" s="398"/>
      <c r="L16201" s="398"/>
      <c r="M16201" s="682"/>
    </row>
    <row r="16202" spans="3:13" hidden="1" x14ac:dyDescent="0.2">
      <c r="F16202" s="494">
        <v>414</v>
      </c>
      <c r="G16202" s="495" t="s">
        <v>3767</v>
      </c>
      <c r="H16202" s="397"/>
      <c r="I16202" s="397"/>
      <c r="J16202" s="750" t="e">
        <f t="shared" si="189"/>
        <v>#DIV/0!</v>
      </c>
      <c r="K16202" s="398"/>
      <c r="L16202" s="398"/>
      <c r="M16202" s="682"/>
    </row>
    <row r="16203" spans="3:13" hidden="1" x14ac:dyDescent="0.2">
      <c r="F16203" s="494">
        <v>415</v>
      </c>
      <c r="G16203" s="495" t="s">
        <v>4177</v>
      </c>
      <c r="H16203" s="397"/>
      <c r="I16203" s="397"/>
      <c r="J16203" s="750" t="e">
        <f t="shared" si="189"/>
        <v>#DIV/0!</v>
      </c>
      <c r="K16203" s="398"/>
      <c r="L16203" s="398"/>
      <c r="M16203" s="682"/>
    </row>
    <row r="16204" spans="3:13" ht="25.5" hidden="1" x14ac:dyDescent="0.2">
      <c r="F16204" s="494">
        <v>416</v>
      </c>
      <c r="G16204" s="495" t="s">
        <v>4178</v>
      </c>
      <c r="H16204" s="397"/>
      <c r="I16204" s="397"/>
      <c r="J16204" s="750" t="e">
        <f t="shared" si="189"/>
        <v>#DIV/0!</v>
      </c>
      <c r="K16204" s="398"/>
      <c r="L16204" s="398"/>
      <c r="M16204" s="682"/>
    </row>
    <row r="16205" spans="3:13" hidden="1" x14ac:dyDescent="0.2">
      <c r="F16205" s="494">
        <v>417</v>
      </c>
      <c r="G16205" s="495" t="s">
        <v>4179</v>
      </c>
      <c r="H16205" s="397"/>
      <c r="I16205" s="397"/>
      <c r="J16205" s="750" t="e">
        <f t="shared" si="189"/>
        <v>#DIV/0!</v>
      </c>
      <c r="K16205" s="398"/>
      <c r="L16205" s="398"/>
      <c r="M16205" s="682"/>
    </row>
    <row r="16206" spans="3:13" hidden="1" x14ac:dyDescent="0.2">
      <c r="F16206" s="494">
        <v>418</v>
      </c>
      <c r="G16206" s="495" t="s">
        <v>3773</v>
      </c>
      <c r="H16206" s="397"/>
      <c r="I16206" s="397"/>
      <c r="J16206" s="750" t="e">
        <f t="shared" ref="J16206:J16269" si="190">SUM(I16206/H16206)*100</f>
        <v>#DIV/0!</v>
      </c>
      <c r="K16206" s="398"/>
      <c r="L16206" s="398"/>
      <c r="M16206" s="682"/>
    </row>
    <row r="16207" spans="3:13" hidden="1" x14ac:dyDescent="0.2">
      <c r="F16207" s="494">
        <v>421</v>
      </c>
      <c r="G16207" s="495" t="s">
        <v>3777</v>
      </c>
      <c r="H16207" s="397"/>
      <c r="I16207" s="397"/>
      <c r="J16207" s="750" t="e">
        <f t="shared" si="190"/>
        <v>#DIV/0!</v>
      </c>
      <c r="K16207" s="398"/>
      <c r="L16207" s="398"/>
      <c r="M16207" s="682"/>
    </row>
    <row r="16208" spans="3:13" hidden="1" x14ac:dyDescent="0.2">
      <c r="F16208" s="494">
        <v>422</v>
      </c>
      <c r="G16208" s="495" t="s">
        <v>3778</v>
      </c>
      <c r="H16208" s="397"/>
      <c r="I16208" s="397"/>
      <c r="J16208" s="750" t="e">
        <f t="shared" si="190"/>
        <v>#DIV/0!</v>
      </c>
      <c r="K16208" s="398"/>
      <c r="L16208" s="398"/>
      <c r="M16208" s="682"/>
    </row>
    <row r="16209" spans="6:13" hidden="1" x14ac:dyDescent="0.2">
      <c r="F16209" s="494">
        <v>423</v>
      </c>
      <c r="G16209" s="495" t="s">
        <v>3779</v>
      </c>
      <c r="H16209" s="397"/>
      <c r="I16209" s="397"/>
      <c r="J16209" s="750" t="e">
        <f t="shared" si="190"/>
        <v>#DIV/0!</v>
      </c>
      <c r="K16209" s="398"/>
      <c r="L16209" s="398"/>
      <c r="M16209" s="682"/>
    </row>
    <row r="16210" spans="6:13" hidden="1" x14ac:dyDescent="0.2">
      <c r="F16210" s="494">
        <v>424</v>
      </c>
      <c r="G16210" s="495" t="s">
        <v>3781</v>
      </c>
      <c r="H16210" s="397"/>
      <c r="I16210" s="397"/>
      <c r="J16210" s="750" t="e">
        <f t="shared" si="190"/>
        <v>#DIV/0!</v>
      </c>
      <c r="K16210" s="398"/>
      <c r="L16210" s="398"/>
      <c r="M16210" s="682"/>
    </row>
    <row r="16211" spans="6:13" hidden="1" x14ac:dyDescent="0.2">
      <c r="F16211" s="494">
        <v>425</v>
      </c>
      <c r="G16211" s="495" t="s">
        <v>4180</v>
      </c>
      <c r="H16211" s="397"/>
      <c r="I16211" s="397"/>
      <c r="J16211" s="750" t="e">
        <f t="shared" si="190"/>
        <v>#DIV/0!</v>
      </c>
      <c r="K16211" s="398"/>
      <c r="L16211" s="398"/>
      <c r="M16211" s="682"/>
    </row>
    <row r="16212" spans="6:13" hidden="1" x14ac:dyDescent="0.2">
      <c r="F16212" s="494">
        <v>426</v>
      </c>
      <c r="G16212" s="495" t="s">
        <v>3785</v>
      </c>
      <c r="H16212" s="397"/>
      <c r="I16212" s="397"/>
      <c r="J16212" s="750" t="e">
        <f t="shared" si="190"/>
        <v>#DIV/0!</v>
      </c>
      <c r="K16212" s="398"/>
      <c r="L16212" s="398"/>
      <c r="M16212" s="682"/>
    </row>
    <row r="16213" spans="6:13" hidden="1" x14ac:dyDescent="0.2">
      <c r="F16213" s="494">
        <v>431</v>
      </c>
      <c r="G16213" s="495" t="s">
        <v>4181</v>
      </c>
      <c r="H16213" s="397"/>
      <c r="I16213" s="397"/>
      <c r="J16213" s="750" t="e">
        <f t="shared" si="190"/>
        <v>#DIV/0!</v>
      </c>
      <c r="K16213" s="398"/>
      <c r="L16213" s="398"/>
      <c r="M16213" s="682"/>
    </row>
    <row r="16214" spans="6:13" hidden="1" x14ac:dyDescent="0.2">
      <c r="F16214" s="494">
        <v>432</v>
      </c>
      <c r="G16214" s="495" t="s">
        <v>4182</v>
      </c>
      <c r="H16214" s="397"/>
      <c r="I16214" s="397"/>
      <c r="J16214" s="750" t="e">
        <f t="shared" si="190"/>
        <v>#DIV/0!</v>
      </c>
      <c r="K16214" s="398"/>
      <c r="L16214" s="398"/>
      <c r="M16214" s="682"/>
    </row>
    <row r="16215" spans="6:13" ht="3.75" hidden="1" customHeight="1" x14ac:dyDescent="0.2">
      <c r="F16215" s="494">
        <v>433</v>
      </c>
      <c r="G16215" s="495" t="s">
        <v>4183</v>
      </c>
      <c r="H16215" s="397"/>
      <c r="I16215" s="397"/>
      <c r="J16215" s="750" t="e">
        <f t="shared" si="190"/>
        <v>#DIV/0!</v>
      </c>
      <c r="K16215" s="398"/>
      <c r="L16215" s="398"/>
      <c r="M16215" s="682"/>
    </row>
    <row r="16216" spans="6:13" hidden="1" x14ac:dyDescent="0.2">
      <c r="F16216" s="494">
        <v>434</v>
      </c>
      <c r="G16216" s="495" t="s">
        <v>4184</v>
      </c>
      <c r="H16216" s="397"/>
      <c r="I16216" s="397"/>
      <c r="J16216" s="750" t="e">
        <f t="shared" si="190"/>
        <v>#DIV/0!</v>
      </c>
      <c r="K16216" s="398"/>
      <c r="L16216" s="398"/>
      <c r="M16216" s="682"/>
    </row>
    <row r="16217" spans="6:13" hidden="1" x14ac:dyDescent="0.2">
      <c r="F16217" s="494">
        <v>435</v>
      </c>
      <c r="G16217" s="495" t="s">
        <v>3792</v>
      </c>
      <c r="H16217" s="397"/>
      <c r="I16217" s="397"/>
      <c r="J16217" s="750" t="e">
        <f t="shared" si="190"/>
        <v>#DIV/0!</v>
      </c>
      <c r="K16217" s="398"/>
      <c r="L16217" s="398"/>
      <c r="M16217" s="682"/>
    </row>
    <row r="16218" spans="6:13" hidden="1" x14ac:dyDescent="0.2">
      <c r="F16218" s="494">
        <v>441</v>
      </c>
      <c r="G16218" s="495" t="s">
        <v>4185</v>
      </c>
      <c r="H16218" s="397"/>
      <c r="I16218" s="397"/>
      <c r="J16218" s="750" t="e">
        <f t="shared" si="190"/>
        <v>#DIV/0!</v>
      </c>
      <c r="K16218" s="398"/>
      <c r="L16218" s="398"/>
      <c r="M16218" s="682"/>
    </row>
    <row r="16219" spans="6:13" hidden="1" x14ac:dyDescent="0.2">
      <c r="F16219" s="494">
        <v>442</v>
      </c>
      <c r="G16219" s="495" t="s">
        <v>4186</v>
      </c>
      <c r="H16219" s="397"/>
      <c r="I16219" s="397"/>
      <c r="J16219" s="750" t="e">
        <f t="shared" si="190"/>
        <v>#DIV/0!</v>
      </c>
      <c r="K16219" s="398"/>
      <c r="L16219" s="398"/>
      <c r="M16219" s="682"/>
    </row>
    <row r="16220" spans="6:13" hidden="1" x14ac:dyDescent="0.2">
      <c r="F16220" s="494">
        <v>443</v>
      </c>
      <c r="G16220" s="495" t="s">
        <v>3797</v>
      </c>
      <c r="H16220" s="397"/>
      <c r="I16220" s="397"/>
      <c r="J16220" s="750" t="e">
        <f t="shared" si="190"/>
        <v>#DIV/0!</v>
      </c>
      <c r="K16220" s="398"/>
      <c r="L16220" s="398"/>
      <c r="M16220" s="682"/>
    </row>
    <row r="16221" spans="6:13" hidden="1" x14ac:dyDescent="0.2">
      <c r="F16221" s="494">
        <v>444</v>
      </c>
      <c r="G16221" s="495" t="s">
        <v>3798</v>
      </c>
      <c r="H16221" s="397"/>
      <c r="I16221" s="397"/>
      <c r="J16221" s="750" t="e">
        <f t="shared" si="190"/>
        <v>#DIV/0!</v>
      </c>
      <c r="K16221" s="398"/>
      <c r="L16221" s="398"/>
      <c r="M16221" s="682"/>
    </row>
    <row r="16222" spans="6:13" ht="25.5" hidden="1" x14ac:dyDescent="0.2">
      <c r="F16222" s="494">
        <v>4511</v>
      </c>
      <c r="G16222" s="466" t="s">
        <v>1692</v>
      </c>
      <c r="H16222" s="397"/>
      <c r="I16222" s="397"/>
      <c r="J16222" s="750" t="e">
        <f t="shared" si="190"/>
        <v>#DIV/0!</v>
      </c>
      <c r="K16222" s="398"/>
      <c r="L16222" s="398"/>
      <c r="M16222" s="682"/>
    </row>
    <row r="16223" spans="6:13" ht="25.5" hidden="1" x14ac:dyDescent="0.2">
      <c r="F16223" s="494">
        <v>4512</v>
      </c>
      <c r="G16223" s="466" t="s">
        <v>1701</v>
      </c>
      <c r="H16223" s="397"/>
      <c r="I16223" s="397"/>
      <c r="J16223" s="750" t="e">
        <f t="shared" si="190"/>
        <v>#DIV/0!</v>
      </c>
      <c r="K16223" s="398"/>
      <c r="L16223" s="398"/>
      <c r="M16223" s="682"/>
    </row>
    <row r="16224" spans="6:13" ht="25.5" hidden="1" x14ac:dyDescent="0.2">
      <c r="F16224" s="494">
        <v>452</v>
      </c>
      <c r="G16224" s="495" t="s">
        <v>4187</v>
      </c>
      <c r="H16224" s="397"/>
      <c r="I16224" s="397"/>
      <c r="J16224" s="750" t="e">
        <f t="shared" si="190"/>
        <v>#DIV/0!</v>
      </c>
      <c r="K16224" s="398"/>
      <c r="L16224" s="398"/>
      <c r="M16224" s="682"/>
    </row>
    <row r="16225" spans="6:13" ht="25.5" hidden="1" x14ac:dyDescent="0.2">
      <c r="F16225" s="494">
        <v>453</v>
      </c>
      <c r="G16225" s="495" t="s">
        <v>4188</v>
      </c>
      <c r="H16225" s="397"/>
      <c r="I16225" s="397"/>
      <c r="J16225" s="750" t="e">
        <f t="shared" si="190"/>
        <v>#DIV/0!</v>
      </c>
      <c r="K16225" s="398"/>
      <c r="L16225" s="398"/>
      <c r="M16225" s="682"/>
    </row>
    <row r="16226" spans="6:13" hidden="1" x14ac:dyDescent="0.2">
      <c r="F16226" s="494">
        <v>454</v>
      </c>
      <c r="G16226" s="495" t="s">
        <v>3803</v>
      </c>
      <c r="H16226" s="397"/>
      <c r="I16226" s="397"/>
      <c r="J16226" s="750" t="e">
        <f t="shared" si="190"/>
        <v>#DIV/0!</v>
      </c>
      <c r="K16226" s="398"/>
      <c r="L16226" s="398"/>
      <c r="M16226" s="682"/>
    </row>
    <row r="16227" spans="6:13" hidden="1" x14ac:dyDescent="0.2">
      <c r="F16227" s="494">
        <v>461</v>
      </c>
      <c r="G16227" s="495" t="s">
        <v>4169</v>
      </c>
      <c r="H16227" s="397"/>
      <c r="I16227" s="397"/>
      <c r="J16227" s="750" t="e">
        <f t="shared" si="190"/>
        <v>#DIV/0!</v>
      </c>
      <c r="K16227" s="398"/>
      <c r="L16227" s="398"/>
      <c r="M16227" s="682"/>
    </row>
    <row r="16228" spans="6:13" ht="25.5" hidden="1" x14ac:dyDescent="0.2">
      <c r="F16228" s="494">
        <v>462</v>
      </c>
      <c r="G16228" s="495" t="s">
        <v>3806</v>
      </c>
      <c r="H16228" s="397"/>
      <c r="I16228" s="397"/>
      <c r="J16228" s="750" t="e">
        <f t="shared" si="190"/>
        <v>#DIV/0!</v>
      </c>
      <c r="K16228" s="398"/>
      <c r="L16228" s="398"/>
      <c r="M16228" s="682"/>
    </row>
    <row r="16229" spans="6:13" hidden="1" x14ac:dyDescent="0.2">
      <c r="F16229" s="494">
        <v>4631</v>
      </c>
      <c r="G16229" s="495" t="s">
        <v>3807</v>
      </c>
      <c r="H16229" s="397"/>
      <c r="I16229" s="397"/>
      <c r="J16229" s="750" t="e">
        <f t="shared" si="190"/>
        <v>#DIV/0!</v>
      </c>
      <c r="K16229" s="398"/>
      <c r="L16229" s="398"/>
      <c r="M16229" s="682"/>
    </row>
    <row r="16230" spans="6:13" hidden="1" x14ac:dyDescent="0.2">
      <c r="F16230" s="494">
        <v>4632</v>
      </c>
      <c r="G16230" s="495" t="s">
        <v>3808</v>
      </c>
      <c r="H16230" s="397"/>
      <c r="I16230" s="397"/>
      <c r="J16230" s="750" t="e">
        <f t="shared" si="190"/>
        <v>#DIV/0!</v>
      </c>
      <c r="K16230" s="398"/>
      <c r="L16230" s="398"/>
      <c r="M16230" s="682"/>
    </row>
    <row r="16231" spans="6:13" ht="25.5" hidden="1" x14ac:dyDescent="0.2">
      <c r="F16231" s="494">
        <v>464</v>
      </c>
      <c r="G16231" s="495" t="s">
        <v>3809</v>
      </c>
      <c r="H16231" s="397"/>
      <c r="I16231" s="397"/>
      <c r="J16231" s="750" t="e">
        <f t="shared" si="190"/>
        <v>#DIV/0!</v>
      </c>
      <c r="K16231" s="398"/>
      <c r="L16231" s="398"/>
      <c r="M16231" s="682"/>
    </row>
    <row r="16232" spans="6:13" hidden="1" x14ac:dyDescent="0.2">
      <c r="F16232" s="494">
        <v>465</v>
      </c>
      <c r="G16232" s="495" t="s">
        <v>4170</v>
      </c>
      <c r="H16232" s="397"/>
      <c r="I16232" s="397"/>
      <c r="J16232" s="750" t="e">
        <f t="shared" si="190"/>
        <v>#DIV/0!</v>
      </c>
      <c r="K16232" s="398"/>
      <c r="L16232" s="398"/>
      <c r="M16232" s="682"/>
    </row>
    <row r="16233" spans="6:13" hidden="1" x14ac:dyDescent="0.2">
      <c r="F16233" s="494">
        <v>472</v>
      </c>
      <c r="G16233" s="495" t="s">
        <v>3813</v>
      </c>
      <c r="H16233" s="397"/>
      <c r="I16233" s="397"/>
      <c r="J16233" s="750" t="e">
        <f t="shared" si="190"/>
        <v>#DIV/0!</v>
      </c>
      <c r="K16233" s="398"/>
      <c r="L16233" s="398"/>
      <c r="M16233" s="682"/>
    </row>
    <row r="16234" spans="6:13" hidden="1" x14ac:dyDescent="0.2">
      <c r="F16234" s="494">
        <v>481</v>
      </c>
      <c r="G16234" s="495" t="s">
        <v>4189</v>
      </c>
      <c r="H16234" s="397"/>
      <c r="I16234" s="397"/>
      <c r="J16234" s="750" t="e">
        <f t="shared" si="190"/>
        <v>#DIV/0!</v>
      </c>
      <c r="K16234" s="398"/>
      <c r="L16234" s="398"/>
      <c r="M16234" s="682"/>
    </row>
    <row r="16235" spans="6:13" ht="0.75" hidden="1" customHeight="1" x14ac:dyDescent="0.2">
      <c r="F16235" s="494">
        <v>482</v>
      </c>
      <c r="G16235" s="495" t="s">
        <v>4190</v>
      </c>
      <c r="H16235" s="397"/>
      <c r="I16235" s="397"/>
      <c r="J16235" s="750" t="e">
        <f t="shared" si="190"/>
        <v>#DIV/0!</v>
      </c>
      <c r="K16235" s="398"/>
      <c r="L16235" s="398"/>
      <c r="M16235" s="682"/>
    </row>
    <row r="16236" spans="6:13" hidden="1" x14ac:dyDescent="0.2">
      <c r="F16236" s="494">
        <v>483</v>
      </c>
      <c r="G16236" s="497" t="s">
        <v>4191</v>
      </c>
      <c r="H16236" s="397"/>
      <c r="I16236" s="397"/>
      <c r="J16236" s="750" t="e">
        <f t="shared" si="190"/>
        <v>#DIV/0!</v>
      </c>
      <c r="K16236" s="398"/>
      <c r="L16236" s="398"/>
      <c r="M16236" s="682"/>
    </row>
    <row r="16237" spans="6:13" ht="38.25" hidden="1" x14ac:dyDescent="0.2">
      <c r="F16237" s="494">
        <v>484</v>
      </c>
      <c r="G16237" s="495" t="s">
        <v>4192</v>
      </c>
      <c r="H16237" s="397"/>
      <c r="I16237" s="397"/>
      <c r="J16237" s="750" t="e">
        <f t="shared" si="190"/>
        <v>#DIV/0!</v>
      </c>
      <c r="K16237" s="398"/>
      <c r="L16237" s="398"/>
      <c r="M16237" s="682"/>
    </row>
    <row r="16238" spans="6:13" ht="25.5" hidden="1" x14ac:dyDescent="0.2">
      <c r="F16238" s="494">
        <v>485</v>
      </c>
      <c r="G16238" s="495" t="s">
        <v>4193</v>
      </c>
      <c r="H16238" s="397"/>
      <c r="I16238" s="397"/>
      <c r="J16238" s="750" t="e">
        <f t="shared" si="190"/>
        <v>#DIV/0!</v>
      </c>
      <c r="K16238" s="398"/>
      <c r="L16238" s="398"/>
      <c r="M16238" s="682"/>
    </row>
    <row r="16239" spans="6:13" ht="25.5" hidden="1" x14ac:dyDescent="0.2">
      <c r="F16239" s="494">
        <v>489</v>
      </c>
      <c r="G16239" s="495" t="s">
        <v>3821</v>
      </c>
      <c r="H16239" s="397"/>
      <c r="I16239" s="397"/>
      <c r="J16239" s="750" t="e">
        <f t="shared" si="190"/>
        <v>#DIV/0!</v>
      </c>
      <c r="K16239" s="398"/>
      <c r="L16239" s="398"/>
      <c r="M16239" s="682"/>
    </row>
    <row r="16240" spans="6:13" ht="25.5" hidden="1" x14ac:dyDescent="0.2">
      <c r="F16240" s="494">
        <v>494</v>
      </c>
      <c r="G16240" s="495" t="s">
        <v>4171</v>
      </c>
      <c r="H16240" s="397"/>
      <c r="I16240" s="397"/>
      <c r="J16240" s="750" t="e">
        <f t="shared" si="190"/>
        <v>#DIV/0!</v>
      </c>
      <c r="K16240" s="398"/>
      <c r="L16240" s="398"/>
      <c r="M16240" s="682"/>
    </row>
    <row r="16241" spans="5:13" ht="25.5" hidden="1" x14ac:dyDescent="0.2">
      <c r="F16241" s="494">
        <v>495</v>
      </c>
      <c r="G16241" s="495" t="s">
        <v>4172</v>
      </c>
      <c r="H16241" s="397"/>
      <c r="I16241" s="397"/>
      <c r="J16241" s="750" t="e">
        <f t="shared" si="190"/>
        <v>#DIV/0!</v>
      </c>
      <c r="K16241" s="398"/>
      <c r="L16241" s="398"/>
      <c r="M16241" s="682"/>
    </row>
    <row r="16242" spans="5:13" ht="38.25" hidden="1" x14ac:dyDescent="0.2">
      <c r="F16242" s="494">
        <v>496</v>
      </c>
      <c r="G16242" s="495" t="s">
        <v>4173</v>
      </c>
      <c r="H16242" s="397"/>
      <c r="I16242" s="397"/>
      <c r="J16242" s="750" t="e">
        <f t="shared" si="190"/>
        <v>#DIV/0!</v>
      </c>
      <c r="K16242" s="398"/>
      <c r="L16242" s="398"/>
      <c r="M16242" s="682"/>
    </row>
    <row r="16243" spans="5:13" ht="25.5" hidden="1" x14ac:dyDescent="0.2">
      <c r="F16243" s="494">
        <v>499</v>
      </c>
      <c r="G16243" s="495" t="s">
        <v>4174</v>
      </c>
      <c r="H16243" s="397"/>
      <c r="I16243" s="397"/>
      <c r="J16243" s="750" t="e">
        <f t="shared" si="190"/>
        <v>#DIV/0!</v>
      </c>
      <c r="K16243" s="398"/>
      <c r="L16243" s="398"/>
      <c r="M16243" s="682"/>
    </row>
    <row r="16244" spans="5:13" ht="13.5" thickBot="1" x14ac:dyDescent="0.25">
      <c r="E16244" s="464" t="s">
        <v>5324</v>
      </c>
      <c r="F16244" s="494">
        <v>511</v>
      </c>
      <c r="G16244" s="497" t="s">
        <v>4194</v>
      </c>
      <c r="H16244" s="397">
        <v>1300000</v>
      </c>
      <c r="I16244" s="397">
        <v>952257.08</v>
      </c>
      <c r="J16244" s="750">
        <f t="shared" si="190"/>
        <v>73.250544615384612</v>
      </c>
      <c r="K16244" s="398">
        <v>1500000</v>
      </c>
      <c r="L16244" s="398">
        <v>1097123.82</v>
      </c>
      <c r="M16244" s="682"/>
    </row>
    <row r="16245" spans="5:13" ht="5.25" hidden="1" customHeight="1" thickBot="1" x14ac:dyDescent="0.25">
      <c r="F16245" s="494">
        <v>512</v>
      </c>
      <c r="G16245" s="497" t="s">
        <v>4195</v>
      </c>
      <c r="H16245" s="397"/>
      <c r="I16245" s="397"/>
      <c r="J16245" s="750" t="e">
        <f t="shared" si="190"/>
        <v>#DIV/0!</v>
      </c>
      <c r="K16245" s="398"/>
      <c r="L16245" s="398"/>
      <c r="M16245" s="682"/>
    </row>
    <row r="16246" spans="5:13" ht="13.5" hidden="1" thickBot="1" x14ac:dyDescent="0.25">
      <c r="F16246" s="494">
        <v>513</v>
      </c>
      <c r="G16246" s="497" t="s">
        <v>4196</v>
      </c>
      <c r="H16246" s="397"/>
      <c r="I16246" s="397"/>
      <c r="J16246" s="750" t="e">
        <f t="shared" si="190"/>
        <v>#DIV/0!</v>
      </c>
      <c r="K16246" s="398"/>
      <c r="L16246" s="398"/>
      <c r="M16246" s="682"/>
    </row>
    <row r="16247" spans="5:13" ht="13.5" hidden="1" thickBot="1" x14ac:dyDescent="0.25">
      <c r="F16247" s="494">
        <v>514</v>
      </c>
      <c r="G16247" s="495" t="s">
        <v>4197</v>
      </c>
      <c r="H16247" s="397"/>
      <c r="I16247" s="397"/>
      <c r="J16247" s="750" t="e">
        <f t="shared" si="190"/>
        <v>#DIV/0!</v>
      </c>
      <c r="K16247" s="398"/>
      <c r="L16247" s="398"/>
      <c r="M16247" s="682"/>
    </row>
    <row r="16248" spans="5:13" ht="13.5" hidden="1" thickBot="1" x14ac:dyDescent="0.25">
      <c r="F16248" s="494">
        <v>515</v>
      </c>
      <c r="G16248" s="495" t="s">
        <v>3832</v>
      </c>
      <c r="H16248" s="397"/>
      <c r="I16248" s="397"/>
      <c r="J16248" s="750" t="e">
        <f t="shared" si="190"/>
        <v>#DIV/0!</v>
      </c>
      <c r="K16248" s="398"/>
      <c r="L16248" s="398"/>
      <c r="M16248" s="682"/>
    </row>
    <row r="16249" spans="5:13" ht="13.5" hidden="1" thickBot="1" x14ac:dyDescent="0.25">
      <c r="F16249" s="494">
        <v>521</v>
      </c>
      <c r="G16249" s="495" t="s">
        <v>4198</v>
      </c>
      <c r="H16249" s="397"/>
      <c r="I16249" s="397"/>
      <c r="J16249" s="750" t="e">
        <f t="shared" si="190"/>
        <v>#DIV/0!</v>
      </c>
      <c r="K16249" s="398"/>
      <c r="L16249" s="398"/>
      <c r="M16249" s="682"/>
    </row>
    <row r="16250" spans="5:13" ht="13.5" hidden="1" thickBot="1" x14ac:dyDescent="0.25">
      <c r="F16250" s="494">
        <v>522</v>
      </c>
      <c r="G16250" s="495" t="s">
        <v>4199</v>
      </c>
      <c r="H16250" s="397"/>
      <c r="I16250" s="397"/>
      <c r="J16250" s="750" t="e">
        <f t="shared" si="190"/>
        <v>#DIV/0!</v>
      </c>
      <c r="K16250" s="398"/>
      <c r="L16250" s="398"/>
      <c r="M16250" s="682"/>
    </row>
    <row r="16251" spans="5:13" ht="13.5" hidden="1" thickBot="1" x14ac:dyDescent="0.25">
      <c r="F16251" s="494">
        <v>523</v>
      </c>
      <c r="G16251" s="495" t="s">
        <v>3837</v>
      </c>
      <c r="H16251" s="397"/>
      <c r="I16251" s="397"/>
      <c r="J16251" s="750" t="e">
        <f t="shared" si="190"/>
        <v>#DIV/0!</v>
      </c>
      <c r="K16251" s="398"/>
      <c r="L16251" s="398"/>
      <c r="M16251" s="682"/>
    </row>
    <row r="16252" spans="5:13" ht="13.5" hidden="1" thickBot="1" x14ac:dyDescent="0.25">
      <c r="F16252" s="494">
        <v>531</v>
      </c>
      <c r="G16252" s="496" t="s">
        <v>4175</v>
      </c>
      <c r="H16252" s="397"/>
      <c r="I16252" s="397"/>
      <c r="J16252" s="750" t="e">
        <f t="shared" si="190"/>
        <v>#DIV/0!</v>
      </c>
      <c r="K16252" s="398"/>
      <c r="L16252" s="398"/>
      <c r="M16252" s="682"/>
    </row>
    <row r="16253" spans="5:13" ht="13.5" hidden="1" thickBot="1" x14ac:dyDescent="0.25">
      <c r="F16253" s="494">
        <v>541</v>
      </c>
      <c r="G16253" s="495" t="s">
        <v>4200</v>
      </c>
      <c r="H16253" s="397"/>
      <c r="I16253" s="397"/>
      <c r="J16253" s="750" t="e">
        <f t="shared" si="190"/>
        <v>#DIV/0!</v>
      </c>
      <c r="K16253" s="398"/>
      <c r="L16253" s="398"/>
      <c r="M16253" s="682"/>
    </row>
    <row r="16254" spans="5:13" ht="13.5" hidden="1" thickBot="1" x14ac:dyDescent="0.25">
      <c r="F16254" s="494">
        <v>542</v>
      </c>
      <c r="G16254" s="495" t="s">
        <v>4201</v>
      </c>
      <c r="H16254" s="397"/>
      <c r="I16254" s="397"/>
      <c r="J16254" s="750" t="e">
        <f t="shared" si="190"/>
        <v>#DIV/0!</v>
      </c>
      <c r="K16254" s="398"/>
      <c r="L16254" s="398"/>
      <c r="M16254" s="682"/>
    </row>
    <row r="16255" spans="5:13" ht="13.5" hidden="1" thickBot="1" x14ac:dyDescent="0.25">
      <c r="F16255" s="494">
        <v>543</v>
      </c>
      <c r="G16255" s="495" t="s">
        <v>3842</v>
      </c>
      <c r="H16255" s="397"/>
      <c r="I16255" s="397"/>
      <c r="J16255" s="750" t="e">
        <f t="shared" si="190"/>
        <v>#DIV/0!</v>
      </c>
      <c r="K16255" s="398"/>
      <c r="L16255" s="398"/>
      <c r="M16255" s="682"/>
    </row>
    <row r="16256" spans="5:13" ht="39" hidden="1" thickBot="1" x14ac:dyDescent="0.25">
      <c r="F16256" s="494">
        <v>551</v>
      </c>
      <c r="G16256" s="495" t="s">
        <v>4176</v>
      </c>
      <c r="H16256" s="397"/>
      <c r="I16256" s="397"/>
      <c r="J16256" s="750" t="e">
        <f t="shared" si="190"/>
        <v>#DIV/0!</v>
      </c>
      <c r="K16256" s="398"/>
      <c r="L16256" s="398"/>
      <c r="M16256" s="682"/>
    </row>
    <row r="16257" spans="5:13" ht="13.5" hidden="1" thickBot="1" x14ac:dyDescent="0.25">
      <c r="F16257" s="498">
        <v>611</v>
      </c>
      <c r="G16257" s="499" t="s">
        <v>3848</v>
      </c>
      <c r="H16257" s="397"/>
      <c r="I16257" s="397"/>
      <c r="J16257" s="750" t="e">
        <f t="shared" si="190"/>
        <v>#DIV/0!</v>
      </c>
      <c r="K16257" s="398"/>
      <c r="L16257" s="398"/>
      <c r="M16257" s="682"/>
    </row>
    <row r="16258" spans="5:13" ht="13.5" hidden="1" thickBot="1" x14ac:dyDescent="0.25">
      <c r="F16258" s="498">
        <v>620</v>
      </c>
      <c r="G16258" s="499" t="s">
        <v>88</v>
      </c>
      <c r="H16258" s="397"/>
      <c r="I16258" s="397"/>
      <c r="J16258" s="750" t="e">
        <f t="shared" si="190"/>
        <v>#DIV/0!</v>
      </c>
      <c r="K16258" s="398"/>
      <c r="L16258" s="398"/>
      <c r="M16258" s="682"/>
    </row>
    <row r="16259" spans="5:13" x14ac:dyDescent="0.2">
      <c r="E16259" s="500"/>
      <c r="F16259" s="498"/>
      <c r="G16259" s="501" t="s">
        <v>5325</v>
      </c>
      <c r="H16259" s="400"/>
      <c r="I16259" s="400"/>
      <c r="J16259" s="750"/>
      <c r="K16259" s="401"/>
      <c r="L16259" s="402"/>
      <c r="M16259" s="682"/>
    </row>
    <row r="16260" spans="5:13" x14ac:dyDescent="0.2">
      <c r="E16260" s="502"/>
      <c r="F16260" s="503" t="s">
        <v>234</v>
      </c>
      <c r="G16260" s="504" t="s">
        <v>235</v>
      </c>
      <c r="H16260" s="403">
        <f>SUM(H16199:H16258)</f>
        <v>1300000</v>
      </c>
      <c r="I16260" s="403">
        <f>SUM(I16244)</f>
        <v>952257.08</v>
      </c>
      <c r="J16260" s="750">
        <f t="shared" si="190"/>
        <v>73.250544615384612</v>
      </c>
      <c r="K16260" s="404"/>
      <c r="L16260" s="404"/>
      <c r="M16260" s="682"/>
    </row>
    <row r="16261" spans="5:13" hidden="1" x14ac:dyDescent="0.2">
      <c r="F16261" s="503" t="s">
        <v>236</v>
      </c>
      <c r="G16261" s="504" t="s">
        <v>237</v>
      </c>
      <c r="H16261" s="397"/>
      <c r="I16261" s="397"/>
      <c r="J16261" s="750" t="e">
        <f t="shared" si="190"/>
        <v>#DIV/0!</v>
      </c>
      <c r="K16261" s="398"/>
      <c r="L16261" s="404"/>
      <c r="M16261" s="682"/>
    </row>
    <row r="16262" spans="5:13" hidden="1" x14ac:dyDescent="0.2">
      <c r="F16262" s="503" t="s">
        <v>238</v>
      </c>
      <c r="G16262" s="504" t="s">
        <v>239</v>
      </c>
      <c r="H16262" s="397"/>
      <c r="I16262" s="397"/>
      <c r="J16262" s="750" t="e">
        <f t="shared" si="190"/>
        <v>#DIV/0!</v>
      </c>
      <c r="K16262" s="398"/>
      <c r="L16262" s="404"/>
      <c r="M16262" s="682"/>
    </row>
    <row r="16263" spans="5:13" hidden="1" x14ac:dyDescent="0.2">
      <c r="F16263" s="503" t="s">
        <v>240</v>
      </c>
      <c r="G16263" s="504" t="s">
        <v>241</v>
      </c>
      <c r="H16263" s="397"/>
      <c r="I16263" s="397"/>
      <c r="J16263" s="750" t="e">
        <f t="shared" si="190"/>
        <v>#DIV/0!</v>
      </c>
      <c r="K16263" s="398"/>
      <c r="L16263" s="404"/>
      <c r="M16263" s="682"/>
    </row>
    <row r="16264" spans="5:13" hidden="1" x14ac:dyDescent="0.2">
      <c r="F16264" s="503" t="s">
        <v>242</v>
      </c>
      <c r="G16264" s="504" t="s">
        <v>243</v>
      </c>
      <c r="H16264" s="397"/>
      <c r="I16264" s="397"/>
      <c r="J16264" s="750" t="e">
        <f t="shared" si="190"/>
        <v>#DIV/0!</v>
      </c>
      <c r="K16264" s="398"/>
      <c r="L16264" s="404"/>
      <c r="M16264" s="682"/>
    </row>
    <row r="16265" spans="5:13" hidden="1" x14ac:dyDescent="0.2">
      <c r="F16265" s="503" t="s">
        <v>244</v>
      </c>
      <c r="G16265" s="504" t="s">
        <v>245</v>
      </c>
      <c r="H16265" s="397"/>
      <c r="I16265" s="397"/>
      <c r="J16265" s="750" t="e">
        <f t="shared" si="190"/>
        <v>#DIV/0!</v>
      </c>
      <c r="K16265" s="398"/>
      <c r="L16265" s="404"/>
      <c r="M16265" s="682"/>
    </row>
    <row r="16266" spans="5:13" x14ac:dyDescent="0.2">
      <c r="F16266" s="503" t="s">
        <v>246</v>
      </c>
      <c r="G16266" s="504" t="s">
        <v>247</v>
      </c>
      <c r="H16266" s="397"/>
      <c r="I16266" s="397"/>
      <c r="J16266" s="750"/>
      <c r="K16266" s="398">
        <v>1500000</v>
      </c>
      <c r="L16266" s="404">
        <f>SUM(L16244)</f>
        <v>1097123.82</v>
      </c>
      <c r="M16266" s="682"/>
    </row>
    <row r="16267" spans="5:13" ht="0.75" customHeight="1" thickBot="1" x14ac:dyDescent="0.25">
      <c r="F16267" s="503" t="s">
        <v>248</v>
      </c>
      <c r="G16267" s="504" t="s">
        <v>249</v>
      </c>
      <c r="H16267" s="397"/>
      <c r="I16267" s="397"/>
      <c r="J16267" s="750" t="e">
        <f t="shared" si="190"/>
        <v>#DIV/0!</v>
      </c>
      <c r="K16267" s="398"/>
      <c r="L16267" s="404"/>
      <c r="M16267" s="682"/>
    </row>
    <row r="16268" spans="5:13" ht="13.5" hidden="1" thickBot="1" x14ac:dyDescent="0.25">
      <c r="F16268" s="503" t="s">
        <v>250</v>
      </c>
      <c r="G16268" s="504" t="s">
        <v>57</v>
      </c>
      <c r="H16268" s="397"/>
      <c r="I16268" s="397"/>
      <c r="J16268" s="750" t="e">
        <f t="shared" si="190"/>
        <v>#DIV/0!</v>
      </c>
      <c r="K16268" s="398"/>
      <c r="L16268" s="404"/>
      <c r="M16268" s="682"/>
    </row>
    <row r="16269" spans="5:13" ht="13.5" hidden="1" thickBot="1" x14ac:dyDescent="0.25">
      <c r="F16269" s="503" t="s">
        <v>251</v>
      </c>
      <c r="G16269" s="504" t="s">
        <v>252</v>
      </c>
      <c r="H16269" s="397"/>
      <c r="I16269" s="397"/>
      <c r="J16269" s="750" t="e">
        <f t="shared" si="190"/>
        <v>#DIV/0!</v>
      </c>
      <c r="K16269" s="398"/>
      <c r="L16269" s="404"/>
      <c r="M16269" s="682"/>
    </row>
    <row r="16270" spans="5:13" ht="13.5" hidden="1" thickBot="1" x14ac:dyDescent="0.25">
      <c r="F16270" s="503" t="s">
        <v>253</v>
      </c>
      <c r="G16270" s="504" t="s">
        <v>254</v>
      </c>
      <c r="H16270" s="397"/>
      <c r="I16270" s="397"/>
      <c r="J16270" s="750" t="e">
        <f t="shared" ref="J16270:J16333" si="191">SUM(I16270/H16270)*100</f>
        <v>#DIV/0!</v>
      </c>
      <c r="K16270" s="398"/>
      <c r="L16270" s="404"/>
      <c r="M16270" s="682"/>
    </row>
    <row r="16271" spans="5:13" ht="26.25" hidden="1" thickBot="1" x14ac:dyDescent="0.25">
      <c r="F16271" s="503" t="s">
        <v>255</v>
      </c>
      <c r="G16271" s="504" t="s">
        <v>256</v>
      </c>
      <c r="H16271" s="397"/>
      <c r="I16271" s="397"/>
      <c r="J16271" s="750" t="e">
        <f t="shared" si="191"/>
        <v>#DIV/0!</v>
      </c>
      <c r="K16271" s="398"/>
      <c r="L16271" s="404"/>
      <c r="M16271" s="682"/>
    </row>
    <row r="16272" spans="5:13" ht="26.25" hidden="1" thickBot="1" x14ac:dyDescent="0.25">
      <c r="F16272" s="503" t="s">
        <v>257</v>
      </c>
      <c r="G16272" s="504" t="s">
        <v>258</v>
      </c>
      <c r="H16272" s="397"/>
      <c r="I16272" s="397"/>
      <c r="J16272" s="750" t="e">
        <f t="shared" si="191"/>
        <v>#DIV/0!</v>
      </c>
      <c r="K16272" s="398"/>
      <c r="L16272" s="404"/>
      <c r="M16272" s="682"/>
    </row>
    <row r="16273" spans="5:13" ht="26.25" hidden="1" thickBot="1" x14ac:dyDescent="0.25">
      <c r="F16273" s="503" t="s">
        <v>259</v>
      </c>
      <c r="G16273" s="504" t="s">
        <v>260</v>
      </c>
      <c r="H16273" s="397"/>
      <c r="I16273" s="397"/>
      <c r="J16273" s="750" t="e">
        <f t="shared" si="191"/>
        <v>#DIV/0!</v>
      </c>
      <c r="K16273" s="398"/>
      <c r="L16273" s="404"/>
      <c r="M16273" s="682"/>
    </row>
    <row r="16274" spans="5:13" ht="26.25" hidden="1" thickBot="1" x14ac:dyDescent="0.25">
      <c r="F16274" s="503" t="s">
        <v>261</v>
      </c>
      <c r="G16274" s="504" t="s">
        <v>262</v>
      </c>
      <c r="H16274" s="397"/>
      <c r="I16274" s="397"/>
      <c r="J16274" s="750" t="e">
        <f t="shared" si="191"/>
        <v>#DIV/0!</v>
      </c>
      <c r="K16274" s="398"/>
      <c r="L16274" s="404"/>
      <c r="M16274" s="682"/>
    </row>
    <row r="16275" spans="5:13" ht="13.5" hidden="1" thickBot="1" x14ac:dyDescent="0.25">
      <c r="F16275" s="503" t="s">
        <v>263</v>
      </c>
      <c r="G16275" s="504" t="s">
        <v>264</v>
      </c>
      <c r="H16275" s="403"/>
      <c r="I16275" s="403"/>
      <c r="J16275" s="750" t="e">
        <f t="shared" si="191"/>
        <v>#DIV/0!</v>
      </c>
      <c r="K16275" s="404"/>
      <c r="L16275" s="404"/>
      <c r="M16275" s="682"/>
    </row>
    <row r="16276" spans="5:13" ht="13.5" thickBot="1" x14ac:dyDescent="0.25">
      <c r="G16276" s="505" t="s">
        <v>4311</v>
      </c>
      <c r="H16276" s="405">
        <f>SUM(H16260:H16275)</f>
        <v>1300000</v>
      </c>
      <c r="I16276" s="405">
        <f>SUM(I16260)</f>
        <v>952257.08</v>
      </c>
      <c r="J16276" s="750">
        <f t="shared" si="191"/>
        <v>73.250544615384612</v>
      </c>
      <c r="K16276" s="406">
        <f>SUM(K16261:K16275)</f>
        <v>1500000</v>
      </c>
      <c r="L16276" s="406">
        <f>SUM(L16266)</f>
        <v>1097123.82</v>
      </c>
      <c r="M16276" s="682"/>
    </row>
    <row r="16277" spans="5:13" x14ac:dyDescent="0.2">
      <c r="E16277" s="500"/>
      <c r="F16277" s="498"/>
      <c r="G16277" s="506" t="s">
        <v>5326</v>
      </c>
      <c r="H16277" s="407"/>
      <c r="I16277" s="408"/>
      <c r="J16277" s="750"/>
      <c r="K16277" s="409"/>
      <c r="L16277" s="410"/>
      <c r="M16277" s="682"/>
    </row>
    <row r="16278" spans="5:13" x14ac:dyDescent="0.2">
      <c r="E16278" s="502"/>
      <c r="F16278" s="503" t="s">
        <v>234</v>
      </c>
      <c r="G16278" s="504" t="s">
        <v>235</v>
      </c>
      <c r="H16278" s="403">
        <f>SUM(H16199:H16258)</f>
        <v>1300000</v>
      </c>
      <c r="I16278" s="403">
        <f>SUM(I16276)</f>
        <v>952257.08</v>
      </c>
      <c r="J16278" s="750">
        <f t="shared" si="191"/>
        <v>73.250544615384612</v>
      </c>
      <c r="K16278" s="404"/>
      <c r="L16278" s="404"/>
      <c r="M16278" s="682"/>
    </row>
    <row r="16279" spans="5:13" ht="0.75" customHeight="1" x14ac:dyDescent="0.2">
      <c r="F16279" s="503" t="s">
        <v>236</v>
      </c>
      <c r="G16279" s="504" t="s">
        <v>237</v>
      </c>
      <c r="H16279" s="397"/>
      <c r="I16279" s="397"/>
      <c r="J16279" s="750" t="e">
        <f t="shared" si="191"/>
        <v>#DIV/0!</v>
      </c>
      <c r="K16279" s="398"/>
      <c r="L16279" s="404"/>
      <c r="M16279" s="682"/>
    </row>
    <row r="16280" spans="5:13" hidden="1" x14ac:dyDescent="0.2">
      <c r="F16280" s="503" t="s">
        <v>238</v>
      </c>
      <c r="G16280" s="504" t="s">
        <v>239</v>
      </c>
      <c r="H16280" s="397"/>
      <c r="I16280" s="397"/>
      <c r="J16280" s="750" t="e">
        <f t="shared" si="191"/>
        <v>#DIV/0!</v>
      </c>
      <c r="K16280" s="398"/>
      <c r="L16280" s="404"/>
      <c r="M16280" s="682"/>
    </row>
    <row r="16281" spans="5:13" hidden="1" x14ac:dyDescent="0.2">
      <c r="F16281" s="503" t="s">
        <v>240</v>
      </c>
      <c r="G16281" s="504" t="s">
        <v>241</v>
      </c>
      <c r="H16281" s="397"/>
      <c r="I16281" s="397"/>
      <c r="J16281" s="750" t="e">
        <f t="shared" si="191"/>
        <v>#DIV/0!</v>
      </c>
      <c r="K16281" s="398"/>
      <c r="L16281" s="404"/>
      <c r="M16281" s="682"/>
    </row>
    <row r="16282" spans="5:13" hidden="1" x14ac:dyDescent="0.2">
      <c r="F16282" s="503" t="s">
        <v>242</v>
      </c>
      <c r="G16282" s="504" t="s">
        <v>243</v>
      </c>
      <c r="H16282" s="397"/>
      <c r="I16282" s="397"/>
      <c r="J16282" s="750" t="e">
        <f t="shared" si="191"/>
        <v>#DIV/0!</v>
      </c>
      <c r="K16282" s="398"/>
      <c r="L16282" s="404"/>
      <c r="M16282" s="682"/>
    </row>
    <row r="16283" spans="5:13" hidden="1" x14ac:dyDescent="0.2">
      <c r="F16283" s="503" t="s">
        <v>244</v>
      </c>
      <c r="G16283" s="504" t="s">
        <v>245</v>
      </c>
      <c r="H16283" s="397"/>
      <c r="I16283" s="397"/>
      <c r="J16283" s="750" t="e">
        <f t="shared" si="191"/>
        <v>#DIV/0!</v>
      </c>
      <c r="K16283" s="398"/>
      <c r="L16283" s="404"/>
      <c r="M16283" s="682"/>
    </row>
    <row r="16284" spans="5:13" x14ac:dyDescent="0.2">
      <c r="F16284" s="503" t="s">
        <v>246</v>
      </c>
      <c r="G16284" s="504" t="s">
        <v>247</v>
      </c>
      <c r="H16284" s="397"/>
      <c r="I16284" s="397"/>
      <c r="J16284" s="750"/>
      <c r="K16284" s="398">
        <v>1500000</v>
      </c>
      <c r="L16284" s="404">
        <f>SUM(L16276)</f>
        <v>1097123.82</v>
      </c>
      <c r="M16284" s="682"/>
    </row>
    <row r="16285" spans="5:13" ht="0.75" customHeight="1" thickBot="1" x14ac:dyDescent="0.25">
      <c r="F16285" s="503" t="s">
        <v>248</v>
      </c>
      <c r="G16285" s="504" t="s">
        <v>249</v>
      </c>
      <c r="H16285" s="397"/>
      <c r="I16285" s="397"/>
      <c r="J16285" s="750" t="e">
        <f t="shared" si="191"/>
        <v>#DIV/0!</v>
      </c>
      <c r="K16285" s="398"/>
      <c r="L16285" s="404"/>
      <c r="M16285" s="682"/>
    </row>
    <row r="16286" spans="5:13" ht="13.5" hidden="1" thickBot="1" x14ac:dyDescent="0.25">
      <c r="F16286" s="503" t="s">
        <v>250</v>
      </c>
      <c r="G16286" s="504" t="s">
        <v>57</v>
      </c>
      <c r="H16286" s="397"/>
      <c r="I16286" s="397"/>
      <c r="J16286" s="750" t="e">
        <f t="shared" si="191"/>
        <v>#DIV/0!</v>
      </c>
      <c r="K16286" s="398"/>
      <c r="L16286" s="404"/>
      <c r="M16286" s="682"/>
    </row>
    <row r="16287" spans="5:13" ht="13.5" hidden="1" thickBot="1" x14ac:dyDescent="0.25">
      <c r="F16287" s="503" t="s">
        <v>251</v>
      </c>
      <c r="G16287" s="504" t="s">
        <v>252</v>
      </c>
      <c r="H16287" s="397"/>
      <c r="I16287" s="397"/>
      <c r="J16287" s="750" t="e">
        <f t="shared" si="191"/>
        <v>#DIV/0!</v>
      </c>
      <c r="K16287" s="398"/>
      <c r="L16287" s="404"/>
      <c r="M16287" s="682"/>
    </row>
    <row r="16288" spans="5:13" ht="13.5" hidden="1" thickBot="1" x14ac:dyDescent="0.25">
      <c r="F16288" s="503" t="s">
        <v>253</v>
      </c>
      <c r="G16288" s="504" t="s">
        <v>254</v>
      </c>
      <c r="H16288" s="397"/>
      <c r="I16288" s="397"/>
      <c r="J16288" s="750" t="e">
        <f t="shared" si="191"/>
        <v>#DIV/0!</v>
      </c>
      <c r="K16288" s="398"/>
      <c r="L16288" s="404"/>
      <c r="M16288" s="682"/>
    </row>
    <row r="16289" spans="3:13" ht="26.25" hidden="1" thickBot="1" x14ac:dyDescent="0.25">
      <c r="F16289" s="503" t="s">
        <v>255</v>
      </c>
      <c r="G16289" s="504" t="s">
        <v>256</v>
      </c>
      <c r="H16289" s="397"/>
      <c r="I16289" s="397"/>
      <c r="J16289" s="750" t="e">
        <f t="shared" si="191"/>
        <v>#DIV/0!</v>
      </c>
      <c r="K16289" s="398"/>
      <c r="L16289" s="404"/>
      <c r="M16289" s="682"/>
    </row>
    <row r="16290" spans="3:13" ht="26.25" hidden="1" thickBot="1" x14ac:dyDescent="0.25">
      <c r="F16290" s="503" t="s">
        <v>257</v>
      </c>
      <c r="G16290" s="504" t="s">
        <v>258</v>
      </c>
      <c r="H16290" s="397"/>
      <c r="I16290" s="397"/>
      <c r="J16290" s="750" t="e">
        <f t="shared" si="191"/>
        <v>#DIV/0!</v>
      </c>
      <c r="K16290" s="398"/>
      <c r="L16290" s="404"/>
      <c r="M16290" s="682"/>
    </row>
    <row r="16291" spans="3:13" ht="26.25" hidden="1" thickBot="1" x14ac:dyDescent="0.25">
      <c r="F16291" s="503" t="s">
        <v>259</v>
      </c>
      <c r="G16291" s="504" t="s">
        <v>260</v>
      </c>
      <c r="H16291" s="397"/>
      <c r="I16291" s="397"/>
      <c r="J16291" s="750" t="e">
        <f t="shared" si="191"/>
        <v>#DIV/0!</v>
      </c>
      <c r="K16291" s="398"/>
      <c r="L16291" s="404"/>
      <c r="M16291" s="682"/>
    </row>
    <row r="16292" spans="3:13" ht="26.25" hidden="1" thickBot="1" x14ac:dyDescent="0.25">
      <c r="F16292" s="503" t="s">
        <v>261</v>
      </c>
      <c r="G16292" s="504" t="s">
        <v>262</v>
      </c>
      <c r="H16292" s="397"/>
      <c r="I16292" s="397"/>
      <c r="J16292" s="750" t="e">
        <f t="shared" si="191"/>
        <v>#DIV/0!</v>
      </c>
      <c r="K16292" s="398"/>
      <c r="L16292" s="404"/>
      <c r="M16292" s="682"/>
    </row>
    <row r="16293" spans="3:13" ht="13.5" hidden="1" thickBot="1" x14ac:dyDescent="0.25">
      <c r="F16293" s="503" t="s">
        <v>263</v>
      </c>
      <c r="G16293" s="504" t="s">
        <v>264</v>
      </c>
      <c r="H16293" s="403"/>
      <c r="I16293" s="403"/>
      <c r="J16293" s="750" t="e">
        <f t="shared" si="191"/>
        <v>#DIV/0!</v>
      </c>
      <c r="K16293" s="404"/>
      <c r="L16293" s="404"/>
      <c r="M16293" s="682"/>
    </row>
    <row r="16294" spans="3:13" ht="15" customHeight="1" thickBot="1" x14ac:dyDescent="0.25">
      <c r="G16294" s="505" t="s">
        <v>5327</v>
      </c>
      <c r="H16294" s="405">
        <f>SUM(H16278:H16293)</f>
        <v>1300000</v>
      </c>
      <c r="I16294" s="405">
        <f>SUM(I16278)</f>
        <v>952257.08</v>
      </c>
      <c r="J16294" s="750">
        <f t="shared" si="191"/>
        <v>73.250544615384612</v>
      </c>
      <c r="K16294" s="406">
        <f>SUM(K16279:K16293)</f>
        <v>1500000</v>
      </c>
      <c r="L16294" s="406">
        <f>SUM(L16284)</f>
        <v>1097123.82</v>
      </c>
      <c r="M16294" s="682"/>
    </row>
    <row r="16295" spans="3:13" hidden="1" x14ac:dyDescent="0.2">
      <c r="G16295" s="510"/>
      <c r="H16295" s="411"/>
      <c r="I16295" s="411"/>
      <c r="J16295" s="750" t="e">
        <f t="shared" si="191"/>
        <v>#DIV/0!</v>
      </c>
      <c r="K16295" s="412"/>
      <c r="L16295" s="412"/>
      <c r="M16295" s="682"/>
    </row>
    <row r="16296" spans="3:13" ht="25.5" hidden="1" x14ac:dyDescent="0.2">
      <c r="C16296" s="489" t="s">
        <v>4512</v>
      </c>
      <c r="D16296" s="490"/>
      <c r="G16296" s="508" t="s">
        <v>5328</v>
      </c>
      <c r="H16296" s="397"/>
      <c r="I16296" s="397"/>
      <c r="J16296" s="750"/>
      <c r="K16296" s="398"/>
      <c r="L16296" s="398"/>
      <c r="M16296" s="682"/>
    </row>
    <row r="16297" spans="3:13" hidden="1" x14ac:dyDescent="0.2">
      <c r="C16297" s="489"/>
      <c r="D16297" s="492">
        <v>520</v>
      </c>
      <c r="E16297" s="492"/>
      <c r="F16297" s="492"/>
      <c r="G16297" s="493" t="s">
        <v>175</v>
      </c>
      <c r="H16297" s="397"/>
      <c r="I16297" s="397"/>
      <c r="J16297" s="750"/>
      <c r="K16297" s="398"/>
      <c r="L16297" s="398"/>
      <c r="M16297" s="682"/>
    </row>
    <row r="16298" spans="3:13" hidden="1" x14ac:dyDescent="0.2">
      <c r="F16298" s="494">
        <v>411</v>
      </c>
      <c r="G16298" s="495" t="s">
        <v>4167</v>
      </c>
      <c r="H16298" s="397"/>
      <c r="I16298" s="397"/>
      <c r="J16298" s="750" t="e">
        <f t="shared" si="191"/>
        <v>#DIV/0!</v>
      </c>
      <c r="K16298" s="398"/>
      <c r="L16298" s="398"/>
      <c r="M16298" s="682"/>
    </row>
    <row r="16299" spans="3:13" hidden="1" x14ac:dyDescent="0.2">
      <c r="F16299" s="494">
        <v>412</v>
      </c>
      <c r="G16299" s="496" t="s">
        <v>3764</v>
      </c>
      <c r="H16299" s="397"/>
      <c r="I16299" s="397"/>
      <c r="J16299" s="750" t="e">
        <f t="shared" si="191"/>
        <v>#DIV/0!</v>
      </c>
      <c r="K16299" s="398"/>
      <c r="L16299" s="398"/>
      <c r="M16299" s="682"/>
    </row>
    <row r="16300" spans="3:13" hidden="1" x14ac:dyDescent="0.2">
      <c r="F16300" s="494">
        <v>413</v>
      </c>
      <c r="G16300" s="495" t="s">
        <v>4168</v>
      </c>
      <c r="H16300" s="397"/>
      <c r="I16300" s="397"/>
      <c r="J16300" s="750" t="e">
        <f t="shared" si="191"/>
        <v>#DIV/0!</v>
      </c>
      <c r="K16300" s="398"/>
      <c r="L16300" s="398"/>
      <c r="M16300" s="682"/>
    </row>
    <row r="16301" spans="3:13" hidden="1" x14ac:dyDescent="0.2">
      <c r="F16301" s="494">
        <v>414</v>
      </c>
      <c r="G16301" s="495" t="s">
        <v>3767</v>
      </c>
      <c r="H16301" s="397"/>
      <c r="I16301" s="397"/>
      <c r="J16301" s="750" t="e">
        <f t="shared" si="191"/>
        <v>#DIV/0!</v>
      </c>
      <c r="K16301" s="398"/>
      <c r="L16301" s="398"/>
      <c r="M16301" s="682"/>
    </row>
    <row r="16302" spans="3:13" hidden="1" x14ac:dyDescent="0.2">
      <c r="F16302" s="494">
        <v>415</v>
      </c>
      <c r="G16302" s="495" t="s">
        <v>4177</v>
      </c>
      <c r="H16302" s="397"/>
      <c r="I16302" s="397"/>
      <c r="J16302" s="750" t="e">
        <f t="shared" si="191"/>
        <v>#DIV/0!</v>
      </c>
      <c r="K16302" s="398"/>
      <c r="L16302" s="398"/>
      <c r="M16302" s="682"/>
    </row>
    <row r="16303" spans="3:13" ht="25.5" hidden="1" x14ac:dyDescent="0.2">
      <c r="F16303" s="494">
        <v>416</v>
      </c>
      <c r="G16303" s="495" t="s">
        <v>4178</v>
      </c>
      <c r="H16303" s="397"/>
      <c r="I16303" s="397"/>
      <c r="J16303" s="750" t="e">
        <f t="shared" si="191"/>
        <v>#DIV/0!</v>
      </c>
      <c r="K16303" s="398"/>
      <c r="L16303" s="398"/>
      <c r="M16303" s="682"/>
    </row>
    <row r="16304" spans="3:13" hidden="1" x14ac:dyDescent="0.2">
      <c r="F16304" s="494">
        <v>417</v>
      </c>
      <c r="G16304" s="495" t="s">
        <v>4179</v>
      </c>
      <c r="H16304" s="397"/>
      <c r="I16304" s="397"/>
      <c r="J16304" s="750" t="e">
        <f t="shared" si="191"/>
        <v>#DIV/0!</v>
      </c>
      <c r="K16304" s="398"/>
      <c r="L16304" s="398"/>
      <c r="M16304" s="682"/>
    </row>
    <row r="16305" spans="6:13" hidden="1" x14ac:dyDescent="0.2">
      <c r="F16305" s="494">
        <v>418</v>
      </c>
      <c r="G16305" s="495" t="s">
        <v>3773</v>
      </c>
      <c r="H16305" s="397"/>
      <c r="I16305" s="397"/>
      <c r="J16305" s="750" t="e">
        <f t="shared" si="191"/>
        <v>#DIV/0!</v>
      </c>
      <c r="K16305" s="398"/>
      <c r="L16305" s="398"/>
      <c r="M16305" s="682"/>
    </row>
    <row r="16306" spans="6:13" hidden="1" x14ac:dyDescent="0.2">
      <c r="F16306" s="494">
        <v>421</v>
      </c>
      <c r="G16306" s="495" t="s">
        <v>3777</v>
      </c>
      <c r="H16306" s="397"/>
      <c r="I16306" s="397"/>
      <c r="J16306" s="750" t="e">
        <f t="shared" si="191"/>
        <v>#DIV/0!</v>
      </c>
      <c r="K16306" s="398"/>
      <c r="L16306" s="398"/>
      <c r="M16306" s="682"/>
    </row>
    <row r="16307" spans="6:13" hidden="1" x14ac:dyDescent="0.2">
      <c r="F16307" s="494">
        <v>422</v>
      </c>
      <c r="G16307" s="495" t="s">
        <v>3778</v>
      </c>
      <c r="H16307" s="397"/>
      <c r="I16307" s="397"/>
      <c r="J16307" s="750" t="e">
        <f t="shared" si="191"/>
        <v>#DIV/0!</v>
      </c>
      <c r="K16307" s="398"/>
      <c r="L16307" s="398"/>
      <c r="M16307" s="682"/>
    </row>
    <row r="16308" spans="6:13" hidden="1" x14ac:dyDescent="0.2">
      <c r="F16308" s="494">
        <v>423</v>
      </c>
      <c r="G16308" s="495" t="s">
        <v>3779</v>
      </c>
      <c r="H16308" s="397"/>
      <c r="I16308" s="397"/>
      <c r="J16308" s="750" t="e">
        <f t="shared" si="191"/>
        <v>#DIV/0!</v>
      </c>
      <c r="K16308" s="398"/>
      <c r="L16308" s="398"/>
      <c r="M16308" s="682"/>
    </row>
    <row r="16309" spans="6:13" hidden="1" x14ac:dyDescent="0.2">
      <c r="F16309" s="494">
        <v>424</v>
      </c>
      <c r="G16309" s="495" t="s">
        <v>3781</v>
      </c>
      <c r="H16309" s="397"/>
      <c r="I16309" s="397"/>
      <c r="J16309" s="750" t="e">
        <f t="shared" si="191"/>
        <v>#DIV/0!</v>
      </c>
      <c r="K16309" s="398"/>
      <c r="L16309" s="398"/>
      <c r="M16309" s="682"/>
    </row>
    <row r="16310" spans="6:13" hidden="1" x14ac:dyDescent="0.2">
      <c r="F16310" s="494">
        <v>425</v>
      </c>
      <c r="G16310" s="495" t="s">
        <v>4180</v>
      </c>
      <c r="H16310" s="397"/>
      <c r="I16310" s="397"/>
      <c r="J16310" s="750" t="e">
        <f t="shared" si="191"/>
        <v>#DIV/0!</v>
      </c>
      <c r="K16310" s="398"/>
      <c r="L16310" s="398"/>
      <c r="M16310" s="682"/>
    </row>
    <row r="16311" spans="6:13" hidden="1" x14ac:dyDescent="0.2">
      <c r="F16311" s="494">
        <v>426</v>
      </c>
      <c r="G16311" s="495" t="s">
        <v>3785</v>
      </c>
      <c r="H16311" s="397"/>
      <c r="I16311" s="397"/>
      <c r="J16311" s="750" t="e">
        <f t="shared" si="191"/>
        <v>#DIV/0!</v>
      </c>
      <c r="K16311" s="398"/>
      <c r="L16311" s="398"/>
      <c r="M16311" s="682"/>
    </row>
    <row r="16312" spans="6:13" hidden="1" x14ac:dyDescent="0.2">
      <c r="F16312" s="494">
        <v>431</v>
      </c>
      <c r="G16312" s="495" t="s">
        <v>4181</v>
      </c>
      <c r="H16312" s="397"/>
      <c r="I16312" s="397"/>
      <c r="J16312" s="750" t="e">
        <f t="shared" si="191"/>
        <v>#DIV/0!</v>
      </c>
      <c r="K16312" s="398"/>
      <c r="L16312" s="398"/>
      <c r="M16312" s="682"/>
    </row>
    <row r="16313" spans="6:13" hidden="1" x14ac:dyDescent="0.2">
      <c r="F16313" s="494">
        <v>432</v>
      </c>
      <c r="G16313" s="495" t="s">
        <v>4182</v>
      </c>
      <c r="H16313" s="397"/>
      <c r="I16313" s="397"/>
      <c r="J16313" s="750" t="e">
        <f t="shared" si="191"/>
        <v>#DIV/0!</v>
      </c>
      <c r="K16313" s="398"/>
      <c r="L16313" s="398"/>
      <c r="M16313" s="682"/>
    </row>
    <row r="16314" spans="6:13" hidden="1" x14ac:dyDescent="0.2">
      <c r="F16314" s="494">
        <v>433</v>
      </c>
      <c r="G16314" s="495" t="s">
        <v>4183</v>
      </c>
      <c r="H16314" s="397"/>
      <c r="I16314" s="397"/>
      <c r="J16314" s="750" t="e">
        <f t="shared" si="191"/>
        <v>#DIV/0!</v>
      </c>
      <c r="K16314" s="398"/>
      <c r="L16314" s="398"/>
      <c r="M16314" s="682"/>
    </row>
    <row r="16315" spans="6:13" hidden="1" x14ac:dyDescent="0.2">
      <c r="F16315" s="494">
        <v>434</v>
      </c>
      <c r="G16315" s="495" t="s">
        <v>4184</v>
      </c>
      <c r="H16315" s="397"/>
      <c r="I16315" s="397"/>
      <c r="J16315" s="750" t="e">
        <f t="shared" si="191"/>
        <v>#DIV/0!</v>
      </c>
      <c r="K16315" s="398"/>
      <c r="L16315" s="398"/>
      <c r="M16315" s="682"/>
    </row>
    <row r="16316" spans="6:13" hidden="1" x14ac:dyDescent="0.2">
      <c r="F16316" s="494">
        <v>435</v>
      </c>
      <c r="G16316" s="495" t="s">
        <v>3792</v>
      </c>
      <c r="H16316" s="397"/>
      <c r="I16316" s="397"/>
      <c r="J16316" s="750" t="e">
        <f t="shared" si="191"/>
        <v>#DIV/0!</v>
      </c>
      <c r="K16316" s="398"/>
      <c r="L16316" s="398"/>
      <c r="M16316" s="682"/>
    </row>
    <row r="16317" spans="6:13" hidden="1" x14ac:dyDescent="0.2">
      <c r="F16317" s="494">
        <v>441</v>
      </c>
      <c r="G16317" s="495" t="s">
        <v>4185</v>
      </c>
      <c r="H16317" s="397"/>
      <c r="I16317" s="397"/>
      <c r="J16317" s="750" t="e">
        <f t="shared" si="191"/>
        <v>#DIV/0!</v>
      </c>
      <c r="K16317" s="398"/>
      <c r="L16317" s="398"/>
      <c r="M16317" s="682"/>
    </row>
    <row r="16318" spans="6:13" hidden="1" x14ac:dyDescent="0.2">
      <c r="F16318" s="494">
        <v>442</v>
      </c>
      <c r="G16318" s="495" t="s">
        <v>4186</v>
      </c>
      <c r="H16318" s="397"/>
      <c r="I16318" s="397"/>
      <c r="J16318" s="750" t="e">
        <f t="shared" si="191"/>
        <v>#DIV/0!</v>
      </c>
      <c r="K16318" s="398"/>
      <c r="L16318" s="398"/>
      <c r="M16318" s="682"/>
    </row>
    <row r="16319" spans="6:13" hidden="1" x14ac:dyDescent="0.2">
      <c r="F16319" s="494">
        <v>443</v>
      </c>
      <c r="G16319" s="495" t="s">
        <v>3797</v>
      </c>
      <c r="H16319" s="397"/>
      <c r="I16319" s="397"/>
      <c r="J16319" s="750" t="e">
        <f t="shared" si="191"/>
        <v>#DIV/0!</v>
      </c>
      <c r="K16319" s="398"/>
      <c r="L16319" s="398"/>
      <c r="M16319" s="682"/>
    </row>
    <row r="16320" spans="6:13" hidden="1" x14ac:dyDescent="0.2">
      <c r="F16320" s="494">
        <v>444</v>
      </c>
      <c r="G16320" s="495" t="s">
        <v>3798</v>
      </c>
      <c r="H16320" s="397"/>
      <c r="I16320" s="397"/>
      <c r="J16320" s="750" t="e">
        <f t="shared" si="191"/>
        <v>#DIV/0!</v>
      </c>
      <c r="K16320" s="398"/>
      <c r="L16320" s="398"/>
      <c r="M16320" s="682"/>
    </row>
    <row r="16321" spans="6:13" ht="0.75" hidden="1" customHeight="1" x14ac:dyDescent="0.2">
      <c r="F16321" s="494">
        <v>4511</v>
      </c>
      <c r="G16321" s="466" t="s">
        <v>1692</v>
      </c>
      <c r="H16321" s="397"/>
      <c r="I16321" s="397"/>
      <c r="J16321" s="750" t="e">
        <f t="shared" si="191"/>
        <v>#DIV/0!</v>
      </c>
      <c r="K16321" s="398"/>
      <c r="L16321" s="398"/>
      <c r="M16321" s="682"/>
    </row>
    <row r="16322" spans="6:13" ht="25.5" hidden="1" x14ac:dyDescent="0.2">
      <c r="F16322" s="494">
        <v>4512</v>
      </c>
      <c r="G16322" s="466" t="s">
        <v>1701</v>
      </c>
      <c r="H16322" s="397"/>
      <c r="I16322" s="397"/>
      <c r="J16322" s="750" t="e">
        <f t="shared" si="191"/>
        <v>#DIV/0!</v>
      </c>
      <c r="K16322" s="398"/>
      <c r="L16322" s="398"/>
      <c r="M16322" s="682"/>
    </row>
    <row r="16323" spans="6:13" ht="25.5" hidden="1" x14ac:dyDescent="0.2">
      <c r="F16323" s="494">
        <v>452</v>
      </c>
      <c r="G16323" s="495" t="s">
        <v>4187</v>
      </c>
      <c r="H16323" s="397"/>
      <c r="I16323" s="397"/>
      <c r="J16323" s="750" t="e">
        <f t="shared" si="191"/>
        <v>#DIV/0!</v>
      </c>
      <c r="K16323" s="398"/>
      <c r="L16323" s="398"/>
      <c r="M16323" s="682"/>
    </row>
    <row r="16324" spans="6:13" ht="25.5" hidden="1" x14ac:dyDescent="0.2">
      <c r="F16324" s="494">
        <v>453</v>
      </c>
      <c r="G16324" s="495" t="s">
        <v>4188</v>
      </c>
      <c r="H16324" s="397"/>
      <c r="I16324" s="397"/>
      <c r="J16324" s="750" t="e">
        <f t="shared" si="191"/>
        <v>#DIV/0!</v>
      </c>
      <c r="K16324" s="398"/>
      <c r="L16324" s="398"/>
      <c r="M16324" s="682"/>
    </row>
    <row r="16325" spans="6:13" hidden="1" x14ac:dyDescent="0.2">
      <c r="F16325" s="494">
        <v>454</v>
      </c>
      <c r="G16325" s="495" t="s">
        <v>3803</v>
      </c>
      <c r="H16325" s="397"/>
      <c r="I16325" s="397"/>
      <c r="J16325" s="750" t="e">
        <f t="shared" si="191"/>
        <v>#DIV/0!</v>
      </c>
      <c r="K16325" s="398"/>
      <c r="L16325" s="398"/>
      <c r="M16325" s="682"/>
    </row>
    <row r="16326" spans="6:13" hidden="1" x14ac:dyDescent="0.2">
      <c r="F16326" s="494">
        <v>461</v>
      </c>
      <c r="G16326" s="495" t="s">
        <v>4169</v>
      </c>
      <c r="H16326" s="397"/>
      <c r="I16326" s="397"/>
      <c r="J16326" s="750" t="e">
        <f t="shared" si="191"/>
        <v>#DIV/0!</v>
      </c>
      <c r="K16326" s="398"/>
      <c r="L16326" s="398"/>
      <c r="M16326" s="682"/>
    </row>
    <row r="16327" spans="6:13" ht="25.5" hidden="1" x14ac:dyDescent="0.2">
      <c r="F16327" s="494">
        <v>462</v>
      </c>
      <c r="G16327" s="495" t="s">
        <v>3806</v>
      </c>
      <c r="H16327" s="397"/>
      <c r="I16327" s="397"/>
      <c r="J16327" s="750" t="e">
        <f t="shared" si="191"/>
        <v>#DIV/0!</v>
      </c>
      <c r="K16327" s="398"/>
      <c r="L16327" s="398"/>
      <c r="M16327" s="682"/>
    </row>
    <row r="16328" spans="6:13" hidden="1" x14ac:dyDescent="0.2">
      <c r="F16328" s="494">
        <v>4631</v>
      </c>
      <c r="G16328" s="495" t="s">
        <v>3807</v>
      </c>
      <c r="H16328" s="397"/>
      <c r="I16328" s="397"/>
      <c r="J16328" s="750" t="e">
        <f t="shared" si="191"/>
        <v>#DIV/0!</v>
      </c>
      <c r="K16328" s="398"/>
      <c r="L16328" s="398"/>
      <c r="M16328" s="682"/>
    </row>
    <row r="16329" spans="6:13" hidden="1" x14ac:dyDescent="0.2">
      <c r="F16329" s="494">
        <v>4632</v>
      </c>
      <c r="G16329" s="495" t="s">
        <v>3808</v>
      </c>
      <c r="H16329" s="397"/>
      <c r="I16329" s="397"/>
      <c r="J16329" s="750" t="e">
        <f t="shared" si="191"/>
        <v>#DIV/0!</v>
      </c>
      <c r="K16329" s="398"/>
      <c r="L16329" s="398"/>
      <c r="M16329" s="682"/>
    </row>
    <row r="16330" spans="6:13" ht="25.5" hidden="1" x14ac:dyDescent="0.2">
      <c r="F16330" s="494">
        <v>464</v>
      </c>
      <c r="G16330" s="495" t="s">
        <v>3809</v>
      </c>
      <c r="H16330" s="397"/>
      <c r="I16330" s="397"/>
      <c r="J16330" s="750" t="e">
        <f t="shared" si="191"/>
        <v>#DIV/0!</v>
      </c>
      <c r="K16330" s="398"/>
      <c r="L16330" s="398"/>
      <c r="M16330" s="682"/>
    </row>
    <row r="16331" spans="6:13" hidden="1" x14ac:dyDescent="0.2">
      <c r="F16331" s="494">
        <v>465</v>
      </c>
      <c r="G16331" s="495" t="s">
        <v>4170</v>
      </c>
      <c r="H16331" s="397"/>
      <c r="I16331" s="397"/>
      <c r="J16331" s="750" t="e">
        <f t="shared" si="191"/>
        <v>#DIV/0!</v>
      </c>
      <c r="K16331" s="398"/>
      <c r="L16331" s="398"/>
      <c r="M16331" s="682"/>
    </row>
    <row r="16332" spans="6:13" hidden="1" x14ac:dyDescent="0.2">
      <c r="F16332" s="494">
        <v>472</v>
      </c>
      <c r="G16332" s="495" t="s">
        <v>3813</v>
      </c>
      <c r="H16332" s="397"/>
      <c r="I16332" s="397"/>
      <c r="J16332" s="750" t="e">
        <f t="shared" si="191"/>
        <v>#DIV/0!</v>
      </c>
      <c r="K16332" s="398"/>
      <c r="L16332" s="398"/>
      <c r="M16332" s="682"/>
    </row>
    <row r="16333" spans="6:13" hidden="1" x14ac:dyDescent="0.2">
      <c r="F16333" s="494">
        <v>481</v>
      </c>
      <c r="G16333" s="495" t="s">
        <v>4189</v>
      </c>
      <c r="H16333" s="397"/>
      <c r="I16333" s="397"/>
      <c r="J16333" s="750" t="e">
        <f t="shared" si="191"/>
        <v>#DIV/0!</v>
      </c>
      <c r="K16333" s="398"/>
      <c r="L16333" s="398"/>
      <c r="M16333" s="682"/>
    </row>
    <row r="16334" spans="6:13" hidden="1" x14ac:dyDescent="0.2">
      <c r="F16334" s="494">
        <v>482</v>
      </c>
      <c r="G16334" s="495" t="s">
        <v>4190</v>
      </c>
      <c r="H16334" s="397"/>
      <c r="I16334" s="397"/>
      <c r="J16334" s="750" t="e">
        <f t="shared" ref="J16334:J16397" si="192">SUM(I16334/H16334)*100</f>
        <v>#DIV/0!</v>
      </c>
      <c r="K16334" s="398"/>
      <c r="L16334" s="398"/>
      <c r="M16334" s="682"/>
    </row>
    <row r="16335" spans="6:13" hidden="1" x14ac:dyDescent="0.2">
      <c r="F16335" s="494">
        <v>483</v>
      </c>
      <c r="G16335" s="497" t="s">
        <v>4191</v>
      </c>
      <c r="H16335" s="397"/>
      <c r="I16335" s="397"/>
      <c r="J16335" s="750" t="e">
        <f t="shared" si="192"/>
        <v>#DIV/0!</v>
      </c>
      <c r="K16335" s="398"/>
      <c r="L16335" s="398"/>
      <c r="M16335" s="682"/>
    </row>
    <row r="16336" spans="6:13" ht="17.25" hidden="1" customHeight="1" x14ac:dyDescent="0.2">
      <c r="F16336" s="494">
        <v>484</v>
      </c>
      <c r="G16336" s="495" t="s">
        <v>4192</v>
      </c>
      <c r="H16336" s="397"/>
      <c r="I16336" s="397"/>
      <c r="J16336" s="750" t="e">
        <f t="shared" si="192"/>
        <v>#DIV/0!</v>
      </c>
      <c r="K16336" s="398"/>
      <c r="L16336" s="398"/>
      <c r="M16336" s="682"/>
    </row>
    <row r="16337" spans="5:13" ht="25.5" hidden="1" x14ac:dyDescent="0.2">
      <c r="F16337" s="494">
        <v>485</v>
      </c>
      <c r="G16337" s="495" t="s">
        <v>4193</v>
      </c>
      <c r="H16337" s="397"/>
      <c r="I16337" s="397"/>
      <c r="J16337" s="750" t="e">
        <f t="shared" si="192"/>
        <v>#DIV/0!</v>
      </c>
      <c r="K16337" s="398"/>
      <c r="L16337" s="398"/>
      <c r="M16337" s="682"/>
    </row>
    <row r="16338" spans="5:13" ht="25.5" hidden="1" x14ac:dyDescent="0.2">
      <c r="F16338" s="494">
        <v>489</v>
      </c>
      <c r="G16338" s="495" t="s">
        <v>3821</v>
      </c>
      <c r="H16338" s="397"/>
      <c r="I16338" s="397"/>
      <c r="J16338" s="750" t="e">
        <f t="shared" si="192"/>
        <v>#DIV/0!</v>
      </c>
      <c r="K16338" s="398"/>
      <c r="L16338" s="398"/>
      <c r="M16338" s="682"/>
    </row>
    <row r="16339" spans="5:13" ht="25.5" hidden="1" x14ac:dyDescent="0.2">
      <c r="F16339" s="494">
        <v>494</v>
      </c>
      <c r="G16339" s="495" t="s">
        <v>4171</v>
      </c>
      <c r="H16339" s="397"/>
      <c r="I16339" s="397"/>
      <c r="J16339" s="750" t="e">
        <f t="shared" si="192"/>
        <v>#DIV/0!</v>
      </c>
      <c r="K16339" s="398"/>
      <c r="L16339" s="398"/>
      <c r="M16339" s="682"/>
    </row>
    <row r="16340" spans="5:13" ht="25.5" hidden="1" x14ac:dyDescent="0.2">
      <c r="F16340" s="494">
        <v>495</v>
      </c>
      <c r="G16340" s="495" t="s">
        <v>4172</v>
      </c>
      <c r="H16340" s="397"/>
      <c r="I16340" s="397"/>
      <c r="J16340" s="750" t="e">
        <f t="shared" si="192"/>
        <v>#DIV/0!</v>
      </c>
      <c r="K16340" s="398"/>
      <c r="L16340" s="398"/>
      <c r="M16340" s="682"/>
    </row>
    <row r="16341" spans="5:13" ht="38.25" hidden="1" x14ac:dyDescent="0.2">
      <c r="F16341" s="494">
        <v>496</v>
      </c>
      <c r="G16341" s="495" t="s">
        <v>4173</v>
      </c>
      <c r="H16341" s="397"/>
      <c r="I16341" s="397"/>
      <c r="J16341" s="750" t="e">
        <f t="shared" si="192"/>
        <v>#DIV/0!</v>
      </c>
      <c r="K16341" s="398"/>
      <c r="L16341" s="398"/>
      <c r="M16341" s="682"/>
    </row>
    <row r="16342" spans="5:13" ht="25.5" hidden="1" x14ac:dyDescent="0.2">
      <c r="F16342" s="494">
        <v>499</v>
      </c>
      <c r="G16342" s="495" t="s">
        <v>4174</v>
      </c>
      <c r="H16342" s="397"/>
      <c r="I16342" s="397"/>
      <c r="J16342" s="750" t="e">
        <f t="shared" si="192"/>
        <v>#DIV/0!</v>
      </c>
      <c r="K16342" s="398"/>
      <c r="L16342" s="398"/>
      <c r="M16342" s="682"/>
    </row>
    <row r="16343" spans="5:13" hidden="1" x14ac:dyDescent="0.2">
      <c r="E16343" s="464" t="s">
        <v>5324</v>
      </c>
      <c r="F16343" s="494">
        <v>511</v>
      </c>
      <c r="G16343" s="497" t="s">
        <v>4194</v>
      </c>
      <c r="H16343" s="397"/>
      <c r="I16343" s="397"/>
      <c r="J16343" s="750" t="e">
        <f t="shared" si="192"/>
        <v>#DIV/0!</v>
      </c>
      <c r="K16343" s="398"/>
      <c r="L16343" s="398"/>
      <c r="M16343" s="682"/>
    </row>
    <row r="16344" spans="5:13" hidden="1" x14ac:dyDescent="0.2">
      <c r="F16344" s="494">
        <v>512</v>
      </c>
      <c r="G16344" s="497" t="s">
        <v>4195</v>
      </c>
      <c r="H16344" s="397"/>
      <c r="I16344" s="397"/>
      <c r="J16344" s="750" t="e">
        <f t="shared" si="192"/>
        <v>#DIV/0!</v>
      </c>
      <c r="K16344" s="398"/>
      <c r="L16344" s="398"/>
      <c r="M16344" s="682"/>
    </row>
    <row r="16345" spans="5:13" hidden="1" x14ac:dyDescent="0.2">
      <c r="F16345" s="494">
        <v>513</v>
      </c>
      <c r="G16345" s="497" t="s">
        <v>4196</v>
      </c>
      <c r="H16345" s="397"/>
      <c r="I16345" s="397"/>
      <c r="J16345" s="750" t="e">
        <f t="shared" si="192"/>
        <v>#DIV/0!</v>
      </c>
      <c r="K16345" s="398"/>
      <c r="L16345" s="398"/>
      <c r="M16345" s="682"/>
    </row>
    <row r="16346" spans="5:13" hidden="1" x14ac:dyDescent="0.2">
      <c r="F16346" s="494">
        <v>514</v>
      </c>
      <c r="G16346" s="495" t="s">
        <v>4197</v>
      </c>
      <c r="H16346" s="397"/>
      <c r="I16346" s="397"/>
      <c r="J16346" s="750" t="e">
        <f t="shared" si="192"/>
        <v>#DIV/0!</v>
      </c>
      <c r="K16346" s="398"/>
      <c r="L16346" s="398"/>
      <c r="M16346" s="682"/>
    </row>
    <row r="16347" spans="5:13" hidden="1" x14ac:dyDescent="0.2">
      <c r="F16347" s="494">
        <v>515</v>
      </c>
      <c r="G16347" s="495" t="s">
        <v>3832</v>
      </c>
      <c r="H16347" s="397"/>
      <c r="I16347" s="397"/>
      <c r="J16347" s="750" t="e">
        <f t="shared" si="192"/>
        <v>#DIV/0!</v>
      </c>
      <c r="K16347" s="398"/>
      <c r="L16347" s="398"/>
      <c r="M16347" s="682"/>
    </row>
    <row r="16348" spans="5:13" hidden="1" x14ac:dyDescent="0.2">
      <c r="F16348" s="494">
        <v>521</v>
      </c>
      <c r="G16348" s="495" t="s">
        <v>4198</v>
      </c>
      <c r="H16348" s="397"/>
      <c r="I16348" s="397"/>
      <c r="J16348" s="750" t="e">
        <f t="shared" si="192"/>
        <v>#DIV/0!</v>
      </c>
      <c r="K16348" s="398"/>
      <c r="L16348" s="398"/>
      <c r="M16348" s="682"/>
    </row>
    <row r="16349" spans="5:13" hidden="1" x14ac:dyDescent="0.2">
      <c r="F16349" s="494">
        <v>522</v>
      </c>
      <c r="G16349" s="495" t="s">
        <v>4199</v>
      </c>
      <c r="H16349" s="397"/>
      <c r="I16349" s="397"/>
      <c r="J16349" s="750" t="e">
        <f t="shared" si="192"/>
        <v>#DIV/0!</v>
      </c>
      <c r="K16349" s="398"/>
      <c r="L16349" s="398"/>
      <c r="M16349" s="682"/>
    </row>
    <row r="16350" spans="5:13" ht="0.75" hidden="1" customHeight="1" thickBot="1" x14ac:dyDescent="0.25">
      <c r="F16350" s="494">
        <v>523</v>
      </c>
      <c r="G16350" s="495" t="s">
        <v>3837</v>
      </c>
      <c r="H16350" s="397"/>
      <c r="I16350" s="397"/>
      <c r="J16350" s="750" t="e">
        <f t="shared" si="192"/>
        <v>#DIV/0!</v>
      </c>
      <c r="K16350" s="398"/>
      <c r="L16350" s="398"/>
      <c r="M16350" s="682"/>
    </row>
    <row r="16351" spans="5:13" hidden="1" x14ac:dyDescent="0.2">
      <c r="F16351" s="494">
        <v>531</v>
      </c>
      <c r="G16351" s="496" t="s">
        <v>4175</v>
      </c>
      <c r="H16351" s="397"/>
      <c r="I16351" s="397"/>
      <c r="J16351" s="750" t="e">
        <f t="shared" si="192"/>
        <v>#DIV/0!</v>
      </c>
      <c r="K16351" s="398"/>
      <c r="L16351" s="398"/>
      <c r="M16351" s="682"/>
    </row>
    <row r="16352" spans="5:13" hidden="1" x14ac:dyDescent="0.2">
      <c r="F16352" s="494">
        <v>541</v>
      </c>
      <c r="G16352" s="495" t="s">
        <v>4200</v>
      </c>
      <c r="H16352" s="397"/>
      <c r="I16352" s="397"/>
      <c r="J16352" s="750" t="e">
        <f t="shared" si="192"/>
        <v>#DIV/0!</v>
      </c>
      <c r="K16352" s="398"/>
      <c r="L16352" s="398"/>
      <c r="M16352" s="682"/>
    </row>
    <row r="16353" spans="5:13" hidden="1" x14ac:dyDescent="0.2">
      <c r="F16353" s="494">
        <v>542</v>
      </c>
      <c r="G16353" s="495" t="s">
        <v>4201</v>
      </c>
      <c r="H16353" s="397"/>
      <c r="I16353" s="397"/>
      <c r="J16353" s="750" t="e">
        <f t="shared" si="192"/>
        <v>#DIV/0!</v>
      </c>
      <c r="K16353" s="398"/>
      <c r="L16353" s="398"/>
      <c r="M16353" s="682"/>
    </row>
    <row r="16354" spans="5:13" hidden="1" x14ac:dyDescent="0.2">
      <c r="F16354" s="494">
        <v>543</v>
      </c>
      <c r="G16354" s="495" t="s">
        <v>3842</v>
      </c>
      <c r="H16354" s="397"/>
      <c r="I16354" s="397"/>
      <c r="J16354" s="750" t="e">
        <f t="shared" si="192"/>
        <v>#DIV/0!</v>
      </c>
      <c r="K16354" s="398"/>
      <c r="L16354" s="398"/>
      <c r="M16354" s="682"/>
    </row>
    <row r="16355" spans="5:13" ht="38.25" hidden="1" x14ac:dyDescent="0.2">
      <c r="F16355" s="494">
        <v>551</v>
      </c>
      <c r="G16355" s="495" t="s">
        <v>4176</v>
      </c>
      <c r="H16355" s="397"/>
      <c r="I16355" s="397"/>
      <c r="J16355" s="750" t="e">
        <f t="shared" si="192"/>
        <v>#DIV/0!</v>
      </c>
      <c r="K16355" s="398"/>
      <c r="L16355" s="398"/>
      <c r="M16355" s="682"/>
    </row>
    <row r="16356" spans="5:13" hidden="1" x14ac:dyDescent="0.2">
      <c r="F16356" s="498">
        <v>611</v>
      </c>
      <c r="G16356" s="499" t="s">
        <v>3848</v>
      </c>
      <c r="H16356" s="397"/>
      <c r="I16356" s="397"/>
      <c r="J16356" s="750" t="e">
        <f t="shared" si="192"/>
        <v>#DIV/0!</v>
      </c>
      <c r="K16356" s="398"/>
      <c r="L16356" s="398"/>
      <c r="M16356" s="682"/>
    </row>
    <row r="16357" spans="5:13" hidden="1" x14ac:dyDescent="0.2">
      <c r="F16357" s="498">
        <v>620</v>
      </c>
      <c r="G16357" s="499" t="s">
        <v>88</v>
      </c>
      <c r="H16357" s="397"/>
      <c r="I16357" s="397"/>
      <c r="J16357" s="750" t="e">
        <f t="shared" si="192"/>
        <v>#DIV/0!</v>
      </c>
      <c r="K16357" s="398"/>
      <c r="L16357" s="398"/>
      <c r="M16357" s="682"/>
    </row>
    <row r="16358" spans="5:13" hidden="1" x14ac:dyDescent="0.2">
      <c r="E16358" s="500"/>
      <c r="F16358" s="498"/>
      <c r="G16358" s="501" t="s">
        <v>5177</v>
      </c>
      <c r="H16358" s="400"/>
      <c r="I16358" s="400"/>
      <c r="J16358" s="750" t="e">
        <f t="shared" si="192"/>
        <v>#DIV/0!</v>
      </c>
      <c r="K16358" s="401"/>
      <c r="L16358" s="402"/>
      <c r="M16358" s="682"/>
    </row>
    <row r="16359" spans="5:13" hidden="1" x14ac:dyDescent="0.2">
      <c r="E16359" s="502"/>
      <c r="F16359" s="503" t="s">
        <v>234</v>
      </c>
      <c r="G16359" s="504" t="s">
        <v>235</v>
      </c>
      <c r="H16359" s="403">
        <f>SUM(H16298:H16357)</f>
        <v>0</v>
      </c>
      <c r="I16359" s="403"/>
      <c r="J16359" s="750" t="e">
        <f t="shared" si="192"/>
        <v>#DIV/0!</v>
      </c>
      <c r="K16359" s="404"/>
      <c r="L16359" s="404"/>
      <c r="M16359" s="682"/>
    </row>
    <row r="16360" spans="5:13" ht="10.5" hidden="1" customHeight="1" thickBot="1" x14ac:dyDescent="0.25">
      <c r="F16360" s="503" t="s">
        <v>236</v>
      </c>
      <c r="G16360" s="504" t="s">
        <v>237</v>
      </c>
      <c r="H16360" s="397"/>
      <c r="I16360" s="397"/>
      <c r="J16360" s="750" t="e">
        <f t="shared" si="192"/>
        <v>#DIV/0!</v>
      </c>
      <c r="K16360" s="398"/>
      <c r="L16360" s="404"/>
      <c r="M16360" s="682"/>
    </row>
    <row r="16361" spans="5:13" hidden="1" x14ac:dyDescent="0.2">
      <c r="F16361" s="503" t="s">
        <v>238</v>
      </c>
      <c r="G16361" s="504" t="s">
        <v>239</v>
      </c>
      <c r="H16361" s="397"/>
      <c r="I16361" s="397"/>
      <c r="J16361" s="750" t="e">
        <f t="shared" si="192"/>
        <v>#DIV/0!</v>
      </c>
      <c r="K16361" s="398"/>
      <c r="L16361" s="404"/>
      <c r="M16361" s="682"/>
    </row>
    <row r="16362" spans="5:13" hidden="1" x14ac:dyDescent="0.2">
      <c r="F16362" s="503" t="s">
        <v>240</v>
      </c>
      <c r="G16362" s="504" t="s">
        <v>241</v>
      </c>
      <c r="H16362" s="397"/>
      <c r="I16362" s="397"/>
      <c r="J16362" s="750" t="e">
        <f t="shared" si="192"/>
        <v>#DIV/0!</v>
      </c>
      <c r="K16362" s="398"/>
      <c r="L16362" s="404"/>
      <c r="M16362" s="682"/>
    </row>
    <row r="16363" spans="5:13" hidden="1" x14ac:dyDescent="0.2">
      <c r="F16363" s="503" t="s">
        <v>242</v>
      </c>
      <c r="G16363" s="504" t="s">
        <v>243</v>
      </c>
      <c r="H16363" s="397"/>
      <c r="I16363" s="397"/>
      <c r="J16363" s="750" t="e">
        <f t="shared" si="192"/>
        <v>#DIV/0!</v>
      </c>
      <c r="K16363" s="398"/>
      <c r="L16363" s="404"/>
      <c r="M16363" s="682"/>
    </row>
    <row r="16364" spans="5:13" hidden="1" x14ac:dyDescent="0.2">
      <c r="F16364" s="503" t="s">
        <v>244</v>
      </c>
      <c r="G16364" s="504" t="s">
        <v>245</v>
      </c>
      <c r="H16364" s="397"/>
      <c r="I16364" s="397"/>
      <c r="J16364" s="750" t="e">
        <f t="shared" si="192"/>
        <v>#DIV/0!</v>
      </c>
      <c r="K16364" s="398"/>
      <c r="L16364" s="404"/>
      <c r="M16364" s="682"/>
    </row>
    <row r="16365" spans="5:13" hidden="1" x14ac:dyDescent="0.2">
      <c r="F16365" s="503" t="s">
        <v>246</v>
      </c>
      <c r="G16365" s="504" t="s">
        <v>247</v>
      </c>
      <c r="H16365" s="397"/>
      <c r="I16365" s="397"/>
      <c r="J16365" s="750" t="e">
        <f t="shared" si="192"/>
        <v>#DIV/0!</v>
      </c>
      <c r="K16365" s="398"/>
      <c r="L16365" s="404"/>
      <c r="M16365" s="682"/>
    </row>
    <row r="16366" spans="5:13" ht="25.5" hidden="1" x14ac:dyDescent="0.2">
      <c r="F16366" s="503" t="s">
        <v>248</v>
      </c>
      <c r="G16366" s="504" t="s">
        <v>249</v>
      </c>
      <c r="H16366" s="397"/>
      <c r="I16366" s="397"/>
      <c r="J16366" s="750" t="e">
        <f t="shared" si="192"/>
        <v>#DIV/0!</v>
      </c>
      <c r="K16366" s="398"/>
      <c r="L16366" s="404"/>
      <c r="M16366" s="682"/>
    </row>
    <row r="16367" spans="5:13" hidden="1" x14ac:dyDescent="0.2">
      <c r="F16367" s="503" t="s">
        <v>250</v>
      </c>
      <c r="G16367" s="504" t="s">
        <v>57</v>
      </c>
      <c r="H16367" s="397"/>
      <c r="I16367" s="397"/>
      <c r="J16367" s="750" t="e">
        <f t="shared" si="192"/>
        <v>#DIV/0!</v>
      </c>
      <c r="K16367" s="398"/>
      <c r="L16367" s="404"/>
      <c r="M16367" s="682"/>
    </row>
    <row r="16368" spans="5:13" hidden="1" x14ac:dyDescent="0.2">
      <c r="F16368" s="503" t="s">
        <v>251</v>
      </c>
      <c r="G16368" s="504" t="s">
        <v>252</v>
      </c>
      <c r="H16368" s="397"/>
      <c r="I16368" s="397"/>
      <c r="J16368" s="750" t="e">
        <f t="shared" si="192"/>
        <v>#DIV/0!</v>
      </c>
      <c r="K16368" s="398"/>
      <c r="L16368" s="404"/>
      <c r="M16368" s="682"/>
    </row>
    <row r="16369" spans="5:13" hidden="1" x14ac:dyDescent="0.2">
      <c r="F16369" s="503" t="s">
        <v>253</v>
      </c>
      <c r="G16369" s="504" t="s">
        <v>254</v>
      </c>
      <c r="H16369" s="397"/>
      <c r="I16369" s="397"/>
      <c r="J16369" s="750" t="e">
        <f t="shared" si="192"/>
        <v>#DIV/0!</v>
      </c>
      <c r="K16369" s="398"/>
      <c r="L16369" s="404"/>
      <c r="M16369" s="682"/>
    </row>
    <row r="16370" spans="5:13" ht="25.5" hidden="1" x14ac:dyDescent="0.2">
      <c r="F16370" s="503" t="s">
        <v>255</v>
      </c>
      <c r="G16370" s="504" t="s">
        <v>256</v>
      </c>
      <c r="H16370" s="397"/>
      <c r="I16370" s="397"/>
      <c r="J16370" s="750" t="e">
        <f t="shared" si="192"/>
        <v>#DIV/0!</v>
      </c>
      <c r="K16370" s="398"/>
      <c r="L16370" s="404"/>
      <c r="M16370" s="682"/>
    </row>
    <row r="16371" spans="5:13" ht="25.5" hidden="1" x14ac:dyDescent="0.2">
      <c r="F16371" s="503" t="s">
        <v>257</v>
      </c>
      <c r="G16371" s="504" t="s">
        <v>258</v>
      </c>
      <c r="H16371" s="397"/>
      <c r="I16371" s="397"/>
      <c r="J16371" s="750" t="e">
        <f t="shared" si="192"/>
        <v>#DIV/0!</v>
      </c>
      <c r="K16371" s="398"/>
      <c r="L16371" s="404"/>
      <c r="M16371" s="682"/>
    </row>
    <row r="16372" spans="5:13" ht="25.5" hidden="1" x14ac:dyDescent="0.2">
      <c r="F16372" s="503" t="s">
        <v>259</v>
      </c>
      <c r="G16372" s="504" t="s">
        <v>260</v>
      </c>
      <c r="H16372" s="397"/>
      <c r="I16372" s="397"/>
      <c r="J16372" s="750" t="e">
        <f t="shared" si="192"/>
        <v>#DIV/0!</v>
      </c>
      <c r="K16372" s="398"/>
      <c r="L16372" s="404"/>
      <c r="M16372" s="682"/>
    </row>
    <row r="16373" spans="5:13" ht="25.5" hidden="1" x14ac:dyDescent="0.2">
      <c r="F16373" s="503" t="s">
        <v>261</v>
      </c>
      <c r="G16373" s="504" t="s">
        <v>262</v>
      </c>
      <c r="H16373" s="397"/>
      <c r="I16373" s="397"/>
      <c r="J16373" s="750" t="e">
        <f t="shared" si="192"/>
        <v>#DIV/0!</v>
      </c>
      <c r="K16373" s="398"/>
      <c r="L16373" s="404"/>
      <c r="M16373" s="682"/>
    </row>
    <row r="16374" spans="5:13" hidden="1" x14ac:dyDescent="0.2">
      <c r="F16374" s="503" t="s">
        <v>263</v>
      </c>
      <c r="G16374" s="504" t="s">
        <v>264</v>
      </c>
      <c r="H16374" s="403"/>
      <c r="I16374" s="403"/>
      <c r="J16374" s="750" t="e">
        <f t="shared" si="192"/>
        <v>#DIV/0!</v>
      </c>
      <c r="K16374" s="404"/>
      <c r="L16374" s="404"/>
      <c r="M16374" s="682"/>
    </row>
    <row r="16375" spans="5:13" ht="13.5" hidden="1" thickBot="1" x14ac:dyDescent="0.25">
      <c r="G16375" s="505" t="s">
        <v>5167</v>
      </c>
      <c r="H16375" s="405">
        <f>SUM(H16359:H16374)</f>
        <v>0</v>
      </c>
      <c r="I16375" s="405"/>
      <c r="J16375" s="750" t="e">
        <f t="shared" si="192"/>
        <v>#DIV/0!</v>
      </c>
      <c r="K16375" s="406">
        <f>SUM(K16360:K16374)</f>
        <v>0</v>
      </c>
      <c r="L16375" s="406"/>
      <c r="M16375" s="682"/>
    </row>
    <row r="16376" spans="5:13" hidden="1" x14ac:dyDescent="0.2">
      <c r="E16376" s="500"/>
      <c r="F16376" s="498"/>
      <c r="G16376" s="506" t="s">
        <v>5329</v>
      </c>
      <c r="H16376" s="407"/>
      <c r="I16376" s="408"/>
      <c r="J16376" s="750" t="e">
        <f t="shared" si="192"/>
        <v>#DIV/0!</v>
      </c>
      <c r="K16376" s="409"/>
      <c r="L16376" s="410"/>
      <c r="M16376" s="682"/>
    </row>
    <row r="16377" spans="5:13" hidden="1" x14ac:dyDescent="0.2">
      <c r="E16377" s="502"/>
      <c r="F16377" s="503" t="s">
        <v>234</v>
      </c>
      <c r="G16377" s="504" t="s">
        <v>235</v>
      </c>
      <c r="H16377" s="403">
        <f>SUM(H16298:H16357)</f>
        <v>0</v>
      </c>
      <c r="I16377" s="403"/>
      <c r="J16377" s="750" t="e">
        <f t="shared" si="192"/>
        <v>#DIV/0!</v>
      </c>
      <c r="K16377" s="404"/>
      <c r="L16377" s="404"/>
      <c r="M16377" s="682"/>
    </row>
    <row r="16378" spans="5:13" hidden="1" x14ac:dyDescent="0.2">
      <c r="F16378" s="503" t="s">
        <v>236</v>
      </c>
      <c r="G16378" s="504" t="s">
        <v>237</v>
      </c>
      <c r="H16378" s="397"/>
      <c r="I16378" s="397"/>
      <c r="J16378" s="750" t="e">
        <f t="shared" si="192"/>
        <v>#DIV/0!</v>
      </c>
      <c r="K16378" s="398"/>
      <c r="L16378" s="404"/>
      <c r="M16378" s="682"/>
    </row>
    <row r="16379" spans="5:13" ht="0.75" hidden="1" customHeight="1" thickBot="1" x14ac:dyDescent="0.25">
      <c r="F16379" s="503" t="s">
        <v>238</v>
      </c>
      <c r="G16379" s="504" t="s">
        <v>239</v>
      </c>
      <c r="H16379" s="397"/>
      <c r="I16379" s="397"/>
      <c r="J16379" s="750" t="e">
        <f t="shared" si="192"/>
        <v>#DIV/0!</v>
      </c>
      <c r="K16379" s="398"/>
      <c r="L16379" s="404"/>
      <c r="M16379" s="682"/>
    </row>
    <row r="16380" spans="5:13" hidden="1" x14ac:dyDescent="0.2">
      <c r="F16380" s="503" t="s">
        <v>240</v>
      </c>
      <c r="G16380" s="504" t="s">
        <v>241</v>
      </c>
      <c r="H16380" s="397"/>
      <c r="I16380" s="397"/>
      <c r="J16380" s="750" t="e">
        <f t="shared" si="192"/>
        <v>#DIV/0!</v>
      </c>
      <c r="K16380" s="398"/>
      <c r="L16380" s="404"/>
      <c r="M16380" s="682"/>
    </row>
    <row r="16381" spans="5:13" hidden="1" x14ac:dyDescent="0.2">
      <c r="F16381" s="503" t="s">
        <v>242</v>
      </c>
      <c r="G16381" s="504" t="s">
        <v>243</v>
      </c>
      <c r="H16381" s="397"/>
      <c r="I16381" s="397"/>
      <c r="J16381" s="750" t="e">
        <f t="shared" si="192"/>
        <v>#DIV/0!</v>
      </c>
      <c r="K16381" s="398"/>
      <c r="L16381" s="404"/>
      <c r="M16381" s="682"/>
    </row>
    <row r="16382" spans="5:13" hidden="1" x14ac:dyDescent="0.2">
      <c r="F16382" s="503" t="s">
        <v>244</v>
      </c>
      <c r="G16382" s="504" t="s">
        <v>245</v>
      </c>
      <c r="H16382" s="397"/>
      <c r="I16382" s="397"/>
      <c r="J16382" s="750" t="e">
        <f t="shared" si="192"/>
        <v>#DIV/0!</v>
      </c>
      <c r="K16382" s="398"/>
      <c r="L16382" s="404"/>
      <c r="M16382" s="682"/>
    </row>
    <row r="16383" spans="5:13" hidden="1" x14ac:dyDescent="0.2">
      <c r="F16383" s="503" t="s">
        <v>246</v>
      </c>
      <c r="G16383" s="504" t="s">
        <v>247</v>
      </c>
      <c r="H16383" s="397"/>
      <c r="I16383" s="397"/>
      <c r="J16383" s="750" t="e">
        <f t="shared" si="192"/>
        <v>#DIV/0!</v>
      </c>
      <c r="K16383" s="398"/>
      <c r="L16383" s="404"/>
      <c r="M16383" s="682"/>
    </row>
    <row r="16384" spans="5:13" ht="25.5" hidden="1" x14ac:dyDescent="0.2">
      <c r="F16384" s="503" t="s">
        <v>248</v>
      </c>
      <c r="G16384" s="504" t="s">
        <v>249</v>
      </c>
      <c r="H16384" s="397"/>
      <c r="I16384" s="397"/>
      <c r="J16384" s="750" t="e">
        <f t="shared" si="192"/>
        <v>#DIV/0!</v>
      </c>
      <c r="K16384" s="398"/>
      <c r="L16384" s="404"/>
      <c r="M16384" s="682"/>
    </row>
    <row r="16385" spans="6:13" hidden="1" x14ac:dyDescent="0.2">
      <c r="F16385" s="503" t="s">
        <v>250</v>
      </c>
      <c r="G16385" s="504" t="s">
        <v>57</v>
      </c>
      <c r="H16385" s="397"/>
      <c r="I16385" s="397"/>
      <c r="J16385" s="750" t="e">
        <f t="shared" si="192"/>
        <v>#DIV/0!</v>
      </c>
      <c r="K16385" s="398"/>
      <c r="L16385" s="404"/>
      <c r="M16385" s="682"/>
    </row>
    <row r="16386" spans="6:13" hidden="1" x14ac:dyDescent="0.2">
      <c r="F16386" s="503" t="s">
        <v>251</v>
      </c>
      <c r="G16386" s="504" t="s">
        <v>252</v>
      </c>
      <c r="H16386" s="397"/>
      <c r="I16386" s="397"/>
      <c r="J16386" s="750" t="e">
        <f t="shared" si="192"/>
        <v>#DIV/0!</v>
      </c>
      <c r="K16386" s="398"/>
      <c r="L16386" s="404"/>
      <c r="M16386" s="682"/>
    </row>
    <row r="16387" spans="6:13" hidden="1" x14ac:dyDescent="0.2">
      <c r="F16387" s="503" t="s">
        <v>253</v>
      </c>
      <c r="G16387" s="504" t="s">
        <v>254</v>
      </c>
      <c r="H16387" s="397"/>
      <c r="I16387" s="397"/>
      <c r="J16387" s="750" t="e">
        <f t="shared" si="192"/>
        <v>#DIV/0!</v>
      </c>
      <c r="K16387" s="398"/>
      <c r="L16387" s="404"/>
      <c r="M16387" s="682"/>
    </row>
    <row r="16388" spans="6:13" ht="25.5" hidden="1" x14ac:dyDescent="0.2">
      <c r="F16388" s="503" t="s">
        <v>255</v>
      </c>
      <c r="G16388" s="504" t="s">
        <v>256</v>
      </c>
      <c r="H16388" s="397"/>
      <c r="I16388" s="397"/>
      <c r="J16388" s="750" t="e">
        <f t="shared" si="192"/>
        <v>#DIV/0!</v>
      </c>
      <c r="K16388" s="398"/>
      <c r="L16388" s="404"/>
      <c r="M16388" s="682"/>
    </row>
    <row r="16389" spans="6:13" ht="25.5" hidden="1" x14ac:dyDescent="0.2">
      <c r="F16389" s="503" t="s">
        <v>257</v>
      </c>
      <c r="G16389" s="504" t="s">
        <v>258</v>
      </c>
      <c r="H16389" s="397"/>
      <c r="I16389" s="397"/>
      <c r="J16389" s="750" t="e">
        <f t="shared" si="192"/>
        <v>#DIV/0!</v>
      </c>
      <c r="K16389" s="398"/>
      <c r="L16389" s="404"/>
      <c r="M16389" s="682"/>
    </row>
    <row r="16390" spans="6:13" ht="25.5" hidden="1" x14ac:dyDescent="0.2">
      <c r="F16390" s="503" t="s">
        <v>259</v>
      </c>
      <c r="G16390" s="504" t="s">
        <v>260</v>
      </c>
      <c r="H16390" s="397"/>
      <c r="I16390" s="397"/>
      <c r="J16390" s="750" t="e">
        <f t="shared" si="192"/>
        <v>#DIV/0!</v>
      </c>
      <c r="K16390" s="398"/>
      <c r="L16390" s="404"/>
      <c r="M16390" s="682"/>
    </row>
    <row r="16391" spans="6:13" ht="25.5" hidden="1" x14ac:dyDescent="0.2">
      <c r="F16391" s="503" t="s">
        <v>261</v>
      </c>
      <c r="G16391" s="504" t="s">
        <v>262</v>
      </c>
      <c r="H16391" s="397"/>
      <c r="I16391" s="397"/>
      <c r="J16391" s="750" t="e">
        <f t="shared" si="192"/>
        <v>#DIV/0!</v>
      </c>
      <c r="K16391" s="398"/>
      <c r="L16391" s="404"/>
      <c r="M16391" s="682"/>
    </row>
    <row r="16392" spans="6:13" hidden="1" x14ac:dyDescent="0.2">
      <c r="F16392" s="503" t="s">
        <v>263</v>
      </c>
      <c r="G16392" s="504" t="s">
        <v>264</v>
      </c>
      <c r="H16392" s="403"/>
      <c r="I16392" s="403"/>
      <c r="J16392" s="750" t="e">
        <f t="shared" si="192"/>
        <v>#DIV/0!</v>
      </c>
      <c r="K16392" s="404"/>
      <c r="L16392" s="404"/>
      <c r="M16392" s="682"/>
    </row>
    <row r="16393" spans="6:13" ht="13.5" hidden="1" thickBot="1" x14ac:dyDescent="0.25">
      <c r="G16393" s="505" t="s">
        <v>5330</v>
      </c>
      <c r="H16393" s="405">
        <f>SUM(H16377:H16392)</f>
        <v>0</v>
      </c>
      <c r="I16393" s="405"/>
      <c r="J16393" s="750" t="e">
        <f t="shared" si="192"/>
        <v>#DIV/0!</v>
      </c>
      <c r="K16393" s="406">
        <f>SUM(K16378:K16392)</f>
        <v>0</v>
      </c>
      <c r="L16393" s="406"/>
      <c r="M16393" s="682"/>
    </row>
    <row r="16394" spans="6:13" ht="7.5" hidden="1" customHeight="1" x14ac:dyDescent="0.2">
      <c r="G16394" s="510"/>
      <c r="H16394" s="411"/>
      <c r="I16394" s="411"/>
      <c r="J16394" s="750" t="e">
        <f t="shared" si="192"/>
        <v>#DIV/0!</v>
      </c>
      <c r="K16394" s="412"/>
      <c r="L16394" s="412"/>
      <c r="M16394" s="682"/>
    </row>
    <row r="16395" spans="6:13" ht="1.5" hidden="1" customHeight="1" x14ac:dyDescent="0.2">
      <c r="G16395" s="510"/>
      <c r="H16395" s="411"/>
      <c r="I16395" s="411"/>
      <c r="J16395" s="750" t="e">
        <f t="shared" si="192"/>
        <v>#DIV/0!</v>
      </c>
      <c r="K16395" s="412"/>
      <c r="L16395" s="412"/>
      <c r="M16395" s="682"/>
    </row>
    <row r="16396" spans="6:13" hidden="1" x14ac:dyDescent="0.2">
      <c r="G16396" s="510"/>
      <c r="H16396" s="411"/>
      <c r="I16396" s="411"/>
      <c r="J16396" s="750" t="e">
        <f t="shared" si="192"/>
        <v>#DIV/0!</v>
      </c>
      <c r="K16396" s="412"/>
      <c r="L16396" s="412"/>
      <c r="M16396" s="682"/>
    </row>
    <row r="16397" spans="6:13" hidden="1" x14ac:dyDescent="0.2">
      <c r="G16397" s="510"/>
      <c r="H16397" s="411"/>
      <c r="I16397" s="411"/>
      <c r="J16397" s="750" t="e">
        <f t="shared" si="192"/>
        <v>#DIV/0!</v>
      </c>
      <c r="K16397" s="412"/>
      <c r="L16397" s="412"/>
      <c r="M16397" s="682"/>
    </row>
    <row r="16398" spans="6:13" hidden="1" x14ac:dyDescent="0.2">
      <c r="G16398" s="510"/>
      <c r="H16398" s="411"/>
      <c r="I16398" s="411"/>
      <c r="J16398" s="750" t="e">
        <f t="shared" ref="J16398:J16461" si="193">SUM(I16398/H16398)*100</f>
        <v>#DIV/0!</v>
      </c>
      <c r="K16398" s="412"/>
      <c r="L16398" s="412"/>
      <c r="M16398" s="682"/>
    </row>
    <row r="16399" spans="6:13" hidden="1" x14ac:dyDescent="0.2">
      <c r="G16399" s="510"/>
      <c r="H16399" s="411"/>
      <c r="I16399" s="411"/>
      <c r="J16399" s="750" t="e">
        <f t="shared" si="193"/>
        <v>#DIV/0!</v>
      </c>
      <c r="K16399" s="412"/>
      <c r="L16399" s="412"/>
      <c r="M16399" s="682"/>
    </row>
    <row r="16400" spans="6:13" hidden="1" x14ac:dyDescent="0.2">
      <c r="G16400" s="510"/>
      <c r="H16400" s="411"/>
      <c r="I16400" s="411"/>
      <c r="J16400" s="750" t="e">
        <f t="shared" si="193"/>
        <v>#DIV/0!</v>
      </c>
      <c r="K16400" s="412"/>
      <c r="L16400" s="412"/>
      <c r="M16400" s="682"/>
    </row>
    <row r="16401" spans="7:13" hidden="1" x14ac:dyDescent="0.2">
      <c r="G16401" s="510"/>
      <c r="H16401" s="411"/>
      <c r="I16401" s="411"/>
      <c r="J16401" s="750" t="e">
        <f t="shared" si="193"/>
        <v>#DIV/0!</v>
      </c>
      <c r="K16401" s="412"/>
      <c r="L16401" s="412"/>
      <c r="M16401" s="682"/>
    </row>
    <row r="16402" spans="7:13" hidden="1" x14ac:dyDescent="0.2">
      <c r="G16402" s="510"/>
      <c r="H16402" s="411"/>
      <c r="I16402" s="411"/>
      <c r="J16402" s="750" t="e">
        <f t="shared" si="193"/>
        <v>#DIV/0!</v>
      </c>
      <c r="K16402" s="412"/>
      <c r="L16402" s="412"/>
      <c r="M16402" s="682"/>
    </row>
    <row r="16403" spans="7:13" hidden="1" x14ac:dyDescent="0.2">
      <c r="G16403" s="510"/>
      <c r="H16403" s="411"/>
      <c r="I16403" s="411"/>
      <c r="J16403" s="750" t="e">
        <f t="shared" si="193"/>
        <v>#DIV/0!</v>
      </c>
      <c r="K16403" s="412"/>
      <c r="L16403" s="412"/>
      <c r="M16403" s="682"/>
    </row>
    <row r="16404" spans="7:13" ht="11.25" hidden="1" customHeight="1" x14ac:dyDescent="0.2">
      <c r="G16404" s="510"/>
      <c r="H16404" s="411"/>
      <c r="I16404" s="411"/>
      <c r="J16404" s="750" t="e">
        <f t="shared" si="193"/>
        <v>#DIV/0!</v>
      </c>
      <c r="K16404" s="412"/>
      <c r="L16404" s="412"/>
      <c r="M16404" s="682"/>
    </row>
    <row r="16405" spans="7:13" hidden="1" x14ac:dyDescent="0.2">
      <c r="G16405" s="510"/>
      <c r="H16405" s="411"/>
      <c r="I16405" s="411"/>
      <c r="J16405" s="750" t="e">
        <f t="shared" si="193"/>
        <v>#DIV/0!</v>
      </c>
      <c r="K16405" s="412"/>
      <c r="L16405" s="412"/>
      <c r="M16405" s="682"/>
    </row>
    <row r="16406" spans="7:13" hidden="1" x14ac:dyDescent="0.2">
      <c r="G16406" s="510"/>
      <c r="H16406" s="411"/>
      <c r="I16406" s="411"/>
      <c r="J16406" s="750" t="e">
        <f t="shared" si="193"/>
        <v>#DIV/0!</v>
      </c>
      <c r="K16406" s="412"/>
      <c r="L16406" s="412"/>
      <c r="M16406" s="682"/>
    </row>
    <row r="16407" spans="7:13" hidden="1" x14ac:dyDescent="0.2">
      <c r="G16407" s="510"/>
      <c r="H16407" s="411"/>
      <c r="I16407" s="411"/>
      <c r="J16407" s="750" t="e">
        <f t="shared" si="193"/>
        <v>#DIV/0!</v>
      </c>
      <c r="K16407" s="412"/>
      <c r="L16407" s="412"/>
      <c r="M16407" s="682"/>
    </row>
    <row r="16408" spans="7:13" hidden="1" x14ac:dyDescent="0.2">
      <c r="G16408" s="510"/>
      <c r="H16408" s="411"/>
      <c r="I16408" s="411"/>
      <c r="J16408" s="750" t="e">
        <f t="shared" si="193"/>
        <v>#DIV/0!</v>
      </c>
      <c r="K16408" s="412"/>
      <c r="L16408" s="412"/>
      <c r="M16408" s="682"/>
    </row>
    <row r="16409" spans="7:13" hidden="1" x14ac:dyDescent="0.2">
      <c r="G16409" s="510"/>
      <c r="H16409" s="411"/>
      <c r="I16409" s="411"/>
      <c r="J16409" s="750" t="e">
        <f t="shared" si="193"/>
        <v>#DIV/0!</v>
      </c>
      <c r="K16409" s="412"/>
      <c r="L16409" s="412"/>
      <c r="M16409" s="682"/>
    </row>
    <row r="16410" spans="7:13" hidden="1" x14ac:dyDescent="0.2">
      <c r="G16410" s="510"/>
      <c r="H16410" s="411"/>
      <c r="I16410" s="411"/>
      <c r="J16410" s="750" t="e">
        <f t="shared" si="193"/>
        <v>#DIV/0!</v>
      </c>
      <c r="K16410" s="412"/>
      <c r="L16410" s="412"/>
      <c r="M16410" s="682"/>
    </row>
    <row r="16411" spans="7:13" hidden="1" x14ac:dyDescent="0.2">
      <c r="G16411" s="510"/>
      <c r="H16411" s="411"/>
      <c r="I16411" s="411"/>
      <c r="J16411" s="750" t="e">
        <f t="shared" si="193"/>
        <v>#DIV/0!</v>
      </c>
      <c r="K16411" s="412"/>
      <c r="L16411" s="412"/>
      <c r="M16411" s="682"/>
    </row>
    <row r="16412" spans="7:13" hidden="1" x14ac:dyDescent="0.2">
      <c r="G16412" s="510"/>
      <c r="H16412" s="411"/>
      <c r="I16412" s="411"/>
      <c r="J16412" s="750" t="e">
        <f t="shared" si="193"/>
        <v>#DIV/0!</v>
      </c>
      <c r="K16412" s="412"/>
      <c r="L16412" s="412"/>
      <c r="M16412" s="682"/>
    </row>
    <row r="16413" spans="7:13" hidden="1" x14ac:dyDescent="0.2">
      <c r="G16413" s="510"/>
      <c r="H16413" s="411"/>
      <c r="I16413" s="411"/>
      <c r="J16413" s="750" t="e">
        <f t="shared" si="193"/>
        <v>#DIV/0!</v>
      </c>
      <c r="K16413" s="412"/>
      <c r="L16413" s="412"/>
      <c r="M16413" s="682"/>
    </row>
    <row r="16414" spans="7:13" hidden="1" x14ac:dyDescent="0.2">
      <c r="G16414" s="510"/>
      <c r="H16414" s="411"/>
      <c r="I16414" s="411"/>
      <c r="J16414" s="750" t="e">
        <f t="shared" si="193"/>
        <v>#DIV/0!</v>
      </c>
      <c r="K16414" s="412"/>
      <c r="L16414" s="412"/>
      <c r="M16414" s="682"/>
    </row>
    <row r="16415" spans="7:13" hidden="1" x14ac:dyDescent="0.2">
      <c r="G16415" s="510"/>
      <c r="H16415" s="411"/>
      <c r="I16415" s="411"/>
      <c r="J16415" s="750" t="e">
        <f t="shared" si="193"/>
        <v>#DIV/0!</v>
      </c>
      <c r="K16415" s="412"/>
      <c r="L16415" s="412"/>
      <c r="M16415" s="682"/>
    </row>
    <row r="16416" spans="7:13" hidden="1" x14ac:dyDescent="0.2">
      <c r="G16416" s="510"/>
      <c r="H16416" s="411"/>
      <c r="I16416" s="411"/>
      <c r="J16416" s="750" t="e">
        <f t="shared" si="193"/>
        <v>#DIV/0!</v>
      </c>
      <c r="K16416" s="412"/>
      <c r="L16416" s="412"/>
      <c r="M16416" s="682"/>
    </row>
    <row r="16417" spans="7:13" hidden="1" x14ac:dyDescent="0.2">
      <c r="G16417" s="510"/>
      <c r="H16417" s="411"/>
      <c r="I16417" s="411"/>
      <c r="J16417" s="750" t="e">
        <f t="shared" si="193"/>
        <v>#DIV/0!</v>
      </c>
      <c r="K16417" s="412"/>
      <c r="L16417" s="412"/>
      <c r="M16417" s="682"/>
    </row>
    <row r="16418" spans="7:13" hidden="1" x14ac:dyDescent="0.2">
      <c r="G16418" s="510"/>
      <c r="H16418" s="411"/>
      <c r="I16418" s="411"/>
      <c r="J16418" s="750" t="e">
        <f t="shared" si="193"/>
        <v>#DIV/0!</v>
      </c>
      <c r="K16418" s="412"/>
      <c r="L16418" s="412"/>
      <c r="M16418" s="682"/>
    </row>
    <row r="16419" spans="7:13" ht="3" hidden="1" customHeight="1" x14ac:dyDescent="0.2">
      <c r="G16419" s="510"/>
      <c r="H16419" s="411"/>
      <c r="I16419" s="411"/>
      <c r="J16419" s="750" t="e">
        <f t="shared" si="193"/>
        <v>#DIV/0!</v>
      </c>
      <c r="K16419" s="412"/>
      <c r="L16419" s="412"/>
      <c r="M16419" s="682"/>
    </row>
    <row r="16420" spans="7:13" hidden="1" x14ac:dyDescent="0.2">
      <c r="G16420" s="510"/>
      <c r="H16420" s="411"/>
      <c r="I16420" s="411"/>
      <c r="J16420" s="750" t="e">
        <f t="shared" si="193"/>
        <v>#DIV/0!</v>
      </c>
      <c r="K16420" s="412"/>
      <c r="L16420" s="412"/>
      <c r="M16420" s="682"/>
    </row>
    <row r="16421" spans="7:13" hidden="1" x14ac:dyDescent="0.2">
      <c r="G16421" s="510"/>
      <c r="H16421" s="411"/>
      <c r="I16421" s="411"/>
      <c r="J16421" s="750" t="e">
        <f t="shared" si="193"/>
        <v>#DIV/0!</v>
      </c>
      <c r="K16421" s="412"/>
      <c r="L16421" s="412"/>
      <c r="M16421" s="682"/>
    </row>
    <row r="16422" spans="7:13" hidden="1" x14ac:dyDescent="0.2">
      <c r="G16422" s="510"/>
      <c r="H16422" s="411"/>
      <c r="I16422" s="411"/>
      <c r="J16422" s="750" t="e">
        <f t="shared" si="193"/>
        <v>#DIV/0!</v>
      </c>
      <c r="K16422" s="412"/>
      <c r="L16422" s="412"/>
      <c r="M16422" s="682"/>
    </row>
    <row r="16423" spans="7:13" hidden="1" x14ac:dyDescent="0.2">
      <c r="G16423" s="510"/>
      <c r="H16423" s="411"/>
      <c r="I16423" s="411"/>
      <c r="J16423" s="750" t="e">
        <f t="shared" si="193"/>
        <v>#DIV/0!</v>
      </c>
      <c r="K16423" s="412"/>
      <c r="L16423" s="412"/>
      <c r="M16423" s="682"/>
    </row>
    <row r="16424" spans="7:13" hidden="1" x14ac:dyDescent="0.2">
      <c r="G16424" s="510"/>
      <c r="H16424" s="411"/>
      <c r="I16424" s="411"/>
      <c r="J16424" s="750" t="e">
        <f t="shared" si="193"/>
        <v>#DIV/0!</v>
      </c>
      <c r="K16424" s="412"/>
      <c r="L16424" s="412"/>
      <c r="M16424" s="682"/>
    </row>
    <row r="16425" spans="7:13" hidden="1" x14ac:dyDescent="0.2">
      <c r="G16425" s="510"/>
      <c r="H16425" s="411"/>
      <c r="I16425" s="411"/>
      <c r="J16425" s="750" t="e">
        <f t="shared" si="193"/>
        <v>#DIV/0!</v>
      </c>
      <c r="K16425" s="412"/>
      <c r="L16425" s="412"/>
      <c r="M16425" s="682"/>
    </row>
    <row r="16426" spans="7:13" hidden="1" x14ac:dyDescent="0.2">
      <c r="G16426" s="510"/>
      <c r="H16426" s="411"/>
      <c r="I16426" s="411"/>
      <c r="J16426" s="750" t="e">
        <f t="shared" si="193"/>
        <v>#DIV/0!</v>
      </c>
      <c r="K16426" s="412"/>
      <c r="L16426" s="412"/>
      <c r="M16426" s="682"/>
    </row>
    <row r="16427" spans="7:13" hidden="1" x14ac:dyDescent="0.2">
      <c r="G16427" s="510"/>
      <c r="H16427" s="411"/>
      <c r="I16427" s="411"/>
      <c r="J16427" s="750" t="e">
        <f t="shared" si="193"/>
        <v>#DIV/0!</v>
      </c>
      <c r="K16427" s="412"/>
      <c r="L16427" s="412"/>
      <c r="M16427" s="682"/>
    </row>
    <row r="16428" spans="7:13" hidden="1" x14ac:dyDescent="0.2">
      <c r="G16428" s="510"/>
      <c r="H16428" s="411"/>
      <c r="I16428" s="411"/>
      <c r="J16428" s="750" t="e">
        <f t="shared" si="193"/>
        <v>#DIV/0!</v>
      </c>
      <c r="K16428" s="412"/>
      <c r="L16428" s="412"/>
      <c r="M16428" s="682"/>
    </row>
    <row r="16429" spans="7:13" hidden="1" x14ac:dyDescent="0.2">
      <c r="G16429" s="510"/>
      <c r="H16429" s="411"/>
      <c r="I16429" s="411"/>
      <c r="J16429" s="750" t="e">
        <f t="shared" si="193"/>
        <v>#DIV/0!</v>
      </c>
      <c r="K16429" s="412"/>
      <c r="L16429" s="412"/>
      <c r="M16429" s="682"/>
    </row>
    <row r="16430" spans="7:13" hidden="1" x14ac:dyDescent="0.2">
      <c r="G16430" s="510"/>
      <c r="H16430" s="411"/>
      <c r="I16430" s="411"/>
      <c r="J16430" s="750" t="e">
        <f t="shared" si="193"/>
        <v>#DIV/0!</v>
      </c>
      <c r="K16430" s="412"/>
      <c r="L16430" s="412"/>
      <c r="M16430" s="682"/>
    </row>
    <row r="16431" spans="7:13" hidden="1" x14ac:dyDescent="0.2">
      <c r="G16431" s="510"/>
      <c r="H16431" s="411"/>
      <c r="I16431" s="411"/>
      <c r="J16431" s="750" t="e">
        <f t="shared" si="193"/>
        <v>#DIV/0!</v>
      </c>
      <c r="K16431" s="412"/>
      <c r="L16431" s="412"/>
      <c r="M16431" s="682"/>
    </row>
    <row r="16432" spans="7:13" hidden="1" x14ac:dyDescent="0.2">
      <c r="G16432" s="510"/>
      <c r="H16432" s="411"/>
      <c r="I16432" s="411"/>
      <c r="J16432" s="750" t="e">
        <f t="shared" si="193"/>
        <v>#DIV/0!</v>
      </c>
      <c r="K16432" s="412"/>
      <c r="L16432" s="412"/>
      <c r="M16432" s="682"/>
    </row>
    <row r="16433" spans="5:13" ht="23.25" hidden="1" customHeight="1" x14ac:dyDescent="0.2">
      <c r="G16433" s="510"/>
      <c r="H16433" s="411"/>
      <c r="I16433" s="411"/>
      <c r="J16433" s="750" t="e">
        <f t="shared" si="193"/>
        <v>#DIV/0!</v>
      </c>
      <c r="K16433" s="412"/>
      <c r="L16433" s="412"/>
      <c r="M16433" s="682"/>
    </row>
    <row r="16434" spans="5:13" x14ac:dyDescent="0.2">
      <c r="E16434" s="500"/>
      <c r="F16434" s="498"/>
      <c r="G16434" s="511" t="s">
        <v>4307</v>
      </c>
      <c r="H16434" s="413"/>
      <c r="I16434" s="413"/>
      <c r="J16434" s="750"/>
      <c r="K16434" s="414"/>
      <c r="L16434" s="415"/>
      <c r="M16434" s="682"/>
    </row>
    <row r="16435" spans="5:13" ht="20.25" customHeight="1" x14ac:dyDescent="0.2">
      <c r="E16435" s="502"/>
      <c r="F16435" s="503" t="s">
        <v>234</v>
      </c>
      <c r="G16435" s="504" t="s">
        <v>235</v>
      </c>
      <c r="H16435" s="403">
        <f>SUM(H16377,H16278,H16179,H15864,H15765,H15684,H15585,H15447,H15348,H15051,H14952,H14853,H14754)</f>
        <v>94342800</v>
      </c>
      <c r="I16435" s="403">
        <f>SUM(I16278,I16179,I15882,I15783,I15684,I15585,I15348,I14952,I14853,I14754)</f>
        <v>85474298.590000004</v>
      </c>
      <c r="J16435" s="750">
        <f t="shared" si="193"/>
        <v>90.599705107331985</v>
      </c>
      <c r="K16435" s="404"/>
      <c r="L16435" s="404"/>
      <c r="M16435" s="682"/>
    </row>
    <row r="16436" spans="5:13" hidden="1" x14ac:dyDescent="0.2">
      <c r="F16436" s="503" t="s">
        <v>236</v>
      </c>
      <c r="G16436" s="504" t="s">
        <v>237</v>
      </c>
      <c r="H16436" s="397"/>
      <c r="I16436" s="397"/>
      <c r="J16436" s="750" t="e">
        <f t="shared" si="193"/>
        <v>#DIV/0!</v>
      </c>
      <c r="K16436" s="398"/>
      <c r="L16436" s="404"/>
      <c r="M16436" s="682"/>
    </row>
    <row r="16437" spans="5:13" hidden="1" x14ac:dyDescent="0.2">
      <c r="F16437" s="503" t="s">
        <v>238</v>
      </c>
      <c r="G16437" s="504" t="s">
        <v>239</v>
      </c>
      <c r="H16437" s="397"/>
      <c r="I16437" s="397"/>
      <c r="J16437" s="750" t="e">
        <f t="shared" si="193"/>
        <v>#DIV/0!</v>
      </c>
      <c r="K16437" s="398"/>
      <c r="L16437" s="404"/>
      <c r="M16437" s="682"/>
    </row>
    <row r="16438" spans="5:13" hidden="1" x14ac:dyDescent="0.2">
      <c r="F16438" s="503" t="s">
        <v>240</v>
      </c>
      <c r="G16438" s="504" t="s">
        <v>241</v>
      </c>
      <c r="H16438" s="397"/>
      <c r="I16438" s="397"/>
      <c r="J16438" s="750" t="e">
        <f t="shared" si="193"/>
        <v>#DIV/0!</v>
      </c>
      <c r="K16438" s="398"/>
      <c r="L16438" s="404"/>
      <c r="M16438" s="682"/>
    </row>
    <row r="16439" spans="5:13" hidden="1" x14ac:dyDescent="0.2">
      <c r="F16439" s="503" t="s">
        <v>242</v>
      </c>
      <c r="G16439" s="504" t="s">
        <v>243</v>
      </c>
      <c r="H16439" s="397"/>
      <c r="I16439" s="397"/>
      <c r="J16439" s="750" t="e">
        <f t="shared" si="193"/>
        <v>#DIV/0!</v>
      </c>
      <c r="K16439" s="398"/>
      <c r="L16439" s="404"/>
      <c r="M16439" s="682"/>
    </row>
    <row r="16440" spans="5:13" hidden="1" x14ac:dyDescent="0.2">
      <c r="F16440" s="503" t="s">
        <v>244</v>
      </c>
      <c r="G16440" s="504" t="s">
        <v>245</v>
      </c>
      <c r="H16440" s="397"/>
      <c r="I16440" s="397"/>
      <c r="J16440" s="750" t="e">
        <f t="shared" si="193"/>
        <v>#DIV/0!</v>
      </c>
      <c r="K16440" s="398"/>
      <c r="L16440" s="404"/>
      <c r="M16440" s="682"/>
    </row>
    <row r="16441" spans="5:13" ht="14.25" customHeight="1" x14ac:dyDescent="0.2">
      <c r="F16441" s="503" t="s">
        <v>246</v>
      </c>
      <c r="G16441" s="504" t="s">
        <v>247</v>
      </c>
      <c r="H16441" s="397"/>
      <c r="I16441" s="397"/>
      <c r="J16441" s="750"/>
      <c r="K16441" s="398">
        <v>1500000</v>
      </c>
      <c r="L16441" s="404">
        <f>SUM(L16294)</f>
        <v>1097123.82</v>
      </c>
      <c r="M16441" s="682"/>
    </row>
    <row r="16442" spans="5:13" ht="25.5" hidden="1" x14ac:dyDescent="0.2">
      <c r="F16442" s="503" t="s">
        <v>248</v>
      </c>
      <c r="G16442" s="504" t="s">
        <v>249</v>
      </c>
      <c r="H16442" s="397"/>
      <c r="I16442" s="397"/>
      <c r="J16442" s="750" t="e">
        <f t="shared" si="193"/>
        <v>#DIV/0!</v>
      </c>
      <c r="K16442" s="398"/>
      <c r="L16442" s="404"/>
      <c r="M16442" s="682"/>
    </row>
    <row r="16443" spans="5:13" hidden="1" x14ac:dyDescent="0.2">
      <c r="F16443" s="503" t="s">
        <v>250</v>
      </c>
      <c r="G16443" s="504" t="s">
        <v>57</v>
      </c>
      <c r="H16443" s="397"/>
      <c r="I16443" s="397"/>
      <c r="J16443" s="750" t="e">
        <f t="shared" si="193"/>
        <v>#DIV/0!</v>
      </c>
      <c r="K16443" s="398"/>
      <c r="L16443" s="404"/>
      <c r="M16443" s="682"/>
    </row>
    <row r="16444" spans="5:13" hidden="1" x14ac:dyDescent="0.2">
      <c r="F16444" s="503" t="s">
        <v>251</v>
      </c>
      <c r="G16444" s="504" t="s">
        <v>252</v>
      </c>
      <c r="H16444" s="397"/>
      <c r="I16444" s="397"/>
      <c r="J16444" s="750" t="e">
        <f t="shared" si="193"/>
        <v>#DIV/0!</v>
      </c>
      <c r="K16444" s="398"/>
      <c r="L16444" s="404"/>
      <c r="M16444" s="682"/>
    </row>
    <row r="16445" spans="5:13" hidden="1" x14ac:dyDescent="0.2">
      <c r="F16445" s="503" t="s">
        <v>253</v>
      </c>
      <c r="G16445" s="504" t="s">
        <v>254</v>
      </c>
      <c r="H16445" s="397"/>
      <c r="I16445" s="397"/>
      <c r="J16445" s="750" t="e">
        <f t="shared" si="193"/>
        <v>#DIV/0!</v>
      </c>
      <c r="K16445" s="398"/>
      <c r="L16445" s="404"/>
      <c r="M16445" s="682"/>
    </row>
    <row r="16446" spans="5:13" ht="25.5" hidden="1" x14ac:dyDescent="0.2">
      <c r="F16446" s="503" t="s">
        <v>255</v>
      </c>
      <c r="G16446" s="504" t="s">
        <v>256</v>
      </c>
      <c r="H16446" s="397"/>
      <c r="I16446" s="397"/>
      <c r="J16446" s="750" t="e">
        <f t="shared" si="193"/>
        <v>#DIV/0!</v>
      </c>
      <c r="K16446" s="398"/>
      <c r="L16446" s="404"/>
      <c r="M16446" s="682"/>
    </row>
    <row r="16447" spans="5:13" ht="9.75" hidden="1" customHeight="1" x14ac:dyDescent="0.2">
      <c r="F16447" s="503" t="s">
        <v>257</v>
      </c>
      <c r="G16447" s="504" t="s">
        <v>258</v>
      </c>
      <c r="H16447" s="397"/>
      <c r="I16447" s="397"/>
      <c r="J16447" s="750" t="e">
        <f t="shared" si="193"/>
        <v>#DIV/0!</v>
      </c>
      <c r="K16447" s="398"/>
      <c r="L16447" s="404"/>
      <c r="M16447" s="682"/>
    </row>
    <row r="16448" spans="5:13" ht="12.75" hidden="1" customHeight="1" x14ac:dyDescent="0.2">
      <c r="F16448" s="503" t="s">
        <v>259</v>
      </c>
      <c r="G16448" s="504" t="s">
        <v>260</v>
      </c>
      <c r="H16448" s="397"/>
      <c r="I16448" s="397"/>
      <c r="J16448" s="750" t="e">
        <f t="shared" si="193"/>
        <v>#DIV/0!</v>
      </c>
      <c r="K16448" s="398"/>
      <c r="L16448" s="404"/>
      <c r="M16448" s="682"/>
    </row>
    <row r="16449" spans="5:13" ht="9" hidden="1" customHeight="1" x14ac:dyDescent="0.2">
      <c r="F16449" s="503" t="s">
        <v>261</v>
      </c>
      <c r="G16449" s="504" t="s">
        <v>262</v>
      </c>
      <c r="H16449" s="397"/>
      <c r="I16449" s="397"/>
      <c r="J16449" s="750" t="e">
        <f t="shared" si="193"/>
        <v>#DIV/0!</v>
      </c>
      <c r="K16449" s="398"/>
      <c r="L16449" s="404"/>
      <c r="M16449" s="682"/>
    </row>
    <row r="16450" spans="5:13" ht="15" customHeight="1" thickBot="1" x14ac:dyDescent="0.25">
      <c r="F16450" s="503" t="s">
        <v>257</v>
      </c>
      <c r="G16450" s="504" t="s">
        <v>258</v>
      </c>
      <c r="H16450" s="403">
        <v>4740000</v>
      </c>
      <c r="I16450" s="403">
        <f>SUM(I14751)</f>
        <v>1076879.22</v>
      </c>
      <c r="J16450" s="750">
        <f t="shared" si="193"/>
        <v>22.718970886075947</v>
      </c>
      <c r="K16450" s="404"/>
      <c r="L16450" s="404"/>
      <c r="M16450" s="682"/>
    </row>
    <row r="16451" spans="5:13" ht="13.5" thickBot="1" x14ac:dyDescent="0.25">
      <c r="G16451" s="505" t="s">
        <v>4308</v>
      </c>
      <c r="H16451" s="405">
        <f>SUM(H16435:H16450)</f>
        <v>99082800</v>
      </c>
      <c r="I16451" s="405">
        <f>SUM(I16435:I16450)</f>
        <v>86551177.810000002</v>
      </c>
      <c r="J16451" s="750">
        <f t="shared" si="193"/>
        <v>87.352373782331554</v>
      </c>
      <c r="K16451" s="406">
        <f>SUM(K16436:K16450)</f>
        <v>1500000</v>
      </c>
      <c r="L16451" s="406">
        <f>SUM(L16441)</f>
        <v>1097123.82</v>
      </c>
      <c r="M16451" s="682"/>
    </row>
    <row r="16452" spans="5:13" ht="0.75" customHeight="1" x14ac:dyDescent="0.2">
      <c r="G16452" s="510"/>
      <c r="H16452" s="411"/>
      <c r="I16452" s="411"/>
      <c r="J16452" s="750" t="e">
        <f t="shared" si="193"/>
        <v>#DIV/0!</v>
      </c>
      <c r="K16452" s="412"/>
      <c r="L16452" s="412"/>
      <c r="M16452" s="682"/>
    </row>
    <row r="16453" spans="5:13" hidden="1" x14ac:dyDescent="0.2">
      <c r="G16453" s="510"/>
      <c r="H16453" s="411"/>
      <c r="I16453" s="411"/>
      <c r="J16453" s="750" t="e">
        <f t="shared" si="193"/>
        <v>#DIV/0!</v>
      </c>
      <c r="K16453" s="412"/>
      <c r="L16453" s="412"/>
      <c r="M16453" s="682"/>
    </row>
    <row r="16454" spans="5:13" hidden="1" x14ac:dyDescent="0.2">
      <c r="G16454" s="510"/>
      <c r="H16454" s="411"/>
      <c r="I16454" s="411"/>
      <c r="J16454" s="750" t="e">
        <f t="shared" si="193"/>
        <v>#DIV/0!</v>
      </c>
      <c r="K16454" s="412"/>
      <c r="L16454" s="412"/>
      <c r="M16454" s="682"/>
    </row>
    <row r="16455" spans="5:13" hidden="1" x14ac:dyDescent="0.2">
      <c r="G16455" s="510"/>
      <c r="H16455" s="411"/>
      <c r="I16455" s="411"/>
      <c r="J16455" s="750" t="e">
        <f t="shared" si="193"/>
        <v>#DIV/0!</v>
      </c>
      <c r="K16455" s="412"/>
      <c r="L16455" s="412"/>
      <c r="M16455" s="682"/>
    </row>
    <row r="16456" spans="5:13" hidden="1" x14ac:dyDescent="0.2">
      <c r="G16456" s="510"/>
      <c r="H16456" s="411"/>
      <c r="I16456" s="411"/>
      <c r="J16456" s="750" t="e">
        <f t="shared" si="193"/>
        <v>#DIV/0!</v>
      </c>
      <c r="K16456" s="412"/>
      <c r="L16456" s="412"/>
      <c r="M16456" s="682"/>
    </row>
    <row r="16457" spans="5:13" hidden="1" x14ac:dyDescent="0.2">
      <c r="G16457" s="510"/>
      <c r="H16457" s="411"/>
      <c r="I16457" s="411"/>
      <c r="J16457" s="750" t="e">
        <f t="shared" si="193"/>
        <v>#DIV/0!</v>
      </c>
      <c r="K16457" s="412"/>
      <c r="L16457" s="412"/>
      <c r="M16457" s="682"/>
    </row>
    <row r="16458" spans="5:13" hidden="1" x14ac:dyDescent="0.2">
      <c r="G16458" s="510"/>
      <c r="H16458" s="411"/>
      <c r="I16458" s="411"/>
      <c r="J16458" s="750" t="e">
        <f t="shared" si="193"/>
        <v>#DIV/0!</v>
      </c>
      <c r="K16458" s="412"/>
      <c r="L16458" s="412"/>
      <c r="M16458" s="682"/>
    </row>
    <row r="16459" spans="5:13" x14ac:dyDescent="0.2">
      <c r="E16459" s="500"/>
      <c r="F16459" s="498"/>
      <c r="G16459" s="511" t="s">
        <v>4456</v>
      </c>
      <c r="H16459" s="413"/>
      <c r="I16459" s="413"/>
      <c r="J16459" s="750"/>
      <c r="K16459" s="414"/>
      <c r="L16459" s="415"/>
      <c r="M16459" s="682"/>
    </row>
    <row r="16460" spans="5:13" x14ac:dyDescent="0.2">
      <c r="E16460" s="502"/>
      <c r="F16460" s="503" t="s">
        <v>234</v>
      </c>
      <c r="G16460" s="504" t="s">
        <v>235</v>
      </c>
      <c r="H16460" s="403">
        <f>SUM(H16435,H14951,H14137)</f>
        <v>94342800</v>
      </c>
      <c r="I16460" s="403">
        <f>SUM(I16435)</f>
        <v>85474298.590000004</v>
      </c>
      <c r="J16460" s="750">
        <f t="shared" si="193"/>
        <v>90.599705107331985</v>
      </c>
      <c r="K16460" s="404"/>
      <c r="L16460" s="404"/>
      <c r="M16460" s="682"/>
    </row>
    <row r="16461" spans="5:13" ht="0.75" customHeight="1" x14ac:dyDescent="0.2">
      <c r="F16461" s="503" t="s">
        <v>236</v>
      </c>
      <c r="G16461" s="504" t="s">
        <v>237</v>
      </c>
      <c r="H16461" s="397"/>
      <c r="I16461" s="397"/>
      <c r="J16461" s="750" t="e">
        <f t="shared" si="193"/>
        <v>#DIV/0!</v>
      </c>
      <c r="K16461" s="398"/>
      <c r="L16461" s="404"/>
      <c r="M16461" s="682"/>
    </row>
    <row r="16462" spans="5:13" hidden="1" x14ac:dyDescent="0.2">
      <c r="F16462" s="503" t="s">
        <v>238</v>
      </c>
      <c r="G16462" s="504" t="s">
        <v>239</v>
      </c>
      <c r="H16462" s="397"/>
      <c r="I16462" s="397"/>
      <c r="J16462" s="750" t="e">
        <f t="shared" ref="J16462:J16525" si="194">SUM(I16462/H16462)*100</f>
        <v>#DIV/0!</v>
      </c>
      <c r="K16462" s="398"/>
      <c r="L16462" s="404"/>
      <c r="M16462" s="682"/>
    </row>
    <row r="16463" spans="5:13" hidden="1" x14ac:dyDescent="0.2">
      <c r="F16463" s="503" t="s">
        <v>240</v>
      </c>
      <c r="G16463" s="504" t="s">
        <v>241</v>
      </c>
      <c r="H16463" s="397"/>
      <c r="I16463" s="397"/>
      <c r="J16463" s="750" t="e">
        <f t="shared" si="194"/>
        <v>#DIV/0!</v>
      </c>
      <c r="K16463" s="398"/>
      <c r="L16463" s="404"/>
      <c r="M16463" s="682"/>
    </row>
    <row r="16464" spans="5:13" hidden="1" x14ac:dyDescent="0.2">
      <c r="F16464" s="503" t="s">
        <v>242</v>
      </c>
      <c r="G16464" s="504" t="s">
        <v>243</v>
      </c>
      <c r="H16464" s="397"/>
      <c r="I16464" s="397"/>
      <c r="J16464" s="750" t="e">
        <f t="shared" si="194"/>
        <v>#DIV/0!</v>
      </c>
      <c r="K16464" s="398"/>
      <c r="L16464" s="404"/>
      <c r="M16464" s="682"/>
    </row>
    <row r="16465" spans="6:13" hidden="1" x14ac:dyDescent="0.2">
      <c r="F16465" s="503" t="s">
        <v>244</v>
      </c>
      <c r="G16465" s="504" t="s">
        <v>245</v>
      </c>
      <c r="H16465" s="397"/>
      <c r="I16465" s="397"/>
      <c r="J16465" s="750" t="e">
        <f t="shared" si="194"/>
        <v>#DIV/0!</v>
      </c>
      <c r="K16465" s="398"/>
      <c r="L16465" s="404"/>
      <c r="M16465" s="682"/>
    </row>
    <row r="16466" spans="6:13" x14ac:dyDescent="0.2">
      <c r="F16466" s="503" t="s">
        <v>246</v>
      </c>
      <c r="G16466" s="504" t="s">
        <v>247</v>
      </c>
      <c r="H16466" s="397"/>
      <c r="I16466" s="397"/>
      <c r="J16466" s="750"/>
      <c r="K16466" s="398">
        <f>SUM(K16451)</f>
        <v>1500000</v>
      </c>
      <c r="L16466" s="404">
        <f>SUM(L16441,L14768)</f>
        <v>2679758.81</v>
      </c>
      <c r="M16466" s="682"/>
    </row>
    <row r="16467" spans="6:13" ht="25.5" hidden="1" x14ac:dyDescent="0.2">
      <c r="F16467" s="503" t="s">
        <v>248</v>
      </c>
      <c r="G16467" s="504" t="s">
        <v>249</v>
      </c>
      <c r="H16467" s="397"/>
      <c r="I16467" s="397"/>
      <c r="J16467" s="750" t="e">
        <f t="shared" si="194"/>
        <v>#DIV/0!</v>
      </c>
      <c r="K16467" s="398"/>
      <c r="L16467" s="404"/>
      <c r="M16467" s="682"/>
    </row>
    <row r="16468" spans="6:13" hidden="1" x14ac:dyDescent="0.2">
      <c r="F16468" s="503" t="s">
        <v>250</v>
      </c>
      <c r="G16468" s="504" t="s">
        <v>57</v>
      </c>
      <c r="H16468" s="397"/>
      <c r="I16468" s="397"/>
      <c r="J16468" s="750" t="e">
        <f t="shared" si="194"/>
        <v>#DIV/0!</v>
      </c>
      <c r="K16468" s="398"/>
      <c r="L16468" s="404"/>
      <c r="M16468" s="682"/>
    </row>
    <row r="16469" spans="6:13" hidden="1" x14ac:dyDescent="0.2">
      <c r="F16469" s="503" t="s">
        <v>251</v>
      </c>
      <c r="G16469" s="504" t="s">
        <v>252</v>
      </c>
      <c r="H16469" s="397"/>
      <c r="I16469" s="397"/>
      <c r="J16469" s="750" t="e">
        <f t="shared" si="194"/>
        <v>#DIV/0!</v>
      </c>
      <c r="K16469" s="398"/>
      <c r="L16469" s="404"/>
      <c r="M16469" s="682"/>
    </row>
    <row r="16470" spans="6:13" hidden="1" x14ac:dyDescent="0.2">
      <c r="F16470" s="503" t="s">
        <v>253</v>
      </c>
      <c r="G16470" s="504" t="s">
        <v>254</v>
      </c>
      <c r="H16470" s="397"/>
      <c r="I16470" s="397"/>
      <c r="J16470" s="750" t="e">
        <f t="shared" si="194"/>
        <v>#DIV/0!</v>
      </c>
      <c r="K16470" s="398"/>
      <c r="L16470" s="404"/>
      <c r="M16470" s="682"/>
    </row>
    <row r="16471" spans="6:13" ht="25.5" hidden="1" x14ac:dyDescent="0.2">
      <c r="F16471" s="503" t="s">
        <v>255</v>
      </c>
      <c r="G16471" s="504" t="s">
        <v>256</v>
      </c>
      <c r="H16471" s="397"/>
      <c r="I16471" s="397"/>
      <c r="J16471" s="750" t="e">
        <f t="shared" si="194"/>
        <v>#DIV/0!</v>
      </c>
      <c r="K16471" s="398"/>
      <c r="L16471" s="404"/>
      <c r="M16471" s="682"/>
    </row>
    <row r="16472" spans="6:13" ht="25.5" hidden="1" x14ac:dyDescent="0.2">
      <c r="F16472" s="503" t="s">
        <v>257</v>
      </c>
      <c r="G16472" s="504" t="s">
        <v>258</v>
      </c>
      <c r="H16472" s="397"/>
      <c r="I16472" s="397"/>
      <c r="J16472" s="750" t="e">
        <f t="shared" si="194"/>
        <v>#DIV/0!</v>
      </c>
      <c r="K16472" s="398"/>
      <c r="L16472" s="404"/>
      <c r="M16472" s="682"/>
    </row>
    <row r="16473" spans="6:13" ht="25.5" hidden="1" x14ac:dyDescent="0.2">
      <c r="F16473" s="503" t="s">
        <v>259</v>
      </c>
      <c r="G16473" s="504" t="s">
        <v>260</v>
      </c>
      <c r="H16473" s="397"/>
      <c r="I16473" s="397"/>
      <c r="J16473" s="750" t="e">
        <f t="shared" si="194"/>
        <v>#DIV/0!</v>
      </c>
      <c r="K16473" s="398"/>
      <c r="L16473" s="404"/>
      <c r="M16473" s="682"/>
    </row>
    <row r="16474" spans="6:13" ht="25.5" hidden="1" x14ac:dyDescent="0.2">
      <c r="F16474" s="503" t="s">
        <v>261</v>
      </c>
      <c r="G16474" s="504" t="s">
        <v>262</v>
      </c>
      <c r="H16474" s="397"/>
      <c r="I16474" s="397"/>
      <c r="J16474" s="750" t="e">
        <f t="shared" si="194"/>
        <v>#DIV/0!</v>
      </c>
      <c r="K16474" s="398"/>
      <c r="L16474" s="404"/>
      <c r="M16474" s="682"/>
    </row>
    <row r="16475" spans="6:13" ht="16.5" customHeight="1" thickBot="1" x14ac:dyDescent="0.25">
      <c r="F16475" s="503" t="s">
        <v>257</v>
      </c>
      <c r="G16475" s="504" t="s">
        <v>258</v>
      </c>
      <c r="H16475" s="403">
        <v>4740000</v>
      </c>
      <c r="I16475" s="403">
        <f>SUM(I16450)</f>
        <v>1076879.22</v>
      </c>
      <c r="J16475" s="750">
        <f t="shared" si="194"/>
        <v>22.718970886075947</v>
      </c>
      <c r="K16475" s="404"/>
      <c r="L16475" s="404"/>
      <c r="M16475" s="682"/>
    </row>
    <row r="16476" spans="6:13" ht="13.5" thickBot="1" x14ac:dyDescent="0.25">
      <c r="G16476" s="505" t="s">
        <v>4457</v>
      </c>
      <c r="H16476" s="405">
        <f>SUM(H16460:H16475)</f>
        <v>99082800</v>
      </c>
      <c r="I16476" s="405">
        <f>SUM(I16460:I16475)</f>
        <v>86551177.810000002</v>
      </c>
      <c r="J16476" s="750">
        <f t="shared" si="194"/>
        <v>87.352373782331554</v>
      </c>
      <c r="K16476" s="406">
        <f>SUM(K16461:K16475)</f>
        <v>1500000</v>
      </c>
      <c r="L16476" s="406">
        <f>SUM(L16466)</f>
        <v>2679758.81</v>
      </c>
      <c r="M16476" s="682"/>
    </row>
    <row r="16477" spans="6:13" ht="7.5" hidden="1" customHeight="1" x14ac:dyDescent="0.2">
      <c r="G16477" s="510"/>
      <c r="H16477" s="411"/>
      <c r="I16477" s="411"/>
      <c r="J16477" s="750" t="e">
        <f t="shared" si="194"/>
        <v>#DIV/0!</v>
      </c>
      <c r="K16477" s="412"/>
      <c r="L16477" s="412"/>
      <c r="M16477" s="682"/>
    </row>
    <row r="16478" spans="6:13" hidden="1" x14ac:dyDescent="0.2">
      <c r="G16478" s="510"/>
      <c r="H16478" s="411"/>
      <c r="I16478" s="411"/>
      <c r="J16478" s="750" t="e">
        <f t="shared" si="194"/>
        <v>#DIV/0!</v>
      </c>
      <c r="K16478" s="412"/>
      <c r="L16478" s="412"/>
      <c r="M16478" s="682"/>
    </row>
    <row r="16479" spans="6:13" hidden="1" x14ac:dyDescent="0.2">
      <c r="G16479" s="510"/>
      <c r="H16479" s="411"/>
      <c r="I16479" s="411"/>
      <c r="J16479" s="750" t="e">
        <f t="shared" si="194"/>
        <v>#DIV/0!</v>
      </c>
      <c r="K16479" s="412"/>
      <c r="L16479" s="412"/>
      <c r="M16479" s="682"/>
    </row>
    <row r="16480" spans="6:13" hidden="1" x14ac:dyDescent="0.2">
      <c r="G16480" s="510"/>
      <c r="H16480" s="411"/>
      <c r="I16480" s="411"/>
      <c r="J16480" s="750" t="e">
        <f t="shared" si="194"/>
        <v>#DIV/0!</v>
      </c>
      <c r="K16480" s="412"/>
      <c r="L16480" s="412"/>
      <c r="M16480" s="682"/>
    </row>
    <row r="16481" spans="7:13" hidden="1" x14ac:dyDescent="0.2">
      <c r="G16481" s="510"/>
      <c r="H16481" s="411"/>
      <c r="I16481" s="411"/>
      <c r="J16481" s="750" t="e">
        <f t="shared" si="194"/>
        <v>#DIV/0!</v>
      </c>
      <c r="K16481" s="412"/>
      <c r="L16481" s="412"/>
      <c r="M16481" s="682"/>
    </row>
    <row r="16482" spans="7:13" hidden="1" x14ac:dyDescent="0.2">
      <c r="G16482" s="510"/>
      <c r="H16482" s="411"/>
      <c r="I16482" s="411"/>
      <c r="J16482" s="750" t="e">
        <f t="shared" si="194"/>
        <v>#DIV/0!</v>
      </c>
      <c r="K16482" s="412"/>
      <c r="L16482" s="412"/>
      <c r="M16482" s="682"/>
    </row>
    <row r="16483" spans="7:13" hidden="1" x14ac:dyDescent="0.2">
      <c r="G16483" s="510"/>
      <c r="H16483" s="411"/>
      <c r="I16483" s="411"/>
      <c r="J16483" s="750" t="e">
        <f t="shared" si="194"/>
        <v>#DIV/0!</v>
      </c>
      <c r="K16483" s="412"/>
      <c r="L16483" s="412"/>
      <c r="M16483" s="682"/>
    </row>
    <row r="16484" spans="7:13" hidden="1" x14ac:dyDescent="0.2">
      <c r="G16484" s="510"/>
      <c r="H16484" s="411"/>
      <c r="I16484" s="411"/>
      <c r="J16484" s="750" t="e">
        <f t="shared" si="194"/>
        <v>#DIV/0!</v>
      </c>
      <c r="K16484" s="412"/>
      <c r="L16484" s="412"/>
      <c r="M16484" s="682"/>
    </row>
    <row r="16485" spans="7:13" hidden="1" x14ac:dyDescent="0.2">
      <c r="G16485" s="510"/>
      <c r="H16485" s="411"/>
      <c r="I16485" s="411"/>
      <c r="J16485" s="750" t="e">
        <f t="shared" si="194"/>
        <v>#DIV/0!</v>
      </c>
      <c r="K16485" s="412"/>
      <c r="L16485" s="412"/>
      <c r="M16485" s="682"/>
    </row>
    <row r="16486" spans="7:13" hidden="1" x14ac:dyDescent="0.2">
      <c r="G16486" s="510"/>
      <c r="H16486" s="411"/>
      <c r="I16486" s="411"/>
      <c r="J16486" s="750" t="e">
        <f t="shared" si="194"/>
        <v>#DIV/0!</v>
      </c>
      <c r="K16486" s="412"/>
      <c r="L16486" s="412"/>
      <c r="M16486" s="682"/>
    </row>
    <row r="16487" spans="7:13" hidden="1" x14ac:dyDescent="0.2">
      <c r="G16487" s="510"/>
      <c r="H16487" s="411"/>
      <c r="I16487" s="411"/>
      <c r="J16487" s="750" t="e">
        <f t="shared" si="194"/>
        <v>#DIV/0!</v>
      </c>
      <c r="K16487" s="412"/>
      <c r="L16487" s="412"/>
      <c r="M16487" s="682"/>
    </row>
    <row r="16488" spans="7:13" hidden="1" x14ac:dyDescent="0.2">
      <c r="G16488" s="510"/>
      <c r="H16488" s="411"/>
      <c r="I16488" s="411"/>
      <c r="J16488" s="750" t="e">
        <f t="shared" si="194"/>
        <v>#DIV/0!</v>
      </c>
      <c r="K16488" s="412"/>
      <c r="L16488" s="412"/>
      <c r="M16488" s="682"/>
    </row>
    <row r="16489" spans="7:13" hidden="1" x14ac:dyDescent="0.2">
      <c r="G16489" s="510"/>
      <c r="H16489" s="411"/>
      <c r="I16489" s="411"/>
      <c r="J16489" s="750" t="e">
        <f t="shared" si="194"/>
        <v>#DIV/0!</v>
      </c>
      <c r="K16489" s="412"/>
      <c r="L16489" s="412"/>
      <c r="M16489" s="682"/>
    </row>
    <row r="16490" spans="7:13" hidden="1" x14ac:dyDescent="0.2">
      <c r="G16490" s="510"/>
      <c r="H16490" s="411"/>
      <c r="I16490" s="411"/>
      <c r="J16490" s="750" t="e">
        <f t="shared" si="194"/>
        <v>#DIV/0!</v>
      </c>
      <c r="K16490" s="412"/>
      <c r="L16490" s="412"/>
      <c r="M16490" s="682"/>
    </row>
    <row r="16491" spans="7:13" hidden="1" x14ac:dyDescent="0.2">
      <c r="G16491" s="510"/>
      <c r="H16491" s="411"/>
      <c r="I16491" s="411"/>
      <c r="J16491" s="750" t="e">
        <f t="shared" si="194"/>
        <v>#DIV/0!</v>
      </c>
      <c r="K16491" s="412"/>
      <c r="L16491" s="412"/>
      <c r="M16491" s="682"/>
    </row>
    <row r="16492" spans="7:13" hidden="1" x14ac:dyDescent="0.2">
      <c r="G16492" s="510"/>
      <c r="H16492" s="411"/>
      <c r="I16492" s="411"/>
      <c r="J16492" s="750" t="e">
        <f t="shared" si="194"/>
        <v>#DIV/0!</v>
      </c>
      <c r="K16492" s="412"/>
      <c r="L16492" s="412"/>
      <c r="M16492" s="682"/>
    </row>
    <row r="16493" spans="7:13" hidden="1" x14ac:dyDescent="0.2">
      <c r="G16493" s="510"/>
      <c r="H16493" s="411"/>
      <c r="I16493" s="411"/>
      <c r="J16493" s="750" t="e">
        <f t="shared" si="194"/>
        <v>#DIV/0!</v>
      </c>
      <c r="K16493" s="412"/>
      <c r="L16493" s="412"/>
      <c r="M16493" s="682"/>
    </row>
    <row r="16494" spans="7:13" hidden="1" x14ac:dyDescent="0.2">
      <c r="G16494" s="510"/>
      <c r="H16494" s="411"/>
      <c r="I16494" s="411"/>
      <c r="J16494" s="750" t="e">
        <f t="shared" si="194"/>
        <v>#DIV/0!</v>
      </c>
      <c r="K16494" s="412"/>
      <c r="L16494" s="412"/>
      <c r="M16494" s="682"/>
    </row>
    <row r="16495" spans="7:13" hidden="1" x14ac:dyDescent="0.2">
      <c r="G16495" s="510"/>
      <c r="H16495" s="411"/>
      <c r="I16495" s="411"/>
      <c r="J16495" s="750" t="e">
        <f t="shared" si="194"/>
        <v>#DIV/0!</v>
      </c>
      <c r="K16495" s="412"/>
      <c r="L16495" s="412"/>
      <c r="M16495" s="682"/>
    </row>
    <row r="16496" spans="7:13" hidden="1" x14ac:dyDescent="0.2">
      <c r="G16496" s="510"/>
      <c r="H16496" s="411"/>
      <c r="I16496" s="411"/>
      <c r="J16496" s="750" t="e">
        <f t="shared" si="194"/>
        <v>#DIV/0!</v>
      </c>
      <c r="K16496" s="412"/>
      <c r="L16496" s="412"/>
      <c r="M16496" s="682"/>
    </row>
    <row r="16497" spans="7:13" hidden="1" x14ac:dyDescent="0.2">
      <c r="G16497" s="510"/>
      <c r="H16497" s="411"/>
      <c r="I16497" s="411"/>
      <c r="J16497" s="750" t="e">
        <f t="shared" si="194"/>
        <v>#DIV/0!</v>
      </c>
      <c r="K16497" s="412"/>
      <c r="L16497" s="412"/>
      <c r="M16497" s="682"/>
    </row>
    <row r="16498" spans="7:13" hidden="1" x14ac:dyDescent="0.2">
      <c r="G16498" s="510"/>
      <c r="H16498" s="411"/>
      <c r="I16498" s="411"/>
      <c r="J16498" s="750" t="e">
        <f t="shared" si="194"/>
        <v>#DIV/0!</v>
      </c>
      <c r="K16498" s="412"/>
      <c r="L16498" s="412"/>
      <c r="M16498" s="682"/>
    </row>
    <row r="16499" spans="7:13" hidden="1" x14ac:dyDescent="0.2">
      <c r="G16499" s="510"/>
      <c r="H16499" s="411"/>
      <c r="I16499" s="411"/>
      <c r="J16499" s="750" t="e">
        <f t="shared" si="194"/>
        <v>#DIV/0!</v>
      </c>
      <c r="K16499" s="412"/>
      <c r="L16499" s="412"/>
      <c r="M16499" s="682"/>
    </row>
    <row r="16500" spans="7:13" hidden="1" x14ac:dyDescent="0.2">
      <c r="G16500" s="510"/>
      <c r="H16500" s="411"/>
      <c r="I16500" s="411"/>
      <c r="J16500" s="750" t="e">
        <f t="shared" si="194"/>
        <v>#DIV/0!</v>
      </c>
      <c r="K16500" s="412"/>
      <c r="L16500" s="412"/>
      <c r="M16500" s="682"/>
    </row>
    <row r="16501" spans="7:13" hidden="1" x14ac:dyDescent="0.2">
      <c r="G16501" s="510"/>
      <c r="H16501" s="411"/>
      <c r="I16501" s="411"/>
      <c r="J16501" s="750" t="e">
        <f t="shared" si="194"/>
        <v>#DIV/0!</v>
      </c>
      <c r="K16501" s="412"/>
      <c r="L16501" s="412"/>
      <c r="M16501" s="682"/>
    </row>
    <row r="16502" spans="7:13" hidden="1" x14ac:dyDescent="0.2">
      <c r="G16502" s="510"/>
      <c r="H16502" s="411"/>
      <c r="I16502" s="411"/>
      <c r="J16502" s="750" t="e">
        <f t="shared" si="194"/>
        <v>#DIV/0!</v>
      </c>
      <c r="K16502" s="412"/>
      <c r="L16502" s="412"/>
      <c r="M16502" s="682"/>
    </row>
    <row r="16503" spans="7:13" hidden="1" x14ac:dyDescent="0.2">
      <c r="G16503" s="510"/>
      <c r="H16503" s="411"/>
      <c r="I16503" s="411"/>
      <c r="J16503" s="750" t="e">
        <f t="shared" si="194"/>
        <v>#DIV/0!</v>
      </c>
      <c r="K16503" s="412"/>
      <c r="L16503" s="412"/>
      <c r="M16503" s="682"/>
    </row>
    <row r="16504" spans="7:13" hidden="1" x14ac:dyDescent="0.2">
      <c r="G16504" s="510"/>
      <c r="H16504" s="411"/>
      <c r="I16504" s="411"/>
      <c r="J16504" s="750" t="e">
        <f t="shared" si="194"/>
        <v>#DIV/0!</v>
      </c>
      <c r="K16504" s="412"/>
      <c r="L16504" s="412"/>
      <c r="M16504" s="682"/>
    </row>
    <row r="16505" spans="7:13" hidden="1" x14ac:dyDescent="0.2">
      <c r="G16505" s="510"/>
      <c r="H16505" s="411"/>
      <c r="I16505" s="411"/>
      <c r="J16505" s="750" t="e">
        <f t="shared" si="194"/>
        <v>#DIV/0!</v>
      </c>
      <c r="K16505" s="412"/>
      <c r="L16505" s="412"/>
      <c r="M16505" s="682"/>
    </row>
    <row r="16506" spans="7:13" hidden="1" x14ac:dyDescent="0.2">
      <c r="G16506" s="510"/>
      <c r="H16506" s="411"/>
      <c r="I16506" s="411"/>
      <c r="J16506" s="750" t="e">
        <f t="shared" si="194"/>
        <v>#DIV/0!</v>
      </c>
      <c r="K16506" s="412"/>
      <c r="L16506" s="412"/>
      <c r="M16506" s="682"/>
    </row>
    <row r="16507" spans="7:13" hidden="1" x14ac:dyDescent="0.2">
      <c r="G16507" s="510"/>
      <c r="H16507" s="411"/>
      <c r="I16507" s="411"/>
      <c r="J16507" s="750" t="e">
        <f t="shared" si="194"/>
        <v>#DIV/0!</v>
      </c>
      <c r="K16507" s="412"/>
      <c r="L16507" s="412"/>
      <c r="M16507" s="682"/>
    </row>
    <row r="16508" spans="7:13" hidden="1" x14ac:dyDescent="0.2">
      <c r="G16508" s="510"/>
      <c r="H16508" s="411"/>
      <c r="I16508" s="411"/>
      <c r="J16508" s="750" t="e">
        <f t="shared" si="194"/>
        <v>#DIV/0!</v>
      </c>
      <c r="K16508" s="412"/>
      <c r="L16508" s="412"/>
      <c r="M16508" s="682"/>
    </row>
    <row r="16509" spans="7:13" hidden="1" x14ac:dyDescent="0.2">
      <c r="G16509" s="510"/>
      <c r="H16509" s="411"/>
      <c r="I16509" s="411"/>
      <c r="J16509" s="750" t="e">
        <f t="shared" si="194"/>
        <v>#DIV/0!</v>
      </c>
      <c r="K16509" s="412"/>
      <c r="L16509" s="412"/>
      <c r="M16509" s="682"/>
    </row>
    <row r="16510" spans="7:13" hidden="1" x14ac:dyDescent="0.2">
      <c r="G16510" s="510"/>
      <c r="H16510" s="411"/>
      <c r="I16510" s="411"/>
      <c r="J16510" s="750" t="e">
        <f t="shared" si="194"/>
        <v>#DIV/0!</v>
      </c>
      <c r="K16510" s="412"/>
      <c r="L16510" s="412"/>
      <c r="M16510" s="682"/>
    </row>
    <row r="16511" spans="7:13" hidden="1" x14ac:dyDescent="0.2">
      <c r="G16511" s="510"/>
      <c r="H16511" s="411"/>
      <c r="I16511" s="411"/>
      <c r="J16511" s="750" t="e">
        <f t="shared" si="194"/>
        <v>#DIV/0!</v>
      </c>
      <c r="K16511" s="412"/>
      <c r="L16511" s="412"/>
      <c r="M16511" s="682"/>
    </row>
    <row r="16512" spans="7:13" hidden="1" x14ac:dyDescent="0.2">
      <c r="G16512" s="510"/>
      <c r="H16512" s="411"/>
      <c r="I16512" s="411"/>
      <c r="J16512" s="750" t="e">
        <f t="shared" si="194"/>
        <v>#DIV/0!</v>
      </c>
      <c r="K16512" s="412"/>
      <c r="L16512" s="412"/>
      <c r="M16512" s="682"/>
    </row>
    <row r="16513" spans="7:13" hidden="1" x14ac:dyDescent="0.2">
      <c r="G16513" s="510"/>
      <c r="H16513" s="411"/>
      <c r="I16513" s="411"/>
      <c r="J16513" s="750" t="e">
        <f t="shared" si="194"/>
        <v>#DIV/0!</v>
      </c>
      <c r="K16513" s="412"/>
      <c r="L16513" s="412"/>
      <c r="M16513" s="682"/>
    </row>
    <row r="16514" spans="7:13" hidden="1" x14ac:dyDescent="0.2">
      <c r="G16514" s="510"/>
      <c r="H16514" s="411"/>
      <c r="I16514" s="411"/>
      <c r="J16514" s="750" t="e">
        <f t="shared" si="194"/>
        <v>#DIV/0!</v>
      </c>
      <c r="K16514" s="412"/>
      <c r="L16514" s="412"/>
      <c r="M16514" s="682"/>
    </row>
    <row r="16515" spans="7:13" hidden="1" x14ac:dyDescent="0.2">
      <c r="G16515" s="510"/>
      <c r="H16515" s="411"/>
      <c r="I16515" s="411"/>
      <c r="J16515" s="750" t="e">
        <f t="shared" si="194"/>
        <v>#DIV/0!</v>
      </c>
      <c r="K16515" s="412"/>
      <c r="L16515" s="412"/>
      <c r="M16515" s="682"/>
    </row>
    <row r="16516" spans="7:13" hidden="1" x14ac:dyDescent="0.2">
      <c r="G16516" s="510"/>
      <c r="H16516" s="411"/>
      <c r="I16516" s="411"/>
      <c r="J16516" s="750" t="e">
        <f t="shared" si="194"/>
        <v>#DIV/0!</v>
      </c>
      <c r="K16516" s="412"/>
      <c r="L16516" s="412"/>
      <c r="M16516" s="682"/>
    </row>
    <row r="16517" spans="7:13" hidden="1" x14ac:dyDescent="0.2">
      <c r="G16517" s="510"/>
      <c r="H16517" s="411"/>
      <c r="I16517" s="411"/>
      <c r="J16517" s="750" t="e">
        <f t="shared" si="194"/>
        <v>#DIV/0!</v>
      </c>
      <c r="K16517" s="412"/>
      <c r="L16517" s="412"/>
      <c r="M16517" s="682"/>
    </row>
    <row r="16518" spans="7:13" hidden="1" x14ac:dyDescent="0.2">
      <c r="G16518" s="510"/>
      <c r="H16518" s="411"/>
      <c r="I16518" s="411"/>
      <c r="J16518" s="750" t="e">
        <f t="shared" si="194"/>
        <v>#DIV/0!</v>
      </c>
      <c r="K16518" s="412"/>
      <c r="L16518" s="412"/>
      <c r="M16518" s="682"/>
    </row>
    <row r="16519" spans="7:13" hidden="1" x14ac:dyDescent="0.2">
      <c r="G16519" s="510"/>
      <c r="H16519" s="411"/>
      <c r="I16519" s="411"/>
      <c r="J16519" s="750" t="e">
        <f t="shared" si="194"/>
        <v>#DIV/0!</v>
      </c>
      <c r="K16519" s="412"/>
      <c r="L16519" s="412"/>
      <c r="M16519" s="682"/>
    </row>
    <row r="16520" spans="7:13" hidden="1" x14ac:dyDescent="0.2">
      <c r="G16520" s="510"/>
      <c r="H16520" s="411"/>
      <c r="I16520" s="411"/>
      <c r="J16520" s="750" t="e">
        <f t="shared" si="194"/>
        <v>#DIV/0!</v>
      </c>
      <c r="K16520" s="412"/>
      <c r="L16520" s="412"/>
      <c r="M16520" s="682"/>
    </row>
    <row r="16521" spans="7:13" hidden="1" x14ac:dyDescent="0.2">
      <c r="G16521" s="510"/>
      <c r="H16521" s="411"/>
      <c r="I16521" s="411"/>
      <c r="J16521" s="750" t="e">
        <f t="shared" si="194"/>
        <v>#DIV/0!</v>
      </c>
      <c r="K16521" s="412"/>
      <c r="L16521" s="412"/>
      <c r="M16521" s="682"/>
    </row>
    <row r="16522" spans="7:13" hidden="1" x14ac:dyDescent="0.2">
      <c r="G16522" s="510"/>
      <c r="H16522" s="411"/>
      <c r="I16522" s="411"/>
      <c r="J16522" s="750" t="e">
        <f t="shared" si="194"/>
        <v>#DIV/0!</v>
      </c>
      <c r="K16522" s="412"/>
      <c r="L16522" s="412"/>
      <c r="M16522" s="682"/>
    </row>
    <row r="16523" spans="7:13" hidden="1" x14ac:dyDescent="0.2">
      <c r="G16523" s="510"/>
      <c r="H16523" s="411"/>
      <c r="I16523" s="411"/>
      <c r="J16523" s="750" t="e">
        <f t="shared" si="194"/>
        <v>#DIV/0!</v>
      </c>
      <c r="K16523" s="412"/>
      <c r="L16523" s="412"/>
      <c r="M16523" s="682"/>
    </row>
    <row r="16524" spans="7:13" hidden="1" x14ac:dyDescent="0.2">
      <c r="G16524" s="510"/>
      <c r="H16524" s="411"/>
      <c r="I16524" s="411"/>
      <c r="J16524" s="750" t="e">
        <f t="shared" si="194"/>
        <v>#DIV/0!</v>
      </c>
      <c r="K16524" s="412"/>
      <c r="L16524" s="412"/>
      <c r="M16524" s="682"/>
    </row>
    <row r="16525" spans="7:13" hidden="1" x14ac:dyDescent="0.2">
      <c r="G16525" s="510"/>
      <c r="H16525" s="411"/>
      <c r="I16525" s="411"/>
      <c r="J16525" s="750" t="e">
        <f t="shared" si="194"/>
        <v>#DIV/0!</v>
      </c>
      <c r="K16525" s="412"/>
      <c r="L16525" s="412"/>
      <c r="M16525" s="682"/>
    </row>
    <row r="16526" spans="7:13" hidden="1" x14ac:dyDescent="0.2">
      <c r="G16526" s="510"/>
      <c r="H16526" s="411"/>
      <c r="I16526" s="411"/>
      <c r="J16526" s="750" t="e">
        <f t="shared" ref="J16526:J16589" si="195">SUM(I16526/H16526)*100</f>
        <v>#DIV/0!</v>
      </c>
      <c r="K16526" s="412"/>
      <c r="L16526" s="412"/>
      <c r="M16526" s="682"/>
    </row>
    <row r="16527" spans="7:13" hidden="1" x14ac:dyDescent="0.2">
      <c r="G16527" s="510"/>
      <c r="H16527" s="411"/>
      <c r="I16527" s="411"/>
      <c r="J16527" s="750" t="e">
        <f t="shared" si="195"/>
        <v>#DIV/0!</v>
      </c>
      <c r="K16527" s="412"/>
      <c r="L16527" s="412"/>
      <c r="M16527" s="682"/>
    </row>
    <row r="16528" spans="7:13" hidden="1" x14ac:dyDescent="0.2">
      <c r="G16528" s="510"/>
      <c r="H16528" s="411"/>
      <c r="I16528" s="411"/>
      <c r="J16528" s="750" t="e">
        <f t="shared" si="195"/>
        <v>#DIV/0!</v>
      </c>
      <c r="K16528" s="412"/>
      <c r="L16528" s="412"/>
      <c r="M16528" s="682"/>
    </row>
    <row r="16529" spans="7:13" hidden="1" x14ac:dyDescent="0.2">
      <c r="G16529" s="510"/>
      <c r="H16529" s="411"/>
      <c r="I16529" s="411"/>
      <c r="J16529" s="750" t="e">
        <f t="shared" si="195"/>
        <v>#DIV/0!</v>
      </c>
      <c r="K16529" s="412"/>
      <c r="L16529" s="412"/>
      <c r="M16529" s="682"/>
    </row>
    <row r="16530" spans="7:13" hidden="1" x14ac:dyDescent="0.2">
      <c r="G16530" s="510"/>
      <c r="H16530" s="411"/>
      <c r="I16530" s="411"/>
      <c r="J16530" s="750" t="e">
        <f t="shared" si="195"/>
        <v>#DIV/0!</v>
      </c>
      <c r="K16530" s="412"/>
      <c r="L16530" s="412"/>
      <c r="M16530" s="682"/>
    </row>
    <row r="16531" spans="7:13" hidden="1" x14ac:dyDescent="0.2">
      <c r="G16531" s="510"/>
      <c r="H16531" s="411"/>
      <c r="I16531" s="411"/>
      <c r="J16531" s="750" t="e">
        <f t="shared" si="195"/>
        <v>#DIV/0!</v>
      </c>
      <c r="K16531" s="412"/>
      <c r="L16531" s="412"/>
      <c r="M16531" s="682"/>
    </row>
    <row r="16532" spans="7:13" hidden="1" x14ac:dyDescent="0.2">
      <c r="G16532" s="510"/>
      <c r="H16532" s="411"/>
      <c r="I16532" s="411"/>
      <c r="J16532" s="750" t="e">
        <f t="shared" si="195"/>
        <v>#DIV/0!</v>
      </c>
      <c r="K16532" s="412"/>
      <c r="L16532" s="412"/>
      <c r="M16532" s="682"/>
    </row>
    <row r="16533" spans="7:13" hidden="1" x14ac:dyDescent="0.2">
      <c r="G16533" s="510"/>
      <c r="H16533" s="411"/>
      <c r="I16533" s="411"/>
      <c r="J16533" s="750" t="e">
        <f t="shared" si="195"/>
        <v>#DIV/0!</v>
      </c>
      <c r="K16533" s="412"/>
      <c r="L16533" s="412"/>
      <c r="M16533" s="682"/>
    </row>
    <row r="16534" spans="7:13" hidden="1" x14ac:dyDescent="0.2">
      <c r="G16534" s="510"/>
      <c r="H16534" s="411"/>
      <c r="I16534" s="411"/>
      <c r="J16534" s="750" t="e">
        <f t="shared" si="195"/>
        <v>#DIV/0!</v>
      </c>
      <c r="K16534" s="412"/>
      <c r="L16534" s="412"/>
      <c r="M16534" s="682"/>
    </row>
    <row r="16535" spans="7:13" hidden="1" x14ac:dyDescent="0.2">
      <c r="G16535" s="510"/>
      <c r="H16535" s="411"/>
      <c r="I16535" s="411"/>
      <c r="J16535" s="750" t="e">
        <f t="shared" si="195"/>
        <v>#DIV/0!</v>
      </c>
      <c r="K16535" s="412"/>
      <c r="L16535" s="412"/>
      <c r="M16535" s="682"/>
    </row>
    <row r="16536" spans="7:13" hidden="1" x14ac:dyDescent="0.2">
      <c r="G16536" s="510"/>
      <c r="H16536" s="411"/>
      <c r="I16536" s="411"/>
      <c r="J16536" s="750" t="e">
        <f t="shared" si="195"/>
        <v>#DIV/0!</v>
      </c>
      <c r="K16536" s="412"/>
      <c r="L16536" s="412"/>
      <c r="M16536" s="682"/>
    </row>
    <row r="16537" spans="7:13" hidden="1" x14ac:dyDescent="0.2">
      <c r="G16537" s="510"/>
      <c r="H16537" s="411"/>
      <c r="I16537" s="411"/>
      <c r="J16537" s="750" t="e">
        <f t="shared" si="195"/>
        <v>#DIV/0!</v>
      </c>
      <c r="K16537" s="412"/>
      <c r="L16537" s="412"/>
      <c r="M16537" s="682"/>
    </row>
    <row r="16538" spans="7:13" hidden="1" x14ac:dyDescent="0.2">
      <c r="G16538" s="510"/>
      <c r="H16538" s="411"/>
      <c r="I16538" s="411"/>
      <c r="J16538" s="750" t="e">
        <f t="shared" si="195"/>
        <v>#DIV/0!</v>
      </c>
      <c r="K16538" s="412"/>
      <c r="L16538" s="412"/>
      <c r="M16538" s="682"/>
    </row>
    <row r="16539" spans="7:13" hidden="1" x14ac:dyDescent="0.2">
      <c r="G16539" s="510"/>
      <c r="H16539" s="411"/>
      <c r="I16539" s="411"/>
      <c r="J16539" s="750" t="e">
        <f t="shared" si="195"/>
        <v>#DIV/0!</v>
      </c>
      <c r="K16539" s="412"/>
      <c r="L16539" s="412"/>
      <c r="M16539" s="682"/>
    </row>
    <row r="16540" spans="7:13" hidden="1" x14ac:dyDescent="0.2">
      <c r="G16540" s="510"/>
      <c r="H16540" s="411"/>
      <c r="I16540" s="411"/>
      <c r="J16540" s="750" t="e">
        <f t="shared" si="195"/>
        <v>#DIV/0!</v>
      </c>
      <c r="K16540" s="412"/>
      <c r="L16540" s="412"/>
      <c r="M16540" s="682"/>
    </row>
    <row r="16541" spans="7:13" hidden="1" x14ac:dyDescent="0.2">
      <c r="G16541" s="510"/>
      <c r="H16541" s="411"/>
      <c r="I16541" s="411"/>
      <c r="J16541" s="750" t="e">
        <f t="shared" si="195"/>
        <v>#DIV/0!</v>
      </c>
      <c r="K16541" s="412"/>
      <c r="L16541" s="412"/>
      <c r="M16541" s="682"/>
    </row>
    <row r="16542" spans="7:13" hidden="1" x14ac:dyDescent="0.2">
      <c r="G16542" s="510"/>
      <c r="H16542" s="411"/>
      <c r="I16542" s="411"/>
      <c r="J16542" s="750" t="e">
        <f t="shared" si="195"/>
        <v>#DIV/0!</v>
      </c>
      <c r="K16542" s="412"/>
      <c r="L16542" s="412"/>
      <c r="M16542" s="682"/>
    </row>
    <row r="16543" spans="7:13" hidden="1" x14ac:dyDescent="0.2">
      <c r="G16543" s="510"/>
      <c r="H16543" s="411"/>
      <c r="I16543" s="411"/>
      <c r="J16543" s="750" t="e">
        <f t="shared" si="195"/>
        <v>#DIV/0!</v>
      </c>
      <c r="K16543" s="412"/>
      <c r="L16543" s="412"/>
      <c r="M16543" s="682"/>
    </row>
    <row r="16544" spans="7:13" hidden="1" x14ac:dyDescent="0.2">
      <c r="G16544" s="510"/>
      <c r="H16544" s="411"/>
      <c r="I16544" s="411"/>
      <c r="J16544" s="750" t="e">
        <f t="shared" si="195"/>
        <v>#DIV/0!</v>
      </c>
      <c r="K16544" s="412"/>
      <c r="L16544" s="412"/>
      <c r="M16544" s="682"/>
    </row>
    <row r="16545" spans="1:13" hidden="1" x14ac:dyDescent="0.2">
      <c r="G16545" s="510"/>
      <c r="H16545" s="411"/>
      <c r="I16545" s="411"/>
      <c r="J16545" s="750" t="e">
        <f t="shared" si="195"/>
        <v>#DIV/0!</v>
      </c>
      <c r="K16545" s="412"/>
      <c r="L16545" s="412"/>
      <c r="M16545" s="682"/>
    </row>
    <row r="16546" spans="1:13" hidden="1" x14ac:dyDescent="0.2">
      <c r="G16546" s="510"/>
      <c r="H16546" s="411"/>
      <c r="I16546" s="411"/>
      <c r="J16546" s="750" t="e">
        <f t="shared" si="195"/>
        <v>#DIV/0!</v>
      </c>
      <c r="K16546" s="412"/>
      <c r="L16546" s="412"/>
      <c r="M16546" s="682"/>
    </row>
    <row r="16547" spans="1:13" hidden="1" x14ac:dyDescent="0.2">
      <c r="G16547" s="510"/>
      <c r="H16547" s="411"/>
      <c r="I16547" s="411"/>
      <c r="J16547" s="750" t="e">
        <f t="shared" si="195"/>
        <v>#DIV/0!</v>
      </c>
      <c r="K16547" s="412"/>
      <c r="L16547" s="412"/>
      <c r="M16547" s="682"/>
    </row>
    <row r="16548" spans="1:13" hidden="1" x14ac:dyDescent="0.2">
      <c r="G16548" s="510"/>
      <c r="H16548" s="411"/>
      <c r="I16548" s="411"/>
      <c r="J16548" s="750" t="e">
        <f t="shared" si="195"/>
        <v>#DIV/0!</v>
      </c>
      <c r="K16548" s="412"/>
      <c r="L16548" s="412"/>
      <c r="M16548" s="682"/>
    </row>
    <row r="16549" spans="1:13" hidden="1" x14ac:dyDescent="0.2">
      <c r="G16549" s="510"/>
      <c r="H16549" s="411"/>
      <c r="I16549" s="411"/>
      <c r="J16549" s="750" t="e">
        <f t="shared" si="195"/>
        <v>#DIV/0!</v>
      </c>
      <c r="K16549" s="412"/>
      <c r="L16549" s="412"/>
      <c r="M16549" s="682"/>
    </row>
    <row r="16550" spans="1:13" hidden="1" x14ac:dyDescent="0.2">
      <c r="G16550" s="510"/>
      <c r="H16550" s="411"/>
      <c r="I16550" s="411"/>
      <c r="J16550" s="750" t="e">
        <f t="shared" si="195"/>
        <v>#DIV/0!</v>
      </c>
      <c r="K16550" s="412"/>
      <c r="L16550" s="412"/>
      <c r="M16550" s="682"/>
    </row>
    <row r="16551" spans="1:13" hidden="1" x14ac:dyDescent="0.2">
      <c r="G16551" s="510"/>
      <c r="H16551" s="411"/>
      <c r="I16551" s="411"/>
      <c r="J16551" s="750" t="e">
        <f t="shared" si="195"/>
        <v>#DIV/0!</v>
      </c>
      <c r="K16551" s="412"/>
      <c r="L16551" s="412"/>
      <c r="M16551" s="682"/>
    </row>
    <row r="16552" spans="1:13" hidden="1" x14ac:dyDescent="0.2">
      <c r="G16552" s="510"/>
      <c r="H16552" s="411"/>
      <c r="I16552" s="411"/>
      <c r="J16552" s="750" t="e">
        <f t="shared" si="195"/>
        <v>#DIV/0!</v>
      </c>
      <c r="K16552" s="412"/>
      <c r="L16552" s="412"/>
      <c r="M16552" s="682"/>
    </row>
    <row r="16553" spans="1:13" hidden="1" x14ac:dyDescent="0.2">
      <c r="G16553" s="510"/>
      <c r="H16553" s="411"/>
      <c r="I16553" s="411"/>
      <c r="J16553" s="750" t="e">
        <f t="shared" si="195"/>
        <v>#DIV/0!</v>
      </c>
      <c r="K16553" s="412"/>
      <c r="L16553" s="412"/>
      <c r="M16553" s="682"/>
    </row>
    <row r="16554" spans="1:13" hidden="1" x14ac:dyDescent="0.2">
      <c r="G16554" s="510"/>
      <c r="H16554" s="411"/>
      <c r="I16554" s="411"/>
      <c r="J16554" s="750" t="e">
        <f t="shared" si="195"/>
        <v>#DIV/0!</v>
      </c>
      <c r="K16554" s="412"/>
      <c r="L16554" s="412"/>
      <c r="M16554" s="682"/>
    </row>
    <row r="16555" spans="1:13" hidden="1" x14ac:dyDescent="0.2">
      <c r="A16555" s="626"/>
      <c r="B16555" s="626"/>
      <c r="C16555" s="651"/>
      <c r="D16555" s="626"/>
      <c r="E16555" s="626"/>
      <c r="F16555" s="626"/>
      <c r="G16555" s="652"/>
      <c r="H16555" s="453"/>
      <c r="I16555" s="453"/>
      <c r="J16555" s="750" t="e">
        <f t="shared" si="195"/>
        <v>#DIV/0!</v>
      </c>
      <c r="K16555" s="423"/>
      <c r="L16555" s="423"/>
      <c r="M16555" s="682"/>
    </row>
    <row r="16556" spans="1:13" hidden="1" x14ac:dyDescent="0.2">
      <c r="A16556" s="626"/>
      <c r="B16556" s="626"/>
      <c r="C16556" s="651"/>
      <c r="D16556" s="626"/>
      <c r="E16556" s="626"/>
      <c r="F16556" s="626"/>
      <c r="G16556" s="652"/>
      <c r="H16556" s="453"/>
      <c r="I16556" s="453"/>
      <c r="J16556" s="750" t="e">
        <f t="shared" si="195"/>
        <v>#DIV/0!</v>
      </c>
      <c r="K16556" s="423"/>
      <c r="L16556" s="423"/>
      <c r="M16556" s="682"/>
    </row>
    <row r="16557" spans="1:13" hidden="1" x14ac:dyDescent="0.2">
      <c r="A16557" s="613"/>
      <c r="B16557" s="588"/>
      <c r="C16557" s="224"/>
      <c r="D16557" s="224"/>
      <c r="E16557" s="224"/>
      <c r="F16557" s="224"/>
      <c r="G16557" s="224"/>
      <c r="H16557" s="439"/>
      <c r="I16557" s="439"/>
      <c r="J16557" s="750" t="e">
        <f t="shared" si="195"/>
        <v>#DIV/0!</v>
      </c>
      <c r="K16557" s="439"/>
      <c r="L16557" s="439"/>
      <c r="M16557" s="682"/>
    </row>
    <row r="16558" spans="1:13" ht="16.5" hidden="1" customHeight="1" x14ac:dyDescent="0.2">
      <c r="C16558" s="224"/>
      <c r="D16558" s="224"/>
      <c r="E16558" s="224"/>
      <c r="F16558" s="224"/>
      <c r="G16558" s="224"/>
      <c r="H16558" s="439"/>
      <c r="I16558" s="439"/>
      <c r="J16558" s="750" t="e">
        <f t="shared" si="195"/>
        <v>#DIV/0!</v>
      </c>
      <c r="K16558" s="439"/>
      <c r="L16558" s="439"/>
      <c r="M16558" s="682"/>
    </row>
    <row r="16559" spans="1:13" hidden="1" x14ac:dyDescent="0.2">
      <c r="C16559" s="224"/>
      <c r="D16559" s="224"/>
      <c r="E16559" s="224"/>
      <c r="F16559" s="224"/>
      <c r="G16559" s="224"/>
      <c r="H16559" s="439"/>
      <c r="I16559" s="439"/>
      <c r="J16559" s="750" t="e">
        <f t="shared" si="195"/>
        <v>#DIV/0!</v>
      </c>
      <c r="K16559" s="439"/>
      <c r="L16559" s="439"/>
      <c r="M16559" s="682"/>
    </row>
    <row r="16560" spans="1:13" hidden="1" x14ac:dyDescent="0.2">
      <c r="C16560" s="224"/>
      <c r="D16560" s="224"/>
      <c r="E16560" s="224"/>
      <c r="F16560" s="224"/>
      <c r="G16560" s="224"/>
      <c r="H16560" s="439"/>
      <c r="I16560" s="439"/>
      <c r="J16560" s="750" t="e">
        <f t="shared" si="195"/>
        <v>#DIV/0!</v>
      </c>
      <c r="K16560" s="439"/>
      <c r="L16560" s="439"/>
      <c r="M16560" s="682"/>
    </row>
    <row r="16561" spans="3:13" hidden="1" x14ac:dyDescent="0.2">
      <c r="C16561" s="224"/>
      <c r="D16561" s="224"/>
      <c r="E16561" s="224"/>
      <c r="F16561" s="224"/>
      <c r="G16561" s="224"/>
      <c r="H16561" s="439"/>
      <c r="I16561" s="439"/>
      <c r="J16561" s="750" t="e">
        <f t="shared" si="195"/>
        <v>#DIV/0!</v>
      </c>
      <c r="K16561" s="439"/>
      <c r="L16561" s="439"/>
      <c r="M16561" s="682"/>
    </row>
    <row r="16562" spans="3:13" hidden="1" x14ac:dyDescent="0.2">
      <c r="C16562" s="224"/>
      <c r="D16562" s="224"/>
      <c r="E16562" s="224"/>
      <c r="F16562" s="224"/>
      <c r="G16562" s="224"/>
      <c r="H16562" s="439"/>
      <c r="I16562" s="439"/>
      <c r="J16562" s="750" t="e">
        <f t="shared" si="195"/>
        <v>#DIV/0!</v>
      </c>
      <c r="K16562" s="439"/>
      <c r="L16562" s="439"/>
      <c r="M16562" s="682"/>
    </row>
    <row r="16563" spans="3:13" hidden="1" x14ac:dyDescent="0.2">
      <c r="C16563" s="224"/>
      <c r="D16563" s="224"/>
      <c r="E16563" s="224"/>
      <c r="F16563" s="224"/>
      <c r="G16563" s="224"/>
      <c r="H16563" s="439"/>
      <c r="I16563" s="439"/>
      <c r="J16563" s="750" t="e">
        <f t="shared" si="195"/>
        <v>#DIV/0!</v>
      </c>
      <c r="K16563" s="439"/>
      <c r="L16563" s="439"/>
      <c r="M16563" s="682"/>
    </row>
    <row r="16564" spans="3:13" hidden="1" x14ac:dyDescent="0.2">
      <c r="C16564" s="224"/>
      <c r="D16564" s="224"/>
      <c r="E16564" s="224"/>
      <c r="F16564" s="224"/>
      <c r="G16564" s="224"/>
      <c r="H16564" s="439"/>
      <c r="I16564" s="439"/>
      <c r="J16564" s="750" t="e">
        <f t="shared" si="195"/>
        <v>#DIV/0!</v>
      </c>
      <c r="K16564" s="439"/>
      <c r="L16564" s="439"/>
      <c r="M16564" s="682"/>
    </row>
    <row r="16565" spans="3:13" hidden="1" x14ac:dyDescent="0.2">
      <c r="C16565" s="224"/>
      <c r="D16565" s="224"/>
      <c r="E16565" s="224"/>
      <c r="F16565" s="224"/>
      <c r="G16565" s="224"/>
      <c r="H16565" s="439"/>
      <c r="I16565" s="439"/>
      <c r="J16565" s="750" t="e">
        <f t="shared" si="195"/>
        <v>#DIV/0!</v>
      </c>
      <c r="K16565" s="439"/>
      <c r="L16565" s="439"/>
      <c r="M16565" s="682"/>
    </row>
    <row r="16566" spans="3:13" hidden="1" x14ac:dyDescent="0.2">
      <c r="C16566" s="224"/>
      <c r="D16566" s="224"/>
      <c r="E16566" s="224"/>
      <c r="F16566" s="224"/>
      <c r="G16566" s="224"/>
      <c r="H16566" s="439"/>
      <c r="I16566" s="439"/>
      <c r="J16566" s="750" t="e">
        <f t="shared" si="195"/>
        <v>#DIV/0!</v>
      </c>
      <c r="K16566" s="439"/>
      <c r="L16566" s="439"/>
      <c r="M16566" s="682"/>
    </row>
    <row r="16567" spans="3:13" hidden="1" x14ac:dyDescent="0.2">
      <c r="C16567" s="224"/>
      <c r="D16567" s="224"/>
      <c r="E16567" s="224"/>
      <c r="F16567" s="224"/>
      <c r="G16567" s="224"/>
      <c r="H16567" s="439"/>
      <c r="I16567" s="439"/>
      <c r="J16567" s="750" t="e">
        <f t="shared" si="195"/>
        <v>#DIV/0!</v>
      </c>
      <c r="K16567" s="439"/>
      <c r="L16567" s="439"/>
      <c r="M16567" s="682"/>
    </row>
    <row r="16568" spans="3:13" hidden="1" x14ac:dyDescent="0.2">
      <c r="C16568" s="224"/>
      <c r="D16568" s="224"/>
      <c r="E16568" s="224"/>
      <c r="F16568" s="224"/>
      <c r="G16568" s="224"/>
      <c r="H16568" s="439"/>
      <c r="I16568" s="439"/>
      <c r="J16568" s="750" t="e">
        <f t="shared" si="195"/>
        <v>#DIV/0!</v>
      </c>
      <c r="K16568" s="439"/>
      <c r="L16568" s="439"/>
      <c r="M16568" s="682"/>
    </row>
    <row r="16569" spans="3:13" hidden="1" x14ac:dyDescent="0.2">
      <c r="C16569" s="224"/>
      <c r="D16569" s="224"/>
      <c r="E16569" s="224"/>
      <c r="F16569" s="224"/>
      <c r="G16569" s="224"/>
      <c r="H16569" s="439"/>
      <c r="I16569" s="439"/>
      <c r="J16569" s="750" t="e">
        <f t="shared" si="195"/>
        <v>#DIV/0!</v>
      </c>
      <c r="K16569" s="439"/>
      <c r="L16569" s="439"/>
      <c r="M16569" s="682"/>
    </row>
    <row r="16570" spans="3:13" hidden="1" x14ac:dyDescent="0.2">
      <c r="C16570" s="224"/>
      <c r="D16570" s="224"/>
      <c r="E16570" s="224"/>
      <c r="F16570" s="224"/>
      <c r="G16570" s="224"/>
      <c r="H16570" s="439"/>
      <c r="I16570" s="439"/>
      <c r="J16570" s="750" t="e">
        <f t="shared" si="195"/>
        <v>#DIV/0!</v>
      </c>
      <c r="K16570" s="439"/>
      <c r="L16570" s="439"/>
      <c r="M16570" s="682"/>
    </row>
    <row r="16571" spans="3:13" hidden="1" x14ac:dyDescent="0.2">
      <c r="C16571" s="224"/>
      <c r="D16571" s="224"/>
      <c r="E16571" s="224"/>
      <c r="F16571" s="224"/>
      <c r="G16571" s="224"/>
      <c r="H16571" s="439"/>
      <c r="I16571" s="439"/>
      <c r="J16571" s="750" t="e">
        <f t="shared" si="195"/>
        <v>#DIV/0!</v>
      </c>
      <c r="K16571" s="439"/>
      <c r="L16571" s="439"/>
      <c r="M16571" s="682"/>
    </row>
    <row r="16572" spans="3:13" hidden="1" x14ac:dyDescent="0.2">
      <c r="C16572" s="224"/>
      <c r="D16572" s="224"/>
      <c r="E16572" s="224"/>
      <c r="F16572" s="224"/>
      <c r="G16572" s="224"/>
      <c r="H16572" s="439"/>
      <c r="I16572" s="439"/>
      <c r="J16572" s="750" t="e">
        <f t="shared" si="195"/>
        <v>#DIV/0!</v>
      </c>
      <c r="K16572" s="439"/>
      <c r="L16572" s="439"/>
      <c r="M16572" s="682"/>
    </row>
    <row r="16573" spans="3:13" hidden="1" x14ac:dyDescent="0.2">
      <c r="C16573" s="224"/>
      <c r="D16573" s="224"/>
      <c r="E16573" s="224"/>
      <c r="F16573" s="224"/>
      <c r="G16573" s="224"/>
      <c r="H16573" s="439"/>
      <c r="I16573" s="439"/>
      <c r="J16573" s="750" t="e">
        <f t="shared" si="195"/>
        <v>#DIV/0!</v>
      </c>
      <c r="K16573" s="439"/>
      <c r="L16573" s="439"/>
      <c r="M16573" s="682"/>
    </row>
    <row r="16574" spans="3:13" hidden="1" x14ac:dyDescent="0.2">
      <c r="C16574" s="224"/>
      <c r="D16574" s="224"/>
      <c r="E16574" s="224"/>
      <c r="F16574" s="224"/>
      <c r="G16574" s="224"/>
      <c r="H16574" s="439"/>
      <c r="I16574" s="439"/>
      <c r="J16574" s="750" t="e">
        <f t="shared" si="195"/>
        <v>#DIV/0!</v>
      </c>
      <c r="K16574" s="439"/>
      <c r="L16574" s="439"/>
      <c r="M16574" s="682"/>
    </row>
    <row r="16575" spans="3:13" hidden="1" x14ac:dyDescent="0.2">
      <c r="C16575" s="224"/>
      <c r="D16575" s="224"/>
      <c r="E16575" s="224"/>
      <c r="F16575" s="224"/>
      <c r="G16575" s="224"/>
      <c r="H16575" s="439"/>
      <c r="I16575" s="439"/>
      <c r="J16575" s="750" t="e">
        <f t="shared" si="195"/>
        <v>#DIV/0!</v>
      </c>
      <c r="K16575" s="439"/>
      <c r="L16575" s="439"/>
      <c r="M16575" s="682"/>
    </row>
    <row r="16576" spans="3:13" hidden="1" x14ac:dyDescent="0.2">
      <c r="C16576" s="224"/>
      <c r="D16576" s="224"/>
      <c r="E16576" s="224"/>
      <c r="F16576" s="224"/>
      <c r="G16576" s="224"/>
      <c r="H16576" s="439"/>
      <c r="I16576" s="439"/>
      <c r="J16576" s="750" t="e">
        <f t="shared" si="195"/>
        <v>#DIV/0!</v>
      </c>
      <c r="K16576" s="439"/>
      <c r="L16576" s="439"/>
      <c r="M16576" s="682"/>
    </row>
    <row r="16577" spans="3:13" hidden="1" x14ac:dyDescent="0.2">
      <c r="C16577" s="224"/>
      <c r="D16577" s="224"/>
      <c r="E16577" s="224"/>
      <c r="F16577" s="224"/>
      <c r="G16577" s="224"/>
      <c r="H16577" s="439"/>
      <c r="I16577" s="439"/>
      <c r="J16577" s="750" t="e">
        <f t="shared" si="195"/>
        <v>#DIV/0!</v>
      </c>
      <c r="K16577" s="439"/>
      <c r="L16577" s="439"/>
      <c r="M16577" s="682"/>
    </row>
    <row r="16578" spans="3:13" hidden="1" x14ac:dyDescent="0.2">
      <c r="C16578" s="224"/>
      <c r="D16578" s="224"/>
      <c r="E16578" s="224"/>
      <c r="F16578" s="224"/>
      <c r="G16578" s="224"/>
      <c r="H16578" s="439"/>
      <c r="I16578" s="439"/>
      <c r="J16578" s="750" t="e">
        <f t="shared" si="195"/>
        <v>#DIV/0!</v>
      </c>
      <c r="K16578" s="439"/>
      <c r="L16578" s="439"/>
      <c r="M16578" s="682"/>
    </row>
    <row r="16579" spans="3:13" hidden="1" x14ac:dyDescent="0.2">
      <c r="C16579" s="224"/>
      <c r="D16579" s="224"/>
      <c r="E16579" s="224"/>
      <c r="F16579" s="224"/>
      <c r="G16579" s="224"/>
      <c r="H16579" s="439"/>
      <c r="I16579" s="439"/>
      <c r="J16579" s="750" t="e">
        <f t="shared" si="195"/>
        <v>#DIV/0!</v>
      </c>
      <c r="K16579" s="439"/>
      <c r="L16579" s="439"/>
      <c r="M16579" s="682"/>
    </row>
    <row r="16580" spans="3:13" hidden="1" x14ac:dyDescent="0.2">
      <c r="C16580" s="224"/>
      <c r="D16580" s="224"/>
      <c r="E16580" s="224"/>
      <c r="F16580" s="224"/>
      <c r="G16580" s="224"/>
      <c r="H16580" s="439"/>
      <c r="I16580" s="439"/>
      <c r="J16580" s="750" t="e">
        <f t="shared" si="195"/>
        <v>#DIV/0!</v>
      </c>
      <c r="K16580" s="439"/>
      <c r="L16580" s="439"/>
      <c r="M16580" s="682"/>
    </row>
    <row r="16581" spans="3:13" hidden="1" x14ac:dyDescent="0.2">
      <c r="C16581" s="224"/>
      <c r="D16581" s="224"/>
      <c r="E16581" s="224"/>
      <c r="F16581" s="224"/>
      <c r="G16581" s="224"/>
      <c r="H16581" s="439"/>
      <c r="I16581" s="439"/>
      <c r="J16581" s="750" t="e">
        <f t="shared" si="195"/>
        <v>#DIV/0!</v>
      </c>
      <c r="K16581" s="439"/>
      <c r="L16581" s="439"/>
      <c r="M16581" s="682"/>
    </row>
    <row r="16582" spans="3:13" hidden="1" x14ac:dyDescent="0.2">
      <c r="C16582" s="224"/>
      <c r="D16582" s="224"/>
      <c r="E16582" s="224"/>
      <c r="F16582" s="224"/>
      <c r="G16582" s="224"/>
      <c r="H16582" s="439"/>
      <c r="I16582" s="439"/>
      <c r="J16582" s="750" t="e">
        <f t="shared" si="195"/>
        <v>#DIV/0!</v>
      </c>
      <c r="K16582" s="439"/>
      <c r="L16582" s="439"/>
      <c r="M16582" s="682"/>
    </row>
    <row r="16583" spans="3:13" hidden="1" x14ac:dyDescent="0.2">
      <c r="C16583" s="224"/>
      <c r="D16583" s="224"/>
      <c r="E16583" s="224"/>
      <c r="F16583" s="224"/>
      <c r="G16583" s="224"/>
      <c r="H16583" s="439"/>
      <c r="I16583" s="439"/>
      <c r="J16583" s="750" t="e">
        <f t="shared" si="195"/>
        <v>#DIV/0!</v>
      </c>
      <c r="K16583" s="439"/>
      <c r="L16583" s="439"/>
      <c r="M16583" s="682"/>
    </row>
    <row r="16584" spans="3:13" hidden="1" x14ac:dyDescent="0.2">
      <c r="C16584" s="224"/>
      <c r="D16584" s="224"/>
      <c r="E16584" s="224"/>
      <c r="F16584" s="224"/>
      <c r="G16584" s="224"/>
      <c r="H16584" s="439"/>
      <c r="I16584" s="439"/>
      <c r="J16584" s="750" t="e">
        <f t="shared" si="195"/>
        <v>#DIV/0!</v>
      </c>
      <c r="K16584" s="439"/>
      <c r="L16584" s="439"/>
      <c r="M16584" s="682"/>
    </row>
    <row r="16585" spans="3:13" ht="19.5" hidden="1" customHeight="1" x14ac:dyDescent="0.2">
      <c r="C16585" s="224"/>
      <c r="D16585" s="224"/>
      <c r="E16585" s="224"/>
      <c r="F16585" s="224"/>
      <c r="G16585" s="224"/>
      <c r="H16585" s="439"/>
      <c r="I16585" s="439"/>
      <c r="J16585" s="750" t="e">
        <f t="shared" si="195"/>
        <v>#DIV/0!</v>
      </c>
      <c r="K16585" s="439"/>
      <c r="L16585" s="439"/>
      <c r="M16585" s="682"/>
    </row>
    <row r="16586" spans="3:13" hidden="1" x14ac:dyDescent="0.2">
      <c r="C16586" s="224"/>
      <c r="D16586" s="224"/>
      <c r="E16586" s="224"/>
      <c r="F16586" s="224"/>
      <c r="G16586" s="224"/>
      <c r="H16586" s="439"/>
      <c r="I16586" s="439"/>
      <c r="J16586" s="750" t="e">
        <f t="shared" si="195"/>
        <v>#DIV/0!</v>
      </c>
      <c r="K16586" s="439"/>
      <c r="L16586" s="439"/>
      <c r="M16586" s="682"/>
    </row>
    <row r="16587" spans="3:13" hidden="1" x14ac:dyDescent="0.2">
      <c r="C16587" s="224"/>
      <c r="D16587" s="224"/>
      <c r="E16587" s="224"/>
      <c r="F16587" s="224"/>
      <c r="G16587" s="224"/>
      <c r="H16587" s="439"/>
      <c r="I16587" s="439"/>
      <c r="J16587" s="750" t="e">
        <f t="shared" si="195"/>
        <v>#DIV/0!</v>
      </c>
      <c r="K16587" s="439"/>
      <c r="L16587" s="439"/>
      <c r="M16587" s="682"/>
    </row>
    <row r="16588" spans="3:13" hidden="1" x14ac:dyDescent="0.2">
      <c r="C16588" s="224"/>
      <c r="D16588" s="224"/>
      <c r="E16588" s="224"/>
      <c r="F16588" s="224"/>
      <c r="G16588" s="224"/>
      <c r="H16588" s="439"/>
      <c r="I16588" s="439"/>
      <c r="J16588" s="750" t="e">
        <f t="shared" si="195"/>
        <v>#DIV/0!</v>
      </c>
      <c r="K16588" s="439"/>
      <c r="L16588" s="439"/>
      <c r="M16588" s="682"/>
    </row>
    <row r="16589" spans="3:13" hidden="1" x14ac:dyDescent="0.2">
      <c r="C16589" s="224"/>
      <c r="D16589" s="224"/>
      <c r="E16589" s="224"/>
      <c r="F16589" s="224"/>
      <c r="G16589" s="224"/>
      <c r="H16589" s="439"/>
      <c r="I16589" s="439"/>
      <c r="J16589" s="750" t="e">
        <f t="shared" si="195"/>
        <v>#DIV/0!</v>
      </c>
      <c r="K16589" s="439"/>
      <c r="L16589" s="439"/>
      <c r="M16589" s="682"/>
    </row>
    <row r="16590" spans="3:13" hidden="1" x14ac:dyDescent="0.2">
      <c r="C16590" s="224"/>
      <c r="D16590" s="224"/>
      <c r="E16590" s="224"/>
      <c r="F16590" s="224"/>
      <c r="G16590" s="224"/>
      <c r="H16590" s="439"/>
      <c r="I16590" s="439"/>
      <c r="J16590" s="750" t="e">
        <f t="shared" ref="J16590:J16653" si="196">SUM(I16590/H16590)*100</f>
        <v>#DIV/0!</v>
      </c>
      <c r="K16590" s="439"/>
      <c r="L16590" s="439"/>
      <c r="M16590" s="682"/>
    </row>
    <row r="16591" spans="3:13" hidden="1" x14ac:dyDescent="0.2">
      <c r="C16591" s="224"/>
      <c r="D16591" s="224"/>
      <c r="E16591" s="224"/>
      <c r="F16591" s="224"/>
      <c r="G16591" s="224"/>
      <c r="H16591" s="439"/>
      <c r="I16591" s="439"/>
      <c r="J16591" s="750" t="e">
        <f t="shared" si="196"/>
        <v>#DIV/0!</v>
      </c>
      <c r="K16591" s="439"/>
      <c r="L16591" s="439"/>
      <c r="M16591" s="682"/>
    </row>
    <row r="16592" spans="3:13" hidden="1" x14ac:dyDescent="0.2">
      <c r="C16592" s="224"/>
      <c r="D16592" s="224"/>
      <c r="E16592" s="224"/>
      <c r="F16592" s="224"/>
      <c r="G16592" s="224"/>
      <c r="H16592" s="439"/>
      <c r="I16592" s="439"/>
      <c r="J16592" s="750" t="e">
        <f t="shared" si="196"/>
        <v>#DIV/0!</v>
      </c>
      <c r="K16592" s="439"/>
      <c r="L16592" s="439"/>
      <c r="M16592" s="682"/>
    </row>
    <row r="16593" spans="3:13" hidden="1" x14ac:dyDescent="0.2">
      <c r="C16593" s="224"/>
      <c r="D16593" s="224"/>
      <c r="E16593" s="224"/>
      <c r="F16593" s="224"/>
      <c r="G16593" s="224"/>
      <c r="H16593" s="439"/>
      <c r="I16593" s="439"/>
      <c r="J16593" s="750" t="e">
        <f t="shared" si="196"/>
        <v>#DIV/0!</v>
      </c>
      <c r="K16593" s="439"/>
      <c r="L16593" s="439"/>
      <c r="M16593" s="682"/>
    </row>
    <row r="16594" spans="3:13" hidden="1" x14ac:dyDescent="0.2">
      <c r="C16594" s="224"/>
      <c r="D16594" s="224"/>
      <c r="E16594" s="224"/>
      <c r="F16594" s="224"/>
      <c r="G16594" s="224"/>
      <c r="H16594" s="439"/>
      <c r="I16594" s="439"/>
      <c r="J16594" s="750" t="e">
        <f t="shared" si="196"/>
        <v>#DIV/0!</v>
      </c>
      <c r="K16594" s="439"/>
      <c r="L16594" s="439"/>
      <c r="M16594" s="682"/>
    </row>
    <row r="16595" spans="3:13" hidden="1" x14ac:dyDescent="0.2">
      <c r="C16595" s="224"/>
      <c r="D16595" s="224"/>
      <c r="E16595" s="224"/>
      <c r="F16595" s="224"/>
      <c r="G16595" s="224"/>
      <c r="H16595" s="439"/>
      <c r="I16595" s="439"/>
      <c r="J16595" s="750" t="e">
        <f t="shared" si="196"/>
        <v>#DIV/0!</v>
      </c>
      <c r="K16595" s="439"/>
      <c r="L16595" s="439"/>
      <c r="M16595" s="682"/>
    </row>
    <row r="16596" spans="3:13" hidden="1" x14ac:dyDescent="0.2">
      <c r="C16596" s="224"/>
      <c r="D16596" s="224"/>
      <c r="E16596" s="224"/>
      <c r="F16596" s="224"/>
      <c r="G16596" s="224"/>
      <c r="H16596" s="439"/>
      <c r="I16596" s="439"/>
      <c r="J16596" s="750" t="e">
        <f t="shared" si="196"/>
        <v>#DIV/0!</v>
      </c>
      <c r="K16596" s="439"/>
      <c r="L16596" s="439"/>
      <c r="M16596" s="682"/>
    </row>
    <row r="16597" spans="3:13" hidden="1" x14ac:dyDescent="0.2">
      <c r="C16597" s="224"/>
      <c r="D16597" s="224"/>
      <c r="E16597" s="224"/>
      <c r="F16597" s="224"/>
      <c r="G16597" s="224"/>
      <c r="H16597" s="439"/>
      <c r="I16597" s="439"/>
      <c r="J16597" s="750" t="e">
        <f t="shared" si="196"/>
        <v>#DIV/0!</v>
      </c>
      <c r="K16597" s="439"/>
      <c r="L16597" s="439"/>
      <c r="M16597" s="682"/>
    </row>
    <row r="16598" spans="3:13" hidden="1" x14ac:dyDescent="0.2">
      <c r="C16598" s="224"/>
      <c r="D16598" s="224"/>
      <c r="E16598" s="224"/>
      <c r="F16598" s="224"/>
      <c r="G16598" s="224"/>
      <c r="H16598" s="439"/>
      <c r="I16598" s="439"/>
      <c r="J16598" s="750" t="e">
        <f t="shared" si="196"/>
        <v>#DIV/0!</v>
      </c>
      <c r="K16598" s="439"/>
      <c r="L16598" s="439"/>
      <c r="M16598" s="682"/>
    </row>
    <row r="16599" spans="3:13" hidden="1" x14ac:dyDescent="0.2">
      <c r="C16599" s="224"/>
      <c r="D16599" s="224"/>
      <c r="E16599" s="224"/>
      <c r="F16599" s="224"/>
      <c r="G16599" s="224"/>
      <c r="H16599" s="439"/>
      <c r="I16599" s="439"/>
      <c r="J16599" s="750" t="e">
        <f t="shared" si="196"/>
        <v>#DIV/0!</v>
      </c>
      <c r="K16599" s="439"/>
      <c r="L16599" s="439"/>
      <c r="M16599" s="682"/>
    </row>
    <row r="16600" spans="3:13" hidden="1" x14ac:dyDescent="0.2">
      <c r="C16600" s="224"/>
      <c r="D16600" s="224"/>
      <c r="E16600" s="224"/>
      <c r="F16600" s="224"/>
      <c r="G16600" s="224"/>
      <c r="H16600" s="439"/>
      <c r="I16600" s="439"/>
      <c r="J16600" s="750" t="e">
        <f t="shared" si="196"/>
        <v>#DIV/0!</v>
      </c>
      <c r="K16600" s="439"/>
      <c r="L16600" s="439"/>
      <c r="M16600" s="682"/>
    </row>
    <row r="16601" spans="3:13" hidden="1" x14ac:dyDescent="0.2">
      <c r="C16601" s="224"/>
      <c r="D16601" s="224"/>
      <c r="E16601" s="224"/>
      <c r="F16601" s="224"/>
      <c r="G16601" s="224"/>
      <c r="H16601" s="439"/>
      <c r="I16601" s="439"/>
      <c r="J16601" s="750" t="e">
        <f t="shared" si="196"/>
        <v>#DIV/0!</v>
      </c>
      <c r="K16601" s="439"/>
      <c r="L16601" s="439"/>
      <c r="M16601" s="682"/>
    </row>
    <row r="16602" spans="3:13" hidden="1" x14ac:dyDescent="0.2">
      <c r="C16602" s="224"/>
      <c r="D16602" s="224"/>
      <c r="E16602" s="224"/>
      <c r="F16602" s="224"/>
      <c r="G16602" s="224"/>
      <c r="H16602" s="439"/>
      <c r="I16602" s="439"/>
      <c r="J16602" s="750" t="e">
        <f t="shared" si="196"/>
        <v>#DIV/0!</v>
      </c>
      <c r="K16602" s="439"/>
      <c r="L16602" s="439"/>
      <c r="M16602" s="682"/>
    </row>
    <row r="16603" spans="3:13" hidden="1" x14ac:dyDescent="0.2">
      <c r="C16603" s="224"/>
      <c r="D16603" s="224"/>
      <c r="E16603" s="224"/>
      <c r="F16603" s="224"/>
      <c r="G16603" s="224"/>
      <c r="H16603" s="439"/>
      <c r="I16603" s="439"/>
      <c r="J16603" s="750" t="e">
        <f t="shared" si="196"/>
        <v>#DIV/0!</v>
      </c>
      <c r="K16603" s="439"/>
      <c r="L16603" s="439"/>
      <c r="M16603" s="682"/>
    </row>
    <row r="16604" spans="3:13" hidden="1" x14ac:dyDescent="0.2">
      <c r="C16604" s="224"/>
      <c r="D16604" s="224"/>
      <c r="E16604" s="224"/>
      <c r="F16604" s="224"/>
      <c r="G16604" s="224"/>
      <c r="H16604" s="439"/>
      <c r="I16604" s="439"/>
      <c r="J16604" s="750" t="e">
        <f t="shared" si="196"/>
        <v>#DIV/0!</v>
      </c>
      <c r="K16604" s="439"/>
      <c r="L16604" s="439"/>
      <c r="M16604" s="682"/>
    </row>
    <row r="16605" spans="3:13" hidden="1" x14ac:dyDescent="0.2">
      <c r="C16605" s="224"/>
      <c r="D16605" s="224"/>
      <c r="E16605" s="224"/>
      <c r="F16605" s="224"/>
      <c r="G16605" s="224"/>
      <c r="H16605" s="439"/>
      <c r="I16605" s="439"/>
      <c r="J16605" s="750" t="e">
        <f t="shared" si="196"/>
        <v>#DIV/0!</v>
      </c>
      <c r="K16605" s="439"/>
      <c r="L16605" s="439"/>
      <c r="M16605" s="682"/>
    </row>
    <row r="16606" spans="3:13" hidden="1" x14ac:dyDescent="0.2">
      <c r="C16606" s="224"/>
      <c r="D16606" s="224"/>
      <c r="E16606" s="224"/>
      <c r="F16606" s="224"/>
      <c r="G16606" s="224"/>
      <c r="H16606" s="439"/>
      <c r="I16606" s="439"/>
      <c r="J16606" s="750" t="e">
        <f t="shared" si="196"/>
        <v>#DIV/0!</v>
      </c>
      <c r="K16606" s="439"/>
      <c r="L16606" s="439"/>
      <c r="M16606" s="682"/>
    </row>
    <row r="16607" spans="3:13" hidden="1" x14ac:dyDescent="0.2">
      <c r="C16607" s="224"/>
      <c r="D16607" s="224"/>
      <c r="E16607" s="224"/>
      <c r="F16607" s="224"/>
      <c r="G16607" s="224"/>
      <c r="H16607" s="439"/>
      <c r="I16607" s="439"/>
      <c r="J16607" s="750" t="e">
        <f t="shared" si="196"/>
        <v>#DIV/0!</v>
      </c>
      <c r="K16607" s="439"/>
      <c r="L16607" s="439"/>
      <c r="M16607" s="682"/>
    </row>
    <row r="16608" spans="3:13" hidden="1" x14ac:dyDescent="0.2">
      <c r="C16608" s="224"/>
      <c r="D16608" s="224"/>
      <c r="E16608" s="224"/>
      <c r="F16608" s="224"/>
      <c r="G16608" s="224"/>
      <c r="H16608" s="439"/>
      <c r="I16608" s="439"/>
      <c r="J16608" s="750" t="e">
        <f t="shared" si="196"/>
        <v>#DIV/0!</v>
      </c>
      <c r="K16608" s="439"/>
      <c r="L16608" s="439"/>
      <c r="M16608" s="682"/>
    </row>
    <row r="16609" spans="3:13" hidden="1" x14ac:dyDescent="0.2">
      <c r="C16609" s="224"/>
      <c r="D16609" s="224"/>
      <c r="E16609" s="224"/>
      <c r="F16609" s="224"/>
      <c r="G16609" s="224"/>
      <c r="H16609" s="439"/>
      <c r="I16609" s="439"/>
      <c r="J16609" s="750" t="e">
        <f t="shared" si="196"/>
        <v>#DIV/0!</v>
      </c>
      <c r="K16609" s="439"/>
      <c r="L16609" s="439"/>
      <c r="M16609" s="682"/>
    </row>
    <row r="16610" spans="3:13" hidden="1" x14ac:dyDescent="0.2">
      <c r="C16610" s="224"/>
      <c r="D16610" s="224"/>
      <c r="E16610" s="224"/>
      <c r="F16610" s="224"/>
      <c r="G16610" s="224"/>
      <c r="H16610" s="439"/>
      <c r="I16610" s="439"/>
      <c r="J16610" s="750" t="e">
        <f t="shared" si="196"/>
        <v>#DIV/0!</v>
      </c>
      <c r="K16610" s="439"/>
      <c r="L16610" s="439"/>
      <c r="M16610" s="682"/>
    </row>
    <row r="16611" spans="3:13" hidden="1" x14ac:dyDescent="0.2">
      <c r="C16611" s="224"/>
      <c r="D16611" s="224"/>
      <c r="E16611" s="224"/>
      <c r="F16611" s="224"/>
      <c r="G16611" s="224"/>
      <c r="H16611" s="439"/>
      <c r="I16611" s="439"/>
      <c r="J16611" s="750" t="e">
        <f t="shared" si="196"/>
        <v>#DIV/0!</v>
      </c>
      <c r="K16611" s="439"/>
      <c r="L16611" s="439"/>
      <c r="M16611" s="682"/>
    </row>
    <row r="16612" spans="3:13" hidden="1" x14ac:dyDescent="0.2">
      <c r="C16612" s="224"/>
      <c r="D16612" s="224"/>
      <c r="E16612" s="224"/>
      <c r="F16612" s="224"/>
      <c r="G16612" s="224"/>
      <c r="H16612" s="439"/>
      <c r="I16612" s="439"/>
      <c r="J16612" s="750" t="e">
        <f t="shared" si="196"/>
        <v>#DIV/0!</v>
      </c>
      <c r="K16612" s="439"/>
      <c r="L16612" s="439"/>
      <c r="M16612" s="682"/>
    </row>
    <row r="16613" spans="3:13" hidden="1" x14ac:dyDescent="0.2">
      <c r="C16613" s="224"/>
      <c r="D16613" s="224"/>
      <c r="E16613" s="224"/>
      <c r="F16613" s="224"/>
      <c r="G16613" s="224"/>
      <c r="H16613" s="439"/>
      <c r="I16613" s="439"/>
      <c r="J16613" s="750" t="e">
        <f t="shared" si="196"/>
        <v>#DIV/0!</v>
      </c>
      <c r="K16613" s="439"/>
      <c r="L16613" s="439"/>
      <c r="M16613" s="682"/>
    </row>
    <row r="16614" spans="3:13" hidden="1" x14ac:dyDescent="0.2">
      <c r="C16614" s="224"/>
      <c r="D16614" s="224"/>
      <c r="E16614" s="224"/>
      <c r="F16614" s="224"/>
      <c r="G16614" s="224"/>
      <c r="H16614" s="439"/>
      <c r="I16614" s="439"/>
      <c r="J16614" s="750" t="e">
        <f t="shared" si="196"/>
        <v>#DIV/0!</v>
      </c>
      <c r="K16614" s="439"/>
      <c r="L16614" s="439"/>
      <c r="M16614" s="682"/>
    </row>
    <row r="16615" spans="3:13" hidden="1" x14ac:dyDescent="0.2">
      <c r="C16615" s="224"/>
      <c r="D16615" s="224"/>
      <c r="E16615" s="224"/>
      <c r="F16615" s="224"/>
      <c r="G16615" s="224"/>
      <c r="H16615" s="439"/>
      <c r="I16615" s="439"/>
      <c r="J16615" s="750" t="e">
        <f t="shared" si="196"/>
        <v>#DIV/0!</v>
      </c>
      <c r="K16615" s="439"/>
      <c r="L16615" s="439"/>
      <c r="M16615" s="682"/>
    </row>
    <row r="16616" spans="3:13" hidden="1" x14ac:dyDescent="0.2">
      <c r="C16616" s="224"/>
      <c r="D16616" s="224"/>
      <c r="E16616" s="224"/>
      <c r="F16616" s="224"/>
      <c r="G16616" s="224"/>
      <c r="H16616" s="439"/>
      <c r="I16616" s="439"/>
      <c r="J16616" s="750" t="e">
        <f t="shared" si="196"/>
        <v>#DIV/0!</v>
      </c>
      <c r="K16616" s="439"/>
      <c r="L16616" s="439"/>
      <c r="M16616" s="682"/>
    </row>
    <row r="16617" spans="3:13" hidden="1" x14ac:dyDescent="0.2">
      <c r="C16617" s="224"/>
      <c r="D16617" s="224"/>
      <c r="E16617" s="224"/>
      <c r="F16617" s="224"/>
      <c r="G16617" s="224"/>
      <c r="H16617" s="439"/>
      <c r="I16617" s="439"/>
      <c r="J16617" s="750" t="e">
        <f t="shared" si="196"/>
        <v>#DIV/0!</v>
      </c>
      <c r="K16617" s="439"/>
      <c r="L16617" s="439"/>
      <c r="M16617" s="682"/>
    </row>
    <row r="16618" spans="3:13" hidden="1" x14ac:dyDescent="0.2">
      <c r="C16618" s="224"/>
      <c r="D16618" s="224"/>
      <c r="E16618" s="224"/>
      <c r="F16618" s="224"/>
      <c r="G16618" s="224"/>
      <c r="H16618" s="439"/>
      <c r="I16618" s="439"/>
      <c r="J16618" s="750" t="e">
        <f t="shared" si="196"/>
        <v>#DIV/0!</v>
      </c>
      <c r="K16618" s="439"/>
      <c r="L16618" s="439"/>
      <c r="M16618" s="682"/>
    </row>
    <row r="16619" spans="3:13" hidden="1" x14ac:dyDescent="0.2">
      <c r="C16619" s="224"/>
      <c r="D16619" s="224"/>
      <c r="E16619" s="224"/>
      <c r="F16619" s="224"/>
      <c r="G16619" s="224"/>
      <c r="H16619" s="439"/>
      <c r="I16619" s="439"/>
      <c r="J16619" s="750" t="e">
        <f t="shared" si="196"/>
        <v>#DIV/0!</v>
      </c>
      <c r="K16619" s="439"/>
      <c r="L16619" s="439"/>
      <c r="M16619" s="682"/>
    </row>
    <row r="16620" spans="3:13" hidden="1" x14ac:dyDescent="0.2">
      <c r="C16620" s="224"/>
      <c r="D16620" s="224"/>
      <c r="E16620" s="224"/>
      <c r="F16620" s="224"/>
      <c r="G16620" s="224"/>
      <c r="H16620" s="439"/>
      <c r="I16620" s="439"/>
      <c r="J16620" s="750" t="e">
        <f t="shared" si="196"/>
        <v>#DIV/0!</v>
      </c>
      <c r="K16620" s="439"/>
      <c r="L16620" s="439"/>
      <c r="M16620" s="682"/>
    </row>
    <row r="16621" spans="3:13" hidden="1" x14ac:dyDescent="0.2">
      <c r="C16621" s="224"/>
      <c r="D16621" s="224"/>
      <c r="E16621" s="224"/>
      <c r="F16621" s="224"/>
      <c r="G16621" s="224"/>
      <c r="H16621" s="439"/>
      <c r="I16621" s="439"/>
      <c r="J16621" s="750" t="e">
        <f t="shared" si="196"/>
        <v>#DIV/0!</v>
      </c>
      <c r="K16621" s="439"/>
      <c r="L16621" s="439"/>
      <c r="M16621" s="682"/>
    </row>
    <row r="16622" spans="3:13" hidden="1" x14ac:dyDescent="0.2">
      <c r="C16622" s="224"/>
      <c r="D16622" s="224"/>
      <c r="E16622" s="224"/>
      <c r="F16622" s="224"/>
      <c r="G16622" s="224"/>
      <c r="H16622" s="439"/>
      <c r="I16622" s="439"/>
      <c r="J16622" s="750" t="e">
        <f t="shared" si="196"/>
        <v>#DIV/0!</v>
      </c>
      <c r="K16622" s="439"/>
      <c r="L16622" s="439"/>
      <c r="M16622" s="682"/>
    </row>
    <row r="16623" spans="3:13" hidden="1" x14ac:dyDescent="0.2">
      <c r="C16623" s="224"/>
      <c r="D16623" s="224"/>
      <c r="E16623" s="224"/>
      <c r="F16623" s="224"/>
      <c r="G16623" s="224"/>
      <c r="H16623" s="439"/>
      <c r="I16623" s="439"/>
      <c r="J16623" s="750" t="e">
        <f t="shared" si="196"/>
        <v>#DIV/0!</v>
      </c>
      <c r="K16623" s="439"/>
      <c r="L16623" s="439"/>
      <c r="M16623" s="682"/>
    </row>
    <row r="16624" spans="3:13" hidden="1" x14ac:dyDescent="0.2">
      <c r="C16624" s="224"/>
      <c r="D16624" s="224"/>
      <c r="E16624" s="224"/>
      <c r="F16624" s="224"/>
      <c r="G16624" s="224"/>
      <c r="H16624" s="439"/>
      <c r="I16624" s="439"/>
      <c r="J16624" s="750" t="e">
        <f t="shared" si="196"/>
        <v>#DIV/0!</v>
      </c>
      <c r="K16624" s="439"/>
      <c r="L16624" s="439"/>
      <c r="M16624" s="682"/>
    </row>
    <row r="16625" spans="3:13" hidden="1" x14ac:dyDescent="0.2">
      <c r="C16625" s="224"/>
      <c r="D16625" s="224"/>
      <c r="E16625" s="224"/>
      <c r="F16625" s="224"/>
      <c r="G16625" s="224"/>
      <c r="H16625" s="439"/>
      <c r="I16625" s="439"/>
      <c r="J16625" s="750" t="e">
        <f t="shared" si="196"/>
        <v>#DIV/0!</v>
      </c>
      <c r="K16625" s="439"/>
      <c r="L16625" s="439"/>
      <c r="M16625" s="682"/>
    </row>
    <row r="16626" spans="3:13" hidden="1" x14ac:dyDescent="0.2">
      <c r="C16626" s="224"/>
      <c r="D16626" s="224"/>
      <c r="E16626" s="224"/>
      <c r="F16626" s="224"/>
      <c r="G16626" s="224"/>
      <c r="H16626" s="439"/>
      <c r="I16626" s="439"/>
      <c r="J16626" s="750" t="e">
        <f t="shared" si="196"/>
        <v>#DIV/0!</v>
      </c>
      <c r="K16626" s="439"/>
      <c r="L16626" s="439"/>
      <c r="M16626" s="682"/>
    </row>
    <row r="16627" spans="3:13" hidden="1" x14ac:dyDescent="0.2">
      <c r="C16627" s="224"/>
      <c r="D16627" s="224"/>
      <c r="E16627" s="224"/>
      <c r="F16627" s="224"/>
      <c r="G16627" s="224"/>
      <c r="H16627" s="439"/>
      <c r="I16627" s="439"/>
      <c r="J16627" s="750" t="e">
        <f t="shared" si="196"/>
        <v>#DIV/0!</v>
      </c>
      <c r="K16627" s="439"/>
      <c r="L16627" s="439"/>
      <c r="M16627" s="682"/>
    </row>
    <row r="16628" spans="3:13" hidden="1" x14ac:dyDescent="0.2">
      <c r="C16628" s="224"/>
      <c r="D16628" s="224"/>
      <c r="E16628" s="224"/>
      <c r="F16628" s="224"/>
      <c r="G16628" s="224"/>
      <c r="H16628" s="439"/>
      <c r="I16628" s="439"/>
      <c r="J16628" s="750" t="e">
        <f t="shared" si="196"/>
        <v>#DIV/0!</v>
      </c>
      <c r="K16628" s="439"/>
      <c r="L16628" s="439"/>
      <c r="M16628" s="682"/>
    </row>
    <row r="16629" spans="3:13" hidden="1" x14ac:dyDescent="0.2">
      <c r="C16629" s="224"/>
      <c r="D16629" s="224"/>
      <c r="E16629" s="224"/>
      <c r="F16629" s="224"/>
      <c r="G16629" s="224"/>
      <c r="H16629" s="439"/>
      <c r="I16629" s="439"/>
      <c r="J16629" s="750" t="e">
        <f t="shared" si="196"/>
        <v>#DIV/0!</v>
      </c>
      <c r="K16629" s="439"/>
      <c r="L16629" s="439"/>
      <c r="M16629" s="682"/>
    </row>
    <row r="16630" spans="3:13" hidden="1" x14ac:dyDescent="0.2">
      <c r="C16630" s="224"/>
      <c r="D16630" s="224"/>
      <c r="E16630" s="224"/>
      <c r="F16630" s="224"/>
      <c r="G16630" s="224"/>
      <c r="H16630" s="439"/>
      <c r="I16630" s="439"/>
      <c r="J16630" s="750" t="e">
        <f t="shared" si="196"/>
        <v>#DIV/0!</v>
      </c>
      <c r="K16630" s="439"/>
      <c r="L16630" s="439"/>
      <c r="M16630" s="682"/>
    </row>
    <row r="16631" spans="3:13" hidden="1" x14ac:dyDescent="0.2">
      <c r="C16631" s="224"/>
      <c r="D16631" s="224"/>
      <c r="E16631" s="224"/>
      <c r="F16631" s="224"/>
      <c r="G16631" s="224"/>
      <c r="H16631" s="439"/>
      <c r="I16631" s="439"/>
      <c r="J16631" s="750" t="e">
        <f t="shared" si="196"/>
        <v>#DIV/0!</v>
      </c>
      <c r="K16631" s="439"/>
      <c r="L16631" s="439"/>
      <c r="M16631" s="682"/>
    </row>
    <row r="16632" spans="3:13" hidden="1" x14ac:dyDescent="0.2">
      <c r="C16632" s="224"/>
      <c r="D16632" s="224"/>
      <c r="E16632" s="224"/>
      <c r="F16632" s="224"/>
      <c r="G16632" s="224"/>
      <c r="H16632" s="439"/>
      <c r="I16632" s="439"/>
      <c r="J16632" s="750" t="e">
        <f t="shared" si="196"/>
        <v>#DIV/0!</v>
      </c>
      <c r="K16632" s="439"/>
      <c r="L16632" s="439"/>
      <c r="M16632" s="682"/>
    </row>
    <row r="16633" spans="3:13" hidden="1" x14ac:dyDescent="0.2">
      <c r="C16633" s="224"/>
      <c r="D16633" s="224"/>
      <c r="E16633" s="224"/>
      <c r="F16633" s="224"/>
      <c r="G16633" s="224"/>
      <c r="H16633" s="439"/>
      <c r="I16633" s="439"/>
      <c r="J16633" s="750" t="e">
        <f t="shared" si="196"/>
        <v>#DIV/0!</v>
      </c>
      <c r="K16633" s="439"/>
      <c r="L16633" s="439"/>
      <c r="M16633" s="682"/>
    </row>
    <row r="16634" spans="3:13" hidden="1" x14ac:dyDescent="0.2">
      <c r="C16634" s="224"/>
      <c r="D16634" s="224"/>
      <c r="E16634" s="224"/>
      <c r="F16634" s="224"/>
      <c r="G16634" s="224"/>
      <c r="H16634" s="439"/>
      <c r="I16634" s="439"/>
      <c r="J16634" s="750" t="e">
        <f t="shared" si="196"/>
        <v>#DIV/0!</v>
      </c>
      <c r="K16634" s="439"/>
      <c r="L16634" s="439"/>
      <c r="M16634" s="682"/>
    </row>
    <row r="16635" spans="3:13" hidden="1" x14ac:dyDescent="0.2">
      <c r="C16635" s="224"/>
      <c r="D16635" s="224"/>
      <c r="E16635" s="224"/>
      <c r="F16635" s="224"/>
      <c r="G16635" s="224"/>
      <c r="H16635" s="439"/>
      <c r="I16635" s="439"/>
      <c r="J16635" s="750" t="e">
        <f t="shared" si="196"/>
        <v>#DIV/0!</v>
      </c>
      <c r="K16635" s="439"/>
      <c r="L16635" s="439"/>
      <c r="M16635" s="682"/>
    </row>
    <row r="16636" spans="3:13" hidden="1" x14ac:dyDescent="0.2">
      <c r="C16636" s="224"/>
      <c r="D16636" s="224"/>
      <c r="E16636" s="224"/>
      <c r="F16636" s="224"/>
      <c r="G16636" s="224"/>
      <c r="H16636" s="439"/>
      <c r="I16636" s="439"/>
      <c r="J16636" s="750" t="e">
        <f t="shared" si="196"/>
        <v>#DIV/0!</v>
      </c>
      <c r="K16636" s="439"/>
      <c r="L16636" s="439"/>
      <c r="M16636" s="682"/>
    </row>
    <row r="16637" spans="3:13" hidden="1" x14ac:dyDescent="0.2">
      <c r="C16637" s="224"/>
      <c r="D16637" s="224"/>
      <c r="E16637" s="224"/>
      <c r="F16637" s="224"/>
      <c r="G16637" s="224"/>
      <c r="H16637" s="439"/>
      <c r="I16637" s="439"/>
      <c r="J16637" s="750" t="e">
        <f t="shared" si="196"/>
        <v>#DIV/0!</v>
      </c>
      <c r="K16637" s="439"/>
      <c r="L16637" s="439"/>
      <c r="M16637" s="682"/>
    </row>
    <row r="16638" spans="3:13" hidden="1" x14ac:dyDescent="0.2">
      <c r="C16638" s="224"/>
      <c r="D16638" s="224"/>
      <c r="E16638" s="224"/>
      <c r="F16638" s="224"/>
      <c r="G16638" s="224"/>
      <c r="H16638" s="439"/>
      <c r="I16638" s="439"/>
      <c r="J16638" s="750" t="e">
        <f t="shared" si="196"/>
        <v>#DIV/0!</v>
      </c>
      <c r="K16638" s="439"/>
      <c r="L16638" s="439"/>
      <c r="M16638" s="682"/>
    </row>
    <row r="16639" spans="3:13" hidden="1" collapsed="1" x14ac:dyDescent="0.2">
      <c r="C16639" s="224"/>
      <c r="D16639" s="224"/>
      <c r="E16639" s="224"/>
      <c r="F16639" s="224"/>
      <c r="G16639" s="224"/>
      <c r="H16639" s="439"/>
      <c r="I16639" s="439"/>
      <c r="J16639" s="750" t="e">
        <f t="shared" si="196"/>
        <v>#DIV/0!</v>
      </c>
      <c r="K16639" s="439"/>
      <c r="L16639" s="439"/>
      <c r="M16639" s="682"/>
    </row>
    <row r="16640" spans="3:13" hidden="1" x14ac:dyDescent="0.2">
      <c r="C16640" s="224"/>
      <c r="D16640" s="224"/>
      <c r="E16640" s="224"/>
      <c r="F16640" s="224"/>
      <c r="G16640" s="224"/>
      <c r="H16640" s="439"/>
      <c r="I16640" s="439"/>
      <c r="J16640" s="750" t="e">
        <f t="shared" si="196"/>
        <v>#DIV/0!</v>
      </c>
      <c r="K16640" s="439"/>
      <c r="L16640" s="439"/>
      <c r="M16640" s="682"/>
    </row>
    <row r="16641" spans="3:13" hidden="1" x14ac:dyDescent="0.2">
      <c r="C16641" s="224"/>
      <c r="D16641" s="224"/>
      <c r="E16641" s="224"/>
      <c r="F16641" s="224"/>
      <c r="G16641" s="224"/>
      <c r="H16641" s="439"/>
      <c r="I16641" s="439"/>
      <c r="J16641" s="750" t="e">
        <f t="shared" si="196"/>
        <v>#DIV/0!</v>
      </c>
      <c r="K16641" s="439"/>
      <c r="L16641" s="439"/>
      <c r="M16641" s="682"/>
    </row>
    <row r="16642" spans="3:13" hidden="1" x14ac:dyDescent="0.2">
      <c r="C16642" s="224"/>
      <c r="D16642" s="224"/>
      <c r="E16642" s="224"/>
      <c r="F16642" s="224"/>
      <c r="G16642" s="224"/>
      <c r="H16642" s="439"/>
      <c r="I16642" s="439"/>
      <c r="J16642" s="750" t="e">
        <f t="shared" si="196"/>
        <v>#DIV/0!</v>
      </c>
      <c r="K16642" s="439"/>
      <c r="L16642" s="439"/>
      <c r="M16642" s="682"/>
    </row>
    <row r="16643" spans="3:13" hidden="1" x14ac:dyDescent="0.2">
      <c r="C16643" s="224"/>
      <c r="D16643" s="224"/>
      <c r="E16643" s="224"/>
      <c r="F16643" s="224"/>
      <c r="G16643" s="224"/>
      <c r="H16643" s="439"/>
      <c r="I16643" s="439"/>
      <c r="J16643" s="750" t="e">
        <f t="shared" si="196"/>
        <v>#DIV/0!</v>
      </c>
      <c r="K16643" s="439"/>
      <c r="L16643" s="439"/>
      <c r="M16643" s="682"/>
    </row>
    <row r="16644" spans="3:13" hidden="1" x14ac:dyDescent="0.2">
      <c r="C16644" s="224"/>
      <c r="D16644" s="224"/>
      <c r="E16644" s="224"/>
      <c r="F16644" s="224"/>
      <c r="G16644" s="224"/>
      <c r="H16644" s="439"/>
      <c r="I16644" s="439"/>
      <c r="J16644" s="750" t="e">
        <f t="shared" si="196"/>
        <v>#DIV/0!</v>
      </c>
      <c r="K16644" s="439"/>
      <c r="L16644" s="439"/>
      <c r="M16644" s="682"/>
    </row>
    <row r="16645" spans="3:13" hidden="1" x14ac:dyDescent="0.2">
      <c r="C16645" s="224"/>
      <c r="D16645" s="224"/>
      <c r="E16645" s="224"/>
      <c r="F16645" s="224"/>
      <c r="G16645" s="224"/>
      <c r="H16645" s="439"/>
      <c r="I16645" s="439"/>
      <c r="J16645" s="750" t="e">
        <f t="shared" si="196"/>
        <v>#DIV/0!</v>
      </c>
      <c r="K16645" s="439"/>
      <c r="L16645" s="439"/>
      <c r="M16645" s="682"/>
    </row>
    <row r="16646" spans="3:13" hidden="1" x14ac:dyDescent="0.2">
      <c r="C16646" s="224"/>
      <c r="D16646" s="224"/>
      <c r="E16646" s="224"/>
      <c r="F16646" s="224"/>
      <c r="G16646" s="224"/>
      <c r="H16646" s="439"/>
      <c r="I16646" s="439"/>
      <c r="J16646" s="750" t="e">
        <f t="shared" si="196"/>
        <v>#DIV/0!</v>
      </c>
      <c r="K16646" s="439"/>
      <c r="L16646" s="439"/>
      <c r="M16646" s="682"/>
    </row>
    <row r="16647" spans="3:13" hidden="1" x14ac:dyDescent="0.2">
      <c r="C16647" s="224"/>
      <c r="D16647" s="224"/>
      <c r="E16647" s="224"/>
      <c r="F16647" s="224"/>
      <c r="G16647" s="224"/>
      <c r="H16647" s="439"/>
      <c r="I16647" s="439"/>
      <c r="J16647" s="750" t="e">
        <f t="shared" si="196"/>
        <v>#DIV/0!</v>
      </c>
      <c r="K16647" s="439"/>
      <c r="L16647" s="439"/>
      <c r="M16647" s="682"/>
    </row>
    <row r="16648" spans="3:13" hidden="1" x14ac:dyDescent="0.2">
      <c r="C16648" s="224"/>
      <c r="D16648" s="224"/>
      <c r="E16648" s="224"/>
      <c r="F16648" s="224"/>
      <c r="G16648" s="224"/>
      <c r="H16648" s="439"/>
      <c r="I16648" s="439"/>
      <c r="J16648" s="750" t="e">
        <f t="shared" si="196"/>
        <v>#DIV/0!</v>
      </c>
      <c r="K16648" s="439"/>
      <c r="L16648" s="439"/>
      <c r="M16648" s="682"/>
    </row>
    <row r="16649" spans="3:13" hidden="1" x14ac:dyDescent="0.2">
      <c r="C16649" s="224"/>
      <c r="D16649" s="224"/>
      <c r="E16649" s="224"/>
      <c r="F16649" s="224"/>
      <c r="G16649" s="224"/>
      <c r="H16649" s="439"/>
      <c r="I16649" s="439"/>
      <c r="J16649" s="750" t="e">
        <f t="shared" si="196"/>
        <v>#DIV/0!</v>
      </c>
      <c r="K16649" s="439"/>
      <c r="L16649" s="439"/>
      <c r="M16649" s="682"/>
    </row>
    <row r="16650" spans="3:13" hidden="1" x14ac:dyDescent="0.2">
      <c r="C16650" s="224"/>
      <c r="D16650" s="224"/>
      <c r="E16650" s="224"/>
      <c r="F16650" s="224"/>
      <c r="G16650" s="224"/>
      <c r="H16650" s="439"/>
      <c r="I16650" s="439"/>
      <c r="J16650" s="750" t="e">
        <f t="shared" si="196"/>
        <v>#DIV/0!</v>
      </c>
      <c r="K16650" s="439"/>
      <c r="L16650" s="439"/>
      <c r="M16650" s="682"/>
    </row>
    <row r="16651" spans="3:13" hidden="1" x14ac:dyDescent="0.2">
      <c r="C16651" s="224"/>
      <c r="D16651" s="224"/>
      <c r="E16651" s="224"/>
      <c r="F16651" s="224"/>
      <c r="G16651" s="224"/>
      <c r="H16651" s="439"/>
      <c r="I16651" s="439"/>
      <c r="J16651" s="750" t="e">
        <f t="shared" si="196"/>
        <v>#DIV/0!</v>
      </c>
      <c r="K16651" s="439"/>
      <c r="L16651" s="439"/>
      <c r="M16651" s="682"/>
    </row>
    <row r="16652" spans="3:13" hidden="1" x14ac:dyDescent="0.2">
      <c r="C16652" s="224"/>
      <c r="D16652" s="224"/>
      <c r="E16652" s="224"/>
      <c r="F16652" s="224"/>
      <c r="G16652" s="224"/>
      <c r="H16652" s="439"/>
      <c r="I16652" s="439"/>
      <c r="J16652" s="750" t="e">
        <f t="shared" si="196"/>
        <v>#DIV/0!</v>
      </c>
      <c r="K16652" s="439"/>
      <c r="L16652" s="439"/>
      <c r="M16652" s="682"/>
    </row>
    <row r="16653" spans="3:13" hidden="1" x14ac:dyDescent="0.2">
      <c r="C16653" s="224"/>
      <c r="D16653" s="224"/>
      <c r="E16653" s="224"/>
      <c r="F16653" s="224"/>
      <c r="G16653" s="224"/>
      <c r="H16653" s="439"/>
      <c r="I16653" s="439"/>
      <c r="J16653" s="750" t="e">
        <f t="shared" si="196"/>
        <v>#DIV/0!</v>
      </c>
      <c r="K16653" s="439"/>
      <c r="L16653" s="439"/>
      <c r="M16653" s="682"/>
    </row>
    <row r="16654" spans="3:13" hidden="1" x14ac:dyDescent="0.2">
      <c r="C16654" s="224"/>
      <c r="D16654" s="224"/>
      <c r="E16654" s="224"/>
      <c r="F16654" s="224"/>
      <c r="G16654" s="224"/>
      <c r="H16654" s="439"/>
      <c r="I16654" s="439"/>
      <c r="J16654" s="750" t="e">
        <f t="shared" ref="J16654:J16717" si="197">SUM(I16654/H16654)*100</f>
        <v>#DIV/0!</v>
      </c>
      <c r="K16654" s="439"/>
      <c r="L16654" s="439"/>
      <c r="M16654" s="682"/>
    </row>
    <row r="16655" spans="3:13" hidden="1" x14ac:dyDescent="0.2">
      <c r="C16655" s="224"/>
      <c r="D16655" s="224"/>
      <c r="E16655" s="224"/>
      <c r="F16655" s="224"/>
      <c r="G16655" s="224"/>
      <c r="H16655" s="439"/>
      <c r="I16655" s="439"/>
      <c r="J16655" s="750" t="e">
        <f t="shared" si="197"/>
        <v>#DIV/0!</v>
      </c>
      <c r="K16655" s="439"/>
      <c r="L16655" s="439"/>
      <c r="M16655" s="682"/>
    </row>
    <row r="16656" spans="3:13" hidden="1" collapsed="1" x14ac:dyDescent="0.2">
      <c r="C16656" s="224"/>
      <c r="D16656" s="224"/>
      <c r="E16656" s="224"/>
      <c r="F16656" s="224"/>
      <c r="G16656" s="224"/>
      <c r="H16656" s="439"/>
      <c r="I16656" s="439"/>
      <c r="J16656" s="750" t="e">
        <f t="shared" si="197"/>
        <v>#DIV/0!</v>
      </c>
      <c r="K16656" s="439"/>
      <c r="L16656" s="439"/>
      <c r="M16656" s="682"/>
    </row>
    <row r="16657" spans="3:13" hidden="1" x14ac:dyDescent="0.2">
      <c r="C16657" s="224"/>
      <c r="D16657" s="224"/>
      <c r="E16657" s="224"/>
      <c r="F16657" s="224"/>
      <c r="G16657" s="224"/>
      <c r="H16657" s="439"/>
      <c r="I16657" s="439"/>
      <c r="J16657" s="750" t="e">
        <f t="shared" si="197"/>
        <v>#DIV/0!</v>
      </c>
      <c r="K16657" s="439"/>
      <c r="L16657" s="439"/>
      <c r="M16657" s="682"/>
    </row>
    <row r="16658" spans="3:13" hidden="1" x14ac:dyDescent="0.2">
      <c r="C16658" s="224"/>
      <c r="D16658" s="224"/>
      <c r="E16658" s="224"/>
      <c r="F16658" s="224"/>
      <c r="G16658" s="224"/>
      <c r="H16658" s="439"/>
      <c r="I16658" s="439"/>
      <c r="J16658" s="750" t="e">
        <f t="shared" si="197"/>
        <v>#DIV/0!</v>
      </c>
      <c r="K16658" s="439"/>
      <c r="L16658" s="439"/>
      <c r="M16658" s="682"/>
    </row>
    <row r="16659" spans="3:13" hidden="1" x14ac:dyDescent="0.2">
      <c r="C16659" s="224"/>
      <c r="D16659" s="224"/>
      <c r="E16659" s="224"/>
      <c r="F16659" s="224"/>
      <c r="G16659" s="224"/>
      <c r="H16659" s="439"/>
      <c r="I16659" s="439"/>
      <c r="J16659" s="750" t="e">
        <f t="shared" si="197"/>
        <v>#DIV/0!</v>
      </c>
      <c r="K16659" s="439"/>
      <c r="L16659" s="439"/>
      <c r="M16659" s="682"/>
    </row>
    <row r="16660" spans="3:13" hidden="1" x14ac:dyDescent="0.2">
      <c r="C16660" s="224"/>
      <c r="D16660" s="224"/>
      <c r="E16660" s="224"/>
      <c r="F16660" s="224"/>
      <c r="G16660" s="224"/>
      <c r="H16660" s="439"/>
      <c r="I16660" s="439"/>
      <c r="J16660" s="750" t="e">
        <f t="shared" si="197"/>
        <v>#DIV/0!</v>
      </c>
      <c r="K16660" s="439"/>
      <c r="L16660" s="439"/>
      <c r="M16660" s="682"/>
    </row>
    <row r="16661" spans="3:13" hidden="1" x14ac:dyDescent="0.2">
      <c r="C16661" s="224"/>
      <c r="D16661" s="224"/>
      <c r="E16661" s="224"/>
      <c r="F16661" s="224"/>
      <c r="G16661" s="224"/>
      <c r="H16661" s="439"/>
      <c r="I16661" s="439"/>
      <c r="J16661" s="750" t="e">
        <f t="shared" si="197"/>
        <v>#DIV/0!</v>
      </c>
      <c r="K16661" s="439"/>
      <c r="L16661" s="439"/>
      <c r="M16661" s="682"/>
    </row>
    <row r="16662" spans="3:13" hidden="1" x14ac:dyDescent="0.2">
      <c r="C16662" s="224"/>
      <c r="D16662" s="224"/>
      <c r="E16662" s="224"/>
      <c r="F16662" s="224"/>
      <c r="G16662" s="224"/>
      <c r="H16662" s="439"/>
      <c r="I16662" s="439"/>
      <c r="J16662" s="750" t="e">
        <f t="shared" si="197"/>
        <v>#DIV/0!</v>
      </c>
      <c r="K16662" s="439"/>
      <c r="L16662" s="439"/>
      <c r="M16662" s="682"/>
    </row>
    <row r="16663" spans="3:13" hidden="1" x14ac:dyDescent="0.2">
      <c r="C16663" s="224"/>
      <c r="D16663" s="224"/>
      <c r="E16663" s="224"/>
      <c r="F16663" s="224"/>
      <c r="G16663" s="224"/>
      <c r="H16663" s="439"/>
      <c r="I16663" s="439"/>
      <c r="J16663" s="750" t="e">
        <f t="shared" si="197"/>
        <v>#DIV/0!</v>
      </c>
      <c r="K16663" s="439"/>
      <c r="L16663" s="439"/>
      <c r="M16663" s="682"/>
    </row>
    <row r="16664" spans="3:13" hidden="1" x14ac:dyDescent="0.2">
      <c r="C16664" s="224"/>
      <c r="D16664" s="224"/>
      <c r="E16664" s="224"/>
      <c r="F16664" s="224"/>
      <c r="G16664" s="224"/>
      <c r="H16664" s="439"/>
      <c r="I16664" s="439"/>
      <c r="J16664" s="750" t="e">
        <f t="shared" si="197"/>
        <v>#DIV/0!</v>
      </c>
      <c r="K16664" s="439"/>
      <c r="L16664" s="439"/>
      <c r="M16664" s="682"/>
    </row>
    <row r="16665" spans="3:13" hidden="1" x14ac:dyDescent="0.2">
      <c r="C16665" s="224"/>
      <c r="D16665" s="224"/>
      <c r="E16665" s="224"/>
      <c r="F16665" s="224"/>
      <c r="G16665" s="224"/>
      <c r="H16665" s="439"/>
      <c r="I16665" s="439"/>
      <c r="J16665" s="750" t="e">
        <f t="shared" si="197"/>
        <v>#DIV/0!</v>
      </c>
      <c r="K16665" s="439"/>
      <c r="L16665" s="439"/>
      <c r="M16665" s="682"/>
    </row>
    <row r="16666" spans="3:13" hidden="1" x14ac:dyDescent="0.2">
      <c r="C16666" s="224"/>
      <c r="D16666" s="224"/>
      <c r="E16666" s="224"/>
      <c r="F16666" s="224"/>
      <c r="G16666" s="224"/>
      <c r="H16666" s="439"/>
      <c r="I16666" s="439"/>
      <c r="J16666" s="750" t="e">
        <f t="shared" si="197"/>
        <v>#DIV/0!</v>
      </c>
      <c r="K16666" s="439"/>
      <c r="L16666" s="439"/>
      <c r="M16666" s="682"/>
    </row>
    <row r="16667" spans="3:13" hidden="1" x14ac:dyDescent="0.2">
      <c r="C16667" s="224"/>
      <c r="D16667" s="224"/>
      <c r="E16667" s="224"/>
      <c r="F16667" s="224"/>
      <c r="G16667" s="224"/>
      <c r="H16667" s="439"/>
      <c r="I16667" s="439"/>
      <c r="J16667" s="750" t="e">
        <f t="shared" si="197"/>
        <v>#DIV/0!</v>
      </c>
      <c r="K16667" s="439"/>
      <c r="L16667" s="439"/>
      <c r="M16667" s="682"/>
    </row>
    <row r="16668" spans="3:13" hidden="1" x14ac:dyDescent="0.2">
      <c r="C16668" s="224"/>
      <c r="D16668" s="224"/>
      <c r="E16668" s="224"/>
      <c r="F16668" s="224"/>
      <c r="G16668" s="224"/>
      <c r="H16668" s="439"/>
      <c r="I16668" s="439"/>
      <c r="J16668" s="750" t="e">
        <f t="shared" si="197"/>
        <v>#DIV/0!</v>
      </c>
      <c r="K16668" s="439"/>
      <c r="L16668" s="439"/>
      <c r="M16668" s="682"/>
    </row>
    <row r="16669" spans="3:13" hidden="1" x14ac:dyDescent="0.2">
      <c r="C16669" s="224"/>
      <c r="D16669" s="224"/>
      <c r="E16669" s="224"/>
      <c r="F16669" s="224"/>
      <c r="G16669" s="224"/>
      <c r="H16669" s="439"/>
      <c r="I16669" s="439"/>
      <c r="J16669" s="750" t="e">
        <f t="shared" si="197"/>
        <v>#DIV/0!</v>
      </c>
      <c r="K16669" s="439"/>
      <c r="L16669" s="439"/>
      <c r="M16669" s="682"/>
    </row>
    <row r="16670" spans="3:13" hidden="1" x14ac:dyDescent="0.2">
      <c r="C16670" s="224"/>
      <c r="D16670" s="224"/>
      <c r="E16670" s="224"/>
      <c r="F16670" s="224"/>
      <c r="G16670" s="224"/>
      <c r="H16670" s="439"/>
      <c r="I16670" s="439"/>
      <c r="J16670" s="750" t="e">
        <f t="shared" si="197"/>
        <v>#DIV/0!</v>
      </c>
      <c r="K16670" s="439"/>
      <c r="L16670" s="439"/>
      <c r="M16670" s="682"/>
    </row>
    <row r="16671" spans="3:13" hidden="1" x14ac:dyDescent="0.2">
      <c r="C16671" s="224"/>
      <c r="D16671" s="224"/>
      <c r="E16671" s="224"/>
      <c r="F16671" s="224"/>
      <c r="G16671" s="224"/>
      <c r="H16671" s="439"/>
      <c r="I16671" s="439"/>
      <c r="J16671" s="750" t="e">
        <f t="shared" si="197"/>
        <v>#DIV/0!</v>
      </c>
      <c r="K16671" s="439"/>
      <c r="L16671" s="439"/>
      <c r="M16671" s="682"/>
    </row>
    <row r="16672" spans="3:13" hidden="1" x14ac:dyDescent="0.2">
      <c r="C16672" s="224"/>
      <c r="D16672" s="224"/>
      <c r="E16672" s="224"/>
      <c r="F16672" s="224"/>
      <c r="G16672" s="224"/>
      <c r="H16672" s="439"/>
      <c r="I16672" s="439"/>
      <c r="J16672" s="750" t="e">
        <f t="shared" si="197"/>
        <v>#DIV/0!</v>
      </c>
      <c r="K16672" s="439"/>
      <c r="L16672" s="439"/>
      <c r="M16672" s="682"/>
    </row>
    <row r="16673" spans="3:13" hidden="1" x14ac:dyDescent="0.2">
      <c r="C16673" s="224"/>
      <c r="D16673" s="224"/>
      <c r="E16673" s="224"/>
      <c r="F16673" s="224"/>
      <c r="G16673" s="224"/>
      <c r="H16673" s="439"/>
      <c r="I16673" s="439"/>
      <c r="J16673" s="750" t="e">
        <f t="shared" si="197"/>
        <v>#DIV/0!</v>
      </c>
      <c r="K16673" s="439"/>
      <c r="L16673" s="439"/>
      <c r="M16673" s="682"/>
    </row>
    <row r="16674" spans="3:13" hidden="1" x14ac:dyDescent="0.2">
      <c r="C16674" s="224"/>
      <c r="D16674" s="224"/>
      <c r="E16674" s="224"/>
      <c r="F16674" s="224"/>
      <c r="G16674" s="224"/>
      <c r="H16674" s="439"/>
      <c r="I16674" s="439"/>
      <c r="J16674" s="750" t="e">
        <f t="shared" si="197"/>
        <v>#DIV/0!</v>
      </c>
      <c r="K16674" s="439"/>
      <c r="L16674" s="439"/>
      <c r="M16674" s="682"/>
    </row>
    <row r="16675" spans="3:13" hidden="1" x14ac:dyDescent="0.2">
      <c r="C16675" s="224"/>
      <c r="D16675" s="224"/>
      <c r="E16675" s="224"/>
      <c r="F16675" s="224"/>
      <c r="G16675" s="224"/>
      <c r="H16675" s="439"/>
      <c r="I16675" s="439"/>
      <c r="J16675" s="750" t="e">
        <f t="shared" si="197"/>
        <v>#DIV/0!</v>
      </c>
      <c r="K16675" s="439"/>
      <c r="L16675" s="439"/>
      <c r="M16675" s="682"/>
    </row>
    <row r="16676" spans="3:13" hidden="1" x14ac:dyDescent="0.2">
      <c r="C16676" s="224"/>
      <c r="D16676" s="224"/>
      <c r="E16676" s="224"/>
      <c r="F16676" s="224"/>
      <c r="G16676" s="224"/>
      <c r="H16676" s="439"/>
      <c r="I16676" s="439"/>
      <c r="J16676" s="750" t="e">
        <f t="shared" si="197"/>
        <v>#DIV/0!</v>
      </c>
      <c r="K16676" s="439"/>
      <c r="L16676" s="439"/>
      <c r="M16676" s="682"/>
    </row>
    <row r="16677" spans="3:13" hidden="1" x14ac:dyDescent="0.2">
      <c r="C16677" s="224"/>
      <c r="D16677" s="224"/>
      <c r="E16677" s="224"/>
      <c r="F16677" s="224"/>
      <c r="G16677" s="224"/>
      <c r="H16677" s="439"/>
      <c r="I16677" s="439"/>
      <c r="J16677" s="750" t="e">
        <f t="shared" si="197"/>
        <v>#DIV/0!</v>
      </c>
      <c r="K16677" s="439"/>
      <c r="L16677" s="439"/>
      <c r="M16677" s="682"/>
    </row>
    <row r="16678" spans="3:13" hidden="1" x14ac:dyDescent="0.2">
      <c r="C16678" s="224"/>
      <c r="D16678" s="224"/>
      <c r="E16678" s="224"/>
      <c r="F16678" s="224"/>
      <c r="G16678" s="224"/>
      <c r="H16678" s="439"/>
      <c r="I16678" s="439"/>
      <c r="J16678" s="750" t="e">
        <f t="shared" si="197"/>
        <v>#DIV/0!</v>
      </c>
      <c r="K16678" s="439"/>
      <c r="L16678" s="439"/>
      <c r="M16678" s="682"/>
    </row>
    <row r="16679" spans="3:13" hidden="1" x14ac:dyDescent="0.2">
      <c r="C16679" s="224"/>
      <c r="D16679" s="224"/>
      <c r="E16679" s="224"/>
      <c r="F16679" s="224"/>
      <c r="G16679" s="224"/>
      <c r="H16679" s="439"/>
      <c r="I16679" s="439"/>
      <c r="J16679" s="750" t="e">
        <f t="shared" si="197"/>
        <v>#DIV/0!</v>
      </c>
      <c r="K16679" s="439"/>
      <c r="L16679" s="439"/>
      <c r="M16679" s="682"/>
    </row>
    <row r="16680" spans="3:13" hidden="1" x14ac:dyDescent="0.2">
      <c r="C16680" s="224"/>
      <c r="D16680" s="224"/>
      <c r="E16680" s="224"/>
      <c r="F16680" s="224"/>
      <c r="G16680" s="224"/>
      <c r="H16680" s="439"/>
      <c r="I16680" s="439"/>
      <c r="J16680" s="750" t="e">
        <f t="shared" si="197"/>
        <v>#DIV/0!</v>
      </c>
      <c r="K16680" s="439"/>
      <c r="L16680" s="439"/>
      <c r="M16680" s="682"/>
    </row>
    <row r="16681" spans="3:13" hidden="1" x14ac:dyDescent="0.2">
      <c r="C16681" s="224"/>
      <c r="D16681" s="224"/>
      <c r="E16681" s="224"/>
      <c r="F16681" s="224"/>
      <c r="G16681" s="224"/>
      <c r="H16681" s="439"/>
      <c r="I16681" s="439"/>
      <c r="J16681" s="750" t="e">
        <f t="shared" si="197"/>
        <v>#DIV/0!</v>
      </c>
      <c r="K16681" s="439"/>
      <c r="L16681" s="439"/>
      <c r="M16681" s="682"/>
    </row>
    <row r="16682" spans="3:13" hidden="1" x14ac:dyDescent="0.2">
      <c r="C16682" s="224"/>
      <c r="D16682" s="224"/>
      <c r="E16682" s="224"/>
      <c r="F16682" s="224"/>
      <c r="G16682" s="224"/>
      <c r="H16682" s="439"/>
      <c r="I16682" s="439"/>
      <c r="J16682" s="750" t="e">
        <f t="shared" si="197"/>
        <v>#DIV/0!</v>
      </c>
      <c r="K16682" s="439"/>
      <c r="L16682" s="439"/>
      <c r="M16682" s="682"/>
    </row>
    <row r="16683" spans="3:13" hidden="1" x14ac:dyDescent="0.2">
      <c r="C16683" s="224"/>
      <c r="D16683" s="224"/>
      <c r="E16683" s="224"/>
      <c r="F16683" s="224"/>
      <c r="G16683" s="224"/>
      <c r="H16683" s="439"/>
      <c r="I16683" s="439"/>
      <c r="J16683" s="750" t="e">
        <f t="shared" si="197"/>
        <v>#DIV/0!</v>
      </c>
      <c r="K16683" s="439"/>
      <c r="L16683" s="439"/>
      <c r="M16683" s="682"/>
    </row>
    <row r="16684" spans="3:13" hidden="1" x14ac:dyDescent="0.2">
      <c r="C16684" s="224"/>
      <c r="D16684" s="224"/>
      <c r="E16684" s="224"/>
      <c r="F16684" s="224"/>
      <c r="G16684" s="224"/>
      <c r="H16684" s="439"/>
      <c r="I16684" s="439"/>
      <c r="J16684" s="750" t="e">
        <f t="shared" si="197"/>
        <v>#DIV/0!</v>
      </c>
      <c r="K16684" s="439"/>
      <c r="L16684" s="439"/>
      <c r="M16684" s="682"/>
    </row>
    <row r="16685" spans="3:13" hidden="1" x14ac:dyDescent="0.2">
      <c r="C16685" s="224"/>
      <c r="D16685" s="224"/>
      <c r="E16685" s="224"/>
      <c r="F16685" s="224"/>
      <c r="G16685" s="224"/>
      <c r="H16685" s="439"/>
      <c r="I16685" s="439"/>
      <c r="J16685" s="750" t="e">
        <f t="shared" si="197"/>
        <v>#DIV/0!</v>
      </c>
      <c r="K16685" s="439"/>
      <c r="L16685" s="439"/>
      <c r="M16685" s="682"/>
    </row>
    <row r="16686" spans="3:13" hidden="1" x14ac:dyDescent="0.2">
      <c r="C16686" s="224"/>
      <c r="D16686" s="224"/>
      <c r="E16686" s="224"/>
      <c r="F16686" s="224"/>
      <c r="G16686" s="224"/>
      <c r="H16686" s="439"/>
      <c r="I16686" s="439"/>
      <c r="J16686" s="750" t="e">
        <f t="shared" si="197"/>
        <v>#DIV/0!</v>
      </c>
      <c r="K16686" s="439"/>
      <c r="L16686" s="439"/>
      <c r="M16686" s="682"/>
    </row>
    <row r="16687" spans="3:13" hidden="1" x14ac:dyDescent="0.2">
      <c r="C16687" s="224"/>
      <c r="D16687" s="224"/>
      <c r="E16687" s="224"/>
      <c r="F16687" s="224"/>
      <c r="G16687" s="224"/>
      <c r="H16687" s="439"/>
      <c r="I16687" s="439"/>
      <c r="J16687" s="750" t="e">
        <f t="shared" si="197"/>
        <v>#DIV/0!</v>
      </c>
      <c r="K16687" s="439"/>
      <c r="L16687" s="439"/>
      <c r="M16687" s="682"/>
    </row>
    <row r="16688" spans="3:13" hidden="1" x14ac:dyDescent="0.2">
      <c r="C16688" s="224"/>
      <c r="D16688" s="224"/>
      <c r="E16688" s="224"/>
      <c r="F16688" s="224"/>
      <c r="G16688" s="224"/>
      <c r="H16688" s="439"/>
      <c r="I16688" s="439"/>
      <c r="J16688" s="750" t="e">
        <f t="shared" si="197"/>
        <v>#DIV/0!</v>
      </c>
      <c r="K16688" s="439"/>
      <c r="L16688" s="439"/>
      <c r="M16688" s="682"/>
    </row>
    <row r="16689" spans="3:13" hidden="1" x14ac:dyDescent="0.2">
      <c r="C16689" s="224"/>
      <c r="D16689" s="224"/>
      <c r="E16689" s="224"/>
      <c r="F16689" s="224"/>
      <c r="G16689" s="224"/>
      <c r="H16689" s="439"/>
      <c r="I16689" s="439"/>
      <c r="J16689" s="750" t="e">
        <f t="shared" si="197"/>
        <v>#DIV/0!</v>
      </c>
      <c r="K16689" s="439"/>
      <c r="L16689" s="439"/>
      <c r="M16689" s="682"/>
    </row>
    <row r="16690" spans="3:13" hidden="1" x14ac:dyDescent="0.2">
      <c r="C16690" s="224"/>
      <c r="D16690" s="224"/>
      <c r="E16690" s="224"/>
      <c r="F16690" s="224"/>
      <c r="G16690" s="224"/>
      <c r="H16690" s="439"/>
      <c r="I16690" s="439"/>
      <c r="J16690" s="750" t="e">
        <f t="shared" si="197"/>
        <v>#DIV/0!</v>
      </c>
      <c r="K16690" s="439"/>
      <c r="L16690" s="439"/>
      <c r="M16690" s="682"/>
    </row>
    <row r="16691" spans="3:13" hidden="1" x14ac:dyDescent="0.2">
      <c r="C16691" s="224"/>
      <c r="D16691" s="224"/>
      <c r="E16691" s="224"/>
      <c r="F16691" s="224"/>
      <c r="G16691" s="224"/>
      <c r="H16691" s="439"/>
      <c r="I16691" s="439"/>
      <c r="J16691" s="750" t="e">
        <f t="shared" si="197"/>
        <v>#DIV/0!</v>
      </c>
      <c r="K16691" s="439"/>
      <c r="L16691" s="439"/>
      <c r="M16691" s="682"/>
    </row>
    <row r="16692" spans="3:13" hidden="1" x14ac:dyDescent="0.2">
      <c r="C16692" s="224"/>
      <c r="D16692" s="224"/>
      <c r="E16692" s="224"/>
      <c r="F16692" s="224"/>
      <c r="G16692" s="224"/>
      <c r="H16692" s="439"/>
      <c r="I16692" s="439"/>
      <c r="J16692" s="750" t="e">
        <f t="shared" si="197"/>
        <v>#DIV/0!</v>
      </c>
      <c r="K16692" s="439"/>
      <c r="L16692" s="439"/>
      <c r="M16692" s="682"/>
    </row>
    <row r="16693" spans="3:13" hidden="1" x14ac:dyDescent="0.2">
      <c r="C16693" s="224"/>
      <c r="D16693" s="224"/>
      <c r="E16693" s="224"/>
      <c r="F16693" s="224"/>
      <c r="G16693" s="224"/>
      <c r="H16693" s="439"/>
      <c r="I16693" s="439"/>
      <c r="J16693" s="750" t="e">
        <f t="shared" si="197"/>
        <v>#DIV/0!</v>
      </c>
      <c r="K16693" s="439"/>
      <c r="L16693" s="439"/>
      <c r="M16693" s="682"/>
    </row>
    <row r="16694" spans="3:13" hidden="1" x14ac:dyDescent="0.2">
      <c r="C16694" s="224"/>
      <c r="D16694" s="224"/>
      <c r="E16694" s="224"/>
      <c r="F16694" s="224"/>
      <c r="G16694" s="224"/>
      <c r="H16694" s="439"/>
      <c r="I16694" s="439"/>
      <c r="J16694" s="750" t="e">
        <f t="shared" si="197"/>
        <v>#DIV/0!</v>
      </c>
      <c r="K16694" s="439"/>
      <c r="L16694" s="439"/>
      <c r="M16694" s="682"/>
    </row>
    <row r="16695" spans="3:13" hidden="1" x14ac:dyDescent="0.2">
      <c r="C16695" s="224"/>
      <c r="D16695" s="224"/>
      <c r="E16695" s="224"/>
      <c r="F16695" s="224"/>
      <c r="G16695" s="224"/>
      <c r="H16695" s="439"/>
      <c r="I16695" s="439"/>
      <c r="J16695" s="750" t="e">
        <f t="shared" si="197"/>
        <v>#DIV/0!</v>
      </c>
      <c r="K16695" s="439"/>
      <c r="L16695" s="439"/>
      <c r="M16695" s="682"/>
    </row>
    <row r="16696" spans="3:13" hidden="1" x14ac:dyDescent="0.2">
      <c r="C16696" s="224"/>
      <c r="D16696" s="224"/>
      <c r="E16696" s="224"/>
      <c r="F16696" s="224"/>
      <c r="G16696" s="224"/>
      <c r="H16696" s="439"/>
      <c r="I16696" s="439"/>
      <c r="J16696" s="750" t="e">
        <f t="shared" si="197"/>
        <v>#DIV/0!</v>
      </c>
      <c r="K16696" s="439"/>
      <c r="L16696" s="439"/>
      <c r="M16696" s="682"/>
    </row>
    <row r="16697" spans="3:13" hidden="1" x14ac:dyDescent="0.2">
      <c r="C16697" s="224"/>
      <c r="D16697" s="224"/>
      <c r="E16697" s="224"/>
      <c r="F16697" s="224"/>
      <c r="G16697" s="224"/>
      <c r="H16697" s="439"/>
      <c r="I16697" s="439"/>
      <c r="J16697" s="750" t="e">
        <f t="shared" si="197"/>
        <v>#DIV/0!</v>
      </c>
      <c r="K16697" s="439"/>
      <c r="L16697" s="439"/>
      <c r="M16697" s="682"/>
    </row>
    <row r="16698" spans="3:13" hidden="1" x14ac:dyDescent="0.2">
      <c r="C16698" s="224"/>
      <c r="D16698" s="224"/>
      <c r="E16698" s="224"/>
      <c r="F16698" s="224"/>
      <c r="G16698" s="224"/>
      <c r="H16698" s="439"/>
      <c r="I16698" s="439"/>
      <c r="J16698" s="750" t="e">
        <f t="shared" si="197"/>
        <v>#DIV/0!</v>
      </c>
      <c r="K16698" s="439"/>
      <c r="L16698" s="439"/>
      <c r="M16698" s="682"/>
    </row>
    <row r="16699" spans="3:13" hidden="1" x14ac:dyDescent="0.2">
      <c r="C16699" s="224"/>
      <c r="D16699" s="224"/>
      <c r="E16699" s="224"/>
      <c r="F16699" s="224"/>
      <c r="G16699" s="224"/>
      <c r="H16699" s="439"/>
      <c r="I16699" s="439"/>
      <c r="J16699" s="750" t="e">
        <f t="shared" si="197"/>
        <v>#DIV/0!</v>
      </c>
      <c r="K16699" s="439"/>
      <c r="L16699" s="439"/>
      <c r="M16699" s="682"/>
    </row>
    <row r="16700" spans="3:13" hidden="1" x14ac:dyDescent="0.2">
      <c r="C16700" s="224"/>
      <c r="D16700" s="224"/>
      <c r="E16700" s="224"/>
      <c r="F16700" s="224"/>
      <c r="G16700" s="224"/>
      <c r="H16700" s="439"/>
      <c r="I16700" s="439"/>
      <c r="J16700" s="750" t="e">
        <f t="shared" si="197"/>
        <v>#DIV/0!</v>
      </c>
      <c r="K16700" s="439"/>
      <c r="L16700" s="439"/>
      <c r="M16700" s="682"/>
    </row>
    <row r="16701" spans="3:13" hidden="1" x14ac:dyDescent="0.2">
      <c r="C16701" s="224"/>
      <c r="D16701" s="224"/>
      <c r="E16701" s="224"/>
      <c r="F16701" s="224"/>
      <c r="G16701" s="224"/>
      <c r="H16701" s="439"/>
      <c r="I16701" s="439"/>
      <c r="J16701" s="750" t="e">
        <f t="shared" si="197"/>
        <v>#DIV/0!</v>
      </c>
      <c r="K16701" s="439"/>
      <c r="L16701" s="439"/>
      <c r="M16701" s="682"/>
    </row>
    <row r="16702" spans="3:13" hidden="1" x14ac:dyDescent="0.2">
      <c r="C16702" s="224"/>
      <c r="D16702" s="224"/>
      <c r="E16702" s="224"/>
      <c r="F16702" s="224"/>
      <c r="G16702" s="224"/>
      <c r="H16702" s="439"/>
      <c r="I16702" s="439"/>
      <c r="J16702" s="750" t="e">
        <f t="shared" si="197"/>
        <v>#DIV/0!</v>
      </c>
      <c r="K16702" s="439"/>
      <c r="L16702" s="439"/>
      <c r="M16702" s="682"/>
    </row>
    <row r="16703" spans="3:13" hidden="1" x14ac:dyDescent="0.2">
      <c r="C16703" s="224"/>
      <c r="D16703" s="224"/>
      <c r="E16703" s="224"/>
      <c r="F16703" s="224"/>
      <c r="G16703" s="224"/>
      <c r="H16703" s="439"/>
      <c r="I16703" s="439"/>
      <c r="J16703" s="750" t="e">
        <f t="shared" si="197"/>
        <v>#DIV/0!</v>
      </c>
      <c r="K16703" s="439"/>
      <c r="L16703" s="439"/>
      <c r="M16703" s="682"/>
    </row>
    <row r="16704" spans="3:13" hidden="1" x14ac:dyDescent="0.2">
      <c r="C16704" s="224"/>
      <c r="D16704" s="224"/>
      <c r="E16704" s="224"/>
      <c r="F16704" s="224"/>
      <c r="G16704" s="224"/>
      <c r="H16704" s="439"/>
      <c r="I16704" s="439"/>
      <c r="J16704" s="750" t="e">
        <f t="shared" si="197"/>
        <v>#DIV/0!</v>
      </c>
      <c r="K16704" s="439"/>
      <c r="L16704" s="439"/>
      <c r="M16704" s="682"/>
    </row>
    <row r="16705" spans="3:13" hidden="1" x14ac:dyDescent="0.2">
      <c r="C16705" s="224"/>
      <c r="D16705" s="224"/>
      <c r="E16705" s="224"/>
      <c r="F16705" s="224"/>
      <c r="G16705" s="224"/>
      <c r="H16705" s="439"/>
      <c r="I16705" s="439"/>
      <c r="J16705" s="750" t="e">
        <f t="shared" si="197"/>
        <v>#DIV/0!</v>
      </c>
      <c r="K16705" s="439"/>
      <c r="L16705" s="439"/>
      <c r="M16705" s="682"/>
    </row>
    <row r="16706" spans="3:13" hidden="1" x14ac:dyDescent="0.2">
      <c r="C16706" s="224"/>
      <c r="D16706" s="224"/>
      <c r="E16706" s="224"/>
      <c r="F16706" s="224"/>
      <c r="G16706" s="224"/>
      <c r="H16706" s="439"/>
      <c r="I16706" s="439"/>
      <c r="J16706" s="750" t="e">
        <f t="shared" si="197"/>
        <v>#DIV/0!</v>
      </c>
      <c r="K16706" s="439"/>
      <c r="L16706" s="439"/>
      <c r="M16706" s="682"/>
    </row>
    <row r="16707" spans="3:13" hidden="1" x14ac:dyDescent="0.2">
      <c r="C16707" s="224"/>
      <c r="D16707" s="224"/>
      <c r="E16707" s="224"/>
      <c r="F16707" s="224"/>
      <c r="G16707" s="224"/>
      <c r="H16707" s="439"/>
      <c r="I16707" s="439"/>
      <c r="J16707" s="750" t="e">
        <f t="shared" si="197"/>
        <v>#DIV/0!</v>
      </c>
      <c r="K16707" s="439"/>
      <c r="L16707" s="439"/>
      <c r="M16707" s="682"/>
    </row>
    <row r="16708" spans="3:13" hidden="1" x14ac:dyDescent="0.2">
      <c r="C16708" s="224"/>
      <c r="D16708" s="224"/>
      <c r="E16708" s="224"/>
      <c r="F16708" s="224"/>
      <c r="G16708" s="224"/>
      <c r="H16708" s="439"/>
      <c r="I16708" s="439"/>
      <c r="J16708" s="750" t="e">
        <f t="shared" si="197"/>
        <v>#DIV/0!</v>
      </c>
      <c r="K16708" s="439"/>
      <c r="L16708" s="439"/>
      <c r="M16708" s="682"/>
    </row>
    <row r="16709" spans="3:13" hidden="1" x14ac:dyDescent="0.2">
      <c r="C16709" s="224"/>
      <c r="D16709" s="224"/>
      <c r="E16709" s="224"/>
      <c r="F16709" s="224"/>
      <c r="G16709" s="224"/>
      <c r="H16709" s="439"/>
      <c r="I16709" s="439"/>
      <c r="J16709" s="750" t="e">
        <f t="shared" si="197"/>
        <v>#DIV/0!</v>
      </c>
      <c r="K16709" s="439"/>
      <c r="L16709" s="439"/>
      <c r="M16709" s="682"/>
    </row>
    <row r="16710" spans="3:13" hidden="1" x14ac:dyDescent="0.2">
      <c r="C16710" s="224"/>
      <c r="D16710" s="224"/>
      <c r="E16710" s="224"/>
      <c r="F16710" s="224"/>
      <c r="G16710" s="224"/>
      <c r="H16710" s="439"/>
      <c r="I16710" s="439"/>
      <c r="J16710" s="750" t="e">
        <f t="shared" si="197"/>
        <v>#DIV/0!</v>
      </c>
      <c r="K16710" s="439"/>
      <c r="L16710" s="439"/>
      <c r="M16710" s="682"/>
    </row>
    <row r="16711" spans="3:13" hidden="1" x14ac:dyDescent="0.2">
      <c r="C16711" s="224"/>
      <c r="D16711" s="224"/>
      <c r="E16711" s="224"/>
      <c r="F16711" s="224"/>
      <c r="G16711" s="224"/>
      <c r="H16711" s="439"/>
      <c r="I16711" s="439"/>
      <c r="J16711" s="750" t="e">
        <f t="shared" si="197"/>
        <v>#DIV/0!</v>
      </c>
      <c r="K16711" s="439"/>
      <c r="L16711" s="439"/>
      <c r="M16711" s="682"/>
    </row>
    <row r="16712" spans="3:13" hidden="1" x14ac:dyDescent="0.2">
      <c r="C16712" s="224"/>
      <c r="D16712" s="224"/>
      <c r="E16712" s="224"/>
      <c r="F16712" s="224"/>
      <c r="G16712" s="224"/>
      <c r="H16712" s="439"/>
      <c r="I16712" s="439"/>
      <c r="J16712" s="750" t="e">
        <f t="shared" si="197"/>
        <v>#DIV/0!</v>
      </c>
      <c r="K16712" s="439"/>
      <c r="L16712" s="439"/>
      <c r="M16712" s="682"/>
    </row>
    <row r="16713" spans="3:13" hidden="1" x14ac:dyDescent="0.2">
      <c r="C16713" s="224"/>
      <c r="D16713" s="224"/>
      <c r="E16713" s="224"/>
      <c r="F16713" s="224"/>
      <c r="G16713" s="224"/>
      <c r="H16713" s="439"/>
      <c r="I16713" s="439"/>
      <c r="J16713" s="750" t="e">
        <f t="shared" si="197"/>
        <v>#DIV/0!</v>
      </c>
      <c r="K16713" s="439"/>
      <c r="L16713" s="439"/>
      <c r="M16713" s="682"/>
    </row>
    <row r="16714" spans="3:13" hidden="1" x14ac:dyDescent="0.2">
      <c r="C16714" s="224"/>
      <c r="D16714" s="224"/>
      <c r="E16714" s="224"/>
      <c r="F16714" s="224"/>
      <c r="G16714" s="224"/>
      <c r="H16714" s="439"/>
      <c r="I16714" s="439"/>
      <c r="J16714" s="750" t="e">
        <f t="shared" si="197"/>
        <v>#DIV/0!</v>
      </c>
      <c r="K16714" s="439"/>
      <c r="L16714" s="439"/>
      <c r="M16714" s="682"/>
    </row>
    <row r="16715" spans="3:13" hidden="1" x14ac:dyDescent="0.2">
      <c r="C16715" s="224"/>
      <c r="D16715" s="224"/>
      <c r="E16715" s="224"/>
      <c r="F16715" s="224"/>
      <c r="G16715" s="224"/>
      <c r="H16715" s="439"/>
      <c r="I16715" s="439"/>
      <c r="J16715" s="750" t="e">
        <f t="shared" si="197"/>
        <v>#DIV/0!</v>
      </c>
      <c r="K16715" s="439"/>
      <c r="L16715" s="439"/>
      <c r="M16715" s="682"/>
    </row>
    <row r="16716" spans="3:13" hidden="1" x14ac:dyDescent="0.2">
      <c r="C16716" s="224"/>
      <c r="D16716" s="224"/>
      <c r="E16716" s="224"/>
      <c r="F16716" s="224"/>
      <c r="G16716" s="224"/>
      <c r="H16716" s="439"/>
      <c r="I16716" s="439"/>
      <c r="J16716" s="750" t="e">
        <f t="shared" si="197"/>
        <v>#DIV/0!</v>
      </c>
      <c r="K16716" s="439"/>
      <c r="L16716" s="439"/>
      <c r="M16716" s="682"/>
    </row>
    <row r="16717" spans="3:13" hidden="1" x14ac:dyDescent="0.2">
      <c r="C16717" s="224"/>
      <c r="D16717" s="224"/>
      <c r="E16717" s="224"/>
      <c r="F16717" s="224"/>
      <c r="G16717" s="224"/>
      <c r="H16717" s="439"/>
      <c r="I16717" s="439"/>
      <c r="J16717" s="750" t="e">
        <f t="shared" si="197"/>
        <v>#DIV/0!</v>
      </c>
      <c r="K16717" s="439"/>
      <c r="L16717" s="439"/>
      <c r="M16717" s="682"/>
    </row>
    <row r="16718" spans="3:13" hidden="1" x14ac:dyDescent="0.2">
      <c r="C16718" s="224"/>
      <c r="D16718" s="224"/>
      <c r="E16718" s="224"/>
      <c r="F16718" s="224"/>
      <c r="G16718" s="224"/>
      <c r="H16718" s="439"/>
      <c r="I16718" s="439"/>
      <c r="J16718" s="750" t="e">
        <f t="shared" ref="J16718:J16781" si="198">SUM(I16718/H16718)*100</f>
        <v>#DIV/0!</v>
      </c>
      <c r="K16718" s="439"/>
      <c r="L16718" s="439"/>
      <c r="M16718" s="682"/>
    </row>
    <row r="16719" spans="3:13" hidden="1" x14ac:dyDescent="0.2">
      <c r="C16719" s="224"/>
      <c r="D16719" s="224"/>
      <c r="E16719" s="224"/>
      <c r="F16719" s="224"/>
      <c r="G16719" s="224"/>
      <c r="H16719" s="439"/>
      <c r="I16719" s="439"/>
      <c r="J16719" s="750" t="e">
        <f t="shared" si="198"/>
        <v>#DIV/0!</v>
      </c>
      <c r="K16719" s="439"/>
      <c r="L16719" s="439"/>
      <c r="M16719" s="682"/>
    </row>
    <row r="16720" spans="3:13" hidden="1" x14ac:dyDescent="0.2">
      <c r="C16720" s="224"/>
      <c r="D16720" s="224"/>
      <c r="E16720" s="224"/>
      <c r="F16720" s="224"/>
      <c r="G16720" s="224"/>
      <c r="H16720" s="439"/>
      <c r="I16720" s="439"/>
      <c r="J16720" s="750" t="e">
        <f t="shared" si="198"/>
        <v>#DIV/0!</v>
      </c>
      <c r="K16720" s="439"/>
      <c r="L16720" s="439"/>
      <c r="M16720" s="682"/>
    </row>
    <row r="16721" spans="3:13" hidden="1" x14ac:dyDescent="0.2">
      <c r="C16721" s="224"/>
      <c r="D16721" s="224"/>
      <c r="E16721" s="224"/>
      <c r="F16721" s="224"/>
      <c r="G16721" s="224"/>
      <c r="H16721" s="439"/>
      <c r="I16721" s="439"/>
      <c r="J16721" s="750" t="e">
        <f t="shared" si="198"/>
        <v>#DIV/0!</v>
      </c>
      <c r="K16721" s="439"/>
      <c r="L16721" s="439"/>
      <c r="M16721" s="682"/>
    </row>
    <row r="16722" spans="3:13" hidden="1" x14ac:dyDescent="0.2">
      <c r="C16722" s="224"/>
      <c r="D16722" s="224"/>
      <c r="E16722" s="224"/>
      <c r="F16722" s="224"/>
      <c r="G16722" s="224"/>
      <c r="H16722" s="439"/>
      <c r="I16722" s="439"/>
      <c r="J16722" s="750" t="e">
        <f t="shared" si="198"/>
        <v>#DIV/0!</v>
      </c>
      <c r="K16722" s="439"/>
      <c r="L16722" s="439"/>
      <c r="M16722" s="682"/>
    </row>
    <row r="16723" spans="3:13" hidden="1" x14ac:dyDescent="0.2">
      <c r="C16723" s="224"/>
      <c r="D16723" s="224"/>
      <c r="E16723" s="224"/>
      <c r="F16723" s="224"/>
      <c r="G16723" s="224"/>
      <c r="H16723" s="439"/>
      <c r="I16723" s="439"/>
      <c r="J16723" s="750" t="e">
        <f t="shared" si="198"/>
        <v>#DIV/0!</v>
      </c>
      <c r="K16723" s="439"/>
      <c r="L16723" s="439"/>
      <c r="M16723" s="682"/>
    </row>
    <row r="16724" spans="3:13" hidden="1" x14ac:dyDescent="0.2">
      <c r="C16724" s="224"/>
      <c r="D16724" s="224"/>
      <c r="E16724" s="224"/>
      <c r="F16724" s="224"/>
      <c r="G16724" s="224"/>
      <c r="H16724" s="439"/>
      <c r="I16724" s="439"/>
      <c r="J16724" s="750" t="e">
        <f t="shared" si="198"/>
        <v>#DIV/0!</v>
      </c>
      <c r="K16724" s="439"/>
      <c r="L16724" s="439"/>
      <c r="M16724" s="682"/>
    </row>
    <row r="16725" spans="3:13" hidden="1" x14ac:dyDescent="0.2">
      <c r="C16725" s="224"/>
      <c r="D16725" s="224"/>
      <c r="E16725" s="224"/>
      <c r="F16725" s="224"/>
      <c r="G16725" s="224"/>
      <c r="H16725" s="439"/>
      <c r="I16725" s="439"/>
      <c r="J16725" s="750" t="e">
        <f t="shared" si="198"/>
        <v>#DIV/0!</v>
      </c>
      <c r="K16725" s="439"/>
      <c r="L16725" s="439"/>
      <c r="M16725" s="682"/>
    </row>
    <row r="16726" spans="3:13" hidden="1" x14ac:dyDescent="0.2">
      <c r="C16726" s="224"/>
      <c r="D16726" s="224"/>
      <c r="E16726" s="224"/>
      <c r="F16726" s="224"/>
      <c r="G16726" s="224"/>
      <c r="H16726" s="439"/>
      <c r="I16726" s="439"/>
      <c r="J16726" s="750" t="e">
        <f t="shared" si="198"/>
        <v>#DIV/0!</v>
      </c>
      <c r="K16726" s="439"/>
      <c r="L16726" s="439"/>
      <c r="M16726" s="682"/>
    </row>
    <row r="16727" spans="3:13" hidden="1" x14ac:dyDescent="0.2">
      <c r="C16727" s="224"/>
      <c r="D16727" s="224"/>
      <c r="E16727" s="224"/>
      <c r="F16727" s="224"/>
      <c r="G16727" s="224"/>
      <c r="H16727" s="439"/>
      <c r="I16727" s="439"/>
      <c r="J16727" s="750" t="e">
        <f t="shared" si="198"/>
        <v>#DIV/0!</v>
      </c>
      <c r="K16727" s="439"/>
      <c r="L16727" s="439"/>
      <c r="M16727" s="682"/>
    </row>
    <row r="16728" spans="3:13" hidden="1" x14ac:dyDescent="0.2">
      <c r="C16728" s="224"/>
      <c r="D16728" s="224"/>
      <c r="E16728" s="224"/>
      <c r="F16728" s="224"/>
      <c r="G16728" s="224"/>
      <c r="H16728" s="439"/>
      <c r="I16728" s="439"/>
      <c r="J16728" s="750" t="e">
        <f t="shared" si="198"/>
        <v>#DIV/0!</v>
      </c>
      <c r="K16728" s="439"/>
      <c r="L16728" s="439"/>
      <c r="M16728" s="682"/>
    </row>
    <row r="16729" spans="3:13" hidden="1" x14ac:dyDescent="0.2">
      <c r="C16729" s="224"/>
      <c r="D16729" s="224"/>
      <c r="E16729" s="224"/>
      <c r="F16729" s="224"/>
      <c r="G16729" s="224"/>
      <c r="H16729" s="439"/>
      <c r="I16729" s="439"/>
      <c r="J16729" s="750" t="e">
        <f t="shared" si="198"/>
        <v>#DIV/0!</v>
      </c>
      <c r="K16729" s="439"/>
      <c r="L16729" s="439"/>
      <c r="M16729" s="682"/>
    </row>
    <row r="16730" spans="3:13" hidden="1" x14ac:dyDescent="0.2">
      <c r="C16730" s="224"/>
      <c r="D16730" s="224"/>
      <c r="E16730" s="224"/>
      <c r="F16730" s="224"/>
      <c r="G16730" s="224"/>
      <c r="H16730" s="439"/>
      <c r="I16730" s="439"/>
      <c r="J16730" s="750" t="e">
        <f t="shared" si="198"/>
        <v>#DIV/0!</v>
      </c>
      <c r="K16730" s="439"/>
      <c r="L16730" s="439"/>
      <c r="M16730" s="682"/>
    </row>
    <row r="16731" spans="3:13" hidden="1" x14ac:dyDescent="0.2">
      <c r="C16731" s="224"/>
      <c r="D16731" s="224"/>
      <c r="E16731" s="224"/>
      <c r="F16731" s="224"/>
      <c r="G16731" s="224"/>
      <c r="H16731" s="439"/>
      <c r="I16731" s="439"/>
      <c r="J16731" s="750" t="e">
        <f t="shared" si="198"/>
        <v>#DIV/0!</v>
      </c>
      <c r="K16731" s="439"/>
      <c r="L16731" s="439"/>
      <c r="M16731" s="682"/>
    </row>
    <row r="16732" spans="3:13" hidden="1" x14ac:dyDescent="0.2">
      <c r="C16732" s="224"/>
      <c r="D16732" s="224"/>
      <c r="E16732" s="224"/>
      <c r="F16732" s="224"/>
      <c r="G16732" s="224"/>
      <c r="H16732" s="439"/>
      <c r="I16732" s="439"/>
      <c r="J16732" s="750" t="e">
        <f t="shared" si="198"/>
        <v>#DIV/0!</v>
      </c>
      <c r="K16732" s="439"/>
      <c r="L16732" s="439"/>
      <c r="M16732" s="682"/>
    </row>
    <row r="16733" spans="3:13" hidden="1" x14ac:dyDescent="0.2">
      <c r="C16733" s="224"/>
      <c r="D16733" s="224"/>
      <c r="E16733" s="224"/>
      <c r="F16733" s="224"/>
      <c r="G16733" s="224"/>
      <c r="H16733" s="439"/>
      <c r="I16733" s="439"/>
      <c r="J16733" s="750" t="e">
        <f t="shared" si="198"/>
        <v>#DIV/0!</v>
      </c>
      <c r="K16733" s="439"/>
      <c r="L16733" s="439"/>
      <c r="M16733" s="682"/>
    </row>
    <row r="16734" spans="3:13" hidden="1" x14ac:dyDescent="0.2">
      <c r="C16734" s="224"/>
      <c r="D16734" s="224"/>
      <c r="E16734" s="224"/>
      <c r="F16734" s="224"/>
      <c r="G16734" s="224"/>
      <c r="H16734" s="439"/>
      <c r="I16734" s="439"/>
      <c r="J16734" s="750" t="e">
        <f t="shared" si="198"/>
        <v>#DIV/0!</v>
      </c>
      <c r="K16734" s="439"/>
      <c r="L16734" s="439"/>
      <c r="M16734" s="682"/>
    </row>
    <row r="16735" spans="3:13" hidden="1" x14ac:dyDescent="0.2">
      <c r="C16735" s="224"/>
      <c r="D16735" s="224"/>
      <c r="E16735" s="224"/>
      <c r="F16735" s="224"/>
      <c r="G16735" s="224"/>
      <c r="H16735" s="439"/>
      <c r="I16735" s="439"/>
      <c r="J16735" s="750" t="e">
        <f t="shared" si="198"/>
        <v>#DIV/0!</v>
      </c>
      <c r="K16735" s="439"/>
      <c r="L16735" s="439"/>
      <c r="M16735" s="682"/>
    </row>
    <row r="16736" spans="3:13" hidden="1" x14ac:dyDescent="0.2">
      <c r="C16736" s="224"/>
      <c r="D16736" s="224"/>
      <c r="E16736" s="224"/>
      <c r="F16736" s="224"/>
      <c r="G16736" s="224"/>
      <c r="H16736" s="439"/>
      <c r="I16736" s="439"/>
      <c r="J16736" s="750" t="e">
        <f t="shared" si="198"/>
        <v>#DIV/0!</v>
      </c>
      <c r="K16736" s="439"/>
      <c r="L16736" s="439"/>
      <c r="M16736" s="682"/>
    </row>
    <row r="16737" spans="3:13" hidden="1" x14ac:dyDescent="0.2">
      <c r="C16737" s="224"/>
      <c r="D16737" s="224"/>
      <c r="E16737" s="224"/>
      <c r="F16737" s="224"/>
      <c r="G16737" s="224"/>
      <c r="H16737" s="439"/>
      <c r="I16737" s="439"/>
      <c r="J16737" s="750" t="e">
        <f t="shared" si="198"/>
        <v>#DIV/0!</v>
      </c>
      <c r="K16737" s="439"/>
      <c r="L16737" s="439"/>
      <c r="M16737" s="682"/>
    </row>
    <row r="16738" spans="3:13" hidden="1" collapsed="1" x14ac:dyDescent="0.2">
      <c r="C16738" s="224"/>
      <c r="D16738" s="224"/>
      <c r="E16738" s="224"/>
      <c r="F16738" s="224"/>
      <c r="G16738" s="224"/>
      <c r="H16738" s="439"/>
      <c r="I16738" s="439"/>
      <c r="J16738" s="750" t="e">
        <f t="shared" si="198"/>
        <v>#DIV/0!</v>
      </c>
      <c r="K16738" s="439"/>
      <c r="L16738" s="439"/>
      <c r="M16738" s="682"/>
    </row>
    <row r="16739" spans="3:13" hidden="1" x14ac:dyDescent="0.2">
      <c r="C16739" s="224"/>
      <c r="D16739" s="224"/>
      <c r="E16739" s="224"/>
      <c r="F16739" s="224"/>
      <c r="G16739" s="224"/>
      <c r="H16739" s="439"/>
      <c r="I16739" s="439"/>
      <c r="J16739" s="750" t="e">
        <f t="shared" si="198"/>
        <v>#DIV/0!</v>
      </c>
      <c r="K16739" s="439"/>
      <c r="L16739" s="439"/>
      <c r="M16739" s="682"/>
    </row>
    <row r="16740" spans="3:13" hidden="1" x14ac:dyDescent="0.2">
      <c r="C16740" s="224"/>
      <c r="D16740" s="224"/>
      <c r="E16740" s="224"/>
      <c r="F16740" s="224"/>
      <c r="G16740" s="224"/>
      <c r="H16740" s="439"/>
      <c r="I16740" s="439"/>
      <c r="J16740" s="750" t="e">
        <f t="shared" si="198"/>
        <v>#DIV/0!</v>
      </c>
      <c r="K16740" s="439"/>
      <c r="L16740" s="439"/>
      <c r="M16740" s="682"/>
    </row>
    <row r="16741" spans="3:13" hidden="1" x14ac:dyDescent="0.2">
      <c r="C16741" s="224"/>
      <c r="D16741" s="224"/>
      <c r="E16741" s="224"/>
      <c r="F16741" s="224"/>
      <c r="G16741" s="224"/>
      <c r="H16741" s="439"/>
      <c r="I16741" s="439"/>
      <c r="J16741" s="750" t="e">
        <f t="shared" si="198"/>
        <v>#DIV/0!</v>
      </c>
      <c r="K16741" s="439"/>
      <c r="L16741" s="439"/>
      <c r="M16741" s="682"/>
    </row>
    <row r="16742" spans="3:13" hidden="1" x14ac:dyDescent="0.2">
      <c r="C16742" s="224"/>
      <c r="D16742" s="224"/>
      <c r="E16742" s="224"/>
      <c r="F16742" s="224"/>
      <c r="G16742" s="224"/>
      <c r="H16742" s="439"/>
      <c r="I16742" s="439"/>
      <c r="J16742" s="750" t="e">
        <f t="shared" si="198"/>
        <v>#DIV/0!</v>
      </c>
      <c r="K16742" s="439"/>
      <c r="L16742" s="439"/>
      <c r="M16742" s="682"/>
    </row>
    <row r="16743" spans="3:13" hidden="1" x14ac:dyDescent="0.2">
      <c r="C16743" s="224"/>
      <c r="D16743" s="224"/>
      <c r="E16743" s="224"/>
      <c r="F16743" s="224"/>
      <c r="G16743" s="224"/>
      <c r="H16743" s="439"/>
      <c r="I16743" s="439"/>
      <c r="J16743" s="750" t="e">
        <f t="shared" si="198"/>
        <v>#DIV/0!</v>
      </c>
      <c r="K16743" s="439"/>
      <c r="L16743" s="439"/>
      <c r="M16743" s="682"/>
    </row>
    <row r="16744" spans="3:13" hidden="1" x14ac:dyDescent="0.2">
      <c r="C16744" s="224"/>
      <c r="D16744" s="224"/>
      <c r="E16744" s="224"/>
      <c r="F16744" s="224"/>
      <c r="G16744" s="224"/>
      <c r="H16744" s="439"/>
      <c r="I16744" s="439"/>
      <c r="J16744" s="750" t="e">
        <f t="shared" si="198"/>
        <v>#DIV/0!</v>
      </c>
      <c r="K16744" s="439"/>
      <c r="L16744" s="439"/>
      <c r="M16744" s="682"/>
    </row>
    <row r="16745" spans="3:13" hidden="1" x14ac:dyDescent="0.2">
      <c r="C16745" s="224"/>
      <c r="D16745" s="224"/>
      <c r="E16745" s="224"/>
      <c r="F16745" s="224"/>
      <c r="G16745" s="224"/>
      <c r="H16745" s="439"/>
      <c r="I16745" s="439"/>
      <c r="J16745" s="750" t="e">
        <f t="shared" si="198"/>
        <v>#DIV/0!</v>
      </c>
      <c r="K16745" s="439"/>
      <c r="L16745" s="439"/>
      <c r="M16745" s="682"/>
    </row>
    <row r="16746" spans="3:13" hidden="1" x14ac:dyDescent="0.2">
      <c r="C16746" s="224"/>
      <c r="D16746" s="224"/>
      <c r="E16746" s="224"/>
      <c r="F16746" s="224"/>
      <c r="G16746" s="224"/>
      <c r="H16746" s="439"/>
      <c r="I16746" s="439"/>
      <c r="J16746" s="750" t="e">
        <f t="shared" si="198"/>
        <v>#DIV/0!</v>
      </c>
      <c r="K16746" s="439"/>
      <c r="L16746" s="439"/>
      <c r="M16746" s="682"/>
    </row>
    <row r="16747" spans="3:13" hidden="1" x14ac:dyDescent="0.2">
      <c r="C16747" s="224"/>
      <c r="D16747" s="224"/>
      <c r="E16747" s="224"/>
      <c r="F16747" s="224"/>
      <c r="G16747" s="224"/>
      <c r="H16747" s="439"/>
      <c r="I16747" s="439"/>
      <c r="J16747" s="750" t="e">
        <f t="shared" si="198"/>
        <v>#DIV/0!</v>
      </c>
      <c r="K16747" s="439"/>
      <c r="L16747" s="439"/>
      <c r="M16747" s="682"/>
    </row>
    <row r="16748" spans="3:13" hidden="1" x14ac:dyDescent="0.2">
      <c r="C16748" s="224"/>
      <c r="D16748" s="224"/>
      <c r="E16748" s="224"/>
      <c r="F16748" s="224"/>
      <c r="G16748" s="224"/>
      <c r="H16748" s="439"/>
      <c r="I16748" s="439"/>
      <c r="J16748" s="750" t="e">
        <f t="shared" si="198"/>
        <v>#DIV/0!</v>
      </c>
      <c r="K16748" s="439"/>
      <c r="L16748" s="439"/>
      <c r="M16748" s="682"/>
    </row>
    <row r="16749" spans="3:13" hidden="1" x14ac:dyDescent="0.2">
      <c r="C16749" s="224"/>
      <c r="D16749" s="224"/>
      <c r="E16749" s="224"/>
      <c r="F16749" s="224"/>
      <c r="G16749" s="224"/>
      <c r="H16749" s="439"/>
      <c r="I16749" s="439"/>
      <c r="J16749" s="750" t="e">
        <f t="shared" si="198"/>
        <v>#DIV/0!</v>
      </c>
      <c r="K16749" s="439"/>
      <c r="L16749" s="439"/>
      <c r="M16749" s="682"/>
    </row>
    <row r="16750" spans="3:13" hidden="1" x14ac:dyDescent="0.2">
      <c r="C16750" s="224"/>
      <c r="D16750" s="224"/>
      <c r="E16750" s="224"/>
      <c r="F16750" s="224"/>
      <c r="G16750" s="224"/>
      <c r="H16750" s="439"/>
      <c r="I16750" s="439"/>
      <c r="J16750" s="750" t="e">
        <f t="shared" si="198"/>
        <v>#DIV/0!</v>
      </c>
      <c r="K16750" s="439"/>
      <c r="L16750" s="439"/>
      <c r="M16750" s="682"/>
    </row>
    <row r="16751" spans="3:13" hidden="1" x14ac:dyDescent="0.2">
      <c r="C16751" s="224"/>
      <c r="D16751" s="224"/>
      <c r="E16751" s="224"/>
      <c r="F16751" s="224"/>
      <c r="G16751" s="224"/>
      <c r="H16751" s="439"/>
      <c r="I16751" s="439"/>
      <c r="J16751" s="750" t="e">
        <f t="shared" si="198"/>
        <v>#DIV/0!</v>
      </c>
      <c r="K16751" s="439"/>
      <c r="L16751" s="439"/>
      <c r="M16751" s="682"/>
    </row>
    <row r="16752" spans="3:13" hidden="1" x14ac:dyDescent="0.2">
      <c r="C16752" s="224"/>
      <c r="D16752" s="224"/>
      <c r="E16752" s="224"/>
      <c r="F16752" s="224"/>
      <c r="G16752" s="224"/>
      <c r="H16752" s="439"/>
      <c r="I16752" s="439"/>
      <c r="J16752" s="750" t="e">
        <f t="shared" si="198"/>
        <v>#DIV/0!</v>
      </c>
      <c r="K16752" s="439"/>
      <c r="L16752" s="439"/>
      <c r="M16752" s="682"/>
    </row>
    <row r="16753" spans="3:13" hidden="1" x14ac:dyDescent="0.2">
      <c r="C16753" s="224"/>
      <c r="D16753" s="224"/>
      <c r="E16753" s="224"/>
      <c r="F16753" s="224"/>
      <c r="G16753" s="224"/>
      <c r="H16753" s="439"/>
      <c r="I16753" s="439"/>
      <c r="J16753" s="750" t="e">
        <f t="shared" si="198"/>
        <v>#DIV/0!</v>
      </c>
      <c r="K16753" s="439"/>
      <c r="L16753" s="439"/>
      <c r="M16753" s="682"/>
    </row>
    <row r="16754" spans="3:13" hidden="1" x14ac:dyDescent="0.2">
      <c r="C16754" s="224"/>
      <c r="D16754" s="224"/>
      <c r="E16754" s="224"/>
      <c r="F16754" s="224"/>
      <c r="G16754" s="224"/>
      <c r="H16754" s="439"/>
      <c r="I16754" s="439"/>
      <c r="J16754" s="750" t="e">
        <f t="shared" si="198"/>
        <v>#DIV/0!</v>
      </c>
      <c r="K16754" s="439"/>
      <c r="L16754" s="439"/>
      <c r="M16754" s="682"/>
    </row>
    <row r="16755" spans="3:13" hidden="1" x14ac:dyDescent="0.2">
      <c r="C16755" s="224"/>
      <c r="D16755" s="224"/>
      <c r="E16755" s="224"/>
      <c r="F16755" s="224"/>
      <c r="G16755" s="224"/>
      <c r="H16755" s="439"/>
      <c r="I16755" s="439"/>
      <c r="J16755" s="750" t="e">
        <f t="shared" si="198"/>
        <v>#DIV/0!</v>
      </c>
      <c r="K16755" s="439"/>
      <c r="L16755" s="439"/>
      <c r="M16755" s="682"/>
    </row>
    <row r="16756" spans="3:13" hidden="1" x14ac:dyDescent="0.2">
      <c r="C16756" s="224"/>
      <c r="D16756" s="224"/>
      <c r="E16756" s="224"/>
      <c r="F16756" s="224"/>
      <c r="G16756" s="224"/>
      <c r="H16756" s="439"/>
      <c r="I16756" s="439"/>
      <c r="J16756" s="750" t="e">
        <f t="shared" si="198"/>
        <v>#DIV/0!</v>
      </c>
      <c r="K16756" s="439"/>
      <c r="L16756" s="439"/>
      <c r="M16756" s="682"/>
    </row>
    <row r="16757" spans="3:13" hidden="1" x14ac:dyDescent="0.2">
      <c r="C16757" s="224"/>
      <c r="D16757" s="224"/>
      <c r="E16757" s="224"/>
      <c r="F16757" s="224"/>
      <c r="G16757" s="224"/>
      <c r="H16757" s="439"/>
      <c r="I16757" s="439"/>
      <c r="J16757" s="750" t="e">
        <f t="shared" si="198"/>
        <v>#DIV/0!</v>
      </c>
      <c r="K16757" s="439"/>
      <c r="L16757" s="439"/>
      <c r="M16757" s="682"/>
    </row>
    <row r="16758" spans="3:13" hidden="1" x14ac:dyDescent="0.2">
      <c r="C16758" s="224"/>
      <c r="D16758" s="224"/>
      <c r="E16758" s="224"/>
      <c r="F16758" s="224"/>
      <c r="G16758" s="224"/>
      <c r="H16758" s="439"/>
      <c r="I16758" s="439"/>
      <c r="J16758" s="750" t="e">
        <f t="shared" si="198"/>
        <v>#DIV/0!</v>
      </c>
      <c r="K16758" s="439"/>
      <c r="L16758" s="439"/>
      <c r="M16758" s="682"/>
    </row>
    <row r="16759" spans="3:13" hidden="1" x14ac:dyDescent="0.2">
      <c r="C16759" s="224"/>
      <c r="D16759" s="224"/>
      <c r="E16759" s="224"/>
      <c r="F16759" s="224"/>
      <c r="G16759" s="224"/>
      <c r="H16759" s="439"/>
      <c r="I16759" s="439"/>
      <c r="J16759" s="750" t="e">
        <f t="shared" si="198"/>
        <v>#DIV/0!</v>
      </c>
      <c r="K16759" s="439"/>
      <c r="L16759" s="439"/>
      <c r="M16759" s="682"/>
    </row>
    <row r="16760" spans="3:13" hidden="1" x14ac:dyDescent="0.2">
      <c r="C16760" s="224"/>
      <c r="D16760" s="224"/>
      <c r="E16760" s="224"/>
      <c r="F16760" s="224"/>
      <c r="G16760" s="224"/>
      <c r="H16760" s="439"/>
      <c r="I16760" s="439"/>
      <c r="J16760" s="750" t="e">
        <f t="shared" si="198"/>
        <v>#DIV/0!</v>
      </c>
      <c r="K16760" s="439"/>
      <c r="L16760" s="439"/>
      <c r="M16760" s="682"/>
    </row>
    <row r="16761" spans="3:13" hidden="1" x14ac:dyDescent="0.2">
      <c r="C16761" s="224"/>
      <c r="D16761" s="224"/>
      <c r="E16761" s="224"/>
      <c r="F16761" s="224"/>
      <c r="G16761" s="224"/>
      <c r="H16761" s="439"/>
      <c r="I16761" s="439"/>
      <c r="J16761" s="750" t="e">
        <f t="shared" si="198"/>
        <v>#DIV/0!</v>
      </c>
      <c r="K16761" s="439"/>
      <c r="L16761" s="439"/>
      <c r="M16761" s="682"/>
    </row>
    <row r="16762" spans="3:13" hidden="1" x14ac:dyDescent="0.2">
      <c r="C16762" s="224"/>
      <c r="D16762" s="224"/>
      <c r="E16762" s="224"/>
      <c r="F16762" s="224"/>
      <c r="G16762" s="224"/>
      <c r="H16762" s="439"/>
      <c r="I16762" s="439"/>
      <c r="J16762" s="750" t="e">
        <f t="shared" si="198"/>
        <v>#DIV/0!</v>
      </c>
      <c r="K16762" s="439"/>
      <c r="L16762" s="439"/>
      <c r="M16762" s="682"/>
    </row>
    <row r="16763" spans="3:13" hidden="1" x14ac:dyDescent="0.2">
      <c r="C16763" s="224"/>
      <c r="D16763" s="224"/>
      <c r="E16763" s="224"/>
      <c r="F16763" s="224"/>
      <c r="G16763" s="224"/>
      <c r="H16763" s="439"/>
      <c r="I16763" s="439"/>
      <c r="J16763" s="750" t="e">
        <f t="shared" si="198"/>
        <v>#DIV/0!</v>
      </c>
      <c r="K16763" s="439"/>
      <c r="L16763" s="439"/>
      <c r="M16763" s="682"/>
    </row>
    <row r="16764" spans="3:13" hidden="1" x14ac:dyDescent="0.2">
      <c r="C16764" s="224"/>
      <c r="D16764" s="224"/>
      <c r="E16764" s="224"/>
      <c r="F16764" s="224"/>
      <c r="G16764" s="224"/>
      <c r="H16764" s="439"/>
      <c r="I16764" s="439"/>
      <c r="J16764" s="750" t="e">
        <f t="shared" si="198"/>
        <v>#DIV/0!</v>
      </c>
      <c r="K16764" s="439"/>
      <c r="L16764" s="439"/>
      <c r="M16764" s="682"/>
    </row>
    <row r="16765" spans="3:13" hidden="1" x14ac:dyDescent="0.2">
      <c r="C16765" s="224"/>
      <c r="D16765" s="224"/>
      <c r="E16765" s="224"/>
      <c r="F16765" s="224"/>
      <c r="G16765" s="224"/>
      <c r="H16765" s="439"/>
      <c r="I16765" s="439"/>
      <c r="J16765" s="750" t="e">
        <f t="shared" si="198"/>
        <v>#DIV/0!</v>
      </c>
      <c r="K16765" s="439"/>
      <c r="L16765" s="439"/>
      <c r="M16765" s="682"/>
    </row>
    <row r="16766" spans="3:13" hidden="1" x14ac:dyDescent="0.2">
      <c r="C16766" s="224"/>
      <c r="D16766" s="224"/>
      <c r="E16766" s="224"/>
      <c r="F16766" s="224"/>
      <c r="G16766" s="224"/>
      <c r="H16766" s="439"/>
      <c r="I16766" s="439"/>
      <c r="J16766" s="750" t="e">
        <f t="shared" si="198"/>
        <v>#DIV/0!</v>
      </c>
      <c r="K16766" s="439"/>
      <c r="L16766" s="439"/>
      <c r="M16766" s="682"/>
    </row>
    <row r="16767" spans="3:13" hidden="1" x14ac:dyDescent="0.2">
      <c r="C16767" s="224"/>
      <c r="D16767" s="224"/>
      <c r="E16767" s="224"/>
      <c r="F16767" s="224"/>
      <c r="G16767" s="224"/>
      <c r="H16767" s="439"/>
      <c r="I16767" s="439"/>
      <c r="J16767" s="750" t="e">
        <f t="shared" si="198"/>
        <v>#DIV/0!</v>
      </c>
      <c r="K16767" s="439"/>
      <c r="L16767" s="439"/>
      <c r="M16767" s="682"/>
    </row>
    <row r="16768" spans="3:13" hidden="1" x14ac:dyDescent="0.2">
      <c r="C16768" s="224"/>
      <c r="D16768" s="224"/>
      <c r="E16768" s="224"/>
      <c r="F16768" s="224"/>
      <c r="G16768" s="224"/>
      <c r="H16768" s="439"/>
      <c r="I16768" s="439"/>
      <c r="J16768" s="750" t="e">
        <f t="shared" si="198"/>
        <v>#DIV/0!</v>
      </c>
      <c r="K16768" s="439"/>
      <c r="L16768" s="439"/>
      <c r="M16768" s="682"/>
    </row>
    <row r="16769" spans="3:13" hidden="1" x14ac:dyDescent="0.2">
      <c r="C16769" s="224"/>
      <c r="D16769" s="224"/>
      <c r="E16769" s="224"/>
      <c r="F16769" s="224"/>
      <c r="G16769" s="224"/>
      <c r="H16769" s="439"/>
      <c r="I16769" s="439"/>
      <c r="J16769" s="750" t="e">
        <f t="shared" si="198"/>
        <v>#DIV/0!</v>
      </c>
      <c r="K16769" s="439"/>
      <c r="L16769" s="439"/>
      <c r="M16769" s="682"/>
    </row>
    <row r="16770" spans="3:13" hidden="1" x14ac:dyDescent="0.2">
      <c r="C16770" s="224"/>
      <c r="D16770" s="224"/>
      <c r="E16770" s="224"/>
      <c r="F16770" s="224"/>
      <c r="G16770" s="224"/>
      <c r="H16770" s="439"/>
      <c r="I16770" s="439"/>
      <c r="J16770" s="750" t="e">
        <f t="shared" si="198"/>
        <v>#DIV/0!</v>
      </c>
      <c r="K16770" s="439"/>
      <c r="L16770" s="439"/>
      <c r="M16770" s="682"/>
    </row>
    <row r="16771" spans="3:13" hidden="1" x14ac:dyDescent="0.2">
      <c r="C16771" s="224"/>
      <c r="D16771" s="224"/>
      <c r="E16771" s="224"/>
      <c r="F16771" s="224"/>
      <c r="G16771" s="224"/>
      <c r="H16771" s="439"/>
      <c r="I16771" s="439"/>
      <c r="J16771" s="750" t="e">
        <f t="shared" si="198"/>
        <v>#DIV/0!</v>
      </c>
      <c r="K16771" s="439"/>
      <c r="L16771" s="439"/>
      <c r="M16771" s="682"/>
    </row>
    <row r="16772" spans="3:13" hidden="1" x14ac:dyDescent="0.2">
      <c r="C16772" s="224"/>
      <c r="D16772" s="224"/>
      <c r="E16772" s="224"/>
      <c r="F16772" s="224"/>
      <c r="G16772" s="224"/>
      <c r="H16772" s="439"/>
      <c r="I16772" s="439"/>
      <c r="J16772" s="750" t="e">
        <f t="shared" si="198"/>
        <v>#DIV/0!</v>
      </c>
      <c r="K16772" s="439"/>
      <c r="L16772" s="439"/>
      <c r="M16772" s="682"/>
    </row>
    <row r="16773" spans="3:13" hidden="1" x14ac:dyDescent="0.2">
      <c r="C16773" s="224"/>
      <c r="D16773" s="224"/>
      <c r="E16773" s="224"/>
      <c r="F16773" s="224"/>
      <c r="G16773" s="224"/>
      <c r="H16773" s="439"/>
      <c r="I16773" s="439"/>
      <c r="J16773" s="750" t="e">
        <f t="shared" si="198"/>
        <v>#DIV/0!</v>
      </c>
      <c r="K16773" s="439"/>
      <c r="L16773" s="439"/>
      <c r="M16773" s="682"/>
    </row>
    <row r="16774" spans="3:13" hidden="1" x14ac:dyDescent="0.2">
      <c r="C16774" s="224"/>
      <c r="D16774" s="224"/>
      <c r="E16774" s="224"/>
      <c r="F16774" s="224"/>
      <c r="G16774" s="224"/>
      <c r="H16774" s="439"/>
      <c r="I16774" s="439"/>
      <c r="J16774" s="750" t="e">
        <f t="shared" si="198"/>
        <v>#DIV/0!</v>
      </c>
      <c r="K16774" s="439"/>
      <c r="L16774" s="439"/>
      <c r="M16774" s="682"/>
    </row>
    <row r="16775" spans="3:13" hidden="1" x14ac:dyDescent="0.2">
      <c r="C16775" s="224"/>
      <c r="D16775" s="224"/>
      <c r="E16775" s="224"/>
      <c r="F16775" s="224"/>
      <c r="G16775" s="224"/>
      <c r="H16775" s="439"/>
      <c r="I16775" s="439"/>
      <c r="J16775" s="750" t="e">
        <f t="shared" si="198"/>
        <v>#DIV/0!</v>
      </c>
      <c r="K16775" s="439"/>
      <c r="L16775" s="439"/>
      <c r="M16775" s="682"/>
    </row>
    <row r="16776" spans="3:13" hidden="1" x14ac:dyDescent="0.2">
      <c r="C16776" s="224"/>
      <c r="D16776" s="224"/>
      <c r="E16776" s="224"/>
      <c r="F16776" s="224"/>
      <c r="G16776" s="224"/>
      <c r="H16776" s="439"/>
      <c r="I16776" s="439"/>
      <c r="J16776" s="750" t="e">
        <f t="shared" si="198"/>
        <v>#DIV/0!</v>
      </c>
      <c r="K16776" s="439"/>
      <c r="L16776" s="439"/>
      <c r="M16776" s="682"/>
    </row>
    <row r="16777" spans="3:13" hidden="1" x14ac:dyDescent="0.2">
      <c r="C16777" s="224"/>
      <c r="D16777" s="224"/>
      <c r="E16777" s="224"/>
      <c r="F16777" s="224"/>
      <c r="G16777" s="224"/>
      <c r="H16777" s="439"/>
      <c r="I16777" s="439"/>
      <c r="J16777" s="750" t="e">
        <f t="shared" si="198"/>
        <v>#DIV/0!</v>
      </c>
      <c r="K16777" s="439"/>
      <c r="L16777" s="439"/>
      <c r="M16777" s="682"/>
    </row>
    <row r="16778" spans="3:13" hidden="1" x14ac:dyDescent="0.2">
      <c r="C16778" s="224"/>
      <c r="D16778" s="224"/>
      <c r="E16778" s="224"/>
      <c r="F16778" s="224"/>
      <c r="G16778" s="224"/>
      <c r="H16778" s="439"/>
      <c r="I16778" s="439"/>
      <c r="J16778" s="750" t="e">
        <f t="shared" si="198"/>
        <v>#DIV/0!</v>
      </c>
      <c r="K16778" s="439"/>
      <c r="L16778" s="439"/>
      <c r="M16778" s="682"/>
    </row>
    <row r="16779" spans="3:13" hidden="1" x14ac:dyDescent="0.2">
      <c r="C16779" s="224"/>
      <c r="D16779" s="224"/>
      <c r="E16779" s="224"/>
      <c r="F16779" s="224"/>
      <c r="G16779" s="224"/>
      <c r="H16779" s="439"/>
      <c r="I16779" s="439"/>
      <c r="J16779" s="750" t="e">
        <f t="shared" si="198"/>
        <v>#DIV/0!</v>
      </c>
      <c r="K16779" s="439"/>
      <c r="L16779" s="439"/>
      <c r="M16779" s="682"/>
    </row>
    <row r="16780" spans="3:13" hidden="1" x14ac:dyDescent="0.2">
      <c r="C16780" s="224"/>
      <c r="D16780" s="224"/>
      <c r="E16780" s="224"/>
      <c r="F16780" s="224"/>
      <c r="G16780" s="224"/>
      <c r="H16780" s="439"/>
      <c r="I16780" s="439"/>
      <c r="J16780" s="750" t="e">
        <f t="shared" si="198"/>
        <v>#DIV/0!</v>
      </c>
      <c r="K16780" s="439"/>
      <c r="L16780" s="439"/>
      <c r="M16780" s="682"/>
    </row>
    <row r="16781" spans="3:13" hidden="1" x14ac:dyDescent="0.2">
      <c r="C16781" s="224"/>
      <c r="D16781" s="224"/>
      <c r="E16781" s="224"/>
      <c r="F16781" s="224"/>
      <c r="G16781" s="224"/>
      <c r="H16781" s="439"/>
      <c r="I16781" s="439"/>
      <c r="J16781" s="750" t="e">
        <f t="shared" si="198"/>
        <v>#DIV/0!</v>
      </c>
      <c r="K16781" s="439"/>
      <c r="L16781" s="439"/>
      <c r="M16781" s="682"/>
    </row>
    <row r="16782" spans="3:13" hidden="1" x14ac:dyDescent="0.2">
      <c r="C16782" s="224"/>
      <c r="D16782" s="224"/>
      <c r="E16782" s="224"/>
      <c r="F16782" s="224"/>
      <c r="G16782" s="224"/>
      <c r="H16782" s="439"/>
      <c r="I16782" s="439"/>
      <c r="J16782" s="750" t="e">
        <f t="shared" ref="J16782:J16845" si="199">SUM(I16782/H16782)*100</f>
        <v>#DIV/0!</v>
      </c>
      <c r="K16782" s="439"/>
      <c r="L16782" s="439"/>
      <c r="M16782" s="682"/>
    </row>
    <row r="16783" spans="3:13" hidden="1" x14ac:dyDescent="0.2">
      <c r="C16783" s="224"/>
      <c r="D16783" s="224"/>
      <c r="E16783" s="224"/>
      <c r="F16783" s="224"/>
      <c r="G16783" s="224"/>
      <c r="H16783" s="439"/>
      <c r="I16783" s="439"/>
      <c r="J16783" s="750" t="e">
        <f t="shared" si="199"/>
        <v>#DIV/0!</v>
      </c>
      <c r="K16783" s="439"/>
      <c r="L16783" s="439"/>
      <c r="M16783" s="682"/>
    </row>
    <row r="16784" spans="3:13" hidden="1" x14ac:dyDescent="0.2">
      <c r="C16784" s="224"/>
      <c r="D16784" s="224"/>
      <c r="E16784" s="224"/>
      <c r="F16784" s="224"/>
      <c r="G16784" s="224"/>
      <c r="H16784" s="439"/>
      <c r="I16784" s="439"/>
      <c r="J16784" s="750" t="e">
        <f t="shared" si="199"/>
        <v>#DIV/0!</v>
      </c>
      <c r="K16784" s="439"/>
      <c r="L16784" s="439"/>
      <c r="M16784" s="682"/>
    </row>
    <row r="16785" spans="3:13" hidden="1" x14ac:dyDescent="0.2">
      <c r="C16785" s="224"/>
      <c r="D16785" s="224"/>
      <c r="E16785" s="224"/>
      <c r="F16785" s="224"/>
      <c r="G16785" s="224"/>
      <c r="H16785" s="439"/>
      <c r="I16785" s="439"/>
      <c r="J16785" s="750" t="e">
        <f t="shared" si="199"/>
        <v>#DIV/0!</v>
      </c>
      <c r="K16785" s="439"/>
      <c r="L16785" s="439"/>
      <c r="M16785" s="682"/>
    </row>
    <row r="16786" spans="3:13" hidden="1" x14ac:dyDescent="0.2">
      <c r="C16786" s="224"/>
      <c r="D16786" s="224"/>
      <c r="E16786" s="224"/>
      <c r="F16786" s="224"/>
      <c r="G16786" s="224"/>
      <c r="H16786" s="439"/>
      <c r="I16786" s="439"/>
      <c r="J16786" s="750" t="e">
        <f t="shared" si="199"/>
        <v>#DIV/0!</v>
      </c>
      <c r="K16786" s="439"/>
      <c r="L16786" s="439"/>
      <c r="M16786" s="682"/>
    </row>
    <row r="16787" spans="3:13" hidden="1" x14ac:dyDescent="0.2">
      <c r="C16787" s="224"/>
      <c r="D16787" s="224"/>
      <c r="E16787" s="224"/>
      <c r="F16787" s="224"/>
      <c r="G16787" s="224"/>
      <c r="H16787" s="439"/>
      <c r="I16787" s="439"/>
      <c r="J16787" s="750" t="e">
        <f t="shared" si="199"/>
        <v>#DIV/0!</v>
      </c>
      <c r="K16787" s="439"/>
      <c r="L16787" s="439"/>
      <c r="M16787" s="682"/>
    </row>
    <row r="16788" spans="3:13" hidden="1" x14ac:dyDescent="0.2">
      <c r="C16788" s="224"/>
      <c r="D16788" s="224"/>
      <c r="E16788" s="224"/>
      <c r="F16788" s="224"/>
      <c r="G16788" s="224"/>
      <c r="H16788" s="439"/>
      <c r="I16788" s="439"/>
      <c r="J16788" s="750" t="e">
        <f t="shared" si="199"/>
        <v>#DIV/0!</v>
      </c>
      <c r="K16788" s="439"/>
      <c r="L16788" s="439"/>
      <c r="M16788" s="682"/>
    </row>
    <row r="16789" spans="3:13" hidden="1" x14ac:dyDescent="0.2">
      <c r="C16789" s="224"/>
      <c r="D16789" s="224"/>
      <c r="E16789" s="224"/>
      <c r="F16789" s="224"/>
      <c r="G16789" s="224"/>
      <c r="H16789" s="439"/>
      <c r="I16789" s="439"/>
      <c r="J16789" s="750" t="e">
        <f t="shared" si="199"/>
        <v>#DIV/0!</v>
      </c>
      <c r="K16789" s="439"/>
      <c r="L16789" s="439"/>
      <c r="M16789" s="682"/>
    </row>
    <row r="16790" spans="3:13" hidden="1" x14ac:dyDescent="0.2">
      <c r="C16790" s="224"/>
      <c r="D16790" s="224"/>
      <c r="E16790" s="224"/>
      <c r="F16790" s="224"/>
      <c r="G16790" s="224"/>
      <c r="H16790" s="439"/>
      <c r="I16790" s="439"/>
      <c r="J16790" s="750" t="e">
        <f t="shared" si="199"/>
        <v>#DIV/0!</v>
      </c>
      <c r="K16790" s="439"/>
      <c r="L16790" s="439"/>
      <c r="M16790" s="682"/>
    </row>
    <row r="16791" spans="3:13" hidden="1" x14ac:dyDescent="0.2">
      <c r="C16791" s="224"/>
      <c r="D16791" s="224"/>
      <c r="E16791" s="224"/>
      <c r="F16791" s="224"/>
      <c r="G16791" s="224"/>
      <c r="H16791" s="439"/>
      <c r="I16791" s="439"/>
      <c r="J16791" s="750" t="e">
        <f t="shared" si="199"/>
        <v>#DIV/0!</v>
      </c>
      <c r="K16791" s="439"/>
      <c r="L16791" s="439"/>
      <c r="M16791" s="682"/>
    </row>
    <row r="16792" spans="3:13" hidden="1" x14ac:dyDescent="0.2">
      <c r="C16792" s="224"/>
      <c r="D16792" s="224"/>
      <c r="E16792" s="224"/>
      <c r="F16792" s="224"/>
      <c r="G16792" s="224"/>
      <c r="H16792" s="439"/>
      <c r="I16792" s="439"/>
      <c r="J16792" s="750" t="e">
        <f t="shared" si="199"/>
        <v>#DIV/0!</v>
      </c>
      <c r="K16792" s="439"/>
      <c r="L16792" s="439"/>
      <c r="M16792" s="682"/>
    </row>
    <row r="16793" spans="3:13" hidden="1" x14ac:dyDescent="0.2">
      <c r="C16793" s="224"/>
      <c r="D16793" s="224"/>
      <c r="E16793" s="224"/>
      <c r="F16793" s="224"/>
      <c r="G16793" s="224"/>
      <c r="H16793" s="439"/>
      <c r="I16793" s="439"/>
      <c r="J16793" s="750" t="e">
        <f t="shared" si="199"/>
        <v>#DIV/0!</v>
      </c>
      <c r="K16793" s="439"/>
      <c r="L16793" s="439"/>
      <c r="M16793" s="682"/>
    </row>
    <row r="16794" spans="3:13" hidden="1" x14ac:dyDescent="0.2">
      <c r="C16794" s="224"/>
      <c r="D16794" s="224"/>
      <c r="E16794" s="224"/>
      <c r="F16794" s="224"/>
      <c r="G16794" s="224"/>
      <c r="H16794" s="439"/>
      <c r="I16794" s="439"/>
      <c r="J16794" s="750" t="e">
        <f t="shared" si="199"/>
        <v>#DIV/0!</v>
      </c>
      <c r="K16794" s="439"/>
      <c r="L16794" s="439"/>
      <c r="M16794" s="682"/>
    </row>
    <row r="16795" spans="3:13" hidden="1" x14ac:dyDescent="0.2">
      <c r="C16795" s="224"/>
      <c r="D16795" s="224"/>
      <c r="E16795" s="224"/>
      <c r="F16795" s="224"/>
      <c r="G16795" s="224"/>
      <c r="H16795" s="439"/>
      <c r="I16795" s="439"/>
      <c r="J16795" s="750" t="e">
        <f t="shared" si="199"/>
        <v>#DIV/0!</v>
      </c>
      <c r="K16795" s="439"/>
      <c r="L16795" s="439"/>
      <c r="M16795" s="682"/>
    </row>
    <row r="16796" spans="3:13" hidden="1" x14ac:dyDescent="0.2">
      <c r="C16796" s="224"/>
      <c r="D16796" s="224"/>
      <c r="E16796" s="224"/>
      <c r="F16796" s="224"/>
      <c r="G16796" s="224"/>
      <c r="H16796" s="439"/>
      <c r="I16796" s="439"/>
      <c r="J16796" s="750" t="e">
        <f t="shared" si="199"/>
        <v>#DIV/0!</v>
      </c>
      <c r="K16796" s="439"/>
      <c r="L16796" s="439"/>
      <c r="M16796" s="682"/>
    </row>
    <row r="16797" spans="3:13" hidden="1" x14ac:dyDescent="0.2">
      <c r="C16797" s="224"/>
      <c r="D16797" s="224"/>
      <c r="E16797" s="224"/>
      <c r="F16797" s="224"/>
      <c r="G16797" s="224"/>
      <c r="H16797" s="439"/>
      <c r="I16797" s="439"/>
      <c r="J16797" s="750" t="e">
        <f t="shared" si="199"/>
        <v>#DIV/0!</v>
      </c>
      <c r="K16797" s="439"/>
      <c r="L16797" s="439"/>
      <c r="M16797" s="682"/>
    </row>
    <row r="16798" spans="3:13" hidden="1" x14ac:dyDescent="0.2">
      <c r="C16798" s="224"/>
      <c r="D16798" s="224"/>
      <c r="E16798" s="224"/>
      <c r="F16798" s="224"/>
      <c r="G16798" s="224"/>
      <c r="H16798" s="439"/>
      <c r="I16798" s="439"/>
      <c r="J16798" s="750" t="e">
        <f t="shared" si="199"/>
        <v>#DIV/0!</v>
      </c>
      <c r="K16798" s="439"/>
      <c r="L16798" s="439"/>
      <c r="M16798" s="682"/>
    </row>
    <row r="16799" spans="3:13" hidden="1" x14ac:dyDescent="0.2">
      <c r="C16799" s="224"/>
      <c r="D16799" s="224"/>
      <c r="E16799" s="224"/>
      <c r="F16799" s="224"/>
      <c r="G16799" s="224"/>
      <c r="H16799" s="439"/>
      <c r="I16799" s="439"/>
      <c r="J16799" s="750" t="e">
        <f t="shared" si="199"/>
        <v>#DIV/0!</v>
      </c>
      <c r="K16799" s="439"/>
      <c r="L16799" s="439"/>
      <c r="M16799" s="682"/>
    </row>
    <row r="16800" spans="3:13" hidden="1" x14ac:dyDescent="0.2">
      <c r="C16800" s="224"/>
      <c r="D16800" s="224"/>
      <c r="E16800" s="224"/>
      <c r="F16800" s="224"/>
      <c r="G16800" s="224"/>
      <c r="H16800" s="439"/>
      <c r="I16800" s="439"/>
      <c r="J16800" s="750" t="e">
        <f t="shared" si="199"/>
        <v>#DIV/0!</v>
      </c>
      <c r="K16800" s="439"/>
      <c r="L16800" s="439"/>
      <c r="M16800" s="682"/>
    </row>
    <row r="16801" spans="3:13" hidden="1" x14ac:dyDescent="0.2">
      <c r="C16801" s="224"/>
      <c r="D16801" s="224"/>
      <c r="E16801" s="224"/>
      <c r="F16801" s="224"/>
      <c r="G16801" s="224"/>
      <c r="H16801" s="439"/>
      <c r="I16801" s="439"/>
      <c r="J16801" s="750" t="e">
        <f t="shared" si="199"/>
        <v>#DIV/0!</v>
      </c>
      <c r="K16801" s="439"/>
      <c r="L16801" s="439"/>
      <c r="M16801" s="682"/>
    </row>
    <row r="16802" spans="3:13" hidden="1" x14ac:dyDescent="0.2">
      <c r="C16802" s="224"/>
      <c r="D16802" s="224"/>
      <c r="E16802" s="224"/>
      <c r="F16802" s="224"/>
      <c r="G16802" s="224"/>
      <c r="H16802" s="439"/>
      <c r="I16802" s="439"/>
      <c r="J16802" s="750" t="e">
        <f t="shared" si="199"/>
        <v>#DIV/0!</v>
      </c>
      <c r="K16802" s="439"/>
      <c r="L16802" s="439"/>
      <c r="M16802" s="682"/>
    </row>
    <row r="16803" spans="3:13" hidden="1" x14ac:dyDescent="0.2">
      <c r="C16803" s="224"/>
      <c r="D16803" s="224"/>
      <c r="E16803" s="224"/>
      <c r="F16803" s="224"/>
      <c r="G16803" s="224"/>
      <c r="H16803" s="439"/>
      <c r="I16803" s="439"/>
      <c r="J16803" s="750" t="e">
        <f t="shared" si="199"/>
        <v>#DIV/0!</v>
      </c>
      <c r="K16803" s="439"/>
      <c r="L16803" s="439"/>
      <c r="M16803" s="682"/>
    </row>
    <row r="16804" spans="3:13" hidden="1" x14ac:dyDescent="0.2">
      <c r="C16804" s="224"/>
      <c r="D16804" s="224"/>
      <c r="E16804" s="224"/>
      <c r="F16804" s="224"/>
      <c r="G16804" s="224"/>
      <c r="H16804" s="439"/>
      <c r="I16804" s="439"/>
      <c r="J16804" s="750" t="e">
        <f t="shared" si="199"/>
        <v>#DIV/0!</v>
      </c>
      <c r="K16804" s="439"/>
      <c r="L16804" s="439"/>
      <c r="M16804" s="682"/>
    </row>
    <row r="16805" spans="3:13" hidden="1" x14ac:dyDescent="0.2">
      <c r="C16805" s="224"/>
      <c r="D16805" s="224"/>
      <c r="E16805" s="224"/>
      <c r="F16805" s="224"/>
      <c r="G16805" s="224"/>
      <c r="H16805" s="439"/>
      <c r="I16805" s="439"/>
      <c r="J16805" s="750" t="e">
        <f t="shared" si="199"/>
        <v>#DIV/0!</v>
      </c>
      <c r="K16805" s="439"/>
      <c r="L16805" s="439"/>
      <c r="M16805" s="682"/>
    </row>
    <row r="16806" spans="3:13" hidden="1" x14ac:dyDescent="0.2">
      <c r="C16806" s="224"/>
      <c r="D16806" s="224"/>
      <c r="E16806" s="224"/>
      <c r="F16806" s="224"/>
      <c r="G16806" s="224"/>
      <c r="H16806" s="439"/>
      <c r="I16806" s="439"/>
      <c r="J16806" s="750" t="e">
        <f t="shared" si="199"/>
        <v>#DIV/0!</v>
      </c>
      <c r="K16806" s="439"/>
      <c r="L16806" s="439"/>
      <c r="M16806" s="682"/>
    </row>
    <row r="16807" spans="3:13" hidden="1" x14ac:dyDescent="0.2">
      <c r="C16807" s="224"/>
      <c r="D16807" s="224"/>
      <c r="E16807" s="224"/>
      <c r="F16807" s="224"/>
      <c r="G16807" s="224"/>
      <c r="H16807" s="439"/>
      <c r="I16807" s="439"/>
      <c r="J16807" s="750" t="e">
        <f t="shared" si="199"/>
        <v>#DIV/0!</v>
      </c>
      <c r="K16807" s="439"/>
      <c r="L16807" s="439"/>
      <c r="M16807" s="682"/>
    </row>
    <row r="16808" spans="3:13" hidden="1" x14ac:dyDescent="0.2">
      <c r="C16808" s="224"/>
      <c r="D16808" s="224"/>
      <c r="E16808" s="224"/>
      <c r="F16808" s="224"/>
      <c r="G16808" s="224"/>
      <c r="H16808" s="439"/>
      <c r="I16808" s="439"/>
      <c r="J16808" s="750" t="e">
        <f t="shared" si="199"/>
        <v>#DIV/0!</v>
      </c>
      <c r="K16808" s="439"/>
      <c r="L16808" s="439"/>
      <c r="M16808" s="682"/>
    </row>
    <row r="16809" spans="3:13" hidden="1" x14ac:dyDescent="0.2">
      <c r="C16809" s="224"/>
      <c r="D16809" s="224"/>
      <c r="E16809" s="224"/>
      <c r="F16809" s="224"/>
      <c r="G16809" s="224"/>
      <c r="H16809" s="439"/>
      <c r="I16809" s="439"/>
      <c r="J16809" s="750" t="e">
        <f t="shared" si="199"/>
        <v>#DIV/0!</v>
      </c>
      <c r="K16809" s="439"/>
      <c r="L16809" s="439"/>
      <c r="M16809" s="682"/>
    </row>
    <row r="16810" spans="3:13" hidden="1" x14ac:dyDescent="0.2">
      <c r="C16810" s="224"/>
      <c r="D16810" s="224"/>
      <c r="E16810" s="224"/>
      <c r="F16810" s="224"/>
      <c r="G16810" s="224"/>
      <c r="H16810" s="439"/>
      <c r="I16810" s="439"/>
      <c r="J16810" s="750" t="e">
        <f t="shared" si="199"/>
        <v>#DIV/0!</v>
      </c>
      <c r="K16810" s="439"/>
      <c r="L16810" s="439"/>
      <c r="M16810" s="682"/>
    </row>
    <row r="16811" spans="3:13" hidden="1" x14ac:dyDescent="0.2">
      <c r="C16811" s="224"/>
      <c r="D16811" s="224"/>
      <c r="E16811" s="224"/>
      <c r="F16811" s="224"/>
      <c r="G16811" s="224"/>
      <c r="H16811" s="439"/>
      <c r="I16811" s="439"/>
      <c r="J16811" s="750" t="e">
        <f t="shared" si="199"/>
        <v>#DIV/0!</v>
      </c>
      <c r="K16811" s="439"/>
      <c r="L16811" s="439"/>
      <c r="M16811" s="682"/>
    </row>
    <row r="16812" spans="3:13" hidden="1" x14ac:dyDescent="0.2">
      <c r="C16812" s="224"/>
      <c r="D16812" s="224"/>
      <c r="E16812" s="224"/>
      <c r="F16812" s="224"/>
      <c r="G16812" s="224"/>
      <c r="H16812" s="439"/>
      <c r="I16812" s="439"/>
      <c r="J16812" s="750" t="e">
        <f t="shared" si="199"/>
        <v>#DIV/0!</v>
      </c>
      <c r="K16812" s="439"/>
      <c r="L16812" s="439"/>
      <c r="M16812" s="682"/>
    </row>
    <row r="16813" spans="3:13" hidden="1" x14ac:dyDescent="0.2">
      <c r="C16813" s="224"/>
      <c r="D16813" s="224"/>
      <c r="E16813" s="224"/>
      <c r="F16813" s="224"/>
      <c r="G16813" s="224"/>
      <c r="H16813" s="439"/>
      <c r="I16813" s="439"/>
      <c r="J16813" s="750" t="e">
        <f t="shared" si="199"/>
        <v>#DIV/0!</v>
      </c>
      <c r="K16813" s="439"/>
      <c r="L16813" s="439"/>
      <c r="M16813" s="682"/>
    </row>
    <row r="16814" spans="3:13" hidden="1" x14ac:dyDescent="0.2">
      <c r="C16814" s="224"/>
      <c r="D16814" s="224"/>
      <c r="E16814" s="224"/>
      <c r="F16814" s="224"/>
      <c r="G16814" s="224"/>
      <c r="H16814" s="439"/>
      <c r="I16814" s="439"/>
      <c r="J16814" s="750" t="e">
        <f t="shared" si="199"/>
        <v>#DIV/0!</v>
      </c>
      <c r="K16814" s="439"/>
      <c r="L16814" s="439"/>
      <c r="M16814" s="682"/>
    </row>
    <row r="16815" spans="3:13" hidden="1" x14ac:dyDescent="0.2">
      <c r="C16815" s="224"/>
      <c r="D16815" s="224"/>
      <c r="E16815" s="224"/>
      <c r="F16815" s="224"/>
      <c r="G16815" s="224"/>
      <c r="H16815" s="439"/>
      <c r="I16815" s="439"/>
      <c r="J16815" s="750" t="e">
        <f t="shared" si="199"/>
        <v>#DIV/0!</v>
      </c>
      <c r="K16815" s="439"/>
      <c r="L16815" s="439"/>
      <c r="M16815" s="682"/>
    </row>
    <row r="16816" spans="3:13" hidden="1" x14ac:dyDescent="0.2">
      <c r="C16816" s="224"/>
      <c r="D16816" s="224"/>
      <c r="E16816" s="224"/>
      <c r="F16816" s="224"/>
      <c r="G16816" s="224"/>
      <c r="H16816" s="439"/>
      <c r="I16816" s="439"/>
      <c r="J16816" s="750" t="e">
        <f t="shared" si="199"/>
        <v>#DIV/0!</v>
      </c>
      <c r="K16816" s="439"/>
      <c r="L16816" s="439"/>
      <c r="M16816" s="682"/>
    </row>
    <row r="16817" spans="3:13" hidden="1" x14ac:dyDescent="0.2">
      <c r="C16817" s="224"/>
      <c r="D16817" s="224"/>
      <c r="E16817" s="224"/>
      <c r="F16817" s="224"/>
      <c r="G16817" s="224"/>
      <c r="H16817" s="439"/>
      <c r="I16817" s="439"/>
      <c r="J16817" s="750" t="e">
        <f t="shared" si="199"/>
        <v>#DIV/0!</v>
      </c>
      <c r="K16817" s="439"/>
      <c r="L16817" s="439"/>
      <c r="M16817" s="682"/>
    </row>
    <row r="16818" spans="3:13" hidden="1" x14ac:dyDescent="0.2">
      <c r="C16818" s="224"/>
      <c r="D16818" s="224"/>
      <c r="E16818" s="224"/>
      <c r="F16818" s="224"/>
      <c r="G16818" s="224"/>
      <c r="H16818" s="439"/>
      <c r="I16818" s="439"/>
      <c r="J16818" s="750" t="e">
        <f t="shared" si="199"/>
        <v>#DIV/0!</v>
      </c>
      <c r="K16818" s="439"/>
      <c r="L16818" s="439"/>
      <c r="M16818" s="682"/>
    </row>
    <row r="16819" spans="3:13" hidden="1" x14ac:dyDescent="0.2">
      <c r="C16819" s="224"/>
      <c r="D16819" s="224"/>
      <c r="E16819" s="224"/>
      <c r="F16819" s="224"/>
      <c r="G16819" s="224"/>
      <c r="H16819" s="439"/>
      <c r="I16819" s="439"/>
      <c r="J16819" s="750" t="e">
        <f t="shared" si="199"/>
        <v>#DIV/0!</v>
      </c>
      <c r="K16819" s="439"/>
      <c r="L16819" s="439"/>
      <c r="M16819" s="682"/>
    </row>
    <row r="16820" spans="3:13" hidden="1" x14ac:dyDescent="0.2">
      <c r="C16820" s="224"/>
      <c r="D16820" s="224"/>
      <c r="E16820" s="224"/>
      <c r="F16820" s="224"/>
      <c r="G16820" s="224"/>
      <c r="H16820" s="439"/>
      <c r="I16820" s="439"/>
      <c r="J16820" s="750" t="e">
        <f t="shared" si="199"/>
        <v>#DIV/0!</v>
      </c>
      <c r="K16820" s="439"/>
      <c r="L16820" s="439"/>
      <c r="M16820" s="682"/>
    </row>
    <row r="16821" spans="3:13" hidden="1" x14ac:dyDescent="0.2">
      <c r="C16821" s="224"/>
      <c r="D16821" s="224"/>
      <c r="E16821" s="224"/>
      <c r="F16821" s="224"/>
      <c r="G16821" s="224"/>
      <c r="H16821" s="439"/>
      <c r="I16821" s="439"/>
      <c r="J16821" s="750" t="e">
        <f t="shared" si="199"/>
        <v>#DIV/0!</v>
      </c>
      <c r="K16821" s="439"/>
      <c r="L16821" s="439"/>
      <c r="M16821" s="682"/>
    </row>
    <row r="16822" spans="3:13" hidden="1" x14ac:dyDescent="0.2">
      <c r="C16822" s="224"/>
      <c r="D16822" s="224"/>
      <c r="E16822" s="224"/>
      <c r="F16822" s="224"/>
      <c r="G16822" s="224"/>
      <c r="H16822" s="439"/>
      <c r="I16822" s="439"/>
      <c r="J16822" s="750" t="e">
        <f t="shared" si="199"/>
        <v>#DIV/0!</v>
      </c>
      <c r="K16822" s="439"/>
      <c r="L16822" s="439"/>
      <c r="M16822" s="682"/>
    </row>
    <row r="16823" spans="3:13" hidden="1" x14ac:dyDescent="0.2">
      <c r="C16823" s="224"/>
      <c r="D16823" s="224"/>
      <c r="E16823" s="224"/>
      <c r="F16823" s="224"/>
      <c r="G16823" s="224"/>
      <c r="H16823" s="439"/>
      <c r="I16823" s="439"/>
      <c r="J16823" s="750" t="e">
        <f t="shared" si="199"/>
        <v>#DIV/0!</v>
      </c>
      <c r="K16823" s="439"/>
      <c r="L16823" s="439"/>
      <c r="M16823" s="682"/>
    </row>
    <row r="16824" spans="3:13" hidden="1" x14ac:dyDescent="0.2">
      <c r="C16824" s="224"/>
      <c r="D16824" s="224"/>
      <c r="E16824" s="224"/>
      <c r="F16824" s="224"/>
      <c r="G16824" s="224"/>
      <c r="H16824" s="439"/>
      <c r="I16824" s="439"/>
      <c r="J16824" s="750" t="e">
        <f t="shared" si="199"/>
        <v>#DIV/0!</v>
      </c>
      <c r="K16824" s="439"/>
      <c r="L16824" s="439"/>
      <c r="M16824" s="682"/>
    </row>
    <row r="16825" spans="3:13" hidden="1" x14ac:dyDescent="0.2">
      <c r="C16825" s="224"/>
      <c r="D16825" s="224"/>
      <c r="E16825" s="224"/>
      <c r="F16825" s="224"/>
      <c r="G16825" s="224"/>
      <c r="H16825" s="439"/>
      <c r="I16825" s="439"/>
      <c r="J16825" s="750" t="e">
        <f t="shared" si="199"/>
        <v>#DIV/0!</v>
      </c>
      <c r="K16825" s="439"/>
      <c r="L16825" s="439"/>
      <c r="M16825" s="682"/>
    </row>
    <row r="16826" spans="3:13" hidden="1" x14ac:dyDescent="0.2">
      <c r="C16826" s="224"/>
      <c r="D16826" s="224"/>
      <c r="E16826" s="224"/>
      <c r="F16826" s="224"/>
      <c r="G16826" s="224"/>
      <c r="H16826" s="439"/>
      <c r="I16826" s="439"/>
      <c r="J16826" s="750" t="e">
        <f t="shared" si="199"/>
        <v>#DIV/0!</v>
      </c>
      <c r="K16826" s="439"/>
      <c r="L16826" s="439"/>
      <c r="M16826" s="682"/>
    </row>
    <row r="16827" spans="3:13" hidden="1" x14ac:dyDescent="0.2">
      <c r="C16827" s="224"/>
      <c r="D16827" s="224"/>
      <c r="E16827" s="224"/>
      <c r="F16827" s="224"/>
      <c r="G16827" s="224"/>
      <c r="H16827" s="439"/>
      <c r="I16827" s="439"/>
      <c r="J16827" s="750" t="e">
        <f t="shared" si="199"/>
        <v>#DIV/0!</v>
      </c>
      <c r="K16827" s="439"/>
      <c r="L16827" s="439"/>
      <c r="M16827" s="682"/>
    </row>
    <row r="16828" spans="3:13" hidden="1" x14ac:dyDescent="0.2">
      <c r="C16828" s="224"/>
      <c r="D16828" s="224"/>
      <c r="E16828" s="224"/>
      <c r="F16828" s="224"/>
      <c r="G16828" s="224"/>
      <c r="H16828" s="439"/>
      <c r="I16828" s="439"/>
      <c r="J16828" s="750" t="e">
        <f t="shared" si="199"/>
        <v>#DIV/0!</v>
      </c>
      <c r="K16828" s="439"/>
      <c r="L16828" s="439"/>
      <c r="M16828" s="682"/>
    </row>
    <row r="16829" spans="3:13" hidden="1" x14ac:dyDescent="0.2">
      <c r="C16829" s="224"/>
      <c r="D16829" s="224"/>
      <c r="E16829" s="224"/>
      <c r="F16829" s="224"/>
      <c r="G16829" s="224"/>
      <c r="H16829" s="439"/>
      <c r="I16829" s="439"/>
      <c r="J16829" s="750" t="e">
        <f t="shared" si="199"/>
        <v>#DIV/0!</v>
      </c>
      <c r="K16829" s="439"/>
      <c r="L16829" s="439"/>
      <c r="M16829" s="682"/>
    </row>
    <row r="16830" spans="3:13" hidden="1" x14ac:dyDescent="0.2">
      <c r="C16830" s="224"/>
      <c r="D16830" s="224"/>
      <c r="E16830" s="224"/>
      <c r="F16830" s="224"/>
      <c r="G16830" s="224"/>
      <c r="H16830" s="439"/>
      <c r="I16830" s="439"/>
      <c r="J16830" s="750" t="e">
        <f t="shared" si="199"/>
        <v>#DIV/0!</v>
      </c>
      <c r="K16830" s="439"/>
      <c r="L16830" s="439"/>
      <c r="M16830" s="682"/>
    </row>
    <row r="16831" spans="3:13" hidden="1" x14ac:dyDescent="0.2">
      <c r="C16831" s="224"/>
      <c r="D16831" s="224"/>
      <c r="E16831" s="224"/>
      <c r="F16831" s="224"/>
      <c r="G16831" s="224"/>
      <c r="H16831" s="439"/>
      <c r="I16831" s="439"/>
      <c r="J16831" s="750" t="e">
        <f t="shared" si="199"/>
        <v>#DIV/0!</v>
      </c>
      <c r="K16831" s="439"/>
      <c r="L16831" s="439"/>
      <c r="M16831" s="682"/>
    </row>
    <row r="16832" spans="3:13" hidden="1" x14ac:dyDescent="0.2">
      <c r="C16832" s="224"/>
      <c r="D16832" s="224"/>
      <c r="E16832" s="224"/>
      <c r="F16832" s="224"/>
      <c r="G16832" s="224"/>
      <c r="H16832" s="439"/>
      <c r="I16832" s="439"/>
      <c r="J16832" s="750" t="e">
        <f t="shared" si="199"/>
        <v>#DIV/0!</v>
      </c>
      <c r="K16832" s="439"/>
      <c r="L16832" s="439"/>
      <c r="M16832" s="682"/>
    </row>
    <row r="16833" spans="3:13" hidden="1" x14ac:dyDescent="0.2">
      <c r="C16833" s="224"/>
      <c r="D16833" s="224"/>
      <c r="E16833" s="224"/>
      <c r="F16833" s="224"/>
      <c r="G16833" s="224"/>
      <c r="H16833" s="439"/>
      <c r="I16833" s="439"/>
      <c r="J16833" s="750" t="e">
        <f t="shared" si="199"/>
        <v>#DIV/0!</v>
      </c>
      <c r="K16833" s="439"/>
      <c r="L16833" s="439"/>
      <c r="M16833" s="682"/>
    </row>
    <row r="16834" spans="3:13" hidden="1" x14ac:dyDescent="0.2">
      <c r="C16834" s="224"/>
      <c r="D16834" s="224"/>
      <c r="E16834" s="224"/>
      <c r="F16834" s="224"/>
      <c r="G16834" s="224"/>
      <c r="H16834" s="439"/>
      <c r="I16834" s="439"/>
      <c r="J16834" s="750" t="e">
        <f t="shared" si="199"/>
        <v>#DIV/0!</v>
      </c>
      <c r="K16834" s="439"/>
      <c r="L16834" s="439"/>
      <c r="M16834" s="682"/>
    </row>
    <row r="16835" spans="3:13" hidden="1" x14ac:dyDescent="0.2">
      <c r="C16835" s="224"/>
      <c r="D16835" s="224"/>
      <c r="E16835" s="224"/>
      <c r="F16835" s="224"/>
      <c r="G16835" s="224"/>
      <c r="H16835" s="439"/>
      <c r="I16835" s="439"/>
      <c r="J16835" s="750" t="e">
        <f t="shared" si="199"/>
        <v>#DIV/0!</v>
      </c>
      <c r="K16835" s="439"/>
      <c r="L16835" s="439"/>
      <c r="M16835" s="682"/>
    </row>
    <row r="16836" spans="3:13" hidden="1" x14ac:dyDescent="0.2">
      <c r="C16836" s="224"/>
      <c r="D16836" s="224"/>
      <c r="E16836" s="224"/>
      <c r="F16836" s="224"/>
      <c r="G16836" s="224"/>
      <c r="H16836" s="439"/>
      <c r="I16836" s="439"/>
      <c r="J16836" s="750" t="e">
        <f t="shared" si="199"/>
        <v>#DIV/0!</v>
      </c>
      <c r="K16836" s="439"/>
      <c r="L16836" s="439"/>
      <c r="M16836" s="682"/>
    </row>
    <row r="16837" spans="3:13" hidden="1" collapsed="1" x14ac:dyDescent="0.2">
      <c r="C16837" s="224"/>
      <c r="D16837" s="224"/>
      <c r="E16837" s="224"/>
      <c r="F16837" s="224"/>
      <c r="G16837" s="224"/>
      <c r="H16837" s="439"/>
      <c r="I16837" s="439"/>
      <c r="J16837" s="750" t="e">
        <f t="shared" si="199"/>
        <v>#DIV/0!</v>
      </c>
      <c r="K16837" s="439"/>
      <c r="L16837" s="439"/>
      <c r="M16837" s="682"/>
    </row>
    <row r="16838" spans="3:13" hidden="1" x14ac:dyDescent="0.2">
      <c r="C16838" s="224"/>
      <c r="D16838" s="224"/>
      <c r="E16838" s="224"/>
      <c r="F16838" s="224"/>
      <c r="G16838" s="224"/>
      <c r="H16838" s="439"/>
      <c r="I16838" s="439"/>
      <c r="J16838" s="750" t="e">
        <f t="shared" si="199"/>
        <v>#DIV/0!</v>
      </c>
      <c r="K16838" s="439"/>
      <c r="L16838" s="439"/>
      <c r="M16838" s="682"/>
    </row>
    <row r="16839" spans="3:13" hidden="1" x14ac:dyDescent="0.2">
      <c r="C16839" s="224"/>
      <c r="D16839" s="224"/>
      <c r="E16839" s="224"/>
      <c r="F16839" s="224"/>
      <c r="G16839" s="224"/>
      <c r="H16839" s="439"/>
      <c r="I16839" s="439"/>
      <c r="J16839" s="750" t="e">
        <f t="shared" si="199"/>
        <v>#DIV/0!</v>
      </c>
      <c r="K16839" s="439"/>
      <c r="L16839" s="439"/>
      <c r="M16839" s="682"/>
    </row>
    <row r="16840" spans="3:13" hidden="1" x14ac:dyDescent="0.2">
      <c r="C16840" s="224"/>
      <c r="D16840" s="224"/>
      <c r="E16840" s="224"/>
      <c r="F16840" s="224"/>
      <c r="G16840" s="224"/>
      <c r="H16840" s="439"/>
      <c r="I16840" s="439"/>
      <c r="J16840" s="750" t="e">
        <f t="shared" si="199"/>
        <v>#DIV/0!</v>
      </c>
      <c r="K16840" s="439"/>
      <c r="L16840" s="439"/>
      <c r="M16840" s="682"/>
    </row>
    <row r="16841" spans="3:13" hidden="1" x14ac:dyDescent="0.2">
      <c r="C16841" s="224"/>
      <c r="D16841" s="224"/>
      <c r="E16841" s="224"/>
      <c r="F16841" s="224"/>
      <c r="G16841" s="224"/>
      <c r="H16841" s="439"/>
      <c r="I16841" s="439"/>
      <c r="J16841" s="750" t="e">
        <f t="shared" si="199"/>
        <v>#DIV/0!</v>
      </c>
      <c r="K16841" s="439"/>
      <c r="L16841" s="439"/>
      <c r="M16841" s="682"/>
    </row>
    <row r="16842" spans="3:13" hidden="1" x14ac:dyDescent="0.2">
      <c r="C16842" s="224"/>
      <c r="D16842" s="224"/>
      <c r="E16842" s="224"/>
      <c r="F16842" s="224"/>
      <c r="G16842" s="224"/>
      <c r="H16842" s="439"/>
      <c r="I16842" s="439"/>
      <c r="J16842" s="750" t="e">
        <f t="shared" si="199"/>
        <v>#DIV/0!</v>
      </c>
      <c r="K16842" s="439"/>
      <c r="L16842" s="439"/>
      <c r="M16842" s="682"/>
    </row>
    <row r="16843" spans="3:13" hidden="1" x14ac:dyDescent="0.2">
      <c r="C16843" s="224"/>
      <c r="D16843" s="224"/>
      <c r="E16843" s="224"/>
      <c r="F16843" s="224"/>
      <c r="G16843" s="224"/>
      <c r="H16843" s="439"/>
      <c r="I16843" s="439"/>
      <c r="J16843" s="750" t="e">
        <f t="shared" si="199"/>
        <v>#DIV/0!</v>
      </c>
      <c r="K16843" s="439"/>
      <c r="L16843" s="439"/>
      <c r="M16843" s="682"/>
    </row>
    <row r="16844" spans="3:13" hidden="1" x14ac:dyDescent="0.2">
      <c r="C16844" s="224"/>
      <c r="D16844" s="224"/>
      <c r="E16844" s="224"/>
      <c r="F16844" s="224"/>
      <c r="G16844" s="224"/>
      <c r="H16844" s="439"/>
      <c r="I16844" s="439"/>
      <c r="J16844" s="750" t="e">
        <f t="shared" si="199"/>
        <v>#DIV/0!</v>
      </c>
      <c r="K16844" s="439"/>
      <c r="L16844" s="439"/>
      <c r="M16844" s="682"/>
    </row>
    <row r="16845" spans="3:13" hidden="1" x14ac:dyDescent="0.2">
      <c r="C16845" s="224"/>
      <c r="D16845" s="224"/>
      <c r="E16845" s="224"/>
      <c r="F16845" s="224"/>
      <c r="G16845" s="224"/>
      <c r="H16845" s="439"/>
      <c r="I16845" s="439"/>
      <c r="J16845" s="750" t="e">
        <f t="shared" si="199"/>
        <v>#DIV/0!</v>
      </c>
      <c r="K16845" s="439"/>
      <c r="L16845" s="439"/>
      <c r="M16845" s="682"/>
    </row>
    <row r="16846" spans="3:13" hidden="1" x14ac:dyDescent="0.2">
      <c r="C16846" s="224"/>
      <c r="D16846" s="224"/>
      <c r="E16846" s="224"/>
      <c r="F16846" s="224"/>
      <c r="G16846" s="224"/>
      <c r="H16846" s="439"/>
      <c r="I16846" s="439"/>
      <c r="J16846" s="750" t="e">
        <f t="shared" ref="J16846:J16909" si="200">SUM(I16846/H16846)*100</f>
        <v>#DIV/0!</v>
      </c>
      <c r="K16846" s="439"/>
      <c r="L16846" s="439"/>
      <c r="M16846" s="682"/>
    </row>
    <row r="16847" spans="3:13" hidden="1" x14ac:dyDescent="0.2">
      <c r="C16847" s="224"/>
      <c r="D16847" s="224"/>
      <c r="E16847" s="224"/>
      <c r="F16847" s="224"/>
      <c r="G16847" s="224"/>
      <c r="H16847" s="439"/>
      <c r="I16847" s="439"/>
      <c r="J16847" s="750" t="e">
        <f t="shared" si="200"/>
        <v>#DIV/0!</v>
      </c>
      <c r="K16847" s="439"/>
      <c r="L16847" s="439"/>
      <c r="M16847" s="682"/>
    </row>
    <row r="16848" spans="3:13" hidden="1" x14ac:dyDescent="0.2">
      <c r="C16848" s="224"/>
      <c r="D16848" s="224"/>
      <c r="E16848" s="224"/>
      <c r="F16848" s="224"/>
      <c r="G16848" s="224"/>
      <c r="H16848" s="439"/>
      <c r="I16848" s="439"/>
      <c r="J16848" s="750" t="e">
        <f t="shared" si="200"/>
        <v>#DIV/0!</v>
      </c>
      <c r="K16848" s="439"/>
      <c r="L16848" s="439"/>
      <c r="M16848" s="682"/>
    </row>
    <row r="16849" spans="3:13" hidden="1" x14ac:dyDescent="0.2">
      <c r="C16849" s="224"/>
      <c r="D16849" s="224"/>
      <c r="E16849" s="224"/>
      <c r="F16849" s="224"/>
      <c r="G16849" s="224"/>
      <c r="H16849" s="439"/>
      <c r="I16849" s="439"/>
      <c r="J16849" s="750" t="e">
        <f t="shared" si="200"/>
        <v>#DIV/0!</v>
      </c>
      <c r="K16849" s="439"/>
      <c r="L16849" s="439"/>
      <c r="M16849" s="682"/>
    </row>
    <row r="16850" spans="3:13" hidden="1" x14ac:dyDescent="0.2">
      <c r="C16850" s="224"/>
      <c r="D16850" s="224"/>
      <c r="E16850" s="224"/>
      <c r="F16850" s="224"/>
      <c r="G16850" s="224"/>
      <c r="H16850" s="439"/>
      <c r="I16850" s="439"/>
      <c r="J16850" s="750" t="e">
        <f t="shared" si="200"/>
        <v>#DIV/0!</v>
      </c>
      <c r="K16850" s="439"/>
      <c r="L16850" s="439"/>
      <c r="M16850" s="682"/>
    </row>
    <row r="16851" spans="3:13" hidden="1" x14ac:dyDescent="0.2">
      <c r="C16851" s="224"/>
      <c r="D16851" s="224"/>
      <c r="E16851" s="224"/>
      <c r="F16851" s="224"/>
      <c r="G16851" s="224"/>
      <c r="H16851" s="439"/>
      <c r="I16851" s="439"/>
      <c r="J16851" s="750" t="e">
        <f t="shared" si="200"/>
        <v>#DIV/0!</v>
      </c>
      <c r="K16851" s="439"/>
      <c r="L16851" s="439"/>
      <c r="M16851" s="682"/>
    </row>
    <row r="16852" spans="3:13" hidden="1" x14ac:dyDescent="0.2">
      <c r="C16852" s="224"/>
      <c r="D16852" s="224"/>
      <c r="E16852" s="224"/>
      <c r="F16852" s="224"/>
      <c r="G16852" s="224"/>
      <c r="H16852" s="439"/>
      <c r="I16852" s="439"/>
      <c r="J16852" s="750" t="e">
        <f t="shared" si="200"/>
        <v>#DIV/0!</v>
      </c>
      <c r="K16852" s="439"/>
      <c r="L16852" s="439"/>
      <c r="M16852" s="682"/>
    </row>
    <row r="16853" spans="3:13" hidden="1" x14ac:dyDescent="0.2">
      <c r="C16853" s="224"/>
      <c r="D16853" s="224"/>
      <c r="E16853" s="224"/>
      <c r="F16853" s="224"/>
      <c r="G16853" s="224"/>
      <c r="H16853" s="439"/>
      <c r="I16853" s="439"/>
      <c r="J16853" s="750" t="e">
        <f t="shared" si="200"/>
        <v>#DIV/0!</v>
      </c>
      <c r="K16853" s="439"/>
      <c r="L16853" s="439"/>
      <c r="M16853" s="682"/>
    </row>
    <row r="16854" spans="3:13" hidden="1" x14ac:dyDescent="0.2">
      <c r="C16854" s="224"/>
      <c r="D16854" s="224"/>
      <c r="E16854" s="224"/>
      <c r="F16854" s="224"/>
      <c r="G16854" s="224"/>
      <c r="H16854" s="439"/>
      <c r="I16854" s="439"/>
      <c r="J16854" s="750" t="e">
        <f t="shared" si="200"/>
        <v>#DIV/0!</v>
      </c>
      <c r="K16854" s="439"/>
      <c r="L16854" s="439"/>
      <c r="M16854" s="682"/>
    </row>
    <row r="16855" spans="3:13" hidden="1" x14ac:dyDescent="0.2">
      <c r="C16855" s="224"/>
      <c r="D16855" s="224"/>
      <c r="E16855" s="224"/>
      <c r="F16855" s="224"/>
      <c r="G16855" s="224"/>
      <c r="H16855" s="439"/>
      <c r="I16855" s="439"/>
      <c r="J16855" s="750" t="e">
        <f t="shared" si="200"/>
        <v>#DIV/0!</v>
      </c>
      <c r="K16855" s="439"/>
      <c r="L16855" s="439"/>
      <c r="M16855" s="682"/>
    </row>
    <row r="16856" spans="3:13" hidden="1" x14ac:dyDescent="0.2">
      <c r="C16856" s="224"/>
      <c r="D16856" s="224"/>
      <c r="E16856" s="224"/>
      <c r="F16856" s="224"/>
      <c r="G16856" s="224"/>
      <c r="H16856" s="439"/>
      <c r="I16856" s="439"/>
      <c r="J16856" s="750" t="e">
        <f t="shared" si="200"/>
        <v>#DIV/0!</v>
      </c>
      <c r="K16856" s="439"/>
      <c r="L16856" s="439"/>
      <c r="M16856" s="682"/>
    </row>
    <row r="16857" spans="3:13" hidden="1" x14ac:dyDescent="0.2">
      <c r="C16857" s="224"/>
      <c r="D16857" s="224"/>
      <c r="E16857" s="224"/>
      <c r="F16857" s="224"/>
      <c r="G16857" s="224"/>
      <c r="H16857" s="439"/>
      <c r="I16857" s="439"/>
      <c r="J16857" s="750" t="e">
        <f t="shared" si="200"/>
        <v>#DIV/0!</v>
      </c>
      <c r="K16857" s="439"/>
      <c r="L16857" s="439"/>
      <c r="M16857" s="682"/>
    </row>
    <row r="16858" spans="3:13" hidden="1" x14ac:dyDescent="0.2">
      <c r="C16858" s="224"/>
      <c r="D16858" s="224"/>
      <c r="E16858" s="224"/>
      <c r="F16858" s="224"/>
      <c r="G16858" s="224"/>
      <c r="H16858" s="439"/>
      <c r="I16858" s="439"/>
      <c r="J16858" s="750" t="e">
        <f t="shared" si="200"/>
        <v>#DIV/0!</v>
      </c>
      <c r="K16858" s="439"/>
      <c r="L16858" s="439"/>
      <c r="M16858" s="682"/>
    </row>
    <row r="16859" spans="3:13" hidden="1" x14ac:dyDescent="0.2">
      <c r="C16859" s="224"/>
      <c r="D16859" s="224"/>
      <c r="E16859" s="224"/>
      <c r="F16859" s="224"/>
      <c r="G16859" s="224"/>
      <c r="H16859" s="439"/>
      <c r="I16859" s="439"/>
      <c r="J16859" s="750" t="e">
        <f t="shared" si="200"/>
        <v>#DIV/0!</v>
      </c>
      <c r="K16859" s="439"/>
      <c r="L16859" s="439"/>
      <c r="M16859" s="682"/>
    </row>
    <row r="16860" spans="3:13" hidden="1" x14ac:dyDescent="0.2">
      <c r="C16860" s="224"/>
      <c r="D16860" s="224"/>
      <c r="E16860" s="224"/>
      <c r="F16860" s="224"/>
      <c r="G16860" s="224"/>
      <c r="H16860" s="439"/>
      <c r="I16860" s="439"/>
      <c r="J16860" s="750" t="e">
        <f t="shared" si="200"/>
        <v>#DIV/0!</v>
      </c>
      <c r="K16860" s="439"/>
      <c r="L16860" s="439"/>
      <c r="M16860" s="682"/>
    </row>
    <row r="16861" spans="3:13" hidden="1" x14ac:dyDescent="0.2">
      <c r="C16861" s="224"/>
      <c r="D16861" s="224"/>
      <c r="E16861" s="224"/>
      <c r="F16861" s="224"/>
      <c r="G16861" s="224"/>
      <c r="H16861" s="439"/>
      <c r="I16861" s="439"/>
      <c r="J16861" s="750" t="e">
        <f t="shared" si="200"/>
        <v>#DIV/0!</v>
      </c>
      <c r="K16861" s="439"/>
      <c r="L16861" s="439"/>
      <c r="M16861" s="682"/>
    </row>
    <row r="16862" spans="3:13" hidden="1" x14ac:dyDescent="0.2">
      <c r="C16862" s="224"/>
      <c r="D16862" s="224"/>
      <c r="E16862" s="224"/>
      <c r="F16862" s="224"/>
      <c r="G16862" s="224"/>
      <c r="H16862" s="439"/>
      <c r="I16862" s="439"/>
      <c r="J16862" s="750" t="e">
        <f t="shared" si="200"/>
        <v>#DIV/0!</v>
      </c>
      <c r="K16862" s="439"/>
      <c r="L16862" s="439"/>
      <c r="M16862" s="682"/>
    </row>
    <row r="16863" spans="3:13" hidden="1" x14ac:dyDescent="0.2">
      <c r="C16863" s="224"/>
      <c r="D16863" s="224"/>
      <c r="E16863" s="224"/>
      <c r="F16863" s="224"/>
      <c r="G16863" s="224"/>
      <c r="H16863" s="439"/>
      <c r="I16863" s="439"/>
      <c r="J16863" s="750" t="e">
        <f t="shared" si="200"/>
        <v>#DIV/0!</v>
      </c>
      <c r="K16863" s="439"/>
      <c r="L16863" s="439"/>
      <c r="M16863" s="682"/>
    </row>
    <row r="16864" spans="3:13" hidden="1" x14ac:dyDescent="0.2">
      <c r="C16864" s="224"/>
      <c r="D16864" s="224"/>
      <c r="E16864" s="224"/>
      <c r="F16864" s="224"/>
      <c r="G16864" s="224"/>
      <c r="H16864" s="439"/>
      <c r="I16864" s="439"/>
      <c r="J16864" s="750" t="e">
        <f t="shared" si="200"/>
        <v>#DIV/0!</v>
      </c>
      <c r="K16864" s="439"/>
      <c r="L16864" s="439"/>
      <c r="M16864" s="682"/>
    </row>
    <row r="16865" spans="3:13" hidden="1" x14ac:dyDescent="0.2">
      <c r="C16865" s="224"/>
      <c r="D16865" s="224"/>
      <c r="E16865" s="224"/>
      <c r="F16865" s="224"/>
      <c r="G16865" s="224"/>
      <c r="H16865" s="439"/>
      <c r="I16865" s="439"/>
      <c r="J16865" s="750" t="e">
        <f t="shared" si="200"/>
        <v>#DIV/0!</v>
      </c>
      <c r="K16865" s="439"/>
      <c r="L16865" s="439"/>
      <c r="M16865" s="682"/>
    </row>
    <row r="16866" spans="3:13" hidden="1" x14ac:dyDescent="0.2">
      <c r="C16866" s="224"/>
      <c r="D16866" s="224"/>
      <c r="E16866" s="224"/>
      <c r="F16866" s="224"/>
      <c r="G16866" s="224"/>
      <c r="H16866" s="439"/>
      <c r="I16866" s="439"/>
      <c r="J16866" s="750" t="e">
        <f t="shared" si="200"/>
        <v>#DIV/0!</v>
      </c>
      <c r="K16866" s="439"/>
      <c r="L16866" s="439"/>
      <c r="M16866" s="682"/>
    </row>
    <row r="16867" spans="3:13" hidden="1" x14ac:dyDescent="0.2">
      <c r="C16867" s="224"/>
      <c r="D16867" s="224"/>
      <c r="E16867" s="224"/>
      <c r="F16867" s="224"/>
      <c r="G16867" s="224"/>
      <c r="H16867" s="439"/>
      <c r="I16867" s="439"/>
      <c r="J16867" s="750" t="e">
        <f t="shared" si="200"/>
        <v>#DIV/0!</v>
      </c>
      <c r="K16867" s="439"/>
      <c r="L16867" s="439"/>
      <c r="M16867" s="682"/>
    </row>
    <row r="16868" spans="3:13" hidden="1" x14ac:dyDescent="0.2">
      <c r="C16868" s="224"/>
      <c r="D16868" s="224"/>
      <c r="E16868" s="224"/>
      <c r="F16868" s="224"/>
      <c r="G16868" s="224"/>
      <c r="H16868" s="439"/>
      <c r="I16868" s="439"/>
      <c r="J16868" s="750" t="e">
        <f t="shared" si="200"/>
        <v>#DIV/0!</v>
      </c>
      <c r="K16868" s="439"/>
      <c r="L16868" s="439"/>
      <c r="M16868" s="682"/>
    </row>
    <row r="16869" spans="3:13" hidden="1" x14ac:dyDescent="0.2">
      <c r="C16869" s="224"/>
      <c r="D16869" s="224"/>
      <c r="E16869" s="224"/>
      <c r="F16869" s="224"/>
      <c r="G16869" s="224"/>
      <c r="H16869" s="439"/>
      <c r="I16869" s="439"/>
      <c r="J16869" s="750" t="e">
        <f t="shared" si="200"/>
        <v>#DIV/0!</v>
      </c>
      <c r="K16869" s="439"/>
      <c r="L16869" s="439"/>
      <c r="M16869" s="682"/>
    </row>
    <row r="16870" spans="3:13" hidden="1" x14ac:dyDescent="0.2">
      <c r="C16870" s="224"/>
      <c r="D16870" s="224"/>
      <c r="E16870" s="224"/>
      <c r="F16870" s="224"/>
      <c r="G16870" s="224"/>
      <c r="H16870" s="439"/>
      <c r="I16870" s="439"/>
      <c r="J16870" s="750" t="e">
        <f t="shared" si="200"/>
        <v>#DIV/0!</v>
      </c>
      <c r="K16870" s="439"/>
      <c r="L16870" s="439"/>
      <c r="M16870" s="682"/>
    </row>
    <row r="16871" spans="3:13" hidden="1" x14ac:dyDescent="0.2">
      <c r="C16871" s="224"/>
      <c r="D16871" s="224"/>
      <c r="E16871" s="224"/>
      <c r="F16871" s="224"/>
      <c r="G16871" s="224"/>
      <c r="H16871" s="439"/>
      <c r="I16871" s="439"/>
      <c r="J16871" s="750" t="e">
        <f t="shared" si="200"/>
        <v>#DIV/0!</v>
      </c>
      <c r="K16871" s="439"/>
      <c r="L16871" s="439"/>
      <c r="M16871" s="682"/>
    </row>
    <row r="16872" spans="3:13" hidden="1" x14ac:dyDescent="0.2">
      <c r="C16872" s="224"/>
      <c r="D16872" s="224"/>
      <c r="E16872" s="224"/>
      <c r="F16872" s="224"/>
      <c r="G16872" s="224"/>
      <c r="H16872" s="439"/>
      <c r="I16872" s="439"/>
      <c r="J16872" s="750" t="e">
        <f t="shared" si="200"/>
        <v>#DIV/0!</v>
      </c>
      <c r="K16872" s="439"/>
      <c r="L16872" s="439"/>
      <c r="M16872" s="682"/>
    </row>
    <row r="16873" spans="3:13" hidden="1" x14ac:dyDescent="0.2">
      <c r="C16873" s="224"/>
      <c r="D16873" s="224"/>
      <c r="E16873" s="224"/>
      <c r="F16873" s="224"/>
      <c r="G16873" s="224"/>
      <c r="H16873" s="439"/>
      <c r="I16873" s="439"/>
      <c r="J16873" s="750" t="e">
        <f t="shared" si="200"/>
        <v>#DIV/0!</v>
      </c>
      <c r="K16873" s="439"/>
      <c r="L16873" s="439"/>
      <c r="M16873" s="682"/>
    </row>
    <row r="16874" spans="3:13" hidden="1" x14ac:dyDescent="0.2">
      <c r="C16874" s="224"/>
      <c r="D16874" s="224"/>
      <c r="E16874" s="224"/>
      <c r="F16874" s="224"/>
      <c r="G16874" s="224"/>
      <c r="H16874" s="439"/>
      <c r="I16874" s="439"/>
      <c r="J16874" s="750" t="e">
        <f t="shared" si="200"/>
        <v>#DIV/0!</v>
      </c>
      <c r="K16874" s="439"/>
      <c r="L16874" s="439"/>
      <c r="M16874" s="682"/>
    </row>
    <row r="16875" spans="3:13" hidden="1" x14ac:dyDescent="0.2">
      <c r="C16875" s="224"/>
      <c r="D16875" s="224"/>
      <c r="E16875" s="224"/>
      <c r="F16875" s="224"/>
      <c r="G16875" s="224"/>
      <c r="H16875" s="439"/>
      <c r="I16875" s="439"/>
      <c r="J16875" s="750" t="e">
        <f t="shared" si="200"/>
        <v>#DIV/0!</v>
      </c>
      <c r="K16875" s="439"/>
      <c r="L16875" s="439"/>
      <c r="M16875" s="682"/>
    </row>
    <row r="16876" spans="3:13" hidden="1" x14ac:dyDescent="0.2">
      <c r="C16876" s="224"/>
      <c r="D16876" s="224"/>
      <c r="E16876" s="224"/>
      <c r="F16876" s="224"/>
      <c r="G16876" s="224"/>
      <c r="H16876" s="439"/>
      <c r="I16876" s="439"/>
      <c r="J16876" s="750" t="e">
        <f t="shared" si="200"/>
        <v>#DIV/0!</v>
      </c>
      <c r="K16876" s="439"/>
      <c r="L16876" s="439"/>
      <c r="M16876" s="682"/>
    </row>
    <row r="16877" spans="3:13" hidden="1" x14ac:dyDescent="0.2">
      <c r="C16877" s="224"/>
      <c r="D16877" s="224"/>
      <c r="E16877" s="224"/>
      <c r="F16877" s="224"/>
      <c r="G16877" s="224"/>
      <c r="H16877" s="439"/>
      <c r="I16877" s="439"/>
      <c r="J16877" s="750" t="e">
        <f t="shared" si="200"/>
        <v>#DIV/0!</v>
      </c>
      <c r="K16877" s="439"/>
      <c r="L16877" s="439"/>
      <c r="M16877" s="682"/>
    </row>
    <row r="16878" spans="3:13" hidden="1" x14ac:dyDescent="0.2">
      <c r="C16878" s="224"/>
      <c r="D16878" s="224"/>
      <c r="E16878" s="224"/>
      <c r="F16878" s="224"/>
      <c r="G16878" s="224"/>
      <c r="H16878" s="439"/>
      <c r="I16878" s="439"/>
      <c r="J16878" s="750" t="e">
        <f t="shared" si="200"/>
        <v>#DIV/0!</v>
      </c>
      <c r="K16878" s="439"/>
      <c r="L16878" s="439"/>
      <c r="M16878" s="682"/>
    </row>
    <row r="16879" spans="3:13" hidden="1" x14ac:dyDescent="0.2">
      <c r="C16879" s="224"/>
      <c r="D16879" s="224"/>
      <c r="E16879" s="224"/>
      <c r="F16879" s="224"/>
      <c r="G16879" s="224"/>
      <c r="H16879" s="439"/>
      <c r="I16879" s="439"/>
      <c r="J16879" s="750" t="e">
        <f t="shared" si="200"/>
        <v>#DIV/0!</v>
      </c>
      <c r="K16879" s="439"/>
      <c r="L16879" s="439"/>
      <c r="M16879" s="682"/>
    </row>
    <row r="16880" spans="3:13" hidden="1" x14ac:dyDescent="0.2">
      <c r="C16880" s="224"/>
      <c r="D16880" s="224"/>
      <c r="E16880" s="224"/>
      <c r="F16880" s="224"/>
      <c r="G16880" s="224"/>
      <c r="H16880" s="439"/>
      <c r="I16880" s="439"/>
      <c r="J16880" s="750" t="e">
        <f t="shared" si="200"/>
        <v>#DIV/0!</v>
      </c>
      <c r="K16880" s="439"/>
      <c r="L16880" s="439"/>
      <c r="M16880" s="682"/>
    </row>
    <row r="16881" spans="1:27" hidden="1" x14ac:dyDescent="0.2">
      <c r="C16881" s="224"/>
      <c r="D16881" s="224"/>
      <c r="E16881" s="224"/>
      <c r="F16881" s="224"/>
      <c r="G16881" s="224"/>
      <c r="H16881" s="439"/>
      <c r="I16881" s="439"/>
      <c r="J16881" s="750" t="e">
        <f t="shared" si="200"/>
        <v>#DIV/0!</v>
      </c>
      <c r="K16881" s="439"/>
      <c r="L16881" s="439"/>
      <c r="M16881" s="682"/>
    </row>
    <row r="16882" spans="1:27" hidden="1" x14ac:dyDescent="0.2">
      <c r="C16882" s="224"/>
      <c r="D16882" s="224"/>
      <c r="E16882" s="224"/>
      <c r="F16882" s="224"/>
      <c r="G16882" s="224"/>
      <c r="H16882" s="439"/>
      <c r="I16882" s="439"/>
      <c r="J16882" s="750" t="e">
        <f t="shared" si="200"/>
        <v>#DIV/0!</v>
      </c>
      <c r="K16882" s="439"/>
      <c r="L16882" s="439"/>
      <c r="M16882" s="682"/>
    </row>
    <row r="16883" spans="1:27" hidden="1" x14ac:dyDescent="0.2">
      <c r="C16883" s="224"/>
      <c r="D16883" s="224"/>
      <c r="E16883" s="224"/>
      <c r="F16883" s="224"/>
      <c r="G16883" s="224"/>
      <c r="H16883" s="439"/>
      <c r="I16883" s="439"/>
      <c r="J16883" s="750" t="e">
        <f t="shared" si="200"/>
        <v>#DIV/0!</v>
      </c>
      <c r="K16883" s="439"/>
      <c r="L16883" s="439"/>
      <c r="M16883" s="682"/>
    </row>
    <row r="16884" spans="1:27" hidden="1" x14ac:dyDescent="0.2">
      <c r="C16884" s="224"/>
      <c r="D16884" s="224"/>
      <c r="E16884" s="224"/>
      <c r="F16884" s="224"/>
      <c r="G16884" s="224"/>
      <c r="H16884" s="439"/>
      <c r="I16884" s="439"/>
      <c r="J16884" s="750" t="e">
        <f t="shared" si="200"/>
        <v>#DIV/0!</v>
      </c>
      <c r="K16884" s="439"/>
      <c r="L16884" s="439"/>
      <c r="M16884" s="682"/>
    </row>
    <row r="16885" spans="1:27" hidden="1" x14ac:dyDescent="0.2">
      <c r="C16885" s="224"/>
      <c r="D16885" s="224"/>
      <c r="E16885" s="224"/>
      <c r="F16885" s="224"/>
      <c r="G16885" s="224"/>
      <c r="H16885" s="439"/>
      <c r="I16885" s="439"/>
      <c r="J16885" s="750" t="e">
        <f t="shared" si="200"/>
        <v>#DIV/0!</v>
      </c>
      <c r="K16885" s="439"/>
      <c r="L16885" s="439"/>
      <c r="M16885" s="682"/>
    </row>
    <row r="16886" spans="1:27" hidden="1" x14ac:dyDescent="0.2">
      <c r="C16886" s="224"/>
      <c r="D16886" s="224"/>
      <c r="E16886" s="224"/>
      <c r="F16886" s="224"/>
      <c r="G16886" s="224"/>
      <c r="H16886" s="439"/>
      <c r="I16886" s="439"/>
      <c r="J16886" s="750" t="e">
        <f t="shared" si="200"/>
        <v>#DIV/0!</v>
      </c>
      <c r="K16886" s="439"/>
      <c r="L16886" s="439"/>
      <c r="M16886" s="682"/>
    </row>
    <row r="16887" spans="1:27" hidden="1" x14ac:dyDescent="0.2">
      <c r="C16887" s="224"/>
      <c r="D16887" s="224"/>
      <c r="E16887" s="224"/>
      <c r="F16887" s="224"/>
      <c r="G16887" s="224"/>
      <c r="H16887" s="439"/>
      <c r="I16887" s="439"/>
      <c r="J16887" s="750" t="e">
        <f t="shared" si="200"/>
        <v>#DIV/0!</v>
      </c>
      <c r="K16887" s="439"/>
      <c r="L16887" s="439"/>
      <c r="M16887" s="682"/>
    </row>
    <row r="16888" spans="1:27" hidden="1" x14ac:dyDescent="0.2">
      <c r="C16888" s="224"/>
      <c r="D16888" s="224"/>
      <c r="E16888" s="224"/>
      <c r="F16888" s="224"/>
      <c r="G16888" s="224"/>
      <c r="H16888" s="439"/>
      <c r="I16888" s="439"/>
      <c r="J16888" s="750" t="e">
        <f t="shared" si="200"/>
        <v>#DIV/0!</v>
      </c>
      <c r="K16888" s="439"/>
      <c r="L16888" s="439"/>
      <c r="M16888" s="682"/>
    </row>
    <row r="16889" spans="1:27" hidden="1" x14ac:dyDescent="0.2">
      <c r="C16889" s="224"/>
      <c r="D16889" s="224"/>
      <c r="E16889" s="224"/>
      <c r="F16889" s="224"/>
      <c r="G16889" s="224"/>
      <c r="H16889" s="439"/>
      <c r="I16889" s="439"/>
      <c r="J16889" s="750" t="e">
        <f t="shared" si="200"/>
        <v>#DIV/0!</v>
      </c>
      <c r="K16889" s="439"/>
      <c r="L16889" s="439"/>
      <c r="M16889" s="682"/>
    </row>
    <row r="16890" spans="1:27" hidden="1" x14ac:dyDescent="0.2">
      <c r="C16890" s="224"/>
      <c r="D16890" s="224"/>
      <c r="E16890" s="224"/>
      <c r="F16890" s="224"/>
      <c r="G16890" s="224"/>
      <c r="H16890" s="439"/>
      <c r="I16890" s="439"/>
      <c r="J16890" s="750" t="e">
        <f t="shared" si="200"/>
        <v>#DIV/0!</v>
      </c>
      <c r="K16890" s="439"/>
      <c r="L16890" s="439"/>
      <c r="M16890" s="682"/>
    </row>
    <row r="16891" spans="1:27" hidden="1" x14ac:dyDescent="0.2">
      <c r="C16891" s="224"/>
      <c r="D16891" s="224"/>
      <c r="E16891" s="224"/>
      <c r="F16891" s="224"/>
      <c r="G16891" s="224"/>
      <c r="H16891" s="439"/>
      <c r="I16891" s="439"/>
      <c r="J16891" s="750" t="e">
        <f t="shared" si="200"/>
        <v>#DIV/0!</v>
      </c>
      <c r="K16891" s="439"/>
      <c r="L16891" s="439"/>
      <c r="M16891" s="682"/>
    </row>
    <row r="16892" spans="1:27" hidden="1" x14ac:dyDescent="0.2">
      <c r="C16892" s="224"/>
      <c r="D16892" s="224"/>
      <c r="E16892" s="224"/>
      <c r="F16892" s="224"/>
      <c r="G16892" s="224"/>
      <c r="H16892" s="439"/>
      <c r="I16892" s="439"/>
      <c r="J16892" s="750" t="e">
        <f t="shared" si="200"/>
        <v>#DIV/0!</v>
      </c>
      <c r="K16892" s="439"/>
      <c r="L16892" s="439"/>
      <c r="M16892" s="682"/>
    </row>
    <row r="16893" spans="1:27" hidden="1" x14ac:dyDescent="0.2">
      <c r="H16893" s="397"/>
      <c r="I16893" s="397"/>
      <c r="J16893" s="750" t="e">
        <f t="shared" si="200"/>
        <v>#DIV/0!</v>
      </c>
      <c r="K16893" s="398"/>
      <c r="L16893" s="398"/>
      <c r="M16893" s="682"/>
    </row>
    <row r="16894" spans="1:27" s="657" customFormat="1" hidden="1" x14ac:dyDescent="0.2">
      <c r="A16894" s="656"/>
      <c r="B16894" s="656"/>
      <c r="H16894" s="439"/>
      <c r="I16894" s="439"/>
      <c r="J16894" s="750" t="e">
        <f t="shared" si="200"/>
        <v>#DIV/0!</v>
      </c>
      <c r="K16894" s="439"/>
      <c r="L16894" s="439"/>
      <c r="M16894" s="682"/>
      <c r="N16894" s="658"/>
      <c r="O16894" s="658"/>
      <c r="P16894" s="658"/>
      <c r="Q16894" s="658"/>
      <c r="R16894" s="658"/>
      <c r="S16894" s="658"/>
      <c r="T16894" s="658"/>
      <c r="U16894" s="658"/>
      <c r="V16894" s="658"/>
      <c r="W16894" s="658"/>
      <c r="X16894" s="658"/>
      <c r="Y16894" s="658"/>
      <c r="Z16894" s="658"/>
      <c r="AA16894" s="658"/>
    </row>
    <row r="16895" spans="1:27" s="657" customFormat="1" ht="16.5" hidden="1" customHeight="1" x14ac:dyDescent="0.2">
      <c r="A16895" s="591"/>
      <c r="B16895" s="591"/>
      <c r="H16895" s="439"/>
      <c r="I16895" s="439"/>
      <c r="J16895" s="750" t="e">
        <f t="shared" si="200"/>
        <v>#DIV/0!</v>
      </c>
      <c r="K16895" s="439"/>
      <c r="L16895" s="439"/>
      <c r="M16895" s="682"/>
      <c r="N16895" s="658"/>
      <c r="O16895" s="658"/>
      <c r="P16895" s="658"/>
      <c r="Q16895" s="658"/>
      <c r="R16895" s="658"/>
      <c r="S16895" s="658"/>
      <c r="T16895" s="658"/>
      <c r="U16895" s="658"/>
      <c r="V16895" s="658"/>
      <c r="W16895" s="658"/>
      <c r="X16895" s="658"/>
      <c r="Y16895" s="658"/>
      <c r="Z16895" s="658"/>
      <c r="AA16895" s="658"/>
    </row>
    <row r="16896" spans="1:27" s="657" customFormat="1" hidden="1" x14ac:dyDescent="0.2">
      <c r="A16896" s="591"/>
      <c r="B16896" s="591"/>
      <c r="H16896" s="439"/>
      <c r="I16896" s="439"/>
      <c r="J16896" s="750" t="e">
        <f t="shared" si="200"/>
        <v>#DIV/0!</v>
      </c>
      <c r="K16896" s="439"/>
      <c r="L16896" s="439"/>
      <c r="M16896" s="682"/>
      <c r="N16896" s="658"/>
      <c r="O16896" s="658"/>
      <c r="P16896" s="658"/>
      <c r="Q16896" s="658"/>
      <c r="R16896" s="658"/>
      <c r="S16896" s="658"/>
      <c r="T16896" s="658"/>
      <c r="U16896" s="658"/>
      <c r="V16896" s="658"/>
      <c r="W16896" s="658"/>
      <c r="X16896" s="658"/>
      <c r="Y16896" s="658"/>
      <c r="Z16896" s="658"/>
      <c r="AA16896" s="658"/>
    </row>
    <row r="16897" spans="1:27" s="657" customFormat="1" hidden="1" x14ac:dyDescent="0.2">
      <c r="A16897" s="591"/>
      <c r="B16897" s="591"/>
      <c r="H16897" s="439"/>
      <c r="I16897" s="439"/>
      <c r="J16897" s="750" t="e">
        <f t="shared" si="200"/>
        <v>#DIV/0!</v>
      </c>
      <c r="K16897" s="439"/>
      <c r="L16897" s="439"/>
      <c r="M16897" s="682"/>
      <c r="N16897" s="658"/>
      <c r="O16897" s="658"/>
      <c r="P16897" s="658"/>
      <c r="Q16897" s="658"/>
      <c r="R16897" s="658"/>
      <c r="S16897" s="658"/>
      <c r="T16897" s="658"/>
      <c r="U16897" s="658"/>
      <c r="V16897" s="658"/>
      <c r="W16897" s="658"/>
      <c r="X16897" s="658"/>
      <c r="Y16897" s="658"/>
      <c r="Z16897" s="658"/>
      <c r="AA16897" s="658"/>
    </row>
    <row r="16898" spans="1:27" s="657" customFormat="1" hidden="1" x14ac:dyDescent="0.2">
      <c r="A16898" s="591"/>
      <c r="B16898" s="591"/>
      <c r="H16898" s="439"/>
      <c r="I16898" s="439"/>
      <c r="J16898" s="750" t="e">
        <f t="shared" si="200"/>
        <v>#DIV/0!</v>
      </c>
      <c r="K16898" s="439"/>
      <c r="L16898" s="439"/>
      <c r="M16898" s="682"/>
      <c r="N16898" s="658"/>
      <c r="O16898" s="658"/>
      <c r="P16898" s="658"/>
      <c r="Q16898" s="658"/>
      <c r="R16898" s="658"/>
      <c r="S16898" s="658"/>
      <c r="T16898" s="658"/>
      <c r="U16898" s="658"/>
      <c r="V16898" s="658"/>
      <c r="W16898" s="658"/>
      <c r="X16898" s="658"/>
      <c r="Y16898" s="658"/>
      <c r="Z16898" s="658"/>
      <c r="AA16898" s="658"/>
    </row>
    <row r="16899" spans="1:27" s="657" customFormat="1" hidden="1" x14ac:dyDescent="0.2">
      <c r="A16899" s="591"/>
      <c r="B16899" s="591"/>
      <c r="H16899" s="439"/>
      <c r="I16899" s="439"/>
      <c r="J16899" s="750" t="e">
        <f t="shared" si="200"/>
        <v>#DIV/0!</v>
      </c>
      <c r="K16899" s="439"/>
      <c r="L16899" s="439"/>
      <c r="M16899" s="682"/>
      <c r="N16899" s="658"/>
      <c r="O16899" s="658"/>
      <c r="P16899" s="658"/>
      <c r="Q16899" s="658"/>
      <c r="R16899" s="658"/>
      <c r="S16899" s="658"/>
      <c r="T16899" s="658"/>
      <c r="U16899" s="658"/>
      <c r="V16899" s="658"/>
      <c r="W16899" s="658"/>
      <c r="X16899" s="658"/>
      <c r="Y16899" s="658"/>
      <c r="Z16899" s="658"/>
      <c r="AA16899" s="658"/>
    </row>
    <row r="16900" spans="1:27" s="657" customFormat="1" hidden="1" x14ac:dyDescent="0.2">
      <c r="A16900" s="591"/>
      <c r="B16900" s="591"/>
      <c r="H16900" s="439"/>
      <c r="I16900" s="439"/>
      <c r="J16900" s="750" t="e">
        <f t="shared" si="200"/>
        <v>#DIV/0!</v>
      </c>
      <c r="K16900" s="439"/>
      <c r="L16900" s="439"/>
      <c r="M16900" s="682"/>
      <c r="N16900" s="658"/>
      <c r="O16900" s="658"/>
      <c r="P16900" s="658"/>
      <c r="Q16900" s="658"/>
      <c r="R16900" s="658"/>
      <c r="S16900" s="658"/>
      <c r="T16900" s="658"/>
      <c r="U16900" s="658"/>
      <c r="V16900" s="658"/>
      <c r="W16900" s="658"/>
      <c r="X16900" s="658"/>
      <c r="Y16900" s="658"/>
      <c r="Z16900" s="658"/>
      <c r="AA16900" s="658"/>
    </row>
    <row r="16901" spans="1:27" s="657" customFormat="1" hidden="1" x14ac:dyDescent="0.2">
      <c r="A16901" s="591"/>
      <c r="B16901" s="591"/>
      <c r="H16901" s="439"/>
      <c r="I16901" s="439"/>
      <c r="J16901" s="750" t="e">
        <f t="shared" si="200"/>
        <v>#DIV/0!</v>
      </c>
      <c r="K16901" s="439"/>
      <c r="L16901" s="439"/>
      <c r="M16901" s="682"/>
      <c r="N16901" s="658"/>
      <c r="O16901" s="658"/>
      <c r="P16901" s="658"/>
      <c r="Q16901" s="658"/>
      <c r="R16901" s="658"/>
      <c r="S16901" s="658"/>
      <c r="T16901" s="658"/>
      <c r="U16901" s="658"/>
      <c r="V16901" s="658"/>
      <c r="W16901" s="658"/>
      <c r="X16901" s="658"/>
      <c r="Y16901" s="658"/>
      <c r="Z16901" s="658"/>
      <c r="AA16901" s="658"/>
    </row>
    <row r="16902" spans="1:27" s="657" customFormat="1" hidden="1" x14ac:dyDescent="0.2">
      <c r="A16902" s="591"/>
      <c r="B16902" s="591"/>
      <c r="H16902" s="439"/>
      <c r="I16902" s="439"/>
      <c r="J16902" s="750" t="e">
        <f t="shared" si="200"/>
        <v>#DIV/0!</v>
      </c>
      <c r="K16902" s="439"/>
      <c r="L16902" s="439"/>
      <c r="M16902" s="682"/>
      <c r="N16902" s="658"/>
      <c r="O16902" s="658"/>
      <c r="P16902" s="658"/>
      <c r="Q16902" s="658"/>
      <c r="R16902" s="658"/>
      <c r="S16902" s="658"/>
      <c r="T16902" s="658"/>
      <c r="U16902" s="658"/>
      <c r="V16902" s="658"/>
      <c r="W16902" s="658"/>
      <c r="X16902" s="658"/>
      <c r="Y16902" s="658"/>
      <c r="Z16902" s="658"/>
      <c r="AA16902" s="658"/>
    </row>
    <row r="16903" spans="1:27" s="657" customFormat="1" hidden="1" x14ac:dyDescent="0.2">
      <c r="A16903" s="591"/>
      <c r="B16903" s="591"/>
      <c r="H16903" s="439"/>
      <c r="I16903" s="439"/>
      <c r="J16903" s="750" t="e">
        <f t="shared" si="200"/>
        <v>#DIV/0!</v>
      </c>
      <c r="K16903" s="439"/>
      <c r="L16903" s="439"/>
      <c r="M16903" s="682"/>
      <c r="N16903" s="658"/>
      <c r="O16903" s="658"/>
      <c r="P16903" s="658"/>
      <c r="Q16903" s="658"/>
      <c r="R16903" s="658"/>
      <c r="S16903" s="658"/>
      <c r="T16903" s="658"/>
      <c r="U16903" s="658"/>
      <c r="V16903" s="658"/>
      <c r="W16903" s="658"/>
      <c r="X16903" s="658"/>
      <c r="Y16903" s="658"/>
      <c r="Z16903" s="658"/>
      <c r="AA16903" s="658"/>
    </row>
    <row r="16904" spans="1:27" s="657" customFormat="1" hidden="1" x14ac:dyDescent="0.2">
      <c r="A16904" s="591"/>
      <c r="B16904" s="591"/>
      <c r="H16904" s="439"/>
      <c r="I16904" s="439"/>
      <c r="J16904" s="750" t="e">
        <f t="shared" si="200"/>
        <v>#DIV/0!</v>
      </c>
      <c r="K16904" s="439"/>
      <c r="L16904" s="439"/>
      <c r="M16904" s="682"/>
      <c r="N16904" s="658"/>
      <c r="O16904" s="658"/>
      <c r="P16904" s="658"/>
      <c r="Q16904" s="658"/>
      <c r="R16904" s="658"/>
      <c r="S16904" s="658"/>
      <c r="T16904" s="658"/>
      <c r="U16904" s="658"/>
      <c r="V16904" s="658"/>
      <c r="W16904" s="658"/>
      <c r="X16904" s="658"/>
      <c r="Y16904" s="658"/>
      <c r="Z16904" s="658"/>
      <c r="AA16904" s="658"/>
    </row>
    <row r="16905" spans="1:27" s="657" customFormat="1" hidden="1" x14ac:dyDescent="0.2">
      <c r="A16905" s="591"/>
      <c r="B16905" s="591"/>
      <c r="H16905" s="439"/>
      <c r="I16905" s="439"/>
      <c r="J16905" s="750" t="e">
        <f t="shared" si="200"/>
        <v>#DIV/0!</v>
      </c>
      <c r="K16905" s="439"/>
      <c r="L16905" s="439"/>
      <c r="M16905" s="682"/>
      <c r="N16905" s="658"/>
      <c r="O16905" s="658"/>
      <c r="P16905" s="658"/>
      <c r="Q16905" s="658"/>
      <c r="R16905" s="658"/>
      <c r="S16905" s="658"/>
      <c r="T16905" s="658"/>
      <c r="U16905" s="658"/>
      <c r="V16905" s="658"/>
      <c r="W16905" s="658"/>
      <c r="X16905" s="658"/>
      <c r="Y16905" s="658"/>
      <c r="Z16905" s="658"/>
      <c r="AA16905" s="658"/>
    </row>
    <row r="16906" spans="1:27" s="657" customFormat="1" hidden="1" x14ac:dyDescent="0.2">
      <c r="A16906" s="591"/>
      <c r="B16906" s="591"/>
      <c r="H16906" s="439"/>
      <c r="I16906" s="439"/>
      <c r="J16906" s="750" t="e">
        <f t="shared" si="200"/>
        <v>#DIV/0!</v>
      </c>
      <c r="K16906" s="439"/>
      <c r="L16906" s="439"/>
      <c r="M16906" s="682"/>
      <c r="N16906" s="658"/>
      <c r="O16906" s="658"/>
      <c r="P16906" s="658"/>
      <c r="Q16906" s="658"/>
      <c r="R16906" s="658"/>
      <c r="S16906" s="658"/>
      <c r="T16906" s="658"/>
      <c r="U16906" s="658"/>
      <c r="V16906" s="658"/>
      <c r="W16906" s="658"/>
      <c r="X16906" s="658"/>
      <c r="Y16906" s="658"/>
      <c r="Z16906" s="658"/>
      <c r="AA16906" s="658"/>
    </row>
    <row r="16907" spans="1:27" s="657" customFormat="1" hidden="1" x14ac:dyDescent="0.2">
      <c r="A16907" s="591"/>
      <c r="B16907" s="591"/>
      <c r="H16907" s="439"/>
      <c r="I16907" s="439"/>
      <c r="J16907" s="750" t="e">
        <f t="shared" si="200"/>
        <v>#DIV/0!</v>
      </c>
      <c r="K16907" s="439"/>
      <c r="L16907" s="439"/>
      <c r="M16907" s="682"/>
      <c r="N16907" s="658"/>
      <c r="O16907" s="658"/>
      <c r="P16907" s="658"/>
      <c r="Q16907" s="658"/>
      <c r="R16907" s="658"/>
      <c r="S16907" s="658"/>
      <c r="T16907" s="658"/>
      <c r="U16907" s="658"/>
      <c r="V16907" s="658"/>
      <c r="W16907" s="658"/>
      <c r="X16907" s="658"/>
      <c r="Y16907" s="658"/>
      <c r="Z16907" s="658"/>
      <c r="AA16907" s="658"/>
    </row>
    <row r="16908" spans="1:27" s="657" customFormat="1" hidden="1" x14ac:dyDescent="0.2">
      <c r="A16908" s="591"/>
      <c r="B16908" s="591"/>
      <c r="H16908" s="439"/>
      <c r="I16908" s="439"/>
      <c r="J16908" s="750" t="e">
        <f t="shared" si="200"/>
        <v>#DIV/0!</v>
      </c>
      <c r="K16908" s="439"/>
      <c r="L16908" s="439"/>
      <c r="M16908" s="682"/>
      <c r="N16908" s="658"/>
      <c r="O16908" s="658"/>
      <c r="P16908" s="658"/>
      <c r="Q16908" s="658"/>
      <c r="R16908" s="658"/>
      <c r="S16908" s="658"/>
      <c r="T16908" s="658"/>
      <c r="U16908" s="658"/>
      <c r="V16908" s="658"/>
      <c r="W16908" s="658"/>
      <c r="X16908" s="658"/>
      <c r="Y16908" s="658"/>
      <c r="Z16908" s="658"/>
      <c r="AA16908" s="658"/>
    </row>
    <row r="16909" spans="1:27" s="657" customFormat="1" hidden="1" x14ac:dyDescent="0.2">
      <c r="A16909" s="591"/>
      <c r="B16909" s="591"/>
      <c r="H16909" s="439"/>
      <c r="I16909" s="439"/>
      <c r="J16909" s="750" t="e">
        <f t="shared" si="200"/>
        <v>#DIV/0!</v>
      </c>
      <c r="K16909" s="439"/>
      <c r="L16909" s="439"/>
      <c r="M16909" s="682"/>
      <c r="N16909" s="658"/>
      <c r="O16909" s="658"/>
      <c r="P16909" s="658"/>
      <c r="Q16909" s="658"/>
      <c r="R16909" s="658"/>
      <c r="S16909" s="658"/>
      <c r="T16909" s="658"/>
      <c r="U16909" s="658"/>
      <c r="V16909" s="658"/>
      <c r="W16909" s="658"/>
      <c r="X16909" s="658"/>
      <c r="Y16909" s="658"/>
      <c r="Z16909" s="658"/>
      <c r="AA16909" s="658"/>
    </row>
    <row r="16910" spans="1:27" s="657" customFormat="1" hidden="1" x14ac:dyDescent="0.2">
      <c r="A16910" s="591"/>
      <c r="B16910" s="591"/>
      <c r="H16910" s="439"/>
      <c r="I16910" s="439"/>
      <c r="J16910" s="750" t="e">
        <f t="shared" ref="J16910:J16973" si="201">SUM(I16910/H16910)*100</f>
        <v>#DIV/0!</v>
      </c>
      <c r="K16910" s="439"/>
      <c r="L16910" s="439"/>
      <c r="M16910" s="682"/>
      <c r="N16910" s="658"/>
      <c r="O16910" s="658"/>
      <c r="P16910" s="658"/>
      <c r="Q16910" s="658"/>
      <c r="R16910" s="658"/>
      <c r="S16910" s="658"/>
      <c r="T16910" s="658"/>
      <c r="U16910" s="658"/>
      <c r="V16910" s="658"/>
      <c r="W16910" s="658"/>
      <c r="X16910" s="658"/>
      <c r="Y16910" s="658"/>
      <c r="Z16910" s="658"/>
      <c r="AA16910" s="658"/>
    </row>
    <row r="16911" spans="1:27" s="657" customFormat="1" hidden="1" x14ac:dyDescent="0.2">
      <c r="A16911" s="591"/>
      <c r="B16911" s="591"/>
      <c r="H16911" s="439"/>
      <c r="I16911" s="439"/>
      <c r="J16911" s="750" t="e">
        <f t="shared" si="201"/>
        <v>#DIV/0!</v>
      </c>
      <c r="K16911" s="439"/>
      <c r="L16911" s="439"/>
      <c r="M16911" s="682"/>
      <c r="N16911" s="658"/>
      <c r="O16911" s="658"/>
      <c r="P16911" s="658"/>
      <c r="Q16911" s="658"/>
      <c r="R16911" s="658"/>
      <c r="S16911" s="658"/>
      <c r="T16911" s="658"/>
      <c r="U16911" s="658"/>
      <c r="V16911" s="658"/>
      <c r="W16911" s="658"/>
      <c r="X16911" s="658"/>
      <c r="Y16911" s="658"/>
      <c r="Z16911" s="658"/>
      <c r="AA16911" s="658"/>
    </row>
    <row r="16912" spans="1:27" s="657" customFormat="1" hidden="1" x14ac:dyDescent="0.2">
      <c r="A16912" s="591"/>
      <c r="B16912" s="591"/>
      <c r="H16912" s="439"/>
      <c r="I16912" s="439"/>
      <c r="J16912" s="750" t="e">
        <f t="shared" si="201"/>
        <v>#DIV/0!</v>
      </c>
      <c r="K16912" s="439"/>
      <c r="L16912" s="439"/>
      <c r="M16912" s="682"/>
      <c r="N16912" s="658"/>
      <c r="O16912" s="658"/>
      <c r="P16912" s="658"/>
      <c r="Q16912" s="658"/>
      <c r="R16912" s="658"/>
      <c r="S16912" s="658"/>
      <c r="T16912" s="658"/>
      <c r="U16912" s="658"/>
      <c r="V16912" s="658"/>
      <c r="W16912" s="658"/>
      <c r="X16912" s="658"/>
      <c r="Y16912" s="658"/>
      <c r="Z16912" s="658"/>
      <c r="AA16912" s="658"/>
    </row>
    <row r="16913" spans="1:27" s="657" customFormat="1" hidden="1" x14ac:dyDescent="0.2">
      <c r="A16913" s="591"/>
      <c r="B16913" s="591"/>
      <c r="H16913" s="439"/>
      <c r="I16913" s="439"/>
      <c r="J16913" s="750" t="e">
        <f t="shared" si="201"/>
        <v>#DIV/0!</v>
      </c>
      <c r="K16913" s="439"/>
      <c r="L16913" s="439"/>
      <c r="M16913" s="682"/>
      <c r="N16913" s="658"/>
      <c r="O16913" s="658"/>
      <c r="P16913" s="658"/>
      <c r="Q16913" s="658"/>
      <c r="R16913" s="658"/>
      <c r="S16913" s="658"/>
      <c r="T16913" s="658"/>
      <c r="U16913" s="658"/>
      <c r="V16913" s="658"/>
      <c r="W16913" s="658"/>
      <c r="X16913" s="658"/>
      <c r="Y16913" s="658"/>
      <c r="Z16913" s="658"/>
      <c r="AA16913" s="658"/>
    </row>
    <row r="16914" spans="1:27" s="657" customFormat="1" hidden="1" x14ac:dyDescent="0.2">
      <c r="A16914" s="591"/>
      <c r="B16914" s="591"/>
      <c r="H16914" s="439"/>
      <c r="I16914" s="439"/>
      <c r="J16914" s="750" t="e">
        <f t="shared" si="201"/>
        <v>#DIV/0!</v>
      </c>
      <c r="K16914" s="439"/>
      <c r="L16914" s="439"/>
      <c r="M16914" s="682"/>
      <c r="N16914" s="658"/>
      <c r="O16914" s="658"/>
      <c r="P16914" s="658"/>
      <c r="Q16914" s="658"/>
      <c r="R16914" s="658"/>
      <c r="S16914" s="658"/>
      <c r="T16914" s="658"/>
      <c r="U16914" s="658"/>
      <c r="V16914" s="658"/>
      <c r="W16914" s="658"/>
      <c r="X16914" s="658"/>
      <c r="Y16914" s="658"/>
      <c r="Z16914" s="658"/>
      <c r="AA16914" s="658"/>
    </row>
    <row r="16915" spans="1:27" s="657" customFormat="1" hidden="1" x14ac:dyDescent="0.2">
      <c r="A16915" s="591"/>
      <c r="B16915" s="591"/>
      <c r="H16915" s="439"/>
      <c r="I16915" s="439"/>
      <c r="J16915" s="750" t="e">
        <f t="shared" si="201"/>
        <v>#DIV/0!</v>
      </c>
      <c r="K16915" s="439"/>
      <c r="L16915" s="439"/>
      <c r="M16915" s="682"/>
      <c r="N16915" s="658"/>
      <c r="O16915" s="658"/>
      <c r="P16915" s="658"/>
      <c r="Q16915" s="658"/>
      <c r="R16915" s="658"/>
      <c r="S16915" s="658"/>
      <c r="T16915" s="658"/>
      <c r="U16915" s="658"/>
      <c r="V16915" s="658"/>
      <c r="W16915" s="658"/>
      <c r="X16915" s="658"/>
      <c r="Y16915" s="658"/>
      <c r="Z16915" s="658"/>
      <c r="AA16915" s="658"/>
    </row>
    <row r="16916" spans="1:27" s="657" customFormat="1" hidden="1" x14ac:dyDescent="0.2">
      <c r="A16916" s="591"/>
      <c r="B16916" s="591"/>
      <c r="H16916" s="439"/>
      <c r="I16916" s="439"/>
      <c r="J16916" s="750" t="e">
        <f t="shared" si="201"/>
        <v>#DIV/0!</v>
      </c>
      <c r="K16916" s="439"/>
      <c r="L16916" s="439"/>
      <c r="M16916" s="682"/>
      <c r="N16916" s="658"/>
      <c r="O16916" s="658"/>
      <c r="P16916" s="658"/>
      <c r="Q16916" s="658"/>
      <c r="R16916" s="658"/>
      <c r="S16916" s="658"/>
      <c r="T16916" s="658"/>
      <c r="U16916" s="658"/>
      <c r="V16916" s="658"/>
      <c r="W16916" s="658"/>
      <c r="X16916" s="658"/>
      <c r="Y16916" s="658"/>
      <c r="Z16916" s="658"/>
      <c r="AA16916" s="658"/>
    </row>
    <row r="16917" spans="1:27" s="657" customFormat="1" hidden="1" x14ac:dyDescent="0.2">
      <c r="A16917" s="591"/>
      <c r="B16917" s="591"/>
      <c r="H16917" s="439"/>
      <c r="I16917" s="439"/>
      <c r="J16917" s="750" t="e">
        <f t="shared" si="201"/>
        <v>#DIV/0!</v>
      </c>
      <c r="K16917" s="439"/>
      <c r="L16917" s="439"/>
      <c r="M16917" s="682"/>
      <c r="N16917" s="658"/>
      <c r="O16917" s="658"/>
      <c r="P16917" s="658"/>
      <c r="Q16917" s="658"/>
      <c r="R16917" s="658"/>
      <c r="S16917" s="658"/>
      <c r="T16917" s="658"/>
      <c r="U16917" s="658"/>
      <c r="V16917" s="658"/>
      <c r="W16917" s="658"/>
      <c r="X16917" s="658"/>
      <c r="Y16917" s="658"/>
      <c r="Z16917" s="658"/>
      <c r="AA16917" s="658"/>
    </row>
    <row r="16918" spans="1:27" s="657" customFormat="1" hidden="1" x14ac:dyDescent="0.2">
      <c r="A16918" s="591"/>
      <c r="B16918" s="591"/>
      <c r="H16918" s="439"/>
      <c r="I16918" s="439"/>
      <c r="J16918" s="750" t="e">
        <f t="shared" si="201"/>
        <v>#DIV/0!</v>
      </c>
      <c r="K16918" s="439"/>
      <c r="L16918" s="439"/>
      <c r="M16918" s="682"/>
      <c r="N16918" s="658"/>
      <c r="O16918" s="658"/>
      <c r="P16918" s="658"/>
      <c r="Q16918" s="658"/>
      <c r="R16918" s="658"/>
      <c r="S16918" s="658"/>
      <c r="T16918" s="658"/>
      <c r="U16918" s="658"/>
      <c r="V16918" s="658"/>
      <c r="W16918" s="658"/>
      <c r="X16918" s="658"/>
      <c r="Y16918" s="658"/>
      <c r="Z16918" s="658"/>
      <c r="AA16918" s="658"/>
    </row>
    <row r="16919" spans="1:27" s="657" customFormat="1" hidden="1" x14ac:dyDescent="0.2">
      <c r="A16919" s="591"/>
      <c r="B16919" s="591"/>
      <c r="H16919" s="439"/>
      <c r="I16919" s="439"/>
      <c r="J16919" s="750" t="e">
        <f t="shared" si="201"/>
        <v>#DIV/0!</v>
      </c>
      <c r="K16919" s="439"/>
      <c r="L16919" s="439"/>
      <c r="M16919" s="682"/>
      <c r="N16919" s="658"/>
      <c r="O16919" s="658"/>
      <c r="P16919" s="658"/>
      <c r="Q16919" s="658"/>
      <c r="R16919" s="658"/>
      <c r="S16919" s="658"/>
      <c r="T16919" s="658"/>
      <c r="U16919" s="658"/>
      <c r="V16919" s="658"/>
      <c r="W16919" s="658"/>
      <c r="X16919" s="658"/>
      <c r="Y16919" s="658"/>
      <c r="Z16919" s="658"/>
      <c r="AA16919" s="658"/>
    </row>
    <row r="16920" spans="1:27" s="657" customFormat="1" hidden="1" x14ac:dyDescent="0.2">
      <c r="A16920" s="591"/>
      <c r="B16920" s="591"/>
      <c r="H16920" s="439"/>
      <c r="I16920" s="439"/>
      <c r="J16920" s="750" t="e">
        <f t="shared" si="201"/>
        <v>#DIV/0!</v>
      </c>
      <c r="K16920" s="439"/>
      <c r="L16920" s="439"/>
      <c r="M16920" s="682"/>
      <c r="N16920" s="658"/>
      <c r="O16920" s="658"/>
      <c r="P16920" s="658"/>
      <c r="Q16920" s="658"/>
      <c r="R16920" s="658"/>
      <c r="S16920" s="658"/>
      <c r="T16920" s="658"/>
      <c r="U16920" s="658"/>
      <c r="V16920" s="658"/>
      <c r="W16920" s="658"/>
      <c r="X16920" s="658"/>
      <c r="Y16920" s="658"/>
      <c r="Z16920" s="658"/>
      <c r="AA16920" s="658"/>
    </row>
    <row r="16921" spans="1:27" s="657" customFormat="1" hidden="1" x14ac:dyDescent="0.2">
      <c r="A16921" s="591"/>
      <c r="B16921" s="591"/>
      <c r="H16921" s="439"/>
      <c r="I16921" s="439"/>
      <c r="J16921" s="750" t="e">
        <f t="shared" si="201"/>
        <v>#DIV/0!</v>
      </c>
      <c r="K16921" s="439"/>
      <c r="L16921" s="439"/>
      <c r="M16921" s="682"/>
      <c r="N16921" s="658"/>
      <c r="O16921" s="658"/>
      <c r="P16921" s="658"/>
      <c r="Q16921" s="658"/>
      <c r="R16921" s="658"/>
      <c r="S16921" s="658"/>
      <c r="T16921" s="658"/>
      <c r="U16921" s="658"/>
      <c r="V16921" s="658"/>
      <c r="W16921" s="658"/>
      <c r="X16921" s="658"/>
      <c r="Y16921" s="658"/>
      <c r="Z16921" s="658"/>
      <c r="AA16921" s="658"/>
    </row>
    <row r="16922" spans="1:27" s="657" customFormat="1" ht="19.5" hidden="1" customHeight="1" x14ac:dyDescent="0.2">
      <c r="A16922" s="591"/>
      <c r="B16922" s="591"/>
      <c r="H16922" s="439"/>
      <c r="I16922" s="439"/>
      <c r="J16922" s="750" t="e">
        <f t="shared" si="201"/>
        <v>#DIV/0!</v>
      </c>
      <c r="K16922" s="439"/>
      <c r="L16922" s="439"/>
      <c r="M16922" s="682"/>
      <c r="N16922" s="658"/>
      <c r="O16922" s="658"/>
      <c r="P16922" s="658"/>
      <c r="Q16922" s="658"/>
      <c r="R16922" s="658"/>
      <c r="S16922" s="658"/>
      <c r="T16922" s="658"/>
      <c r="U16922" s="658"/>
      <c r="V16922" s="658"/>
      <c r="W16922" s="658"/>
      <c r="X16922" s="658"/>
      <c r="Y16922" s="658"/>
      <c r="Z16922" s="658"/>
      <c r="AA16922" s="658"/>
    </row>
    <row r="16923" spans="1:27" s="657" customFormat="1" hidden="1" x14ac:dyDescent="0.2">
      <c r="A16923" s="591"/>
      <c r="B16923" s="591"/>
      <c r="H16923" s="439"/>
      <c r="I16923" s="439"/>
      <c r="J16923" s="750" t="e">
        <f t="shared" si="201"/>
        <v>#DIV/0!</v>
      </c>
      <c r="K16923" s="439"/>
      <c r="L16923" s="439"/>
      <c r="M16923" s="682"/>
      <c r="N16923" s="658"/>
      <c r="O16923" s="658"/>
      <c r="P16923" s="658"/>
      <c r="Q16923" s="658"/>
      <c r="R16923" s="658"/>
      <c r="S16923" s="658"/>
      <c r="T16923" s="658"/>
      <c r="U16923" s="658"/>
      <c r="V16923" s="658"/>
      <c r="W16923" s="658"/>
      <c r="X16923" s="658"/>
      <c r="Y16923" s="658"/>
      <c r="Z16923" s="658"/>
      <c r="AA16923" s="658"/>
    </row>
    <row r="16924" spans="1:27" s="657" customFormat="1" hidden="1" x14ac:dyDescent="0.2">
      <c r="A16924" s="591"/>
      <c r="B16924" s="591"/>
      <c r="H16924" s="439"/>
      <c r="I16924" s="439"/>
      <c r="J16924" s="750" t="e">
        <f t="shared" si="201"/>
        <v>#DIV/0!</v>
      </c>
      <c r="K16924" s="439"/>
      <c r="L16924" s="439"/>
      <c r="M16924" s="682"/>
      <c r="N16924" s="658"/>
      <c r="O16924" s="658"/>
      <c r="P16924" s="658"/>
      <c r="Q16924" s="658"/>
      <c r="R16924" s="658"/>
      <c r="S16924" s="658"/>
      <c r="T16924" s="658"/>
      <c r="U16924" s="658"/>
      <c r="V16924" s="658"/>
      <c r="W16924" s="658"/>
      <c r="X16924" s="658"/>
      <c r="Y16924" s="658"/>
      <c r="Z16924" s="658"/>
      <c r="AA16924" s="658"/>
    </row>
    <row r="16925" spans="1:27" s="657" customFormat="1" hidden="1" x14ac:dyDescent="0.2">
      <c r="A16925" s="591"/>
      <c r="B16925" s="591"/>
      <c r="H16925" s="439"/>
      <c r="I16925" s="439"/>
      <c r="J16925" s="750" t="e">
        <f t="shared" si="201"/>
        <v>#DIV/0!</v>
      </c>
      <c r="K16925" s="439"/>
      <c r="L16925" s="439"/>
      <c r="M16925" s="682"/>
      <c r="N16925" s="658"/>
      <c r="O16925" s="658"/>
      <c r="P16925" s="658"/>
      <c r="Q16925" s="658"/>
      <c r="R16925" s="658"/>
      <c r="S16925" s="658"/>
      <c r="T16925" s="658"/>
      <c r="U16925" s="658"/>
      <c r="V16925" s="658"/>
      <c r="W16925" s="658"/>
      <c r="X16925" s="658"/>
      <c r="Y16925" s="658"/>
      <c r="Z16925" s="658"/>
      <c r="AA16925" s="658"/>
    </row>
    <row r="16926" spans="1:27" s="657" customFormat="1" hidden="1" x14ac:dyDescent="0.2">
      <c r="A16926" s="591"/>
      <c r="B16926" s="591"/>
      <c r="H16926" s="439"/>
      <c r="I16926" s="439"/>
      <c r="J16926" s="750" t="e">
        <f t="shared" si="201"/>
        <v>#DIV/0!</v>
      </c>
      <c r="K16926" s="439"/>
      <c r="L16926" s="439"/>
      <c r="M16926" s="682"/>
      <c r="N16926" s="658"/>
      <c r="O16926" s="658"/>
      <c r="P16926" s="658"/>
      <c r="Q16926" s="658"/>
      <c r="R16926" s="658"/>
      <c r="S16926" s="658"/>
      <c r="T16926" s="658"/>
      <c r="U16926" s="658"/>
      <c r="V16926" s="658"/>
      <c r="W16926" s="658"/>
      <c r="X16926" s="658"/>
      <c r="Y16926" s="658"/>
      <c r="Z16926" s="658"/>
      <c r="AA16926" s="658"/>
    </row>
    <row r="16927" spans="1:27" s="657" customFormat="1" hidden="1" x14ac:dyDescent="0.2">
      <c r="A16927" s="591"/>
      <c r="B16927" s="591"/>
      <c r="H16927" s="439"/>
      <c r="I16927" s="439"/>
      <c r="J16927" s="750" t="e">
        <f t="shared" si="201"/>
        <v>#DIV/0!</v>
      </c>
      <c r="K16927" s="439"/>
      <c r="L16927" s="439"/>
      <c r="M16927" s="682"/>
      <c r="N16927" s="658"/>
      <c r="O16927" s="658"/>
      <c r="P16927" s="658"/>
      <c r="Q16927" s="658"/>
      <c r="R16927" s="658"/>
      <c r="S16927" s="658"/>
      <c r="T16927" s="658"/>
      <c r="U16927" s="658"/>
      <c r="V16927" s="658"/>
      <c r="W16927" s="658"/>
      <c r="X16927" s="658"/>
      <c r="Y16927" s="658"/>
      <c r="Z16927" s="658"/>
      <c r="AA16927" s="658"/>
    </row>
    <row r="16928" spans="1:27" s="657" customFormat="1" hidden="1" x14ac:dyDescent="0.2">
      <c r="A16928" s="591"/>
      <c r="B16928" s="591"/>
      <c r="H16928" s="439"/>
      <c r="I16928" s="439"/>
      <c r="J16928" s="750" t="e">
        <f t="shared" si="201"/>
        <v>#DIV/0!</v>
      </c>
      <c r="K16928" s="439"/>
      <c r="L16928" s="439"/>
      <c r="M16928" s="682"/>
      <c r="N16928" s="658"/>
      <c r="O16928" s="658"/>
      <c r="P16928" s="658"/>
      <c r="Q16928" s="658"/>
      <c r="R16928" s="658"/>
      <c r="S16928" s="658"/>
      <c r="T16928" s="658"/>
      <c r="U16928" s="658"/>
      <c r="V16928" s="658"/>
      <c r="W16928" s="658"/>
      <c r="X16928" s="658"/>
      <c r="Y16928" s="658"/>
      <c r="Z16928" s="658"/>
      <c r="AA16928" s="658"/>
    </row>
    <row r="16929" spans="1:27" s="657" customFormat="1" hidden="1" x14ac:dyDescent="0.2">
      <c r="A16929" s="591"/>
      <c r="B16929" s="591"/>
      <c r="H16929" s="439"/>
      <c r="I16929" s="439"/>
      <c r="J16929" s="750" t="e">
        <f t="shared" si="201"/>
        <v>#DIV/0!</v>
      </c>
      <c r="K16929" s="439"/>
      <c r="L16929" s="439"/>
      <c r="M16929" s="682"/>
      <c r="N16929" s="658"/>
      <c r="O16929" s="658"/>
      <c r="P16929" s="658"/>
      <c r="Q16929" s="658"/>
      <c r="R16929" s="658"/>
      <c r="S16929" s="658"/>
      <c r="T16929" s="658"/>
      <c r="U16929" s="658"/>
      <c r="V16929" s="658"/>
      <c r="W16929" s="658"/>
      <c r="X16929" s="658"/>
      <c r="Y16929" s="658"/>
      <c r="Z16929" s="658"/>
      <c r="AA16929" s="658"/>
    </row>
    <row r="16930" spans="1:27" s="657" customFormat="1" hidden="1" x14ac:dyDescent="0.2">
      <c r="A16930" s="591"/>
      <c r="B16930" s="591"/>
      <c r="H16930" s="439"/>
      <c r="I16930" s="439"/>
      <c r="J16930" s="750" t="e">
        <f t="shared" si="201"/>
        <v>#DIV/0!</v>
      </c>
      <c r="K16930" s="439"/>
      <c r="L16930" s="439"/>
      <c r="M16930" s="682"/>
      <c r="N16930" s="658"/>
      <c r="O16930" s="658"/>
      <c r="P16930" s="658"/>
      <c r="Q16930" s="658"/>
      <c r="R16930" s="658"/>
      <c r="S16930" s="658"/>
      <c r="T16930" s="658"/>
      <c r="U16930" s="658"/>
      <c r="V16930" s="658"/>
      <c r="W16930" s="658"/>
      <c r="X16930" s="658"/>
      <c r="Y16930" s="658"/>
      <c r="Z16930" s="658"/>
      <c r="AA16930" s="658"/>
    </row>
    <row r="16931" spans="1:27" s="657" customFormat="1" hidden="1" x14ac:dyDescent="0.2">
      <c r="A16931" s="591"/>
      <c r="B16931" s="591"/>
      <c r="H16931" s="439"/>
      <c r="I16931" s="439"/>
      <c r="J16931" s="750" t="e">
        <f t="shared" si="201"/>
        <v>#DIV/0!</v>
      </c>
      <c r="K16931" s="439"/>
      <c r="L16931" s="439"/>
      <c r="M16931" s="682"/>
      <c r="N16931" s="658"/>
      <c r="O16931" s="658"/>
      <c r="P16931" s="658"/>
      <c r="Q16931" s="658"/>
      <c r="R16931" s="658"/>
      <c r="S16931" s="658"/>
      <c r="T16931" s="658"/>
      <c r="U16931" s="658"/>
      <c r="V16931" s="658"/>
      <c r="W16931" s="658"/>
      <c r="X16931" s="658"/>
      <c r="Y16931" s="658"/>
      <c r="Z16931" s="658"/>
      <c r="AA16931" s="658"/>
    </row>
    <row r="16932" spans="1:27" s="657" customFormat="1" hidden="1" x14ac:dyDescent="0.2">
      <c r="A16932" s="591"/>
      <c r="B16932" s="591"/>
      <c r="H16932" s="439"/>
      <c r="I16932" s="439"/>
      <c r="J16932" s="750" t="e">
        <f t="shared" si="201"/>
        <v>#DIV/0!</v>
      </c>
      <c r="K16932" s="439"/>
      <c r="L16932" s="439"/>
      <c r="M16932" s="682"/>
      <c r="N16932" s="658"/>
      <c r="O16932" s="658"/>
      <c r="P16932" s="658"/>
      <c r="Q16932" s="658"/>
      <c r="R16932" s="658"/>
      <c r="S16932" s="658"/>
      <c r="T16932" s="658"/>
      <c r="U16932" s="658"/>
      <c r="V16932" s="658"/>
      <c r="W16932" s="658"/>
      <c r="X16932" s="658"/>
      <c r="Y16932" s="658"/>
      <c r="Z16932" s="658"/>
      <c r="AA16932" s="658"/>
    </row>
    <row r="16933" spans="1:27" s="657" customFormat="1" hidden="1" x14ac:dyDescent="0.2">
      <c r="A16933" s="591"/>
      <c r="B16933" s="591"/>
      <c r="H16933" s="439"/>
      <c r="I16933" s="439"/>
      <c r="J16933" s="750" t="e">
        <f t="shared" si="201"/>
        <v>#DIV/0!</v>
      </c>
      <c r="K16933" s="439"/>
      <c r="L16933" s="439"/>
      <c r="M16933" s="682"/>
      <c r="N16933" s="658"/>
      <c r="O16933" s="658"/>
      <c r="P16933" s="658"/>
      <c r="Q16933" s="658"/>
      <c r="R16933" s="658"/>
      <c r="S16933" s="658"/>
      <c r="T16933" s="658"/>
      <c r="U16933" s="658"/>
      <c r="V16933" s="658"/>
      <c r="W16933" s="658"/>
      <c r="X16933" s="658"/>
      <c r="Y16933" s="658"/>
      <c r="Z16933" s="658"/>
      <c r="AA16933" s="658"/>
    </row>
    <row r="16934" spans="1:27" s="657" customFormat="1" hidden="1" x14ac:dyDescent="0.2">
      <c r="A16934" s="591"/>
      <c r="B16934" s="591"/>
      <c r="H16934" s="439"/>
      <c r="I16934" s="439"/>
      <c r="J16934" s="750" t="e">
        <f t="shared" si="201"/>
        <v>#DIV/0!</v>
      </c>
      <c r="K16934" s="439"/>
      <c r="L16934" s="439"/>
      <c r="M16934" s="682"/>
      <c r="N16934" s="658"/>
      <c r="O16934" s="658"/>
      <c r="P16934" s="658"/>
      <c r="Q16934" s="658"/>
      <c r="R16934" s="658"/>
      <c r="S16934" s="658"/>
      <c r="T16934" s="658"/>
      <c r="U16934" s="658"/>
      <c r="V16934" s="658"/>
      <c r="W16934" s="658"/>
      <c r="X16934" s="658"/>
      <c r="Y16934" s="658"/>
      <c r="Z16934" s="658"/>
      <c r="AA16934" s="658"/>
    </row>
    <row r="16935" spans="1:27" s="657" customFormat="1" hidden="1" x14ac:dyDescent="0.2">
      <c r="A16935" s="591"/>
      <c r="B16935" s="591"/>
      <c r="H16935" s="439"/>
      <c r="I16935" s="439"/>
      <c r="J16935" s="750" t="e">
        <f t="shared" si="201"/>
        <v>#DIV/0!</v>
      </c>
      <c r="K16935" s="439"/>
      <c r="L16935" s="439"/>
      <c r="M16935" s="682"/>
      <c r="N16935" s="658"/>
      <c r="O16935" s="658"/>
      <c r="P16935" s="658"/>
      <c r="Q16935" s="658"/>
      <c r="R16935" s="658"/>
      <c r="S16935" s="658"/>
      <c r="T16935" s="658"/>
      <c r="U16935" s="658"/>
      <c r="V16935" s="658"/>
      <c r="W16935" s="658"/>
      <c r="X16935" s="658"/>
      <c r="Y16935" s="658"/>
      <c r="Z16935" s="658"/>
      <c r="AA16935" s="658"/>
    </row>
    <row r="16936" spans="1:27" s="657" customFormat="1" hidden="1" x14ac:dyDescent="0.2">
      <c r="A16936" s="591"/>
      <c r="B16936" s="591"/>
      <c r="H16936" s="439"/>
      <c r="I16936" s="439"/>
      <c r="J16936" s="750" t="e">
        <f t="shared" si="201"/>
        <v>#DIV/0!</v>
      </c>
      <c r="K16936" s="439"/>
      <c r="L16936" s="439"/>
      <c r="M16936" s="682"/>
      <c r="N16936" s="658"/>
      <c r="O16936" s="658"/>
      <c r="P16936" s="658"/>
      <c r="Q16936" s="658"/>
      <c r="R16936" s="658"/>
      <c r="S16936" s="658"/>
      <c r="T16936" s="658"/>
      <c r="U16936" s="658"/>
      <c r="V16936" s="658"/>
      <c r="W16936" s="658"/>
      <c r="X16936" s="658"/>
      <c r="Y16936" s="658"/>
      <c r="Z16936" s="658"/>
      <c r="AA16936" s="658"/>
    </row>
    <row r="16937" spans="1:27" s="657" customFormat="1" hidden="1" x14ac:dyDescent="0.2">
      <c r="A16937" s="591"/>
      <c r="B16937" s="591"/>
      <c r="H16937" s="439"/>
      <c r="I16937" s="439"/>
      <c r="J16937" s="750" t="e">
        <f t="shared" si="201"/>
        <v>#DIV/0!</v>
      </c>
      <c r="K16937" s="439"/>
      <c r="L16937" s="439"/>
      <c r="M16937" s="682"/>
      <c r="N16937" s="658"/>
      <c r="O16937" s="658"/>
      <c r="P16937" s="658"/>
      <c r="Q16937" s="658"/>
      <c r="R16937" s="658"/>
      <c r="S16937" s="658"/>
      <c r="T16937" s="658"/>
      <c r="U16937" s="658"/>
      <c r="V16937" s="658"/>
      <c r="W16937" s="658"/>
      <c r="X16937" s="658"/>
      <c r="Y16937" s="658"/>
      <c r="Z16937" s="658"/>
      <c r="AA16937" s="658"/>
    </row>
    <row r="16938" spans="1:27" s="657" customFormat="1" hidden="1" x14ac:dyDescent="0.2">
      <c r="A16938" s="591"/>
      <c r="B16938" s="591"/>
      <c r="H16938" s="439"/>
      <c r="I16938" s="439"/>
      <c r="J16938" s="750" t="e">
        <f t="shared" si="201"/>
        <v>#DIV/0!</v>
      </c>
      <c r="K16938" s="439"/>
      <c r="L16938" s="439"/>
      <c r="M16938" s="682"/>
      <c r="N16938" s="658"/>
      <c r="O16938" s="658"/>
      <c r="P16938" s="658"/>
      <c r="Q16938" s="658"/>
      <c r="R16938" s="658"/>
      <c r="S16938" s="658"/>
      <c r="T16938" s="658"/>
      <c r="U16938" s="658"/>
      <c r="V16938" s="658"/>
      <c r="W16938" s="658"/>
      <c r="X16938" s="658"/>
      <c r="Y16938" s="658"/>
      <c r="Z16938" s="658"/>
      <c r="AA16938" s="658"/>
    </row>
    <row r="16939" spans="1:27" s="657" customFormat="1" hidden="1" x14ac:dyDescent="0.2">
      <c r="A16939" s="591"/>
      <c r="B16939" s="591"/>
      <c r="H16939" s="439"/>
      <c r="I16939" s="439"/>
      <c r="J16939" s="750" t="e">
        <f t="shared" si="201"/>
        <v>#DIV/0!</v>
      </c>
      <c r="K16939" s="439"/>
      <c r="L16939" s="439"/>
      <c r="M16939" s="682"/>
      <c r="N16939" s="658"/>
      <c r="O16939" s="658"/>
      <c r="P16939" s="658"/>
      <c r="Q16939" s="658"/>
      <c r="R16939" s="658"/>
      <c r="S16939" s="658"/>
      <c r="T16939" s="658"/>
      <c r="U16939" s="658"/>
      <c r="V16939" s="658"/>
      <c r="W16939" s="658"/>
      <c r="X16939" s="658"/>
      <c r="Y16939" s="658"/>
      <c r="Z16939" s="658"/>
      <c r="AA16939" s="658"/>
    </row>
    <row r="16940" spans="1:27" s="657" customFormat="1" hidden="1" x14ac:dyDescent="0.2">
      <c r="A16940" s="591"/>
      <c r="B16940" s="591"/>
      <c r="H16940" s="439"/>
      <c r="I16940" s="439"/>
      <c r="J16940" s="750" t="e">
        <f t="shared" si="201"/>
        <v>#DIV/0!</v>
      </c>
      <c r="K16940" s="439"/>
      <c r="L16940" s="439"/>
      <c r="M16940" s="682"/>
      <c r="N16940" s="658"/>
      <c r="O16940" s="658"/>
      <c r="P16940" s="658"/>
      <c r="Q16940" s="658"/>
      <c r="R16940" s="658"/>
      <c r="S16940" s="658"/>
      <c r="T16940" s="658"/>
      <c r="U16940" s="658"/>
      <c r="V16940" s="658"/>
      <c r="W16940" s="658"/>
      <c r="X16940" s="658"/>
      <c r="Y16940" s="658"/>
      <c r="Z16940" s="658"/>
      <c r="AA16940" s="658"/>
    </row>
    <row r="16941" spans="1:27" s="657" customFormat="1" hidden="1" x14ac:dyDescent="0.2">
      <c r="A16941" s="591"/>
      <c r="B16941" s="591"/>
      <c r="H16941" s="439"/>
      <c r="I16941" s="439"/>
      <c r="J16941" s="750" t="e">
        <f t="shared" si="201"/>
        <v>#DIV/0!</v>
      </c>
      <c r="K16941" s="439"/>
      <c r="L16941" s="439"/>
      <c r="M16941" s="682"/>
      <c r="N16941" s="658"/>
      <c r="O16941" s="658"/>
      <c r="P16941" s="658"/>
      <c r="Q16941" s="658"/>
      <c r="R16941" s="658"/>
      <c r="S16941" s="658"/>
      <c r="T16941" s="658"/>
      <c r="U16941" s="658"/>
      <c r="V16941" s="658"/>
      <c r="W16941" s="658"/>
      <c r="X16941" s="658"/>
      <c r="Y16941" s="658"/>
      <c r="Z16941" s="658"/>
      <c r="AA16941" s="658"/>
    </row>
    <row r="16942" spans="1:27" s="657" customFormat="1" hidden="1" x14ac:dyDescent="0.2">
      <c r="A16942" s="591"/>
      <c r="B16942" s="591"/>
      <c r="H16942" s="439"/>
      <c r="I16942" s="439"/>
      <c r="J16942" s="750" t="e">
        <f t="shared" si="201"/>
        <v>#DIV/0!</v>
      </c>
      <c r="K16942" s="439"/>
      <c r="L16942" s="439"/>
      <c r="M16942" s="682"/>
      <c r="N16942" s="658"/>
      <c r="O16942" s="658"/>
      <c r="P16942" s="658"/>
      <c r="Q16942" s="658"/>
      <c r="R16942" s="658"/>
      <c r="S16942" s="658"/>
      <c r="T16942" s="658"/>
      <c r="U16942" s="658"/>
      <c r="V16942" s="658"/>
      <c r="W16942" s="658"/>
      <c r="X16942" s="658"/>
      <c r="Y16942" s="658"/>
      <c r="Z16942" s="658"/>
      <c r="AA16942" s="658"/>
    </row>
    <row r="16943" spans="1:27" s="657" customFormat="1" hidden="1" x14ac:dyDescent="0.2">
      <c r="A16943" s="591"/>
      <c r="B16943" s="591"/>
      <c r="H16943" s="439"/>
      <c r="I16943" s="439"/>
      <c r="J16943" s="750" t="e">
        <f t="shared" si="201"/>
        <v>#DIV/0!</v>
      </c>
      <c r="K16943" s="439"/>
      <c r="L16943" s="439"/>
      <c r="M16943" s="682"/>
      <c r="N16943" s="658"/>
      <c r="O16943" s="658"/>
      <c r="P16943" s="658"/>
      <c r="Q16943" s="658"/>
      <c r="R16943" s="658"/>
      <c r="S16943" s="658"/>
      <c r="T16943" s="658"/>
      <c r="U16943" s="658"/>
      <c r="V16943" s="658"/>
      <c r="W16943" s="658"/>
      <c r="X16943" s="658"/>
      <c r="Y16943" s="658"/>
      <c r="Z16943" s="658"/>
      <c r="AA16943" s="658"/>
    </row>
    <row r="16944" spans="1:27" s="657" customFormat="1" hidden="1" x14ac:dyDescent="0.2">
      <c r="A16944" s="591"/>
      <c r="B16944" s="591"/>
      <c r="H16944" s="439"/>
      <c r="I16944" s="439"/>
      <c r="J16944" s="750" t="e">
        <f t="shared" si="201"/>
        <v>#DIV/0!</v>
      </c>
      <c r="K16944" s="439"/>
      <c r="L16944" s="439"/>
      <c r="M16944" s="682"/>
      <c r="N16944" s="658"/>
      <c r="O16944" s="658"/>
      <c r="P16944" s="658"/>
      <c r="Q16944" s="658"/>
      <c r="R16944" s="658"/>
      <c r="S16944" s="658"/>
      <c r="T16944" s="658"/>
      <c r="U16944" s="658"/>
      <c r="V16944" s="658"/>
      <c r="W16944" s="658"/>
      <c r="X16944" s="658"/>
      <c r="Y16944" s="658"/>
      <c r="Z16944" s="658"/>
      <c r="AA16944" s="658"/>
    </row>
    <row r="16945" spans="1:27" s="657" customFormat="1" hidden="1" x14ac:dyDescent="0.2">
      <c r="A16945" s="591"/>
      <c r="B16945" s="591"/>
      <c r="H16945" s="439"/>
      <c r="I16945" s="439"/>
      <c r="J16945" s="750" t="e">
        <f t="shared" si="201"/>
        <v>#DIV/0!</v>
      </c>
      <c r="K16945" s="439"/>
      <c r="L16945" s="439"/>
      <c r="M16945" s="682"/>
      <c r="N16945" s="658"/>
      <c r="O16945" s="658"/>
      <c r="P16945" s="658"/>
      <c r="Q16945" s="658"/>
      <c r="R16945" s="658"/>
      <c r="S16945" s="658"/>
      <c r="T16945" s="658"/>
      <c r="U16945" s="658"/>
      <c r="V16945" s="658"/>
      <c r="W16945" s="658"/>
      <c r="X16945" s="658"/>
      <c r="Y16945" s="658"/>
      <c r="Z16945" s="658"/>
      <c r="AA16945" s="658"/>
    </row>
    <row r="16946" spans="1:27" s="657" customFormat="1" hidden="1" x14ac:dyDescent="0.2">
      <c r="A16946" s="591"/>
      <c r="B16946" s="591"/>
      <c r="H16946" s="439"/>
      <c r="I16946" s="439"/>
      <c r="J16946" s="750" t="e">
        <f t="shared" si="201"/>
        <v>#DIV/0!</v>
      </c>
      <c r="K16946" s="439"/>
      <c r="L16946" s="439"/>
      <c r="M16946" s="682"/>
      <c r="N16946" s="658"/>
      <c r="O16946" s="658"/>
      <c r="P16946" s="658"/>
      <c r="Q16946" s="658"/>
      <c r="R16946" s="658"/>
      <c r="S16946" s="658"/>
      <c r="T16946" s="658"/>
      <c r="U16946" s="658"/>
      <c r="V16946" s="658"/>
      <c r="W16946" s="658"/>
      <c r="X16946" s="658"/>
      <c r="Y16946" s="658"/>
      <c r="Z16946" s="658"/>
      <c r="AA16946" s="658"/>
    </row>
    <row r="16947" spans="1:27" s="657" customFormat="1" hidden="1" x14ac:dyDescent="0.2">
      <c r="A16947" s="591"/>
      <c r="B16947" s="591"/>
      <c r="H16947" s="439"/>
      <c r="I16947" s="439"/>
      <c r="J16947" s="750" t="e">
        <f t="shared" si="201"/>
        <v>#DIV/0!</v>
      </c>
      <c r="K16947" s="439"/>
      <c r="L16947" s="439"/>
      <c r="M16947" s="682"/>
      <c r="N16947" s="658"/>
      <c r="O16947" s="658"/>
      <c r="P16947" s="658"/>
      <c r="Q16947" s="658"/>
      <c r="R16947" s="658"/>
      <c r="S16947" s="658"/>
      <c r="T16947" s="658"/>
      <c r="U16947" s="658"/>
      <c r="V16947" s="658"/>
      <c r="W16947" s="658"/>
      <c r="X16947" s="658"/>
      <c r="Y16947" s="658"/>
      <c r="Z16947" s="658"/>
      <c r="AA16947" s="658"/>
    </row>
    <row r="16948" spans="1:27" s="657" customFormat="1" hidden="1" x14ac:dyDescent="0.2">
      <c r="A16948" s="591"/>
      <c r="B16948" s="591"/>
      <c r="H16948" s="439"/>
      <c r="I16948" s="439"/>
      <c r="J16948" s="750" t="e">
        <f t="shared" si="201"/>
        <v>#DIV/0!</v>
      </c>
      <c r="K16948" s="439"/>
      <c r="L16948" s="439"/>
      <c r="M16948" s="682"/>
      <c r="N16948" s="658"/>
      <c r="O16948" s="658"/>
      <c r="P16948" s="658"/>
      <c r="Q16948" s="658"/>
      <c r="R16948" s="658"/>
      <c r="S16948" s="658"/>
      <c r="T16948" s="658"/>
      <c r="U16948" s="658"/>
      <c r="V16948" s="658"/>
      <c r="W16948" s="658"/>
      <c r="X16948" s="658"/>
      <c r="Y16948" s="658"/>
      <c r="Z16948" s="658"/>
      <c r="AA16948" s="658"/>
    </row>
    <row r="16949" spans="1:27" s="657" customFormat="1" hidden="1" x14ac:dyDescent="0.2">
      <c r="A16949" s="591"/>
      <c r="B16949" s="591"/>
      <c r="H16949" s="439"/>
      <c r="I16949" s="439"/>
      <c r="J16949" s="750" t="e">
        <f t="shared" si="201"/>
        <v>#DIV/0!</v>
      </c>
      <c r="K16949" s="439"/>
      <c r="L16949" s="439"/>
      <c r="M16949" s="682"/>
      <c r="N16949" s="658"/>
      <c r="O16949" s="658"/>
      <c r="P16949" s="658"/>
      <c r="Q16949" s="658"/>
      <c r="R16949" s="658"/>
      <c r="S16949" s="658"/>
      <c r="T16949" s="658"/>
      <c r="U16949" s="658"/>
      <c r="V16949" s="658"/>
      <c r="W16949" s="658"/>
      <c r="X16949" s="658"/>
      <c r="Y16949" s="658"/>
      <c r="Z16949" s="658"/>
      <c r="AA16949" s="658"/>
    </row>
    <row r="16950" spans="1:27" s="657" customFormat="1" hidden="1" x14ac:dyDescent="0.2">
      <c r="A16950" s="591"/>
      <c r="B16950" s="591"/>
      <c r="H16950" s="439"/>
      <c r="I16950" s="439"/>
      <c r="J16950" s="750" t="e">
        <f t="shared" si="201"/>
        <v>#DIV/0!</v>
      </c>
      <c r="K16950" s="439"/>
      <c r="L16950" s="439"/>
      <c r="M16950" s="682"/>
      <c r="N16950" s="658"/>
      <c r="O16950" s="658"/>
      <c r="P16950" s="658"/>
      <c r="Q16950" s="658"/>
      <c r="R16950" s="658"/>
      <c r="S16950" s="658"/>
      <c r="T16950" s="658"/>
      <c r="U16950" s="658"/>
      <c r="V16950" s="658"/>
      <c r="W16950" s="658"/>
      <c r="X16950" s="658"/>
      <c r="Y16950" s="658"/>
      <c r="Z16950" s="658"/>
      <c r="AA16950" s="658"/>
    </row>
    <row r="16951" spans="1:27" s="657" customFormat="1" hidden="1" x14ac:dyDescent="0.2">
      <c r="A16951" s="591"/>
      <c r="B16951" s="591"/>
      <c r="H16951" s="439"/>
      <c r="I16951" s="439"/>
      <c r="J16951" s="750" t="e">
        <f t="shared" si="201"/>
        <v>#DIV/0!</v>
      </c>
      <c r="K16951" s="439"/>
      <c r="L16951" s="439"/>
      <c r="M16951" s="682"/>
      <c r="N16951" s="658"/>
      <c r="O16951" s="658"/>
      <c r="P16951" s="658"/>
      <c r="Q16951" s="658"/>
      <c r="R16951" s="658"/>
      <c r="S16951" s="658"/>
      <c r="T16951" s="658"/>
      <c r="U16951" s="658"/>
      <c r="V16951" s="658"/>
      <c r="W16951" s="658"/>
      <c r="X16951" s="658"/>
      <c r="Y16951" s="658"/>
      <c r="Z16951" s="658"/>
      <c r="AA16951" s="658"/>
    </row>
    <row r="16952" spans="1:27" s="657" customFormat="1" hidden="1" x14ac:dyDescent="0.2">
      <c r="A16952" s="591"/>
      <c r="B16952" s="591"/>
      <c r="H16952" s="439"/>
      <c r="I16952" s="439"/>
      <c r="J16952" s="750" t="e">
        <f t="shared" si="201"/>
        <v>#DIV/0!</v>
      </c>
      <c r="K16952" s="439"/>
      <c r="L16952" s="439"/>
      <c r="M16952" s="682"/>
      <c r="N16952" s="658"/>
      <c r="O16952" s="658"/>
      <c r="P16952" s="658"/>
      <c r="Q16952" s="658"/>
      <c r="R16952" s="658"/>
      <c r="S16952" s="658"/>
      <c r="T16952" s="658"/>
      <c r="U16952" s="658"/>
      <c r="V16952" s="658"/>
      <c r="W16952" s="658"/>
      <c r="X16952" s="658"/>
      <c r="Y16952" s="658"/>
      <c r="Z16952" s="658"/>
      <c r="AA16952" s="658"/>
    </row>
    <row r="16953" spans="1:27" s="657" customFormat="1" hidden="1" x14ac:dyDescent="0.2">
      <c r="A16953" s="591"/>
      <c r="B16953" s="591"/>
      <c r="H16953" s="439"/>
      <c r="I16953" s="439"/>
      <c r="J16953" s="750" t="e">
        <f t="shared" si="201"/>
        <v>#DIV/0!</v>
      </c>
      <c r="K16953" s="439"/>
      <c r="L16953" s="439"/>
      <c r="M16953" s="682"/>
      <c r="N16953" s="658"/>
      <c r="O16953" s="658"/>
      <c r="P16953" s="658"/>
      <c r="Q16953" s="658"/>
      <c r="R16953" s="658"/>
      <c r="S16953" s="658"/>
      <c r="T16953" s="658"/>
      <c r="U16953" s="658"/>
      <c r="V16953" s="658"/>
      <c r="W16953" s="658"/>
      <c r="X16953" s="658"/>
      <c r="Y16953" s="658"/>
      <c r="Z16953" s="658"/>
      <c r="AA16953" s="658"/>
    </row>
    <row r="16954" spans="1:27" s="657" customFormat="1" hidden="1" x14ac:dyDescent="0.2">
      <c r="A16954" s="591"/>
      <c r="B16954" s="591"/>
      <c r="H16954" s="439"/>
      <c r="I16954" s="439"/>
      <c r="J16954" s="750" t="e">
        <f t="shared" si="201"/>
        <v>#DIV/0!</v>
      </c>
      <c r="K16954" s="439"/>
      <c r="L16954" s="439"/>
      <c r="M16954" s="682"/>
      <c r="N16954" s="658"/>
      <c r="O16954" s="658"/>
      <c r="P16954" s="658"/>
      <c r="Q16954" s="658"/>
      <c r="R16954" s="658"/>
      <c r="S16954" s="658"/>
      <c r="T16954" s="658"/>
      <c r="U16954" s="658"/>
      <c r="V16954" s="658"/>
      <c r="W16954" s="658"/>
      <c r="X16954" s="658"/>
      <c r="Y16954" s="658"/>
      <c r="Z16954" s="658"/>
      <c r="AA16954" s="658"/>
    </row>
    <row r="16955" spans="1:27" s="657" customFormat="1" hidden="1" x14ac:dyDescent="0.2">
      <c r="A16955" s="591"/>
      <c r="B16955" s="591"/>
      <c r="H16955" s="439"/>
      <c r="I16955" s="439"/>
      <c r="J16955" s="750" t="e">
        <f t="shared" si="201"/>
        <v>#DIV/0!</v>
      </c>
      <c r="K16955" s="439"/>
      <c r="L16955" s="439"/>
      <c r="M16955" s="682"/>
      <c r="N16955" s="658"/>
      <c r="O16955" s="658"/>
      <c r="P16955" s="658"/>
      <c r="Q16955" s="658"/>
      <c r="R16955" s="658"/>
      <c r="S16955" s="658"/>
      <c r="T16955" s="658"/>
      <c r="U16955" s="658"/>
      <c r="V16955" s="658"/>
      <c r="W16955" s="658"/>
      <c r="X16955" s="658"/>
      <c r="Y16955" s="658"/>
      <c r="Z16955" s="658"/>
      <c r="AA16955" s="658"/>
    </row>
    <row r="16956" spans="1:27" s="657" customFormat="1" hidden="1" x14ac:dyDescent="0.2">
      <c r="A16956" s="591"/>
      <c r="B16956" s="591"/>
      <c r="H16956" s="439"/>
      <c r="I16956" s="439"/>
      <c r="J16956" s="750" t="e">
        <f t="shared" si="201"/>
        <v>#DIV/0!</v>
      </c>
      <c r="K16956" s="439"/>
      <c r="L16956" s="439"/>
      <c r="M16956" s="682"/>
      <c r="N16956" s="658"/>
      <c r="O16956" s="658"/>
      <c r="P16956" s="658"/>
      <c r="Q16956" s="658"/>
      <c r="R16956" s="658"/>
      <c r="S16956" s="658"/>
      <c r="T16956" s="658"/>
      <c r="U16956" s="658"/>
      <c r="V16956" s="658"/>
      <c r="W16956" s="658"/>
      <c r="X16956" s="658"/>
      <c r="Y16956" s="658"/>
      <c r="Z16956" s="658"/>
      <c r="AA16956" s="658"/>
    </row>
    <row r="16957" spans="1:27" s="657" customFormat="1" hidden="1" x14ac:dyDescent="0.2">
      <c r="A16957" s="591"/>
      <c r="B16957" s="591"/>
      <c r="H16957" s="439"/>
      <c r="I16957" s="439"/>
      <c r="J16957" s="750" t="e">
        <f t="shared" si="201"/>
        <v>#DIV/0!</v>
      </c>
      <c r="K16957" s="439"/>
      <c r="L16957" s="439"/>
      <c r="M16957" s="682"/>
      <c r="N16957" s="658"/>
      <c r="O16957" s="658"/>
      <c r="P16957" s="658"/>
      <c r="Q16957" s="658"/>
      <c r="R16957" s="658"/>
      <c r="S16957" s="658"/>
      <c r="T16957" s="658"/>
      <c r="U16957" s="658"/>
      <c r="V16957" s="658"/>
      <c r="W16957" s="658"/>
      <c r="X16957" s="658"/>
      <c r="Y16957" s="658"/>
      <c r="Z16957" s="658"/>
      <c r="AA16957" s="658"/>
    </row>
    <row r="16958" spans="1:27" s="657" customFormat="1" hidden="1" x14ac:dyDescent="0.2">
      <c r="A16958" s="591"/>
      <c r="B16958" s="591"/>
      <c r="H16958" s="439"/>
      <c r="I16958" s="439"/>
      <c r="J16958" s="750" t="e">
        <f t="shared" si="201"/>
        <v>#DIV/0!</v>
      </c>
      <c r="K16958" s="439"/>
      <c r="L16958" s="439"/>
      <c r="M16958" s="682"/>
      <c r="N16958" s="658"/>
      <c r="O16958" s="658"/>
      <c r="P16958" s="658"/>
      <c r="Q16958" s="658"/>
      <c r="R16958" s="658"/>
      <c r="S16958" s="658"/>
      <c r="T16958" s="658"/>
      <c r="U16958" s="658"/>
      <c r="V16958" s="658"/>
      <c r="W16958" s="658"/>
      <c r="X16958" s="658"/>
      <c r="Y16958" s="658"/>
      <c r="Z16958" s="658"/>
      <c r="AA16958" s="658"/>
    </row>
    <row r="16959" spans="1:27" s="657" customFormat="1" hidden="1" x14ac:dyDescent="0.2">
      <c r="A16959" s="591"/>
      <c r="B16959" s="591"/>
      <c r="H16959" s="439"/>
      <c r="I16959" s="439"/>
      <c r="J16959" s="750" t="e">
        <f t="shared" si="201"/>
        <v>#DIV/0!</v>
      </c>
      <c r="K16959" s="439"/>
      <c r="L16959" s="439"/>
      <c r="M16959" s="682"/>
      <c r="N16959" s="658"/>
      <c r="O16959" s="658"/>
      <c r="P16959" s="658"/>
      <c r="Q16959" s="658"/>
      <c r="R16959" s="658"/>
      <c r="S16959" s="658"/>
      <c r="T16959" s="658"/>
      <c r="U16959" s="658"/>
      <c r="V16959" s="658"/>
      <c r="W16959" s="658"/>
      <c r="X16959" s="658"/>
      <c r="Y16959" s="658"/>
      <c r="Z16959" s="658"/>
      <c r="AA16959" s="658"/>
    </row>
    <row r="16960" spans="1:27" s="657" customFormat="1" hidden="1" x14ac:dyDescent="0.2">
      <c r="A16960" s="591"/>
      <c r="B16960" s="591"/>
      <c r="H16960" s="439"/>
      <c r="I16960" s="439"/>
      <c r="J16960" s="750" t="e">
        <f t="shared" si="201"/>
        <v>#DIV/0!</v>
      </c>
      <c r="K16960" s="439"/>
      <c r="L16960" s="439"/>
      <c r="M16960" s="682"/>
      <c r="N16960" s="658"/>
      <c r="O16960" s="658"/>
      <c r="P16960" s="658"/>
      <c r="Q16960" s="658"/>
      <c r="R16960" s="658"/>
      <c r="S16960" s="658"/>
      <c r="T16960" s="658"/>
      <c r="U16960" s="658"/>
      <c r="V16960" s="658"/>
      <c r="W16960" s="658"/>
      <c r="X16960" s="658"/>
      <c r="Y16960" s="658"/>
      <c r="Z16960" s="658"/>
      <c r="AA16960" s="658"/>
    </row>
    <row r="16961" spans="1:27" s="657" customFormat="1" hidden="1" x14ac:dyDescent="0.2">
      <c r="A16961" s="591"/>
      <c r="B16961" s="591"/>
      <c r="H16961" s="439"/>
      <c r="I16961" s="439"/>
      <c r="J16961" s="750" t="e">
        <f t="shared" si="201"/>
        <v>#DIV/0!</v>
      </c>
      <c r="K16961" s="439"/>
      <c r="L16961" s="439"/>
      <c r="M16961" s="682"/>
      <c r="N16961" s="658"/>
      <c r="O16961" s="658"/>
      <c r="P16961" s="658"/>
      <c r="Q16961" s="658"/>
      <c r="R16961" s="658"/>
      <c r="S16961" s="658"/>
      <c r="T16961" s="658"/>
      <c r="U16961" s="658"/>
      <c r="V16961" s="658"/>
      <c r="W16961" s="658"/>
      <c r="X16961" s="658"/>
      <c r="Y16961" s="658"/>
      <c r="Z16961" s="658"/>
      <c r="AA16961" s="658"/>
    </row>
    <row r="16962" spans="1:27" s="657" customFormat="1" hidden="1" x14ac:dyDescent="0.2">
      <c r="A16962" s="591"/>
      <c r="B16962" s="591"/>
      <c r="H16962" s="439"/>
      <c r="I16962" s="439"/>
      <c r="J16962" s="750" t="e">
        <f t="shared" si="201"/>
        <v>#DIV/0!</v>
      </c>
      <c r="K16962" s="439"/>
      <c r="L16962" s="439"/>
      <c r="M16962" s="682"/>
      <c r="N16962" s="658"/>
      <c r="O16962" s="658"/>
      <c r="P16962" s="658"/>
      <c r="Q16962" s="658"/>
      <c r="R16962" s="658"/>
      <c r="S16962" s="658"/>
      <c r="T16962" s="658"/>
      <c r="U16962" s="658"/>
      <c r="V16962" s="658"/>
      <c r="W16962" s="658"/>
      <c r="X16962" s="658"/>
      <c r="Y16962" s="658"/>
      <c r="Z16962" s="658"/>
      <c r="AA16962" s="658"/>
    </row>
    <row r="16963" spans="1:27" s="657" customFormat="1" hidden="1" x14ac:dyDescent="0.2">
      <c r="A16963" s="591"/>
      <c r="B16963" s="591"/>
      <c r="H16963" s="439"/>
      <c r="I16963" s="439"/>
      <c r="J16963" s="750" t="e">
        <f t="shared" si="201"/>
        <v>#DIV/0!</v>
      </c>
      <c r="K16963" s="439"/>
      <c r="L16963" s="439"/>
      <c r="M16963" s="682"/>
      <c r="N16963" s="658"/>
      <c r="O16963" s="658"/>
      <c r="P16963" s="658"/>
      <c r="Q16963" s="658"/>
      <c r="R16963" s="658"/>
      <c r="S16963" s="658"/>
      <c r="T16963" s="658"/>
      <c r="U16963" s="658"/>
      <c r="V16963" s="658"/>
      <c r="W16963" s="658"/>
      <c r="X16963" s="658"/>
      <c r="Y16963" s="658"/>
      <c r="Z16963" s="658"/>
      <c r="AA16963" s="658"/>
    </row>
    <row r="16964" spans="1:27" s="657" customFormat="1" hidden="1" x14ac:dyDescent="0.2">
      <c r="A16964" s="591"/>
      <c r="B16964" s="591"/>
      <c r="H16964" s="439"/>
      <c r="I16964" s="439"/>
      <c r="J16964" s="750" t="e">
        <f t="shared" si="201"/>
        <v>#DIV/0!</v>
      </c>
      <c r="K16964" s="439"/>
      <c r="L16964" s="439"/>
      <c r="M16964" s="682"/>
      <c r="N16964" s="658"/>
      <c r="O16964" s="658"/>
      <c r="P16964" s="658"/>
      <c r="Q16964" s="658"/>
      <c r="R16964" s="658"/>
      <c r="S16964" s="658"/>
      <c r="T16964" s="658"/>
      <c r="U16964" s="658"/>
      <c r="V16964" s="658"/>
      <c r="W16964" s="658"/>
      <c r="X16964" s="658"/>
      <c r="Y16964" s="658"/>
      <c r="Z16964" s="658"/>
      <c r="AA16964" s="658"/>
    </row>
    <row r="16965" spans="1:27" s="657" customFormat="1" hidden="1" x14ac:dyDescent="0.2">
      <c r="A16965" s="591"/>
      <c r="B16965" s="591"/>
      <c r="H16965" s="439"/>
      <c r="I16965" s="439"/>
      <c r="J16965" s="750" t="e">
        <f t="shared" si="201"/>
        <v>#DIV/0!</v>
      </c>
      <c r="K16965" s="439"/>
      <c r="L16965" s="439"/>
      <c r="M16965" s="682"/>
      <c r="N16965" s="658"/>
      <c r="O16965" s="658"/>
      <c r="P16965" s="658"/>
      <c r="Q16965" s="658"/>
      <c r="R16965" s="658"/>
      <c r="S16965" s="658"/>
      <c r="T16965" s="658"/>
      <c r="U16965" s="658"/>
      <c r="V16965" s="658"/>
      <c r="W16965" s="658"/>
      <c r="X16965" s="658"/>
      <c r="Y16965" s="658"/>
      <c r="Z16965" s="658"/>
      <c r="AA16965" s="658"/>
    </row>
    <row r="16966" spans="1:27" s="657" customFormat="1" hidden="1" x14ac:dyDescent="0.2">
      <c r="A16966" s="591"/>
      <c r="B16966" s="591"/>
      <c r="H16966" s="439"/>
      <c r="I16966" s="439"/>
      <c r="J16966" s="750" t="e">
        <f t="shared" si="201"/>
        <v>#DIV/0!</v>
      </c>
      <c r="K16966" s="439"/>
      <c r="L16966" s="439"/>
      <c r="M16966" s="682"/>
      <c r="N16966" s="658"/>
      <c r="O16966" s="658"/>
      <c r="P16966" s="658"/>
      <c r="Q16966" s="658"/>
      <c r="R16966" s="658"/>
      <c r="S16966" s="658"/>
      <c r="T16966" s="658"/>
      <c r="U16966" s="658"/>
      <c r="V16966" s="658"/>
      <c r="W16966" s="658"/>
      <c r="X16966" s="658"/>
      <c r="Y16966" s="658"/>
      <c r="Z16966" s="658"/>
      <c r="AA16966" s="658"/>
    </row>
    <row r="16967" spans="1:27" s="657" customFormat="1" hidden="1" x14ac:dyDescent="0.2">
      <c r="A16967" s="591"/>
      <c r="B16967" s="591"/>
      <c r="H16967" s="439"/>
      <c r="I16967" s="439"/>
      <c r="J16967" s="750" t="e">
        <f t="shared" si="201"/>
        <v>#DIV/0!</v>
      </c>
      <c r="K16967" s="439"/>
      <c r="L16967" s="439"/>
      <c r="M16967" s="682"/>
      <c r="N16967" s="658"/>
      <c r="O16967" s="658"/>
      <c r="P16967" s="658"/>
      <c r="Q16967" s="658"/>
      <c r="R16967" s="658"/>
      <c r="S16967" s="658"/>
      <c r="T16967" s="658"/>
      <c r="U16967" s="658"/>
      <c r="V16967" s="658"/>
      <c r="W16967" s="658"/>
      <c r="X16967" s="658"/>
      <c r="Y16967" s="658"/>
      <c r="Z16967" s="658"/>
      <c r="AA16967" s="658"/>
    </row>
    <row r="16968" spans="1:27" s="657" customFormat="1" hidden="1" x14ac:dyDescent="0.2">
      <c r="A16968" s="591"/>
      <c r="B16968" s="591"/>
      <c r="H16968" s="439"/>
      <c r="I16968" s="439"/>
      <c r="J16968" s="750" t="e">
        <f t="shared" si="201"/>
        <v>#DIV/0!</v>
      </c>
      <c r="K16968" s="439"/>
      <c r="L16968" s="439"/>
      <c r="M16968" s="682"/>
      <c r="N16968" s="658"/>
      <c r="O16968" s="658"/>
      <c r="P16968" s="658"/>
      <c r="Q16968" s="658"/>
      <c r="R16968" s="658"/>
      <c r="S16968" s="658"/>
      <c r="T16968" s="658"/>
      <c r="U16968" s="658"/>
      <c r="V16968" s="658"/>
      <c r="W16968" s="658"/>
      <c r="X16968" s="658"/>
      <c r="Y16968" s="658"/>
      <c r="Z16968" s="658"/>
      <c r="AA16968" s="658"/>
    </row>
    <row r="16969" spans="1:27" s="657" customFormat="1" hidden="1" x14ac:dyDescent="0.2">
      <c r="A16969" s="591"/>
      <c r="B16969" s="591"/>
      <c r="H16969" s="439"/>
      <c r="I16969" s="439"/>
      <c r="J16969" s="750" t="e">
        <f t="shared" si="201"/>
        <v>#DIV/0!</v>
      </c>
      <c r="K16969" s="439"/>
      <c r="L16969" s="439"/>
      <c r="M16969" s="682"/>
      <c r="N16969" s="658"/>
      <c r="O16969" s="658"/>
      <c r="P16969" s="658"/>
      <c r="Q16969" s="658"/>
      <c r="R16969" s="658"/>
      <c r="S16969" s="658"/>
      <c r="T16969" s="658"/>
      <c r="U16969" s="658"/>
      <c r="V16969" s="658"/>
      <c r="W16969" s="658"/>
      <c r="X16969" s="658"/>
      <c r="Y16969" s="658"/>
      <c r="Z16969" s="658"/>
      <c r="AA16969" s="658"/>
    </row>
    <row r="16970" spans="1:27" s="657" customFormat="1" hidden="1" x14ac:dyDescent="0.2">
      <c r="A16970" s="591"/>
      <c r="B16970" s="591"/>
      <c r="H16970" s="439"/>
      <c r="I16970" s="439"/>
      <c r="J16970" s="750" t="e">
        <f t="shared" si="201"/>
        <v>#DIV/0!</v>
      </c>
      <c r="K16970" s="439"/>
      <c r="L16970" s="439"/>
      <c r="M16970" s="682"/>
      <c r="N16970" s="658"/>
      <c r="O16970" s="658"/>
      <c r="P16970" s="658"/>
      <c r="Q16970" s="658"/>
      <c r="R16970" s="658"/>
      <c r="S16970" s="658"/>
      <c r="T16970" s="658"/>
      <c r="U16970" s="658"/>
      <c r="V16970" s="658"/>
      <c r="W16970" s="658"/>
      <c r="X16970" s="658"/>
      <c r="Y16970" s="658"/>
      <c r="Z16970" s="658"/>
      <c r="AA16970" s="658"/>
    </row>
    <row r="16971" spans="1:27" s="657" customFormat="1" hidden="1" x14ac:dyDescent="0.2">
      <c r="A16971" s="591"/>
      <c r="B16971" s="591"/>
      <c r="H16971" s="439"/>
      <c r="I16971" s="439"/>
      <c r="J16971" s="750" t="e">
        <f t="shared" si="201"/>
        <v>#DIV/0!</v>
      </c>
      <c r="K16971" s="439"/>
      <c r="L16971" s="439"/>
      <c r="M16971" s="682"/>
      <c r="N16971" s="658"/>
      <c r="O16971" s="658"/>
      <c r="P16971" s="658"/>
      <c r="Q16971" s="658"/>
      <c r="R16971" s="658"/>
      <c r="S16971" s="658"/>
      <c r="T16971" s="658"/>
      <c r="U16971" s="658"/>
      <c r="V16971" s="658"/>
      <c r="W16971" s="658"/>
      <c r="X16971" s="658"/>
      <c r="Y16971" s="658"/>
      <c r="Z16971" s="658"/>
      <c r="AA16971" s="658"/>
    </row>
    <row r="16972" spans="1:27" s="657" customFormat="1" hidden="1" x14ac:dyDescent="0.2">
      <c r="A16972" s="591"/>
      <c r="B16972" s="591"/>
      <c r="H16972" s="439"/>
      <c r="I16972" s="439"/>
      <c r="J16972" s="750" t="e">
        <f t="shared" si="201"/>
        <v>#DIV/0!</v>
      </c>
      <c r="K16972" s="439"/>
      <c r="L16972" s="439"/>
      <c r="M16972" s="682"/>
      <c r="N16972" s="658"/>
      <c r="O16972" s="658"/>
      <c r="P16972" s="658"/>
      <c r="Q16972" s="658"/>
      <c r="R16972" s="658"/>
      <c r="S16972" s="658"/>
      <c r="T16972" s="658"/>
      <c r="U16972" s="658"/>
      <c r="V16972" s="658"/>
      <c r="W16972" s="658"/>
      <c r="X16972" s="658"/>
      <c r="Y16972" s="658"/>
      <c r="Z16972" s="658"/>
      <c r="AA16972" s="658"/>
    </row>
    <row r="16973" spans="1:27" s="657" customFormat="1" hidden="1" x14ac:dyDescent="0.2">
      <c r="A16973" s="591"/>
      <c r="B16973" s="591"/>
      <c r="H16973" s="439"/>
      <c r="I16973" s="439"/>
      <c r="J16973" s="750" t="e">
        <f t="shared" si="201"/>
        <v>#DIV/0!</v>
      </c>
      <c r="K16973" s="439"/>
      <c r="L16973" s="439"/>
      <c r="M16973" s="682"/>
      <c r="N16973" s="658"/>
      <c r="O16973" s="658"/>
      <c r="P16973" s="658"/>
      <c r="Q16973" s="658"/>
      <c r="R16973" s="658"/>
      <c r="S16973" s="658"/>
      <c r="T16973" s="658"/>
      <c r="U16973" s="658"/>
      <c r="V16973" s="658"/>
      <c r="W16973" s="658"/>
      <c r="X16973" s="658"/>
      <c r="Y16973" s="658"/>
      <c r="Z16973" s="658"/>
      <c r="AA16973" s="658"/>
    </row>
    <row r="16974" spans="1:27" s="657" customFormat="1" hidden="1" x14ac:dyDescent="0.2">
      <c r="A16974" s="591"/>
      <c r="B16974" s="591"/>
      <c r="H16974" s="439"/>
      <c r="I16974" s="439"/>
      <c r="J16974" s="750" t="e">
        <f t="shared" ref="J16974:J17037" si="202">SUM(I16974/H16974)*100</f>
        <v>#DIV/0!</v>
      </c>
      <c r="K16974" s="439"/>
      <c r="L16974" s="439"/>
      <c r="M16974" s="682"/>
      <c r="N16974" s="658"/>
      <c r="O16974" s="658"/>
      <c r="P16974" s="658"/>
      <c r="Q16974" s="658"/>
      <c r="R16974" s="658"/>
      <c r="S16974" s="658"/>
      <c r="T16974" s="658"/>
      <c r="U16974" s="658"/>
      <c r="V16974" s="658"/>
      <c r="W16974" s="658"/>
      <c r="X16974" s="658"/>
      <c r="Y16974" s="658"/>
      <c r="Z16974" s="658"/>
      <c r="AA16974" s="658"/>
    </row>
    <row r="16975" spans="1:27" s="657" customFormat="1" hidden="1" x14ac:dyDescent="0.2">
      <c r="A16975" s="591"/>
      <c r="B16975" s="591"/>
      <c r="H16975" s="439"/>
      <c r="I16975" s="439"/>
      <c r="J16975" s="750" t="e">
        <f t="shared" si="202"/>
        <v>#DIV/0!</v>
      </c>
      <c r="K16975" s="439"/>
      <c r="L16975" s="439"/>
      <c r="M16975" s="682"/>
      <c r="N16975" s="658"/>
      <c r="O16975" s="658"/>
      <c r="P16975" s="658"/>
      <c r="Q16975" s="658"/>
      <c r="R16975" s="658"/>
      <c r="S16975" s="658"/>
      <c r="T16975" s="658"/>
      <c r="U16975" s="658"/>
      <c r="V16975" s="658"/>
      <c r="W16975" s="658"/>
      <c r="X16975" s="658"/>
      <c r="Y16975" s="658"/>
      <c r="Z16975" s="658"/>
      <c r="AA16975" s="658"/>
    </row>
    <row r="16976" spans="1:27" s="657" customFormat="1" hidden="1" collapsed="1" x14ac:dyDescent="0.2">
      <c r="A16976" s="591"/>
      <c r="B16976" s="591"/>
      <c r="H16976" s="439"/>
      <c r="I16976" s="439"/>
      <c r="J16976" s="750" t="e">
        <f t="shared" si="202"/>
        <v>#DIV/0!</v>
      </c>
      <c r="K16976" s="439"/>
      <c r="L16976" s="439"/>
      <c r="M16976" s="682"/>
      <c r="N16976" s="658"/>
      <c r="O16976" s="658"/>
      <c r="P16976" s="658"/>
      <c r="Q16976" s="658"/>
      <c r="R16976" s="658"/>
      <c r="S16976" s="658"/>
      <c r="T16976" s="658"/>
      <c r="U16976" s="658"/>
      <c r="V16976" s="658"/>
      <c r="W16976" s="658"/>
      <c r="X16976" s="658"/>
      <c r="Y16976" s="658"/>
      <c r="Z16976" s="658"/>
      <c r="AA16976" s="658"/>
    </row>
    <row r="16977" spans="1:27" s="657" customFormat="1" hidden="1" x14ac:dyDescent="0.2">
      <c r="A16977" s="591"/>
      <c r="B16977" s="591"/>
      <c r="H16977" s="439"/>
      <c r="I16977" s="439"/>
      <c r="J16977" s="750" t="e">
        <f t="shared" si="202"/>
        <v>#DIV/0!</v>
      </c>
      <c r="K16977" s="439"/>
      <c r="L16977" s="439"/>
      <c r="M16977" s="682"/>
      <c r="N16977" s="658"/>
      <c r="O16977" s="658"/>
      <c r="P16977" s="658"/>
      <c r="Q16977" s="658"/>
      <c r="R16977" s="658"/>
      <c r="S16977" s="658"/>
      <c r="T16977" s="658"/>
      <c r="U16977" s="658"/>
      <c r="V16977" s="658"/>
      <c r="W16977" s="658"/>
      <c r="X16977" s="658"/>
      <c r="Y16977" s="658"/>
      <c r="Z16977" s="658"/>
      <c r="AA16977" s="658"/>
    </row>
    <row r="16978" spans="1:27" s="657" customFormat="1" hidden="1" x14ac:dyDescent="0.2">
      <c r="A16978" s="591"/>
      <c r="B16978" s="591"/>
      <c r="H16978" s="439"/>
      <c r="I16978" s="439"/>
      <c r="J16978" s="750" t="e">
        <f t="shared" si="202"/>
        <v>#DIV/0!</v>
      </c>
      <c r="K16978" s="439"/>
      <c r="L16978" s="439"/>
      <c r="M16978" s="682"/>
      <c r="N16978" s="658"/>
      <c r="O16978" s="658"/>
      <c r="P16978" s="658"/>
      <c r="Q16978" s="658"/>
      <c r="R16978" s="658"/>
      <c r="S16978" s="658"/>
      <c r="T16978" s="658"/>
      <c r="U16978" s="658"/>
      <c r="V16978" s="658"/>
      <c r="W16978" s="658"/>
      <c r="X16978" s="658"/>
      <c r="Y16978" s="658"/>
      <c r="Z16978" s="658"/>
      <c r="AA16978" s="658"/>
    </row>
    <row r="16979" spans="1:27" s="657" customFormat="1" hidden="1" x14ac:dyDescent="0.2">
      <c r="A16979" s="591"/>
      <c r="B16979" s="591"/>
      <c r="H16979" s="439"/>
      <c r="I16979" s="439"/>
      <c r="J16979" s="750" t="e">
        <f t="shared" si="202"/>
        <v>#DIV/0!</v>
      </c>
      <c r="K16979" s="439"/>
      <c r="L16979" s="439"/>
      <c r="M16979" s="682"/>
      <c r="N16979" s="658"/>
      <c r="O16979" s="658"/>
      <c r="P16979" s="658"/>
      <c r="Q16979" s="658"/>
      <c r="R16979" s="658"/>
      <c r="S16979" s="658"/>
      <c r="T16979" s="658"/>
      <c r="U16979" s="658"/>
      <c r="V16979" s="658"/>
      <c r="W16979" s="658"/>
      <c r="X16979" s="658"/>
      <c r="Y16979" s="658"/>
      <c r="Z16979" s="658"/>
      <c r="AA16979" s="658"/>
    </row>
    <row r="16980" spans="1:27" s="657" customFormat="1" hidden="1" x14ac:dyDescent="0.2">
      <c r="A16980" s="591"/>
      <c r="B16980" s="591"/>
      <c r="H16980" s="439"/>
      <c r="I16980" s="439"/>
      <c r="J16980" s="750" t="e">
        <f t="shared" si="202"/>
        <v>#DIV/0!</v>
      </c>
      <c r="K16980" s="439"/>
      <c r="L16980" s="439"/>
      <c r="M16980" s="682"/>
      <c r="N16980" s="658"/>
      <c r="O16980" s="658"/>
      <c r="P16980" s="658"/>
      <c r="Q16980" s="658"/>
      <c r="R16980" s="658"/>
      <c r="S16980" s="658"/>
      <c r="T16980" s="658"/>
      <c r="U16980" s="658"/>
      <c r="V16980" s="658"/>
      <c r="W16980" s="658"/>
      <c r="X16980" s="658"/>
      <c r="Y16980" s="658"/>
      <c r="Z16980" s="658"/>
      <c r="AA16980" s="658"/>
    </row>
    <row r="16981" spans="1:27" s="657" customFormat="1" hidden="1" x14ac:dyDescent="0.2">
      <c r="A16981" s="591"/>
      <c r="B16981" s="591"/>
      <c r="H16981" s="439"/>
      <c r="I16981" s="439"/>
      <c r="J16981" s="750" t="e">
        <f t="shared" si="202"/>
        <v>#DIV/0!</v>
      </c>
      <c r="K16981" s="439"/>
      <c r="L16981" s="439"/>
      <c r="M16981" s="682"/>
      <c r="N16981" s="658"/>
      <c r="O16981" s="658"/>
      <c r="P16981" s="658"/>
      <c r="Q16981" s="658"/>
      <c r="R16981" s="658"/>
      <c r="S16981" s="658"/>
      <c r="T16981" s="658"/>
      <c r="U16981" s="658"/>
      <c r="V16981" s="658"/>
      <c r="W16981" s="658"/>
      <c r="X16981" s="658"/>
      <c r="Y16981" s="658"/>
      <c r="Z16981" s="658"/>
      <c r="AA16981" s="658"/>
    </row>
    <row r="16982" spans="1:27" s="657" customFormat="1" hidden="1" x14ac:dyDescent="0.2">
      <c r="A16982" s="591"/>
      <c r="B16982" s="591"/>
      <c r="H16982" s="439"/>
      <c r="I16982" s="439"/>
      <c r="J16982" s="750" t="e">
        <f t="shared" si="202"/>
        <v>#DIV/0!</v>
      </c>
      <c r="K16982" s="439"/>
      <c r="L16982" s="439"/>
      <c r="M16982" s="682"/>
      <c r="N16982" s="658"/>
      <c r="O16982" s="658"/>
      <c r="P16982" s="658"/>
      <c r="Q16982" s="658"/>
      <c r="R16982" s="658"/>
      <c r="S16982" s="658"/>
      <c r="T16982" s="658"/>
      <c r="U16982" s="658"/>
      <c r="V16982" s="658"/>
      <c r="W16982" s="658"/>
      <c r="X16982" s="658"/>
      <c r="Y16982" s="658"/>
      <c r="Z16982" s="658"/>
      <c r="AA16982" s="658"/>
    </row>
    <row r="16983" spans="1:27" s="657" customFormat="1" hidden="1" x14ac:dyDescent="0.2">
      <c r="A16983" s="591"/>
      <c r="B16983" s="591"/>
      <c r="H16983" s="439"/>
      <c r="I16983" s="439"/>
      <c r="J16983" s="750" t="e">
        <f t="shared" si="202"/>
        <v>#DIV/0!</v>
      </c>
      <c r="K16983" s="439"/>
      <c r="L16983" s="439"/>
      <c r="M16983" s="682"/>
      <c r="N16983" s="658"/>
      <c r="O16983" s="658"/>
      <c r="P16983" s="658"/>
      <c r="Q16983" s="658"/>
      <c r="R16983" s="658"/>
      <c r="S16983" s="658"/>
      <c r="T16983" s="658"/>
      <c r="U16983" s="658"/>
      <c r="V16983" s="658"/>
      <c r="W16983" s="658"/>
      <c r="X16983" s="658"/>
      <c r="Y16983" s="658"/>
      <c r="Z16983" s="658"/>
      <c r="AA16983" s="658"/>
    </row>
    <row r="16984" spans="1:27" s="657" customFormat="1" hidden="1" x14ac:dyDescent="0.2">
      <c r="A16984" s="591"/>
      <c r="B16984" s="591"/>
      <c r="H16984" s="439"/>
      <c r="I16984" s="439"/>
      <c r="J16984" s="750" t="e">
        <f t="shared" si="202"/>
        <v>#DIV/0!</v>
      </c>
      <c r="K16984" s="439"/>
      <c r="L16984" s="439"/>
      <c r="M16984" s="682"/>
      <c r="N16984" s="658"/>
      <c r="O16984" s="658"/>
      <c r="P16984" s="658"/>
      <c r="Q16984" s="658"/>
      <c r="R16984" s="658"/>
      <c r="S16984" s="658"/>
      <c r="T16984" s="658"/>
      <c r="U16984" s="658"/>
      <c r="V16984" s="658"/>
      <c r="W16984" s="658"/>
      <c r="X16984" s="658"/>
      <c r="Y16984" s="658"/>
      <c r="Z16984" s="658"/>
      <c r="AA16984" s="658"/>
    </row>
    <row r="16985" spans="1:27" s="657" customFormat="1" hidden="1" x14ac:dyDescent="0.2">
      <c r="A16985" s="591"/>
      <c r="B16985" s="591"/>
      <c r="H16985" s="439"/>
      <c r="I16985" s="439"/>
      <c r="J16985" s="750" t="e">
        <f t="shared" si="202"/>
        <v>#DIV/0!</v>
      </c>
      <c r="K16985" s="439"/>
      <c r="L16985" s="439"/>
      <c r="M16985" s="682"/>
      <c r="N16985" s="658"/>
      <c r="O16985" s="658"/>
      <c r="P16985" s="658"/>
      <c r="Q16985" s="658"/>
      <c r="R16985" s="658"/>
      <c r="S16985" s="658"/>
      <c r="T16985" s="658"/>
      <c r="U16985" s="658"/>
      <c r="V16985" s="658"/>
      <c r="W16985" s="658"/>
      <c r="X16985" s="658"/>
      <c r="Y16985" s="658"/>
      <c r="Z16985" s="658"/>
      <c r="AA16985" s="658"/>
    </row>
    <row r="16986" spans="1:27" s="657" customFormat="1" hidden="1" x14ac:dyDescent="0.2">
      <c r="A16986" s="591"/>
      <c r="B16986" s="591"/>
      <c r="H16986" s="439"/>
      <c r="I16986" s="439"/>
      <c r="J16986" s="750" t="e">
        <f t="shared" si="202"/>
        <v>#DIV/0!</v>
      </c>
      <c r="K16986" s="439"/>
      <c r="L16986" s="439"/>
      <c r="M16986" s="682"/>
      <c r="N16986" s="658"/>
      <c r="O16986" s="658"/>
      <c r="P16986" s="658"/>
      <c r="Q16986" s="658"/>
      <c r="R16986" s="658"/>
      <c r="S16986" s="658"/>
      <c r="T16986" s="658"/>
      <c r="U16986" s="658"/>
      <c r="V16986" s="658"/>
      <c r="W16986" s="658"/>
      <c r="X16986" s="658"/>
      <c r="Y16986" s="658"/>
      <c r="Z16986" s="658"/>
      <c r="AA16986" s="658"/>
    </row>
    <row r="16987" spans="1:27" s="657" customFormat="1" hidden="1" x14ac:dyDescent="0.2">
      <c r="A16987" s="591"/>
      <c r="B16987" s="591"/>
      <c r="H16987" s="439"/>
      <c r="I16987" s="439"/>
      <c r="J16987" s="750" t="e">
        <f t="shared" si="202"/>
        <v>#DIV/0!</v>
      </c>
      <c r="K16987" s="439"/>
      <c r="L16987" s="439"/>
      <c r="M16987" s="682"/>
      <c r="N16987" s="658"/>
      <c r="O16987" s="658"/>
      <c r="P16987" s="658"/>
      <c r="Q16987" s="658"/>
      <c r="R16987" s="658"/>
      <c r="S16987" s="658"/>
      <c r="T16987" s="658"/>
      <c r="U16987" s="658"/>
      <c r="V16987" s="658"/>
      <c r="W16987" s="658"/>
      <c r="X16987" s="658"/>
      <c r="Y16987" s="658"/>
      <c r="Z16987" s="658"/>
      <c r="AA16987" s="658"/>
    </row>
    <row r="16988" spans="1:27" s="657" customFormat="1" hidden="1" x14ac:dyDescent="0.2">
      <c r="A16988" s="591"/>
      <c r="B16988" s="591"/>
      <c r="H16988" s="439"/>
      <c r="I16988" s="439"/>
      <c r="J16988" s="750" t="e">
        <f t="shared" si="202"/>
        <v>#DIV/0!</v>
      </c>
      <c r="K16988" s="439"/>
      <c r="L16988" s="439"/>
      <c r="M16988" s="682"/>
      <c r="N16988" s="658"/>
      <c r="O16988" s="658"/>
      <c r="P16988" s="658"/>
      <c r="Q16988" s="658"/>
      <c r="R16988" s="658"/>
      <c r="S16988" s="658"/>
      <c r="T16988" s="658"/>
      <c r="U16988" s="658"/>
      <c r="V16988" s="658"/>
      <c r="W16988" s="658"/>
      <c r="X16988" s="658"/>
      <c r="Y16988" s="658"/>
      <c r="Z16988" s="658"/>
      <c r="AA16988" s="658"/>
    </row>
    <row r="16989" spans="1:27" s="657" customFormat="1" hidden="1" x14ac:dyDescent="0.2">
      <c r="A16989" s="591"/>
      <c r="B16989" s="591"/>
      <c r="H16989" s="439"/>
      <c r="I16989" s="439"/>
      <c r="J16989" s="750" t="e">
        <f t="shared" si="202"/>
        <v>#DIV/0!</v>
      </c>
      <c r="K16989" s="439"/>
      <c r="L16989" s="439"/>
      <c r="M16989" s="682"/>
      <c r="N16989" s="658"/>
      <c r="O16989" s="658"/>
      <c r="P16989" s="658"/>
      <c r="Q16989" s="658"/>
      <c r="R16989" s="658"/>
      <c r="S16989" s="658"/>
      <c r="T16989" s="658"/>
      <c r="U16989" s="658"/>
      <c r="V16989" s="658"/>
      <c r="W16989" s="658"/>
      <c r="X16989" s="658"/>
      <c r="Y16989" s="658"/>
      <c r="Z16989" s="658"/>
      <c r="AA16989" s="658"/>
    </row>
    <row r="16990" spans="1:27" s="657" customFormat="1" hidden="1" x14ac:dyDescent="0.2">
      <c r="A16990" s="591"/>
      <c r="B16990" s="591"/>
      <c r="H16990" s="439"/>
      <c r="I16990" s="439"/>
      <c r="J16990" s="750" t="e">
        <f t="shared" si="202"/>
        <v>#DIV/0!</v>
      </c>
      <c r="K16990" s="439"/>
      <c r="L16990" s="439"/>
      <c r="M16990" s="682"/>
      <c r="N16990" s="658"/>
      <c r="O16990" s="658"/>
      <c r="P16990" s="658"/>
      <c r="Q16990" s="658"/>
      <c r="R16990" s="658"/>
      <c r="S16990" s="658"/>
      <c r="T16990" s="658"/>
      <c r="U16990" s="658"/>
      <c r="V16990" s="658"/>
      <c r="W16990" s="658"/>
      <c r="X16990" s="658"/>
      <c r="Y16990" s="658"/>
      <c r="Z16990" s="658"/>
      <c r="AA16990" s="658"/>
    </row>
    <row r="16991" spans="1:27" s="657" customFormat="1" hidden="1" x14ac:dyDescent="0.2">
      <c r="A16991" s="591"/>
      <c r="B16991" s="591"/>
      <c r="H16991" s="439"/>
      <c r="I16991" s="439"/>
      <c r="J16991" s="750" t="e">
        <f t="shared" si="202"/>
        <v>#DIV/0!</v>
      </c>
      <c r="K16991" s="439"/>
      <c r="L16991" s="439"/>
      <c r="M16991" s="682"/>
      <c r="N16991" s="658"/>
      <c r="O16991" s="658"/>
      <c r="P16991" s="658"/>
      <c r="Q16991" s="658"/>
      <c r="R16991" s="658"/>
      <c r="S16991" s="658"/>
      <c r="T16991" s="658"/>
      <c r="U16991" s="658"/>
      <c r="V16991" s="658"/>
      <c r="W16991" s="658"/>
      <c r="X16991" s="658"/>
      <c r="Y16991" s="658"/>
      <c r="Z16991" s="658"/>
      <c r="AA16991" s="658"/>
    </row>
    <row r="16992" spans="1:27" s="657" customFormat="1" hidden="1" x14ac:dyDescent="0.2">
      <c r="A16992" s="591"/>
      <c r="B16992" s="591"/>
      <c r="H16992" s="439"/>
      <c r="I16992" s="439"/>
      <c r="J16992" s="750" t="e">
        <f t="shared" si="202"/>
        <v>#DIV/0!</v>
      </c>
      <c r="K16992" s="439"/>
      <c r="L16992" s="439"/>
      <c r="M16992" s="682"/>
      <c r="N16992" s="658"/>
      <c r="O16992" s="658"/>
      <c r="P16992" s="658"/>
      <c r="Q16992" s="658"/>
      <c r="R16992" s="658"/>
      <c r="S16992" s="658"/>
      <c r="T16992" s="658"/>
      <c r="U16992" s="658"/>
      <c r="V16992" s="658"/>
      <c r="W16992" s="658"/>
      <c r="X16992" s="658"/>
      <c r="Y16992" s="658"/>
      <c r="Z16992" s="658"/>
      <c r="AA16992" s="658"/>
    </row>
    <row r="16993" spans="1:27" s="657" customFormat="1" hidden="1" collapsed="1" x14ac:dyDescent="0.2">
      <c r="A16993" s="591"/>
      <c r="B16993" s="591"/>
      <c r="H16993" s="439"/>
      <c r="I16993" s="439"/>
      <c r="J16993" s="750" t="e">
        <f t="shared" si="202"/>
        <v>#DIV/0!</v>
      </c>
      <c r="K16993" s="439"/>
      <c r="L16993" s="439"/>
      <c r="M16993" s="682"/>
      <c r="N16993" s="658"/>
      <c r="O16993" s="658"/>
      <c r="P16993" s="658"/>
      <c r="Q16993" s="658"/>
      <c r="R16993" s="658"/>
      <c r="S16993" s="658"/>
      <c r="T16993" s="658"/>
      <c r="U16993" s="658"/>
      <c r="V16993" s="658"/>
      <c r="W16993" s="658"/>
      <c r="X16993" s="658"/>
      <c r="Y16993" s="658"/>
      <c r="Z16993" s="658"/>
      <c r="AA16993" s="658"/>
    </row>
    <row r="16994" spans="1:27" s="657" customFormat="1" hidden="1" x14ac:dyDescent="0.2">
      <c r="A16994" s="591"/>
      <c r="B16994" s="591"/>
      <c r="C16994" s="595"/>
      <c r="D16994" s="591"/>
      <c r="E16994" s="591"/>
      <c r="F16994" s="591"/>
      <c r="G16994" s="659"/>
      <c r="H16994" s="397"/>
      <c r="I16994" s="397"/>
      <c r="J16994" s="750" t="e">
        <f t="shared" si="202"/>
        <v>#DIV/0!</v>
      </c>
      <c r="K16994" s="398"/>
      <c r="L16994" s="398"/>
      <c r="M16994" s="682"/>
      <c r="N16994" s="658"/>
      <c r="O16994" s="658"/>
      <c r="P16994" s="658"/>
      <c r="Q16994" s="658"/>
      <c r="R16994" s="658"/>
      <c r="S16994" s="658"/>
      <c r="T16994" s="658"/>
      <c r="U16994" s="658"/>
      <c r="V16994" s="658"/>
      <c r="W16994" s="658"/>
      <c r="X16994" s="658"/>
      <c r="Y16994" s="658"/>
      <c r="Z16994" s="658"/>
      <c r="AA16994" s="658"/>
    </row>
    <row r="16995" spans="1:27" hidden="1" x14ac:dyDescent="0.2">
      <c r="H16995" s="397"/>
      <c r="I16995" s="397"/>
      <c r="J16995" s="750" t="e">
        <f t="shared" si="202"/>
        <v>#DIV/0!</v>
      </c>
      <c r="K16995" s="398"/>
      <c r="L16995" s="398"/>
      <c r="M16995" s="682"/>
    </row>
    <row r="16996" spans="1:27" hidden="1" x14ac:dyDescent="0.2">
      <c r="C16996" s="489" t="s">
        <v>4739</v>
      </c>
      <c r="D16996" s="490"/>
      <c r="G16996" s="508" t="s">
        <v>4232</v>
      </c>
      <c r="H16996" s="397"/>
      <c r="I16996" s="397"/>
      <c r="J16996" s="750" t="e">
        <f t="shared" si="202"/>
        <v>#DIV/0!</v>
      </c>
      <c r="K16996" s="398"/>
      <c r="L16996" s="398"/>
      <c r="M16996" s="682"/>
    </row>
    <row r="16997" spans="1:27" hidden="1" x14ac:dyDescent="0.2">
      <c r="C16997" s="489"/>
      <c r="D16997" s="492">
        <v>920</v>
      </c>
      <c r="E16997" s="492"/>
      <c r="F16997" s="492"/>
      <c r="G16997" s="493" t="s">
        <v>220</v>
      </c>
      <c r="H16997" s="397"/>
      <c r="I16997" s="397"/>
      <c r="J16997" s="750" t="e">
        <f t="shared" si="202"/>
        <v>#DIV/0!</v>
      </c>
      <c r="K16997" s="398"/>
      <c r="L16997" s="398"/>
      <c r="M16997" s="682"/>
    </row>
    <row r="16998" spans="1:27" hidden="1" x14ac:dyDescent="0.2">
      <c r="F16998" s="494">
        <v>411</v>
      </c>
      <c r="G16998" s="495" t="s">
        <v>4167</v>
      </c>
      <c r="H16998" s="397"/>
      <c r="I16998" s="397"/>
      <c r="J16998" s="750" t="e">
        <f t="shared" si="202"/>
        <v>#DIV/0!</v>
      </c>
      <c r="K16998" s="398"/>
      <c r="L16998" s="398"/>
      <c r="M16998" s="682"/>
    </row>
    <row r="16999" spans="1:27" hidden="1" x14ac:dyDescent="0.2">
      <c r="F16999" s="494">
        <v>412</v>
      </c>
      <c r="G16999" s="496" t="s">
        <v>3764</v>
      </c>
      <c r="H16999" s="397"/>
      <c r="I16999" s="397"/>
      <c r="J16999" s="750" t="e">
        <f t="shared" si="202"/>
        <v>#DIV/0!</v>
      </c>
      <c r="K16999" s="398"/>
      <c r="L16999" s="398"/>
      <c r="M16999" s="682"/>
    </row>
    <row r="17000" spans="1:27" hidden="1" x14ac:dyDescent="0.2">
      <c r="F17000" s="494">
        <v>413</v>
      </c>
      <c r="G17000" s="495" t="s">
        <v>4168</v>
      </c>
      <c r="H17000" s="397"/>
      <c r="I17000" s="397"/>
      <c r="J17000" s="750" t="e">
        <f t="shared" si="202"/>
        <v>#DIV/0!</v>
      </c>
      <c r="K17000" s="398"/>
      <c r="L17000" s="398"/>
      <c r="M17000" s="682"/>
    </row>
    <row r="17001" spans="1:27" hidden="1" x14ac:dyDescent="0.2">
      <c r="F17001" s="494">
        <v>414</v>
      </c>
      <c r="G17001" s="495" t="s">
        <v>3767</v>
      </c>
      <c r="H17001" s="397"/>
      <c r="I17001" s="397"/>
      <c r="J17001" s="750" t="e">
        <f t="shared" si="202"/>
        <v>#DIV/0!</v>
      </c>
      <c r="K17001" s="398"/>
      <c r="L17001" s="398"/>
      <c r="M17001" s="682"/>
    </row>
    <row r="17002" spans="1:27" hidden="1" x14ac:dyDescent="0.2">
      <c r="F17002" s="494">
        <v>415</v>
      </c>
      <c r="G17002" s="495" t="s">
        <v>4177</v>
      </c>
      <c r="H17002" s="397"/>
      <c r="I17002" s="397"/>
      <c r="J17002" s="750" t="e">
        <f t="shared" si="202"/>
        <v>#DIV/0!</v>
      </c>
      <c r="K17002" s="398"/>
      <c r="L17002" s="398"/>
      <c r="M17002" s="682"/>
    </row>
    <row r="17003" spans="1:27" ht="25.5" hidden="1" x14ac:dyDescent="0.2">
      <c r="F17003" s="494">
        <v>416</v>
      </c>
      <c r="G17003" s="495" t="s">
        <v>4178</v>
      </c>
      <c r="H17003" s="397"/>
      <c r="I17003" s="397"/>
      <c r="J17003" s="750" t="e">
        <f t="shared" si="202"/>
        <v>#DIV/0!</v>
      </c>
      <c r="K17003" s="398"/>
      <c r="L17003" s="398"/>
      <c r="M17003" s="682"/>
    </row>
    <row r="17004" spans="1:27" hidden="1" x14ac:dyDescent="0.2">
      <c r="F17004" s="494">
        <v>417</v>
      </c>
      <c r="G17004" s="495" t="s">
        <v>4179</v>
      </c>
      <c r="H17004" s="397"/>
      <c r="I17004" s="397"/>
      <c r="J17004" s="750" t="e">
        <f t="shared" si="202"/>
        <v>#DIV/0!</v>
      </c>
      <c r="K17004" s="398"/>
      <c r="L17004" s="398"/>
      <c r="M17004" s="682"/>
    </row>
    <row r="17005" spans="1:27" hidden="1" x14ac:dyDescent="0.2">
      <c r="F17005" s="494">
        <v>418</v>
      </c>
      <c r="G17005" s="495" t="s">
        <v>3773</v>
      </c>
      <c r="H17005" s="397"/>
      <c r="I17005" s="397"/>
      <c r="J17005" s="750" t="e">
        <f t="shared" si="202"/>
        <v>#DIV/0!</v>
      </c>
      <c r="K17005" s="398"/>
      <c r="L17005" s="398"/>
      <c r="M17005" s="682"/>
    </row>
    <row r="17006" spans="1:27" hidden="1" x14ac:dyDescent="0.2">
      <c r="F17006" s="494">
        <v>421</v>
      </c>
      <c r="G17006" s="495" t="s">
        <v>3777</v>
      </c>
      <c r="H17006" s="397"/>
      <c r="I17006" s="397"/>
      <c r="J17006" s="750" t="e">
        <f t="shared" si="202"/>
        <v>#DIV/0!</v>
      </c>
      <c r="K17006" s="398"/>
      <c r="L17006" s="398"/>
      <c r="M17006" s="682"/>
    </row>
    <row r="17007" spans="1:27" hidden="1" x14ac:dyDescent="0.2">
      <c r="F17007" s="494">
        <v>422</v>
      </c>
      <c r="G17007" s="495" t="s">
        <v>3778</v>
      </c>
      <c r="H17007" s="397"/>
      <c r="I17007" s="397"/>
      <c r="J17007" s="750" t="e">
        <f t="shared" si="202"/>
        <v>#DIV/0!</v>
      </c>
      <c r="K17007" s="398"/>
      <c r="L17007" s="398"/>
      <c r="M17007" s="682"/>
    </row>
    <row r="17008" spans="1:27" hidden="1" x14ac:dyDescent="0.2">
      <c r="F17008" s="494">
        <v>423</v>
      </c>
      <c r="G17008" s="495" t="s">
        <v>3779</v>
      </c>
      <c r="H17008" s="397"/>
      <c r="I17008" s="397"/>
      <c r="J17008" s="750" t="e">
        <f t="shared" si="202"/>
        <v>#DIV/0!</v>
      </c>
      <c r="K17008" s="398"/>
      <c r="L17008" s="398"/>
      <c r="M17008" s="682"/>
    </row>
    <row r="17009" spans="6:13" hidden="1" x14ac:dyDescent="0.2">
      <c r="F17009" s="494">
        <v>424</v>
      </c>
      <c r="G17009" s="495" t="s">
        <v>3781</v>
      </c>
      <c r="H17009" s="397"/>
      <c r="I17009" s="397"/>
      <c r="J17009" s="750" t="e">
        <f t="shared" si="202"/>
        <v>#DIV/0!</v>
      </c>
      <c r="K17009" s="398"/>
      <c r="L17009" s="398"/>
      <c r="M17009" s="682"/>
    </row>
    <row r="17010" spans="6:13" hidden="1" x14ac:dyDescent="0.2">
      <c r="F17010" s="494">
        <v>425</v>
      </c>
      <c r="G17010" s="495" t="s">
        <v>4180</v>
      </c>
      <c r="H17010" s="397"/>
      <c r="I17010" s="397"/>
      <c r="J17010" s="750" t="e">
        <f t="shared" si="202"/>
        <v>#DIV/0!</v>
      </c>
      <c r="K17010" s="398"/>
      <c r="L17010" s="398"/>
      <c r="M17010" s="682"/>
    </row>
    <row r="17011" spans="6:13" hidden="1" x14ac:dyDescent="0.2">
      <c r="F17011" s="494">
        <v>426</v>
      </c>
      <c r="G17011" s="495" t="s">
        <v>3785</v>
      </c>
      <c r="H17011" s="397"/>
      <c r="I17011" s="397"/>
      <c r="J17011" s="750" t="e">
        <f t="shared" si="202"/>
        <v>#DIV/0!</v>
      </c>
      <c r="K17011" s="398"/>
      <c r="L17011" s="398"/>
      <c r="M17011" s="682"/>
    </row>
    <row r="17012" spans="6:13" hidden="1" x14ac:dyDescent="0.2">
      <c r="F17012" s="494">
        <v>431</v>
      </c>
      <c r="G17012" s="495" t="s">
        <v>4181</v>
      </c>
      <c r="H17012" s="397"/>
      <c r="I17012" s="397"/>
      <c r="J17012" s="750" t="e">
        <f t="shared" si="202"/>
        <v>#DIV/0!</v>
      </c>
      <c r="K17012" s="398"/>
      <c r="L17012" s="398"/>
      <c r="M17012" s="682"/>
    </row>
    <row r="17013" spans="6:13" hidden="1" x14ac:dyDescent="0.2">
      <c r="F17013" s="494">
        <v>432</v>
      </c>
      <c r="G17013" s="495" t="s">
        <v>4182</v>
      </c>
      <c r="H17013" s="397"/>
      <c r="I17013" s="397"/>
      <c r="J17013" s="750" t="e">
        <f t="shared" si="202"/>
        <v>#DIV/0!</v>
      </c>
      <c r="K17013" s="398"/>
      <c r="L17013" s="398"/>
      <c r="M17013" s="682"/>
    </row>
    <row r="17014" spans="6:13" hidden="1" x14ac:dyDescent="0.2">
      <c r="F17014" s="494">
        <v>433</v>
      </c>
      <c r="G17014" s="495" t="s">
        <v>4183</v>
      </c>
      <c r="H17014" s="397"/>
      <c r="I17014" s="397"/>
      <c r="J17014" s="750" t="e">
        <f t="shared" si="202"/>
        <v>#DIV/0!</v>
      </c>
      <c r="K17014" s="398"/>
      <c r="L17014" s="398"/>
      <c r="M17014" s="682"/>
    </row>
    <row r="17015" spans="6:13" hidden="1" x14ac:dyDescent="0.2">
      <c r="F17015" s="494">
        <v>434</v>
      </c>
      <c r="G17015" s="495" t="s">
        <v>4184</v>
      </c>
      <c r="H17015" s="397"/>
      <c r="I17015" s="397"/>
      <c r="J17015" s="750" t="e">
        <f t="shared" si="202"/>
        <v>#DIV/0!</v>
      </c>
      <c r="K17015" s="398"/>
      <c r="L17015" s="398"/>
      <c r="M17015" s="682"/>
    </row>
    <row r="17016" spans="6:13" hidden="1" x14ac:dyDescent="0.2">
      <c r="F17016" s="494">
        <v>435</v>
      </c>
      <c r="G17016" s="495" t="s">
        <v>3792</v>
      </c>
      <c r="H17016" s="397"/>
      <c r="I17016" s="397"/>
      <c r="J17016" s="750" t="e">
        <f t="shared" si="202"/>
        <v>#DIV/0!</v>
      </c>
      <c r="K17016" s="398"/>
      <c r="L17016" s="398"/>
      <c r="M17016" s="682"/>
    </row>
    <row r="17017" spans="6:13" hidden="1" x14ac:dyDescent="0.2">
      <c r="F17017" s="494">
        <v>441</v>
      </c>
      <c r="G17017" s="495" t="s">
        <v>4185</v>
      </c>
      <c r="H17017" s="397"/>
      <c r="I17017" s="397"/>
      <c r="J17017" s="750" t="e">
        <f t="shared" si="202"/>
        <v>#DIV/0!</v>
      </c>
      <c r="K17017" s="398"/>
      <c r="L17017" s="398"/>
      <c r="M17017" s="682"/>
    </row>
    <row r="17018" spans="6:13" hidden="1" x14ac:dyDescent="0.2">
      <c r="F17018" s="494">
        <v>442</v>
      </c>
      <c r="G17018" s="495" t="s">
        <v>4186</v>
      </c>
      <c r="H17018" s="397"/>
      <c r="I17018" s="397"/>
      <c r="J17018" s="750" t="e">
        <f t="shared" si="202"/>
        <v>#DIV/0!</v>
      </c>
      <c r="K17018" s="398"/>
      <c r="L17018" s="398"/>
      <c r="M17018" s="682"/>
    </row>
    <row r="17019" spans="6:13" hidden="1" x14ac:dyDescent="0.2">
      <c r="F17019" s="494">
        <v>443</v>
      </c>
      <c r="G17019" s="495" t="s">
        <v>3797</v>
      </c>
      <c r="H17019" s="397"/>
      <c r="I17019" s="397"/>
      <c r="J17019" s="750" t="e">
        <f t="shared" si="202"/>
        <v>#DIV/0!</v>
      </c>
      <c r="K17019" s="398"/>
      <c r="L17019" s="398"/>
      <c r="M17019" s="682"/>
    </row>
    <row r="17020" spans="6:13" hidden="1" x14ac:dyDescent="0.2">
      <c r="F17020" s="494">
        <v>444</v>
      </c>
      <c r="G17020" s="495" t="s">
        <v>3798</v>
      </c>
      <c r="H17020" s="397"/>
      <c r="I17020" s="397"/>
      <c r="J17020" s="750" t="e">
        <f t="shared" si="202"/>
        <v>#DIV/0!</v>
      </c>
      <c r="K17020" s="398"/>
      <c r="L17020" s="398"/>
      <c r="M17020" s="682"/>
    </row>
    <row r="17021" spans="6:13" ht="25.5" hidden="1" x14ac:dyDescent="0.2">
      <c r="F17021" s="494">
        <v>4511</v>
      </c>
      <c r="G17021" s="466" t="s">
        <v>1692</v>
      </c>
      <c r="H17021" s="397"/>
      <c r="I17021" s="397"/>
      <c r="J17021" s="750" t="e">
        <f t="shared" si="202"/>
        <v>#DIV/0!</v>
      </c>
      <c r="K17021" s="398"/>
      <c r="L17021" s="398"/>
      <c r="M17021" s="682"/>
    </row>
    <row r="17022" spans="6:13" ht="25.5" hidden="1" x14ac:dyDescent="0.2">
      <c r="F17022" s="494">
        <v>4512</v>
      </c>
      <c r="G17022" s="466" t="s">
        <v>1701</v>
      </c>
      <c r="H17022" s="397"/>
      <c r="I17022" s="397"/>
      <c r="J17022" s="750" t="e">
        <f t="shared" si="202"/>
        <v>#DIV/0!</v>
      </c>
      <c r="K17022" s="398"/>
      <c r="L17022" s="398"/>
      <c r="M17022" s="682"/>
    </row>
    <row r="17023" spans="6:13" ht="25.5" hidden="1" x14ac:dyDescent="0.2">
      <c r="F17023" s="494">
        <v>452</v>
      </c>
      <c r="G17023" s="495" t="s">
        <v>4187</v>
      </c>
      <c r="H17023" s="397"/>
      <c r="I17023" s="397"/>
      <c r="J17023" s="750" t="e">
        <f t="shared" si="202"/>
        <v>#DIV/0!</v>
      </c>
      <c r="K17023" s="398"/>
      <c r="L17023" s="398"/>
      <c r="M17023" s="682"/>
    </row>
    <row r="17024" spans="6:13" ht="25.5" hidden="1" x14ac:dyDescent="0.2">
      <c r="F17024" s="494">
        <v>453</v>
      </c>
      <c r="G17024" s="495" t="s">
        <v>4188</v>
      </c>
      <c r="H17024" s="397"/>
      <c r="I17024" s="397"/>
      <c r="J17024" s="750" t="e">
        <f t="shared" si="202"/>
        <v>#DIV/0!</v>
      </c>
      <c r="K17024" s="398"/>
      <c r="L17024" s="398"/>
      <c r="M17024" s="682"/>
    </row>
    <row r="17025" spans="6:13" hidden="1" x14ac:dyDescent="0.2">
      <c r="F17025" s="494">
        <v>454</v>
      </c>
      <c r="G17025" s="495" t="s">
        <v>3803</v>
      </c>
      <c r="H17025" s="397"/>
      <c r="I17025" s="397"/>
      <c r="J17025" s="750" t="e">
        <f t="shared" si="202"/>
        <v>#DIV/0!</v>
      </c>
      <c r="K17025" s="398"/>
      <c r="L17025" s="398"/>
      <c r="M17025" s="682"/>
    </row>
    <row r="17026" spans="6:13" hidden="1" x14ac:dyDescent="0.2">
      <c r="F17026" s="494">
        <v>461</v>
      </c>
      <c r="G17026" s="495" t="s">
        <v>4169</v>
      </c>
      <c r="H17026" s="397"/>
      <c r="I17026" s="397"/>
      <c r="J17026" s="750" t="e">
        <f t="shared" si="202"/>
        <v>#DIV/0!</v>
      </c>
      <c r="K17026" s="398"/>
      <c r="L17026" s="398"/>
      <c r="M17026" s="682"/>
    </row>
    <row r="17027" spans="6:13" ht="25.5" hidden="1" x14ac:dyDescent="0.2">
      <c r="F17027" s="494">
        <v>462</v>
      </c>
      <c r="G17027" s="495" t="s">
        <v>3806</v>
      </c>
      <c r="H17027" s="397"/>
      <c r="I17027" s="397"/>
      <c r="J17027" s="750" t="e">
        <f t="shared" si="202"/>
        <v>#DIV/0!</v>
      </c>
      <c r="K17027" s="398"/>
      <c r="L17027" s="398"/>
      <c r="M17027" s="682"/>
    </row>
    <row r="17028" spans="6:13" hidden="1" x14ac:dyDescent="0.2">
      <c r="F17028" s="494">
        <v>4631</v>
      </c>
      <c r="G17028" s="495" t="s">
        <v>3807</v>
      </c>
      <c r="H17028" s="397"/>
      <c r="I17028" s="397"/>
      <c r="J17028" s="750" t="e">
        <f t="shared" si="202"/>
        <v>#DIV/0!</v>
      </c>
      <c r="K17028" s="398"/>
      <c r="L17028" s="398"/>
      <c r="M17028" s="682"/>
    </row>
    <row r="17029" spans="6:13" hidden="1" x14ac:dyDescent="0.2">
      <c r="F17029" s="494">
        <v>4632</v>
      </c>
      <c r="G17029" s="495" t="s">
        <v>3808</v>
      </c>
      <c r="H17029" s="397"/>
      <c r="I17029" s="397"/>
      <c r="J17029" s="750" t="e">
        <f t="shared" si="202"/>
        <v>#DIV/0!</v>
      </c>
      <c r="K17029" s="398"/>
      <c r="L17029" s="398"/>
      <c r="M17029" s="682"/>
    </row>
    <row r="17030" spans="6:13" ht="25.5" hidden="1" x14ac:dyDescent="0.2">
      <c r="F17030" s="494">
        <v>464</v>
      </c>
      <c r="G17030" s="495" t="s">
        <v>3809</v>
      </c>
      <c r="H17030" s="397"/>
      <c r="I17030" s="397"/>
      <c r="J17030" s="750" t="e">
        <f t="shared" si="202"/>
        <v>#DIV/0!</v>
      </c>
      <c r="K17030" s="398"/>
      <c r="L17030" s="398"/>
      <c r="M17030" s="682"/>
    </row>
    <row r="17031" spans="6:13" hidden="1" x14ac:dyDescent="0.2">
      <c r="F17031" s="494">
        <v>465</v>
      </c>
      <c r="G17031" s="495" t="s">
        <v>4170</v>
      </c>
      <c r="H17031" s="397"/>
      <c r="I17031" s="397"/>
      <c r="J17031" s="750" t="e">
        <f t="shared" si="202"/>
        <v>#DIV/0!</v>
      </c>
      <c r="K17031" s="398"/>
      <c r="L17031" s="398"/>
      <c r="M17031" s="682"/>
    </row>
    <row r="17032" spans="6:13" hidden="1" x14ac:dyDescent="0.2">
      <c r="F17032" s="494">
        <v>472</v>
      </c>
      <c r="G17032" s="495" t="s">
        <v>3813</v>
      </c>
      <c r="H17032" s="397"/>
      <c r="I17032" s="397"/>
      <c r="J17032" s="750" t="e">
        <f t="shared" si="202"/>
        <v>#DIV/0!</v>
      </c>
      <c r="K17032" s="398"/>
      <c r="L17032" s="398"/>
      <c r="M17032" s="682"/>
    </row>
    <row r="17033" spans="6:13" hidden="1" x14ac:dyDescent="0.2">
      <c r="F17033" s="494">
        <v>481</v>
      </c>
      <c r="G17033" s="495" t="s">
        <v>4189</v>
      </c>
      <c r="H17033" s="397"/>
      <c r="I17033" s="397"/>
      <c r="J17033" s="750" t="e">
        <f t="shared" si="202"/>
        <v>#DIV/0!</v>
      </c>
      <c r="K17033" s="398"/>
      <c r="L17033" s="398"/>
      <c r="M17033" s="682"/>
    </row>
    <row r="17034" spans="6:13" hidden="1" x14ac:dyDescent="0.2">
      <c r="F17034" s="494">
        <v>482</v>
      </c>
      <c r="G17034" s="495" t="s">
        <v>4190</v>
      </c>
      <c r="H17034" s="397"/>
      <c r="I17034" s="397"/>
      <c r="J17034" s="750" t="e">
        <f t="shared" si="202"/>
        <v>#DIV/0!</v>
      </c>
      <c r="K17034" s="398"/>
      <c r="L17034" s="398"/>
      <c r="M17034" s="682"/>
    </row>
    <row r="17035" spans="6:13" hidden="1" x14ac:dyDescent="0.2">
      <c r="F17035" s="494">
        <v>483</v>
      </c>
      <c r="G17035" s="497" t="s">
        <v>4191</v>
      </c>
      <c r="H17035" s="397"/>
      <c r="I17035" s="397"/>
      <c r="J17035" s="750" t="e">
        <f t="shared" si="202"/>
        <v>#DIV/0!</v>
      </c>
      <c r="K17035" s="398"/>
      <c r="L17035" s="398"/>
      <c r="M17035" s="682"/>
    </row>
    <row r="17036" spans="6:13" ht="38.25" hidden="1" x14ac:dyDescent="0.2">
      <c r="F17036" s="494">
        <v>484</v>
      </c>
      <c r="G17036" s="495" t="s">
        <v>4192</v>
      </c>
      <c r="H17036" s="397"/>
      <c r="I17036" s="397"/>
      <c r="J17036" s="750" t="e">
        <f t="shared" si="202"/>
        <v>#DIV/0!</v>
      </c>
      <c r="K17036" s="398"/>
      <c r="L17036" s="398"/>
      <c r="M17036" s="682"/>
    </row>
    <row r="17037" spans="6:13" ht="25.5" hidden="1" x14ac:dyDescent="0.2">
      <c r="F17037" s="494">
        <v>485</v>
      </c>
      <c r="G17037" s="495" t="s">
        <v>4193</v>
      </c>
      <c r="H17037" s="397"/>
      <c r="I17037" s="397"/>
      <c r="J17037" s="750" t="e">
        <f t="shared" si="202"/>
        <v>#DIV/0!</v>
      </c>
      <c r="K17037" s="398"/>
      <c r="L17037" s="398"/>
      <c r="M17037" s="682"/>
    </row>
    <row r="17038" spans="6:13" ht="25.5" hidden="1" x14ac:dyDescent="0.2">
      <c r="F17038" s="494">
        <v>489</v>
      </c>
      <c r="G17038" s="495" t="s">
        <v>3821</v>
      </c>
      <c r="H17038" s="397"/>
      <c r="I17038" s="397"/>
      <c r="J17038" s="750" t="e">
        <f t="shared" ref="J17038:J17101" si="203">SUM(I17038/H17038)*100</f>
        <v>#DIV/0!</v>
      </c>
      <c r="K17038" s="398"/>
      <c r="L17038" s="398"/>
      <c r="M17038" s="682"/>
    </row>
    <row r="17039" spans="6:13" ht="25.5" hidden="1" x14ac:dyDescent="0.2">
      <c r="F17039" s="494">
        <v>494</v>
      </c>
      <c r="G17039" s="495" t="s">
        <v>4171</v>
      </c>
      <c r="H17039" s="397"/>
      <c r="I17039" s="397"/>
      <c r="J17039" s="750" t="e">
        <f t="shared" si="203"/>
        <v>#DIV/0!</v>
      </c>
      <c r="K17039" s="398"/>
      <c r="L17039" s="398"/>
      <c r="M17039" s="682"/>
    </row>
    <row r="17040" spans="6:13" ht="25.5" hidden="1" x14ac:dyDescent="0.2">
      <c r="F17040" s="494">
        <v>495</v>
      </c>
      <c r="G17040" s="495" t="s">
        <v>4172</v>
      </c>
      <c r="H17040" s="397"/>
      <c r="I17040" s="397"/>
      <c r="J17040" s="750" t="e">
        <f t="shared" si="203"/>
        <v>#DIV/0!</v>
      </c>
      <c r="K17040" s="398"/>
      <c r="L17040" s="398"/>
      <c r="M17040" s="682"/>
    </row>
    <row r="17041" spans="6:13" ht="38.25" hidden="1" x14ac:dyDescent="0.2">
      <c r="F17041" s="494">
        <v>496</v>
      </c>
      <c r="G17041" s="495" t="s">
        <v>4173</v>
      </c>
      <c r="H17041" s="397"/>
      <c r="I17041" s="397"/>
      <c r="J17041" s="750" t="e">
        <f t="shared" si="203"/>
        <v>#DIV/0!</v>
      </c>
      <c r="K17041" s="398"/>
      <c r="L17041" s="398"/>
      <c r="M17041" s="682"/>
    </row>
    <row r="17042" spans="6:13" ht="25.5" hidden="1" x14ac:dyDescent="0.2">
      <c r="F17042" s="494">
        <v>499</v>
      </c>
      <c r="G17042" s="495" t="s">
        <v>4174</v>
      </c>
      <c r="H17042" s="397"/>
      <c r="I17042" s="397"/>
      <c r="J17042" s="750" t="e">
        <f t="shared" si="203"/>
        <v>#DIV/0!</v>
      </c>
      <c r="K17042" s="398"/>
      <c r="L17042" s="398"/>
      <c r="M17042" s="682"/>
    </row>
    <row r="17043" spans="6:13" hidden="1" x14ac:dyDescent="0.2">
      <c r="F17043" s="494">
        <v>511</v>
      </c>
      <c r="G17043" s="497" t="s">
        <v>4194</v>
      </c>
      <c r="H17043" s="397"/>
      <c r="I17043" s="397"/>
      <c r="J17043" s="750" t="e">
        <f t="shared" si="203"/>
        <v>#DIV/0!</v>
      </c>
      <c r="K17043" s="398"/>
      <c r="L17043" s="398"/>
      <c r="M17043" s="682"/>
    </row>
    <row r="17044" spans="6:13" hidden="1" x14ac:dyDescent="0.2">
      <c r="F17044" s="494">
        <v>512</v>
      </c>
      <c r="G17044" s="497" t="s">
        <v>4195</v>
      </c>
      <c r="H17044" s="397"/>
      <c r="I17044" s="397"/>
      <c r="J17044" s="750" t="e">
        <f t="shared" si="203"/>
        <v>#DIV/0!</v>
      </c>
      <c r="K17044" s="398"/>
      <c r="L17044" s="398"/>
      <c r="M17044" s="682"/>
    </row>
    <row r="17045" spans="6:13" hidden="1" x14ac:dyDescent="0.2">
      <c r="F17045" s="494">
        <v>513</v>
      </c>
      <c r="G17045" s="497" t="s">
        <v>4196</v>
      </c>
      <c r="H17045" s="397"/>
      <c r="I17045" s="397"/>
      <c r="J17045" s="750" t="e">
        <f t="shared" si="203"/>
        <v>#DIV/0!</v>
      </c>
      <c r="K17045" s="398"/>
      <c r="L17045" s="398"/>
      <c r="M17045" s="682"/>
    </row>
    <row r="17046" spans="6:13" hidden="1" x14ac:dyDescent="0.2">
      <c r="F17046" s="494">
        <v>514</v>
      </c>
      <c r="G17046" s="495" t="s">
        <v>4197</v>
      </c>
      <c r="H17046" s="397"/>
      <c r="I17046" s="397"/>
      <c r="J17046" s="750" t="e">
        <f t="shared" si="203"/>
        <v>#DIV/0!</v>
      </c>
      <c r="K17046" s="398"/>
      <c r="L17046" s="398"/>
      <c r="M17046" s="682"/>
    </row>
    <row r="17047" spans="6:13" hidden="1" x14ac:dyDescent="0.2">
      <c r="F17047" s="494">
        <v>515</v>
      </c>
      <c r="G17047" s="495" t="s">
        <v>3832</v>
      </c>
      <c r="H17047" s="397"/>
      <c r="I17047" s="397"/>
      <c r="J17047" s="750" t="e">
        <f t="shared" si="203"/>
        <v>#DIV/0!</v>
      </c>
      <c r="K17047" s="398"/>
      <c r="L17047" s="398"/>
      <c r="M17047" s="682"/>
    </row>
    <row r="17048" spans="6:13" hidden="1" x14ac:dyDescent="0.2">
      <c r="F17048" s="494">
        <v>521</v>
      </c>
      <c r="G17048" s="495" t="s">
        <v>4198</v>
      </c>
      <c r="H17048" s="397"/>
      <c r="I17048" s="397"/>
      <c r="J17048" s="750" t="e">
        <f t="shared" si="203"/>
        <v>#DIV/0!</v>
      </c>
      <c r="K17048" s="398"/>
      <c r="L17048" s="398"/>
      <c r="M17048" s="682"/>
    </row>
    <row r="17049" spans="6:13" hidden="1" x14ac:dyDescent="0.2">
      <c r="F17049" s="494">
        <v>522</v>
      </c>
      <c r="G17049" s="495" t="s">
        <v>4199</v>
      </c>
      <c r="H17049" s="397"/>
      <c r="I17049" s="397"/>
      <c r="J17049" s="750" t="e">
        <f t="shared" si="203"/>
        <v>#DIV/0!</v>
      </c>
      <c r="K17049" s="398"/>
      <c r="L17049" s="398"/>
      <c r="M17049" s="682"/>
    </row>
    <row r="17050" spans="6:13" hidden="1" x14ac:dyDescent="0.2">
      <c r="F17050" s="494">
        <v>523</v>
      </c>
      <c r="G17050" s="495" t="s">
        <v>3837</v>
      </c>
      <c r="H17050" s="397"/>
      <c r="I17050" s="397"/>
      <c r="J17050" s="750" t="e">
        <f t="shared" si="203"/>
        <v>#DIV/0!</v>
      </c>
      <c r="K17050" s="398"/>
      <c r="L17050" s="398"/>
      <c r="M17050" s="682"/>
    </row>
    <row r="17051" spans="6:13" hidden="1" x14ac:dyDescent="0.2">
      <c r="F17051" s="494">
        <v>531</v>
      </c>
      <c r="G17051" s="496" t="s">
        <v>4175</v>
      </c>
      <c r="H17051" s="397"/>
      <c r="I17051" s="397"/>
      <c r="J17051" s="750" t="e">
        <f t="shared" si="203"/>
        <v>#DIV/0!</v>
      </c>
      <c r="K17051" s="398"/>
      <c r="L17051" s="398"/>
      <c r="M17051" s="682"/>
    </row>
    <row r="17052" spans="6:13" hidden="1" x14ac:dyDescent="0.2">
      <c r="F17052" s="494">
        <v>541</v>
      </c>
      <c r="G17052" s="495" t="s">
        <v>4200</v>
      </c>
      <c r="H17052" s="397"/>
      <c r="I17052" s="397"/>
      <c r="J17052" s="750" t="e">
        <f t="shared" si="203"/>
        <v>#DIV/0!</v>
      </c>
      <c r="K17052" s="398"/>
      <c r="L17052" s="398"/>
      <c r="M17052" s="682"/>
    </row>
    <row r="17053" spans="6:13" hidden="1" x14ac:dyDescent="0.2">
      <c r="F17053" s="494">
        <v>542</v>
      </c>
      <c r="G17053" s="495" t="s">
        <v>4201</v>
      </c>
      <c r="H17053" s="397"/>
      <c r="I17053" s="397"/>
      <c r="J17053" s="750" t="e">
        <f t="shared" si="203"/>
        <v>#DIV/0!</v>
      </c>
      <c r="K17053" s="398"/>
      <c r="L17053" s="398"/>
      <c r="M17053" s="682"/>
    </row>
    <row r="17054" spans="6:13" hidden="1" x14ac:dyDescent="0.2">
      <c r="F17054" s="494">
        <v>543</v>
      </c>
      <c r="G17054" s="495" t="s">
        <v>3842</v>
      </c>
      <c r="H17054" s="397"/>
      <c r="I17054" s="397"/>
      <c r="J17054" s="750" t="e">
        <f t="shared" si="203"/>
        <v>#DIV/0!</v>
      </c>
      <c r="K17054" s="398"/>
      <c r="L17054" s="398"/>
      <c r="M17054" s="682"/>
    </row>
    <row r="17055" spans="6:13" ht="38.25" hidden="1" x14ac:dyDescent="0.2">
      <c r="F17055" s="494">
        <v>551</v>
      </c>
      <c r="G17055" s="495" t="s">
        <v>4176</v>
      </c>
      <c r="H17055" s="397"/>
      <c r="I17055" s="397"/>
      <c r="J17055" s="750" t="e">
        <f t="shared" si="203"/>
        <v>#DIV/0!</v>
      </c>
      <c r="K17055" s="398"/>
      <c r="L17055" s="398"/>
      <c r="M17055" s="682"/>
    </row>
    <row r="17056" spans="6:13" hidden="1" x14ac:dyDescent="0.2">
      <c r="F17056" s="498">
        <v>611</v>
      </c>
      <c r="G17056" s="499" t="s">
        <v>3848</v>
      </c>
      <c r="H17056" s="397"/>
      <c r="I17056" s="397"/>
      <c r="J17056" s="750" t="e">
        <f t="shared" si="203"/>
        <v>#DIV/0!</v>
      </c>
      <c r="K17056" s="398"/>
      <c r="L17056" s="398"/>
      <c r="M17056" s="682"/>
    </row>
    <row r="17057" spans="5:13" hidden="1" x14ac:dyDescent="0.2">
      <c r="F17057" s="498">
        <v>620</v>
      </c>
      <c r="G17057" s="499" t="s">
        <v>88</v>
      </c>
      <c r="H17057" s="397"/>
      <c r="I17057" s="397"/>
      <c r="J17057" s="750" t="e">
        <f t="shared" si="203"/>
        <v>#DIV/0!</v>
      </c>
      <c r="K17057" s="398"/>
      <c r="L17057" s="398"/>
      <c r="M17057" s="682"/>
    </row>
    <row r="17058" spans="5:13" hidden="1" x14ac:dyDescent="0.2">
      <c r="E17058" s="500"/>
      <c r="F17058" s="498"/>
      <c r="G17058" s="509" t="s">
        <v>4454</v>
      </c>
      <c r="H17058" s="400"/>
      <c r="I17058" s="400"/>
      <c r="J17058" s="750" t="e">
        <f t="shared" si="203"/>
        <v>#DIV/0!</v>
      </c>
      <c r="K17058" s="401"/>
      <c r="L17058" s="402"/>
      <c r="M17058" s="682"/>
    </row>
    <row r="17059" spans="5:13" hidden="1" x14ac:dyDescent="0.2">
      <c r="E17059" s="502"/>
      <c r="F17059" s="503" t="s">
        <v>234</v>
      </c>
      <c r="G17059" s="504" t="s">
        <v>235</v>
      </c>
      <c r="H17059" s="403">
        <f>SUM(H16998:H17057)</f>
        <v>0</v>
      </c>
      <c r="I17059" s="403"/>
      <c r="J17059" s="750" t="e">
        <f t="shared" si="203"/>
        <v>#DIV/0!</v>
      </c>
      <c r="K17059" s="404"/>
      <c r="L17059" s="404"/>
      <c r="M17059" s="682"/>
    </row>
    <row r="17060" spans="5:13" hidden="1" x14ac:dyDescent="0.2">
      <c r="F17060" s="503" t="s">
        <v>236</v>
      </c>
      <c r="G17060" s="504" t="s">
        <v>237</v>
      </c>
      <c r="H17060" s="397"/>
      <c r="I17060" s="397"/>
      <c r="J17060" s="750" t="e">
        <f t="shared" si="203"/>
        <v>#DIV/0!</v>
      </c>
      <c r="K17060" s="398"/>
      <c r="L17060" s="404"/>
      <c r="M17060" s="682"/>
    </row>
    <row r="17061" spans="5:13" hidden="1" x14ac:dyDescent="0.2">
      <c r="F17061" s="503" t="s">
        <v>238</v>
      </c>
      <c r="G17061" s="504" t="s">
        <v>239</v>
      </c>
      <c r="H17061" s="397"/>
      <c r="I17061" s="397"/>
      <c r="J17061" s="750" t="e">
        <f t="shared" si="203"/>
        <v>#DIV/0!</v>
      </c>
      <c r="K17061" s="398"/>
      <c r="L17061" s="404"/>
      <c r="M17061" s="682"/>
    </row>
    <row r="17062" spans="5:13" hidden="1" x14ac:dyDescent="0.2">
      <c r="F17062" s="503" t="s">
        <v>240</v>
      </c>
      <c r="G17062" s="504" t="s">
        <v>241</v>
      </c>
      <c r="H17062" s="397"/>
      <c r="I17062" s="397"/>
      <c r="J17062" s="750" t="e">
        <f t="shared" si="203"/>
        <v>#DIV/0!</v>
      </c>
      <c r="K17062" s="398"/>
      <c r="L17062" s="404"/>
      <c r="M17062" s="682"/>
    </row>
    <row r="17063" spans="5:13" hidden="1" x14ac:dyDescent="0.2">
      <c r="F17063" s="503" t="s">
        <v>242</v>
      </c>
      <c r="G17063" s="504" t="s">
        <v>243</v>
      </c>
      <c r="H17063" s="397"/>
      <c r="I17063" s="397"/>
      <c r="J17063" s="750" t="e">
        <f t="shared" si="203"/>
        <v>#DIV/0!</v>
      </c>
      <c r="K17063" s="398"/>
      <c r="L17063" s="404"/>
      <c r="M17063" s="682"/>
    </row>
    <row r="17064" spans="5:13" hidden="1" x14ac:dyDescent="0.2">
      <c r="F17064" s="503" t="s">
        <v>244</v>
      </c>
      <c r="G17064" s="504" t="s">
        <v>245</v>
      </c>
      <c r="H17064" s="397"/>
      <c r="I17064" s="397"/>
      <c r="J17064" s="750" t="e">
        <f t="shared" si="203"/>
        <v>#DIV/0!</v>
      </c>
      <c r="K17064" s="398"/>
      <c r="L17064" s="404"/>
      <c r="M17064" s="682"/>
    </row>
    <row r="17065" spans="5:13" hidden="1" x14ac:dyDescent="0.2">
      <c r="F17065" s="503" t="s">
        <v>246</v>
      </c>
      <c r="G17065" s="504" t="s">
        <v>247</v>
      </c>
      <c r="H17065" s="397"/>
      <c r="I17065" s="397"/>
      <c r="J17065" s="750" t="e">
        <f t="shared" si="203"/>
        <v>#DIV/0!</v>
      </c>
      <c r="K17065" s="398"/>
      <c r="L17065" s="404"/>
      <c r="M17065" s="682"/>
    </row>
    <row r="17066" spans="5:13" ht="25.5" hidden="1" x14ac:dyDescent="0.2">
      <c r="F17066" s="503" t="s">
        <v>248</v>
      </c>
      <c r="G17066" s="504" t="s">
        <v>249</v>
      </c>
      <c r="H17066" s="397"/>
      <c r="I17066" s="397"/>
      <c r="J17066" s="750" t="e">
        <f t="shared" si="203"/>
        <v>#DIV/0!</v>
      </c>
      <c r="K17066" s="398"/>
      <c r="L17066" s="404"/>
      <c r="M17066" s="682"/>
    </row>
    <row r="17067" spans="5:13" hidden="1" x14ac:dyDescent="0.2">
      <c r="F17067" s="503" t="s">
        <v>250</v>
      </c>
      <c r="G17067" s="504" t="s">
        <v>57</v>
      </c>
      <c r="H17067" s="397"/>
      <c r="I17067" s="397"/>
      <c r="J17067" s="750" t="e">
        <f t="shared" si="203"/>
        <v>#DIV/0!</v>
      </c>
      <c r="K17067" s="398"/>
      <c r="L17067" s="404"/>
      <c r="M17067" s="682"/>
    </row>
    <row r="17068" spans="5:13" hidden="1" x14ac:dyDescent="0.2">
      <c r="F17068" s="503" t="s">
        <v>251</v>
      </c>
      <c r="G17068" s="504" t="s">
        <v>252</v>
      </c>
      <c r="H17068" s="397"/>
      <c r="I17068" s="397"/>
      <c r="J17068" s="750" t="e">
        <f t="shared" si="203"/>
        <v>#DIV/0!</v>
      </c>
      <c r="K17068" s="398"/>
      <c r="L17068" s="404"/>
      <c r="M17068" s="682"/>
    </row>
    <row r="17069" spans="5:13" hidden="1" x14ac:dyDescent="0.2">
      <c r="F17069" s="503" t="s">
        <v>253</v>
      </c>
      <c r="G17069" s="504" t="s">
        <v>254</v>
      </c>
      <c r="H17069" s="397"/>
      <c r="I17069" s="397"/>
      <c r="J17069" s="750" t="e">
        <f t="shared" si="203"/>
        <v>#DIV/0!</v>
      </c>
      <c r="K17069" s="398"/>
      <c r="L17069" s="404"/>
      <c r="M17069" s="682"/>
    </row>
    <row r="17070" spans="5:13" ht="25.5" hidden="1" x14ac:dyDescent="0.2">
      <c r="F17070" s="503" t="s">
        <v>255</v>
      </c>
      <c r="G17070" s="504" t="s">
        <v>256</v>
      </c>
      <c r="H17070" s="397"/>
      <c r="I17070" s="397"/>
      <c r="J17070" s="750" t="e">
        <f t="shared" si="203"/>
        <v>#DIV/0!</v>
      </c>
      <c r="K17070" s="398"/>
      <c r="L17070" s="404"/>
      <c r="M17070" s="682"/>
    </row>
    <row r="17071" spans="5:13" ht="25.5" hidden="1" x14ac:dyDescent="0.2">
      <c r="F17071" s="503" t="s">
        <v>257</v>
      </c>
      <c r="G17071" s="504" t="s">
        <v>258</v>
      </c>
      <c r="H17071" s="397"/>
      <c r="I17071" s="397"/>
      <c r="J17071" s="750" t="e">
        <f t="shared" si="203"/>
        <v>#DIV/0!</v>
      </c>
      <c r="K17071" s="398"/>
      <c r="L17071" s="404"/>
      <c r="M17071" s="682"/>
    </row>
    <row r="17072" spans="5:13" ht="25.5" hidden="1" x14ac:dyDescent="0.2">
      <c r="F17072" s="503" t="s">
        <v>259</v>
      </c>
      <c r="G17072" s="504" t="s">
        <v>260</v>
      </c>
      <c r="H17072" s="397"/>
      <c r="I17072" s="397"/>
      <c r="J17072" s="750" t="e">
        <f t="shared" si="203"/>
        <v>#DIV/0!</v>
      </c>
      <c r="K17072" s="398"/>
      <c r="L17072" s="404"/>
      <c r="M17072" s="682"/>
    </row>
    <row r="17073" spans="5:13" ht="25.5" hidden="1" x14ac:dyDescent="0.2">
      <c r="F17073" s="503" t="s">
        <v>261</v>
      </c>
      <c r="G17073" s="504" t="s">
        <v>262</v>
      </c>
      <c r="H17073" s="397"/>
      <c r="I17073" s="397"/>
      <c r="J17073" s="750" t="e">
        <f t="shared" si="203"/>
        <v>#DIV/0!</v>
      </c>
      <c r="K17073" s="398"/>
      <c r="L17073" s="404"/>
      <c r="M17073" s="682"/>
    </row>
    <row r="17074" spans="5:13" hidden="1" x14ac:dyDescent="0.2">
      <c r="F17074" s="503" t="s">
        <v>263</v>
      </c>
      <c r="G17074" s="504" t="s">
        <v>264</v>
      </c>
      <c r="H17074" s="403"/>
      <c r="I17074" s="403"/>
      <c r="J17074" s="750" t="e">
        <f t="shared" si="203"/>
        <v>#DIV/0!</v>
      </c>
      <c r="K17074" s="404"/>
      <c r="L17074" s="404"/>
      <c r="M17074" s="682"/>
    </row>
    <row r="17075" spans="5:13" ht="13.5" hidden="1" thickBot="1" x14ac:dyDescent="0.25">
      <c r="G17075" s="505" t="s">
        <v>4455</v>
      </c>
      <c r="H17075" s="405">
        <f>SUM(H17059:H17074)</f>
        <v>0</v>
      </c>
      <c r="I17075" s="405"/>
      <c r="J17075" s="750" t="e">
        <f t="shared" si="203"/>
        <v>#DIV/0!</v>
      </c>
      <c r="K17075" s="406">
        <f>SUM(K17060:K17074)</f>
        <v>0</v>
      </c>
      <c r="L17075" s="406"/>
      <c r="M17075" s="682"/>
    </row>
    <row r="17076" spans="5:13" hidden="1" collapsed="1" x14ac:dyDescent="0.2">
      <c r="E17076" s="500"/>
      <c r="F17076" s="498"/>
      <c r="G17076" s="506" t="s">
        <v>5035</v>
      </c>
      <c r="H17076" s="407"/>
      <c r="I17076" s="408"/>
      <c r="J17076" s="750" t="e">
        <f t="shared" si="203"/>
        <v>#DIV/0!</v>
      </c>
      <c r="K17076" s="409"/>
      <c r="L17076" s="410"/>
      <c r="M17076" s="682"/>
    </row>
    <row r="17077" spans="5:13" hidden="1" x14ac:dyDescent="0.2">
      <c r="E17077" s="502"/>
      <c r="F17077" s="503" t="s">
        <v>234</v>
      </c>
      <c r="G17077" s="504" t="s">
        <v>235</v>
      </c>
      <c r="H17077" s="403">
        <f>SUM(H16998:H17057)</f>
        <v>0</v>
      </c>
      <c r="I17077" s="403"/>
      <c r="J17077" s="750" t="e">
        <f t="shared" si="203"/>
        <v>#DIV/0!</v>
      </c>
      <c r="K17077" s="404"/>
      <c r="L17077" s="404"/>
      <c r="M17077" s="682"/>
    </row>
    <row r="17078" spans="5:13" hidden="1" x14ac:dyDescent="0.2">
      <c r="F17078" s="503" t="s">
        <v>236</v>
      </c>
      <c r="G17078" s="504" t="s">
        <v>237</v>
      </c>
      <c r="H17078" s="397"/>
      <c r="I17078" s="397"/>
      <c r="J17078" s="750" t="e">
        <f t="shared" si="203"/>
        <v>#DIV/0!</v>
      </c>
      <c r="K17078" s="398"/>
      <c r="L17078" s="404"/>
      <c r="M17078" s="682"/>
    </row>
    <row r="17079" spans="5:13" hidden="1" x14ac:dyDescent="0.2">
      <c r="F17079" s="503" t="s">
        <v>238</v>
      </c>
      <c r="G17079" s="504" t="s">
        <v>239</v>
      </c>
      <c r="H17079" s="397"/>
      <c r="I17079" s="397"/>
      <c r="J17079" s="750" t="e">
        <f t="shared" si="203"/>
        <v>#DIV/0!</v>
      </c>
      <c r="K17079" s="398"/>
      <c r="L17079" s="404"/>
      <c r="M17079" s="682"/>
    </row>
    <row r="17080" spans="5:13" hidden="1" x14ac:dyDescent="0.2">
      <c r="F17080" s="503" t="s">
        <v>240</v>
      </c>
      <c r="G17080" s="504" t="s">
        <v>241</v>
      </c>
      <c r="H17080" s="397"/>
      <c r="I17080" s="397"/>
      <c r="J17080" s="750" t="e">
        <f t="shared" si="203"/>
        <v>#DIV/0!</v>
      </c>
      <c r="K17080" s="398"/>
      <c r="L17080" s="404"/>
      <c r="M17080" s="682"/>
    </row>
    <row r="17081" spans="5:13" hidden="1" x14ac:dyDescent="0.2">
      <c r="F17081" s="503" t="s">
        <v>242</v>
      </c>
      <c r="G17081" s="504" t="s">
        <v>243</v>
      </c>
      <c r="H17081" s="397"/>
      <c r="I17081" s="397"/>
      <c r="J17081" s="750" t="e">
        <f t="shared" si="203"/>
        <v>#DIV/0!</v>
      </c>
      <c r="K17081" s="398"/>
      <c r="L17081" s="404"/>
      <c r="M17081" s="682"/>
    </row>
    <row r="17082" spans="5:13" hidden="1" x14ac:dyDescent="0.2">
      <c r="F17082" s="503" t="s">
        <v>244</v>
      </c>
      <c r="G17082" s="504" t="s">
        <v>245</v>
      </c>
      <c r="H17082" s="397"/>
      <c r="I17082" s="397"/>
      <c r="J17082" s="750" t="e">
        <f t="shared" si="203"/>
        <v>#DIV/0!</v>
      </c>
      <c r="K17082" s="398"/>
      <c r="L17082" s="404"/>
      <c r="M17082" s="682"/>
    </row>
    <row r="17083" spans="5:13" hidden="1" x14ac:dyDescent="0.2">
      <c r="F17083" s="503" t="s">
        <v>246</v>
      </c>
      <c r="G17083" s="504" t="s">
        <v>247</v>
      </c>
      <c r="H17083" s="397"/>
      <c r="I17083" s="397"/>
      <c r="J17083" s="750" t="e">
        <f t="shared" si="203"/>
        <v>#DIV/0!</v>
      </c>
      <c r="K17083" s="398"/>
      <c r="L17083" s="404"/>
      <c r="M17083" s="682"/>
    </row>
    <row r="17084" spans="5:13" ht="25.5" hidden="1" x14ac:dyDescent="0.2">
      <c r="F17084" s="503" t="s">
        <v>248</v>
      </c>
      <c r="G17084" s="504" t="s">
        <v>249</v>
      </c>
      <c r="H17084" s="397"/>
      <c r="I17084" s="397"/>
      <c r="J17084" s="750" t="e">
        <f t="shared" si="203"/>
        <v>#DIV/0!</v>
      </c>
      <c r="K17084" s="398"/>
      <c r="L17084" s="404"/>
      <c r="M17084" s="682"/>
    </row>
    <row r="17085" spans="5:13" hidden="1" x14ac:dyDescent="0.2">
      <c r="F17085" s="503" t="s">
        <v>250</v>
      </c>
      <c r="G17085" s="504" t="s">
        <v>57</v>
      </c>
      <c r="H17085" s="397"/>
      <c r="I17085" s="397"/>
      <c r="J17085" s="750" t="e">
        <f t="shared" si="203"/>
        <v>#DIV/0!</v>
      </c>
      <c r="K17085" s="398"/>
      <c r="L17085" s="404"/>
      <c r="M17085" s="682"/>
    </row>
    <row r="17086" spans="5:13" hidden="1" x14ac:dyDescent="0.2">
      <c r="F17086" s="503" t="s">
        <v>251</v>
      </c>
      <c r="G17086" s="504" t="s">
        <v>252</v>
      </c>
      <c r="H17086" s="397"/>
      <c r="I17086" s="397"/>
      <c r="J17086" s="750" t="e">
        <f t="shared" si="203"/>
        <v>#DIV/0!</v>
      </c>
      <c r="K17086" s="398"/>
      <c r="L17086" s="404"/>
      <c r="M17086" s="682"/>
    </row>
    <row r="17087" spans="5:13" hidden="1" x14ac:dyDescent="0.2">
      <c r="F17087" s="503" t="s">
        <v>253</v>
      </c>
      <c r="G17087" s="504" t="s">
        <v>254</v>
      </c>
      <c r="H17087" s="397"/>
      <c r="I17087" s="397"/>
      <c r="J17087" s="750" t="e">
        <f t="shared" si="203"/>
        <v>#DIV/0!</v>
      </c>
      <c r="K17087" s="398"/>
      <c r="L17087" s="404"/>
      <c r="M17087" s="682"/>
    </row>
    <row r="17088" spans="5:13" ht="25.5" hidden="1" x14ac:dyDescent="0.2">
      <c r="F17088" s="503" t="s">
        <v>255</v>
      </c>
      <c r="G17088" s="504" t="s">
        <v>256</v>
      </c>
      <c r="H17088" s="397"/>
      <c r="I17088" s="397"/>
      <c r="J17088" s="750" t="e">
        <f t="shared" si="203"/>
        <v>#DIV/0!</v>
      </c>
      <c r="K17088" s="398"/>
      <c r="L17088" s="404"/>
      <c r="M17088" s="682"/>
    </row>
    <row r="17089" spans="3:13" ht="25.5" hidden="1" x14ac:dyDescent="0.2">
      <c r="F17089" s="503" t="s">
        <v>257</v>
      </c>
      <c r="G17089" s="504" t="s">
        <v>258</v>
      </c>
      <c r="H17089" s="397"/>
      <c r="I17089" s="397"/>
      <c r="J17089" s="750" t="e">
        <f t="shared" si="203"/>
        <v>#DIV/0!</v>
      </c>
      <c r="K17089" s="398"/>
      <c r="L17089" s="404"/>
      <c r="M17089" s="682"/>
    </row>
    <row r="17090" spans="3:13" ht="25.5" hidden="1" x14ac:dyDescent="0.2">
      <c r="F17090" s="503" t="s">
        <v>259</v>
      </c>
      <c r="G17090" s="504" t="s">
        <v>260</v>
      </c>
      <c r="H17090" s="397"/>
      <c r="I17090" s="397"/>
      <c r="J17090" s="750" t="e">
        <f t="shared" si="203"/>
        <v>#DIV/0!</v>
      </c>
      <c r="K17090" s="398"/>
      <c r="L17090" s="404"/>
      <c r="M17090" s="682"/>
    </row>
    <row r="17091" spans="3:13" ht="25.5" hidden="1" x14ac:dyDescent="0.2">
      <c r="F17091" s="503" t="s">
        <v>261</v>
      </c>
      <c r="G17091" s="504" t="s">
        <v>262</v>
      </c>
      <c r="H17091" s="397"/>
      <c r="I17091" s="397"/>
      <c r="J17091" s="750" t="e">
        <f t="shared" si="203"/>
        <v>#DIV/0!</v>
      </c>
      <c r="K17091" s="398"/>
      <c r="L17091" s="404"/>
      <c r="M17091" s="682"/>
    </row>
    <row r="17092" spans="3:13" hidden="1" x14ac:dyDescent="0.2">
      <c r="F17092" s="503" t="s">
        <v>263</v>
      </c>
      <c r="G17092" s="504" t="s">
        <v>264</v>
      </c>
      <c r="H17092" s="403"/>
      <c r="I17092" s="403"/>
      <c r="J17092" s="750" t="e">
        <f t="shared" si="203"/>
        <v>#DIV/0!</v>
      </c>
      <c r="K17092" s="404"/>
      <c r="L17092" s="404"/>
      <c r="M17092" s="682"/>
    </row>
    <row r="17093" spans="3:13" ht="13.5" hidden="1" thickBot="1" x14ac:dyDescent="0.25">
      <c r="G17093" s="505" t="s">
        <v>5036</v>
      </c>
      <c r="H17093" s="405">
        <f>SUM(H17077:H17092)</f>
        <v>0</v>
      </c>
      <c r="I17093" s="405"/>
      <c r="J17093" s="750" t="e">
        <f t="shared" si="203"/>
        <v>#DIV/0!</v>
      </c>
      <c r="K17093" s="406">
        <f>SUM(K17078:K17092)</f>
        <v>0</v>
      </c>
      <c r="L17093" s="406"/>
      <c r="M17093" s="682"/>
    </row>
    <row r="17094" spans="3:13" hidden="1" x14ac:dyDescent="0.2">
      <c r="H17094" s="397"/>
      <c r="I17094" s="397"/>
      <c r="J17094" s="750" t="e">
        <f t="shared" si="203"/>
        <v>#DIV/0!</v>
      </c>
      <c r="K17094" s="398"/>
      <c r="L17094" s="398"/>
      <c r="M17094" s="682"/>
    </row>
    <row r="17095" spans="3:13" hidden="1" x14ac:dyDescent="0.2">
      <c r="H17095" s="397"/>
      <c r="I17095" s="397"/>
      <c r="J17095" s="750" t="e">
        <f t="shared" si="203"/>
        <v>#DIV/0!</v>
      </c>
      <c r="K17095" s="398"/>
      <c r="L17095" s="398"/>
      <c r="M17095" s="682"/>
    </row>
    <row r="17096" spans="3:13" hidden="1" x14ac:dyDescent="0.2">
      <c r="C17096" s="489" t="s">
        <v>4740</v>
      </c>
      <c r="D17096" s="490"/>
      <c r="G17096" s="508" t="s">
        <v>4232</v>
      </c>
      <c r="H17096" s="397"/>
      <c r="I17096" s="397"/>
      <c r="J17096" s="750" t="e">
        <f t="shared" si="203"/>
        <v>#DIV/0!</v>
      </c>
      <c r="K17096" s="398"/>
      <c r="L17096" s="398"/>
      <c r="M17096" s="682"/>
    </row>
    <row r="17097" spans="3:13" hidden="1" x14ac:dyDescent="0.2">
      <c r="C17097" s="489"/>
      <c r="D17097" s="492">
        <v>920</v>
      </c>
      <c r="E17097" s="492"/>
      <c r="F17097" s="492"/>
      <c r="G17097" s="493" t="s">
        <v>220</v>
      </c>
      <c r="H17097" s="397"/>
      <c r="I17097" s="397"/>
      <c r="J17097" s="750" t="e">
        <f t="shared" si="203"/>
        <v>#DIV/0!</v>
      </c>
      <c r="K17097" s="398"/>
      <c r="L17097" s="398"/>
      <c r="M17097" s="682"/>
    </row>
    <row r="17098" spans="3:13" hidden="1" x14ac:dyDescent="0.2">
      <c r="F17098" s="494">
        <v>411</v>
      </c>
      <c r="G17098" s="495" t="s">
        <v>4167</v>
      </c>
      <c r="H17098" s="397"/>
      <c r="I17098" s="397"/>
      <c r="J17098" s="750" t="e">
        <f t="shared" si="203"/>
        <v>#DIV/0!</v>
      </c>
      <c r="K17098" s="398"/>
      <c r="L17098" s="398"/>
      <c r="M17098" s="682"/>
    </row>
    <row r="17099" spans="3:13" hidden="1" x14ac:dyDescent="0.2">
      <c r="F17099" s="494">
        <v>412</v>
      </c>
      <c r="G17099" s="496" t="s">
        <v>3764</v>
      </c>
      <c r="H17099" s="397"/>
      <c r="I17099" s="397"/>
      <c r="J17099" s="750" t="e">
        <f t="shared" si="203"/>
        <v>#DIV/0!</v>
      </c>
      <c r="K17099" s="398"/>
      <c r="L17099" s="398"/>
      <c r="M17099" s="682"/>
    </row>
    <row r="17100" spans="3:13" hidden="1" x14ac:dyDescent="0.2">
      <c r="F17100" s="494">
        <v>413</v>
      </c>
      <c r="G17100" s="495" t="s">
        <v>4168</v>
      </c>
      <c r="H17100" s="397"/>
      <c r="I17100" s="397"/>
      <c r="J17100" s="750" t="e">
        <f t="shared" si="203"/>
        <v>#DIV/0!</v>
      </c>
      <c r="K17100" s="398"/>
      <c r="L17100" s="398"/>
      <c r="M17100" s="682"/>
    </row>
    <row r="17101" spans="3:13" hidden="1" x14ac:dyDescent="0.2">
      <c r="F17101" s="494">
        <v>414</v>
      </c>
      <c r="G17101" s="495" t="s">
        <v>3767</v>
      </c>
      <c r="H17101" s="397"/>
      <c r="I17101" s="397"/>
      <c r="J17101" s="750" t="e">
        <f t="shared" si="203"/>
        <v>#DIV/0!</v>
      </c>
      <c r="K17101" s="398"/>
      <c r="L17101" s="398"/>
      <c r="M17101" s="682"/>
    </row>
    <row r="17102" spans="3:13" hidden="1" x14ac:dyDescent="0.2">
      <c r="F17102" s="494">
        <v>415</v>
      </c>
      <c r="G17102" s="495" t="s">
        <v>4177</v>
      </c>
      <c r="H17102" s="397"/>
      <c r="I17102" s="397"/>
      <c r="J17102" s="750" t="e">
        <f t="shared" ref="J17102:J17165" si="204">SUM(I17102/H17102)*100</f>
        <v>#DIV/0!</v>
      </c>
      <c r="K17102" s="398"/>
      <c r="L17102" s="398"/>
      <c r="M17102" s="682"/>
    </row>
    <row r="17103" spans="3:13" ht="25.5" hidden="1" x14ac:dyDescent="0.2">
      <c r="F17103" s="494">
        <v>416</v>
      </c>
      <c r="G17103" s="495" t="s">
        <v>4178</v>
      </c>
      <c r="H17103" s="397"/>
      <c r="I17103" s="397"/>
      <c r="J17103" s="750" t="e">
        <f t="shared" si="204"/>
        <v>#DIV/0!</v>
      </c>
      <c r="K17103" s="398"/>
      <c r="L17103" s="398"/>
      <c r="M17103" s="682"/>
    </row>
    <row r="17104" spans="3:13" hidden="1" x14ac:dyDescent="0.2">
      <c r="F17104" s="494">
        <v>417</v>
      </c>
      <c r="G17104" s="495" t="s">
        <v>4179</v>
      </c>
      <c r="H17104" s="397"/>
      <c r="I17104" s="397"/>
      <c r="J17104" s="750" t="e">
        <f t="shared" si="204"/>
        <v>#DIV/0!</v>
      </c>
      <c r="K17104" s="398"/>
      <c r="L17104" s="398"/>
      <c r="M17104" s="682"/>
    </row>
    <row r="17105" spans="6:13" hidden="1" x14ac:dyDescent="0.2">
      <c r="F17105" s="494">
        <v>418</v>
      </c>
      <c r="G17105" s="495" t="s">
        <v>3773</v>
      </c>
      <c r="H17105" s="397"/>
      <c r="I17105" s="397"/>
      <c r="J17105" s="750" t="e">
        <f t="shared" si="204"/>
        <v>#DIV/0!</v>
      </c>
      <c r="K17105" s="398"/>
      <c r="L17105" s="398"/>
      <c r="M17105" s="682"/>
    </row>
    <row r="17106" spans="6:13" hidden="1" x14ac:dyDescent="0.2">
      <c r="F17106" s="494">
        <v>421</v>
      </c>
      <c r="G17106" s="495" t="s">
        <v>3777</v>
      </c>
      <c r="H17106" s="397"/>
      <c r="I17106" s="397"/>
      <c r="J17106" s="750" t="e">
        <f t="shared" si="204"/>
        <v>#DIV/0!</v>
      </c>
      <c r="K17106" s="398"/>
      <c r="L17106" s="398"/>
      <c r="M17106" s="682"/>
    </row>
    <row r="17107" spans="6:13" hidden="1" x14ac:dyDescent="0.2">
      <c r="F17107" s="494">
        <v>422</v>
      </c>
      <c r="G17107" s="495" t="s">
        <v>3778</v>
      </c>
      <c r="H17107" s="397"/>
      <c r="I17107" s="397"/>
      <c r="J17107" s="750" t="e">
        <f t="shared" si="204"/>
        <v>#DIV/0!</v>
      </c>
      <c r="K17107" s="398"/>
      <c r="L17107" s="398"/>
      <c r="M17107" s="682"/>
    </row>
    <row r="17108" spans="6:13" hidden="1" x14ac:dyDescent="0.2">
      <c r="F17108" s="494">
        <v>423</v>
      </c>
      <c r="G17108" s="495" t="s">
        <v>3779</v>
      </c>
      <c r="H17108" s="397"/>
      <c r="I17108" s="397"/>
      <c r="J17108" s="750" t="e">
        <f t="shared" si="204"/>
        <v>#DIV/0!</v>
      </c>
      <c r="K17108" s="398"/>
      <c r="L17108" s="398"/>
      <c r="M17108" s="682"/>
    </row>
    <row r="17109" spans="6:13" hidden="1" x14ac:dyDescent="0.2">
      <c r="F17109" s="494">
        <v>424</v>
      </c>
      <c r="G17109" s="495" t="s">
        <v>3781</v>
      </c>
      <c r="H17109" s="397"/>
      <c r="I17109" s="397"/>
      <c r="J17109" s="750" t="e">
        <f t="shared" si="204"/>
        <v>#DIV/0!</v>
      </c>
      <c r="K17109" s="398"/>
      <c r="L17109" s="398"/>
      <c r="M17109" s="682"/>
    </row>
    <row r="17110" spans="6:13" hidden="1" x14ac:dyDescent="0.2">
      <c r="F17110" s="494">
        <v>425</v>
      </c>
      <c r="G17110" s="495" t="s">
        <v>4180</v>
      </c>
      <c r="H17110" s="397"/>
      <c r="I17110" s="397"/>
      <c r="J17110" s="750" t="e">
        <f t="shared" si="204"/>
        <v>#DIV/0!</v>
      </c>
      <c r="K17110" s="398"/>
      <c r="L17110" s="398"/>
      <c r="M17110" s="682"/>
    </row>
    <row r="17111" spans="6:13" hidden="1" x14ac:dyDescent="0.2">
      <c r="F17111" s="494">
        <v>426</v>
      </c>
      <c r="G17111" s="495" t="s">
        <v>3785</v>
      </c>
      <c r="H17111" s="397"/>
      <c r="I17111" s="397"/>
      <c r="J17111" s="750" t="e">
        <f t="shared" si="204"/>
        <v>#DIV/0!</v>
      </c>
      <c r="K17111" s="398"/>
      <c r="L17111" s="398"/>
      <c r="M17111" s="682"/>
    </row>
    <row r="17112" spans="6:13" hidden="1" x14ac:dyDescent="0.2">
      <c r="F17112" s="494">
        <v>431</v>
      </c>
      <c r="G17112" s="495" t="s">
        <v>4181</v>
      </c>
      <c r="H17112" s="397"/>
      <c r="I17112" s="397"/>
      <c r="J17112" s="750" t="e">
        <f t="shared" si="204"/>
        <v>#DIV/0!</v>
      </c>
      <c r="K17112" s="398"/>
      <c r="L17112" s="398"/>
      <c r="M17112" s="682"/>
    </row>
    <row r="17113" spans="6:13" hidden="1" x14ac:dyDescent="0.2">
      <c r="F17113" s="494">
        <v>432</v>
      </c>
      <c r="G17113" s="495" t="s">
        <v>4182</v>
      </c>
      <c r="H17113" s="397"/>
      <c r="I17113" s="397"/>
      <c r="J17113" s="750" t="e">
        <f t="shared" si="204"/>
        <v>#DIV/0!</v>
      </c>
      <c r="K17113" s="398"/>
      <c r="L17113" s="398"/>
      <c r="M17113" s="682"/>
    </row>
    <row r="17114" spans="6:13" hidden="1" x14ac:dyDescent="0.2">
      <c r="F17114" s="494">
        <v>433</v>
      </c>
      <c r="G17114" s="495" t="s">
        <v>4183</v>
      </c>
      <c r="H17114" s="397"/>
      <c r="I17114" s="397"/>
      <c r="J17114" s="750" t="e">
        <f t="shared" si="204"/>
        <v>#DIV/0!</v>
      </c>
      <c r="K17114" s="398"/>
      <c r="L17114" s="398"/>
      <c r="M17114" s="682"/>
    </row>
    <row r="17115" spans="6:13" hidden="1" x14ac:dyDescent="0.2">
      <c r="F17115" s="494">
        <v>434</v>
      </c>
      <c r="G17115" s="495" t="s">
        <v>4184</v>
      </c>
      <c r="H17115" s="397"/>
      <c r="I17115" s="397"/>
      <c r="J17115" s="750" t="e">
        <f t="shared" si="204"/>
        <v>#DIV/0!</v>
      </c>
      <c r="K17115" s="398"/>
      <c r="L17115" s="398"/>
      <c r="M17115" s="682"/>
    </row>
    <row r="17116" spans="6:13" hidden="1" x14ac:dyDescent="0.2">
      <c r="F17116" s="494">
        <v>435</v>
      </c>
      <c r="G17116" s="495" t="s">
        <v>3792</v>
      </c>
      <c r="H17116" s="397"/>
      <c r="I17116" s="397"/>
      <c r="J17116" s="750" t="e">
        <f t="shared" si="204"/>
        <v>#DIV/0!</v>
      </c>
      <c r="K17116" s="398"/>
      <c r="L17116" s="398"/>
      <c r="M17116" s="682"/>
    </row>
    <row r="17117" spans="6:13" hidden="1" x14ac:dyDescent="0.2">
      <c r="F17117" s="494">
        <v>441</v>
      </c>
      <c r="G17117" s="495" t="s">
        <v>4185</v>
      </c>
      <c r="H17117" s="397"/>
      <c r="I17117" s="397"/>
      <c r="J17117" s="750" t="e">
        <f t="shared" si="204"/>
        <v>#DIV/0!</v>
      </c>
      <c r="K17117" s="398"/>
      <c r="L17117" s="398"/>
      <c r="M17117" s="682"/>
    </row>
    <row r="17118" spans="6:13" hidden="1" x14ac:dyDescent="0.2">
      <c r="F17118" s="494">
        <v>442</v>
      </c>
      <c r="G17118" s="495" t="s">
        <v>4186</v>
      </c>
      <c r="H17118" s="397"/>
      <c r="I17118" s="397"/>
      <c r="J17118" s="750" t="e">
        <f t="shared" si="204"/>
        <v>#DIV/0!</v>
      </c>
      <c r="K17118" s="398"/>
      <c r="L17118" s="398"/>
      <c r="M17118" s="682"/>
    </row>
    <row r="17119" spans="6:13" hidden="1" x14ac:dyDescent="0.2">
      <c r="F17119" s="494">
        <v>443</v>
      </c>
      <c r="G17119" s="495" t="s">
        <v>3797</v>
      </c>
      <c r="H17119" s="397"/>
      <c r="I17119" s="397"/>
      <c r="J17119" s="750" t="e">
        <f t="shared" si="204"/>
        <v>#DIV/0!</v>
      </c>
      <c r="K17119" s="398"/>
      <c r="L17119" s="398"/>
      <c r="M17119" s="682"/>
    </row>
    <row r="17120" spans="6:13" hidden="1" x14ac:dyDescent="0.2">
      <c r="F17120" s="494">
        <v>444</v>
      </c>
      <c r="G17120" s="495" t="s">
        <v>3798</v>
      </c>
      <c r="H17120" s="397"/>
      <c r="I17120" s="397"/>
      <c r="J17120" s="750" t="e">
        <f t="shared" si="204"/>
        <v>#DIV/0!</v>
      </c>
      <c r="K17120" s="398"/>
      <c r="L17120" s="398"/>
      <c r="M17120" s="682"/>
    </row>
    <row r="17121" spans="6:13" ht="25.5" hidden="1" x14ac:dyDescent="0.2">
      <c r="F17121" s="494">
        <v>4511</v>
      </c>
      <c r="G17121" s="466" t="s">
        <v>1692</v>
      </c>
      <c r="H17121" s="397"/>
      <c r="I17121" s="397"/>
      <c r="J17121" s="750" t="e">
        <f t="shared" si="204"/>
        <v>#DIV/0!</v>
      </c>
      <c r="K17121" s="398"/>
      <c r="L17121" s="398"/>
      <c r="M17121" s="682"/>
    </row>
    <row r="17122" spans="6:13" ht="25.5" hidden="1" x14ac:dyDescent="0.2">
      <c r="F17122" s="494">
        <v>4512</v>
      </c>
      <c r="G17122" s="466" t="s">
        <v>1701</v>
      </c>
      <c r="H17122" s="397"/>
      <c r="I17122" s="397"/>
      <c r="J17122" s="750" t="e">
        <f t="shared" si="204"/>
        <v>#DIV/0!</v>
      </c>
      <c r="K17122" s="398"/>
      <c r="L17122" s="398"/>
      <c r="M17122" s="682"/>
    </row>
    <row r="17123" spans="6:13" ht="25.5" hidden="1" x14ac:dyDescent="0.2">
      <c r="F17123" s="494">
        <v>452</v>
      </c>
      <c r="G17123" s="495" t="s">
        <v>4187</v>
      </c>
      <c r="H17123" s="397"/>
      <c r="I17123" s="397"/>
      <c r="J17123" s="750" t="e">
        <f t="shared" si="204"/>
        <v>#DIV/0!</v>
      </c>
      <c r="K17123" s="398"/>
      <c r="L17123" s="398"/>
      <c r="M17123" s="682"/>
    </row>
    <row r="17124" spans="6:13" ht="25.5" hidden="1" x14ac:dyDescent="0.2">
      <c r="F17124" s="494">
        <v>453</v>
      </c>
      <c r="G17124" s="495" t="s">
        <v>4188</v>
      </c>
      <c r="H17124" s="397"/>
      <c r="I17124" s="397"/>
      <c r="J17124" s="750" t="e">
        <f t="shared" si="204"/>
        <v>#DIV/0!</v>
      </c>
      <c r="K17124" s="398"/>
      <c r="L17124" s="398"/>
      <c r="M17124" s="682"/>
    </row>
    <row r="17125" spans="6:13" hidden="1" x14ac:dyDescent="0.2">
      <c r="F17125" s="494">
        <v>454</v>
      </c>
      <c r="G17125" s="495" t="s">
        <v>3803</v>
      </c>
      <c r="H17125" s="397"/>
      <c r="I17125" s="397"/>
      <c r="J17125" s="750" t="e">
        <f t="shared" si="204"/>
        <v>#DIV/0!</v>
      </c>
      <c r="K17125" s="398"/>
      <c r="L17125" s="398"/>
      <c r="M17125" s="682"/>
    </row>
    <row r="17126" spans="6:13" hidden="1" x14ac:dyDescent="0.2">
      <c r="F17126" s="494">
        <v>461</v>
      </c>
      <c r="G17126" s="495" t="s">
        <v>4169</v>
      </c>
      <c r="H17126" s="397"/>
      <c r="I17126" s="397"/>
      <c r="J17126" s="750" t="e">
        <f t="shared" si="204"/>
        <v>#DIV/0!</v>
      </c>
      <c r="K17126" s="398"/>
      <c r="L17126" s="398"/>
      <c r="M17126" s="682"/>
    </row>
    <row r="17127" spans="6:13" ht="25.5" hidden="1" x14ac:dyDescent="0.2">
      <c r="F17127" s="494">
        <v>462</v>
      </c>
      <c r="G17127" s="495" t="s">
        <v>3806</v>
      </c>
      <c r="H17127" s="397"/>
      <c r="I17127" s="397"/>
      <c r="J17127" s="750" t="e">
        <f t="shared" si="204"/>
        <v>#DIV/0!</v>
      </c>
      <c r="K17127" s="398"/>
      <c r="L17127" s="398"/>
      <c r="M17127" s="682"/>
    </row>
    <row r="17128" spans="6:13" hidden="1" x14ac:dyDescent="0.2">
      <c r="F17128" s="494">
        <v>4631</v>
      </c>
      <c r="G17128" s="495" t="s">
        <v>3807</v>
      </c>
      <c r="H17128" s="397"/>
      <c r="I17128" s="397"/>
      <c r="J17128" s="750" t="e">
        <f t="shared" si="204"/>
        <v>#DIV/0!</v>
      </c>
      <c r="K17128" s="398"/>
      <c r="L17128" s="398"/>
      <c r="M17128" s="682"/>
    </row>
    <row r="17129" spans="6:13" hidden="1" x14ac:dyDescent="0.2">
      <c r="F17129" s="494">
        <v>4632</v>
      </c>
      <c r="G17129" s="495" t="s">
        <v>3808</v>
      </c>
      <c r="H17129" s="397"/>
      <c r="I17129" s="397"/>
      <c r="J17129" s="750" t="e">
        <f t="shared" si="204"/>
        <v>#DIV/0!</v>
      </c>
      <c r="K17129" s="398"/>
      <c r="L17129" s="398"/>
      <c r="M17129" s="682"/>
    </row>
    <row r="17130" spans="6:13" ht="25.5" hidden="1" x14ac:dyDescent="0.2">
      <c r="F17130" s="494">
        <v>464</v>
      </c>
      <c r="G17130" s="495" t="s">
        <v>3809</v>
      </c>
      <c r="H17130" s="397"/>
      <c r="I17130" s="397"/>
      <c r="J17130" s="750" t="e">
        <f t="shared" si="204"/>
        <v>#DIV/0!</v>
      </c>
      <c r="K17130" s="398"/>
      <c r="L17130" s="398"/>
      <c r="M17130" s="682"/>
    </row>
    <row r="17131" spans="6:13" hidden="1" x14ac:dyDescent="0.2">
      <c r="F17131" s="494">
        <v>465</v>
      </c>
      <c r="G17131" s="495" t="s">
        <v>4170</v>
      </c>
      <c r="H17131" s="397"/>
      <c r="I17131" s="397"/>
      <c r="J17131" s="750" t="e">
        <f t="shared" si="204"/>
        <v>#DIV/0!</v>
      </c>
      <c r="K17131" s="398"/>
      <c r="L17131" s="398"/>
      <c r="M17131" s="682"/>
    </row>
    <row r="17132" spans="6:13" hidden="1" x14ac:dyDescent="0.2">
      <c r="F17132" s="494">
        <v>472</v>
      </c>
      <c r="G17132" s="495" t="s">
        <v>3813</v>
      </c>
      <c r="H17132" s="397"/>
      <c r="I17132" s="397"/>
      <c r="J17132" s="750" t="e">
        <f t="shared" si="204"/>
        <v>#DIV/0!</v>
      </c>
      <c r="K17132" s="398"/>
      <c r="L17132" s="398"/>
      <c r="M17132" s="682"/>
    </row>
    <row r="17133" spans="6:13" hidden="1" x14ac:dyDescent="0.2">
      <c r="F17133" s="494">
        <v>481</v>
      </c>
      <c r="G17133" s="495" t="s">
        <v>4189</v>
      </c>
      <c r="H17133" s="397"/>
      <c r="I17133" s="397"/>
      <c r="J17133" s="750" t="e">
        <f t="shared" si="204"/>
        <v>#DIV/0!</v>
      </c>
      <c r="K17133" s="398"/>
      <c r="L17133" s="398"/>
      <c r="M17133" s="682"/>
    </row>
    <row r="17134" spans="6:13" hidden="1" x14ac:dyDescent="0.2">
      <c r="F17134" s="494">
        <v>482</v>
      </c>
      <c r="G17134" s="495" t="s">
        <v>4190</v>
      </c>
      <c r="H17134" s="397"/>
      <c r="I17134" s="397"/>
      <c r="J17134" s="750" t="e">
        <f t="shared" si="204"/>
        <v>#DIV/0!</v>
      </c>
      <c r="K17134" s="398"/>
      <c r="L17134" s="398"/>
      <c r="M17134" s="682"/>
    </row>
    <row r="17135" spans="6:13" hidden="1" x14ac:dyDescent="0.2">
      <c r="F17135" s="494">
        <v>483</v>
      </c>
      <c r="G17135" s="497" t="s">
        <v>4191</v>
      </c>
      <c r="H17135" s="397"/>
      <c r="I17135" s="397"/>
      <c r="J17135" s="750" t="e">
        <f t="shared" si="204"/>
        <v>#DIV/0!</v>
      </c>
      <c r="K17135" s="398"/>
      <c r="L17135" s="398"/>
      <c r="M17135" s="682"/>
    </row>
    <row r="17136" spans="6:13" ht="38.25" hidden="1" x14ac:dyDescent="0.2">
      <c r="F17136" s="494">
        <v>484</v>
      </c>
      <c r="G17136" s="495" t="s">
        <v>4192</v>
      </c>
      <c r="H17136" s="397"/>
      <c r="I17136" s="397"/>
      <c r="J17136" s="750" t="e">
        <f t="shared" si="204"/>
        <v>#DIV/0!</v>
      </c>
      <c r="K17136" s="398"/>
      <c r="L17136" s="398"/>
      <c r="M17136" s="682"/>
    </row>
    <row r="17137" spans="6:13" ht="25.5" hidden="1" x14ac:dyDescent="0.2">
      <c r="F17137" s="494">
        <v>485</v>
      </c>
      <c r="G17137" s="495" t="s">
        <v>4193</v>
      </c>
      <c r="H17137" s="397"/>
      <c r="I17137" s="397"/>
      <c r="J17137" s="750" t="e">
        <f t="shared" si="204"/>
        <v>#DIV/0!</v>
      </c>
      <c r="K17137" s="398"/>
      <c r="L17137" s="398"/>
      <c r="M17137" s="682"/>
    </row>
    <row r="17138" spans="6:13" ht="25.5" hidden="1" x14ac:dyDescent="0.2">
      <c r="F17138" s="494">
        <v>489</v>
      </c>
      <c r="G17138" s="495" t="s">
        <v>3821</v>
      </c>
      <c r="H17138" s="397"/>
      <c r="I17138" s="397"/>
      <c r="J17138" s="750" t="e">
        <f t="shared" si="204"/>
        <v>#DIV/0!</v>
      </c>
      <c r="K17138" s="398"/>
      <c r="L17138" s="398"/>
      <c r="M17138" s="682"/>
    </row>
    <row r="17139" spans="6:13" ht="25.5" hidden="1" x14ac:dyDescent="0.2">
      <c r="F17139" s="494">
        <v>494</v>
      </c>
      <c r="G17139" s="495" t="s">
        <v>4171</v>
      </c>
      <c r="H17139" s="397"/>
      <c r="I17139" s="397"/>
      <c r="J17139" s="750" t="e">
        <f t="shared" si="204"/>
        <v>#DIV/0!</v>
      </c>
      <c r="K17139" s="398"/>
      <c r="L17139" s="398"/>
      <c r="M17139" s="682"/>
    </row>
    <row r="17140" spans="6:13" ht="25.5" hidden="1" x14ac:dyDescent="0.2">
      <c r="F17140" s="494">
        <v>495</v>
      </c>
      <c r="G17140" s="495" t="s">
        <v>4172</v>
      </c>
      <c r="H17140" s="397"/>
      <c r="I17140" s="397"/>
      <c r="J17140" s="750" t="e">
        <f t="shared" si="204"/>
        <v>#DIV/0!</v>
      </c>
      <c r="K17140" s="398"/>
      <c r="L17140" s="398"/>
      <c r="M17140" s="682"/>
    </row>
    <row r="17141" spans="6:13" ht="38.25" hidden="1" x14ac:dyDescent="0.2">
      <c r="F17141" s="494">
        <v>496</v>
      </c>
      <c r="G17141" s="495" t="s">
        <v>4173</v>
      </c>
      <c r="H17141" s="397"/>
      <c r="I17141" s="397"/>
      <c r="J17141" s="750" t="e">
        <f t="shared" si="204"/>
        <v>#DIV/0!</v>
      </c>
      <c r="K17141" s="398"/>
      <c r="L17141" s="398"/>
      <c r="M17141" s="682"/>
    </row>
    <row r="17142" spans="6:13" ht="25.5" hidden="1" x14ac:dyDescent="0.2">
      <c r="F17142" s="494">
        <v>499</v>
      </c>
      <c r="G17142" s="495" t="s">
        <v>4174</v>
      </c>
      <c r="H17142" s="397"/>
      <c r="I17142" s="397"/>
      <c r="J17142" s="750" t="e">
        <f t="shared" si="204"/>
        <v>#DIV/0!</v>
      </c>
      <c r="K17142" s="398"/>
      <c r="L17142" s="398"/>
      <c r="M17142" s="682"/>
    </row>
    <row r="17143" spans="6:13" hidden="1" x14ac:dyDescent="0.2">
      <c r="F17143" s="494">
        <v>511</v>
      </c>
      <c r="G17143" s="497" t="s">
        <v>4194</v>
      </c>
      <c r="H17143" s="397"/>
      <c r="I17143" s="397"/>
      <c r="J17143" s="750" t="e">
        <f t="shared" si="204"/>
        <v>#DIV/0!</v>
      </c>
      <c r="K17143" s="398"/>
      <c r="L17143" s="398"/>
      <c r="M17143" s="682"/>
    </row>
    <row r="17144" spans="6:13" hidden="1" x14ac:dyDescent="0.2">
      <c r="F17144" s="494">
        <v>512</v>
      </c>
      <c r="G17144" s="497" t="s">
        <v>4195</v>
      </c>
      <c r="H17144" s="397"/>
      <c r="I17144" s="397"/>
      <c r="J17144" s="750" t="e">
        <f t="shared" si="204"/>
        <v>#DIV/0!</v>
      </c>
      <c r="K17144" s="398"/>
      <c r="L17144" s="398"/>
      <c r="M17144" s="682"/>
    </row>
    <row r="17145" spans="6:13" hidden="1" x14ac:dyDescent="0.2">
      <c r="F17145" s="494">
        <v>513</v>
      </c>
      <c r="G17145" s="497" t="s">
        <v>4196</v>
      </c>
      <c r="H17145" s="397"/>
      <c r="I17145" s="397"/>
      <c r="J17145" s="750" t="e">
        <f t="shared" si="204"/>
        <v>#DIV/0!</v>
      </c>
      <c r="K17145" s="398"/>
      <c r="L17145" s="398"/>
      <c r="M17145" s="682"/>
    </row>
    <row r="17146" spans="6:13" hidden="1" x14ac:dyDescent="0.2">
      <c r="F17146" s="494">
        <v>514</v>
      </c>
      <c r="G17146" s="495" t="s">
        <v>4197</v>
      </c>
      <c r="H17146" s="397"/>
      <c r="I17146" s="397"/>
      <c r="J17146" s="750" t="e">
        <f t="shared" si="204"/>
        <v>#DIV/0!</v>
      </c>
      <c r="K17146" s="398"/>
      <c r="L17146" s="398"/>
      <c r="M17146" s="682"/>
    </row>
    <row r="17147" spans="6:13" hidden="1" x14ac:dyDescent="0.2">
      <c r="F17147" s="494">
        <v>515</v>
      </c>
      <c r="G17147" s="495" t="s">
        <v>3832</v>
      </c>
      <c r="H17147" s="397"/>
      <c r="I17147" s="397"/>
      <c r="J17147" s="750" t="e">
        <f t="shared" si="204"/>
        <v>#DIV/0!</v>
      </c>
      <c r="K17147" s="398"/>
      <c r="L17147" s="398"/>
      <c r="M17147" s="682"/>
    </row>
    <row r="17148" spans="6:13" hidden="1" x14ac:dyDescent="0.2">
      <c r="F17148" s="494">
        <v>521</v>
      </c>
      <c r="G17148" s="495" t="s">
        <v>4198</v>
      </c>
      <c r="H17148" s="397"/>
      <c r="I17148" s="397"/>
      <c r="J17148" s="750" t="e">
        <f t="shared" si="204"/>
        <v>#DIV/0!</v>
      </c>
      <c r="K17148" s="398"/>
      <c r="L17148" s="398"/>
      <c r="M17148" s="682"/>
    </row>
    <row r="17149" spans="6:13" hidden="1" x14ac:dyDescent="0.2">
      <c r="F17149" s="494">
        <v>522</v>
      </c>
      <c r="G17149" s="495" t="s">
        <v>4199</v>
      </c>
      <c r="H17149" s="397"/>
      <c r="I17149" s="397"/>
      <c r="J17149" s="750" t="e">
        <f t="shared" si="204"/>
        <v>#DIV/0!</v>
      </c>
      <c r="K17149" s="398"/>
      <c r="L17149" s="398"/>
      <c r="M17149" s="682"/>
    </row>
    <row r="17150" spans="6:13" hidden="1" x14ac:dyDescent="0.2">
      <c r="F17150" s="494">
        <v>523</v>
      </c>
      <c r="G17150" s="495" t="s">
        <v>3837</v>
      </c>
      <c r="H17150" s="397"/>
      <c r="I17150" s="397"/>
      <c r="J17150" s="750" t="e">
        <f t="shared" si="204"/>
        <v>#DIV/0!</v>
      </c>
      <c r="K17150" s="398"/>
      <c r="L17150" s="398"/>
      <c r="M17150" s="682"/>
    </row>
    <row r="17151" spans="6:13" hidden="1" x14ac:dyDescent="0.2">
      <c r="F17151" s="494">
        <v>531</v>
      </c>
      <c r="G17151" s="496" t="s">
        <v>4175</v>
      </c>
      <c r="H17151" s="397"/>
      <c r="I17151" s="397"/>
      <c r="J17151" s="750" t="e">
        <f t="shared" si="204"/>
        <v>#DIV/0!</v>
      </c>
      <c r="K17151" s="398"/>
      <c r="L17151" s="398"/>
      <c r="M17151" s="682"/>
    </row>
    <row r="17152" spans="6:13" hidden="1" x14ac:dyDescent="0.2">
      <c r="F17152" s="494">
        <v>541</v>
      </c>
      <c r="G17152" s="495" t="s">
        <v>4200</v>
      </c>
      <c r="H17152" s="397"/>
      <c r="I17152" s="397"/>
      <c r="J17152" s="750" t="e">
        <f t="shared" si="204"/>
        <v>#DIV/0!</v>
      </c>
      <c r="K17152" s="398"/>
      <c r="L17152" s="398"/>
      <c r="M17152" s="682"/>
    </row>
    <row r="17153" spans="5:13" hidden="1" x14ac:dyDescent="0.2">
      <c r="F17153" s="494">
        <v>542</v>
      </c>
      <c r="G17153" s="495" t="s">
        <v>4201</v>
      </c>
      <c r="H17153" s="397"/>
      <c r="I17153" s="397"/>
      <c r="J17153" s="750" t="e">
        <f t="shared" si="204"/>
        <v>#DIV/0!</v>
      </c>
      <c r="K17153" s="398"/>
      <c r="L17153" s="398"/>
      <c r="M17153" s="682"/>
    </row>
    <row r="17154" spans="5:13" hidden="1" x14ac:dyDescent="0.2">
      <c r="F17154" s="494">
        <v>543</v>
      </c>
      <c r="G17154" s="495" t="s">
        <v>3842</v>
      </c>
      <c r="H17154" s="397"/>
      <c r="I17154" s="397"/>
      <c r="J17154" s="750" t="e">
        <f t="shared" si="204"/>
        <v>#DIV/0!</v>
      </c>
      <c r="K17154" s="398"/>
      <c r="L17154" s="398"/>
      <c r="M17154" s="682"/>
    </row>
    <row r="17155" spans="5:13" ht="38.25" hidden="1" x14ac:dyDescent="0.2">
      <c r="F17155" s="494">
        <v>551</v>
      </c>
      <c r="G17155" s="495" t="s">
        <v>4176</v>
      </c>
      <c r="H17155" s="397"/>
      <c r="I17155" s="397"/>
      <c r="J17155" s="750" t="e">
        <f t="shared" si="204"/>
        <v>#DIV/0!</v>
      </c>
      <c r="K17155" s="398"/>
      <c r="L17155" s="398"/>
      <c r="M17155" s="682"/>
    </row>
    <row r="17156" spans="5:13" hidden="1" x14ac:dyDescent="0.2">
      <c r="F17156" s="498">
        <v>611</v>
      </c>
      <c r="G17156" s="499" t="s">
        <v>3848</v>
      </c>
      <c r="H17156" s="397"/>
      <c r="I17156" s="397"/>
      <c r="J17156" s="750" t="e">
        <f t="shared" si="204"/>
        <v>#DIV/0!</v>
      </c>
      <c r="K17156" s="398"/>
      <c r="L17156" s="398"/>
      <c r="M17156" s="682"/>
    </row>
    <row r="17157" spans="5:13" hidden="1" x14ac:dyDescent="0.2">
      <c r="F17157" s="498">
        <v>620</v>
      </c>
      <c r="G17157" s="499" t="s">
        <v>88</v>
      </c>
      <c r="H17157" s="397"/>
      <c r="I17157" s="397"/>
      <c r="J17157" s="750" t="e">
        <f t="shared" si="204"/>
        <v>#DIV/0!</v>
      </c>
      <c r="K17157" s="398"/>
      <c r="L17157" s="398"/>
      <c r="M17157" s="682"/>
    </row>
    <row r="17158" spans="5:13" hidden="1" x14ac:dyDescent="0.2">
      <c r="E17158" s="500"/>
      <c r="F17158" s="498"/>
      <c r="G17158" s="509" t="s">
        <v>4454</v>
      </c>
      <c r="H17158" s="400"/>
      <c r="I17158" s="400"/>
      <c r="J17158" s="750" t="e">
        <f t="shared" si="204"/>
        <v>#DIV/0!</v>
      </c>
      <c r="K17158" s="401"/>
      <c r="L17158" s="402"/>
      <c r="M17158" s="682"/>
    </row>
    <row r="17159" spans="5:13" hidden="1" x14ac:dyDescent="0.2">
      <c r="E17159" s="502"/>
      <c r="F17159" s="503" t="s">
        <v>234</v>
      </c>
      <c r="G17159" s="504" t="s">
        <v>235</v>
      </c>
      <c r="H17159" s="403">
        <f>SUM(H17098:H17157)</f>
        <v>0</v>
      </c>
      <c r="I17159" s="403"/>
      <c r="J17159" s="750" t="e">
        <f t="shared" si="204"/>
        <v>#DIV/0!</v>
      </c>
      <c r="K17159" s="404"/>
      <c r="L17159" s="404"/>
      <c r="M17159" s="682"/>
    </row>
    <row r="17160" spans="5:13" hidden="1" x14ac:dyDescent="0.2">
      <c r="F17160" s="503" t="s">
        <v>236</v>
      </c>
      <c r="G17160" s="504" t="s">
        <v>237</v>
      </c>
      <c r="H17160" s="397"/>
      <c r="I17160" s="397"/>
      <c r="J17160" s="750" t="e">
        <f t="shared" si="204"/>
        <v>#DIV/0!</v>
      </c>
      <c r="K17160" s="398"/>
      <c r="L17160" s="404"/>
      <c r="M17160" s="682"/>
    </row>
    <row r="17161" spans="5:13" hidden="1" x14ac:dyDescent="0.2">
      <c r="F17161" s="503" t="s">
        <v>238</v>
      </c>
      <c r="G17161" s="504" t="s">
        <v>239</v>
      </c>
      <c r="H17161" s="397"/>
      <c r="I17161" s="397"/>
      <c r="J17161" s="750" t="e">
        <f t="shared" si="204"/>
        <v>#DIV/0!</v>
      </c>
      <c r="K17161" s="398"/>
      <c r="L17161" s="404"/>
      <c r="M17161" s="682"/>
    </row>
    <row r="17162" spans="5:13" hidden="1" x14ac:dyDescent="0.2">
      <c r="F17162" s="503" t="s">
        <v>240</v>
      </c>
      <c r="G17162" s="504" t="s">
        <v>241</v>
      </c>
      <c r="H17162" s="397"/>
      <c r="I17162" s="397"/>
      <c r="J17162" s="750" t="e">
        <f t="shared" si="204"/>
        <v>#DIV/0!</v>
      </c>
      <c r="K17162" s="398"/>
      <c r="L17162" s="404"/>
      <c r="M17162" s="682"/>
    </row>
    <row r="17163" spans="5:13" hidden="1" x14ac:dyDescent="0.2">
      <c r="F17163" s="503" t="s">
        <v>242</v>
      </c>
      <c r="G17163" s="504" t="s">
        <v>243</v>
      </c>
      <c r="H17163" s="397"/>
      <c r="I17163" s="397"/>
      <c r="J17163" s="750" t="e">
        <f t="shared" si="204"/>
        <v>#DIV/0!</v>
      </c>
      <c r="K17163" s="398"/>
      <c r="L17163" s="404"/>
      <c r="M17163" s="682"/>
    </row>
    <row r="17164" spans="5:13" hidden="1" x14ac:dyDescent="0.2">
      <c r="F17164" s="503" t="s">
        <v>244</v>
      </c>
      <c r="G17164" s="504" t="s">
        <v>245</v>
      </c>
      <c r="H17164" s="397"/>
      <c r="I17164" s="397"/>
      <c r="J17164" s="750" t="e">
        <f t="shared" si="204"/>
        <v>#DIV/0!</v>
      </c>
      <c r="K17164" s="398"/>
      <c r="L17164" s="404"/>
      <c r="M17164" s="682"/>
    </row>
    <row r="17165" spans="5:13" hidden="1" x14ac:dyDescent="0.2">
      <c r="F17165" s="503" t="s">
        <v>246</v>
      </c>
      <c r="G17165" s="504" t="s">
        <v>247</v>
      </c>
      <c r="H17165" s="397"/>
      <c r="I17165" s="397"/>
      <c r="J17165" s="750" t="e">
        <f t="shared" si="204"/>
        <v>#DIV/0!</v>
      </c>
      <c r="K17165" s="398"/>
      <c r="L17165" s="404"/>
      <c r="M17165" s="682"/>
    </row>
    <row r="17166" spans="5:13" ht="25.5" hidden="1" x14ac:dyDescent="0.2">
      <c r="F17166" s="503" t="s">
        <v>248</v>
      </c>
      <c r="G17166" s="504" t="s">
        <v>249</v>
      </c>
      <c r="H17166" s="397"/>
      <c r="I17166" s="397"/>
      <c r="J17166" s="750" t="e">
        <f t="shared" ref="J17166:J17229" si="205">SUM(I17166/H17166)*100</f>
        <v>#DIV/0!</v>
      </c>
      <c r="K17166" s="398"/>
      <c r="L17166" s="404"/>
      <c r="M17166" s="682"/>
    </row>
    <row r="17167" spans="5:13" hidden="1" x14ac:dyDescent="0.2">
      <c r="F17167" s="503" t="s">
        <v>250</v>
      </c>
      <c r="G17167" s="504" t="s">
        <v>57</v>
      </c>
      <c r="H17167" s="397"/>
      <c r="I17167" s="397"/>
      <c r="J17167" s="750" t="e">
        <f t="shared" si="205"/>
        <v>#DIV/0!</v>
      </c>
      <c r="K17167" s="398"/>
      <c r="L17167" s="404"/>
      <c r="M17167" s="682"/>
    </row>
    <row r="17168" spans="5:13" hidden="1" x14ac:dyDescent="0.2">
      <c r="F17168" s="503" t="s">
        <v>251</v>
      </c>
      <c r="G17168" s="504" t="s">
        <v>252</v>
      </c>
      <c r="H17168" s="397"/>
      <c r="I17168" s="397"/>
      <c r="J17168" s="750" t="e">
        <f t="shared" si="205"/>
        <v>#DIV/0!</v>
      </c>
      <c r="K17168" s="398"/>
      <c r="L17168" s="404"/>
      <c r="M17168" s="682"/>
    </row>
    <row r="17169" spans="5:13" hidden="1" x14ac:dyDescent="0.2">
      <c r="F17169" s="503" t="s">
        <v>253</v>
      </c>
      <c r="G17169" s="504" t="s">
        <v>254</v>
      </c>
      <c r="H17169" s="397"/>
      <c r="I17169" s="397"/>
      <c r="J17169" s="750" t="e">
        <f t="shared" si="205"/>
        <v>#DIV/0!</v>
      </c>
      <c r="K17169" s="398"/>
      <c r="L17169" s="404"/>
      <c r="M17169" s="682"/>
    </row>
    <row r="17170" spans="5:13" ht="25.5" hidden="1" x14ac:dyDescent="0.2">
      <c r="F17170" s="503" t="s">
        <v>255</v>
      </c>
      <c r="G17170" s="504" t="s">
        <v>256</v>
      </c>
      <c r="H17170" s="397"/>
      <c r="I17170" s="397"/>
      <c r="J17170" s="750" t="e">
        <f t="shared" si="205"/>
        <v>#DIV/0!</v>
      </c>
      <c r="K17170" s="398"/>
      <c r="L17170" s="404"/>
      <c r="M17170" s="682"/>
    </row>
    <row r="17171" spans="5:13" ht="25.5" hidden="1" x14ac:dyDescent="0.2">
      <c r="F17171" s="503" t="s">
        <v>257</v>
      </c>
      <c r="G17171" s="504" t="s">
        <v>258</v>
      </c>
      <c r="H17171" s="397"/>
      <c r="I17171" s="397"/>
      <c r="J17171" s="750" t="e">
        <f t="shared" si="205"/>
        <v>#DIV/0!</v>
      </c>
      <c r="K17171" s="398"/>
      <c r="L17171" s="404"/>
      <c r="M17171" s="682"/>
    </row>
    <row r="17172" spans="5:13" ht="25.5" hidden="1" x14ac:dyDescent="0.2">
      <c r="F17172" s="503" t="s">
        <v>259</v>
      </c>
      <c r="G17172" s="504" t="s">
        <v>260</v>
      </c>
      <c r="H17172" s="397"/>
      <c r="I17172" s="397"/>
      <c r="J17172" s="750" t="e">
        <f t="shared" si="205"/>
        <v>#DIV/0!</v>
      </c>
      <c r="K17172" s="398"/>
      <c r="L17172" s="404"/>
      <c r="M17172" s="682"/>
    </row>
    <row r="17173" spans="5:13" ht="25.5" hidden="1" x14ac:dyDescent="0.2">
      <c r="F17173" s="503" t="s">
        <v>261</v>
      </c>
      <c r="G17173" s="504" t="s">
        <v>262</v>
      </c>
      <c r="H17173" s="397"/>
      <c r="I17173" s="397"/>
      <c r="J17173" s="750" t="e">
        <f t="shared" si="205"/>
        <v>#DIV/0!</v>
      </c>
      <c r="K17173" s="398"/>
      <c r="L17173" s="404"/>
      <c r="M17173" s="682"/>
    </row>
    <row r="17174" spans="5:13" hidden="1" x14ac:dyDescent="0.2">
      <c r="F17174" s="503" t="s">
        <v>263</v>
      </c>
      <c r="G17174" s="504" t="s">
        <v>264</v>
      </c>
      <c r="H17174" s="403"/>
      <c r="I17174" s="403"/>
      <c r="J17174" s="750" t="e">
        <f t="shared" si="205"/>
        <v>#DIV/0!</v>
      </c>
      <c r="K17174" s="404"/>
      <c r="L17174" s="404"/>
      <c r="M17174" s="682"/>
    </row>
    <row r="17175" spans="5:13" ht="13.5" hidden="1" thickBot="1" x14ac:dyDescent="0.25">
      <c r="G17175" s="505" t="s">
        <v>4455</v>
      </c>
      <c r="H17175" s="405">
        <f>SUM(H17159:H17174)</f>
        <v>0</v>
      </c>
      <c r="I17175" s="405"/>
      <c r="J17175" s="750" t="e">
        <f t="shared" si="205"/>
        <v>#DIV/0!</v>
      </c>
      <c r="K17175" s="406">
        <f>SUM(K17160:K17174)</f>
        <v>0</v>
      </c>
      <c r="L17175" s="406"/>
      <c r="M17175" s="682"/>
    </row>
    <row r="17176" spans="5:13" hidden="1" collapsed="1" x14ac:dyDescent="0.2">
      <c r="E17176" s="500"/>
      <c r="F17176" s="498"/>
      <c r="G17176" s="506" t="s">
        <v>5037</v>
      </c>
      <c r="H17176" s="407"/>
      <c r="I17176" s="408"/>
      <c r="J17176" s="750" t="e">
        <f t="shared" si="205"/>
        <v>#DIV/0!</v>
      </c>
      <c r="K17176" s="409"/>
      <c r="L17176" s="410"/>
      <c r="M17176" s="682"/>
    </row>
    <row r="17177" spans="5:13" hidden="1" x14ac:dyDescent="0.2">
      <c r="E17177" s="502"/>
      <c r="F17177" s="503" t="s">
        <v>234</v>
      </c>
      <c r="G17177" s="504" t="s">
        <v>235</v>
      </c>
      <c r="H17177" s="403">
        <f>SUM(H17098:H17157)</f>
        <v>0</v>
      </c>
      <c r="I17177" s="403"/>
      <c r="J17177" s="750" t="e">
        <f t="shared" si="205"/>
        <v>#DIV/0!</v>
      </c>
      <c r="K17177" s="404"/>
      <c r="L17177" s="404"/>
      <c r="M17177" s="682"/>
    </row>
    <row r="17178" spans="5:13" hidden="1" x14ac:dyDescent="0.2">
      <c r="F17178" s="503" t="s">
        <v>236</v>
      </c>
      <c r="G17178" s="504" t="s">
        <v>237</v>
      </c>
      <c r="H17178" s="397"/>
      <c r="I17178" s="397"/>
      <c r="J17178" s="750" t="e">
        <f t="shared" si="205"/>
        <v>#DIV/0!</v>
      </c>
      <c r="K17178" s="398"/>
      <c r="L17178" s="404"/>
      <c r="M17178" s="682"/>
    </row>
    <row r="17179" spans="5:13" hidden="1" x14ac:dyDescent="0.2">
      <c r="F17179" s="503" t="s">
        <v>238</v>
      </c>
      <c r="G17179" s="504" t="s">
        <v>239</v>
      </c>
      <c r="H17179" s="397"/>
      <c r="I17179" s="397"/>
      <c r="J17179" s="750" t="e">
        <f t="shared" si="205"/>
        <v>#DIV/0!</v>
      </c>
      <c r="K17179" s="398"/>
      <c r="L17179" s="404"/>
      <c r="M17179" s="682"/>
    </row>
    <row r="17180" spans="5:13" hidden="1" x14ac:dyDescent="0.2">
      <c r="F17180" s="503" t="s">
        <v>240</v>
      </c>
      <c r="G17180" s="504" t="s">
        <v>241</v>
      </c>
      <c r="H17180" s="397"/>
      <c r="I17180" s="397"/>
      <c r="J17180" s="750" t="e">
        <f t="shared" si="205"/>
        <v>#DIV/0!</v>
      </c>
      <c r="K17180" s="398"/>
      <c r="L17180" s="404"/>
      <c r="M17180" s="682"/>
    </row>
    <row r="17181" spans="5:13" hidden="1" x14ac:dyDescent="0.2">
      <c r="F17181" s="503" t="s">
        <v>242</v>
      </c>
      <c r="G17181" s="504" t="s">
        <v>243</v>
      </c>
      <c r="H17181" s="397"/>
      <c r="I17181" s="397"/>
      <c r="J17181" s="750" t="e">
        <f t="shared" si="205"/>
        <v>#DIV/0!</v>
      </c>
      <c r="K17181" s="398"/>
      <c r="L17181" s="404"/>
      <c r="M17181" s="682"/>
    </row>
    <row r="17182" spans="5:13" hidden="1" x14ac:dyDescent="0.2">
      <c r="F17182" s="503" t="s">
        <v>244</v>
      </c>
      <c r="G17182" s="504" t="s">
        <v>245</v>
      </c>
      <c r="H17182" s="397"/>
      <c r="I17182" s="397"/>
      <c r="J17182" s="750" t="e">
        <f t="shared" si="205"/>
        <v>#DIV/0!</v>
      </c>
      <c r="K17182" s="398"/>
      <c r="L17182" s="404"/>
      <c r="M17182" s="682"/>
    </row>
    <row r="17183" spans="5:13" hidden="1" x14ac:dyDescent="0.2">
      <c r="F17183" s="503" t="s">
        <v>246</v>
      </c>
      <c r="G17183" s="504" t="s">
        <v>247</v>
      </c>
      <c r="H17183" s="397"/>
      <c r="I17183" s="397"/>
      <c r="J17183" s="750" t="e">
        <f t="shared" si="205"/>
        <v>#DIV/0!</v>
      </c>
      <c r="K17183" s="398"/>
      <c r="L17183" s="404"/>
      <c r="M17183" s="682"/>
    </row>
    <row r="17184" spans="5:13" ht="25.5" hidden="1" x14ac:dyDescent="0.2">
      <c r="F17184" s="503" t="s">
        <v>248</v>
      </c>
      <c r="G17184" s="504" t="s">
        <v>249</v>
      </c>
      <c r="H17184" s="397"/>
      <c r="I17184" s="397"/>
      <c r="J17184" s="750" t="e">
        <f t="shared" si="205"/>
        <v>#DIV/0!</v>
      </c>
      <c r="K17184" s="398"/>
      <c r="L17184" s="404"/>
      <c r="M17184" s="682"/>
    </row>
    <row r="17185" spans="5:13" hidden="1" x14ac:dyDescent="0.2">
      <c r="F17185" s="503" t="s">
        <v>250</v>
      </c>
      <c r="G17185" s="504" t="s">
        <v>57</v>
      </c>
      <c r="H17185" s="397"/>
      <c r="I17185" s="397"/>
      <c r="J17185" s="750" t="e">
        <f t="shared" si="205"/>
        <v>#DIV/0!</v>
      </c>
      <c r="K17185" s="398"/>
      <c r="L17185" s="404"/>
      <c r="M17185" s="682"/>
    </row>
    <row r="17186" spans="5:13" hidden="1" x14ac:dyDescent="0.2">
      <c r="F17186" s="503" t="s">
        <v>251</v>
      </c>
      <c r="G17186" s="504" t="s">
        <v>252</v>
      </c>
      <c r="H17186" s="397"/>
      <c r="I17186" s="397"/>
      <c r="J17186" s="750" t="e">
        <f t="shared" si="205"/>
        <v>#DIV/0!</v>
      </c>
      <c r="K17186" s="398"/>
      <c r="L17186" s="404"/>
      <c r="M17186" s="682"/>
    </row>
    <row r="17187" spans="5:13" hidden="1" x14ac:dyDescent="0.2">
      <c r="F17187" s="503" t="s">
        <v>253</v>
      </c>
      <c r="G17187" s="504" t="s">
        <v>254</v>
      </c>
      <c r="H17187" s="397"/>
      <c r="I17187" s="397"/>
      <c r="J17187" s="750" t="e">
        <f t="shared" si="205"/>
        <v>#DIV/0!</v>
      </c>
      <c r="K17187" s="398"/>
      <c r="L17187" s="404"/>
      <c r="M17187" s="682"/>
    </row>
    <row r="17188" spans="5:13" ht="25.5" hidden="1" x14ac:dyDescent="0.2">
      <c r="F17188" s="503" t="s">
        <v>255</v>
      </c>
      <c r="G17188" s="504" t="s">
        <v>256</v>
      </c>
      <c r="H17188" s="397"/>
      <c r="I17188" s="397"/>
      <c r="J17188" s="750" t="e">
        <f t="shared" si="205"/>
        <v>#DIV/0!</v>
      </c>
      <c r="K17188" s="398"/>
      <c r="L17188" s="404"/>
      <c r="M17188" s="682"/>
    </row>
    <row r="17189" spans="5:13" ht="25.5" hidden="1" x14ac:dyDescent="0.2">
      <c r="F17189" s="503" t="s">
        <v>257</v>
      </c>
      <c r="G17189" s="504" t="s">
        <v>258</v>
      </c>
      <c r="H17189" s="397"/>
      <c r="I17189" s="397"/>
      <c r="J17189" s="750" t="e">
        <f t="shared" si="205"/>
        <v>#DIV/0!</v>
      </c>
      <c r="K17189" s="398"/>
      <c r="L17189" s="404"/>
      <c r="M17189" s="682"/>
    </row>
    <row r="17190" spans="5:13" ht="25.5" hidden="1" x14ac:dyDescent="0.2">
      <c r="F17190" s="503" t="s">
        <v>259</v>
      </c>
      <c r="G17190" s="504" t="s">
        <v>260</v>
      </c>
      <c r="H17190" s="397"/>
      <c r="I17190" s="397"/>
      <c r="J17190" s="750" t="e">
        <f t="shared" si="205"/>
        <v>#DIV/0!</v>
      </c>
      <c r="K17190" s="398"/>
      <c r="L17190" s="404"/>
      <c r="M17190" s="682"/>
    </row>
    <row r="17191" spans="5:13" ht="25.5" hidden="1" x14ac:dyDescent="0.2">
      <c r="F17191" s="503" t="s">
        <v>261</v>
      </c>
      <c r="G17191" s="504" t="s">
        <v>262</v>
      </c>
      <c r="H17191" s="397"/>
      <c r="I17191" s="397"/>
      <c r="J17191" s="750" t="e">
        <f t="shared" si="205"/>
        <v>#DIV/0!</v>
      </c>
      <c r="K17191" s="398"/>
      <c r="L17191" s="404"/>
      <c r="M17191" s="682"/>
    </row>
    <row r="17192" spans="5:13" hidden="1" x14ac:dyDescent="0.2">
      <c r="F17192" s="503" t="s">
        <v>263</v>
      </c>
      <c r="G17192" s="504" t="s">
        <v>264</v>
      </c>
      <c r="H17192" s="403"/>
      <c r="I17192" s="403"/>
      <c r="J17192" s="750" t="e">
        <f t="shared" si="205"/>
        <v>#DIV/0!</v>
      </c>
      <c r="K17192" s="404"/>
      <c r="L17192" s="404"/>
      <c r="M17192" s="682"/>
    </row>
    <row r="17193" spans="5:13" ht="13.5" hidden="1" thickBot="1" x14ac:dyDescent="0.25">
      <c r="G17193" s="505" t="s">
        <v>5022</v>
      </c>
      <c r="H17193" s="405">
        <f>SUM(H17177:H17192)</f>
        <v>0</v>
      </c>
      <c r="I17193" s="405"/>
      <c r="J17193" s="750" t="e">
        <f t="shared" si="205"/>
        <v>#DIV/0!</v>
      </c>
      <c r="K17193" s="406">
        <f>SUM(K17178:K17192)</f>
        <v>0</v>
      </c>
      <c r="L17193" s="406"/>
      <c r="M17193" s="682"/>
    </row>
    <row r="17194" spans="5:13" hidden="1" x14ac:dyDescent="0.2">
      <c r="G17194" s="510"/>
      <c r="H17194" s="411"/>
      <c r="I17194" s="411"/>
      <c r="J17194" s="750" t="e">
        <f t="shared" si="205"/>
        <v>#DIV/0!</v>
      </c>
      <c r="K17194" s="412"/>
      <c r="L17194" s="412"/>
      <c r="M17194" s="682"/>
    </row>
    <row r="17195" spans="5:13" hidden="1" x14ac:dyDescent="0.2">
      <c r="E17195" s="500"/>
      <c r="F17195" s="498"/>
      <c r="G17195" s="511" t="s">
        <v>4471</v>
      </c>
      <c r="H17195" s="413"/>
      <c r="I17195" s="413"/>
      <c r="J17195" s="750" t="e">
        <f t="shared" si="205"/>
        <v>#DIV/0!</v>
      </c>
      <c r="K17195" s="414"/>
      <c r="L17195" s="415"/>
      <c r="M17195" s="682"/>
    </row>
    <row r="17196" spans="5:13" hidden="1" x14ac:dyDescent="0.2">
      <c r="E17196" s="502"/>
      <c r="F17196" s="503" t="s">
        <v>234</v>
      </c>
      <c r="G17196" s="504" t="s">
        <v>235</v>
      </c>
      <c r="H17196" s="403">
        <f>SUM(H17177,H17077,H6002)</f>
        <v>5679900</v>
      </c>
      <c r="I17196" s="403"/>
      <c r="J17196" s="750">
        <f t="shared" si="205"/>
        <v>0</v>
      </c>
      <c r="K17196" s="404"/>
      <c r="L17196" s="404"/>
      <c r="M17196" s="682"/>
    </row>
    <row r="17197" spans="5:13" hidden="1" x14ac:dyDescent="0.2">
      <c r="F17197" s="503" t="s">
        <v>236</v>
      </c>
      <c r="G17197" s="504" t="s">
        <v>237</v>
      </c>
      <c r="H17197" s="397"/>
      <c r="I17197" s="397"/>
      <c r="J17197" s="750" t="e">
        <f t="shared" si="205"/>
        <v>#DIV/0!</v>
      </c>
      <c r="K17197" s="398"/>
      <c r="L17197" s="404"/>
      <c r="M17197" s="682"/>
    </row>
    <row r="17198" spans="5:13" hidden="1" x14ac:dyDescent="0.2">
      <c r="F17198" s="503" t="s">
        <v>238</v>
      </c>
      <c r="G17198" s="504" t="s">
        <v>239</v>
      </c>
      <c r="H17198" s="397"/>
      <c r="I17198" s="397"/>
      <c r="J17198" s="750" t="e">
        <f t="shared" si="205"/>
        <v>#DIV/0!</v>
      </c>
      <c r="K17198" s="398"/>
      <c r="L17198" s="404"/>
      <c r="M17198" s="682"/>
    </row>
    <row r="17199" spans="5:13" hidden="1" x14ac:dyDescent="0.2">
      <c r="F17199" s="503" t="s">
        <v>240</v>
      </c>
      <c r="G17199" s="504" t="s">
        <v>241</v>
      </c>
      <c r="H17199" s="397"/>
      <c r="I17199" s="397"/>
      <c r="J17199" s="750" t="e">
        <f t="shared" si="205"/>
        <v>#DIV/0!</v>
      </c>
      <c r="K17199" s="398"/>
      <c r="L17199" s="404"/>
      <c r="M17199" s="682"/>
    </row>
    <row r="17200" spans="5:13" hidden="1" x14ac:dyDescent="0.2">
      <c r="F17200" s="503" t="s">
        <v>242</v>
      </c>
      <c r="G17200" s="504" t="s">
        <v>243</v>
      </c>
      <c r="H17200" s="397"/>
      <c r="I17200" s="397"/>
      <c r="J17200" s="750" t="e">
        <f t="shared" si="205"/>
        <v>#DIV/0!</v>
      </c>
      <c r="K17200" s="398"/>
      <c r="L17200" s="404"/>
      <c r="M17200" s="682"/>
    </row>
    <row r="17201" spans="5:13" hidden="1" x14ac:dyDescent="0.2">
      <c r="F17201" s="503" t="s">
        <v>244</v>
      </c>
      <c r="G17201" s="504" t="s">
        <v>245</v>
      </c>
      <c r="H17201" s="397"/>
      <c r="I17201" s="397"/>
      <c r="J17201" s="750" t="e">
        <f t="shared" si="205"/>
        <v>#DIV/0!</v>
      </c>
      <c r="K17201" s="398"/>
      <c r="L17201" s="404"/>
      <c r="M17201" s="682"/>
    </row>
    <row r="17202" spans="5:13" hidden="1" x14ac:dyDescent="0.2">
      <c r="F17202" s="503" t="s">
        <v>246</v>
      </c>
      <c r="G17202" s="504" t="s">
        <v>247</v>
      </c>
      <c r="H17202" s="397"/>
      <c r="I17202" s="397"/>
      <c r="J17202" s="750" t="e">
        <f t="shared" si="205"/>
        <v>#DIV/0!</v>
      </c>
      <c r="K17202" s="398"/>
      <c r="L17202" s="404"/>
      <c r="M17202" s="682"/>
    </row>
    <row r="17203" spans="5:13" ht="25.5" hidden="1" x14ac:dyDescent="0.2">
      <c r="F17203" s="503" t="s">
        <v>248</v>
      </c>
      <c r="G17203" s="504" t="s">
        <v>249</v>
      </c>
      <c r="H17203" s="397"/>
      <c r="I17203" s="397"/>
      <c r="J17203" s="750" t="e">
        <f t="shared" si="205"/>
        <v>#DIV/0!</v>
      </c>
      <c r="K17203" s="398"/>
      <c r="L17203" s="404"/>
      <c r="M17203" s="682"/>
    </row>
    <row r="17204" spans="5:13" hidden="1" x14ac:dyDescent="0.2">
      <c r="F17204" s="503" t="s">
        <v>250</v>
      </c>
      <c r="G17204" s="504" t="s">
        <v>57</v>
      </c>
      <c r="H17204" s="397"/>
      <c r="I17204" s="397"/>
      <c r="J17204" s="750" t="e">
        <f t="shared" si="205"/>
        <v>#DIV/0!</v>
      </c>
      <c r="K17204" s="398"/>
      <c r="L17204" s="404"/>
      <c r="M17204" s="682"/>
    </row>
    <row r="17205" spans="5:13" hidden="1" x14ac:dyDescent="0.2">
      <c r="F17205" s="503" t="s">
        <v>251</v>
      </c>
      <c r="G17205" s="504" t="s">
        <v>252</v>
      </c>
      <c r="H17205" s="397"/>
      <c r="I17205" s="397"/>
      <c r="J17205" s="750" t="e">
        <f t="shared" si="205"/>
        <v>#DIV/0!</v>
      </c>
      <c r="K17205" s="398"/>
      <c r="L17205" s="404"/>
      <c r="M17205" s="682"/>
    </row>
    <row r="17206" spans="5:13" hidden="1" x14ac:dyDescent="0.2">
      <c r="F17206" s="503" t="s">
        <v>253</v>
      </c>
      <c r="G17206" s="504" t="s">
        <v>254</v>
      </c>
      <c r="H17206" s="397"/>
      <c r="I17206" s="397"/>
      <c r="J17206" s="750" t="e">
        <f t="shared" si="205"/>
        <v>#DIV/0!</v>
      </c>
      <c r="K17206" s="398"/>
      <c r="L17206" s="404"/>
      <c r="M17206" s="682"/>
    </row>
    <row r="17207" spans="5:13" ht="25.5" hidden="1" x14ac:dyDescent="0.2">
      <c r="F17207" s="503" t="s">
        <v>255</v>
      </c>
      <c r="G17207" s="504" t="s">
        <v>256</v>
      </c>
      <c r="H17207" s="397"/>
      <c r="I17207" s="397"/>
      <c r="J17207" s="750" t="e">
        <f t="shared" si="205"/>
        <v>#DIV/0!</v>
      </c>
      <c r="K17207" s="398"/>
      <c r="L17207" s="404"/>
      <c r="M17207" s="682"/>
    </row>
    <row r="17208" spans="5:13" ht="25.5" hidden="1" x14ac:dyDescent="0.2">
      <c r="F17208" s="503" t="s">
        <v>257</v>
      </c>
      <c r="G17208" s="504" t="s">
        <v>258</v>
      </c>
      <c r="H17208" s="397"/>
      <c r="I17208" s="397"/>
      <c r="J17208" s="750" t="e">
        <f t="shared" si="205"/>
        <v>#DIV/0!</v>
      </c>
      <c r="K17208" s="398"/>
      <c r="L17208" s="404"/>
      <c r="M17208" s="682"/>
    </row>
    <row r="17209" spans="5:13" ht="25.5" hidden="1" x14ac:dyDescent="0.2">
      <c r="F17209" s="503" t="s">
        <v>259</v>
      </c>
      <c r="G17209" s="504" t="s">
        <v>260</v>
      </c>
      <c r="H17209" s="397"/>
      <c r="I17209" s="397"/>
      <c r="J17209" s="750" t="e">
        <f t="shared" si="205"/>
        <v>#DIV/0!</v>
      </c>
      <c r="K17209" s="398"/>
      <c r="L17209" s="404"/>
      <c r="M17209" s="682"/>
    </row>
    <row r="17210" spans="5:13" ht="25.5" hidden="1" x14ac:dyDescent="0.2">
      <c r="F17210" s="503" t="s">
        <v>261</v>
      </c>
      <c r="G17210" s="504" t="s">
        <v>262</v>
      </c>
      <c r="H17210" s="397"/>
      <c r="I17210" s="397"/>
      <c r="J17210" s="750" t="e">
        <f t="shared" si="205"/>
        <v>#DIV/0!</v>
      </c>
      <c r="K17210" s="398"/>
      <c r="L17210" s="404"/>
      <c r="M17210" s="682"/>
    </row>
    <row r="17211" spans="5:13" hidden="1" x14ac:dyDescent="0.2">
      <c r="F17211" s="503" t="s">
        <v>263</v>
      </c>
      <c r="G17211" s="504" t="s">
        <v>264</v>
      </c>
      <c r="H17211" s="403"/>
      <c r="I17211" s="403"/>
      <c r="J17211" s="750" t="e">
        <f t="shared" si="205"/>
        <v>#DIV/0!</v>
      </c>
      <c r="K17211" s="404"/>
      <c r="L17211" s="404"/>
      <c r="M17211" s="682"/>
    </row>
    <row r="17212" spans="5:13" ht="13.5" hidden="1" thickBot="1" x14ac:dyDescent="0.25">
      <c r="G17212" s="505" t="s">
        <v>4472</v>
      </c>
      <c r="H17212" s="405">
        <f>SUM(H17196:H17211)</f>
        <v>5679900</v>
      </c>
      <c r="I17212" s="405"/>
      <c r="J17212" s="750">
        <f t="shared" si="205"/>
        <v>0</v>
      </c>
      <c r="K17212" s="406">
        <f>SUM(K17197:K17211)</f>
        <v>0</v>
      </c>
      <c r="L17212" s="406"/>
      <c r="M17212" s="682"/>
    </row>
    <row r="17213" spans="5:13" hidden="1" x14ac:dyDescent="0.2">
      <c r="H17213" s="397"/>
      <c r="I17213" s="397"/>
      <c r="J17213" s="750" t="e">
        <f t="shared" si="205"/>
        <v>#DIV/0!</v>
      </c>
      <c r="K17213" s="398"/>
      <c r="L17213" s="398"/>
      <c r="M17213" s="682"/>
    </row>
    <row r="17214" spans="5:13" hidden="1" x14ac:dyDescent="0.2">
      <c r="E17214" s="500"/>
      <c r="F17214" s="498"/>
      <c r="G17214" s="511" t="s">
        <v>4452</v>
      </c>
      <c r="H17214" s="413"/>
      <c r="I17214" s="413"/>
      <c r="J17214" s="750" t="e">
        <f t="shared" si="205"/>
        <v>#DIV/0!</v>
      </c>
      <c r="K17214" s="414"/>
      <c r="L17214" s="415"/>
      <c r="M17214" s="682"/>
    </row>
    <row r="17215" spans="5:13" hidden="1" x14ac:dyDescent="0.2">
      <c r="E17215" s="502"/>
      <c r="F17215" s="503" t="s">
        <v>234</v>
      </c>
      <c r="G17215" s="504" t="s">
        <v>235</v>
      </c>
      <c r="H17215" s="403">
        <f>SUM(H17196)</f>
        <v>5679900</v>
      </c>
      <c r="I17215" s="403"/>
      <c r="J17215" s="750">
        <f t="shared" si="205"/>
        <v>0</v>
      </c>
      <c r="K17215" s="404"/>
      <c r="L17215" s="404"/>
      <c r="M17215" s="682"/>
    </row>
    <row r="17216" spans="5:13" hidden="1" x14ac:dyDescent="0.2">
      <c r="F17216" s="503" t="s">
        <v>236</v>
      </c>
      <c r="G17216" s="504" t="s">
        <v>237</v>
      </c>
      <c r="H17216" s="397"/>
      <c r="I17216" s="397"/>
      <c r="J17216" s="750" t="e">
        <f t="shared" si="205"/>
        <v>#DIV/0!</v>
      </c>
      <c r="K17216" s="398"/>
      <c r="L17216" s="404"/>
      <c r="M17216" s="682"/>
    </row>
    <row r="17217" spans="6:13" hidden="1" x14ac:dyDescent="0.2">
      <c r="F17217" s="503" t="s">
        <v>238</v>
      </c>
      <c r="G17217" s="504" t="s">
        <v>239</v>
      </c>
      <c r="H17217" s="397"/>
      <c r="I17217" s="397"/>
      <c r="J17217" s="750" t="e">
        <f t="shared" si="205"/>
        <v>#DIV/0!</v>
      </c>
      <c r="K17217" s="398"/>
      <c r="L17217" s="404"/>
      <c r="M17217" s="682"/>
    </row>
    <row r="17218" spans="6:13" hidden="1" x14ac:dyDescent="0.2">
      <c r="F17218" s="503" t="s">
        <v>240</v>
      </c>
      <c r="G17218" s="504" t="s">
        <v>241</v>
      </c>
      <c r="H17218" s="397"/>
      <c r="I17218" s="397"/>
      <c r="J17218" s="750" t="e">
        <f t="shared" si="205"/>
        <v>#DIV/0!</v>
      </c>
      <c r="K17218" s="398"/>
      <c r="L17218" s="404"/>
      <c r="M17218" s="682"/>
    </row>
    <row r="17219" spans="6:13" hidden="1" x14ac:dyDescent="0.2">
      <c r="F17219" s="503" t="s">
        <v>242</v>
      </c>
      <c r="G17219" s="504" t="s">
        <v>243</v>
      </c>
      <c r="H17219" s="397"/>
      <c r="I17219" s="397"/>
      <c r="J17219" s="750" t="e">
        <f t="shared" si="205"/>
        <v>#DIV/0!</v>
      </c>
      <c r="K17219" s="398"/>
      <c r="L17219" s="404"/>
      <c r="M17219" s="682"/>
    </row>
    <row r="17220" spans="6:13" hidden="1" x14ac:dyDescent="0.2">
      <c r="F17220" s="503" t="s">
        <v>244</v>
      </c>
      <c r="G17220" s="504" t="s">
        <v>245</v>
      </c>
      <c r="H17220" s="397"/>
      <c r="I17220" s="397"/>
      <c r="J17220" s="750" t="e">
        <f t="shared" si="205"/>
        <v>#DIV/0!</v>
      </c>
      <c r="K17220" s="398"/>
      <c r="L17220" s="404"/>
      <c r="M17220" s="682"/>
    </row>
    <row r="17221" spans="6:13" hidden="1" x14ac:dyDescent="0.2">
      <c r="F17221" s="503" t="s">
        <v>246</v>
      </c>
      <c r="G17221" s="504" t="s">
        <v>247</v>
      </c>
      <c r="H17221" s="397"/>
      <c r="I17221" s="397"/>
      <c r="J17221" s="750" t="e">
        <f t="shared" si="205"/>
        <v>#DIV/0!</v>
      </c>
      <c r="K17221" s="398"/>
      <c r="L17221" s="404"/>
      <c r="M17221" s="682"/>
    </row>
    <row r="17222" spans="6:13" ht="25.5" hidden="1" x14ac:dyDescent="0.2">
      <c r="F17222" s="503" t="s">
        <v>248</v>
      </c>
      <c r="G17222" s="504" t="s">
        <v>249</v>
      </c>
      <c r="H17222" s="397"/>
      <c r="I17222" s="397"/>
      <c r="J17222" s="750" t="e">
        <f t="shared" si="205"/>
        <v>#DIV/0!</v>
      </c>
      <c r="K17222" s="398"/>
      <c r="L17222" s="404"/>
      <c r="M17222" s="682"/>
    </row>
    <row r="17223" spans="6:13" hidden="1" x14ac:dyDescent="0.2">
      <c r="F17223" s="503" t="s">
        <v>250</v>
      </c>
      <c r="G17223" s="504" t="s">
        <v>57</v>
      </c>
      <c r="H17223" s="397"/>
      <c r="I17223" s="397"/>
      <c r="J17223" s="750" t="e">
        <f t="shared" si="205"/>
        <v>#DIV/0!</v>
      </c>
      <c r="K17223" s="398"/>
      <c r="L17223" s="404"/>
      <c r="M17223" s="682"/>
    </row>
    <row r="17224" spans="6:13" hidden="1" x14ac:dyDescent="0.2">
      <c r="F17224" s="503" t="s">
        <v>251</v>
      </c>
      <c r="G17224" s="504" t="s">
        <v>252</v>
      </c>
      <c r="H17224" s="397"/>
      <c r="I17224" s="397"/>
      <c r="J17224" s="750" t="e">
        <f t="shared" si="205"/>
        <v>#DIV/0!</v>
      </c>
      <c r="K17224" s="398"/>
      <c r="L17224" s="404"/>
      <c r="M17224" s="682"/>
    </row>
    <row r="17225" spans="6:13" hidden="1" x14ac:dyDescent="0.2">
      <c r="F17225" s="503" t="s">
        <v>253</v>
      </c>
      <c r="G17225" s="504" t="s">
        <v>254</v>
      </c>
      <c r="H17225" s="397"/>
      <c r="I17225" s="397"/>
      <c r="J17225" s="750" t="e">
        <f t="shared" si="205"/>
        <v>#DIV/0!</v>
      </c>
      <c r="K17225" s="398"/>
      <c r="L17225" s="404"/>
      <c r="M17225" s="682"/>
    </row>
    <row r="17226" spans="6:13" ht="25.5" hidden="1" x14ac:dyDescent="0.2">
      <c r="F17226" s="503" t="s">
        <v>255</v>
      </c>
      <c r="G17226" s="504" t="s">
        <v>256</v>
      </c>
      <c r="H17226" s="397"/>
      <c r="I17226" s="397"/>
      <c r="J17226" s="750" t="e">
        <f t="shared" si="205"/>
        <v>#DIV/0!</v>
      </c>
      <c r="K17226" s="398"/>
      <c r="L17226" s="404"/>
      <c r="M17226" s="682"/>
    </row>
    <row r="17227" spans="6:13" ht="25.5" hidden="1" x14ac:dyDescent="0.2">
      <c r="F17227" s="503" t="s">
        <v>257</v>
      </c>
      <c r="G17227" s="504" t="s">
        <v>258</v>
      </c>
      <c r="H17227" s="397"/>
      <c r="I17227" s="397"/>
      <c r="J17227" s="750" t="e">
        <f t="shared" si="205"/>
        <v>#DIV/0!</v>
      </c>
      <c r="K17227" s="398"/>
      <c r="L17227" s="404"/>
      <c r="M17227" s="682"/>
    </row>
    <row r="17228" spans="6:13" ht="25.5" hidden="1" x14ac:dyDescent="0.2">
      <c r="F17228" s="503" t="s">
        <v>259</v>
      </c>
      <c r="G17228" s="504" t="s">
        <v>260</v>
      </c>
      <c r="H17228" s="397"/>
      <c r="I17228" s="397"/>
      <c r="J17228" s="750" t="e">
        <f t="shared" si="205"/>
        <v>#DIV/0!</v>
      </c>
      <c r="K17228" s="398"/>
      <c r="L17228" s="404"/>
      <c r="M17228" s="682"/>
    </row>
    <row r="17229" spans="6:13" ht="25.5" hidden="1" x14ac:dyDescent="0.2">
      <c r="F17229" s="503" t="s">
        <v>261</v>
      </c>
      <c r="G17229" s="504" t="s">
        <v>262</v>
      </c>
      <c r="H17229" s="397"/>
      <c r="I17229" s="397"/>
      <c r="J17229" s="750" t="e">
        <f t="shared" si="205"/>
        <v>#DIV/0!</v>
      </c>
      <c r="K17229" s="398"/>
      <c r="L17229" s="404"/>
      <c r="M17229" s="682"/>
    </row>
    <row r="17230" spans="6:13" hidden="1" x14ac:dyDescent="0.2">
      <c r="F17230" s="503" t="s">
        <v>263</v>
      </c>
      <c r="G17230" s="504" t="s">
        <v>264</v>
      </c>
      <c r="H17230" s="403"/>
      <c r="I17230" s="403"/>
      <c r="J17230" s="750" t="e">
        <f t="shared" ref="J17230:J17293" si="206">SUM(I17230/H17230)*100</f>
        <v>#DIV/0!</v>
      </c>
      <c r="K17230" s="404"/>
      <c r="L17230" s="404"/>
      <c r="M17230" s="682"/>
    </row>
    <row r="17231" spans="6:13" ht="13.5" hidden="1" thickBot="1" x14ac:dyDescent="0.25">
      <c r="G17231" s="505" t="s">
        <v>4453</v>
      </c>
      <c r="H17231" s="405">
        <f>SUM(H17215:H17230)</f>
        <v>5679900</v>
      </c>
      <c r="I17231" s="405"/>
      <c r="J17231" s="750">
        <f t="shared" si="206"/>
        <v>0</v>
      </c>
      <c r="K17231" s="406">
        <f>SUM(K17216:K17230)</f>
        <v>0</v>
      </c>
      <c r="L17231" s="406"/>
      <c r="M17231" s="682"/>
    </row>
    <row r="17232" spans="6:13" hidden="1" x14ac:dyDescent="0.2">
      <c r="H17232" s="397"/>
      <c r="I17232" s="397"/>
      <c r="J17232" s="750" t="e">
        <f t="shared" si="206"/>
        <v>#DIV/0!</v>
      </c>
      <c r="K17232" s="398"/>
      <c r="L17232" s="398"/>
      <c r="M17232" s="682"/>
    </row>
    <row r="17233" spans="1:27" hidden="1" x14ac:dyDescent="0.2">
      <c r="H17233" s="397"/>
      <c r="I17233" s="397"/>
      <c r="J17233" s="750" t="e">
        <f t="shared" si="206"/>
        <v>#DIV/0!</v>
      </c>
      <c r="K17233" s="398"/>
      <c r="L17233" s="398"/>
      <c r="M17233" s="682"/>
    </row>
    <row r="17234" spans="1:27" hidden="1" x14ac:dyDescent="0.2">
      <c r="A17234" s="660"/>
      <c r="B17234" s="661"/>
      <c r="C17234" s="662"/>
      <c r="D17234" s="186"/>
      <c r="E17234" s="186"/>
      <c r="F17234" s="186"/>
      <c r="G17234" s="663" t="s">
        <v>4325</v>
      </c>
      <c r="H17234" s="456"/>
      <c r="I17234" s="456"/>
      <c r="J17234" s="750" t="e">
        <f t="shared" si="206"/>
        <v>#DIV/0!</v>
      </c>
      <c r="K17234" s="457"/>
      <c r="L17234" s="447"/>
      <c r="M17234" s="682"/>
      <c r="N17234" s="664"/>
      <c r="O17234" s="664"/>
      <c r="P17234" s="171"/>
    </row>
    <row r="17235" spans="1:27" s="530" customFormat="1" hidden="1" x14ac:dyDescent="0.2">
      <c r="A17235" s="526"/>
      <c r="B17235" s="527"/>
      <c r="C17235" s="528" t="s">
        <v>3588</v>
      </c>
      <c r="D17235" s="528"/>
      <c r="E17235" s="536"/>
      <c r="F17235" s="536"/>
      <c r="G17235" s="529" t="s">
        <v>4249</v>
      </c>
      <c r="H17235" s="425"/>
      <c r="I17235" s="425"/>
      <c r="J17235" s="750" t="e">
        <f t="shared" si="206"/>
        <v>#DIV/0!</v>
      </c>
      <c r="K17235" s="243"/>
      <c r="L17235" s="243"/>
      <c r="M17235" s="682"/>
      <c r="N17235" s="171"/>
      <c r="O17235" s="171"/>
      <c r="P17235" s="171"/>
      <c r="Q17235" s="171"/>
      <c r="R17235" s="171"/>
      <c r="S17235" s="171"/>
      <c r="T17235" s="171"/>
      <c r="U17235" s="171"/>
      <c r="V17235" s="171"/>
      <c r="W17235" s="171"/>
      <c r="X17235" s="171"/>
      <c r="Y17235" s="171"/>
      <c r="Z17235" s="171"/>
      <c r="AA17235" s="171"/>
    </row>
    <row r="17236" spans="1:27" hidden="1" x14ac:dyDescent="0.2">
      <c r="C17236" s="489" t="s">
        <v>4112</v>
      </c>
      <c r="D17236" s="490"/>
      <c r="G17236" s="491" t="s">
        <v>4113</v>
      </c>
      <c r="H17236" s="397"/>
      <c r="I17236" s="397"/>
      <c r="J17236" s="750" t="e">
        <f t="shared" si="206"/>
        <v>#DIV/0!</v>
      </c>
      <c r="K17236" s="398"/>
      <c r="L17236" s="398"/>
      <c r="M17236" s="682"/>
    </row>
    <row r="17237" spans="1:27" s="530" customFormat="1" hidden="1" x14ac:dyDescent="0.2">
      <c r="A17237" s="526"/>
      <c r="B17237" s="527"/>
      <c r="C17237" s="528"/>
      <c r="D17237" s="569" t="s">
        <v>3884</v>
      </c>
      <c r="E17237" s="538"/>
      <c r="F17237" s="538"/>
      <c r="G17237" s="539" t="s">
        <v>4290</v>
      </c>
      <c r="H17237" s="425"/>
      <c r="I17237" s="425"/>
      <c r="J17237" s="750" t="e">
        <f t="shared" si="206"/>
        <v>#DIV/0!</v>
      </c>
      <c r="K17237" s="243"/>
      <c r="L17237" s="243"/>
      <c r="M17237" s="682"/>
      <c r="N17237" s="171"/>
      <c r="O17237" s="171"/>
      <c r="P17237" s="171"/>
      <c r="Q17237" s="171"/>
      <c r="R17237" s="171"/>
      <c r="S17237" s="171"/>
      <c r="T17237" s="171"/>
      <c r="U17237" s="171"/>
      <c r="V17237" s="171"/>
      <c r="W17237" s="171"/>
      <c r="X17237" s="171"/>
      <c r="Y17237" s="171"/>
      <c r="Z17237" s="171"/>
      <c r="AA17237" s="171"/>
    </row>
    <row r="17238" spans="1:27" hidden="1" x14ac:dyDescent="0.2">
      <c r="F17238" s="494">
        <v>411</v>
      </c>
      <c r="G17238" s="495" t="s">
        <v>4167</v>
      </c>
      <c r="H17238" s="397"/>
      <c r="I17238" s="397"/>
      <c r="J17238" s="750" t="e">
        <f t="shared" si="206"/>
        <v>#DIV/0!</v>
      </c>
      <c r="K17238" s="398"/>
      <c r="L17238" s="398"/>
      <c r="M17238" s="682"/>
    </row>
    <row r="17239" spans="1:27" hidden="1" x14ac:dyDescent="0.2">
      <c r="F17239" s="494">
        <v>412</v>
      </c>
      <c r="G17239" s="496" t="s">
        <v>3764</v>
      </c>
      <c r="H17239" s="397"/>
      <c r="I17239" s="397"/>
      <c r="J17239" s="750" t="e">
        <f t="shared" si="206"/>
        <v>#DIV/0!</v>
      </c>
      <c r="K17239" s="398"/>
      <c r="L17239" s="398"/>
      <c r="M17239" s="682"/>
    </row>
    <row r="17240" spans="1:27" hidden="1" x14ac:dyDescent="0.2">
      <c r="F17240" s="494">
        <v>413</v>
      </c>
      <c r="G17240" s="495" t="s">
        <v>4168</v>
      </c>
      <c r="H17240" s="397"/>
      <c r="I17240" s="397"/>
      <c r="J17240" s="750" t="e">
        <f t="shared" si="206"/>
        <v>#DIV/0!</v>
      </c>
      <c r="K17240" s="398"/>
      <c r="L17240" s="398"/>
      <c r="M17240" s="682"/>
    </row>
    <row r="17241" spans="1:27" hidden="1" x14ac:dyDescent="0.2">
      <c r="F17241" s="494">
        <v>414</v>
      </c>
      <c r="G17241" s="495" t="s">
        <v>3767</v>
      </c>
      <c r="H17241" s="397"/>
      <c r="I17241" s="397"/>
      <c r="J17241" s="750" t="e">
        <f t="shared" si="206"/>
        <v>#DIV/0!</v>
      </c>
      <c r="K17241" s="398"/>
      <c r="L17241" s="398"/>
      <c r="M17241" s="682"/>
    </row>
    <row r="17242" spans="1:27" hidden="1" x14ac:dyDescent="0.2">
      <c r="F17242" s="494">
        <v>415</v>
      </c>
      <c r="G17242" s="495" t="s">
        <v>4177</v>
      </c>
      <c r="H17242" s="397"/>
      <c r="I17242" s="397"/>
      <c r="J17242" s="750" t="e">
        <f t="shared" si="206"/>
        <v>#DIV/0!</v>
      </c>
      <c r="K17242" s="398"/>
      <c r="L17242" s="398"/>
      <c r="M17242" s="682"/>
    </row>
    <row r="17243" spans="1:27" ht="25.5" hidden="1" x14ac:dyDescent="0.2">
      <c r="F17243" s="494">
        <v>416</v>
      </c>
      <c r="G17243" s="495" t="s">
        <v>4178</v>
      </c>
      <c r="H17243" s="397"/>
      <c r="I17243" s="397"/>
      <c r="J17243" s="750" t="e">
        <f t="shared" si="206"/>
        <v>#DIV/0!</v>
      </c>
      <c r="K17243" s="398"/>
      <c r="L17243" s="398"/>
      <c r="M17243" s="682"/>
    </row>
    <row r="17244" spans="1:27" hidden="1" x14ac:dyDescent="0.2">
      <c r="F17244" s="494">
        <v>417</v>
      </c>
      <c r="G17244" s="495" t="s">
        <v>4179</v>
      </c>
      <c r="H17244" s="397"/>
      <c r="I17244" s="397"/>
      <c r="J17244" s="750" t="e">
        <f t="shared" si="206"/>
        <v>#DIV/0!</v>
      </c>
      <c r="K17244" s="398"/>
      <c r="L17244" s="398"/>
      <c r="M17244" s="682"/>
    </row>
    <row r="17245" spans="1:27" hidden="1" x14ac:dyDescent="0.2">
      <c r="F17245" s="494">
        <v>418</v>
      </c>
      <c r="G17245" s="495" t="s">
        <v>3773</v>
      </c>
      <c r="H17245" s="397"/>
      <c r="I17245" s="397"/>
      <c r="J17245" s="750" t="e">
        <f t="shared" si="206"/>
        <v>#DIV/0!</v>
      </c>
      <c r="K17245" s="398"/>
      <c r="L17245" s="398"/>
      <c r="M17245" s="682"/>
    </row>
    <row r="17246" spans="1:27" hidden="1" x14ac:dyDescent="0.2">
      <c r="F17246" s="494">
        <v>421</v>
      </c>
      <c r="G17246" s="495" t="s">
        <v>3777</v>
      </c>
      <c r="H17246" s="397"/>
      <c r="I17246" s="397"/>
      <c r="J17246" s="750" t="e">
        <f t="shared" si="206"/>
        <v>#DIV/0!</v>
      </c>
      <c r="K17246" s="398"/>
      <c r="L17246" s="398"/>
      <c r="M17246" s="682"/>
    </row>
    <row r="17247" spans="1:27" hidden="1" x14ac:dyDescent="0.2">
      <c r="F17247" s="494">
        <v>422</v>
      </c>
      <c r="G17247" s="495" t="s">
        <v>3778</v>
      </c>
      <c r="H17247" s="397"/>
      <c r="I17247" s="397"/>
      <c r="J17247" s="750" t="e">
        <f t="shared" si="206"/>
        <v>#DIV/0!</v>
      </c>
      <c r="K17247" s="398"/>
      <c r="L17247" s="398"/>
      <c r="M17247" s="682"/>
    </row>
    <row r="17248" spans="1:27" hidden="1" x14ac:dyDescent="0.2">
      <c r="F17248" s="494">
        <v>423</v>
      </c>
      <c r="G17248" s="495" t="s">
        <v>3779</v>
      </c>
      <c r="H17248" s="397"/>
      <c r="I17248" s="397"/>
      <c r="J17248" s="750" t="e">
        <f t="shared" si="206"/>
        <v>#DIV/0!</v>
      </c>
      <c r="K17248" s="398"/>
      <c r="L17248" s="398"/>
      <c r="M17248" s="682"/>
    </row>
    <row r="17249" spans="6:13" hidden="1" x14ac:dyDescent="0.2">
      <c r="F17249" s="494">
        <v>424</v>
      </c>
      <c r="G17249" s="495" t="s">
        <v>3781</v>
      </c>
      <c r="H17249" s="397"/>
      <c r="I17249" s="397"/>
      <c r="J17249" s="750" t="e">
        <f t="shared" si="206"/>
        <v>#DIV/0!</v>
      </c>
      <c r="K17249" s="398"/>
      <c r="L17249" s="398"/>
      <c r="M17249" s="682"/>
    </row>
    <row r="17250" spans="6:13" hidden="1" x14ac:dyDescent="0.2">
      <c r="F17250" s="494">
        <v>425</v>
      </c>
      <c r="G17250" s="495" t="s">
        <v>4180</v>
      </c>
      <c r="H17250" s="397"/>
      <c r="I17250" s="397"/>
      <c r="J17250" s="750" t="e">
        <f t="shared" si="206"/>
        <v>#DIV/0!</v>
      </c>
      <c r="K17250" s="398"/>
      <c r="L17250" s="398"/>
      <c r="M17250" s="682"/>
    </row>
    <row r="17251" spans="6:13" hidden="1" x14ac:dyDescent="0.2">
      <c r="F17251" s="494">
        <v>426</v>
      </c>
      <c r="G17251" s="495" t="s">
        <v>3785</v>
      </c>
      <c r="H17251" s="397"/>
      <c r="I17251" s="397"/>
      <c r="J17251" s="750" t="e">
        <f t="shared" si="206"/>
        <v>#DIV/0!</v>
      </c>
      <c r="K17251" s="398"/>
      <c r="L17251" s="398"/>
      <c r="M17251" s="682"/>
    </row>
    <row r="17252" spans="6:13" hidden="1" x14ac:dyDescent="0.2">
      <c r="F17252" s="494">
        <v>431</v>
      </c>
      <c r="G17252" s="495" t="s">
        <v>4181</v>
      </c>
      <c r="H17252" s="397"/>
      <c r="I17252" s="397"/>
      <c r="J17252" s="750" t="e">
        <f t="shared" si="206"/>
        <v>#DIV/0!</v>
      </c>
      <c r="K17252" s="398"/>
      <c r="L17252" s="398"/>
      <c r="M17252" s="682"/>
    </row>
    <row r="17253" spans="6:13" hidden="1" x14ac:dyDescent="0.2">
      <c r="F17253" s="494">
        <v>432</v>
      </c>
      <c r="G17253" s="495" t="s">
        <v>4182</v>
      </c>
      <c r="H17253" s="397"/>
      <c r="I17253" s="397"/>
      <c r="J17253" s="750" t="e">
        <f t="shared" si="206"/>
        <v>#DIV/0!</v>
      </c>
      <c r="K17253" s="398"/>
      <c r="L17253" s="398"/>
      <c r="M17253" s="682"/>
    </row>
    <row r="17254" spans="6:13" hidden="1" x14ac:dyDescent="0.2">
      <c r="F17254" s="494">
        <v>433</v>
      </c>
      <c r="G17254" s="495" t="s">
        <v>4183</v>
      </c>
      <c r="H17254" s="397"/>
      <c r="I17254" s="397"/>
      <c r="J17254" s="750" t="e">
        <f t="shared" si="206"/>
        <v>#DIV/0!</v>
      </c>
      <c r="K17254" s="398"/>
      <c r="L17254" s="398"/>
      <c r="M17254" s="682"/>
    </row>
    <row r="17255" spans="6:13" hidden="1" x14ac:dyDescent="0.2">
      <c r="F17255" s="494">
        <v>434</v>
      </c>
      <c r="G17255" s="495" t="s">
        <v>4184</v>
      </c>
      <c r="H17255" s="397"/>
      <c r="I17255" s="397"/>
      <c r="J17255" s="750" t="e">
        <f t="shared" si="206"/>
        <v>#DIV/0!</v>
      </c>
      <c r="K17255" s="398"/>
      <c r="L17255" s="398"/>
      <c r="M17255" s="682"/>
    </row>
    <row r="17256" spans="6:13" hidden="1" x14ac:dyDescent="0.2">
      <c r="F17256" s="494">
        <v>435</v>
      </c>
      <c r="G17256" s="495" t="s">
        <v>3792</v>
      </c>
      <c r="H17256" s="397"/>
      <c r="I17256" s="397"/>
      <c r="J17256" s="750" t="e">
        <f t="shared" si="206"/>
        <v>#DIV/0!</v>
      </c>
      <c r="K17256" s="398"/>
      <c r="L17256" s="398"/>
      <c r="M17256" s="682"/>
    </row>
    <row r="17257" spans="6:13" hidden="1" x14ac:dyDescent="0.2">
      <c r="F17257" s="494">
        <v>441</v>
      </c>
      <c r="G17257" s="495" t="s">
        <v>4185</v>
      </c>
      <c r="H17257" s="397"/>
      <c r="I17257" s="397"/>
      <c r="J17257" s="750" t="e">
        <f t="shared" si="206"/>
        <v>#DIV/0!</v>
      </c>
      <c r="K17257" s="398"/>
      <c r="L17257" s="398"/>
      <c r="M17257" s="682"/>
    </row>
    <row r="17258" spans="6:13" hidden="1" x14ac:dyDescent="0.2">
      <c r="F17258" s="494">
        <v>442</v>
      </c>
      <c r="G17258" s="495" t="s">
        <v>4186</v>
      </c>
      <c r="H17258" s="397"/>
      <c r="I17258" s="397"/>
      <c r="J17258" s="750" t="e">
        <f t="shared" si="206"/>
        <v>#DIV/0!</v>
      </c>
      <c r="K17258" s="398"/>
      <c r="L17258" s="398"/>
      <c r="M17258" s="682"/>
    </row>
    <row r="17259" spans="6:13" hidden="1" x14ac:dyDescent="0.2">
      <c r="F17259" s="494">
        <v>443</v>
      </c>
      <c r="G17259" s="495" t="s">
        <v>3797</v>
      </c>
      <c r="H17259" s="397"/>
      <c r="I17259" s="397"/>
      <c r="J17259" s="750" t="e">
        <f t="shared" si="206"/>
        <v>#DIV/0!</v>
      </c>
      <c r="K17259" s="398"/>
      <c r="L17259" s="398"/>
      <c r="M17259" s="682"/>
    </row>
    <row r="17260" spans="6:13" hidden="1" x14ac:dyDescent="0.2">
      <c r="F17260" s="494">
        <v>444</v>
      </c>
      <c r="G17260" s="495" t="s">
        <v>3798</v>
      </c>
      <c r="H17260" s="397"/>
      <c r="I17260" s="397"/>
      <c r="J17260" s="750" t="e">
        <f t="shared" si="206"/>
        <v>#DIV/0!</v>
      </c>
      <c r="K17260" s="398"/>
      <c r="L17260" s="398"/>
      <c r="M17260" s="682"/>
    </row>
    <row r="17261" spans="6:13" ht="25.5" hidden="1" x14ac:dyDescent="0.2">
      <c r="F17261" s="494">
        <v>4511</v>
      </c>
      <c r="G17261" s="466" t="s">
        <v>1692</v>
      </c>
      <c r="H17261" s="397"/>
      <c r="I17261" s="397"/>
      <c r="J17261" s="750" t="e">
        <f t="shared" si="206"/>
        <v>#DIV/0!</v>
      </c>
      <c r="K17261" s="398"/>
      <c r="L17261" s="398"/>
      <c r="M17261" s="682"/>
    </row>
    <row r="17262" spans="6:13" ht="25.5" hidden="1" x14ac:dyDescent="0.2">
      <c r="F17262" s="494">
        <v>4512</v>
      </c>
      <c r="G17262" s="466" t="s">
        <v>1701</v>
      </c>
      <c r="H17262" s="397"/>
      <c r="I17262" s="397"/>
      <c r="J17262" s="750" t="e">
        <f t="shared" si="206"/>
        <v>#DIV/0!</v>
      </c>
      <c r="K17262" s="398"/>
      <c r="L17262" s="398"/>
      <c r="M17262" s="682"/>
    </row>
    <row r="17263" spans="6:13" ht="25.5" hidden="1" x14ac:dyDescent="0.2">
      <c r="F17263" s="494">
        <v>452</v>
      </c>
      <c r="G17263" s="495" t="s">
        <v>4187</v>
      </c>
      <c r="H17263" s="397"/>
      <c r="I17263" s="397"/>
      <c r="J17263" s="750" t="e">
        <f t="shared" si="206"/>
        <v>#DIV/0!</v>
      </c>
      <c r="K17263" s="398"/>
      <c r="L17263" s="398"/>
      <c r="M17263" s="682"/>
    </row>
    <row r="17264" spans="6:13" ht="25.5" hidden="1" x14ac:dyDescent="0.2">
      <c r="F17264" s="494">
        <v>453</v>
      </c>
      <c r="G17264" s="495" t="s">
        <v>4188</v>
      </c>
      <c r="H17264" s="397"/>
      <c r="I17264" s="397"/>
      <c r="J17264" s="750" t="e">
        <f t="shared" si="206"/>
        <v>#DIV/0!</v>
      </c>
      <c r="K17264" s="398"/>
      <c r="L17264" s="398"/>
      <c r="M17264" s="682"/>
    </row>
    <row r="17265" spans="6:13" hidden="1" x14ac:dyDescent="0.2">
      <c r="F17265" s="494">
        <v>454</v>
      </c>
      <c r="G17265" s="495" t="s">
        <v>3803</v>
      </c>
      <c r="H17265" s="397"/>
      <c r="I17265" s="397"/>
      <c r="J17265" s="750" t="e">
        <f t="shared" si="206"/>
        <v>#DIV/0!</v>
      </c>
      <c r="K17265" s="398"/>
      <c r="L17265" s="398"/>
      <c r="M17265" s="682"/>
    </row>
    <row r="17266" spans="6:13" hidden="1" x14ac:dyDescent="0.2">
      <c r="F17266" s="494">
        <v>461</v>
      </c>
      <c r="G17266" s="495" t="s">
        <v>4169</v>
      </c>
      <c r="H17266" s="397"/>
      <c r="I17266" s="397"/>
      <c r="J17266" s="750" t="e">
        <f t="shared" si="206"/>
        <v>#DIV/0!</v>
      </c>
      <c r="K17266" s="398"/>
      <c r="L17266" s="398"/>
      <c r="M17266" s="682"/>
    </row>
    <row r="17267" spans="6:13" ht="25.5" hidden="1" x14ac:dyDescent="0.2">
      <c r="F17267" s="494">
        <v>462</v>
      </c>
      <c r="G17267" s="495" t="s">
        <v>3806</v>
      </c>
      <c r="H17267" s="397"/>
      <c r="I17267" s="397"/>
      <c r="J17267" s="750" t="e">
        <f t="shared" si="206"/>
        <v>#DIV/0!</v>
      </c>
      <c r="K17267" s="398"/>
      <c r="L17267" s="398"/>
      <c r="M17267" s="682"/>
    </row>
    <row r="17268" spans="6:13" hidden="1" x14ac:dyDescent="0.2">
      <c r="F17268" s="494">
        <v>4631</v>
      </c>
      <c r="G17268" s="495" t="s">
        <v>3807</v>
      </c>
      <c r="H17268" s="397"/>
      <c r="I17268" s="397"/>
      <c r="J17268" s="750" t="e">
        <f t="shared" si="206"/>
        <v>#DIV/0!</v>
      </c>
      <c r="K17268" s="398"/>
      <c r="L17268" s="398"/>
      <c r="M17268" s="682"/>
    </row>
    <row r="17269" spans="6:13" hidden="1" x14ac:dyDescent="0.2">
      <c r="F17269" s="494">
        <v>4632</v>
      </c>
      <c r="G17269" s="495" t="s">
        <v>3808</v>
      </c>
      <c r="H17269" s="397"/>
      <c r="I17269" s="397"/>
      <c r="J17269" s="750" t="e">
        <f t="shared" si="206"/>
        <v>#DIV/0!</v>
      </c>
      <c r="K17269" s="398"/>
      <c r="L17269" s="398"/>
      <c r="M17269" s="682"/>
    </row>
    <row r="17270" spans="6:13" ht="25.5" hidden="1" x14ac:dyDescent="0.2">
      <c r="F17270" s="494">
        <v>464</v>
      </c>
      <c r="G17270" s="495" t="s">
        <v>3809</v>
      </c>
      <c r="H17270" s="397"/>
      <c r="I17270" s="397"/>
      <c r="J17270" s="750" t="e">
        <f t="shared" si="206"/>
        <v>#DIV/0!</v>
      </c>
      <c r="K17270" s="398"/>
      <c r="L17270" s="398"/>
      <c r="M17270" s="682"/>
    </row>
    <row r="17271" spans="6:13" hidden="1" x14ac:dyDescent="0.2">
      <c r="F17271" s="494">
        <v>465</v>
      </c>
      <c r="G17271" s="495" t="s">
        <v>4170</v>
      </c>
      <c r="H17271" s="397"/>
      <c r="I17271" s="397"/>
      <c r="J17271" s="750" t="e">
        <f t="shared" si="206"/>
        <v>#DIV/0!</v>
      </c>
      <c r="K17271" s="398"/>
      <c r="L17271" s="398"/>
      <c r="M17271" s="682"/>
    </row>
    <row r="17272" spans="6:13" hidden="1" x14ac:dyDescent="0.2">
      <c r="F17272" s="494">
        <v>472</v>
      </c>
      <c r="G17272" s="495" t="s">
        <v>3813</v>
      </c>
      <c r="H17272" s="397"/>
      <c r="I17272" s="397"/>
      <c r="J17272" s="750" t="e">
        <f t="shared" si="206"/>
        <v>#DIV/0!</v>
      </c>
      <c r="K17272" s="398"/>
      <c r="L17272" s="398"/>
      <c r="M17272" s="682"/>
    </row>
    <row r="17273" spans="6:13" hidden="1" x14ac:dyDescent="0.2">
      <c r="F17273" s="494">
        <v>481</v>
      </c>
      <c r="G17273" s="495" t="s">
        <v>4189</v>
      </c>
      <c r="H17273" s="397"/>
      <c r="I17273" s="397"/>
      <c r="J17273" s="750" t="e">
        <f t="shared" si="206"/>
        <v>#DIV/0!</v>
      </c>
      <c r="K17273" s="398"/>
      <c r="L17273" s="398"/>
      <c r="M17273" s="682"/>
    </row>
    <row r="17274" spans="6:13" hidden="1" x14ac:dyDescent="0.2">
      <c r="F17274" s="494">
        <v>482</v>
      </c>
      <c r="G17274" s="495" t="s">
        <v>4190</v>
      </c>
      <c r="H17274" s="397"/>
      <c r="I17274" s="397"/>
      <c r="J17274" s="750" t="e">
        <f t="shared" si="206"/>
        <v>#DIV/0!</v>
      </c>
      <c r="K17274" s="398"/>
      <c r="L17274" s="398"/>
      <c r="M17274" s="682"/>
    </row>
    <row r="17275" spans="6:13" hidden="1" x14ac:dyDescent="0.2">
      <c r="F17275" s="494">
        <v>483</v>
      </c>
      <c r="G17275" s="497" t="s">
        <v>4191</v>
      </c>
      <c r="H17275" s="397"/>
      <c r="I17275" s="397"/>
      <c r="J17275" s="750" t="e">
        <f t="shared" si="206"/>
        <v>#DIV/0!</v>
      </c>
      <c r="K17275" s="398"/>
      <c r="L17275" s="398"/>
      <c r="M17275" s="682"/>
    </row>
    <row r="17276" spans="6:13" ht="38.25" hidden="1" x14ac:dyDescent="0.2">
      <c r="F17276" s="494">
        <v>484</v>
      </c>
      <c r="G17276" s="495" t="s">
        <v>4192</v>
      </c>
      <c r="H17276" s="397"/>
      <c r="I17276" s="397"/>
      <c r="J17276" s="750" t="e">
        <f t="shared" si="206"/>
        <v>#DIV/0!</v>
      </c>
      <c r="K17276" s="398"/>
      <c r="L17276" s="398"/>
      <c r="M17276" s="682"/>
    </row>
    <row r="17277" spans="6:13" ht="25.5" hidden="1" x14ac:dyDescent="0.2">
      <c r="F17277" s="494">
        <v>485</v>
      </c>
      <c r="G17277" s="495" t="s">
        <v>4193</v>
      </c>
      <c r="H17277" s="397"/>
      <c r="I17277" s="397"/>
      <c r="J17277" s="750" t="e">
        <f t="shared" si="206"/>
        <v>#DIV/0!</v>
      </c>
      <c r="K17277" s="398"/>
      <c r="L17277" s="398"/>
      <c r="M17277" s="682"/>
    </row>
    <row r="17278" spans="6:13" ht="25.5" hidden="1" x14ac:dyDescent="0.2">
      <c r="F17278" s="494">
        <v>489</v>
      </c>
      <c r="G17278" s="495" t="s">
        <v>3821</v>
      </c>
      <c r="H17278" s="397"/>
      <c r="I17278" s="397"/>
      <c r="J17278" s="750" t="e">
        <f t="shared" si="206"/>
        <v>#DIV/0!</v>
      </c>
      <c r="K17278" s="398"/>
      <c r="L17278" s="398"/>
      <c r="M17278" s="682"/>
    </row>
    <row r="17279" spans="6:13" ht="25.5" hidden="1" x14ac:dyDescent="0.2">
      <c r="F17279" s="494">
        <v>494</v>
      </c>
      <c r="G17279" s="495" t="s">
        <v>4171</v>
      </c>
      <c r="H17279" s="397"/>
      <c r="I17279" s="397"/>
      <c r="J17279" s="750" t="e">
        <f t="shared" si="206"/>
        <v>#DIV/0!</v>
      </c>
      <c r="K17279" s="398"/>
      <c r="L17279" s="398"/>
      <c r="M17279" s="682"/>
    </row>
    <row r="17280" spans="6:13" ht="25.5" hidden="1" x14ac:dyDescent="0.2">
      <c r="F17280" s="494">
        <v>495</v>
      </c>
      <c r="G17280" s="495" t="s">
        <v>4172</v>
      </c>
      <c r="H17280" s="397"/>
      <c r="I17280" s="397"/>
      <c r="J17280" s="750" t="e">
        <f t="shared" si="206"/>
        <v>#DIV/0!</v>
      </c>
      <c r="K17280" s="398"/>
      <c r="L17280" s="398"/>
      <c r="M17280" s="682"/>
    </row>
    <row r="17281" spans="6:13" ht="38.25" hidden="1" x14ac:dyDescent="0.2">
      <c r="F17281" s="494">
        <v>496</v>
      </c>
      <c r="G17281" s="495" t="s">
        <v>4173</v>
      </c>
      <c r="H17281" s="397"/>
      <c r="I17281" s="397"/>
      <c r="J17281" s="750" t="e">
        <f t="shared" si="206"/>
        <v>#DIV/0!</v>
      </c>
      <c r="K17281" s="398"/>
      <c r="L17281" s="398"/>
      <c r="M17281" s="682"/>
    </row>
    <row r="17282" spans="6:13" ht="25.5" hidden="1" x14ac:dyDescent="0.2">
      <c r="F17282" s="494">
        <v>499</v>
      </c>
      <c r="G17282" s="495" t="s">
        <v>4174</v>
      </c>
      <c r="H17282" s="397"/>
      <c r="I17282" s="397"/>
      <c r="J17282" s="750" t="e">
        <f t="shared" si="206"/>
        <v>#DIV/0!</v>
      </c>
      <c r="K17282" s="398"/>
      <c r="L17282" s="398"/>
      <c r="M17282" s="682"/>
    </row>
    <row r="17283" spans="6:13" hidden="1" x14ac:dyDescent="0.2">
      <c r="F17283" s="494">
        <v>511</v>
      </c>
      <c r="G17283" s="497" t="s">
        <v>4194</v>
      </c>
      <c r="H17283" s="397"/>
      <c r="I17283" s="397"/>
      <c r="J17283" s="750" t="e">
        <f t="shared" si="206"/>
        <v>#DIV/0!</v>
      </c>
      <c r="K17283" s="398"/>
      <c r="L17283" s="398"/>
      <c r="M17283" s="682"/>
    </row>
    <row r="17284" spans="6:13" hidden="1" x14ac:dyDescent="0.2">
      <c r="F17284" s="494">
        <v>512</v>
      </c>
      <c r="G17284" s="497" t="s">
        <v>4195</v>
      </c>
      <c r="H17284" s="397"/>
      <c r="I17284" s="397"/>
      <c r="J17284" s="750" t="e">
        <f t="shared" si="206"/>
        <v>#DIV/0!</v>
      </c>
      <c r="K17284" s="398"/>
      <c r="L17284" s="398"/>
      <c r="M17284" s="682"/>
    </row>
    <row r="17285" spans="6:13" hidden="1" x14ac:dyDescent="0.2">
      <c r="F17285" s="494">
        <v>513</v>
      </c>
      <c r="G17285" s="497" t="s">
        <v>4196</v>
      </c>
      <c r="H17285" s="397"/>
      <c r="I17285" s="397"/>
      <c r="J17285" s="750" t="e">
        <f t="shared" si="206"/>
        <v>#DIV/0!</v>
      </c>
      <c r="K17285" s="398"/>
      <c r="L17285" s="398"/>
      <c r="M17285" s="682"/>
    </row>
    <row r="17286" spans="6:13" hidden="1" x14ac:dyDescent="0.2">
      <c r="F17286" s="494">
        <v>514</v>
      </c>
      <c r="G17286" s="495" t="s">
        <v>4197</v>
      </c>
      <c r="H17286" s="397"/>
      <c r="I17286" s="397"/>
      <c r="J17286" s="750" t="e">
        <f t="shared" si="206"/>
        <v>#DIV/0!</v>
      </c>
      <c r="K17286" s="398"/>
      <c r="L17286" s="398"/>
      <c r="M17286" s="682"/>
    </row>
    <row r="17287" spans="6:13" hidden="1" x14ac:dyDescent="0.2">
      <c r="F17287" s="494">
        <v>515</v>
      </c>
      <c r="G17287" s="495" t="s">
        <v>3832</v>
      </c>
      <c r="H17287" s="397"/>
      <c r="I17287" s="397"/>
      <c r="J17287" s="750" t="e">
        <f t="shared" si="206"/>
        <v>#DIV/0!</v>
      </c>
      <c r="K17287" s="398"/>
      <c r="L17287" s="398"/>
      <c r="M17287" s="682"/>
    </row>
    <row r="17288" spans="6:13" hidden="1" x14ac:dyDescent="0.2">
      <c r="F17288" s="494">
        <v>521</v>
      </c>
      <c r="G17288" s="495" t="s">
        <v>4198</v>
      </c>
      <c r="H17288" s="397"/>
      <c r="I17288" s="397"/>
      <c r="J17288" s="750" t="e">
        <f t="shared" si="206"/>
        <v>#DIV/0!</v>
      </c>
      <c r="K17288" s="398"/>
      <c r="L17288" s="398"/>
      <c r="M17288" s="682"/>
    </row>
    <row r="17289" spans="6:13" hidden="1" x14ac:dyDescent="0.2">
      <c r="F17289" s="494">
        <v>522</v>
      </c>
      <c r="G17289" s="495" t="s">
        <v>4199</v>
      </c>
      <c r="H17289" s="397"/>
      <c r="I17289" s="397"/>
      <c r="J17289" s="750" t="e">
        <f t="shared" si="206"/>
        <v>#DIV/0!</v>
      </c>
      <c r="K17289" s="398"/>
      <c r="L17289" s="398"/>
      <c r="M17289" s="682"/>
    </row>
    <row r="17290" spans="6:13" hidden="1" x14ac:dyDescent="0.2">
      <c r="F17290" s="494">
        <v>523</v>
      </c>
      <c r="G17290" s="495" t="s">
        <v>3837</v>
      </c>
      <c r="H17290" s="397"/>
      <c r="I17290" s="397"/>
      <c r="J17290" s="750" t="e">
        <f t="shared" si="206"/>
        <v>#DIV/0!</v>
      </c>
      <c r="K17290" s="398"/>
      <c r="L17290" s="398"/>
      <c r="M17290" s="682"/>
    </row>
    <row r="17291" spans="6:13" hidden="1" x14ac:dyDescent="0.2">
      <c r="F17291" s="494">
        <v>531</v>
      </c>
      <c r="G17291" s="496" t="s">
        <v>4175</v>
      </c>
      <c r="H17291" s="397"/>
      <c r="I17291" s="397"/>
      <c r="J17291" s="750" t="e">
        <f t="shared" si="206"/>
        <v>#DIV/0!</v>
      </c>
      <c r="K17291" s="398"/>
      <c r="L17291" s="398"/>
      <c r="M17291" s="682"/>
    </row>
    <row r="17292" spans="6:13" hidden="1" x14ac:dyDescent="0.2">
      <c r="F17292" s="494">
        <v>541</v>
      </c>
      <c r="G17292" s="495" t="s">
        <v>4200</v>
      </c>
      <c r="H17292" s="397"/>
      <c r="I17292" s="397"/>
      <c r="J17292" s="750" t="e">
        <f t="shared" si="206"/>
        <v>#DIV/0!</v>
      </c>
      <c r="K17292" s="398"/>
      <c r="L17292" s="398"/>
      <c r="M17292" s="682"/>
    </row>
    <row r="17293" spans="6:13" hidden="1" x14ac:dyDescent="0.2">
      <c r="F17293" s="494">
        <v>542</v>
      </c>
      <c r="G17293" s="495" t="s">
        <v>4201</v>
      </c>
      <c r="H17293" s="397"/>
      <c r="I17293" s="397"/>
      <c r="J17293" s="750" t="e">
        <f t="shared" si="206"/>
        <v>#DIV/0!</v>
      </c>
      <c r="K17293" s="398"/>
      <c r="L17293" s="398"/>
      <c r="M17293" s="682"/>
    </row>
    <row r="17294" spans="6:13" hidden="1" x14ac:dyDescent="0.2">
      <c r="F17294" s="494">
        <v>543</v>
      </c>
      <c r="G17294" s="495" t="s">
        <v>3842</v>
      </c>
      <c r="H17294" s="397"/>
      <c r="I17294" s="397"/>
      <c r="J17294" s="750" t="e">
        <f t="shared" ref="J17294:J17357" si="207">SUM(I17294/H17294)*100</f>
        <v>#DIV/0!</v>
      </c>
      <c r="K17294" s="398"/>
      <c r="L17294" s="398"/>
      <c r="M17294" s="682"/>
    </row>
    <row r="17295" spans="6:13" ht="38.25" hidden="1" x14ac:dyDescent="0.2">
      <c r="F17295" s="494">
        <v>551</v>
      </c>
      <c r="G17295" s="495" t="s">
        <v>4176</v>
      </c>
      <c r="H17295" s="397"/>
      <c r="I17295" s="397"/>
      <c r="J17295" s="750" t="e">
        <f t="shared" si="207"/>
        <v>#DIV/0!</v>
      </c>
      <c r="K17295" s="398"/>
      <c r="L17295" s="398"/>
      <c r="M17295" s="682"/>
    </row>
    <row r="17296" spans="6:13" hidden="1" x14ac:dyDescent="0.2">
      <c r="F17296" s="498">
        <v>611</v>
      </c>
      <c r="G17296" s="499" t="s">
        <v>3848</v>
      </c>
      <c r="H17296" s="397"/>
      <c r="I17296" s="397"/>
      <c r="J17296" s="750" t="e">
        <f t="shared" si="207"/>
        <v>#DIV/0!</v>
      </c>
      <c r="K17296" s="398"/>
      <c r="L17296" s="398"/>
      <c r="M17296" s="682"/>
    </row>
    <row r="17297" spans="5:13" hidden="1" x14ac:dyDescent="0.2">
      <c r="F17297" s="498">
        <v>620</v>
      </c>
      <c r="G17297" s="499" t="s">
        <v>88</v>
      </c>
      <c r="H17297" s="397"/>
      <c r="I17297" s="397"/>
      <c r="J17297" s="750" t="e">
        <f t="shared" si="207"/>
        <v>#DIV/0!</v>
      </c>
      <c r="K17297" s="398"/>
      <c r="L17297" s="398"/>
      <c r="M17297" s="682"/>
    </row>
    <row r="17298" spans="5:13" hidden="1" x14ac:dyDescent="0.2">
      <c r="E17298" s="500"/>
      <c r="F17298" s="498"/>
      <c r="G17298" s="509" t="s">
        <v>4364</v>
      </c>
      <c r="H17298" s="400"/>
      <c r="I17298" s="400"/>
      <c r="J17298" s="750" t="e">
        <f t="shared" si="207"/>
        <v>#DIV/0!</v>
      </c>
      <c r="K17298" s="401"/>
      <c r="L17298" s="402"/>
      <c r="M17298" s="682"/>
    </row>
    <row r="17299" spans="5:13" hidden="1" x14ac:dyDescent="0.2">
      <c r="E17299" s="502"/>
      <c r="F17299" s="503" t="s">
        <v>234</v>
      </c>
      <c r="G17299" s="504" t="s">
        <v>235</v>
      </c>
      <c r="H17299" s="403">
        <f>SUM(H17238:H17297)</f>
        <v>0</v>
      </c>
      <c r="I17299" s="403"/>
      <c r="J17299" s="750" t="e">
        <f t="shared" si="207"/>
        <v>#DIV/0!</v>
      </c>
      <c r="K17299" s="404"/>
      <c r="L17299" s="404"/>
      <c r="M17299" s="682"/>
    </row>
    <row r="17300" spans="5:13" hidden="1" x14ac:dyDescent="0.2">
      <c r="F17300" s="503" t="s">
        <v>236</v>
      </c>
      <c r="G17300" s="504" t="s">
        <v>237</v>
      </c>
      <c r="H17300" s="397"/>
      <c r="I17300" s="397"/>
      <c r="J17300" s="750" t="e">
        <f t="shared" si="207"/>
        <v>#DIV/0!</v>
      </c>
      <c r="K17300" s="398"/>
      <c r="L17300" s="404"/>
      <c r="M17300" s="682"/>
    </row>
    <row r="17301" spans="5:13" hidden="1" x14ac:dyDescent="0.2">
      <c r="F17301" s="503" t="s">
        <v>238</v>
      </c>
      <c r="G17301" s="504" t="s">
        <v>239</v>
      </c>
      <c r="H17301" s="397"/>
      <c r="I17301" s="397"/>
      <c r="J17301" s="750" t="e">
        <f t="shared" si="207"/>
        <v>#DIV/0!</v>
      </c>
      <c r="K17301" s="398"/>
      <c r="L17301" s="404"/>
      <c r="M17301" s="682"/>
    </row>
    <row r="17302" spans="5:13" hidden="1" x14ac:dyDescent="0.2">
      <c r="F17302" s="503" t="s">
        <v>240</v>
      </c>
      <c r="G17302" s="504" t="s">
        <v>241</v>
      </c>
      <c r="H17302" s="397"/>
      <c r="I17302" s="397"/>
      <c r="J17302" s="750" t="e">
        <f t="shared" si="207"/>
        <v>#DIV/0!</v>
      </c>
      <c r="K17302" s="398"/>
      <c r="L17302" s="404"/>
      <c r="M17302" s="682"/>
    </row>
    <row r="17303" spans="5:13" hidden="1" x14ac:dyDescent="0.2">
      <c r="F17303" s="503" t="s">
        <v>242</v>
      </c>
      <c r="G17303" s="504" t="s">
        <v>243</v>
      </c>
      <c r="H17303" s="397"/>
      <c r="I17303" s="397"/>
      <c r="J17303" s="750" t="e">
        <f t="shared" si="207"/>
        <v>#DIV/0!</v>
      </c>
      <c r="K17303" s="398"/>
      <c r="L17303" s="404"/>
      <c r="M17303" s="682"/>
    </row>
    <row r="17304" spans="5:13" hidden="1" x14ac:dyDescent="0.2">
      <c r="F17304" s="503" t="s">
        <v>244</v>
      </c>
      <c r="G17304" s="504" t="s">
        <v>245</v>
      </c>
      <c r="H17304" s="397"/>
      <c r="I17304" s="397"/>
      <c r="J17304" s="750" t="e">
        <f t="shared" si="207"/>
        <v>#DIV/0!</v>
      </c>
      <c r="K17304" s="398"/>
      <c r="L17304" s="404"/>
      <c r="M17304" s="682"/>
    </row>
    <row r="17305" spans="5:13" hidden="1" x14ac:dyDescent="0.2">
      <c r="F17305" s="503" t="s">
        <v>246</v>
      </c>
      <c r="G17305" s="504" t="s">
        <v>247</v>
      </c>
      <c r="H17305" s="397"/>
      <c r="I17305" s="397"/>
      <c r="J17305" s="750" t="e">
        <f t="shared" si="207"/>
        <v>#DIV/0!</v>
      </c>
      <c r="K17305" s="398"/>
      <c r="L17305" s="404"/>
      <c r="M17305" s="682"/>
    </row>
    <row r="17306" spans="5:13" ht="25.5" hidden="1" x14ac:dyDescent="0.2">
      <c r="F17306" s="503" t="s">
        <v>248</v>
      </c>
      <c r="G17306" s="504" t="s">
        <v>249</v>
      </c>
      <c r="H17306" s="397"/>
      <c r="I17306" s="397"/>
      <c r="J17306" s="750" t="e">
        <f t="shared" si="207"/>
        <v>#DIV/0!</v>
      </c>
      <c r="K17306" s="398"/>
      <c r="L17306" s="404"/>
      <c r="M17306" s="682"/>
    </row>
    <row r="17307" spans="5:13" hidden="1" x14ac:dyDescent="0.2">
      <c r="F17307" s="503" t="s">
        <v>250</v>
      </c>
      <c r="G17307" s="504" t="s">
        <v>57</v>
      </c>
      <c r="H17307" s="397"/>
      <c r="I17307" s="397"/>
      <c r="J17307" s="750" t="e">
        <f t="shared" si="207"/>
        <v>#DIV/0!</v>
      </c>
      <c r="K17307" s="398"/>
      <c r="L17307" s="404"/>
      <c r="M17307" s="682"/>
    </row>
    <row r="17308" spans="5:13" hidden="1" x14ac:dyDescent="0.2">
      <c r="F17308" s="503" t="s">
        <v>251</v>
      </c>
      <c r="G17308" s="504" t="s">
        <v>252</v>
      </c>
      <c r="H17308" s="397"/>
      <c r="I17308" s="397"/>
      <c r="J17308" s="750" t="e">
        <f t="shared" si="207"/>
        <v>#DIV/0!</v>
      </c>
      <c r="K17308" s="398"/>
      <c r="L17308" s="404"/>
      <c r="M17308" s="682"/>
    </row>
    <row r="17309" spans="5:13" hidden="1" x14ac:dyDescent="0.2">
      <c r="F17309" s="503" t="s">
        <v>253</v>
      </c>
      <c r="G17309" s="504" t="s">
        <v>254</v>
      </c>
      <c r="H17309" s="397"/>
      <c r="I17309" s="397"/>
      <c r="J17309" s="750" t="e">
        <f t="shared" si="207"/>
        <v>#DIV/0!</v>
      </c>
      <c r="K17309" s="398"/>
      <c r="L17309" s="404"/>
      <c r="M17309" s="682"/>
    </row>
    <row r="17310" spans="5:13" ht="25.5" hidden="1" x14ac:dyDescent="0.2">
      <c r="F17310" s="503" t="s">
        <v>255</v>
      </c>
      <c r="G17310" s="504" t="s">
        <v>256</v>
      </c>
      <c r="H17310" s="397"/>
      <c r="I17310" s="397"/>
      <c r="J17310" s="750" t="e">
        <f t="shared" si="207"/>
        <v>#DIV/0!</v>
      </c>
      <c r="K17310" s="398"/>
      <c r="L17310" s="404"/>
      <c r="M17310" s="682"/>
    </row>
    <row r="17311" spans="5:13" ht="25.5" hidden="1" x14ac:dyDescent="0.2">
      <c r="F17311" s="503" t="s">
        <v>257</v>
      </c>
      <c r="G17311" s="504" t="s">
        <v>258</v>
      </c>
      <c r="H17311" s="397"/>
      <c r="I17311" s="397"/>
      <c r="J17311" s="750" t="e">
        <f t="shared" si="207"/>
        <v>#DIV/0!</v>
      </c>
      <c r="K17311" s="398"/>
      <c r="L17311" s="404"/>
      <c r="M17311" s="682"/>
    </row>
    <row r="17312" spans="5:13" ht="25.5" hidden="1" x14ac:dyDescent="0.2">
      <c r="F17312" s="503" t="s">
        <v>259</v>
      </c>
      <c r="G17312" s="504" t="s">
        <v>260</v>
      </c>
      <c r="H17312" s="397"/>
      <c r="I17312" s="397"/>
      <c r="J17312" s="750" t="e">
        <f t="shared" si="207"/>
        <v>#DIV/0!</v>
      </c>
      <c r="K17312" s="398"/>
      <c r="L17312" s="404"/>
      <c r="M17312" s="682"/>
    </row>
    <row r="17313" spans="5:13" ht="25.5" hidden="1" x14ac:dyDescent="0.2">
      <c r="F17313" s="503" t="s">
        <v>261</v>
      </c>
      <c r="G17313" s="504" t="s">
        <v>262</v>
      </c>
      <c r="H17313" s="397"/>
      <c r="I17313" s="397"/>
      <c r="J17313" s="750" t="e">
        <f t="shared" si="207"/>
        <v>#DIV/0!</v>
      </c>
      <c r="K17313" s="398"/>
      <c r="L17313" s="404"/>
      <c r="M17313" s="682"/>
    </row>
    <row r="17314" spans="5:13" hidden="1" x14ac:dyDescent="0.2">
      <c r="F17314" s="503" t="s">
        <v>263</v>
      </c>
      <c r="G17314" s="504" t="s">
        <v>264</v>
      </c>
      <c r="H17314" s="403"/>
      <c r="I17314" s="403"/>
      <c r="J17314" s="750" t="e">
        <f t="shared" si="207"/>
        <v>#DIV/0!</v>
      </c>
      <c r="K17314" s="404"/>
      <c r="L17314" s="404"/>
      <c r="M17314" s="682"/>
    </row>
    <row r="17315" spans="5:13" ht="13.5" hidden="1" thickBot="1" x14ac:dyDescent="0.25">
      <c r="G17315" s="505" t="s">
        <v>4365</v>
      </c>
      <c r="H17315" s="405">
        <f>SUM(H17299:H17314)</f>
        <v>0</v>
      </c>
      <c r="I17315" s="405"/>
      <c r="J17315" s="750" t="e">
        <f t="shared" si="207"/>
        <v>#DIV/0!</v>
      </c>
      <c r="K17315" s="406">
        <f>SUM(K17300:K17314)</f>
        <v>0</v>
      </c>
      <c r="L17315" s="406"/>
      <c r="M17315" s="682"/>
    </row>
    <row r="17316" spans="5:13" ht="25.5" hidden="1" collapsed="1" x14ac:dyDescent="0.2">
      <c r="E17316" s="500"/>
      <c r="F17316" s="498"/>
      <c r="G17316" s="506" t="s">
        <v>4252</v>
      </c>
      <c r="H17316" s="407"/>
      <c r="I17316" s="408"/>
      <c r="J17316" s="750" t="e">
        <f t="shared" si="207"/>
        <v>#DIV/0!</v>
      </c>
      <c r="K17316" s="409"/>
      <c r="L17316" s="410"/>
      <c r="M17316" s="682"/>
    </row>
    <row r="17317" spans="5:13" hidden="1" x14ac:dyDescent="0.2">
      <c r="E17317" s="502"/>
      <c r="F17317" s="503" t="s">
        <v>234</v>
      </c>
      <c r="G17317" s="504" t="s">
        <v>235</v>
      </c>
      <c r="H17317" s="403">
        <f>SUM(H17238:H17297)</f>
        <v>0</v>
      </c>
      <c r="I17317" s="403"/>
      <c r="J17317" s="750" t="e">
        <f t="shared" si="207"/>
        <v>#DIV/0!</v>
      </c>
      <c r="K17317" s="404"/>
      <c r="L17317" s="404"/>
      <c r="M17317" s="682"/>
    </row>
    <row r="17318" spans="5:13" hidden="1" x14ac:dyDescent="0.2">
      <c r="F17318" s="503" t="s">
        <v>236</v>
      </c>
      <c r="G17318" s="504" t="s">
        <v>237</v>
      </c>
      <c r="H17318" s="397"/>
      <c r="I17318" s="397"/>
      <c r="J17318" s="750" t="e">
        <f t="shared" si="207"/>
        <v>#DIV/0!</v>
      </c>
      <c r="K17318" s="398"/>
      <c r="L17318" s="404"/>
      <c r="M17318" s="682"/>
    </row>
    <row r="17319" spans="5:13" hidden="1" x14ac:dyDescent="0.2">
      <c r="F17319" s="503" t="s">
        <v>238</v>
      </c>
      <c r="G17319" s="504" t="s">
        <v>239</v>
      </c>
      <c r="H17319" s="397"/>
      <c r="I17319" s="397"/>
      <c r="J17319" s="750" t="e">
        <f t="shared" si="207"/>
        <v>#DIV/0!</v>
      </c>
      <c r="K17319" s="398"/>
      <c r="L17319" s="404"/>
      <c r="M17319" s="682"/>
    </row>
    <row r="17320" spans="5:13" hidden="1" x14ac:dyDescent="0.2">
      <c r="F17320" s="503" t="s">
        <v>240</v>
      </c>
      <c r="G17320" s="504" t="s">
        <v>241</v>
      </c>
      <c r="H17320" s="397"/>
      <c r="I17320" s="397"/>
      <c r="J17320" s="750" t="e">
        <f t="shared" si="207"/>
        <v>#DIV/0!</v>
      </c>
      <c r="K17320" s="398"/>
      <c r="L17320" s="404"/>
      <c r="M17320" s="682"/>
    </row>
    <row r="17321" spans="5:13" hidden="1" x14ac:dyDescent="0.2">
      <c r="F17321" s="503" t="s">
        <v>242</v>
      </c>
      <c r="G17321" s="504" t="s">
        <v>243</v>
      </c>
      <c r="H17321" s="397"/>
      <c r="I17321" s="397"/>
      <c r="J17321" s="750" t="e">
        <f t="shared" si="207"/>
        <v>#DIV/0!</v>
      </c>
      <c r="K17321" s="398"/>
      <c r="L17321" s="404"/>
      <c r="M17321" s="682"/>
    </row>
    <row r="17322" spans="5:13" hidden="1" x14ac:dyDescent="0.2">
      <c r="F17322" s="503" t="s">
        <v>244</v>
      </c>
      <c r="G17322" s="504" t="s">
        <v>245</v>
      </c>
      <c r="H17322" s="397"/>
      <c r="I17322" s="397"/>
      <c r="J17322" s="750" t="e">
        <f t="shared" si="207"/>
        <v>#DIV/0!</v>
      </c>
      <c r="K17322" s="398"/>
      <c r="L17322" s="404"/>
      <c r="M17322" s="682"/>
    </row>
    <row r="17323" spans="5:13" hidden="1" x14ac:dyDescent="0.2">
      <c r="F17323" s="503" t="s">
        <v>246</v>
      </c>
      <c r="G17323" s="504" t="s">
        <v>247</v>
      </c>
      <c r="H17323" s="397"/>
      <c r="I17323" s="397"/>
      <c r="J17323" s="750" t="e">
        <f t="shared" si="207"/>
        <v>#DIV/0!</v>
      </c>
      <c r="K17323" s="398"/>
      <c r="L17323" s="404"/>
      <c r="M17323" s="682"/>
    </row>
    <row r="17324" spans="5:13" ht="25.5" hidden="1" x14ac:dyDescent="0.2">
      <c r="F17324" s="503" t="s">
        <v>248</v>
      </c>
      <c r="G17324" s="504" t="s">
        <v>249</v>
      </c>
      <c r="H17324" s="397"/>
      <c r="I17324" s="397"/>
      <c r="J17324" s="750" t="e">
        <f t="shared" si="207"/>
        <v>#DIV/0!</v>
      </c>
      <c r="K17324" s="398"/>
      <c r="L17324" s="404"/>
      <c r="M17324" s="682"/>
    </row>
    <row r="17325" spans="5:13" hidden="1" x14ac:dyDescent="0.2">
      <c r="F17325" s="503" t="s">
        <v>250</v>
      </c>
      <c r="G17325" s="504" t="s">
        <v>57</v>
      </c>
      <c r="H17325" s="397"/>
      <c r="I17325" s="397"/>
      <c r="J17325" s="750" t="e">
        <f t="shared" si="207"/>
        <v>#DIV/0!</v>
      </c>
      <c r="K17325" s="398"/>
      <c r="L17325" s="404"/>
      <c r="M17325" s="682"/>
    </row>
    <row r="17326" spans="5:13" hidden="1" x14ac:dyDescent="0.2">
      <c r="F17326" s="503" t="s">
        <v>251</v>
      </c>
      <c r="G17326" s="504" t="s">
        <v>252</v>
      </c>
      <c r="H17326" s="397"/>
      <c r="I17326" s="397"/>
      <c r="J17326" s="750" t="e">
        <f t="shared" si="207"/>
        <v>#DIV/0!</v>
      </c>
      <c r="K17326" s="398"/>
      <c r="L17326" s="404"/>
      <c r="M17326" s="682"/>
    </row>
    <row r="17327" spans="5:13" hidden="1" x14ac:dyDescent="0.2">
      <c r="F17327" s="503" t="s">
        <v>253</v>
      </c>
      <c r="G17327" s="504" t="s">
        <v>254</v>
      </c>
      <c r="H17327" s="397"/>
      <c r="I17327" s="397"/>
      <c r="J17327" s="750" t="e">
        <f t="shared" si="207"/>
        <v>#DIV/0!</v>
      </c>
      <c r="K17327" s="398"/>
      <c r="L17327" s="404"/>
      <c r="M17327" s="682"/>
    </row>
    <row r="17328" spans="5:13" ht="25.5" hidden="1" x14ac:dyDescent="0.2">
      <c r="F17328" s="503" t="s">
        <v>255</v>
      </c>
      <c r="G17328" s="504" t="s">
        <v>256</v>
      </c>
      <c r="H17328" s="397"/>
      <c r="I17328" s="397"/>
      <c r="J17328" s="750" t="e">
        <f t="shared" si="207"/>
        <v>#DIV/0!</v>
      </c>
      <c r="K17328" s="398"/>
      <c r="L17328" s="404"/>
      <c r="M17328" s="682"/>
    </row>
    <row r="17329" spans="1:27" ht="25.5" hidden="1" x14ac:dyDescent="0.2">
      <c r="F17329" s="503" t="s">
        <v>257</v>
      </c>
      <c r="G17329" s="504" t="s">
        <v>258</v>
      </c>
      <c r="H17329" s="397"/>
      <c r="I17329" s="397"/>
      <c r="J17329" s="750" t="e">
        <f t="shared" si="207"/>
        <v>#DIV/0!</v>
      </c>
      <c r="K17329" s="398"/>
      <c r="L17329" s="404"/>
      <c r="M17329" s="682"/>
    </row>
    <row r="17330" spans="1:27" ht="25.5" hidden="1" x14ac:dyDescent="0.2">
      <c r="F17330" s="503" t="s">
        <v>259</v>
      </c>
      <c r="G17330" s="504" t="s">
        <v>260</v>
      </c>
      <c r="H17330" s="397"/>
      <c r="I17330" s="397"/>
      <c r="J17330" s="750" t="e">
        <f t="shared" si="207"/>
        <v>#DIV/0!</v>
      </c>
      <c r="K17330" s="398"/>
      <c r="L17330" s="404"/>
      <c r="M17330" s="682"/>
    </row>
    <row r="17331" spans="1:27" ht="25.5" hidden="1" x14ac:dyDescent="0.2">
      <c r="F17331" s="503" t="s">
        <v>261</v>
      </c>
      <c r="G17331" s="504" t="s">
        <v>262</v>
      </c>
      <c r="H17331" s="397"/>
      <c r="I17331" s="397"/>
      <c r="J17331" s="750" t="e">
        <f t="shared" si="207"/>
        <v>#DIV/0!</v>
      </c>
      <c r="K17331" s="398"/>
      <c r="L17331" s="404"/>
      <c r="M17331" s="682"/>
    </row>
    <row r="17332" spans="1:27" hidden="1" x14ac:dyDescent="0.2">
      <c r="F17332" s="503" t="s">
        <v>263</v>
      </c>
      <c r="G17332" s="504" t="s">
        <v>264</v>
      </c>
      <c r="H17332" s="403"/>
      <c r="I17332" s="403"/>
      <c r="J17332" s="750" t="e">
        <f t="shared" si="207"/>
        <v>#DIV/0!</v>
      </c>
      <c r="K17332" s="404"/>
      <c r="L17332" s="404"/>
      <c r="M17332" s="682"/>
    </row>
    <row r="17333" spans="1:27" ht="13.5" hidden="1" collapsed="1" thickBot="1" x14ac:dyDescent="0.25">
      <c r="G17333" s="505" t="s">
        <v>4246</v>
      </c>
      <c r="H17333" s="405">
        <f>SUM(H17317:H17332)</f>
        <v>0</v>
      </c>
      <c r="I17333" s="405"/>
      <c r="J17333" s="750" t="e">
        <f t="shared" si="207"/>
        <v>#DIV/0!</v>
      </c>
      <c r="K17333" s="406">
        <f>SUM(K17318:K17332)</f>
        <v>0</v>
      </c>
      <c r="L17333" s="406"/>
      <c r="M17333" s="682"/>
    </row>
    <row r="17334" spans="1:27" s="530" customFormat="1" hidden="1" x14ac:dyDescent="0.2">
      <c r="A17334" s="526"/>
      <c r="B17334" s="527"/>
      <c r="C17334" s="528"/>
      <c r="G17334" s="570"/>
      <c r="H17334" s="425"/>
      <c r="I17334" s="425"/>
      <c r="J17334" s="750" t="e">
        <f t="shared" si="207"/>
        <v>#DIV/0!</v>
      </c>
      <c r="K17334" s="243"/>
      <c r="L17334" s="243"/>
      <c r="M17334" s="682"/>
      <c r="N17334" s="171"/>
      <c r="O17334" s="171"/>
      <c r="P17334" s="171"/>
      <c r="Q17334" s="171"/>
      <c r="R17334" s="171"/>
      <c r="S17334" s="171"/>
      <c r="T17334" s="171"/>
      <c r="U17334" s="171"/>
      <c r="V17334" s="171"/>
      <c r="W17334" s="171"/>
      <c r="X17334" s="171"/>
      <c r="Y17334" s="171"/>
      <c r="Z17334" s="171"/>
      <c r="AA17334" s="171"/>
    </row>
    <row r="17335" spans="1:27" ht="25.5" hidden="1" x14ac:dyDescent="0.2">
      <c r="C17335" s="489" t="s">
        <v>4114</v>
      </c>
      <c r="D17335" s="490"/>
      <c r="G17335" s="491" t="s">
        <v>4115</v>
      </c>
      <c r="H17335" s="397"/>
      <c r="I17335" s="397"/>
      <c r="J17335" s="750" t="e">
        <f t="shared" si="207"/>
        <v>#DIV/0!</v>
      </c>
      <c r="K17335" s="398"/>
      <c r="L17335" s="398"/>
      <c r="M17335" s="682"/>
    </row>
    <row r="17336" spans="1:27" s="530" customFormat="1" hidden="1" x14ac:dyDescent="0.2">
      <c r="A17336" s="526"/>
      <c r="B17336" s="527"/>
      <c r="C17336" s="528"/>
      <c r="D17336" s="569" t="s">
        <v>3884</v>
      </c>
      <c r="E17336" s="538"/>
      <c r="F17336" s="538"/>
      <c r="G17336" s="539" t="s">
        <v>4290</v>
      </c>
      <c r="H17336" s="425"/>
      <c r="I17336" s="425"/>
      <c r="J17336" s="750" t="e">
        <f t="shared" si="207"/>
        <v>#DIV/0!</v>
      </c>
      <c r="K17336" s="243"/>
      <c r="L17336" s="243"/>
      <c r="M17336" s="682"/>
      <c r="N17336" s="171"/>
      <c r="O17336" s="171"/>
      <c r="P17336" s="171"/>
      <c r="Q17336" s="171"/>
      <c r="R17336" s="171"/>
      <c r="S17336" s="171"/>
      <c r="T17336" s="171"/>
      <c r="U17336" s="171"/>
      <c r="V17336" s="171"/>
      <c r="W17336" s="171"/>
      <c r="X17336" s="171"/>
      <c r="Y17336" s="171"/>
      <c r="Z17336" s="171"/>
      <c r="AA17336" s="171"/>
    </row>
    <row r="17337" spans="1:27" hidden="1" x14ac:dyDescent="0.2">
      <c r="F17337" s="494">
        <v>411</v>
      </c>
      <c r="G17337" s="495" t="s">
        <v>4167</v>
      </c>
      <c r="H17337" s="397"/>
      <c r="I17337" s="397"/>
      <c r="J17337" s="750" t="e">
        <f t="shared" si="207"/>
        <v>#DIV/0!</v>
      </c>
      <c r="K17337" s="398"/>
      <c r="L17337" s="398"/>
      <c r="M17337" s="682"/>
    </row>
    <row r="17338" spans="1:27" hidden="1" x14ac:dyDescent="0.2">
      <c r="F17338" s="494">
        <v>412</v>
      </c>
      <c r="G17338" s="496" t="s">
        <v>3764</v>
      </c>
      <c r="H17338" s="397"/>
      <c r="I17338" s="397"/>
      <c r="J17338" s="750" t="e">
        <f t="shared" si="207"/>
        <v>#DIV/0!</v>
      </c>
      <c r="K17338" s="398"/>
      <c r="L17338" s="398"/>
      <c r="M17338" s="682"/>
    </row>
    <row r="17339" spans="1:27" hidden="1" x14ac:dyDescent="0.2">
      <c r="F17339" s="494">
        <v>413</v>
      </c>
      <c r="G17339" s="495" t="s">
        <v>4168</v>
      </c>
      <c r="H17339" s="397"/>
      <c r="I17339" s="397"/>
      <c r="J17339" s="750" t="e">
        <f t="shared" si="207"/>
        <v>#DIV/0!</v>
      </c>
      <c r="K17339" s="398"/>
      <c r="L17339" s="398"/>
      <c r="M17339" s="682"/>
    </row>
    <row r="17340" spans="1:27" hidden="1" x14ac:dyDescent="0.2">
      <c r="F17340" s="494">
        <v>414</v>
      </c>
      <c r="G17340" s="495" t="s">
        <v>3767</v>
      </c>
      <c r="H17340" s="397"/>
      <c r="I17340" s="397"/>
      <c r="J17340" s="750" t="e">
        <f t="shared" si="207"/>
        <v>#DIV/0!</v>
      </c>
      <c r="K17340" s="398"/>
      <c r="L17340" s="398"/>
      <c r="M17340" s="682"/>
    </row>
    <row r="17341" spans="1:27" hidden="1" x14ac:dyDescent="0.2">
      <c r="F17341" s="494">
        <v>415</v>
      </c>
      <c r="G17341" s="495" t="s">
        <v>4177</v>
      </c>
      <c r="H17341" s="397"/>
      <c r="I17341" s="397"/>
      <c r="J17341" s="750" t="e">
        <f t="shared" si="207"/>
        <v>#DIV/0!</v>
      </c>
      <c r="K17341" s="398"/>
      <c r="L17341" s="398"/>
      <c r="M17341" s="682"/>
    </row>
    <row r="17342" spans="1:27" ht="25.5" hidden="1" x14ac:dyDescent="0.2">
      <c r="F17342" s="494">
        <v>416</v>
      </c>
      <c r="G17342" s="495" t="s">
        <v>4178</v>
      </c>
      <c r="H17342" s="397"/>
      <c r="I17342" s="397"/>
      <c r="J17342" s="750" t="e">
        <f t="shared" si="207"/>
        <v>#DIV/0!</v>
      </c>
      <c r="K17342" s="398"/>
      <c r="L17342" s="398"/>
      <c r="M17342" s="682"/>
    </row>
    <row r="17343" spans="1:27" hidden="1" x14ac:dyDescent="0.2">
      <c r="F17343" s="494">
        <v>417</v>
      </c>
      <c r="G17343" s="495" t="s">
        <v>4179</v>
      </c>
      <c r="H17343" s="397"/>
      <c r="I17343" s="397"/>
      <c r="J17343" s="750" t="e">
        <f t="shared" si="207"/>
        <v>#DIV/0!</v>
      </c>
      <c r="K17343" s="398"/>
      <c r="L17343" s="398"/>
      <c r="M17343" s="682"/>
    </row>
    <row r="17344" spans="1:27" hidden="1" x14ac:dyDescent="0.2">
      <c r="F17344" s="494">
        <v>418</v>
      </c>
      <c r="G17344" s="495" t="s">
        <v>3773</v>
      </c>
      <c r="H17344" s="397"/>
      <c r="I17344" s="397"/>
      <c r="J17344" s="750" t="e">
        <f t="shared" si="207"/>
        <v>#DIV/0!</v>
      </c>
      <c r="K17344" s="398"/>
      <c r="L17344" s="398"/>
      <c r="M17344" s="682"/>
    </row>
    <row r="17345" spans="6:13" hidden="1" x14ac:dyDescent="0.2">
      <c r="F17345" s="494">
        <v>421</v>
      </c>
      <c r="G17345" s="495" t="s">
        <v>3777</v>
      </c>
      <c r="H17345" s="397"/>
      <c r="I17345" s="397"/>
      <c r="J17345" s="750" t="e">
        <f t="shared" si="207"/>
        <v>#DIV/0!</v>
      </c>
      <c r="K17345" s="398"/>
      <c r="L17345" s="398"/>
      <c r="M17345" s="682"/>
    </row>
    <row r="17346" spans="6:13" hidden="1" x14ac:dyDescent="0.2">
      <c r="F17346" s="494">
        <v>422</v>
      </c>
      <c r="G17346" s="495" t="s">
        <v>3778</v>
      </c>
      <c r="H17346" s="397"/>
      <c r="I17346" s="397"/>
      <c r="J17346" s="750" t="e">
        <f t="shared" si="207"/>
        <v>#DIV/0!</v>
      </c>
      <c r="K17346" s="398"/>
      <c r="L17346" s="398"/>
      <c r="M17346" s="682"/>
    </row>
    <row r="17347" spans="6:13" hidden="1" x14ac:dyDescent="0.2">
      <c r="F17347" s="494">
        <v>423</v>
      </c>
      <c r="G17347" s="495" t="s">
        <v>3779</v>
      </c>
      <c r="H17347" s="397"/>
      <c r="I17347" s="397"/>
      <c r="J17347" s="750" t="e">
        <f t="shared" si="207"/>
        <v>#DIV/0!</v>
      </c>
      <c r="K17347" s="398"/>
      <c r="L17347" s="398"/>
      <c r="M17347" s="682"/>
    </row>
    <row r="17348" spans="6:13" hidden="1" x14ac:dyDescent="0.2">
      <c r="F17348" s="494">
        <v>424</v>
      </c>
      <c r="G17348" s="495" t="s">
        <v>3781</v>
      </c>
      <c r="H17348" s="397"/>
      <c r="I17348" s="397"/>
      <c r="J17348" s="750" t="e">
        <f t="shared" si="207"/>
        <v>#DIV/0!</v>
      </c>
      <c r="K17348" s="398"/>
      <c r="L17348" s="398"/>
      <c r="M17348" s="682"/>
    </row>
    <row r="17349" spans="6:13" hidden="1" x14ac:dyDescent="0.2">
      <c r="F17349" s="494">
        <v>425</v>
      </c>
      <c r="G17349" s="495" t="s">
        <v>4180</v>
      </c>
      <c r="H17349" s="397"/>
      <c r="I17349" s="397"/>
      <c r="J17349" s="750" t="e">
        <f t="shared" si="207"/>
        <v>#DIV/0!</v>
      </c>
      <c r="K17349" s="398"/>
      <c r="L17349" s="398"/>
      <c r="M17349" s="682"/>
    </row>
    <row r="17350" spans="6:13" hidden="1" x14ac:dyDescent="0.2">
      <c r="F17350" s="494">
        <v>426</v>
      </c>
      <c r="G17350" s="495" t="s">
        <v>3785</v>
      </c>
      <c r="H17350" s="397"/>
      <c r="I17350" s="397"/>
      <c r="J17350" s="750" t="e">
        <f t="shared" si="207"/>
        <v>#DIV/0!</v>
      </c>
      <c r="K17350" s="398"/>
      <c r="L17350" s="398"/>
      <c r="M17350" s="682"/>
    </row>
    <row r="17351" spans="6:13" hidden="1" x14ac:dyDescent="0.2">
      <c r="F17351" s="494">
        <v>431</v>
      </c>
      <c r="G17351" s="495" t="s">
        <v>4181</v>
      </c>
      <c r="H17351" s="397"/>
      <c r="I17351" s="397"/>
      <c r="J17351" s="750" t="e">
        <f t="shared" si="207"/>
        <v>#DIV/0!</v>
      </c>
      <c r="K17351" s="398"/>
      <c r="L17351" s="398"/>
      <c r="M17351" s="682"/>
    </row>
    <row r="17352" spans="6:13" hidden="1" x14ac:dyDescent="0.2">
      <c r="F17352" s="494">
        <v>432</v>
      </c>
      <c r="G17352" s="495" t="s">
        <v>4182</v>
      </c>
      <c r="H17352" s="397"/>
      <c r="I17352" s="397"/>
      <c r="J17352" s="750" t="e">
        <f t="shared" si="207"/>
        <v>#DIV/0!</v>
      </c>
      <c r="K17352" s="398"/>
      <c r="L17352" s="398"/>
      <c r="M17352" s="682"/>
    </row>
    <row r="17353" spans="6:13" hidden="1" x14ac:dyDescent="0.2">
      <c r="F17353" s="494">
        <v>433</v>
      </c>
      <c r="G17353" s="495" t="s">
        <v>4183</v>
      </c>
      <c r="H17353" s="397"/>
      <c r="I17353" s="397"/>
      <c r="J17353" s="750" t="e">
        <f t="shared" si="207"/>
        <v>#DIV/0!</v>
      </c>
      <c r="K17353" s="398"/>
      <c r="L17353" s="398"/>
      <c r="M17353" s="682"/>
    </row>
    <row r="17354" spans="6:13" hidden="1" x14ac:dyDescent="0.2">
      <c r="F17354" s="494">
        <v>434</v>
      </c>
      <c r="G17354" s="495" t="s">
        <v>4184</v>
      </c>
      <c r="H17354" s="397"/>
      <c r="I17354" s="397"/>
      <c r="J17354" s="750" t="e">
        <f t="shared" si="207"/>
        <v>#DIV/0!</v>
      </c>
      <c r="K17354" s="398"/>
      <c r="L17354" s="398"/>
      <c r="M17354" s="682"/>
    </row>
    <row r="17355" spans="6:13" hidden="1" x14ac:dyDescent="0.2">
      <c r="F17355" s="494">
        <v>435</v>
      </c>
      <c r="G17355" s="495" t="s">
        <v>3792</v>
      </c>
      <c r="H17355" s="397"/>
      <c r="I17355" s="397"/>
      <c r="J17355" s="750" t="e">
        <f t="shared" si="207"/>
        <v>#DIV/0!</v>
      </c>
      <c r="K17355" s="398"/>
      <c r="L17355" s="398"/>
      <c r="M17355" s="682"/>
    </row>
    <row r="17356" spans="6:13" hidden="1" x14ac:dyDescent="0.2">
      <c r="F17356" s="494">
        <v>441</v>
      </c>
      <c r="G17356" s="495" t="s">
        <v>4185</v>
      </c>
      <c r="H17356" s="397"/>
      <c r="I17356" s="397"/>
      <c r="J17356" s="750" t="e">
        <f t="shared" si="207"/>
        <v>#DIV/0!</v>
      </c>
      <c r="K17356" s="398"/>
      <c r="L17356" s="398"/>
      <c r="M17356" s="682"/>
    </row>
    <row r="17357" spans="6:13" hidden="1" x14ac:dyDescent="0.2">
      <c r="F17357" s="494">
        <v>442</v>
      </c>
      <c r="G17357" s="495" t="s">
        <v>4186</v>
      </c>
      <c r="H17357" s="397"/>
      <c r="I17357" s="397"/>
      <c r="J17357" s="750" t="e">
        <f t="shared" si="207"/>
        <v>#DIV/0!</v>
      </c>
      <c r="K17357" s="398"/>
      <c r="L17357" s="398"/>
      <c r="M17357" s="682"/>
    </row>
    <row r="17358" spans="6:13" hidden="1" x14ac:dyDescent="0.2">
      <c r="F17358" s="494">
        <v>443</v>
      </c>
      <c r="G17358" s="495" t="s">
        <v>3797</v>
      </c>
      <c r="H17358" s="397"/>
      <c r="I17358" s="397"/>
      <c r="J17358" s="750" t="e">
        <f t="shared" ref="J17358:J17421" si="208">SUM(I17358/H17358)*100</f>
        <v>#DIV/0!</v>
      </c>
      <c r="K17358" s="398"/>
      <c r="L17358" s="398"/>
      <c r="M17358" s="682"/>
    </row>
    <row r="17359" spans="6:13" hidden="1" x14ac:dyDescent="0.2">
      <c r="F17359" s="494">
        <v>444</v>
      </c>
      <c r="G17359" s="495" t="s">
        <v>3798</v>
      </c>
      <c r="H17359" s="397"/>
      <c r="I17359" s="397"/>
      <c r="J17359" s="750" t="e">
        <f t="shared" si="208"/>
        <v>#DIV/0!</v>
      </c>
      <c r="K17359" s="398"/>
      <c r="L17359" s="398"/>
      <c r="M17359" s="682"/>
    </row>
    <row r="17360" spans="6:13" ht="25.5" hidden="1" x14ac:dyDescent="0.2">
      <c r="F17360" s="494">
        <v>4511</v>
      </c>
      <c r="G17360" s="466" t="s">
        <v>1692</v>
      </c>
      <c r="H17360" s="397"/>
      <c r="I17360" s="397"/>
      <c r="J17360" s="750" t="e">
        <f t="shared" si="208"/>
        <v>#DIV/0!</v>
      </c>
      <c r="K17360" s="398"/>
      <c r="L17360" s="398"/>
      <c r="M17360" s="682"/>
    </row>
    <row r="17361" spans="6:13" ht="25.5" hidden="1" x14ac:dyDescent="0.2">
      <c r="F17361" s="494">
        <v>4512</v>
      </c>
      <c r="G17361" s="466" t="s">
        <v>1701</v>
      </c>
      <c r="H17361" s="397"/>
      <c r="I17361" s="397"/>
      <c r="J17361" s="750" t="e">
        <f t="shared" si="208"/>
        <v>#DIV/0!</v>
      </c>
      <c r="K17361" s="398"/>
      <c r="L17361" s="398"/>
      <c r="M17361" s="682"/>
    </row>
    <row r="17362" spans="6:13" ht="25.5" hidden="1" x14ac:dyDescent="0.2">
      <c r="F17362" s="494">
        <v>452</v>
      </c>
      <c r="G17362" s="495" t="s">
        <v>4187</v>
      </c>
      <c r="H17362" s="397"/>
      <c r="I17362" s="397"/>
      <c r="J17362" s="750" t="e">
        <f t="shared" si="208"/>
        <v>#DIV/0!</v>
      </c>
      <c r="K17362" s="398"/>
      <c r="L17362" s="398"/>
      <c r="M17362" s="682"/>
    </row>
    <row r="17363" spans="6:13" ht="25.5" hidden="1" x14ac:dyDescent="0.2">
      <c r="F17363" s="494">
        <v>453</v>
      </c>
      <c r="G17363" s="495" t="s">
        <v>4188</v>
      </c>
      <c r="H17363" s="397"/>
      <c r="I17363" s="397"/>
      <c r="J17363" s="750" t="e">
        <f t="shared" si="208"/>
        <v>#DIV/0!</v>
      </c>
      <c r="K17363" s="398"/>
      <c r="L17363" s="398"/>
      <c r="M17363" s="682"/>
    </row>
    <row r="17364" spans="6:13" hidden="1" x14ac:dyDescent="0.2">
      <c r="F17364" s="494">
        <v>454</v>
      </c>
      <c r="G17364" s="495" t="s">
        <v>3803</v>
      </c>
      <c r="H17364" s="397"/>
      <c r="I17364" s="397"/>
      <c r="J17364" s="750" t="e">
        <f t="shared" si="208"/>
        <v>#DIV/0!</v>
      </c>
      <c r="K17364" s="398"/>
      <c r="L17364" s="398"/>
      <c r="M17364" s="682"/>
    </row>
    <row r="17365" spans="6:13" hidden="1" x14ac:dyDescent="0.2">
      <c r="F17365" s="494">
        <v>461</v>
      </c>
      <c r="G17365" s="495" t="s">
        <v>4169</v>
      </c>
      <c r="H17365" s="397"/>
      <c r="I17365" s="397"/>
      <c r="J17365" s="750" t="e">
        <f t="shared" si="208"/>
        <v>#DIV/0!</v>
      </c>
      <c r="K17365" s="398"/>
      <c r="L17365" s="398"/>
      <c r="M17365" s="682"/>
    </row>
    <row r="17366" spans="6:13" ht="25.5" hidden="1" x14ac:dyDescent="0.2">
      <c r="F17366" s="494">
        <v>462</v>
      </c>
      <c r="G17366" s="495" t="s">
        <v>3806</v>
      </c>
      <c r="H17366" s="397"/>
      <c r="I17366" s="397"/>
      <c r="J17366" s="750" t="e">
        <f t="shared" si="208"/>
        <v>#DIV/0!</v>
      </c>
      <c r="K17366" s="398"/>
      <c r="L17366" s="398"/>
      <c r="M17366" s="682"/>
    </row>
    <row r="17367" spans="6:13" hidden="1" x14ac:dyDescent="0.2">
      <c r="F17367" s="494">
        <v>4631</v>
      </c>
      <c r="G17367" s="495" t="s">
        <v>3807</v>
      </c>
      <c r="H17367" s="397"/>
      <c r="I17367" s="397"/>
      <c r="J17367" s="750" t="e">
        <f t="shared" si="208"/>
        <v>#DIV/0!</v>
      </c>
      <c r="K17367" s="398"/>
      <c r="L17367" s="398"/>
      <c r="M17367" s="682"/>
    </row>
    <row r="17368" spans="6:13" hidden="1" x14ac:dyDescent="0.2">
      <c r="F17368" s="494">
        <v>4632</v>
      </c>
      <c r="G17368" s="495" t="s">
        <v>3808</v>
      </c>
      <c r="H17368" s="397"/>
      <c r="I17368" s="397"/>
      <c r="J17368" s="750" t="e">
        <f t="shared" si="208"/>
        <v>#DIV/0!</v>
      </c>
      <c r="K17368" s="398"/>
      <c r="L17368" s="398"/>
      <c r="M17368" s="682"/>
    </row>
    <row r="17369" spans="6:13" ht="25.5" hidden="1" x14ac:dyDescent="0.2">
      <c r="F17369" s="494">
        <v>464</v>
      </c>
      <c r="G17369" s="495" t="s">
        <v>3809</v>
      </c>
      <c r="H17369" s="397"/>
      <c r="I17369" s="397"/>
      <c r="J17369" s="750" t="e">
        <f t="shared" si="208"/>
        <v>#DIV/0!</v>
      </c>
      <c r="K17369" s="398"/>
      <c r="L17369" s="398"/>
      <c r="M17369" s="682"/>
    </row>
    <row r="17370" spans="6:13" hidden="1" x14ac:dyDescent="0.2">
      <c r="F17370" s="494">
        <v>465</v>
      </c>
      <c r="G17370" s="495" t="s">
        <v>4170</v>
      </c>
      <c r="H17370" s="397"/>
      <c r="I17370" s="397"/>
      <c r="J17370" s="750" t="e">
        <f t="shared" si="208"/>
        <v>#DIV/0!</v>
      </c>
      <c r="K17370" s="398"/>
      <c r="L17370" s="398"/>
      <c r="M17370" s="682"/>
    </row>
    <row r="17371" spans="6:13" hidden="1" x14ac:dyDescent="0.2">
      <c r="F17371" s="494">
        <v>472</v>
      </c>
      <c r="G17371" s="495" t="s">
        <v>3813</v>
      </c>
      <c r="H17371" s="397"/>
      <c r="I17371" s="397"/>
      <c r="J17371" s="750" t="e">
        <f t="shared" si="208"/>
        <v>#DIV/0!</v>
      </c>
      <c r="K17371" s="398"/>
      <c r="L17371" s="398"/>
      <c r="M17371" s="682"/>
    </row>
    <row r="17372" spans="6:13" hidden="1" x14ac:dyDescent="0.2">
      <c r="F17372" s="494">
        <v>481</v>
      </c>
      <c r="G17372" s="495" t="s">
        <v>4189</v>
      </c>
      <c r="H17372" s="397"/>
      <c r="I17372" s="397"/>
      <c r="J17372" s="750" t="e">
        <f t="shared" si="208"/>
        <v>#DIV/0!</v>
      </c>
      <c r="K17372" s="398"/>
      <c r="L17372" s="398"/>
      <c r="M17372" s="682"/>
    </row>
    <row r="17373" spans="6:13" hidden="1" x14ac:dyDescent="0.2">
      <c r="F17373" s="494">
        <v>482</v>
      </c>
      <c r="G17373" s="495" t="s">
        <v>4190</v>
      </c>
      <c r="H17373" s="397"/>
      <c r="I17373" s="397"/>
      <c r="J17373" s="750" t="e">
        <f t="shared" si="208"/>
        <v>#DIV/0!</v>
      </c>
      <c r="K17373" s="398"/>
      <c r="L17373" s="398"/>
      <c r="M17373" s="682"/>
    </row>
    <row r="17374" spans="6:13" hidden="1" x14ac:dyDescent="0.2">
      <c r="F17374" s="494">
        <v>483</v>
      </c>
      <c r="G17374" s="497" t="s">
        <v>4191</v>
      </c>
      <c r="H17374" s="397"/>
      <c r="I17374" s="397"/>
      <c r="J17374" s="750" t="e">
        <f t="shared" si="208"/>
        <v>#DIV/0!</v>
      </c>
      <c r="K17374" s="398"/>
      <c r="L17374" s="398"/>
      <c r="M17374" s="682"/>
    </row>
    <row r="17375" spans="6:13" ht="38.25" hidden="1" x14ac:dyDescent="0.2">
      <c r="F17375" s="494">
        <v>484</v>
      </c>
      <c r="G17375" s="495" t="s">
        <v>4192</v>
      </c>
      <c r="H17375" s="397"/>
      <c r="I17375" s="397"/>
      <c r="J17375" s="750" t="e">
        <f t="shared" si="208"/>
        <v>#DIV/0!</v>
      </c>
      <c r="K17375" s="398"/>
      <c r="L17375" s="398"/>
      <c r="M17375" s="682"/>
    </row>
    <row r="17376" spans="6:13" ht="25.5" hidden="1" x14ac:dyDescent="0.2">
      <c r="F17376" s="494">
        <v>485</v>
      </c>
      <c r="G17376" s="495" t="s">
        <v>4193</v>
      </c>
      <c r="H17376" s="397"/>
      <c r="I17376" s="397"/>
      <c r="J17376" s="750" t="e">
        <f t="shared" si="208"/>
        <v>#DIV/0!</v>
      </c>
      <c r="K17376" s="398"/>
      <c r="L17376" s="398"/>
      <c r="M17376" s="682"/>
    </row>
    <row r="17377" spans="6:13" ht="25.5" hidden="1" x14ac:dyDescent="0.2">
      <c r="F17377" s="494">
        <v>489</v>
      </c>
      <c r="G17377" s="495" t="s">
        <v>3821</v>
      </c>
      <c r="H17377" s="397"/>
      <c r="I17377" s="397"/>
      <c r="J17377" s="750" t="e">
        <f t="shared" si="208"/>
        <v>#DIV/0!</v>
      </c>
      <c r="K17377" s="398"/>
      <c r="L17377" s="398"/>
      <c r="M17377" s="682"/>
    </row>
    <row r="17378" spans="6:13" ht="25.5" hidden="1" x14ac:dyDescent="0.2">
      <c r="F17378" s="494">
        <v>494</v>
      </c>
      <c r="G17378" s="495" t="s">
        <v>4171</v>
      </c>
      <c r="H17378" s="397"/>
      <c r="I17378" s="397"/>
      <c r="J17378" s="750" t="e">
        <f t="shared" si="208"/>
        <v>#DIV/0!</v>
      </c>
      <c r="K17378" s="398"/>
      <c r="L17378" s="398"/>
      <c r="M17378" s="682"/>
    </row>
    <row r="17379" spans="6:13" ht="25.5" hidden="1" x14ac:dyDescent="0.2">
      <c r="F17379" s="494">
        <v>495</v>
      </c>
      <c r="G17379" s="495" t="s">
        <v>4172</v>
      </c>
      <c r="H17379" s="397"/>
      <c r="I17379" s="397"/>
      <c r="J17379" s="750" t="e">
        <f t="shared" si="208"/>
        <v>#DIV/0!</v>
      </c>
      <c r="K17379" s="398"/>
      <c r="L17379" s="398"/>
      <c r="M17379" s="682"/>
    </row>
    <row r="17380" spans="6:13" ht="38.25" hidden="1" x14ac:dyDescent="0.2">
      <c r="F17380" s="494">
        <v>496</v>
      </c>
      <c r="G17380" s="495" t="s">
        <v>4173</v>
      </c>
      <c r="H17380" s="397"/>
      <c r="I17380" s="397"/>
      <c r="J17380" s="750" t="e">
        <f t="shared" si="208"/>
        <v>#DIV/0!</v>
      </c>
      <c r="K17380" s="398"/>
      <c r="L17380" s="398"/>
      <c r="M17380" s="682"/>
    </row>
    <row r="17381" spans="6:13" ht="25.5" hidden="1" x14ac:dyDescent="0.2">
      <c r="F17381" s="494">
        <v>499</v>
      </c>
      <c r="G17381" s="495" t="s">
        <v>4174</v>
      </c>
      <c r="H17381" s="397"/>
      <c r="I17381" s="397"/>
      <c r="J17381" s="750" t="e">
        <f t="shared" si="208"/>
        <v>#DIV/0!</v>
      </c>
      <c r="K17381" s="398"/>
      <c r="L17381" s="398"/>
      <c r="M17381" s="682"/>
    </row>
    <row r="17382" spans="6:13" hidden="1" x14ac:dyDescent="0.2">
      <c r="F17382" s="494">
        <v>511</v>
      </c>
      <c r="G17382" s="497" t="s">
        <v>4194</v>
      </c>
      <c r="H17382" s="397"/>
      <c r="I17382" s="397"/>
      <c r="J17382" s="750" t="e">
        <f t="shared" si="208"/>
        <v>#DIV/0!</v>
      </c>
      <c r="K17382" s="398"/>
      <c r="L17382" s="398"/>
      <c r="M17382" s="682"/>
    </row>
    <row r="17383" spans="6:13" hidden="1" x14ac:dyDescent="0.2">
      <c r="F17383" s="494">
        <v>512</v>
      </c>
      <c r="G17383" s="497" t="s">
        <v>4195</v>
      </c>
      <c r="H17383" s="397"/>
      <c r="I17383" s="397"/>
      <c r="J17383" s="750" t="e">
        <f t="shared" si="208"/>
        <v>#DIV/0!</v>
      </c>
      <c r="K17383" s="398"/>
      <c r="L17383" s="398"/>
      <c r="M17383" s="682"/>
    </row>
    <row r="17384" spans="6:13" hidden="1" x14ac:dyDescent="0.2">
      <c r="F17384" s="494">
        <v>513</v>
      </c>
      <c r="G17384" s="497" t="s">
        <v>4196</v>
      </c>
      <c r="H17384" s="397"/>
      <c r="I17384" s="397"/>
      <c r="J17384" s="750" t="e">
        <f t="shared" si="208"/>
        <v>#DIV/0!</v>
      </c>
      <c r="K17384" s="398"/>
      <c r="L17384" s="398"/>
      <c r="M17384" s="682"/>
    </row>
    <row r="17385" spans="6:13" hidden="1" x14ac:dyDescent="0.2">
      <c r="F17385" s="494">
        <v>514</v>
      </c>
      <c r="G17385" s="495" t="s">
        <v>4197</v>
      </c>
      <c r="H17385" s="397"/>
      <c r="I17385" s="397"/>
      <c r="J17385" s="750" t="e">
        <f t="shared" si="208"/>
        <v>#DIV/0!</v>
      </c>
      <c r="K17385" s="398"/>
      <c r="L17385" s="398"/>
      <c r="M17385" s="682"/>
    </row>
    <row r="17386" spans="6:13" hidden="1" x14ac:dyDescent="0.2">
      <c r="F17386" s="494">
        <v>515</v>
      </c>
      <c r="G17386" s="495" t="s">
        <v>3832</v>
      </c>
      <c r="H17386" s="397"/>
      <c r="I17386" s="397"/>
      <c r="J17386" s="750" t="e">
        <f t="shared" si="208"/>
        <v>#DIV/0!</v>
      </c>
      <c r="K17386" s="398"/>
      <c r="L17386" s="398"/>
      <c r="M17386" s="682"/>
    </row>
    <row r="17387" spans="6:13" hidden="1" x14ac:dyDescent="0.2">
      <c r="F17387" s="494">
        <v>521</v>
      </c>
      <c r="G17387" s="495" t="s">
        <v>4198</v>
      </c>
      <c r="H17387" s="397"/>
      <c r="I17387" s="397"/>
      <c r="J17387" s="750" t="e">
        <f t="shared" si="208"/>
        <v>#DIV/0!</v>
      </c>
      <c r="K17387" s="398"/>
      <c r="L17387" s="398"/>
      <c r="M17387" s="682"/>
    </row>
    <row r="17388" spans="6:13" hidden="1" x14ac:dyDescent="0.2">
      <c r="F17388" s="494">
        <v>522</v>
      </c>
      <c r="G17388" s="495" t="s">
        <v>4199</v>
      </c>
      <c r="H17388" s="397"/>
      <c r="I17388" s="397"/>
      <c r="J17388" s="750" t="e">
        <f t="shared" si="208"/>
        <v>#DIV/0!</v>
      </c>
      <c r="K17388" s="398"/>
      <c r="L17388" s="398"/>
      <c r="M17388" s="682"/>
    </row>
    <row r="17389" spans="6:13" hidden="1" x14ac:dyDescent="0.2">
      <c r="F17389" s="494">
        <v>523</v>
      </c>
      <c r="G17389" s="495" t="s">
        <v>3837</v>
      </c>
      <c r="H17389" s="397"/>
      <c r="I17389" s="397"/>
      <c r="J17389" s="750" t="e">
        <f t="shared" si="208"/>
        <v>#DIV/0!</v>
      </c>
      <c r="K17389" s="398"/>
      <c r="L17389" s="398"/>
      <c r="M17389" s="682"/>
    </row>
    <row r="17390" spans="6:13" hidden="1" x14ac:dyDescent="0.2">
      <c r="F17390" s="494">
        <v>531</v>
      </c>
      <c r="G17390" s="496" t="s">
        <v>4175</v>
      </c>
      <c r="H17390" s="397"/>
      <c r="I17390" s="397"/>
      <c r="J17390" s="750" t="e">
        <f t="shared" si="208"/>
        <v>#DIV/0!</v>
      </c>
      <c r="K17390" s="398"/>
      <c r="L17390" s="398"/>
      <c r="M17390" s="682"/>
    </row>
    <row r="17391" spans="6:13" hidden="1" x14ac:dyDescent="0.2">
      <c r="F17391" s="494">
        <v>541</v>
      </c>
      <c r="G17391" s="495" t="s">
        <v>4200</v>
      </c>
      <c r="H17391" s="397"/>
      <c r="I17391" s="397"/>
      <c r="J17391" s="750" t="e">
        <f t="shared" si="208"/>
        <v>#DIV/0!</v>
      </c>
      <c r="K17391" s="398"/>
      <c r="L17391" s="398"/>
      <c r="M17391" s="682"/>
    </row>
    <row r="17392" spans="6:13" hidden="1" x14ac:dyDescent="0.2">
      <c r="F17392" s="494">
        <v>542</v>
      </c>
      <c r="G17392" s="495" t="s">
        <v>4201</v>
      </c>
      <c r="H17392" s="397"/>
      <c r="I17392" s="397"/>
      <c r="J17392" s="750" t="e">
        <f t="shared" si="208"/>
        <v>#DIV/0!</v>
      </c>
      <c r="K17392" s="398"/>
      <c r="L17392" s="398"/>
      <c r="M17392" s="682"/>
    </row>
    <row r="17393" spans="5:13" hidden="1" x14ac:dyDescent="0.2">
      <c r="F17393" s="494">
        <v>543</v>
      </c>
      <c r="G17393" s="495" t="s">
        <v>3842</v>
      </c>
      <c r="H17393" s="397"/>
      <c r="I17393" s="397"/>
      <c r="J17393" s="750" t="e">
        <f t="shared" si="208"/>
        <v>#DIV/0!</v>
      </c>
      <c r="K17393" s="398"/>
      <c r="L17393" s="398"/>
      <c r="M17393" s="682"/>
    </row>
    <row r="17394" spans="5:13" ht="38.25" hidden="1" x14ac:dyDescent="0.2">
      <c r="F17394" s="494">
        <v>551</v>
      </c>
      <c r="G17394" s="495" t="s">
        <v>4176</v>
      </c>
      <c r="H17394" s="397"/>
      <c r="I17394" s="397"/>
      <c r="J17394" s="750" t="e">
        <f t="shared" si="208"/>
        <v>#DIV/0!</v>
      </c>
      <c r="K17394" s="398"/>
      <c r="L17394" s="398"/>
      <c r="M17394" s="682"/>
    </row>
    <row r="17395" spans="5:13" hidden="1" x14ac:dyDescent="0.2">
      <c r="F17395" s="498">
        <v>611</v>
      </c>
      <c r="G17395" s="499" t="s">
        <v>3848</v>
      </c>
      <c r="H17395" s="397"/>
      <c r="I17395" s="397"/>
      <c r="J17395" s="750" t="e">
        <f t="shared" si="208"/>
        <v>#DIV/0!</v>
      </c>
      <c r="K17395" s="398"/>
      <c r="L17395" s="398"/>
      <c r="M17395" s="682"/>
    </row>
    <row r="17396" spans="5:13" hidden="1" x14ac:dyDescent="0.2">
      <c r="F17396" s="498">
        <v>620</v>
      </c>
      <c r="G17396" s="499" t="s">
        <v>88</v>
      </c>
      <c r="H17396" s="397"/>
      <c r="I17396" s="397"/>
      <c r="J17396" s="750" t="e">
        <f t="shared" si="208"/>
        <v>#DIV/0!</v>
      </c>
      <c r="K17396" s="398"/>
      <c r="L17396" s="398"/>
      <c r="M17396" s="682"/>
    </row>
    <row r="17397" spans="5:13" hidden="1" x14ac:dyDescent="0.2">
      <c r="E17397" s="500"/>
      <c r="F17397" s="498"/>
      <c r="G17397" s="509" t="s">
        <v>4364</v>
      </c>
      <c r="H17397" s="400"/>
      <c r="I17397" s="400"/>
      <c r="J17397" s="750" t="e">
        <f t="shared" si="208"/>
        <v>#DIV/0!</v>
      </c>
      <c r="K17397" s="401"/>
      <c r="L17397" s="402"/>
      <c r="M17397" s="682"/>
    </row>
    <row r="17398" spans="5:13" hidden="1" x14ac:dyDescent="0.2">
      <c r="E17398" s="502"/>
      <c r="F17398" s="503" t="s">
        <v>234</v>
      </c>
      <c r="G17398" s="504" t="s">
        <v>235</v>
      </c>
      <c r="H17398" s="403">
        <f>SUM(H17337:H17396)</f>
        <v>0</v>
      </c>
      <c r="I17398" s="403"/>
      <c r="J17398" s="750" t="e">
        <f t="shared" si="208"/>
        <v>#DIV/0!</v>
      </c>
      <c r="K17398" s="404"/>
      <c r="L17398" s="404"/>
      <c r="M17398" s="682"/>
    </row>
    <row r="17399" spans="5:13" hidden="1" x14ac:dyDescent="0.2">
      <c r="F17399" s="503" t="s">
        <v>236</v>
      </c>
      <c r="G17399" s="504" t="s">
        <v>237</v>
      </c>
      <c r="H17399" s="397"/>
      <c r="I17399" s="397"/>
      <c r="J17399" s="750" t="e">
        <f t="shared" si="208"/>
        <v>#DIV/0!</v>
      </c>
      <c r="K17399" s="398"/>
      <c r="L17399" s="404"/>
      <c r="M17399" s="682"/>
    </row>
    <row r="17400" spans="5:13" hidden="1" x14ac:dyDescent="0.2">
      <c r="F17400" s="503" t="s">
        <v>238</v>
      </c>
      <c r="G17400" s="504" t="s">
        <v>239</v>
      </c>
      <c r="H17400" s="397"/>
      <c r="I17400" s="397"/>
      <c r="J17400" s="750" t="e">
        <f t="shared" si="208"/>
        <v>#DIV/0!</v>
      </c>
      <c r="K17400" s="398"/>
      <c r="L17400" s="404"/>
      <c r="M17400" s="682"/>
    </row>
    <row r="17401" spans="5:13" hidden="1" x14ac:dyDescent="0.2">
      <c r="F17401" s="503" t="s">
        <v>240</v>
      </c>
      <c r="G17401" s="504" t="s">
        <v>241</v>
      </c>
      <c r="H17401" s="397"/>
      <c r="I17401" s="397"/>
      <c r="J17401" s="750" t="e">
        <f t="shared" si="208"/>
        <v>#DIV/0!</v>
      </c>
      <c r="K17401" s="398"/>
      <c r="L17401" s="404"/>
      <c r="M17401" s="682"/>
    </row>
    <row r="17402" spans="5:13" hidden="1" x14ac:dyDescent="0.2">
      <c r="F17402" s="503" t="s">
        <v>242</v>
      </c>
      <c r="G17402" s="504" t="s">
        <v>243</v>
      </c>
      <c r="H17402" s="397"/>
      <c r="I17402" s="397"/>
      <c r="J17402" s="750" t="e">
        <f t="shared" si="208"/>
        <v>#DIV/0!</v>
      </c>
      <c r="K17402" s="398"/>
      <c r="L17402" s="404"/>
      <c r="M17402" s="682"/>
    </row>
    <row r="17403" spans="5:13" hidden="1" x14ac:dyDescent="0.2">
      <c r="F17403" s="503" t="s">
        <v>244</v>
      </c>
      <c r="G17403" s="504" t="s">
        <v>245</v>
      </c>
      <c r="H17403" s="397"/>
      <c r="I17403" s="397"/>
      <c r="J17403" s="750" t="e">
        <f t="shared" si="208"/>
        <v>#DIV/0!</v>
      </c>
      <c r="K17403" s="398"/>
      <c r="L17403" s="404"/>
      <c r="M17403" s="682"/>
    </row>
    <row r="17404" spans="5:13" hidden="1" x14ac:dyDescent="0.2">
      <c r="F17404" s="503" t="s">
        <v>246</v>
      </c>
      <c r="G17404" s="504" t="s">
        <v>247</v>
      </c>
      <c r="H17404" s="397"/>
      <c r="I17404" s="397"/>
      <c r="J17404" s="750" t="e">
        <f t="shared" si="208"/>
        <v>#DIV/0!</v>
      </c>
      <c r="K17404" s="398"/>
      <c r="L17404" s="404"/>
      <c r="M17404" s="682"/>
    </row>
    <row r="17405" spans="5:13" ht="25.5" hidden="1" x14ac:dyDescent="0.2">
      <c r="F17405" s="503" t="s">
        <v>248</v>
      </c>
      <c r="G17405" s="504" t="s">
        <v>249</v>
      </c>
      <c r="H17405" s="397"/>
      <c r="I17405" s="397"/>
      <c r="J17405" s="750" t="e">
        <f t="shared" si="208"/>
        <v>#DIV/0!</v>
      </c>
      <c r="K17405" s="398"/>
      <c r="L17405" s="404"/>
      <c r="M17405" s="682"/>
    </row>
    <row r="17406" spans="5:13" hidden="1" x14ac:dyDescent="0.2">
      <c r="F17406" s="503" t="s">
        <v>250</v>
      </c>
      <c r="G17406" s="504" t="s">
        <v>57</v>
      </c>
      <c r="H17406" s="397"/>
      <c r="I17406" s="397"/>
      <c r="J17406" s="750" t="e">
        <f t="shared" si="208"/>
        <v>#DIV/0!</v>
      </c>
      <c r="K17406" s="398"/>
      <c r="L17406" s="404"/>
      <c r="M17406" s="682"/>
    </row>
    <row r="17407" spans="5:13" hidden="1" x14ac:dyDescent="0.2">
      <c r="F17407" s="503" t="s">
        <v>251</v>
      </c>
      <c r="G17407" s="504" t="s">
        <v>252</v>
      </c>
      <c r="H17407" s="397"/>
      <c r="I17407" s="397"/>
      <c r="J17407" s="750" t="e">
        <f t="shared" si="208"/>
        <v>#DIV/0!</v>
      </c>
      <c r="K17407" s="398"/>
      <c r="L17407" s="404"/>
      <c r="M17407" s="682"/>
    </row>
    <row r="17408" spans="5:13" hidden="1" x14ac:dyDescent="0.2">
      <c r="F17408" s="503" t="s">
        <v>253</v>
      </c>
      <c r="G17408" s="504" t="s">
        <v>254</v>
      </c>
      <c r="H17408" s="397"/>
      <c r="I17408" s="397"/>
      <c r="J17408" s="750" t="e">
        <f t="shared" si="208"/>
        <v>#DIV/0!</v>
      </c>
      <c r="K17408" s="398"/>
      <c r="L17408" s="404"/>
      <c r="M17408" s="682"/>
    </row>
    <row r="17409" spans="5:13" ht="25.5" hidden="1" x14ac:dyDescent="0.2">
      <c r="F17409" s="503" t="s">
        <v>255</v>
      </c>
      <c r="G17409" s="504" t="s">
        <v>256</v>
      </c>
      <c r="H17409" s="397"/>
      <c r="I17409" s="397"/>
      <c r="J17409" s="750" t="e">
        <f t="shared" si="208"/>
        <v>#DIV/0!</v>
      </c>
      <c r="K17409" s="398"/>
      <c r="L17409" s="404"/>
      <c r="M17409" s="682"/>
    </row>
    <row r="17410" spans="5:13" ht="25.5" hidden="1" x14ac:dyDescent="0.2">
      <c r="F17410" s="503" t="s">
        <v>257</v>
      </c>
      <c r="G17410" s="504" t="s">
        <v>258</v>
      </c>
      <c r="H17410" s="397"/>
      <c r="I17410" s="397"/>
      <c r="J17410" s="750" t="e">
        <f t="shared" si="208"/>
        <v>#DIV/0!</v>
      </c>
      <c r="K17410" s="398"/>
      <c r="L17410" s="404"/>
      <c r="M17410" s="682"/>
    </row>
    <row r="17411" spans="5:13" ht="25.5" hidden="1" x14ac:dyDescent="0.2">
      <c r="F17411" s="503" t="s">
        <v>259</v>
      </c>
      <c r="G17411" s="504" t="s">
        <v>260</v>
      </c>
      <c r="H17411" s="397"/>
      <c r="I17411" s="397"/>
      <c r="J17411" s="750" t="e">
        <f t="shared" si="208"/>
        <v>#DIV/0!</v>
      </c>
      <c r="K17411" s="398"/>
      <c r="L17411" s="404"/>
      <c r="M17411" s="682"/>
    </row>
    <row r="17412" spans="5:13" ht="25.5" hidden="1" x14ac:dyDescent="0.2">
      <c r="F17412" s="503" t="s">
        <v>261</v>
      </c>
      <c r="G17412" s="504" t="s">
        <v>262</v>
      </c>
      <c r="H17412" s="397"/>
      <c r="I17412" s="397"/>
      <c r="J17412" s="750" t="e">
        <f t="shared" si="208"/>
        <v>#DIV/0!</v>
      </c>
      <c r="K17412" s="398"/>
      <c r="L17412" s="404"/>
      <c r="M17412" s="682"/>
    </row>
    <row r="17413" spans="5:13" hidden="1" x14ac:dyDescent="0.2">
      <c r="F17413" s="503" t="s">
        <v>263</v>
      </c>
      <c r="G17413" s="504" t="s">
        <v>264</v>
      </c>
      <c r="H17413" s="403"/>
      <c r="I17413" s="403"/>
      <c r="J17413" s="750" t="e">
        <f t="shared" si="208"/>
        <v>#DIV/0!</v>
      </c>
      <c r="K17413" s="404"/>
      <c r="L17413" s="404"/>
      <c r="M17413" s="682"/>
    </row>
    <row r="17414" spans="5:13" ht="13.5" hidden="1" thickBot="1" x14ac:dyDescent="0.25">
      <c r="G17414" s="505" t="s">
        <v>4365</v>
      </c>
      <c r="H17414" s="405">
        <f>SUM(H17398:H17413)</f>
        <v>0</v>
      </c>
      <c r="I17414" s="405"/>
      <c r="J17414" s="750" t="e">
        <f t="shared" si="208"/>
        <v>#DIV/0!</v>
      </c>
      <c r="K17414" s="406">
        <f>SUM(K17399:K17413)</f>
        <v>0</v>
      </c>
      <c r="L17414" s="406"/>
      <c r="M17414" s="682"/>
    </row>
    <row r="17415" spans="5:13" ht="25.5" hidden="1" collapsed="1" x14ac:dyDescent="0.2">
      <c r="E17415" s="500"/>
      <c r="F17415" s="498"/>
      <c r="G17415" s="506" t="s">
        <v>4327</v>
      </c>
      <c r="H17415" s="407"/>
      <c r="I17415" s="408"/>
      <c r="J17415" s="750" t="e">
        <f t="shared" si="208"/>
        <v>#DIV/0!</v>
      </c>
      <c r="K17415" s="409"/>
      <c r="L17415" s="410"/>
      <c r="M17415" s="682"/>
    </row>
    <row r="17416" spans="5:13" hidden="1" x14ac:dyDescent="0.2">
      <c r="E17416" s="502"/>
      <c r="F17416" s="503" t="s">
        <v>234</v>
      </c>
      <c r="G17416" s="504" t="s">
        <v>235</v>
      </c>
      <c r="H17416" s="403">
        <f>SUM(H17337:H17396)</f>
        <v>0</v>
      </c>
      <c r="I17416" s="403"/>
      <c r="J17416" s="750" t="e">
        <f t="shared" si="208"/>
        <v>#DIV/0!</v>
      </c>
      <c r="K17416" s="404"/>
      <c r="L17416" s="404"/>
      <c r="M17416" s="682"/>
    </row>
    <row r="17417" spans="5:13" hidden="1" x14ac:dyDescent="0.2">
      <c r="F17417" s="503" t="s">
        <v>236</v>
      </c>
      <c r="G17417" s="504" t="s">
        <v>237</v>
      </c>
      <c r="H17417" s="397"/>
      <c r="I17417" s="397"/>
      <c r="J17417" s="750" t="e">
        <f t="shared" si="208"/>
        <v>#DIV/0!</v>
      </c>
      <c r="K17417" s="398"/>
      <c r="L17417" s="404"/>
      <c r="M17417" s="682"/>
    </row>
    <row r="17418" spans="5:13" hidden="1" x14ac:dyDescent="0.2">
      <c r="F17418" s="503" t="s">
        <v>238</v>
      </c>
      <c r="G17418" s="504" t="s">
        <v>239</v>
      </c>
      <c r="H17418" s="397"/>
      <c r="I17418" s="397"/>
      <c r="J17418" s="750" t="e">
        <f t="shared" si="208"/>
        <v>#DIV/0!</v>
      </c>
      <c r="K17418" s="398"/>
      <c r="L17418" s="404"/>
      <c r="M17418" s="682"/>
    </row>
    <row r="17419" spans="5:13" hidden="1" x14ac:dyDescent="0.2">
      <c r="F17419" s="503" t="s">
        <v>240</v>
      </c>
      <c r="G17419" s="504" t="s">
        <v>241</v>
      </c>
      <c r="H17419" s="397"/>
      <c r="I17419" s="397"/>
      <c r="J17419" s="750" t="e">
        <f t="shared" si="208"/>
        <v>#DIV/0!</v>
      </c>
      <c r="K17419" s="398"/>
      <c r="L17419" s="404"/>
      <c r="M17419" s="682"/>
    </row>
    <row r="17420" spans="5:13" hidden="1" x14ac:dyDescent="0.2">
      <c r="F17420" s="503" t="s">
        <v>242</v>
      </c>
      <c r="G17420" s="504" t="s">
        <v>243</v>
      </c>
      <c r="H17420" s="397"/>
      <c r="I17420" s="397"/>
      <c r="J17420" s="750" t="e">
        <f t="shared" si="208"/>
        <v>#DIV/0!</v>
      </c>
      <c r="K17420" s="398"/>
      <c r="L17420" s="404"/>
      <c r="M17420" s="682"/>
    </row>
    <row r="17421" spans="5:13" hidden="1" x14ac:dyDescent="0.2">
      <c r="F17421" s="503" t="s">
        <v>244</v>
      </c>
      <c r="G17421" s="504" t="s">
        <v>245</v>
      </c>
      <c r="H17421" s="397"/>
      <c r="I17421" s="397"/>
      <c r="J17421" s="750" t="e">
        <f t="shared" si="208"/>
        <v>#DIV/0!</v>
      </c>
      <c r="K17421" s="398"/>
      <c r="L17421" s="404"/>
      <c r="M17421" s="682"/>
    </row>
    <row r="17422" spans="5:13" hidden="1" x14ac:dyDescent="0.2">
      <c r="F17422" s="503" t="s">
        <v>246</v>
      </c>
      <c r="G17422" s="504" t="s">
        <v>247</v>
      </c>
      <c r="H17422" s="397"/>
      <c r="I17422" s="397"/>
      <c r="J17422" s="750" t="e">
        <f t="shared" ref="J17422:J17485" si="209">SUM(I17422/H17422)*100</f>
        <v>#DIV/0!</v>
      </c>
      <c r="K17422" s="398"/>
      <c r="L17422" s="404"/>
      <c r="M17422" s="682"/>
    </row>
    <row r="17423" spans="5:13" ht="25.5" hidden="1" x14ac:dyDescent="0.2">
      <c r="F17423" s="503" t="s">
        <v>248</v>
      </c>
      <c r="G17423" s="504" t="s">
        <v>249</v>
      </c>
      <c r="H17423" s="397"/>
      <c r="I17423" s="397"/>
      <c r="J17423" s="750" t="e">
        <f t="shared" si="209"/>
        <v>#DIV/0!</v>
      </c>
      <c r="K17423" s="398"/>
      <c r="L17423" s="404"/>
      <c r="M17423" s="682"/>
    </row>
    <row r="17424" spans="5:13" hidden="1" x14ac:dyDescent="0.2">
      <c r="F17424" s="503" t="s">
        <v>250</v>
      </c>
      <c r="G17424" s="504" t="s">
        <v>57</v>
      </c>
      <c r="H17424" s="397"/>
      <c r="I17424" s="397"/>
      <c r="J17424" s="750" t="e">
        <f t="shared" si="209"/>
        <v>#DIV/0!</v>
      </c>
      <c r="K17424" s="398"/>
      <c r="L17424" s="404"/>
      <c r="M17424" s="682"/>
    </row>
    <row r="17425" spans="1:27" hidden="1" x14ac:dyDescent="0.2">
      <c r="F17425" s="503" t="s">
        <v>251</v>
      </c>
      <c r="G17425" s="504" t="s">
        <v>252</v>
      </c>
      <c r="H17425" s="397"/>
      <c r="I17425" s="397"/>
      <c r="J17425" s="750" t="e">
        <f t="shared" si="209"/>
        <v>#DIV/0!</v>
      </c>
      <c r="K17425" s="398"/>
      <c r="L17425" s="404"/>
      <c r="M17425" s="682"/>
    </row>
    <row r="17426" spans="1:27" hidden="1" x14ac:dyDescent="0.2">
      <c r="F17426" s="503" t="s">
        <v>253</v>
      </c>
      <c r="G17426" s="504" t="s">
        <v>254</v>
      </c>
      <c r="H17426" s="397"/>
      <c r="I17426" s="397"/>
      <c r="J17426" s="750" t="e">
        <f t="shared" si="209"/>
        <v>#DIV/0!</v>
      </c>
      <c r="K17426" s="398"/>
      <c r="L17426" s="404"/>
      <c r="M17426" s="682"/>
    </row>
    <row r="17427" spans="1:27" ht="25.5" hidden="1" x14ac:dyDescent="0.2">
      <c r="F17427" s="503" t="s">
        <v>255</v>
      </c>
      <c r="G17427" s="504" t="s">
        <v>256</v>
      </c>
      <c r="H17427" s="397"/>
      <c r="I17427" s="397"/>
      <c r="J17427" s="750" t="e">
        <f t="shared" si="209"/>
        <v>#DIV/0!</v>
      </c>
      <c r="K17427" s="398"/>
      <c r="L17427" s="404"/>
      <c r="M17427" s="682"/>
    </row>
    <row r="17428" spans="1:27" ht="25.5" hidden="1" x14ac:dyDescent="0.2">
      <c r="F17428" s="503" t="s">
        <v>257</v>
      </c>
      <c r="G17428" s="504" t="s">
        <v>258</v>
      </c>
      <c r="H17428" s="397"/>
      <c r="I17428" s="397"/>
      <c r="J17428" s="750" t="e">
        <f t="shared" si="209"/>
        <v>#DIV/0!</v>
      </c>
      <c r="K17428" s="398"/>
      <c r="L17428" s="404"/>
      <c r="M17428" s="682"/>
    </row>
    <row r="17429" spans="1:27" ht="25.5" hidden="1" x14ac:dyDescent="0.2">
      <c r="F17429" s="503" t="s">
        <v>259</v>
      </c>
      <c r="G17429" s="504" t="s">
        <v>260</v>
      </c>
      <c r="H17429" s="397"/>
      <c r="I17429" s="397"/>
      <c r="J17429" s="750" t="e">
        <f t="shared" si="209"/>
        <v>#DIV/0!</v>
      </c>
      <c r="K17429" s="398"/>
      <c r="L17429" s="404"/>
      <c r="M17429" s="682"/>
    </row>
    <row r="17430" spans="1:27" ht="25.5" hidden="1" x14ac:dyDescent="0.2">
      <c r="F17430" s="503" t="s">
        <v>261</v>
      </c>
      <c r="G17430" s="504" t="s">
        <v>262</v>
      </c>
      <c r="H17430" s="397"/>
      <c r="I17430" s="397"/>
      <c r="J17430" s="750" t="e">
        <f t="shared" si="209"/>
        <v>#DIV/0!</v>
      </c>
      <c r="K17430" s="398"/>
      <c r="L17430" s="404"/>
      <c r="M17430" s="682"/>
    </row>
    <row r="17431" spans="1:27" hidden="1" x14ac:dyDescent="0.2">
      <c r="F17431" s="503" t="s">
        <v>263</v>
      </c>
      <c r="G17431" s="504" t="s">
        <v>264</v>
      </c>
      <c r="H17431" s="403"/>
      <c r="I17431" s="403"/>
      <c r="J17431" s="750" t="e">
        <f t="shared" si="209"/>
        <v>#DIV/0!</v>
      </c>
      <c r="K17431" s="404"/>
      <c r="L17431" s="404"/>
      <c r="M17431" s="682"/>
    </row>
    <row r="17432" spans="1:27" ht="13.5" hidden="1" collapsed="1" thickBot="1" x14ac:dyDescent="0.25">
      <c r="G17432" s="505" t="s">
        <v>4328</v>
      </c>
      <c r="H17432" s="405">
        <f>SUM(H17416:H17431)</f>
        <v>0</v>
      </c>
      <c r="I17432" s="405"/>
      <c r="J17432" s="750" t="e">
        <f t="shared" si="209"/>
        <v>#DIV/0!</v>
      </c>
      <c r="K17432" s="406">
        <f>SUM(K17417:K17431)</f>
        <v>0</v>
      </c>
      <c r="L17432" s="406"/>
      <c r="M17432" s="682"/>
    </row>
    <row r="17433" spans="1:27" s="530" customFormat="1" hidden="1" x14ac:dyDescent="0.2">
      <c r="A17433" s="526"/>
      <c r="B17433" s="527"/>
      <c r="C17433" s="528"/>
      <c r="G17433" s="570"/>
      <c r="H17433" s="425"/>
      <c r="I17433" s="425"/>
      <c r="J17433" s="750" t="e">
        <f t="shared" si="209"/>
        <v>#DIV/0!</v>
      </c>
      <c r="K17433" s="243"/>
      <c r="L17433" s="243"/>
      <c r="M17433" s="682"/>
      <c r="N17433" s="171"/>
      <c r="O17433" s="171"/>
      <c r="P17433" s="171"/>
      <c r="Q17433" s="171"/>
      <c r="R17433" s="171"/>
      <c r="S17433" s="171"/>
      <c r="T17433" s="171"/>
      <c r="U17433" s="171"/>
      <c r="V17433" s="171"/>
      <c r="W17433" s="171"/>
      <c r="X17433" s="171"/>
      <c r="Y17433" s="171"/>
      <c r="Z17433" s="171"/>
      <c r="AA17433" s="171"/>
    </row>
    <row r="17434" spans="1:27" hidden="1" x14ac:dyDescent="0.2">
      <c r="C17434" s="489" t="s">
        <v>4116</v>
      </c>
      <c r="D17434" s="490"/>
      <c r="G17434" s="491" t="s">
        <v>4117</v>
      </c>
      <c r="H17434" s="397"/>
      <c r="I17434" s="397"/>
      <c r="J17434" s="750" t="e">
        <f t="shared" si="209"/>
        <v>#DIV/0!</v>
      </c>
      <c r="K17434" s="398"/>
      <c r="L17434" s="398"/>
      <c r="M17434" s="682"/>
    </row>
    <row r="17435" spans="1:27" s="530" customFormat="1" ht="25.5" hidden="1" x14ac:dyDescent="0.2">
      <c r="A17435" s="526"/>
      <c r="B17435" s="527"/>
      <c r="C17435" s="534"/>
      <c r="D17435" s="571" t="s">
        <v>3888</v>
      </c>
      <c r="E17435" s="183"/>
      <c r="F17435" s="183"/>
      <c r="G17435" s="514" t="s">
        <v>103</v>
      </c>
      <c r="H17435" s="422"/>
      <c r="I17435" s="422"/>
      <c r="J17435" s="750" t="e">
        <f t="shared" si="209"/>
        <v>#DIV/0!</v>
      </c>
      <c r="K17435" s="423"/>
      <c r="L17435" s="424"/>
      <c r="M17435" s="682"/>
      <c r="N17435" s="171"/>
      <c r="O17435" s="171"/>
      <c r="P17435" s="171"/>
      <c r="Q17435" s="171"/>
      <c r="R17435" s="171"/>
      <c r="S17435" s="171"/>
      <c r="T17435" s="171"/>
      <c r="U17435" s="171"/>
      <c r="V17435" s="171"/>
      <c r="W17435" s="171"/>
      <c r="X17435" s="171"/>
      <c r="Y17435" s="171"/>
      <c r="Z17435" s="171"/>
      <c r="AA17435" s="171"/>
    </row>
    <row r="17436" spans="1:27" hidden="1" x14ac:dyDescent="0.2">
      <c r="F17436" s="494">
        <v>411</v>
      </c>
      <c r="G17436" s="495" t="s">
        <v>4167</v>
      </c>
      <c r="H17436" s="397"/>
      <c r="I17436" s="397"/>
      <c r="J17436" s="750" t="e">
        <f t="shared" si="209"/>
        <v>#DIV/0!</v>
      </c>
      <c r="K17436" s="398"/>
      <c r="L17436" s="398"/>
      <c r="M17436" s="682"/>
    </row>
    <row r="17437" spans="1:27" hidden="1" x14ac:dyDescent="0.2">
      <c r="F17437" s="494">
        <v>412</v>
      </c>
      <c r="G17437" s="496" t="s">
        <v>3764</v>
      </c>
      <c r="H17437" s="397"/>
      <c r="I17437" s="397"/>
      <c r="J17437" s="750" t="e">
        <f t="shared" si="209"/>
        <v>#DIV/0!</v>
      </c>
      <c r="K17437" s="398"/>
      <c r="L17437" s="398"/>
      <c r="M17437" s="682"/>
    </row>
    <row r="17438" spans="1:27" hidden="1" x14ac:dyDescent="0.2">
      <c r="F17438" s="494">
        <v>413</v>
      </c>
      <c r="G17438" s="495" t="s">
        <v>4168</v>
      </c>
      <c r="H17438" s="397"/>
      <c r="I17438" s="397"/>
      <c r="J17438" s="750" t="e">
        <f t="shared" si="209"/>
        <v>#DIV/0!</v>
      </c>
      <c r="K17438" s="398"/>
      <c r="L17438" s="398"/>
      <c r="M17438" s="682"/>
    </row>
    <row r="17439" spans="1:27" hidden="1" x14ac:dyDescent="0.2">
      <c r="F17439" s="494">
        <v>414</v>
      </c>
      <c r="G17439" s="495" t="s">
        <v>3767</v>
      </c>
      <c r="H17439" s="397"/>
      <c r="I17439" s="397"/>
      <c r="J17439" s="750" t="e">
        <f t="shared" si="209"/>
        <v>#DIV/0!</v>
      </c>
      <c r="K17439" s="398"/>
      <c r="L17439" s="398"/>
      <c r="M17439" s="682"/>
    </row>
    <row r="17440" spans="1:27" hidden="1" x14ac:dyDescent="0.2">
      <c r="F17440" s="494">
        <v>415</v>
      </c>
      <c r="G17440" s="495" t="s">
        <v>4177</v>
      </c>
      <c r="H17440" s="397"/>
      <c r="I17440" s="397"/>
      <c r="J17440" s="750" t="e">
        <f t="shared" si="209"/>
        <v>#DIV/0!</v>
      </c>
      <c r="K17440" s="398"/>
      <c r="L17440" s="398"/>
      <c r="M17440" s="682"/>
    </row>
    <row r="17441" spans="6:13" ht="25.5" hidden="1" x14ac:dyDescent="0.2">
      <c r="F17441" s="494">
        <v>416</v>
      </c>
      <c r="G17441" s="495" t="s">
        <v>4178</v>
      </c>
      <c r="H17441" s="397"/>
      <c r="I17441" s="397"/>
      <c r="J17441" s="750" t="e">
        <f t="shared" si="209"/>
        <v>#DIV/0!</v>
      </c>
      <c r="K17441" s="398"/>
      <c r="L17441" s="398"/>
      <c r="M17441" s="682"/>
    </row>
    <row r="17442" spans="6:13" hidden="1" x14ac:dyDescent="0.2">
      <c r="F17442" s="494">
        <v>417</v>
      </c>
      <c r="G17442" s="495" t="s">
        <v>4179</v>
      </c>
      <c r="H17442" s="397"/>
      <c r="I17442" s="397"/>
      <c r="J17442" s="750" t="e">
        <f t="shared" si="209"/>
        <v>#DIV/0!</v>
      </c>
      <c r="K17442" s="398"/>
      <c r="L17442" s="398"/>
      <c r="M17442" s="682"/>
    </row>
    <row r="17443" spans="6:13" hidden="1" x14ac:dyDescent="0.2">
      <c r="F17443" s="494">
        <v>418</v>
      </c>
      <c r="G17443" s="495" t="s">
        <v>3773</v>
      </c>
      <c r="H17443" s="397"/>
      <c r="I17443" s="397"/>
      <c r="J17443" s="750" t="e">
        <f t="shared" si="209"/>
        <v>#DIV/0!</v>
      </c>
      <c r="K17443" s="398"/>
      <c r="L17443" s="398"/>
      <c r="M17443" s="682"/>
    </row>
    <row r="17444" spans="6:13" hidden="1" x14ac:dyDescent="0.2">
      <c r="F17444" s="494">
        <v>421</v>
      </c>
      <c r="G17444" s="495" t="s">
        <v>3777</v>
      </c>
      <c r="H17444" s="397"/>
      <c r="I17444" s="397"/>
      <c r="J17444" s="750" t="e">
        <f t="shared" si="209"/>
        <v>#DIV/0!</v>
      </c>
      <c r="K17444" s="398"/>
      <c r="L17444" s="398"/>
      <c r="M17444" s="682"/>
    </row>
    <row r="17445" spans="6:13" hidden="1" x14ac:dyDescent="0.2">
      <c r="F17445" s="494">
        <v>422</v>
      </c>
      <c r="G17445" s="495" t="s">
        <v>3778</v>
      </c>
      <c r="H17445" s="397"/>
      <c r="I17445" s="397"/>
      <c r="J17445" s="750" t="e">
        <f t="shared" si="209"/>
        <v>#DIV/0!</v>
      </c>
      <c r="K17445" s="398"/>
      <c r="L17445" s="398"/>
      <c r="M17445" s="682"/>
    </row>
    <row r="17446" spans="6:13" hidden="1" x14ac:dyDescent="0.2">
      <c r="F17446" s="494">
        <v>423</v>
      </c>
      <c r="G17446" s="495" t="s">
        <v>3779</v>
      </c>
      <c r="H17446" s="397"/>
      <c r="I17446" s="397"/>
      <c r="J17446" s="750" t="e">
        <f t="shared" si="209"/>
        <v>#DIV/0!</v>
      </c>
      <c r="K17446" s="398"/>
      <c r="L17446" s="398"/>
      <c r="M17446" s="682"/>
    </row>
    <row r="17447" spans="6:13" hidden="1" x14ac:dyDescent="0.2">
      <c r="F17447" s="494">
        <v>424</v>
      </c>
      <c r="G17447" s="495" t="s">
        <v>3781</v>
      </c>
      <c r="H17447" s="397"/>
      <c r="I17447" s="397"/>
      <c r="J17447" s="750" t="e">
        <f t="shared" si="209"/>
        <v>#DIV/0!</v>
      </c>
      <c r="K17447" s="398"/>
      <c r="L17447" s="398"/>
      <c r="M17447" s="682"/>
    </row>
    <row r="17448" spans="6:13" hidden="1" x14ac:dyDescent="0.2">
      <c r="F17448" s="494">
        <v>425</v>
      </c>
      <c r="G17448" s="495" t="s">
        <v>4180</v>
      </c>
      <c r="H17448" s="397"/>
      <c r="I17448" s="397"/>
      <c r="J17448" s="750" t="e">
        <f t="shared" si="209"/>
        <v>#DIV/0!</v>
      </c>
      <c r="K17448" s="398"/>
      <c r="L17448" s="398"/>
      <c r="M17448" s="682"/>
    </row>
    <row r="17449" spans="6:13" hidden="1" x14ac:dyDescent="0.2">
      <c r="F17449" s="494">
        <v>426</v>
      </c>
      <c r="G17449" s="495" t="s">
        <v>3785</v>
      </c>
      <c r="H17449" s="397"/>
      <c r="I17449" s="397"/>
      <c r="J17449" s="750" t="e">
        <f t="shared" si="209"/>
        <v>#DIV/0!</v>
      </c>
      <c r="K17449" s="398"/>
      <c r="L17449" s="398"/>
      <c r="M17449" s="682"/>
    </row>
    <row r="17450" spans="6:13" hidden="1" x14ac:dyDescent="0.2">
      <c r="F17450" s="494">
        <v>431</v>
      </c>
      <c r="G17450" s="495" t="s">
        <v>4181</v>
      </c>
      <c r="H17450" s="397"/>
      <c r="I17450" s="397"/>
      <c r="J17450" s="750" t="e">
        <f t="shared" si="209"/>
        <v>#DIV/0!</v>
      </c>
      <c r="K17450" s="398"/>
      <c r="L17450" s="398"/>
      <c r="M17450" s="682"/>
    </row>
    <row r="17451" spans="6:13" hidden="1" x14ac:dyDescent="0.2">
      <c r="F17451" s="494">
        <v>432</v>
      </c>
      <c r="G17451" s="495" t="s">
        <v>4182</v>
      </c>
      <c r="H17451" s="397"/>
      <c r="I17451" s="397"/>
      <c r="J17451" s="750" t="e">
        <f t="shared" si="209"/>
        <v>#DIV/0!</v>
      </c>
      <c r="K17451" s="398"/>
      <c r="L17451" s="398"/>
      <c r="M17451" s="682"/>
    </row>
    <row r="17452" spans="6:13" hidden="1" x14ac:dyDescent="0.2">
      <c r="F17452" s="494">
        <v>433</v>
      </c>
      <c r="G17452" s="495" t="s">
        <v>4183</v>
      </c>
      <c r="H17452" s="397"/>
      <c r="I17452" s="397"/>
      <c r="J17452" s="750" t="e">
        <f t="shared" si="209"/>
        <v>#DIV/0!</v>
      </c>
      <c r="K17452" s="398"/>
      <c r="L17452" s="398"/>
      <c r="M17452" s="682"/>
    </row>
    <row r="17453" spans="6:13" hidden="1" x14ac:dyDescent="0.2">
      <c r="F17453" s="494">
        <v>434</v>
      </c>
      <c r="G17453" s="495" t="s">
        <v>4184</v>
      </c>
      <c r="H17453" s="397"/>
      <c r="I17453" s="397"/>
      <c r="J17453" s="750" t="e">
        <f t="shared" si="209"/>
        <v>#DIV/0!</v>
      </c>
      <c r="K17453" s="398"/>
      <c r="L17453" s="398"/>
      <c r="M17453" s="682"/>
    </row>
    <row r="17454" spans="6:13" hidden="1" x14ac:dyDescent="0.2">
      <c r="F17454" s="494">
        <v>435</v>
      </c>
      <c r="G17454" s="495" t="s">
        <v>3792</v>
      </c>
      <c r="H17454" s="397"/>
      <c r="I17454" s="397"/>
      <c r="J17454" s="750" t="e">
        <f t="shared" si="209"/>
        <v>#DIV/0!</v>
      </c>
      <c r="K17454" s="398"/>
      <c r="L17454" s="398"/>
      <c r="M17454" s="682"/>
    </row>
    <row r="17455" spans="6:13" hidden="1" x14ac:dyDescent="0.2">
      <c r="F17455" s="494">
        <v>441</v>
      </c>
      <c r="G17455" s="495" t="s">
        <v>4185</v>
      </c>
      <c r="H17455" s="397"/>
      <c r="I17455" s="397"/>
      <c r="J17455" s="750" t="e">
        <f t="shared" si="209"/>
        <v>#DIV/0!</v>
      </c>
      <c r="K17455" s="398"/>
      <c r="L17455" s="398"/>
      <c r="M17455" s="682"/>
    </row>
    <row r="17456" spans="6:13" hidden="1" x14ac:dyDescent="0.2">
      <c r="F17456" s="494">
        <v>442</v>
      </c>
      <c r="G17456" s="495" t="s">
        <v>4186</v>
      </c>
      <c r="H17456" s="397"/>
      <c r="I17456" s="397"/>
      <c r="J17456" s="750" t="e">
        <f t="shared" si="209"/>
        <v>#DIV/0!</v>
      </c>
      <c r="K17456" s="398"/>
      <c r="L17456" s="398"/>
      <c r="M17456" s="682"/>
    </row>
    <row r="17457" spans="6:13" hidden="1" x14ac:dyDescent="0.2">
      <c r="F17457" s="494">
        <v>443</v>
      </c>
      <c r="G17457" s="495" t="s">
        <v>3797</v>
      </c>
      <c r="H17457" s="397"/>
      <c r="I17457" s="397"/>
      <c r="J17457" s="750" t="e">
        <f t="shared" si="209"/>
        <v>#DIV/0!</v>
      </c>
      <c r="K17457" s="398"/>
      <c r="L17457" s="398"/>
      <c r="M17457" s="682"/>
    </row>
    <row r="17458" spans="6:13" hidden="1" x14ac:dyDescent="0.2">
      <c r="F17458" s="494">
        <v>444</v>
      </c>
      <c r="G17458" s="495" t="s">
        <v>3798</v>
      </c>
      <c r="H17458" s="397"/>
      <c r="I17458" s="397"/>
      <c r="J17458" s="750" t="e">
        <f t="shared" si="209"/>
        <v>#DIV/0!</v>
      </c>
      <c r="K17458" s="398"/>
      <c r="L17458" s="398"/>
      <c r="M17458" s="682"/>
    </row>
    <row r="17459" spans="6:13" ht="25.5" hidden="1" x14ac:dyDescent="0.2">
      <c r="F17459" s="494">
        <v>4511</v>
      </c>
      <c r="G17459" s="466" t="s">
        <v>1692</v>
      </c>
      <c r="H17459" s="397"/>
      <c r="I17459" s="397"/>
      <c r="J17459" s="750" t="e">
        <f t="shared" si="209"/>
        <v>#DIV/0!</v>
      </c>
      <c r="K17459" s="398"/>
      <c r="L17459" s="398"/>
      <c r="M17459" s="682"/>
    </row>
    <row r="17460" spans="6:13" ht="25.5" hidden="1" x14ac:dyDescent="0.2">
      <c r="F17460" s="494">
        <v>4512</v>
      </c>
      <c r="G17460" s="466" t="s">
        <v>1701</v>
      </c>
      <c r="H17460" s="397"/>
      <c r="I17460" s="397"/>
      <c r="J17460" s="750" t="e">
        <f t="shared" si="209"/>
        <v>#DIV/0!</v>
      </c>
      <c r="K17460" s="398"/>
      <c r="L17460" s="398"/>
      <c r="M17460" s="682"/>
    </row>
    <row r="17461" spans="6:13" ht="25.5" hidden="1" x14ac:dyDescent="0.2">
      <c r="F17461" s="494">
        <v>452</v>
      </c>
      <c r="G17461" s="495" t="s">
        <v>4187</v>
      </c>
      <c r="H17461" s="397"/>
      <c r="I17461" s="397"/>
      <c r="J17461" s="750" t="e">
        <f t="shared" si="209"/>
        <v>#DIV/0!</v>
      </c>
      <c r="K17461" s="398"/>
      <c r="L17461" s="398"/>
      <c r="M17461" s="682"/>
    </row>
    <row r="17462" spans="6:13" ht="25.5" hidden="1" x14ac:dyDescent="0.2">
      <c r="F17462" s="494">
        <v>453</v>
      </c>
      <c r="G17462" s="495" t="s">
        <v>4188</v>
      </c>
      <c r="H17462" s="397"/>
      <c r="I17462" s="397"/>
      <c r="J17462" s="750" t="e">
        <f t="shared" si="209"/>
        <v>#DIV/0!</v>
      </c>
      <c r="K17462" s="398"/>
      <c r="L17462" s="398"/>
      <c r="M17462" s="682"/>
    </row>
    <row r="17463" spans="6:13" hidden="1" x14ac:dyDescent="0.2">
      <c r="F17463" s="494">
        <v>454</v>
      </c>
      <c r="G17463" s="495" t="s">
        <v>3803</v>
      </c>
      <c r="H17463" s="397"/>
      <c r="I17463" s="397"/>
      <c r="J17463" s="750" t="e">
        <f t="shared" si="209"/>
        <v>#DIV/0!</v>
      </c>
      <c r="K17463" s="398"/>
      <c r="L17463" s="398"/>
      <c r="M17463" s="682"/>
    </row>
    <row r="17464" spans="6:13" hidden="1" x14ac:dyDescent="0.2">
      <c r="F17464" s="494">
        <v>461</v>
      </c>
      <c r="G17464" s="495" t="s">
        <v>4169</v>
      </c>
      <c r="H17464" s="397"/>
      <c r="I17464" s="397"/>
      <c r="J17464" s="750" t="e">
        <f t="shared" si="209"/>
        <v>#DIV/0!</v>
      </c>
      <c r="K17464" s="398"/>
      <c r="L17464" s="398"/>
      <c r="M17464" s="682"/>
    </row>
    <row r="17465" spans="6:13" ht="25.5" hidden="1" x14ac:dyDescent="0.2">
      <c r="F17465" s="494">
        <v>462</v>
      </c>
      <c r="G17465" s="495" t="s">
        <v>3806</v>
      </c>
      <c r="H17465" s="397"/>
      <c r="I17465" s="397"/>
      <c r="J17465" s="750" t="e">
        <f t="shared" si="209"/>
        <v>#DIV/0!</v>
      </c>
      <c r="K17465" s="398"/>
      <c r="L17465" s="398"/>
      <c r="M17465" s="682"/>
    </row>
    <row r="17466" spans="6:13" hidden="1" x14ac:dyDescent="0.2">
      <c r="F17466" s="494">
        <v>4631</v>
      </c>
      <c r="G17466" s="495" t="s">
        <v>3807</v>
      </c>
      <c r="H17466" s="397"/>
      <c r="I17466" s="397"/>
      <c r="J17466" s="750" t="e">
        <f t="shared" si="209"/>
        <v>#DIV/0!</v>
      </c>
      <c r="K17466" s="398"/>
      <c r="L17466" s="398"/>
      <c r="M17466" s="682"/>
    </row>
    <row r="17467" spans="6:13" hidden="1" x14ac:dyDescent="0.2">
      <c r="F17467" s="494">
        <v>4632</v>
      </c>
      <c r="G17467" s="495" t="s">
        <v>3808</v>
      </c>
      <c r="H17467" s="397"/>
      <c r="I17467" s="397"/>
      <c r="J17467" s="750" t="e">
        <f t="shared" si="209"/>
        <v>#DIV/0!</v>
      </c>
      <c r="K17467" s="398"/>
      <c r="L17467" s="398"/>
      <c r="M17467" s="682"/>
    </row>
    <row r="17468" spans="6:13" ht="25.5" hidden="1" x14ac:dyDescent="0.2">
      <c r="F17468" s="494">
        <v>464</v>
      </c>
      <c r="G17468" s="495" t="s">
        <v>3809</v>
      </c>
      <c r="H17468" s="397"/>
      <c r="I17468" s="397"/>
      <c r="J17468" s="750" t="e">
        <f t="shared" si="209"/>
        <v>#DIV/0!</v>
      </c>
      <c r="K17468" s="398"/>
      <c r="L17468" s="398"/>
      <c r="M17468" s="682"/>
    </row>
    <row r="17469" spans="6:13" hidden="1" x14ac:dyDescent="0.2">
      <c r="F17469" s="494">
        <v>465</v>
      </c>
      <c r="G17469" s="495" t="s">
        <v>4170</v>
      </c>
      <c r="H17469" s="397"/>
      <c r="I17469" s="397"/>
      <c r="J17469" s="750" t="e">
        <f t="shared" si="209"/>
        <v>#DIV/0!</v>
      </c>
      <c r="K17469" s="398"/>
      <c r="L17469" s="398"/>
      <c r="M17469" s="682"/>
    </row>
    <row r="17470" spans="6:13" hidden="1" x14ac:dyDescent="0.2">
      <c r="F17470" s="494">
        <v>472</v>
      </c>
      <c r="G17470" s="495" t="s">
        <v>3813</v>
      </c>
      <c r="H17470" s="397"/>
      <c r="I17470" s="397"/>
      <c r="J17470" s="750" t="e">
        <f t="shared" si="209"/>
        <v>#DIV/0!</v>
      </c>
      <c r="K17470" s="398"/>
      <c r="L17470" s="398"/>
      <c r="M17470" s="682"/>
    </row>
    <row r="17471" spans="6:13" hidden="1" x14ac:dyDescent="0.2">
      <c r="F17471" s="494">
        <v>481</v>
      </c>
      <c r="G17471" s="495" t="s">
        <v>4189</v>
      </c>
      <c r="H17471" s="397"/>
      <c r="I17471" s="397"/>
      <c r="J17471" s="750" t="e">
        <f t="shared" si="209"/>
        <v>#DIV/0!</v>
      </c>
      <c r="K17471" s="398"/>
      <c r="L17471" s="398"/>
      <c r="M17471" s="682"/>
    </row>
    <row r="17472" spans="6:13" hidden="1" x14ac:dyDescent="0.2">
      <c r="F17472" s="494">
        <v>482</v>
      </c>
      <c r="G17472" s="495" t="s">
        <v>4190</v>
      </c>
      <c r="H17472" s="397"/>
      <c r="I17472" s="397"/>
      <c r="J17472" s="750" t="e">
        <f t="shared" si="209"/>
        <v>#DIV/0!</v>
      </c>
      <c r="K17472" s="398"/>
      <c r="L17472" s="398"/>
      <c r="M17472" s="682"/>
    </row>
    <row r="17473" spans="6:13" hidden="1" x14ac:dyDescent="0.2">
      <c r="F17473" s="494">
        <v>483</v>
      </c>
      <c r="G17473" s="497" t="s">
        <v>4191</v>
      </c>
      <c r="H17473" s="397"/>
      <c r="I17473" s="397"/>
      <c r="J17473" s="750" t="e">
        <f t="shared" si="209"/>
        <v>#DIV/0!</v>
      </c>
      <c r="K17473" s="398"/>
      <c r="L17473" s="398"/>
      <c r="M17473" s="682"/>
    </row>
    <row r="17474" spans="6:13" ht="38.25" hidden="1" x14ac:dyDescent="0.2">
      <c r="F17474" s="494">
        <v>484</v>
      </c>
      <c r="G17474" s="495" t="s">
        <v>4192</v>
      </c>
      <c r="H17474" s="397"/>
      <c r="I17474" s="397"/>
      <c r="J17474" s="750" t="e">
        <f t="shared" si="209"/>
        <v>#DIV/0!</v>
      </c>
      <c r="K17474" s="398"/>
      <c r="L17474" s="398"/>
      <c r="M17474" s="682"/>
    </row>
    <row r="17475" spans="6:13" ht="25.5" hidden="1" x14ac:dyDescent="0.2">
      <c r="F17475" s="494">
        <v>485</v>
      </c>
      <c r="G17475" s="495" t="s">
        <v>4193</v>
      </c>
      <c r="H17475" s="397"/>
      <c r="I17475" s="397"/>
      <c r="J17475" s="750" t="e">
        <f t="shared" si="209"/>
        <v>#DIV/0!</v>
      </c>
      <c r="K17475" s="398"/>
      <c r="L17475" s="398"/>
      <c r="M17475" s="682"/>
    </row>
    <row r="17476" spans="6:13" ht="25.5" hidden="1" x14ac:dyDescent="0.2">
      <c r="F17476" s="494">
        <v>489</v>
      </c>
      <c r="G17476" s="495" t="s">
        <v>3821</v>
      </c>
      <c r="H17476" s="397"/>
      <c r="I17476" s="397"/>
      <c r="J17476" s="750" t="e">
        <f t="shared" si="209"/>
        <v>#DIV/0!</v>
      </c>
      <c r="K17476" s="398"/>
      <c r="L17476" s="398"/>
      <c r="M17476" s="682"/>
    </row>
    <row r="17477" spans="6:13" ht="25.5" hidden="1" x14ac:dyDescent="0.2">
      <c r="F17477" s="494">
        <v>494</v>
      </c>
      <c r="G17477" s="495" t="s">
        <v>4171</v>
      </c>
      <c r="H17477" s="397"/>
      <c r="I17477" s="397"/>
      <c r="J17477" s="750" t="e">
        <f t="shared" si="209"/>
        <v>#DIV/0!</v>
      </c>
      <c r="K17477" s="398"/>
      <c r="L17477" s="398"/>
      <c r="M17477" s="682"/>
    </row>
    <row r="17478" spans="6:13" ht="25.5" hidden="1" x14ac:dyDescent="0.2">
      <c r="F17478" s="494">
        <v>495</v>
      </c>
      <c r="G17478" s="495" t="s">
        <v>4172</v>
      </c>
      <c r="H17478" s="397"/>
      <c r="I17478" s="397"/>
      <c r="J17478" s="750" t="e">
        <f t="shared" si="209"/>
        <v>#DIV/0!</v>
      </c>
      <c r="K17478" s="398"/>
      <c r="L17478" s="398"/>
      <c r="M17478" s="682"/>
    </row>
    <row r="17479" spans="6:13" ht="38.25" hidden="1" x14ac:dyDescent="0.2">
      <c r="F17479" s="494">
        <v>496</v>
      </c>
      <c r="G17479" s="495" t="s">
        <v>4173</v>
      </c>
      <c r="H17479" s="397"/>
      <c r="I17479" s="397"/>
      <c r="J17479" s="750" t="e">
        <f t="shared" si="209"/>
        <v>#DIV/0!</v>
      </c>
      <c r="K17479" s="398"/>
      <c r="L17479" s="398"/>
      <c r="M17479" s="682"/>
    </row>
    <row r="17480" spans="6:13" ht="25.5" hidden="1" x14ac:dyDescent="0.2">
      <c r="F17480" s="494">
        <v>499</v>
      </c>
      <c r="G17480" s="495" t="s">
        <v>4174</v>
      </c>
      <c r="H17480" s="397"/>
      <c r="I17480" s="397"/>
      <c r="J17480" s="750" t="e">
        <f t="shared" si="209"/>
        <v>#DIV/0!</v>
      </c>
      <c r="K17480" s="398"/>
      <c r="L17480" s="398"/>
      <c r="M17480" s="682"/>
    </row>
    <row r="17481" spans="6:13" hidden="1" x14ac:dyDescent="0.2">
      <c r="F17481" s="494">
        <v>511</v>
      </c>
      <c r="G17481" s="497" t="s">
        <v>4194</v>
      </c>
      <c r="H17481" s="397"/>
      <c r="I17481" s="397"/>
      <c r="J17481" s="750" t="e">
        <f t="shared" si="209"/>
        <v>#DIV/0!</v>
      </c>
      <c r="K17481" s="398"/>
      <c r="L17481" s="398"/>
      <c r="M17481" s="682"/>
    </row>
    <row r="17482" spans="6:13" hidden="1" x14ac:dyDescent="0.2">
      <c r="F17482" s="494">
        <v>512</v>
      </c>
      <c r="G17482" s="497" t="s">
        <v>4195</v>
      </c>
      <c r="H17482" s="397"/>
      <c r="I17482" s="397"/>
      <c r="J17482" s="750" t="e">
        <f t="shared" si="209"/>
        <v>#DIV/0!</v>
      </c>
      <c r="K17482" s="398"/>
      <c r="L17482" s="398"/>
      <c r="M17482" s="682"/>
    </row>
    <row r="17483" spans="6:13" hidden="1" x14ac:dyDescent="0.2">
      <c r="F17483" s="494">
        <v>513</v>
      </c>
      <c r="G17483" s="497" t="s">
        <v>4196</v>
      </c>
      <c r="H17483" s="397"/>
      <c r="I17483" s="397"/>
      <c r="J17483" s="750" t="e">
        <f t="shared" si="209"/>
        <v>#DIV/0!</v>
      </c>
      <c r="K17483" s="398"/>
      <c r="L17483" s="398"/>
      <c r="M17483" s="682"/>
    </row>
    <row r="17484" spans="6:13" hidden="1" x14ac:dyDescent="0.2">
      <c r="F17484" s="494">
        <v>514</v>
      </c>
      <c r="G17484" s="495" t="s">
        <v>4197</v>
      </c>
      <c r="H17484" s="397"/>
      <c r="I17484" s="397"/>
      <c r="J17484" s="750" t="e">
        <f t="shared" si="209"/>
        <v>#DIV/0!</v>
      </c>
      <c r="K17484" s="398"/>
      <c r="L17484" s="398"/>
      <c r="M17484" s="682"/>
    </row>
    <row r="17485" spans="6:13" hidden="1" x14ac:dyDescent="0.2">
      <c r="F17485" s="494">
        <v>515</v>
      </c>
      <c r="G17485" s="495" t="s">
        <v>3832</v>
      </c>
      <c r="H17485" s="397"/>
      <c r="I17485" s="397"/>
      <c r="J17485" s="750" t="e">
        <f t="shared" si="209"/>
        <v>#DIV/0!</v>
      </c>
      <c r="K17485" s="398"/>
      <c r="L17485" s="398"/>
      <c r="M17485" s="682"/>
    </row>
    <row r="17486" spans="6:13" hidden="1" x14ac:dyDescent="0.2">
      <c r="F17486" s="494">
        <v>521</v>
      </c>
      <c r="G17486" s="495" t="s">
        <v>4198</v>
      </c>
      <c r="H17486" s="397"/>
      <c r="I17486" s="397"/>
      <c r="J17486" s="750" t="e">
        <f t="shared" ref="J17486:J17549" si="210">SUM(I17486/H17486)*100</f>
        <v>#DIV/0!</v>
      </c>
      <c r="K17486" s="398"/>
      <c r="L17486" s="398"/>
      <c r="M17486" s="682"/>
    </row>
    <row r="17487" spans="6:13" hidden="1" x14ac:dyDescent="0.2">
      <c r="F17487" s="494">
        <v>522</v>
      </c>
      <c r="G17487" s="495" t="s">
        <v>4199</v>
      </c>
      <c r="H17487" s="397"/>
      <c r="I17487" s="397"/>
      <c r="J17487" s="750" t="e">
        <f t="shared" si="210"/>
        <v>#DIV/0!</v>
      </c>
      <c r="K17487" s="398"/>
      <c r="L17487" s="398"/>
      <c r="M17487" s="682"/>
    </row>
    <row r="17488" spans="6:13" hidden="1" x14ac:dyDescent="0.2">
      <c r="F17488" s="494">
        <v>523</v>
      </c>
      <c r="G17488" s="495" t="s">
        <v>3837</v>
      </c>
      <c r="H17488" s="397"/>
      <c r="I17488" s="397"/>
      <c r="J17488" s="750" t="e">
        <f t="shared" si="210"/>
        <v>#DIV/0!</v>
      </c>
      <c r="K17488" s="398"/>
      <c r="L17488" s="398"/>
      <c r="M17488" s="682"/>
    </row>
    <row r="17489" spans="5:13" hidden="1" x14ac:dyDescent="0.2">
      <c r="F17489" s="494">
        <v>531</v>
      </c>
      <c r="G17489" s="496" t="s">
        <v>4175</v>
      </c>
      <c r="H17489" s="397"/>
      <c r="I17489" s="397"/>
      <c r="J17489" s="750" t="e">
        <f t="shared" si="210"/>
        <v>#DIV/0!</v>
      </c>
      <c r="K17489" s="398"/>
      <c r="L17489" s="398"/>
      <c r="M17489" s="682"/>
    </row>
    <row r="17490" spans="5:13" hidden="1" x14ac:dyDescent="0.2">
      <c r="F17490" s="494">
        <v>541</v>
      </c>
      <c r="G17490" s="495" t="s">
        <v>4200</v>
      </c>
      <c r="H17490" s="397"/>
      <c r="I17490" s="397"/>
      <c r="J17490" s="750" t="e">
        <f t="shared" si="210"/>
        <v>#DIV/0!</v>
      </c>
      <c r="K17490" s="398"/>
      <c r="L17490" s="398"/>
      <c r="M17490" s="682"/>
    </row>
    <row r="17491" spans="5:13" hidden="1" x14ac:dyDescent="0.2">
      <c r="F17491" s="494">
        <v>542</v>
      </c>
      <c r="G17491" s="495" t="s">
        <v>4201</v>
      </c>
      <c r="H17491" s="397"/>
      <c r="I17491" s="397"/>
      <c r="J17491" s="750" t="e">
        <f t="shared" si="210"/>
        <v>#DIV/0!</v>
      </c>
      <c r="K17491" s="398"/>
      <c r="L17491" s="398"/>
      <c r="M17491" s="682"/>
    </row>
    <row r="17492" spans="5:13" hidden="1" x14ac:dyDescent="0.2">
      <c r="F17492" s="494">
        <v>543</v>
      </c>
      <c r="G17492" s="495" t="s">
        <v>3842</v>
      </c>
      <c r="H17492" s="397"/>
      <c r="I17492" s="397"/>
      <c r="J17492" s="750" t="e">
        <f t="shared" si="210"/>
        <v>#DIV/0!</v>
      </c>
      <c r="K17492" s="398"/>
      <c r="L17492" s="398"/>
      <c r="M17492" s="682"/>
    </row>
    <row r="17493" spans="5:13" ht="38.25" hidden="1" x14ac:dyDescent="0.2">
      <c r="F17493" s="494">
        <v>551</v>
      </c>
      <c r="G17493" s="495" t="s">
        <v>4176</v>
      </c>
      <c r="H17493" s="397"/>
      <c r="I17493" s="397"/>
      <c r="J17493" s="750" t="e">
        <f t="shared" si="210"/>
        <v>#DIV/0!</v>
      </c>
      <c r="K17493" s="398"/>
      <c r="L17493" s="398"/>
      <c r="M17493" s="682"/>
    </row>
    <row r="17494" spans="5:13" hidden="1" x14ac:dyDescent="0.2">
      <c r="F17494" s="498">
        <v>611</v>
      </c>
      <c r="G17494" s="499" t="s">
        <v>3848</v>
      </c>
      <c r="H17494" s="397"/>
      <c r="I17494" s="397"/>
      <c r="J17494" s="750" t="e">
        <f t="shared" si="210"/>
        <v>#DIV/0!</v>
      </c>
      <c r="K17494" s="398"/>
      <c r="L17494" s="398"/>
      <c r="M17494" s="682"/>
    </row>
    <row r="17495" spans="5:13" hidden="1" x14ac:dyDescent="0.2">
      <c r="F17495" s="498">
        <v>620</v>
      </c>
      <c r="G17495" s="499" t="s">
        <v>88</v>
      </c>
      <c r="H17495" s="397"/>
      <c r="I17495" s="397"/>
      <c r="J17495" s="750" t="e">
        <f t="shared" si="210"/>
        <v>#DIV/0!</v>
      </c>
      <c r="K17495" s="398"/>
      <c r="L17495" s="398"/>
      <c r="M17495" s="682"/>
    </row>
    <row r="17496" spans="5:13" hidden="1" x14ac:dyDescent="0.2">
      <c r="E17496" s="500"/>
      <c r="F17496" s="498"/>
      <c r="G17496" s="509" t="s">
        <v>4366</v>
      </c>
      <c r="H17496" s="400"/>
      <c r="I17496" s="400"/>
      <c r="J17496" s="750" t="e">
        <f t="shared" si="210"/>
        <v>#DIV/0!</v>
      </c>
      <c r="K17496" s="401"/>
      <c r="L17496" s="402"/>
      <c r="M17496" s="682"/>
    </row>
    <row r="17497" spans="5:13" hidden="1" x14ac:dyDescent="0.2">
      <c r="E17497" s="502"/>
      <c r="F17497" s="503" t="s">
        <v>234</v>
      </c>
      <c r="G17497" s="504" t="s">
        <v>235</v>
      </c>
      <c r="H17497" s="403">
        <f>SUM(H17436:H17495)</f>
        <v>0</v>
      </c>
      <c r="I17497" s="403"/>
      <c r="J17497" s="750" t="e">
        <f t="shared" si="210"/>
        <v>#DIV/0!</v>
      </c>
      <c r="K17497" s="404"/>
      <c r="L17497" s="404"/>
      <c r="M17497" s="682"/>
    </row>
    <row r="17498" spans="5:13" hidden="1" x14ac:dyDescent="0.2">
      <c r="F17498" s="503" t="s">
        <v>236</v>
      </c>
      <c r="G17498" s="504" t="s">
        <v>237</v>
      </c>
      <c r="H17498" s="397"/>
      <c r="I17498" s="397"/>
      <c r="J17498" s="750" t="e">
        <f t="shared" si="210"/>
        <v>#DIV/0!</v>
      </c>
      <c r="K17498" s="398"/>
      <c r="L17498" s="404"/>
      <c r="M17498" s="682"/>
    </row>
    <row r="17499" spans="5:13" hidden="1" x14ac:dyDescent="0.2">
      <c r="F17499" s="503" t="s">
        <v>238</v>
      </c>
      <c r="G17499" s="504" t="s">
        <v>239</v>
      </c>
      <c r="H17499" s="397"/>
      <c r="I17499" s="397"/>
      <c r="J17499" s="750" t="e">
        <f t="shared" si="210"/>
        <v>#DIV/0!</v>
      </c>
      <c r="K17499" s="398"/>
      <c r="L17499" s="404"/>
      <c r="M17499" s="682"/>
    </row>
    <row r="17500" spans="5:13" hidden="1" x14ac:dyDescent="0.2">
      <c r="F17500" s="503" t="s">
        <v>240</v>
      </c>
      <c r="G17500" s="504" t="s">
        <v>241</v>
      </c>
      <c r="H17500" s="397"/>
      <c r="I17500" s="397"/>
      <c r="J17500" s="750" t="e">
        <f t="shared" si="210"/>
        <v>#DIV/0!</v>
      </c>
      <c r="K17500" s="398"/>
      <c r="L17500" s="404"/>
      <c r="M17500" s="682"/>
    </row>
    <row r="17501" spans="5:13" hidden="1" x14ac:dyDescent="0.2">
      <c r="F17501" s="503" t="s">
        <v>242</v>
      </c>
      <c r="G17501" s="504" t="s">
        <v>243</v>
      </c>
      <c r="H17501" s="397"/>
      <c r="I17501" s="397"/>
      <c r="J17501" s="750" t="e">
        <f t="shared" si="210"/>
        <v>#DIV/0!</v>
      </c>
      <c r="K17501" s="398"/>
      <c r="L17501" s="404"/>
      <c r="M17501" s="682"/>
    </row>
    <row r="17502" spans="5:13" hidden="1" x14ac:dyDescent="0.2">
      <c r="F17502" s="503" t="s">
        <v>244</v>
      </c>
      <c r="G17502" s="504" t="s">
        <v>245</v>
      </c>
      <c r="H17502" s="397"/>
      <c r="I17502" s="397"/>
      <c r="J17502" s="750" t="e">
        <f t="shared" si="210"/>
        <v>#DIV/0!</v>
      </c>
      <c r="K17502" s="398"/>
      <c r="L17502" s="404"/>
      <c r="M17502" s="682"/>
    </row>
    <row r="17503" spans="5:13" hidden="1" x14ac:dyDescent="0.2">
      <c r="F17503" s="503" t="s">
        <v>246</v>
      </c>
      <c r="G17503" s="504" t="s">
        <v>247</v>
      </c>
      <c r="H17503" s="397"/>
      <c r="I17503" s="397"/>
      <c r="J17503" s="750" t="e">
        <f t="shared" si="210"/>
        <v>#DIV/0!</v>
      </c>
      <c r="K17503" s="398"/>
      <c r="L17503" s="404"/>
      <c r="M17503" s="682"/>
    </row>
    <row r="17504" spans="5:13" ht="25.5" hidden="1" x14ac:dyDescent="0.2">
      <c r="F17504" s="503" t="s">
        <v>248</v>
      </c>
      <c r="G17504" s="504" t="s">
        <v>249</v>
      </c>
      <c r="H17504" s="397"/>
      <c r="I17504" s="397"/>
      <c r="J17504" s="750" t="e">
        <f t="shared" si="210"/>
        <v>#DIV/0!</v>
      </c>
      <c r="K17504" s="398"/>
      <c r="L17504" s="404"/>
      <c r="M17504" s="682"/>
    </row>
    <row r="17505" spans="5:13" hidden="1" x14ac:dyDescent="0.2">
      <c r="F17505" s="503" t="s">
        <v>250</v>
      </c>
      <c r="G17505" s="504" t="s">
        <v>57</v>
      </c>
      <c r="H17505" s="397"/>
      <c r="I17505" s="397"/>
      <c r="J17505" s="750" t="e">
        <f t="shared" si="210"/>
        <v>#DIV/0!</v>
      </c>
      <c r="K17505" s="398"/>
      <c r="L17505" s="404"/>
      <c r="M17505" s="682"/>
    </row>
    <row r="17506" spans="5:13" hidden="1" x14ac:dyDescent="0.2">
      <c r="F17506" s="503" t="s">
        <v>251</v>
      </c>
      <c r="G17506" s="504" t="s">
        <v>252</v>
      </c>
      <c r="H17506" s="397"/>
      <c r="I17506" s="397"/>
      <c r="J17506" s="750" t="e">
        <f t="shared" si="210"/>
        <v>#DIV/0!</v>
      </c>
      <c r="K17506" s="398"/>
      <c r="L17506" s="404"/>
      <c r="M17506" s="682"/>
    </row>
    <row r="17507" spans="5:13" hidden="1" x14ac:dyDescent="0.2">
      <c r="F17507" s="503" t="s">
        <v>253</v>
      </c>
      <c r="G17507" s="504" t="s">
        <v>254</v>
      </c>
      <c r="H17507" s="397"/>
      <c r="I17507" s="397"/>
      <c r="J17507" s="750" t="e">
        <f t="shared" si="210"/>
        <v>#DIV/0!</v>
      </c>
      <c r="K17507" s="398"/>
      <c r="L17507" s="404"/>
      <c r="M17507" s="682"/>
    </row>
    <row r="17508" spans="5:13" ht="25.5" hidden="1" x14ac:dyDescent="0.2">
      <c r="F17508" s="503" t="s">
        <v>255</v>
      </c>
      <c r="G17508" s="504" t="s">
        <v>256</v>
      </c>
      <c r="H17508" s="397"/>
      <c r="I17508" s="397"/>
      <c r="J17508" s="750" t="e">
        <f t="shared" si="210"/>
        <v>#DIV/0!</v>
      </c>
      <c r="K17508" s="398"/>
      <c r="L17508" s="404"/>
      <c r="M17508" s="682"/>
    </row>
    <row r="17509" spans="5:13" ht="25.5" hidden="1" x14ac:dyDescent="0.2">
      <c r="F17509" s="503" t="s">
        <v>257</v>
      </c>
      <c r="G17509" s="504" t="s">
        <v>258</v>
      </c>
      <c r="H17509" s="397"/>
      <c r="I17509" s="397"/>
      <c r="J17509" s="750" t="e">
        <f t="shared" si="210"/>
        <v>#DIV/0!</v>
      </c>
      <c r="K17509" s="398"/>
      <c r="L17509" s="404"/>
      <c r="M17509" s="682"/>
    </row>
    <row r="17510" spans="5:13" ht="25.5" hidden="1" x14ac:dyDescent="0.2">
      <c r="F17510" s="503" t="s">
        <v>259</v>
      </c>
      <c r="G17510" s="504" t="s">
        <v>260</v>
      </c>
      <c r="H17510" s="397"/>
      <c r="I17510" s="397"/>
      <c r="J17510" s="750" t="e">
        <f t="shared" si="210"/>
        <v>#DIV/0!</v>
      </c>
      <c r="K17510" s="398"/>
      <c r="L17510" s="404"/>
      <c r="M17510" s="682"/>
    </row>
    <row r="17511" spans="5:13" ht="25.5" hidden="1" x14ac:dyDescent="0.2">
      <c r="F17511" s="503" t="s">
        <v>261</v>
      </c>
      <c r="G17511" s="504" t="s">
        <v>262</v>
      </c>
      <c r="H17511" s="397"/>
      <c r="I17511" s="397"/>
      <c r="J17511" s="750" t="e">
        <f t="shared" si="210"/>
        <v>#DIV/0!</v>
      </c>
      <c r="K17511" s="398"/>
      <c r="L17511" s="404"/>
      <c r="M17511" s="682"/>
    </row>
    <row r="17512" spans="5:13" hidden="1" x14ac:dyDescent="0.2">
      <c r="F17512" s="503" t="s">
        <v>263</v>
      </c>
      <c r="G17512" s="504" t="s">
        <v>264</v>
      </c>
      <c r="H17512" s="403"/>
      <c r="I17512" s="403"/>
      <c r="J17512" s="750" t="e">
        <f t="shared" si="210"/>
        <v>#DIV/0!</v>
      </c>
      <c r="K17512" s="404"/>
      <c r="L17512" s="404"/>
      <c r="M17512" s="682"/>
    </row>
    <row r="17513" spans="5:13" ht="13.5" hidden="1" thickBot="1" x14ac:dyDescent="0.25">
      <c r="G17513" s="505" t="s">
        <v>4367</v>
      </c>
      <c r="H17513" s="405">
        <f>SUM(H17497:H17512)</f>
        <v>0</v>
      </c>
      <c r="I17513" s="405"/>
      <c r="J17513" s="750" t="e">
        <f t="shared" si="210"/>
        <v>#DIV/0!</v>
      </c>
      <c r="K17513" s="406">
        <f>SUM(K17498:K17512)</f>
        <v>0</v>
      </c>
      <c r="L17513" s="406"/>
      <c r="M17513" s="682"/>
    </row>
    <row r="17514" spans="5:13" ht="25.5" hidden="1" collapsed="1" x14ac:dyDescent="0.2">
      <c r="E17514" s="500"/>
      <c r="F17514" s="498"/>
      <c r="G17514" s="506" t="s">
        <v>4253</v>
      </c>
      <c r="H17514" s="407"/>
      <c r="I17514" s="408"/>
      <c r="J17514" s="750" t="e">
        <f t="shared" si="210"/>
        <v>#DIV/0!</v>
      </c>
      <c r="K17514" s="409"/>
      <c r="L17514" s="410"/>
      <c r="M17514" s="682"/>
    </row>
    <row r="17515" spans="5:13" hidden="1" x14ac:dyDescent="0.2">
      <c r="E17515" s="502"/>
      <c r="F17515" s="503" t="s">
        <v>234</v>
      </c>
      <c r="G17515" s="504" t="s">
        <v>235</v>
      </c>
      <c r="H17515" s="403">
        <f>SUM(H17436:H17495)</f>
        <v>0</v>
      </c>
      <c r="I17515" s="403"/>
      <c r="J17515" s="750" t="e">
        <f t="shared" si="210"/>
        <v>#DIV/0!</v>
      </c>
      <c r="K17515" s="404"/>
      <c r="L17515" s="404"/>
      <c r="M17515" s="682"/>
    </row>
    <row r="17516" spans="5:13" hidden="1" x14ac:dyDescent="0.2">
      <c r="F17516" s="503" t="s">
        <v>236</v>
      </c>
      <c r="G17516" s="504" t="s">
        <v>237</v>
      </c>
      <c r="H17516" s="397"/>
      <c r="I17516" s="397"/>
      <c r="J17516" s="750" t="e">
        <f t="shared" si="210"/>
        <v>#DIV/0!</v>
      </c>
      <c r="K17516" s="398"/>
      <c r="L17516" s="404"/>
      <c r="M17516" s="682"/>
    </row>
    <row r="17517" spans="5:13" hidden="1" x14ac:dyDescent="0.2">
      <c r="F17517" s="503" t="s">
        <v>238</v>
      </c>
      <c r="G17517" s="504" t="s">
        <v>239</v>
      </c>
      <c r="H17517" s="397"/>
      <c r="I17517" s="397"/>
      <c r="J17517" s="750" t="e">
        <f t="shared" si="210"/>
        <v>#DIV/0!</v>
      </c>
      <c r="K17517" s="398"/>
      <c r="L17517" s="404"/>
      <c r="M17517" s="682"/>
    </row>
    <row r="17518" spans="5:13" hidden="1" x14ac:dyDescent="0.2">
      <c r="F17518" s="503" t="s">
        <v>240</v>
      </c>
      <c r="G17518" s="504" t="s">
        <v>241</v>
      </c>
      <c r="H17518" s="397"/>
      <c r="I17518" s="397"/>
      <c r="J17518" s="750" t="e">
        <f t="shared" si="210"/>
        <v>#DIV/0!</v>
      </c>
      <c r="K17518" s="398"/>
      <c r="L17518" s="404"/>
      <c r="M17518" s="682"/>
    </row>
    <row r="17519" spans="5:13" hidden="1" x14ac:dyDescent="0.2">
      <c r="F17519" s="503" t="s">
        <v>242</v>
      </c>
      <c r="G17519" s="504" t="s">
        <v>243</v>
      </c>
      <c r="H17519" s="397"/>
      <c r="I17519" s="397"/>
      <c r="J17519" s="750" t="e">
        <f t="shared" si="210"/>
        <v>#DIV/0!</v>
      </c>
      <c r="K17519" s="398"/>
      <c r="L17519" s="404"/>
      <c r="M17519" s="682"/>
    </row>
    <row r="17520" spans="5:13" hidden="1" x14ac:dyDescent="0.2">
      <c r="F17520" s="503" t="s">
        <v>244</v>
      </c>
      <c r="G17520" s="504" t="s">
        <v>245</v>
      </c>
      <c r="H17520" s="397"/>
      <c r="I17520" s="397"/>
      <c r="J17520" s="750" t="e">
        <f t="shared" si="210"/>
        <v>#DIV/0!</v>
      </c>
      <c r="K17520" s="398"/>
      <c r="L17520" s="404"/>
      <c r="M17520" s="682"/>
    </row>
    <row r="17521" spans="1:27" hidden="1" x14ac:dyDescent="0.2">
      <c r="F17521" s="503" t="s">
        <v>246</v>
      </c>
      <c r="G17521" s="504" t="s">
        <v>247</v>
      </c>
      <c r="H17521" s="397"/>
      <c r="I17521" s="397"/>
      <c r="J17521" s="750" t="e">
        <f t="shared" si="210"/>
        <v>#DIV/0!</v>
      </c>
      <c r="K17521" s="398"/>
      <c r="L17521" s="404"/>
      <c r="M17521" s="682"/>
    </row>
    <row r="17522" spans="1:27" ht="25.5" hidden="1" x14ac:dyDescent="0.2">
      <c r="F17522" s="503" t="s">
        <v>248</v>
      </c>
      <c r="G17522" s="504" t="s">
        <v>249</v>
      </c>
      <c r="H17522" s="397"/>
      <c r="I17522" s="397"/>
      <c r="J17522" s="750" t="e">
        <f t="shared" si="210"/>
        <v>#DIV/0!</v>
      </c>
      <c r="K17522" s="398"/>
      <c r="L17522" s="404"/>
      <c r="M17522" s="682"/>
    </row>
    <row r="17523" spans="1:27" hidden="1" x14ac:dyDescent="0.2">
      <c r="F17523" s="503" t="s">
        <v>250</v>
      </c>
      <c r="G17523" s="504" t="s">
        <v>57</v>
      </c>
      <c r="H17523" s="397"/>
      <c r="I17523" s="397"/>
      <c r="J17523" s="750" t="e">
        <f t="shared" si="210"/>
        <v>#DIV/0!</v>
      </c>
      <c r="K17523" s="398"/>
      <c r="L17523" s="404"/>
      <c r="M17523" s="682"/>
    </row>
    <row r="17524" spans="1:27" hidden="1" x14ac:dyDescent="0.2">
      <c r="F17524" s="503" t="s">
        <v>251</v>
      </c>
      <c r="G17524" s="504" t="s">
        <v>252</v>
      </c>
      <c r="H17524" s="397"/>
      <c r="I17524" s="397"/>
      <c r="J17524" s="750" t="e">
        <f t="shared" si="210"/>
        <v>#DIV/0!</v>
      </c>
      <c r="K17524" s="398"/>
      <c r="L17524" s="404"/>
      <c r="M17524" s="682"/>
    </row>
    <row r="17525" spans="1:27" hidden="1" x14ac:dyDescent="0.2">
      <c r="F17525" s="503" t="s">
        <v>253</v>
      </c>
      <c r="G17525" s="504" t="s">
        <v>254</v>
      </c>
      <c r="H17525" s="397"/>
      <c r="I17525" s="397"/>
      <c r="J17525" s="750" t="e">
        <f t="shared" si="210"/>
        <v>#DIV/0!</v>
      </c>
      <c r="K17525" s="398"/>
      <c r="L17525" s="404"/>
      <c r="M17525" s="682"/>
    </row>
    <row r="17526" spans="1:27" ht="25.5" hidden="1" x14ac:dyDescent="0.2">
      <c r="F17526" s="503" t="s">
        <v>255</v>
      </c>
      <c r="G17526" s="504" t="s">
        <v>256</v>
      </c>
      <c r="H17526" s="397"/>
      <c r="I17526" s="397"/>
      <c r="J17526" s="750" t="e">
        <f t="shared" si="210"/>
        <v>#DIV/0!</v>
      </c>
      <c r="K17526" s="398"/>
      <c r="L17526" s="404"/>
      <c r="M17526" s="682"/>
    </row>
    <row r="17527" spans="1:27" ht="25.5" hidden="1" x14ac:dyDescent="0.2">
      <c r="F17527" s="503" t="s">
        <v>257</v>
      </c>
      <c r="G17527" s="504" t="s">
        <v>258</v>
      </c>
      <c r="H17527" s="397"/>
      <c r="I17527" s="397"/>
      <c r="J17527" s="750" t="e">
        <f t="shared" si="210"/>
        <v>#DIV/0!</v>
      </c>
      <c r="K17527" s="398"/>
      <c r="L17527" s="404"/>
      <c r="M17527" s="682"/>
    </row>
    <row r="17528" spans="1:27" ht="25.5" hidden="1" x14ac:dyDescent="0.2">
      <c r="F17528" s="503" t="s">
        <v>259</v>
      </c>
      <c r="G17528" s="504" t="s">
        <v>260</v>
      </c>
      <c r="H17528" s="397"/>
      <c r="I17528" s="397"/>
      <c r="J17528" s="750" t="e">
        <f t="shared" si="210"/>
        <v>#DIV/0!</v>
      </c>
      <c r="K17528" s="398"/>
      <c r="L17528" s="404"/>
      <c r="M17528" s="682"/>
    </row>
    <row r="17529" spans="1:27" ht="25.5" hidden="1" x14ac:dyDescent="0.2">
      <c r="F17529" s="503" t="s">
        <v>261</v>
      </c>
      <c r="G17529" s="504" t="s">
        <v>262</v>
      </c>
      <c r="H17529" s="397"/>
      <c r="I17529" s="397"/>
      <c r="J17529" s="750" t="e">
        <f t="shared" si="210"/>
        <v>#DIV/0!</v>
      </c>
      <c r="K17529" s="398"/>
      <c r="L17529" s="404"/>
      <c r="M17529" s="682"/>
    </row>
    <row r="17530" spans="1:27" hidden="1" x14ac:dyDescent="0.2">
      <c r="F17530" s="503" t="s">
        <v>263</v>
      </c>
      <c r="G17530" s="504" t="s">
        <v>264</v>
      </c>
      <c r="H17530" s="403"/>
      <c r="I17530" s="403"/>
      <c r="J17530" s="750" t="e">
        <f t="shared" si="210"/>
        <v>#DIV/0!</v>
      </c>
      <c r="K17530" s="404"/>
      <c r="L17530" s="404"/>
      <c r="M17530" s="682"/>
    </row>
    <row r="17531" spans="1:27" ht="13.5" hidden="1" collapsed="1" thickBot="1" x14ac:dyDescent="0.25">
      <c r="G17531" s="505" t="s">
        <v>4254</v>
      </c>
      <c r="H17531" s="405">
        <f>SUM(H17515:H17530)</f>
        <v>0</v>
      </c>
      <c r="I17531" s="405"/>
      <c r="J17531" s="750" t="e">
        <f t="shared" si="210"/>
        <v>#DIV/0!</v>
      </c>
      <c r="K17531" s="406">
        <f>SUM(K17516:K17530)</f>
        <v>0</v>
      </c>
      <c r="L17531" s="406"/>
      <c r="M17531" s="682"/>
    </row>
    <row r="17532" spans="1:27" s="530" customFormat="1" hidden="1" x14ac:dyDescent="0.2">
      <c r="A17532" s="526"/>
      <c r="B17532" s="527"/>
      <c r="C17532" s="528"/>
      <c r="G17532" s="570"/>
      <c r="H17532" s="425"/>
      <c r="I17532" s="425"/>
      <c r="J17532" s="750" t="e">
        <f t="shared" si="210"/>
        <v>#DIV/0!</v>
      </c>
      <c r="K17532" s="243"/>
      <c r="L17532" s="243"/>
      <c r="M17532" s="682"/>
      <c r="N17532" s="171"/>
      <c r="O17532" s="171"/>
      <c r="P17532" s="171"/>
      <c r="Q17532" s="171"/>
      <c r="R17532" s="171"/>
      <c r="S17532" s="171"/>
      <c r="T17532" s="171"/>
      <c r="U17532" s="171"/>
      <c r="V17532" s="171"/>
      <c r="W17532" s="171"/>
      <c r="X17532" s="171"/>
      <c r="Y17532" s="171"/>
      <c r="Z17532" s="171"/>
      <c r="AA17532" s="171"/>
    </row>
    <row r="17533" spans="1:27" ht="25.5" hidden="1" x14ac:dyDescent="0.2">
      <c r="C17533" s="489" t="s">
        <v>4118</v>
      </c>
      <c r="D17533" s="490"/>
      <c r="G17533" s="491" t="s">
        <v>4119</v>
      </c>
      <c r="H17533" s="397"/>
      <c r="I17533" s="397"/>
      <c r="J17533" s="750" t="e">
        <f t="shared" si="210"/>
        <v>#DIV/0!</v>
      </c>
      <c r="K17533" s="398"/>
      <c r="L17533" s="398"/>
      <c r="M17533" s="682"/>
    </row>
    <row r="17534" spans="1:27" s="530" customFormat="1" ht="25.5" hidden="1" x14ac:dyDescent="0.2">
      <c r="A17534" s="526"/>
      <c r="B17534" s="527"/>
      <c r="C17534" s="534"/>
      <c r="D17534" s="571" t="s">
        <v>3888</v>
      </c>
      <c r="E17534" s="183"/>
      <c r="F17534" s="183"/>
      <c r="G17534" s="514" t="s">
        <v>103</v>
      </c>
      <c r="H17534" s="422"/>
      <c r="I17534" s="422"/>
      <c r="J17534" s="750" t="e">
        <f t="shared" si="210"/>
        <v>#DIV/0!</v>
      </c>
      <c r="K17534" s="423"/>
      <c r="L17534" s="424"/>
      <c r="M17534" s="682"/>
      <c r="N17534" s="171"/>
      <c r="O17534" s="171"/>
      <c r="P17534" s="171"/>
      <c r="Q17534" s="171"/>
      <c r="R17534" s="171"/>
      <c r="S17534" s="171"/>
      <c r="T17534" s="171"/>
      <c r="U17534" s="171"/>
      <c r="V17534" s="171"/>
      <c r="W17534" s="171"/>
      <c r="X17534" s="171"/>
      <c r="Y17534" s="171"/>
      <c r="Z17534" s="171"/>
      <c r="AA17534" s="171"/>
    </row>
    <row r="17535" spans="1:27" hidden="1" x14ac:dyDescent="0.2">
      <c r="F17535" s="494">
        <v>411</v>
      </c>
      <c r="G17535" s="495" t="s">
        <v>4167</v>
      </c>
      <c r="H17535" s="397"/>
      <c r="I17535" s="397"/>
      <c r="J17535" s="750" t="e">
        <f t="shared" si="210"/>
        <v>#DIV/0!</v>
      </c>
      <c r="K17535" s="398"/>
      <c r="L17535" s="398"/>
      <c r="M17535" s="682"/>
    </row>
    <row r="17536" spans="1:27" hidden="1" x14ac:dyDescent="0.2">
      <c r="F17536" s="494">
        <v>412</v>
      </c>
      <c r="G17536" s="496" t="s">
        <v>3764</v>
      </c>
      <c r="H17536" s="397"/>
      <c r="I17536" s="397"/>
      <c r="J17536" s="750" t="e">
        <f t="shared" si="210"/>
        <v>#DIV/0!</v>
      </c>
      <c r="K17536" s="398"/>
      <c r="L17536" s="398"/>
      <c r="M17536" s="682"/>
    </row>
    <row r="17537" spans="6:13" hidden="1" x14ac:dyDescent="0.2">
      <c r="F17537" s="494">
        <v>413</v>
      </c>
      <c r="G17537" s="495" t="s">
        <v>4168</v>
      </c>
      <c r="H17537" s="397"/>
      <c r="I17537" s="397"/>
      <c r="J17537" s="750" t="e">
        <f t="shared" si="210"/>
        <v>#DIV/0!</v>
      </c>
      <c r="K17537" s="398"/>
      <c r="L17537" s="398"/>
      <c r="M17537" s="682"/>
    </row>
    <row r="17538" spans="6:13" hidden="1" x14ac:dyDescent="0.2">
      <c r="F17538" s="494">
        <v>414</v>
      </c>
      <c r="G17538" s="495" t="s">
        <v>3767</v>
      </c>
      <c r="H17538" s="397"/>
      <c r="I17538" s="397"/>
      <c r="J17538" s="750" t="e">
        <f t="shared" si="210"/>
        <v>#DIV/0!</v>
      </c>
      <c r="K17538" s="398"/>
      <c r="L17538" s="398"/>
      <c r="M17538" s="682"/>
    </row>
    <row r="17539" spans="6:13" hidden="1" x14ac:dyDescent="0.2">
      <c r="F17539" s="494">
        <v>415</v>
      </c>
      <c r="G17539" s="495" t="s">
        <v>4177</v>
      </c>
      <c r="H17539" s="397"/>
      <c r="I17539" s="397"/>
      <c r="J17539" s="750" t="e">
        <f t="shared" si="210"/>
        <v>#DIV/0!</v>
      </c>
      <c r="K17539" s="398"/>
      <c r="L17539" s="398"/>
      <c r="M17539" s="682"/>
    </row>
    <row r="17540" spans="6:13" ht="25.5" hidden="1" x14ac:dyDescent="0.2">
      <c r="F17540" s="494">
        <v>416</v>
      </c>
      <c r="G17540" s="495" t="s">
        <v>4178</v>
      </c>
      <c r="H17540" s="397"/>
      <c r="I17540" s="397"/>
      <c r="J17540" s="750" t="e">
        <f t="shared" si="210"/>
        <v>#DIV/0!</v>
      </c>
      <c r="K17540" s="398"/>
      <c r="L17540" s="398"/>
      <c r="M17540" s="682"/>
    </row>
    <row r="17541" spans="6:13" hidden="1" x14ac:dyDescent="0.2">
      <c r="F17541" s="494">
        <v>417</v>
      </c>
      <c r="G17541" s="495" t="s">
        <v>4179</v>
      </c>
      <c r="H17541" s="397"/>
      <c r="I17541" s="397"/>
      <c r="J17541" s="750" t="e">
        <f t="shared" si="210"/>
        <v>#DIV/0!</v>
      </c>
      <c r="K17541" s="398"/>
      <c r="L17541" s="398"/>
      <c r="M17541" s="682"/>
    </row>
    <row r="17542" spans="6:13" hidden="1" x14ac:dyDescent="0.2">
      <c r="F17542" s="494">
        <v>418</v>
      </c>
      <c r="G17542" s="495" t="s">
        <v>3773</v>
      </c>
      <c r="H17542" s="397"/>
      <c r="I17542" s="397"/>
      <c r="J17542" s="750" t="e">
        <f t="shared" si="210"/>
        <v>#DIV/0!</v>
      </c>
      <c r="K17542" s="398"/>
      <c r="L17542" s="398"/>
      <c r="M17542" s="682"/>
    </row>
    <row r="17543" spans="6:13" hidden="1" x14ac:dyDescent="0.2">
      <c r="F17543" s="494">
        <v>421</v>
      </c>
      <c r="G17543" s="495" t="s">
        <v>3777</v>
      </c>
      <c r="H17543" s="397"/>
      <c r="I17543" s="397"/>
      <c r="J17543" s="750" t="e">
        <f t="shared" si="210"/>
        <v>#DIV/0!</v>
      </c>
      <c r="K17543" s="398"/>
      <c r="L17543" s="398"/>
      <c r="M17543" s="682"/>
    </row>
    <row r="17544" spans="6:13" hidden="1" x14ac:dyDescent="0.2">
      <c r="F17544" s="494">
        <v>422</v>
      </c>
      <c r="G17544" s="495" t="s">
        <v>3778</v>
      </c>
      <c r="H17544" s="397"/>
      <c r="I17544" s="397"/>
      <c r="J17544" s="750" t="e">
        <f t="shared" si="210"/>
        <v>#DIV/0!</v>
      </c>
      <c r="K17544" s="398"/>
      <c r="L17544" s="398"/>
      <c r="M17544" s="682"/>
    </row>
    <row r="17545" spans="6:13" hidden="1" x14ac:dyDescent="0.2">
      <c r="F17545" s="494">
        <v>423</v>
      </c>
      <c r="G17545" s="495" t="s">
        <v>3779</v>
      </c>
      <c r="H17545" s="397"/>
      <c r="I17545" s="397"/>
      <c r="J17545" s="750" t="e">
        <f t="shared" si="210"/>
        <v>#DIV/0!</v>
      </c>
      <c r="K17545" s="398"/>
      <c r="L17545" s="398"/>
      <c r="M17545" s="682"/>
    </row>
    <row r="17546" spans="6:13" hidden="1" x14ac:dyDescent="0.2">
      <c r="F17546" s="494">
        <v>424</v>
      </c>
      <c r="G17546" s="495" t="s">
        <v>3781</v>
      </c>
      <c r="H17546" s="397"/>
      <c r="I17546" s="397"/>
      <c r="J17546" s="750" t="e">
        <f t="shared" si="210"/>
        <v>#DIV/0!</v>
      </c>
      <c r="K17546" s="398"/>
      <c r="L17546" s="398"/>
      <c r="M17546" s="682"/>
    </row>
    <row r="17547" spans="6:13" hidden="1" x14ac:dyDescent="0.2">
      <c r="F17547" s="494">
        <v>425</v>
      </c>
      <c r="G17547" s="495" t="s">
        <v>4180</v>
      </c>
      <c r="H17547" s="397"/>
      <c r="I17547" s="397"/>
      <c r="J17547" s="750" t="e">
        <f t="shared" si="210"/>
        <v>#DIV/0!</v>
      </c>
      <c r="K17547" s="398"/>
      <c r="L17547" s="398"/>
      <c r="M17547" s="682"/>
    </row>
    <row r="17548" spans="6:13" hidden="1" x14ac:dyDescent="0.2">
      <c r="F17548" s="494">
        <v>426</v>
      </c>
      <c r="G17548" s="495" t="s">
        <v>3785</v>
      </c>
      <c r="H17548" s="397"/>
      <c r="I17548" s="397"/>
      <c r="J17548" s="750" t="e">
        <f t="shared" si="210"/>
        <v>#DIV/0!</v>
      </c>
      <c r="K17548" s="398"/>
      <c r="L17548" s="398"/>
      <c r="M17548" s="682"/>
    </row>
    <row r="17549" spans="6:13" hidden="1" x14ac:dyDescent="0.2">
      <c r="F17549" s="494">
        <v>431</v>
      </c>
      <c r="G17549" s="495" t="s">
        <v>4181</v>
      </c>
      <c r="H17549" s="397"/>
      <c r="I17549" s="397"/>
      <c r="J17549" s="750" t="e">
        <f t="shared" si="210"/>
        <v>#DIV/0!</v>
      </c>
      <c r="K17549" s="398"/>
      <c r="L17549" s="398"/>
      <c r="M17549" s="682"/>
    </row>
    <row r="17550" spans="6:13" hidden="1" x14ac:dyDescent="0.2">
      <c r="F17550" s="494">
        <v>432</v>
      </c>
      <c r="G17550" s="495" t="s">
        <v>4182</v>
      </c>
      <c r="H17550" s="397"/>
      <c r="I17550" s="397"/>
      <c r="J17550" s="750" t="e">
        <f t="shared" ref="J17550:J17613" si="211">SUM(I17550/H17550)*100</f>
        <v>#DIV/0!</v>
      </c>
      <c r="K17550" s="398"/>
      <c r="L17550" s="398"/>
      <c r="M17550" s="682"/>
    </row>
    <row r="17551" spans="6:13" hidden="1" x14ac:dyDescent="0.2">
      <c r="F17551" s="494">
        <v>433</v>
      </c>
      <c r="G17551" s="495" t="s">
        <v>4183</v>
      </c>
      <c r="H17551" s="397"/>
      <c r="I17551" s="397"/>
      <c r="J17551" s="750" t="e">
        <f t="shared" si="211"/>
        <v>#DIV/0!</v>
      </c>
      <c r="K17551" s="398"/>
      <c r="L17551" s="398"/>
      <c r="M17551" s="682"/>
    </row>
    <row r="17552" spans="6:13" hidden="1" x14ac:dyDescent="0.2">
      <c r="F17552" s="494">
        <v>434</v>
      </c>
      <c r="G17552" s="495" t="s">
        <v>4184</v>
      </c>
      <c r="H17552" s="397"/>
      <c r="I17552" s="397"/>
      <c r="J17552" s="750" t="e">
        <f t="shared" si="211"/>
        <v>#DIV/0!</v>
      </c>
      <c r="K17552" s="398"/>
      <c r="L17552" s="398"/>
      <c r="M17552" s="682"/>
    </row>
    <row r="17553" spans="6:13" hidden="1" x14ac:dyDescent="0.2">
      <c r="F17553" s="494">
        <v>435</v>
      </c>
      <c r="G17553" s="495" t="s">
        <v>3792</v>
      </c>
      <c r="H17553" s="397"/>
      <c r="I17553" s="397"/>
      <c r="J17553" s="750" t="e">
        <f t="shared" si="211"/>
        <v>#DIV/0!</v>
      </c>
      <c r="K17553" s="398"/>
      <c r="L17553" s="398"/>
      <c r="M17553" s="682"/>
    </row>
    <row r="17554" spans="6:13" hidden="1" x14ac:dyDescent="0.2">
      <c r="F17554" s="494">
        <v>441</v>
      </c>
      <c r="G17554" s="495" t="s">
        <v>4185</v>
      </c>
      <c r="H17554" s="397"/>
      <c r="I17554" s="397"/>
      <c r="J17554" s="750" t="e">
        <f t="shared" si="211"/>
        <v>#DIV/0!</v>
      </c>
      <c r="K17554" s="398"/>
      <c r="L17554" s="398"/>
      <c r="M17554" s="682"/>
    </row>
    <row r="17555" spans="6:13" hidden="1" x14ac:dyDescent="0.2">
      <c r="F17555" s="494">
        <v>442</v>
      </c>
      <c r="G17555" s="495" t="s">
        <v>4186</v>
      </c>
      <c r="H17555" s="397"/>
      <c r="I17555" s="397"/>
      <c r="J17555" s="750" t="e">
        <f t="shared" si="211"/>
        <v>#DIV/0!</v>
      </c>
      <c r="K17555" s="398"/>
      <c r="L17555" s="398"/>
      <c r="M17555" s="682"/>
    </row>
    <row r="17556" spans="6:13" hidden="1" x14ac:dyDescent="0.2">
      <c r="F17556" s="494">
        <v>443</v>
      </c>
      <c r="G17556" s="495" t="s">
        <v>3797</v>
      </c>
      <c r="H17556" s="397"/>
      <c r="I17556" s="397"/>
      <c r="J17556" s="750" t="e">
        <f t="shared" si="211"/>
        <v>#DIV/0!</v>
      </c>
      <c r="K17556" s="398"/>
      <c r="L17556" s="398"/>
      <c r="M17556" s="682"/>
    </row>
    <row r="17557" spans="6:13" hidden="1" x14ac:dyDescent="0.2">
      <c r="F17557" s="494">
        <v>444</v>
      </c>
      <c r="G17557" s="495" t="s">
        <v>3798</v>
      </c>
      <c r="H17557" s="397"/>
      <c r="I17557" s="397"/>
      <c r="J17557" s="750" t="e">
        <f t="shared" si="211"/>
        <v>#DIV/0!</v>
      </c>
      <c r="K17557" s="398"/>
      <c r="L17557" s="398"/>
      <c r="M17557" s="682"/>
    </row>
    <row r="17558" spans="6:13" ht="25.5" hidden="1" x14ac:dyDescent="0.2">
      <c r="F17558" s="494">
        <v>4511</v>
      </c>
      <c r="G17558" s="466" t="s">
        <v>1692</v>
      </c>
      <c r="H17558" s="397"/>
      <c r="I17558" s="397"/>
      <c r="J17558" s="750" t="e">
        <f t="shared" si="211"/>
        <v>#DIV/0!</v>
      </c>
      <c r="K17558" s="398"/>
      <c r="L17558" s="398"/>
      <c r="M17558" s="682"/>
    </row>
    <row r="17559" spans="6:13" ht="25.5" hidden="1" x14ac:dyDescent="0.2">
      <c r="F17559" s="494">
        <v>4512</v>
      </c>
      <c r="G17559" s="466" t="s">
        <v>1701</v>
      </c>
      <c r="H17559" s="397"/>
      <c r="I17559" s="397"/>
      <c r="J17559" s="750" t="e">
        <f t="shared" si="211"/>
        <v>#DIV/0!</v>
      </c>
      <c r="K17559" s="398"/>
      <c r="L17559" s="398"/>
      <c r="M17559" s="682"/>
    </row>
    <row r="17560" spans="6:13" ht="25.5" hidden="1" x14ac:dyDescent="0.2">
      <c r="F17560" s="494">
        <v>452</v>
      </c>
      <c r="G17560" s="495" t="s">
        <v>4187</v>
      </c>
      <c r="H17560" s="397"/>
      <c r="I17560" s="397"/>
      <c r="J17560" s="750" t="e">
        <f t="shared" si="211"/>
        <v>#DIV/0!</v>
      </c>
      <c r="K17560" s="398"/>
      <c r="L17560" s="398"/>
      <c r="M17560" s="682"/>
    </row>
    <row r="17561" spans="6:13" ht="25.5" hidden="1" x14ac:dyDescent="0.2">
      <c r="F17561" s="494">
        <v>453</v>
      </c>
      <c r="G17561" s="495" t="s">
        <v>4188</v>
      </c>
      <c r="H17561" s="397"/>
      <c r="I17561" s="397"/>
      <c r="J17561" s="750" t="e">
        <f t="shared" si="211"/>
        <v>#DIV/0!</v>
      </c>
      <c r="K17561" s="398"/>
      <c r="L17561" s="398"/>
      <c r="M17561" s="682"/>
    </row>
    <row r="17562" spans="6:13" hidden="1" x14ac:dyDescent="0.2">
      <c r="F17562" s="494">
        <v>454</v>
      </c>
      <c r="G17562" s="495" t="s">
        <v>3803</v>
      </c>
      <c r="H17562" s="397"/>
      <c r="I17562" s="397"/>
      <c r="J17562" s="750" t="e">
        <f t="shared" si="211"/>
        <v>#DIV/0!</v>
      </c>
      <c r="K17562" s="398"/>
      <c r="L17562" s="398"/>
      <c r="M17562" s="682"/>
    </row>
    <row r="17563" spans="6:13" hidden="1" x14ac:dyDescent="0.2">
      <c r="F17563" s="494">
        <v>461</v>
      </c>
      <c r="G17563" s="495" t="s">
        <v>4169</v>
      </c>
      <c r="H17563" s="397"/>
      <c r="I17563" s="397"/>
      <c r="J17563" s="750" t="e">
        <f t="shared" si="211"/>
        <v>#DIV/0!</v>
      </c>
      <c r="K17563" s="398"/>
      <c r="L17563" s="398"/>
      <c r="M17563" s="682"/>
    </row>
    <row r="17564" spans="6:13" ht="25.5" hidden="1" x14ac:dyDescent="0.2">
      <c r="F17564" s="494">
        <v>462</v>
      </c>
      <c r="G17564" s="495" t="s">
        <v>3806</v>
      </c>
      <c r="H17564" s="397"/>
      <c r="I17564" s="397"/>
      <c r="J17564" s="750" t="e">
        <f t="shared" si="211"/>
        <v>#DIV/0!</v>
      </c>
      <c r="K17564" s="398"/>
      <c r="L17564" s="398"/>
      <c r="M17564" s="682"/>
    </row>
    <row r="17565" spans="6:13" hidden="1" x14ac:dyDescent="0.2">
      <c r="F17565" s="494">
        <v>4631</v>
      </c>
      <c r="G17565" s="495" t="s">
        <v>3807</v>
      </c>
      <c r="H17565" s="397"/>
      <c r="I17565" s="397"/>
      <c r="J17565" s="750" t="e">
        <f t="shared" si="211"/>
        <v>#DIV/0!</v>
      </c>
      <c r="K17565" s="398"/>
      <c r="L17565" s="398"/>
      <c r="M17565" s="682"/>
    </row>
    <row r="17566" spans="6:13" hidden="1" x14ac:dyDescent="0.2">
      <c r="F17566" s="494">
        <v>4632</v>
      </c>
      <c r="G17566" s="495" t="s">
        <v>3808</v>
      </c>
      <c r="H17566" s="397"/>
      <c r="I17566" s="397"/>
      <c r="J17566" s="750" t="e">
        <f t="shared" si="211"/>
        <v>#DIV/0!</v>
      </c>
      <c r="K17566" s="398"/>
      <c r="L17566" s="398"/>
      <c r="M17566" s="682"/>
    </row>
    <row r="17567" spans="6:13" ht="25.5" hidden="1" x14ac:dyDescent="0.2">
      <c r="F17567" s="494">
        <v>464</v>
      </c>
      <c r="G17567" s="495" t="s">
        <v>3809</v>
      </c>
      <c r="H17567" s="397"/>
      <c r="I17567" s="397"/>
      <c r="J17567" s="750" t="e">
        <f t="shared" si="211"/>
        <v>#DIV/0!</v>
      </c>
      <c r="K17567" s="398"/>
      <c r="L17567" s="398"/>
      <c r="M17567" s="682"/>
    </row>
    <row r="17568" spans="6:13" hidden="1" x14ac:dyDescent="0.2">
      <c r="F17568" s="494">
        <v>465</v>
      </c>
      <c r="G17568" s="495" t="s">
        <v>4170</v>
      </c>
      <c r="H17568" s="397"/>
      <c r="I17568" s="397"/>
      <c r="J17568" s="750" t="e">
        <f t="shared" si="211"/>
        <v>#DIV/0!</v>
      </c>
      <c r="K17568" s="398"/>
      <c r="L17568" s="398"/>
      <c r="M17568" s="682"/>
    </row>
    <row r="17569" spans="6:13" hidden="1" x14ac:dyDescent="0.2">
      <c r="F17569" s="494">
        <v>472</v>
      </c>
      <c r="G17569" s="495" t="s">
        <v>3813</v>
      </c>
      <c r="H17569" s="397"/>
      <c r="I17569" s="397"/>
      <c r="J17569" s="750" t="e">
        <f t="shared" si="211"/>
        <v>#DIV/0!</v>
      </c>
      <c r="K17569" s="398"/>
      <c r="L17569" s="398"/>
      <c r="M17569" s="682"/>
    </row>
    <row r="17570" spans="6:13" hidden="1" x14ac:dyDescent="0.2">
      <c r="F17570" s="494">
        <v>481</v>
      </c>
      <c r="G17570" s="495" t="s">
        <v>4189</v>
      </c>
      <c r="H17570" s="397"/>
      <c r="I17570" s="397"/>
      <c r="J17570" s="750" t="e">
        <f t="shared" si="211"/>
        <v>#DIV/0!</v>
      </c>
      <c r="K17570" s="398"/>
      <c r="L17570" s="398"/>
      <c r="M17570" s="682"/>
    </row>
    <row r="17571" spans="6:13" hidden="1" x14ac:dyDescent="0.2">
      <c r="F17571" s="494">
        <v>482</v>
      </c>
      <c r="G17571" s="495" t="s">
        <v>4190</v>
      </c>
      <c r="H17571" s="397"/>
      <c r="I17571" s="397"/>
      <c r="J17571" s="750" t="e">
        <f t="shared" si="211"/>
        <v>#DIV/0!</v>
      </c>
      <c r="K17571" s="398"/>
      <c r="L17571" s="398"/>
      <c r="M17571" s="682"/>
    </row>
    <row r="17572" spans="6:13" hidden="1" x14ac:dyDescent="0.2">
      <c r="F17572" s="494">
        <v>483</v>
      </c>
      <c r="G17572" s="497" t="s">
        <v>4191</v>
      </c>
      <c r="H17572" s="397"/>
      <c r="I17572" s="397"/>
      <c r="J17572" s="750" t="e">
        <f t="shared" si="211"/>
        <v>#DIV/0!</v>
      </c>
      <c r="K17572" s="398"/>
      <c r="L17572" s="398"/>
      <c r="M17572" s="682"/>
    </row>
    <row r="17573" spans="6:13" ht="38.25" hidden="1" x14ac:dyDescent="0.2">
      <c r="F17573" s="494">
        <v>484</v>
      </c>
      <c r="G17573" s="495" t="s">
        <v>4192</v>
      </c>
      <c r="H17573" s="397"/>
      <c r="I17573" s="397"/>
      <c r="J17573" s="750" t="e">
        <f t="shared" si="211"/>
        <v>#DIV/0!</v>
      </c>
      <c r="K17573" s="398"/>
      <c r="L17573" s="398"/>
      <c r="M17573" s="682"/>
    </row>
    <row r="17574" spans="6:13" ht="25.5" hidden="1" x14ac:dyDescent="0.2">
      <c r="F17574" s="494">
        <v>485</v>
      </c>
      <c r="G17574" s="495" t="s">
        <v>4193</v>
      </c>
      <c r="H17574" s="397"/>
      <c r="I17574" s="397"/>
      <c r="J17574" s="750" t="e">
        <f t="shared" si="211"/>
        <v>#DIV/0!</v>
      </c>
      <c r="K17574" s="398"/>
      <c r="L17574" s="398"/>
      <c r="M17574" s="682"/>
    </row>
    <row r="17575" spans="6:13" ht="25.5" hidden="1" x14ac:dyDescent="0.2">
      <c r="F17575" s="494">
        <v>489</v>
      </c>
      <c r="G17575" s="495" t="s">
        <v>3821</v>
      </c>
      <c r="H17575" s="397"/>
      <c r="I17575" s="397"/>
      <c r="J17575" s="750" t="e">
        <f t="shared" si="211"/>
        <v>#DIV/0!</v>
      </c>
      <c r="K17575" s="398"/>
      <c r="L17575" s="398"/>
      <c r="M17575" s="682"/>
    </row>
    <row r="17576" spans="6:13" ht="25.5" hidden="1" x14ac:dyDescent="0.2">
      <c r="F17576" s="494">
        <v>494</v>
      </c>
      <c r="G17576" s="495" t="s">
        <v>4171</v>
      </c>
      <c r="H17576" s="397"/>
      <c r="I17576" s="397"/>
      <c r="J17576" s="750" t="e">
        <f t="shared" si="211"/>
        <v>#DIV/0!</v>
      </c>
      <c r="K17576" s="398"/>
      <c r="L17576" s="398"/>
      <c r="M17576" s="682"/>
    </row>
    <row r="17577" spans="6:13" ht="25.5" hidden="1" x14ac:dyDescent="0.2">
      <c r="F17577" s="494">
        <v>495</v>
      </c>
      <c r="G17577" s="495" t="s">
        <v>4172</v>
      </c>
      <c r="H17577" s="397"/>
      <c r="I17577" s="397"/>
      <c r="J17577" s="750" t="e">
        <f t="shared" si="211"/>
        <v>#DIV/0!</v>
      </c>
      <c r="K17577" s="398"/>
      <c r="L17577" s="398"/>
      <c r="M17577" s="682"/>
    </row>
    <row r="17578" spans="6:13" ht="38.25" hidden="1" x14ac:dyDescent="0.2">
      <c r="F17578" s="494">
        <v>496</v>
      </c>
      <c r="G17578" s="495" t="s">
        <v>4173</v>
      </c>
      <c r="H17578" s="397"/>
      <c r="I17578" s="397"/>
      <c r="J17578" s="750" t="e">
        <f t="shared" si="211"/>
        <v>#DIV/0!</v>
      </c>
      <c r="K17578" s="398"/>
      <c r="L17578" s="398"/>
      <c r="M17578" s="682"/>
    </row>
    <row r="17579" spans="6:13" ht="25.5" hidden="1" x14ac:dyDescent="0.2">
      <c r="F17579" s="494">
        <v>499</v>
      </c>
      <c r="G17579" s="495" t="s">
        <v>4174</v>
      </c>
      <c r="H17579" s="397"/>
      <c r="I17579" s="397"/>
      <c r="J17579" s="750" t="e">
        <f t="shared" si="211"/>
        <v>#DIV/0!</v>
      </c>
      <c r="K17579" s="398"/>
      <c r="L17579" s="398"/>
      <c r="M17579" s="682"/>
    </row>
    <row r="17580" spans="6:13" hidden="1" x14ac:dyDescent="0.2">
      <c r="F17580" s="494">
        <v>511</v>
      </c>
      <c r="G17580" s="497" t="s">
        <v>4194</v>
      </c>
      <c r="H17580" s="397"/>
      <c r="I17580" s="397"/>
      <c r="J17580" s="750" t="e">
        <f t="shared" si="211"/>
        <v>#DIV/0!</v>
      </c>
      <c r="K17580" s="398"/>
      <c r="L17580" s="398"/>
      <c r="M17580" s="682"/>
    </row>
    <row r="17581" spans="6:13" hidden="1" x14ac:dyDescent="0.2">
      <c r="F17581" s="494">
        <v>512</v>
      </c>
      <c r="G17581" s="497" t="s">
        <v>4195</v>
      </c>
      <c r="H17581" s="397"/>
      <c r="I17581" s="397"/>
      <c r="J17581" s="750" t="e">
        <f t="shared" si="211"/>
        <v>#DIV/0!</v>
      </c>
      <c r="K17581" s="398"/>
      <c r="L17581" s="398"/>
      <c r="M17581" s="682"/>
    </row>
    <row r="17582" spans="6:13" hidden="1" x14ac:dyDescent="0.2">
      <c r="F17582" s="494">
        <v>513</v>
      </c>
      <c r="G17582" s="497" t="s">
        <v>4196</v>
      </c>
      <c r="H17582" s="397"/>
      <c r="I17582" s="397"/>
      <c r="J17582" s="750" t="e">
        <f t="shared" si="211"/>
        <v>#DIV/0!</v>
      </c>
      <c r="K17582" s="398"/>
      <c r="L17582" s="398"/>
      <c r="M17582" s="682"/>
    </row>
    <row r="17583" spans="6:13" hidden="1" x14ac:dyDescent="0.2">
      <c r="F17583" s="494">
        <v>514</v>
      </c>
      <c r="G17583" s="495" t="s">
        <v>4197</v>
      </c>
      <c r="H17583" s="397"/>
      <c r="I17583" s="397"/>
      <c r="J17583" s="750" t="e">
        <f t="shared" si="211"/>
        <v>#DIV/0!</v>
      </c>
      <c r="K17583" s="398"/>
      <c r="L17583" s="398"/>
      <c r="M17583" s="682"/>
    </row>
    <row r="17584" spans="6:13" hidden="1" x14ac:dyDescent="0.2">
      <c r="F17584" s="494">
        <v>515</v>
      </c>
      <c r="G17584" s="495" t="s">
        <v>3832</v>
      </c>
      <c r="H17584" s="397"/>
      <c r="I17584" s="397"/>
      <c r="J17584" s="750" t="e">
        <f t="shared" si="211"/>
        <v>#DIV/0!</v>
      </c>
      <c r="K17584" s="398"/>
      <c r="L17584" s="398"/>
      <c r="M17584" s="682"/>
    </row>
    <row r="17585" spans="5:13" hidden="1" x14ac:dyDescent="0.2">
      <c r="F17585" s="494">
        <v>521</v>
      </c>
      <c r="G17585" s="495" t="s">
        <v>4198</v>
      </c>
      <c r="H17585" s="397"/>
      <c r="I17585" s="397"/>
      <c r="J17585" s="750" t="e">
        <f t="shared" si="211"/>
        <v>#DIV/0!</v>
      </c>
      <c r="K17585" s="398"/>
      <c r="L17585" s="398"/>
      <c r="M17585" s="682"/>
    </row>
    <row r="17586" spans="5:13" hidden="1" x14ac:dyDescent="0.2">
      <c r="F17586" s="494">
        <v>522</v>
      </c>
      <c r="G17586" s="495" t="s">
        <v>4199</v>
      </c>
      <c r="H17586" s="397"/>
      <c r="I17586" s="397"/>
      <c r="J17586" s="750" t="e">
        <f t="shared" si="211"/>
        <v>#DIV/0!</v>
      </c>
      <c r="K17586" s="398"/>
      <c r="L17586" s="398"/>
      <c r="M17586" s="682"/>
    </row>
    <row r="17587" spans="5:13" hidden="1" x14ac:dyDescent="0.2">
      <c r="F17587" s="494">
        <v>523</v>
      </c>
      <c r="G17587" s="495" t="s">
        <v>3837</v>
      </c>
      <c r="H17587" s="397"/>
      <c r="I17587" s="397"/>
      <c r="J17587" s="750" t="e">
        <f t="shared" si="211"/>
        <v>#DIV/0!</v>
      </c>
      <c r="K17587" s="398"/>
      <c r="L17587" s="398"/>
      <c r="M17587" s="682"/>
    </row>
    <row r="17588" spans="5:13" hidden="1" x14ac:dyDescent="0.2">
      <c r="F17588" s="494">
        <v>531</v>
      </c>
      <c r="G17588" s="496" t="s">
        <v>4175</v>
      </c>
      <c r="H17588" s="397"/>
      <c r="I17588" s="397"/>
      <c r="J17588" s="750" t="e">
        <f t="shared" si="211"/>
        <v>#DIV/0!</v>
      </c>
      <c r="K17588" s="398"/>
      <c r="L17588" s="398"/>
      <c r="M17588" s="682"/>
    </row>
    <row r="17589" spans="5:13" hidden="1" x14ac:dyDescent="0.2">
      <c r="F17589" s="494">
        <v>541</v>
      </c>
      <c r="G17589" s="495" t="s">
        <v>4200</v>
      </c>
      <c r="H17589" s="397"/>
      <c r="I17589" s="397"/>
      <c r="J17589" s="750" t="e">
        <f t="shared" si="211"/>
        <v>#DIV/0!</v>
      </c>
      <c r="K17589" s="398"/>
      <c r="L17589" s="398"/>
      <c r="M17589" s="682"/>
    </row>
    <row r="17590" spans="5:13" hidden="1" x14ac:dyDescent="0.2">
      <c r="F17590" s="494">
        <v>542</v>
      </c>
      <c r="G17590" s="495" t="s">
        <v>4201</v>
      </c>
      <c r="H17590" s="397"/>
      <c r="I17590" s="397"/>
      <c r="J17590" s="750" t="e">
        <f t="shared" si="211"/>
        <v>#DIV/0!</v>
      </c>
      <c r="K17590" s="398"/>
      <c r="L17590" s="398"/>
      <c r="M17590" s="682"/>
    </row>
    <row r="17591" spans="5:13" hidden="1" x14ac:dyDescent="0.2">
      <c r="F17591" s="494">
        <v>543</v>
      </c>
      <c r="G17591" s="495" t="s">
        <v>3842</v>
      </c>
      <c r="H17591" s="397"/>
      <c r="I17591" s="397"/>
      <c r="J17591" s="750" t="e">
        <f t="shared" si="211"/>
        <v>#DIV/0!</v>
      </c>
      <c r="K17591" s="398"/>
      <c r="L17591" s="398"/>
      <c r="M17591" s="682"/>
    </row>
    <row r="17592" spans="5:13" ht="38.25" hidden="1" x14ac:dyDescent="0.2">
      <c r="F17592" s="494">
        <v>551</v>
      </c>
      <c r="G17592" s="495" t="s">
        <v>4176</v>
      </c>
      <c r="H17592" s="397"/>
      <c r="I17592" s="397"/>
      <c r="J17592" s="750" t="e">
        <f t="shared" si="211"/>
        <v>#DIV/0!</v>
      </c>
      <c r="K17592" s="398"/>
      <c r="L17592" s="398"/>
      <c r="M17592" s="682"/>
    </row>
    <row r="17593" spans="5:13" hidden="1" x14ac:dyDescent="0.2">
      <c r="F17593" s="498">
        <v>611</v>
      </c>
      <c r="G17593" s="499" t="s">
        <v>3848</v>
      </c>
      <c r="H17593" s="397"/>
      <c r="I17593" s="397"/>
      <c r="J17593" s="750" t="e">
        <f t="shared" si="211"/>
        <v>#DIV/0!</v>
      </c>
      <c r="K17593" s="398"/>
      <c r="L17593" s="398"/>
      <c r="M17593" s="682"/>
    </row>
    <row r="17594" spans="5:13" hidden="1" x14ac:dyDescent="0.2">
      <c r="F17594" s="498">
        <v>620</v>
      </c>
      <c r="G17594" s="499" t="s">
        <v>88</v>
      </c>
      <c r="H17594" s="397"/>
      <c r="I17594" s="397"/>
      <c r="J17594" s="750" t="e">
        <f t="shared" si="211"/>
        <v>#DIV/0!</v>
      </c>
      <c r="K17594" s="398"/>
      <c r="L17594" s="398"/>
      <c r="M17594" s="682"/>
    </row>
    <row r="17595" spans="5:13" hidden="1" x14ac:dyDescent="0.2">
      <c r="E17595" s="500"/>
      <c r="F17595" s="498"/>
      <c r="G17595" s="509" t="s">
        <v>4366</v>
      </c>
      <c r="H17595" s="400"/>
      <c r="I17595" s="400"/>
      <c r="J17595" s="750" t="e">
        <f t="shared" si="211"/>
        <v>#DIV/0!</v>
      </c>
      <c r="K17595" s="401"/>
      <c r="L17595" s="402"/>
      <c r="M17595" s="682"/>
    </row>
    <row r="17596" spans="5:13" hidden="1" x14ac:dyDescent="0.2">
      <c r="E17596" s="502"/>
      <c r="F17596" s="503" t="s">
        <v>234</v>
      </c>
      <c r="G17596" s="504" t="s">
        <v>235</v>
      </c>
      <c r="H17596" s="403">
        <f>SUM(H17535:H17594)</f>
        <v>0</v>
      </c>
      <c r="I17596" s="403"/>
      <c r="J17596" s="750" t="e">
        <f t="shared" si="211"/>
        <v>#DIV/0!</v>
      </c>
      <c r="K17596" s="404"/>
      <c r="L17596" s="404"/>
      <c r="M17596" s="682"/>
    </row>
    <row r="17597" spans="5:13" hidden="1" x14ac:dyDescent="0.2">
      <c r="F17597" s="503" t="s">
        <v>236</v>
      </c>
      <c r="G17597" s="504" t="s">
        <v>237</v>
      </c>
      <c r="H17597" s="397"/>
      <c r="I17597" s="397"/>
      <c r="J17597" s="750" t="e">
        <f t="shared" si="211"/>
        <v>#DIV/0!</v>
      </c>
      <c r="K17597" s="398"/>
      <c r="L17597" s="404"/>
      <c r="M17597" s="682"/>
    </row>
    <row r="17598" spans="5:13" hidden="1" x14ac:dyDescent="0.2">
      <c r="F17598" s="503" t="s">
        <v>238</v>
      </c>
      <c r="G17598" s="504" t="s">
        <v>239</v>
      </c>
      <c r="H17598" s="397"/>
      <c r="I17598" s="397"/>
      <c r="J17598" s="750" t="e">
        <f t="shared" si="211"/>
        <v>#DIV/0!</v>
      </c>
      <c r="K17598" s="398"/>
      <c r="L17598" s="404"/>
      <c r="M17598" s="682"/>
    </row>
    <row r="17599" spans="5:13" hidden="1" x14ac:dyDescent="0.2">
      <c r="F17599" s="503" t="s">
        <v>240</v>
      </c>
      <c r="G17599" s="504" t="s">
        <v>241</v>
      </c>
      <c r="H17599" s="397"/>
      <c r="I17599" s="397"/>
      <c r="J17599" s="750" t="e">
        <f t="shared" si="211"/>
        <v>#DIV/0!</v>
      </c>
      <c r="K17599" s="398"/>
      <c r="L17599" s="404"/>
      <c r="M17599" s="682"/>
    </row>
    <row r="17600" spans="5:13" hidden="1" x14ac:dyDescent="0.2">
      <c r="F17600" s="503" t="s">
        <v>242</v>
      </c>
      <c r="G17600" s="504" t="s">
        <v>243</v>
      </c>
      <c r="H17600" s="397"/>
      <c r="I17600" s="397"/>
      <c r="J17600" s="750" t="e">
        <f t="shared" si="211"/>
        <v>#DIV/0!</v>
      </c>
      <c r="K17600" s="398"/>
      <c r="L17600" s="404"/>
      <c r="M17600" s="682"/>
    </row>
    <row r="17601" spans="5:13" hidden="1" x14ac:dyDescent="0.2">
      <c r="F17601" s="503" t="s">
        <v>244</v>
      </c>
      <c r="G17601" s="504" t="s">
        <v>245</v>
      </c>
      <c r="H17601" s="397"/>
      <c r="I17601" s="397"/>
      <c r="J17601" s="750" t="e">
        <f t="shared" si="211"/>
        <v>#DIV/0!</v>
      </c>
      <c r="K17601" s="398"/>
      <c r="L17601" s="404"/>
      <c r="M17601" s="682"/>
    </row>
    <row r="17602" spans="5:13" hidden="1" x14ac:dyDescent="0.2">
      <c r="F17602" s="503" t="s">
        <v>246</v>
      </c>
      <c r="G17602" s="504" t="s">
        <v>247</v>
      </c>
      <c r="H17602" s="397"/>
      <c r="I17602" s="397"/>
      <c r="J17602" s="750" t="e">
        <f t="shared" si="211"/>
        <v>#DIV/0!</v>
      </c>
      <c r="K17602" s="398"/>
      <c r="L17602" s="404"/>
      <c r="M17602" s="682"/>
    </row>
    <row r="17603" spans="5:13" ht="25.5" hidden="1" x14ac:dyDescent="0.2">
      <c r="F17603" s="503" t="s">
        <v>248</v>
      </c>
      <c r="G17603" s="504" t="s">
        <v>249</v>
      </c>
      <c r="H17603" s="397"/>
      <c r="I17603" s="397"/>
      <c r="J17603" s="750" t="e">
        <f t="shared" si="211"/>
        <v>#DIV/0!</v>
      </c>
      <c r="K17603" s="398"/>
      <c r="L17603" s="404"/>
      <c r="M17603" s="682"/>
    </row>
    <row r="17604" spans="5:13" hidden="1" x14ac:dyDescent="0.2">
      <c r="F17604" s="503" t="s">
        <v>250</v>
      </c>
      <c r="G17604" s="504" t="s">
        <v>57</v>
      </c>
      <c r="H17604" s="397"/>
      <c r="I17604" s="397"/>
      <c r="J17604" s="750" t="e">
        <f t="shared" si="211"/>
        <v>#DIV/0!</v>
      </c>
      <c r="K17604" s="398"/>
      <c r="L17604" s="404"/>
      <c r="M17604" s="682"/>
    </row>
    <row r="17605" spans="5:13" hidden="1" x14ac:dyDescent="0.2">
      <c r="F17605" s="503" t="s">
        <v>251</v>
      </c>
      <c r="G17605" s="504" t="s">
        <v>252</v>
      </c>
      <c r="H17605" s="397"/>
      <c r="I17605" s="397"/>
      <c r="J17605" s="750" t="e">
        <f t="shared" si="211"/>
        <v>#DIV/0!</v>
      </c>
      <c r="K17605" s="398"/>
      <c r="L17605" s="404"/>
      <c r="M17605" s="682"/>
    </row>
    <row r="17606" spans="5:13" hidden="1" x14ac:dyDescent="0.2">
      <c r="F17606" s="503" t="s">
        <v>253</v>
      </c>
      <c r="G17606" s="504" t="s">
        <v>254</v>
      </c>
      <c r="H17606" s="397"/>
      <c r="I17606" s="397"/>
      <c r="J17606" s="750" t="e">
        <f t="shared" si="211"/>
        <v>#DIV/0!</v>
      </c>
      <c r="K17606" s="398"/>
      <c r="L17606" s="404"/>
      <c r="M17606" s="682"/>
    </row>
    <row r="17607" spans="5:13" ht="25.5" hidden="1" x14ac:dyDescent="0.2">
      <c r="F17607" s="503" t="s">
        <v>255</v>
      </c>
      <c r="G17607" s="504" t="s">
        <v>256</v>
      </c>
      <c r="H17607" s="397"/>
      <c r="I17607" s="397"/>
      <c r="J17607" s="750" t="e">
        <f t="shared" si="211"/>
        <v>#DIV/0!</v>
      </c>
      <c r="K17607" s="398"/>
      <c r="L17607" s="404"/>
      <c r="M17607" s="682"/>
    </row>
    <row r="17608" spans="5:13" ht="25.5" hidden="1" x14ac:dyDescent="0.2">
      <c r="F17608" s="503" t="s">
        <v>257</v>
      </c>
      <c r="G17608" s="504" t="s">
        <v>258</v>
      </c>
      <c r="H17608" s="397"/>
      <c r="I17608" s="397"/>
      <c r="J17608" s="750" t="e">
        <f t="shared" si="211"/>
        <v>#DIV/0!</v>
      </c>
      <c r="K17608" s="398"/>
      <c r="L17608" s="404"/>
      <c r="M17608" s="682"/>
    </row>
    <row r="17609" spans="5:13" ht="25.5" hidden="1" x14ac:dyDescent="0.2">
      <c r="F17609" s="503" t="s">
        <v>259</v>
      </c>
      <c r="G17609" s="504" t="s">
        <v>260</v>
      </c>
      <c r="H17609" s="397"/>
      <c r="I17609" s="397"/>
      <c r="J17609" s="750" t="e">
        <f t="shared" si="211"/>
        <v>#DIV/0!</v>
      </c>
      <c r="K17609" s="398"/>
      <c r="L17609" s="404"/>
      <c r="M17609" s="682"/>
    </row>
    <row r="17610" spans="5:13" ht="25.5" hidden="1" x14ac:dyDescent="0.2">
      <c r="F17610" s="503" t="s">
        <v>261</v>
      </c>
      <c r="G17610" s="504" t="s">
        <v>262</v>
      </c>
      <c r="H17610" s="397"/>
      <c r="I17610" s="397"/>
      <c r="J17610" s="750" t="e">
        <f t="shared" si="211"/>
        <v>#DIV/0!</v>
      </c>
      <c r="K17610" s="398"/>
      <c r="L17610" s="404"/>
      <c r="M17610" s="682"/>
    </row>
    <row r="17611" spans="5:13" hidden="1" x14ac:dyDescent="0.2">
      <c r="F17611" s="503" t="s">
        <v>263</v>
      </c>
      <c r="G17611" s="504" t="s">
        <v>264</v>
      </c>
      <c r="H17611" s="403"/>
      <c r="I17611" s="403"/>
      <c r="J17611" s="750" t="e">
        <f t="shared" si="211"/>
        <v>#DIV/0!</v>
      </c>
      <c r="K17611" s="404"/>
      <c r="L17611" s="404"/>
      <c r="M17611" s="682"/>
    </row>
    <row r="17612" spans="5:13" ht="13.5" hidden="1" thickBot="1" x14ac:dyDescent="0.25">
      <c r="G17612" s="505" t="s">
        <v>4367</v>
      </c>
      <c r="H17612" s="405">
        <f>SUM(H17596:H17611)</f>
        <v>0</v>
      </c>
      <c r="I17612" s="405"/>
      <c r="J17612" s="750" t="e">
        <f t="shared" si="211"/>
        <v>#DIV/0!</v>
      </c>
      <c r="K17612" s="406">
        <f>SUM(K17597:K17611)</f>
        <v>0</v>
      </c>
      <c r="L17612" s="406"/>
      <c r="M17612" s="682"/>
    </row>
    <row r="17613" spans="5:13" ht="25.5" hidden="1" collapsed="1" x14ac:dyDescent="0.2">
      <c r="E17613" s="500"/>
      <c r="F17613" s="498"/>
      <c r="G17613" s="506" t="s">
        <v>4460</v>
      </c>
      <c r="H17613" s="407"/>
      <c r="I17613" s="408"/>
      <c r="J17613" s="750" t="e">
        <f t="shared" si="211"/>
        <v>#DIV/0!</v>
      </c>
      <c r="K17613" s="409"/>
      <c r="L17613" s="410"/>
      <c r="M17613" s="682"/>
    </row>
    <row r="17614" spans="5:13" hidden="1" x14ac:dyDescent="0.2">
      <c r="E17614" s="502"/>
      <c r="F17614" s="503" t="s">
        <v>234</v>
      </c>
      <c r="G17614" s="504" t="s">
        <v>235</v>
      </c>
      <c r="H17614" s="403">
        <f>SUM(H17535:H17594)</f>
        <v>0</v>
      </c>
      <c r="I17614" s="403"/>
      <c r="J17614" s="750" t="e">
        <f t="shared" ref="J17614:J17677" si="212">SUM(I17614/H17614)*100</f>
        <v>#DIV/0!</v>
      </c>
      <c r="K17614" s="404"/>
      <c r="L17614" s="404"/>
      <c r="M17614" s="682"/>
    </row>
    <row r="17615" spans="5:13" hidden="1" x14ac:dyDescent="0.2">
      <c r="F17615" s="503" t="s">
        <v>236</v>
      </c>
      <c r="G17615" s="504" t="s">
        <v>237</v>
      </c>
      <c r="H17615" s="397"/>
      <c r="I17615" s="397"/>
      <c r="J17615" s="750" t="e">
        <f t="shared" si="212"/>
        <v>#DIV/0!</v>
      </c>
      <c r="K17615" s="398"/>
      <c r="L17615" s="404"/>
      <c r="M17615" s="682"/>
    </row>
    <row r="17616" spans="5:13" hidden="1" x14ac:dyDescent="0.2">
      <c r="F17616" s="503" t="s">
        <v>238</v>
      </c>
      <c r="G17616" s="504" t="s">
        <v>239</v>
      </c>
      <c r="H17616" s="397"/>
      <c r="I17616" s="397"/>
      <c r="J17616" s="750" t="e">
        <f t="shared" si="212"/>
        <v>#DIV/0!</v>
      </c>
      <c r="K17616" s="398"/>
      <c r="L17616" s="404"/>
      <c r="M17616" s="682"/>
    </row>
    <row r="17617" spans="3:13" hidden="1" x14ac:dyDescent="0.2">
      <c r="F17617" s="503" t="s">
        <v>240</v>
      </c>
      <c r="G17617" s="504" t="s">
        <v>241</v>
      </c>
      <c r="H17617" s="397"/>
      <c r="I17617" s="397"/>
      <c r="J17617" s="750" t="e">
        <f t="shared" si="212"/>
        <v>#DIV/0!</v>
      </c>
      <c r="K17617" s="398"/>
      <c r="L17617" s="404"/>
      <c r="M17617" s="682"/>
    </row>
    <row r="17618" spans="3:13" hidden="1" x14ac:dyDescent="0.2">
      <c r="F17618" s="503" t="s">
        <v>242</v>
      </c>
      <c r="G17618" s="504" t="s">
        <v>243</v>
      </c>
      <c r="H17618" s="397"/>
      <c r="I17618" s="397"/>
      <c r="J17618" s="750" t="e">
        <f t="shared" si="212"/>
        <v>#DIV/0!</v>
      </c>
      <c r="K17618" s="398"/>
      <c r="L17618" s="404"/>
      <c r="M17618" s="682"/>
    </row>
    <row r="17619" spans="3:13" hidden="1" x14ac:dyDescent="0.2">
      <c r="F17619" s="503" t="s">
        <v>244</v>
      </c>
      <c r="G17619" s="504" t="s">
        <v>245</v>
      </c>
      <c r="H17619" s="397"/>
      <c r="I17619" s="397"/>
      <c r="J17619" s="750" t="e">
        <f t="shared" si="212"/>
        <v>#DIV/0!</v>
      </c>
      <c r="K17619" s="398"/>
      <c r="L17619" s="404"/>
      <c r="M17619" s="682"/>
    </row>
    <row r="17620" spans="3:13" hidden="1" x14ac:dyDescent="0.2">
      <c r="F17620" s="503" t="s">
        <v>246</v>
      </c>
      <c r="G17620" s="504" t="s">
        <v>247</v>
      </c>
      <c r="H17620" s="397"/>
      <c r="I17620" s="397"/>
      <c r="J17620" s="750" t="e">
        <f t="shared" si="212"/>
        <v>#DIV/0!</v>
      </c>
      <c r="K17620" s="398"/>
      <c r="L17620" s="404"/>
      <c r="M17620" s="682"/>
    </row>
    <row r="17621" spans="3:13" ht="25.5" hidden="1" x14ac:dyDescent="0.2">
      <c r="F17621" s="503" t="s">
        <v>248</v>
      </c>
      <c r="G17621" s="504" t="s">
        <v>249</v>
      </c>
      <c r="H17621" s="397"/>
      <c r="I17621" s="397"/>
      <c r="J17621" s="750" t="e">
        <f t="shared" si="212"/>
        <v>#DIV/0!</v>
      </c>
      <c r="K17621" s="398"/>
      <c r="L17621" s="404"/>
      <c r="M17621" s="682"/>
    </row>
    <row r="17622" spans="3:13" hidden="1" x14ac:dyDescent="0.2">
      <c r="F17622" s="503" t="s">
        <v>250</v>
      </c>
      <c r="G17622" s="504" t="s">
        <v>57</v>
      </c>
      <c r="H17622" s="397"/>
      <c r="I17622" s="397"/>
      <c r="J17622" s="750" t="e">
        <f t="shared" si="212"/>
        <v>#DIV/0!</v>
      </c>
      <c r="K17622" s="398"/>
      <c r="L17622" s="404"/>
      <c r="M17622" s="682"/>
    </row>
    <row r="17623" spans="3:13" hidden="1" x14ac:dyDescent="0.2">
      <c r="F17623" s="503" t="s">
        <v>251</v>
      </c>
      <c r="G17623" s="504" t="s">
        <v>252</v>
      </c>
      <c r="H17623" s="397"/>
      <c r="I17623" s="397"/>
      <c r="J17623" s="750" t="e">
        <f t="shared" si="212"/>
        <v>#DIV/0!</v>
      </c>
      <c r="K17623" s="398"/>
      <c r="L17623" s="404"/>
      <c r="M17623" s="682"/>
    </row>
    <row r="17624" spans="3:13" hidden="1" x14ac:dyDescent="0.2">
      <c r="F17624" s="503" t="s">
        <v>253</v>
      </c>
      <c r="G17624" s="504" t="s">
        <v>254</v>
      </c>
      <c r="H17624" s="397"/>
      <c r="I17624" s="397"/>
      <c r="J17624" s="750" t="e">
        <f t="shared" si="212"/>
        <v>#DIV/0!</v>
      </c>
      <c r="K17624" s="398"/>
      <c r="L17624" s="404"/>
      <c r="M17624" s="682"/>
    </row>
    <row r="17625" spans="3:13" ht="25.5" hidden="1" x14ac:dyDescent="0.2">
      <c r="F17625" s="503" t="s">
        <v>255</v>
      </c>
      <c r="G17625" s="504" t="s">
        <v>256</v>
      </c>
      <c r="H17625" s="397"/>
      <c r="I17625" s="397"/>
      <c r="J17625" s="750" t="e">
        <f t="shared" si="212"/>
        <v>#DIV/0!</v>
      </c>
      <c r="K17625" s="398"/>
      <c r="L17625" s="404"/>
      <c r="M17625" s="682"/>
    </row>
    <row r="17626" spans="3:13" ht="25.5" hidden="1" x14ac:dyDescent="0.2">
      <c r="F17626" s="503" t="s">
        <v>257</v>
      </c>
      <c r="G17626" s="504" t="s">
        <v>258</v>
      </c>
      <c r="H17626" s="397"/>
      <c r="I17626" s="397"/>
      <c r="J17626" s="750" t="e">
        <f t="shared" si="212"/>
        <v>#DIV/0!</v>
      </c>
      <c r="K17626" s="398"/>
      <c r="L17626" s="404"/>
      <c r="M17626" s="682"/>
    </row>
    <row r="17627" spans="3:13" ht="25.5" hidden="1" x14ac:dyDescent="0.2">
      <c r="F17627" s="503" t="s">
        <v>259</v>
      </c>
      <c r="G17627" s="504" t="s">
        <v>260</v>
      </c>
      <c r="H17627" s="397"/>
      <c r="I17627" s="397"/>
      <c r="J17627" s="750" t="e">
        <f t="shared" si="212"/>
        <v>#DIV/0!</v>
      </c>
      <c r="K17627" s="398"/>
      <c r="L17627" s="404"/>
      <c r="M17627" s="682"/>
    </row>
    <row r="17628" spans="3:13" ht="25.5" hidden="1" x14ac:dyDescent="0.2">
      <c r="F17628" s="503" t="s">
        <v>261</v>
      </c>
      <c r="G17628" s="504" t="s">
        <v>262</v>
      </c>
      <c r="H17628" s="397"/>
      <c r="I17628" s="397"/>
      <c r="J17628" s="750" t="e">
        <f t="shared" si="212"/>
        <v>#DIV/0!</v>
      </c>
      <c r="K17628" s="398"/>
      <c r="L17628" s="404"/>
      <c r="M17628" s="682"/>
    </row>
    <row r="17629" spans="3:13" hidden="1" x14ac:dyDescent="0.2">
      <c r="F17629" s="503" t="s">
        <v>263</v>
      </c>
      <c r="G17629" s="504" t="s">
        <v>264</v>
      </c>
      <c r="H17629" s="403"/>
      <c r="I17629" s="403"/>
      <c r="J17629" s="750" t="e">
        <f t="shared" si="212"/>
        <v>#DIV/0!</v>
      </c>
      <c r="K17629" s="404"/>
      <c r="L17629" s="404"/>
      <c r="M17629" s="682"/>
    </row>
    <row r="17630" spans="3:13" ht="13.5" hidden="1" collapsed="1" thickBot="1" x14ac:dyDescent="0.25">
      <c r="G17630" s="505" t="s">
        <v>4461</v>
      </c>
      <c r="H17630" s="405">
        <f>SUM(H17614:H17629)</f>
        <v>0</v>
      </c>
      <c r="I17630" s="405"/>
      <c r="J17630" s="750" t="e">
        <f t="shared" si="212"/>
        <v>#DIV/0!</v>
      </c>
      <c r="K17630" s="406">
        <f>SUM(K17615:K17629)</f>
        <v>0</v>
      </c>
      <c r="L17630" s="406"/>
      <c r="M17630" s="682"/>
    </row>
    <row r="17631" spans="3:13" hidden="1" x14ac:dyDescent="0.2">
      <c r="G17631" s="510"/>
      <c r="H17631" s="411"/>
      <c r="I17631" s="411"/>
      <c r="J17631" s="750" t="e">
        <f t="shared" si="212"/>
        <v>#DIV/0!</v>
      </c>
      <c r="K17631" s="412"/>
      <c r="L17631" s="412"/>
      <c r="M17631" s="682"/>
    </row>
    <row r="17632" spans="3:13" hidden="1" x14ac:dyDescent="0.2">
      <c r="C17632" s="489" t="s">
        <v>4120</v>
      </c>
      <c r="D17632" s="490"/>
      <c r="G17632" s="491" t="s">
        <v>4121</v>
      </c>
      <c r="H17632" s="397"/>
      <c r="I17632" s="397"/>
      <c r="J17632" s="750" t="e">
        <f t="shared" si="212"/>
        <v>#DIV/0!</v>
      </c>
      <c r="K17632" s="398"/>
      <c r="L17632" s="398"/>
      <c r="M17632" s="682"/>
    </row>
    <row r="17633" spans="1:27" s="530" customFormat="1" ht="25.5" hidden="1" x14ac:dyDescent="0.2">
      <c r="A17633" s="526"/>
      <c r="B17633" s="527"/>
      <c r="C17633" s="534"/>
      <c r="D17633" s="571" t="s">
        <v>3888</v>
      </c>
      <c r="E17633" s="183"/>
      <c r="F17633" s="183"/>
      <c r="G17633" s="514" t="s">
        <v>103</v>
      </c>
      <c r="H17633" s="422"/>
      <c r="I17633" s="422"/>
      <c r="J17633" s="750" t="e">
        <f t="shared" si="212"/>
        <v>#DIV/0!</v>
      </c>
      <c r="K17633" s="423"/>
      <c r="L17633" s="424"/>
      <c r="M17633" s="682"/>
      <c r="N17633" s="171"/>
      <c r="O17633" s="171"/>
      <c r="P17633" s="171"/>
      <c r="Q17633" s="171"/>
      <c r="R17633" s="171"/>
      <c r="S17633" s="171"/>
      <c r="T17633" s="171"/>
      <c r="U17633" s="171"/>
      <c r="V17633" s="171"/>
      <c r="W17633" s="171"/>
      <c r="X17633" s="171"/>
      <c r="Y17633" s="171"/>
      <c r="Z17633" s="171"/>
      <c r="AA17633" s="171"/>
    </row>
    <row r="17634" spans="1:27" hidden="1" x14ac:dyDescent="0.2">
      <c r="F17634" s="494">
        <v>411</v>
      </c>
      <c r="G17634" s="495" t="s">
        <v>4167</v>
      </c>
      <c r="H17634" s="397"/>
      <c r="I17634" s="397"/>
      <c r="J17634" s="750" t="e">
        <f t="shared" si="212"/>
        <v>#DIV/0!</v>
      </c>
      <c r="K17634" s="398"/>
      <c r="L17634" s="398"/>
      <c r="M17634" s="682"/>
    </row>
    <row r="17635" spans="1:27" hidden="1" x14ac:dyDescent="0.2">
      <c r="F17635" s="494">
        <v>412</v>
      </c>
      <c r="G17635" s="496" t="s">
        <v>3764</v>
      </c>
      <c r="H17635" s="397"/>
      <c r="I17635" s="397"/>
      <c r="J17635" s="750" t="e">
        <f t="shared" si="212"/>
        <v>#DIV/0!</v>
      </c>
      <c r="K17635" s="398"/>
      <c r="L17635" s="398"/>
      <c r="M17635" s="682"/>
    </row>
    <row r="17636" spans="1:27" hidden="1" x14ac:dyDescent="0.2">
      <c r="F17636" s="494">
        <v>413</v>
      </c>
      <c r="G17636" s="495" t="s">
        <v>4168</v>
      </c>
      <c r="H17636" s="397"/>
      <c r="I17636" s="397"/>
      <c r="J17636" s="750" t="e">
        <f t="shared" si="212"/>
        <v>#DIV/0!</v>
      </c>
      <c r="K17636" s="398"/>
      <c r="L17636" s="398"/>
      <c r="M17636" s="682"/>
    </row>
    <row r="17637" spans="1:27" hidden="1" x14ac:dyDescent="0.2">
      <c r="F17637" s="494">
        <v>414</v>
      </c>
      <c r="G17637" s="495" t="s">
        <v>3767</v>
      </c>
      <c r="H17637" s="397"/>
      <c r="I17637" s="397"/>
      <c r="J17637" s="750" t="e">
        <f t="shared" si="212"/>
        <v>#DIV/0!</v>
      </c>
      <c r="K17637" s="398"/>
      <c r="L17637" s="398"/>
      <c r="M17637" s="682"/>
    </row>
    <row r="17638" spans="1:27" hidden="1" x14ac:dyDescent="0.2">
      <c r="F17638" s="494">
        <v>415</v>
      </c>
      <c r="G17638" s="495" t="s">
        <v>4177</v>
      </c>
      <c r="H17638" s="397"/>
      <c r="I17638" s="397"/>
      <c r="J17638" s="750" t="e">
        <f t="shared" si="212"/>
        <v>#DIV/0!</v>
      </c>
      <c r="K17638" s="398"/>
      <c r="L17638" s="398"/>
      <c r="M17638" s="682"/>
    </row>
    <row r="17639" spans="1:27" ht="25.5" hidden="1" x14ac:dyDescent="0.2">
      <c r="F17639" s="494">
        <v>416</v>
      </c>
      <c r="G17639" s="495" t="s">
        <v>4178</v>
      </c>
      <c r="H17639" s="397"/>
      <c r="I17639" s="397"/>
      <c r="J17639" s="750" t="e">
        <f t="shared" si="212"/>
        <v>#DIV/0!</v>
      </c>
      <c r="K17639" s="398"/>
      <c r="L17639" s="398"/>
      <c r="M17639" s="682"/>
    </row>
    <row r="17640" spans="1:27" hidden="1" x14ac:dyDescent="0.2">
      <c r="F17640" s="494">
        <v>417</v>
      </c>
      <c r="G17640" s="495" t="s">
        <v>4179</v>
      </c>
      <c r="H17640" s="397"/>
      <c r="I17640" s="397"/>
      <c r="J17640" s="750" t="e">
        <f t="shared" si="212"/>
        <v>#DIV/0!</v>
      </c>
      <c r="K17640" s="398"/>
      <c r="L17640" s="398"/>
      <c r="M17640" s="682"/>
    </row>
    <row r="17641" spans="1:27" hidden="1" x14ac:dyDescent="0.2">
      <c r="F17641" s="494">
        <v>418</v>
      </c>
      <c r="G17641" s="495" t="s">
        <v>3773</v>
      </c>
      <c r="H17641" s="397"/>
      <c r="I17641" s="397"/>
      <c r="J17641" s="750" t="e">
        <f t="shared" si="212"/>
        <v>#DIV/0!</v>
      </c>
      <c r="K17641" s="398"/>
      <c r="L17641" s="398"/>
      <c r="M17641" s="682"/>
    </row>
    <row r="17642" spans="1:27" hidden="1" x14ac:dyDescent="0.2">
      <c r="F17642" s="494">
        <v>421</v>
      </c>
      <c r="G17642" s="495" t="s">
        <v>3777</v>
      </c>
      <c r="H17642" s="397"/>
      <c r="I17642" s="397"/>
      <c r="J17642" s="750" t="e">
        <f t="shared" si="212"/>
        <v>#DIV/0!</v>
      </c>
      <c r="K17642" s="398"/>
      <c r="L17642" s="398"/>
      <c r="M17642" s="682"/>
    </row>
    <row r="17643" spans="1:27" hidden="1" x14ac:dyDescent="0.2">
      <c r="F17643" s="494">
        <v>422</v>
      </c>
      <c r="G17643" s="495" t="s">
        <v>3778</v>
      </c>
      <c r="H17643" s="397"/>
      <c r="I17643" s="397"/>
      <c r="J17643" s="750" t="e">
        <f t="shared" si="212"/>
        <v>#DIV/0!</v>
      </c>
      <c r="K17643" s="398"/>
      <c r="L17643" s="398"/>
      <c r="M17643" s="682"/>
    </row>
    <row r="17644" spans="1:27" hidden="1" x14ac:dyDescent="0.2">
      <c r="F17644" s="494">
        <v>423</v>
      </c>
      <c r="G17644" s="495" t="s">
        <v>3779</v>
      </c>
      <c r="H17644" s="397"/>
      <c r="I17644" s="397"/>
      <c r="J17644" s="750" t="e">
        <f t="shared" si="212"/>
        <v>#DIV/0!</v>
      </c>
      <c r="K17644" s="398"/>
      <c r="L17644" s="398"/>
      <c r="M17644" s="682"/>
    </row>
    <row r="17645" spans="1:27" hidden="1" x14ac:dyDescent="0.2">
      <c r="F17645" s="494">
        <v>424</v>
      </c>
      <c r="G17645" s="495" t="s">
        <v>3781</v>
      </c>
      <c r="H17645" s="397"/>
      <c r="I17645" s="397"/>
      <c r="J17645" s="750" t="e">
        <f t="shared" si="212"/>
        <v>#DIV/0!</v>
      </c>
      <c r="K17645" s="398"/>
      <c r="L17645" s="398"/>
      <c r="M17645" s="682"/>
    </row>
    <row r="17646" spans="1:27" hidden="1" x14ac:dyDescent="0.2">
      <c r="F17646" s="494">
        <v>425</v>
      </c>
      <c r="G17646" s="495" t="s">
        <v>4180</v>
      </c>
      <c r="H17646" s="397"/>
      <c r="I17646" s="397"/>
      <c r="J17646" s="750" t="e">
        <f t="shared" si="212"/>
        <v>#DIV/0!</v>
      </c>
      <c r="K17646" s="398"/>
      <c r="L17646" s="398"/>
      <c r="M17646" s="682"/>
    </row>
    <row r="17647" spans="1:27" hidden="1" x14ac:dyDescent="0.2">
      <c r="F17647" s="494">
        <v>426</v>
      </c>
      <c r="G17647" s="495" t="s">
        <v>3785</v>
      </c>
      <c r="H17647" s="397"/>
      <c r="I17647" s="397"/>
      <c r="J17647" s="750" t="e">
        <f t="shared" si="212"/>
        <v>#DIV/0!</v>
      </c>
      <c r="K17647" s="398"/>
      <c r="L17647" s="398"/>
      <c r="M17647" s="682"/>
    </row>
    <row r="17648" spans="1:27" hidden="1" x14ac:dyDescent="0.2">
      <c r="F17648" s="494">
        <v>431</v>
      </c>
      <c r="G17648" s="495" t="s">
        <v>4181</v>
      </c>
      <c r="H17648" s="397"/>
      <c r="I17648" s="397"/>
      <c r="J17648" s="750" t="e">
        <f t="shared" si="212"/>
        <v>#DIV/0!</v>
      </c>
      <c r="K17648" s="398"/>
      <c r="L17648" s="398"/>
      <c r="M17648" s="682"/>
    </row>
    <row r="17649" spans="6:13" hidden="1" x14ac:dyDescent="0.2">
      <c r="F17649" s="494">
        <v>432</v>
      </c>
      <c r="G17649" s="495" t="s">
        <v>4182</v>
      </c>
      <c r="H17649" s="397"/>
      <c r="I17649" s="397"/>
      <c r="J17649" s="750" t="e">
        <f t="shared" si="212"/>
        <v>#DIV/0!</v>
      </c>
      <c r="K17649" s="398"/>
      <c r="L17649" s="398"/>
      <c r="M17649" s="682"/>
    </row>
    <row r="17650" spans="6:13" hidden="1" x14ac:dyDescent="0.2">
      <c r="F17650" s="494">
        <v>433</v>
      </c>
      <c r="G17650" s="495" t="s">
        <v>4183</v>
      </c>
      <c r="H17650" s="397"/>
      <c r="I17650" s="397"/>
      <c r="J17650" s="750" t="e">
        <f t="shared" si="212"/>
        <v>#DIV/0!</v>
      </c>
      <c r="K17650" s="398"/>
      <c r="L17650" s="398"/>
      <c r="M17650" s="682"/>
    </row>
    <row r="17651" spans="6:13" hidden="1" x14ac:dyDescent="0.2">
      <c r="F17651" s="494">
        <v>434</v>
      </c>
      <c r="G17651" s="495" t="s">
        <v>4184</v>
      </c>
      <c r="H17651" s="397"/>
      <c r="I17651" s="397"/>
      <c r="J17651" s="750" t="e">
        <f t="shared" si="212"/>
        <v>#DIV/0!</v>
      </c>
      <c r="K17651" s="398"/>
      <c r="L17651" s="398"/>
      <c r="M17651" s="682"/>
    </row>
    <row r="17652" spans="6:13" hidden="1" x14ac:dyDescent="0.2">
      <c r="F17652" s="494">
        <v>435</v>
      </c>
      <c r="G17652" s="495" t="s">
        <v>3792</v>
      </c>
      <c r="H17652" s="397"/>
      <c r="I17652" s="397"/>
      <c r="J17652" s="750" t="e">
        <f t="shared" si="212"/>
        <v>#DIV/0!</v>
      </c>
      <c r="K17652" s="398"/>
      <c r="L17652" s="398"/>
      <c r="M17652" s="682"/>
    </row>
    <row r="17653" spans="6:13" hidden="1" x14ac:dyDescent="0.2">
      <c r="F17653" s="494">
        <v>441</v>
      </c>
      <c r="G17653" s="495" t="s">
        <v>4185</v>
      </c>
      <c r="H17653" s="397"/>
      <c r="I17653" s="397"/>
      <c r="J17653" s="750" t="e">
        <f t="shared" si="212"/>
        <v>#DIV/0!</v>
      </c>
      <c r="K17653" s="398"/>
      <c r="L17653" s="398"/>
      <c r="M17653" s="682"/>
    </row>
    <row r="17654" spans="6:13" hidden="1" x14ac:dyDescent="0.2">
      <c r="F17654" s="494">
        <v>442</v>
      </c>
      <c r="G17654" s="495" t="s">
        <v>4186</v>
      </c>
      <c r="H17654" s="397"/>
      <c r="I17654" s="397"/>
      <c r="J17654" s="750" t="e">
        <f t="shared" si="212"/>
        <v>#DIV/0!</v>
      </c>
      <c r="K17654" s="398"/>
      <c r="L17654" s="398"/>
      <c r="M17654" s="682"/>
    </row>
    <row r="17655" spans="6:13" hidden="1" x14ac:dyDescent="0.2">
      <c r="F17655" s="494">
        <v>443</v>
      </c>
      <c r="G17655" s="495" t="s">
        <v>3797</v>
      </c>
      <c r="H17655" s="397"/>
      <c r="I17655" s="397"/>
      <c r="J17655" s="750" t="e">
        <f t="shared" si="212"/>
        <v>#DIV/0!</v>
      </c>
      <c r="K17655" s="398"/>
      <c r="L17655" s="398"/>
      <c r="M17655" s="682"/>
    </row>
    <row r="17656" spans="6:13" hidden="1" x14ac:dyDescent="0.2">
      <c r="F17656" s="494">
        <v>444</v>
      </c>
      <c r="G17656" s="495" t="s">
        <v>3798</v>
      </c>
      <c r="H17656" s="397"/>
      <c r="I17656" s="397"/>
      <c r="J17656" s="750" t="e">
        <f t="shared" si="212"/>
        <v>#DIV/0!</v>
      </c>
      <c r="K17656" s="398"/>
      <c r="L17656" s="398"/>
      <c r="M17656" s="682"/>
    </row>
    <row r="17657" spans="6:13" ht="25.5" hidden="1" x14ac:dyDescent="0.2">
      <c r="F17657" s="494">
        <v>4511</v>
      </c>
      <c r="G17657" s="466" t="s">
        <v>1692</v>
      </c>
      <c r="H17657" s="397"/>
      <c r="I17657" s="397"/>
      <c r="J17657" s="750" t="e">
        <f t="shared" si="212"/>
        <v>#DIV/0!</v>
      </c>
      <c r="K17657" s="398"/>
      <c r="L17657" s="398"/>
      <c r="M17657" s="682"/>
    </row>
    <row r="17658" spans="6:13" ht="25.5" hidden="1" x14ac:dyDescent="0.2">
      <c r="F17658" s="494">
        <v>4512</v>
      </c>
      <c r="G17658" s="466" t="s">
        <v>1701</v>
      </c>
      <c r="H17658" s="397"/>
      <c r="I17658" s="397"/>
      <c r="J17658" s="750" t="e">
        <f t="shared" si="212"/>
        <v>#DIV/0!</v>
      </c>
      <c r="K17658" s="398"/>
      <c r="L17658" s="398"/>
      <c r="M17658" s="682"/>
    </row>
    <row r="17659" spans="6:13" ht="25.5" hidden="1" x14ac:dyDescent="0.2">
      <c r="F17659" s="494">
        <v>452</v>
      </c>
      <c r="G17659" s="495" t="s">
        <v>4187</v>
      </c>
      <c r="H17659" s="397"/>
      <c r="I17659" s="397"/>
      <c r="J17659" s="750" t="e">
        <f t="shared" si="212"/>
        <v>#DIV/0!</v>
      </c>
      <c r="K17659" s="398"/>
      <c r="L17659" s="398"/>
      <c r="M17659" s="682"/>
    </row>
    <row r="17660" spans="6:13" ht="25.5" hidden="1" x14ac:dyDescent="0.2">
      <c r="F17660" s="494">
        <v>453</v>
      </c>
      <c r="G17660" s="495" t="s">
        <v>4188</v>
      </c>
      <c r="H17660" s="397"/>
      <c r="I17660" s="397"/>
      <c r="J17660" s="750" t="e">
        <f t="shared" si="212"/>
        <v>#DIV/0!</v>
      </c>
      <c r="K17660" s="398"/>
      <c r="L17660" s="398"/>
      <c r="M17660" s="682"/>
    </row>
    <row r="17661" spans="6:13" hidden="1" x14ac:dyDescent="0.2">
      <c r="F17661" s="494">
        <v>454</v>
      </c>
      <c r="G17661" s="495" t="s">
        <v>3803</v>
      </c>
      <c r="H17661" s="397"/>
      <c r="I17661" s="397"/>
      <c r="J17661" s="750" t="e">
        <f t="shared" si="212"/>
        <v>#DIV/0!</v>
      </c>
      <c r="K17661" s="398"/>
      <c r="L17661" s="398"/>
      <c r="M17661" s="682"/>
    </row>
    <row r="17662" spans="6:13" hidden="1" x14ac:dyDescent="0.2">
      <c r="F17662" s="494">
        <v>461</v>
      </c>
      <c r="G17662" s="495" t="s">
        <v>4169</v>
      </c>
      <c r="H17662" s="397"/>
      <c r="I17662" s="397"/>
      <c r="J17662" s="750" t="e">
        <f t="shared" si="212"/>
        <v>#DIV/0!</v>
      </c>
      <c r="K17662" s="398"/>
      <c r="L17662" s="398"/>
      <c r="M17662" s="682"/>
    </row>
    <row r="17663" spans="6:13" ht="25.5" hidden="1" x14ac:dyDescent="0.2">
      <c r="F17663" s="494">
        <v>462</v>
      </c>
      <c r="G17663" s="495" t="s">
        <v>3806</v>
      </c>
      <c r="H17663" s="397"/>
      <c r="I17663" s="397"/>
      <c r="J17663" s="750" t="e">
        <f t="shared" si="212"/>
        <v>#DIV/0!</v>
      </c>
      <c r="K17663" s="398"/>
      <c r="L17663" s="398"/>
      <c r="M17663" s="682"/>
    </row>
    <row r="17664" spans="6:13" hidden="1" x14ac:dyDescent="0.2">
      <c r="F17664" s="494">
        <v>4631</v>
      </c>
      <c r="G17664" s="495" t="s">
        <v>3807</v>
      </c>
      <c r="H17664" s="397"/>
      <c r="I17664" s="397"/>
      <c r="J17664" s="750" t="e">
        <f t="shared" si="212"/>
        <v>#DIV/0!</v>
      </c>
      <c r="K17664" s="398"/>
      <c r="L17664" s="398"/>
      <c r="M17664" s="682"/>
    </row>
    <row r="17665" spans="6:13" hidden="1" x14ac:dyDescent="0.2">
      <c r="F17665" s="494">
        <v>4632</v>
      </c>
      <c r="G17665" s="495" t="s">
        <v>3808</v>
      </c>
      <c r="H17665" s="397"/>
      <c r="I17665" s="397"/>
      <c r="J17665" s="750" t="e">
        <f t="shared" si="212"/>
        <v>#DIV/0!</v>
      </c>
      <c r="K17665" s="398"/>
      <c r="L17665" s="398"/>
      <c r="M17665" s="682"/>
    </row>
    <row r="17666" spans="6:13" ht="25.5" hidden="1" x14ac:dyDescent="0.2">
      <c r="F17666" s="494">
        <v>464</v>
      </c>
      <c r="G17666" s="495" t="s">
        <v>3809</v>
      </c>
      <c r="H17666" s="397"/>
      <c r="I17666" s="397"/>
      <c r="J17666" s="750" t="e">
        <f t="shared" si="212"/>
        <v>#DIV/0!</v>
      </c>
      <c r="K17666" s="398"/>
      <c r="L17666" s="398"/>
      <c r="M17666" s="682"/>
    </row>
    <row r="17667" spans="6:13" hidden="1" x14ac:dyDescent="0.2">
      <c r="F17667" s="494">
        <v>465</v>
      </c>
      <c r="G17667" s="495" t="s">
        <v>4170</v>
      </c>
      <c r="H17667" s="397"/>
      <c r="I17667" s="397"/>
      <c r="J17667" s="750" t="e">
        <f t="shared" si="212"/>
        <v>#DIV/0!</v>
      </c>
      <c r="K17667" s="398"/>
      <c r="L17667" s="398"/>
      <c r="M17667" s="682"/>
    </row>
    <row r="17668" spans="6:13" hidden="1" x14ac:dyDescent="0.2">
      <c r="F17668" s="494">
        <v>472</v>
      </c>
      <c r="G17668" s="495" t="s">
        <v>3813</v>
      </c>
      <c r="H17668" s="397"/>
      <c r="I17668" s="397"/>
      <c r="J17668" s="750" t="e">
        <f t="shared" si="212"/>
        <v>#DIV/0!</v>
      </c>
      <c r="K17668" s="398"/>
      <c r="L17668" s="398"/>
      <c r="M17668" s="682"/>
    </row>
    <row r="17669" spans="6:13" hidden="1" x14ac:dyDescent="0.2">
      <c r="F17669" s="494">
        <v>481</v>
      </c>
      <c r="G17669" s="495" t="s">
        <v>4189</v>
      </c>
      <c r="H17669" s="397"/>
      <c r="I17669" s="397"/>
      <c r="J17669" s="750" t="e">
        <f t="shared" si="212"/>
        <v>#DIV/0!</v>
      </c>
      <c r="K17669" s="398"/>
      <c r="L17669" s="398"/>
      <c r="M17669" s="682"/>
    </row>
    <row r="17670" spans="6:13" hidden="1" x14ac:dyDescent="0.2">
      <c r="F17670" s="494">
        <v>482</v>
      </c>
      <c r="G17670" s="495" t="s">
        <v>4190</v>
      </c>
      <c r="H17670" s="397"/>
      <c r="I17670" s="397"/>
      <c r="J17670" s="750" t="e">
        <f t="shared" si="212"/>
        <v>#DIV/0!</v>
      </c>
      <c r="K17670" s="398"/>
      <c r="L17670" s="398"/>
      <c r="M17670" s="682"/>
    </row>
    <row r="17671" spans="6:13" hidden="1" x14ac:dyDescent="0.2">
      <c r="F17671" s="494">
        <v>483</v>
      </c>
      <c r="G17671" s="497" t="s">
        <v>4191</v>
      </c>
      <c r="H17671" s="397"/>
      <c r="I17671" s="397"/>
      <c r="J17671" s="750" t="e">
        <f t="shared" si="212"/>
        <v>#DIV/0!</v>
      </c>
      <c r="K17671" s="398"/>
      <c r="L17671" s="398"/>
      <c r="M17671" s="682"/>
    </row>
    <row r="17672" spans="6:13" ht="38.25" hidden="1" x14ac:dyDescent="0.2">
      <c r="F17672" s="494">
        <v>484</v>
      </c>
      <c r="G17672" s="495" t="s">
        <v>4192</v>
      </c>
      <c r="H17672" s="397"/>
      <c r="I17672" s="397"/>
      <c r="J17672" s="750" t="e">
        <f t="shared" si="212"/>
        <v>#DIV/0!</v>
      </c>
      <c r="K17672" s="398"/>
      <c r="L17672" s="398"/>
      <c r="M17672" s="682"/>
    </row>
    <row r="17673" spans="6:13" ht="25.5" hidden="1" x14ac:dyDescent="0.2">
      <c r="F17673" s="494">
        <v>485</v>
      </c>
      <c r="G17673" s="495" t="s">
        <v>4193</v>
      </c>
      <c r="H17673" s="397"/>
      <c r="I17673" s="397"/>
      <c r="J17673" s="750" t="e">
        <f t="shared" si="212"/>
        <v>#DIV/0!</v>
      </c>
      <c r="K17673" s="398"/>
      <c r="L17673" s="398"/>
      <c r="M17673" s="682"/>
    </row>
    <row r="17674" spans="6:13" ht="25.5" hidden="1" x14ac:dyDescent="0.2">
      <c r="F17674" s="494">
        <v>489</v>
      </c>
      <c r="G17674" s="495" t="s">
        <v>3821</v>
      </c>
      <c r="H17674" s="397"/>
      <c r="I17674" s="397"/>
      <c r="J17674" s="750" t="e">
        <f t="shared" si="212"/>
        <v>#DIV/0!</v>
      </c>
      <c r="K17674" s="398"/>
      <c r="L17674" s="398"/>
      <c r="M17674" s="682"/>
    </row>
    <row r="17675" spans="6:13" ht="25.5" hidden="1" x14ac:dyDescent="0.2">
      <c r="F17675" s="494">
        <v>494</v>
      </c>
      <c r="G17675" s="495" t="s">
        <v>4171</v>
      </c>
      <c r="H17675" s="397"/>
      <c r="I17675" s="397"/>
      <c r="J17675" s="750" t="e">
        <f t="shared" si="212"/>
        <v>#DIV/0!</v>
      </c>
      <c r="K17675" s="398"/>
      <c r="L17675" s="398"/>
      <c r="M17675" s="682"/>
    </row>
    <row r="17676" spans="6:13" ht="25.5" hidden="1" x14ac:dyDescent="0.2">
      <c r="F17676" s="494">
        <v>495</v>
      </c>
      <c r="G17676" s="495" t="s">
        <v>4172</v>
      </c>
      <c r="H17676" s="397"/>
      <c r="I17676" s="397"/>
      <c r="J17676" s="750" t="e">
        <f t="shared" si="212"/>
        <v>#DIV/0!</v>
      </c>
      <c r="K17676" s="398"/>
      <c r="L17676" s="398"/>
      <c r="M17676" s="682"/>
    </row>
    <row r="17677" spans="6:13" ht="38.25" hidden="1" x14ac:dyDescent="0.2">
      <c r="F17677" s="494">
        <v>496</v>
      </c>
      <c r="G17677" s="495" t="s">
        <v>4173</v>
      </c>
      <c r="H17677" s="397"/>
      <c r="I17677" s="397"/>
      <c r="J17677" s="750" t="e">
        <f t="shared" si="212"/>
        <v>#DIV/0!</v>
      </c>
      <c r="K17677" s="398"/>
      <c r="L17677" s="398"/>
      <c r="M17677" s="682"/>
    </row>
    <row r="17678" spans="6:13" ht="25.5" hidden="1" x14ac:dyDescent="0.2">
      <c r="F17678" s="494">
        <v>499</v>
      </c>
      <c r="G17678" s="495" t="s">
        <v>4174</v>
      </c>
      <c r="H17678" s="397"/>
      <c r="I17678" s="397"/>
      <c r="J17678" s="750" t="e">
        <f t="shared" ref="J17678:J17741" si="213">SUM(I17678/H17678)*100</f>
        <v>#DIV/0!</v>
      </c>
      <c r="K17678" s="398"/>
      <c r="L17678" s="398"/>
      <c r="M17678" s="682"/>
    </row>
    <row r="17679" spans="6:13" hidden="1" x14ac:dyDescent="0.2">
      <c r="F17679" s="494">
        <v>511</v>
      </c>
      <c r="G17679" s="497" t="s">
        <v>4194</v>
      </c>
      <c r="H17679" s="397"/>
      <c r="I17679" s="397"/>
      <c r="J17679" s="750" t="e">
        <f t="shared" si="213"/>
        <v>#DIV/0!</v>
      </c>
      <c r="K17679" s="398"/>
      <c r="L17679" s="398"/>
      <c r="M17679" s="682"/>
    </row>
    <row r="17680" spans="6:13" hidden="1" x14ac:dyDescent="0.2">
      <c r="F17680" s="494">
        <v>512</v>
      </c>
      <c r="G17680" s="497" t="s">
        <v>4195</v>
      </c>
      <c r="H17680" s="397"/>
      <c r="I17680" s="397"/>
      <c r="J17680" s="750" t="e">
        <f t="shared" si="213"/>
        <v>#DIV/0!</v>
      </c>
      <c r="K17680" s="398"/>
      <c r="L17680" s="398"/>
      <c r="M17680" s="682"/>
    </row>
    <row r="17681" spans="5:13" hidden="1" x14ac:dyDescent="0.2">
      <c r="F17681" s="494">
        <v>513</v>
      </c>
      <c r="G17681" s="497" t="s">
        <v>4196</v>
      </c>
      <c r="H17681" s="397"/>
      <c r="I17681" s="397"/>
      <c r="J17681" s="750" t="e">
        <f t="shared" si="213"/>
        <v>#DIV/0!</v>
      </c>
      <c r="K17681" s="398"/>
      <c r="L17681" s="398"/>
      <c r="M17681" s="682"/>
    </row>
    <row r="17682" spans="5:13" hidden="1" x14ac:dyDescent="0.2">
      <c r="F17682" s="494">
        <v>514</v>
      </c>
      <c r="G17682" s="495" t="s">
        <v>4197</v>
      </c>
      <c r="H17682" s="397"/>
      <c r="I17682" s="397"/>
      <c r="J17682" s="750" t="e">
        <f t="shared" si="213"/>
        <v>#DIV/0!</v>
      </c>
      <c r="K17682" s="398"/>
      <c r="L17682" s="398"/>
      <c r="M17682" s="682"/>
    </row>
    <row r="17683" spans="5:13" hidden="1" x14ac:dyDescent="0.2">
      <c r="F17683" s="494">
        <v>515</v>
      </c>
      <c r="G17683" s="495" t="s">
        <v>3832</v>
      </c>
      <c r="H17683" s="397"/>
      <c r="I17683" s="397"/>
      <c r="J17683" s="750" t="e">
        <f t="shared" si="213"/>
        <v>#DIV/0!</v>
      </c>
      <c r="K17683" s="398"/>
      <c r="L17683" s="398"/>
      <c r="M17683" s="682"/>
    </row>
    <row r="17684" spans="5:13" hidden="1" x14ac:dyDescent="0.2">
      <c r="F17684" s="494">
        <v>521</v>
      </c>
      <c r="G17684" s="495" t="s">
        <v>4198</v>
      </c>
      <c r="H17684" s="397"/>
      <c r="I17684" s="397"/>
      <c r="J17684" s="750" t="e">
        <f t="shared" si="213"/>
        <v>#DIV/0!</v>
      </c>
      <c r="K17684" s="398"/>
      <c r="L17684" s="398"/>
      <c r="M17684" s="682"/>
    </row>
    <row r="17685" spans="5:13" hidden="1" x14ac:dyDescent="0.2">
      <c r="F17685" s="494">
        <v>522</v>
      </c>
      <c r="G17685" s="495" t="s">
        <v>4199</v>
      </c>
      <c r="H17685" s="397"/>
      <c r="I17685" s="397"/>
      <c r="J17685" s="750" t="e">
        <f t="shared" si="213"/>
        <v>#DIV/0!</v>
      </c>
      <c r="K17685" s="398"/>
      <c r="L17685" s="398"/>
      <c r="M17685" s="682"/>
    </row>
    <row r="17686" spans="5:13" hidden="1" x14ac:dyDescent="0.2">
      <c r="F17686" s="494">
        <v>523</v>
      </c>
      <c r="G17686" s="495" t="s">
        <v>3837</v>
      </c>
      <c r="H17686" s="397"/>
      <c r="I17686" s="397"/>
      <c r="J17686" s="750" t="e">
        <f t="shared" si="213"/>
        <v>#DIV/0!</v>
      </c>
      <c r="K17686" s="398"/>
      <c r="L17686" s="398"/>
      <c r="M17686" s="682"/>
    </row>
    <row r="17687" spans="5:13" hidden="1" x14ac:dyDescent="0.2">
      <c r="F17687" s="494">
        <v>531</v>
      </c>
      <c r="G17687" s="496" t="s">
        <v>4175</v>
      </c>
      <c r="H17687" s="397"/>
      <c r="I17687" s="397"/>
      <c r="J17687" s="750" t="e">
        <f t="shared" si="213"/>
        <v>#DIV/0!</v>
      </c>
      <c r="K17687" s="398"/>
      <c r="L17687" s="398"/>
      <c r="M17687" s="682"/>
    </row>
    <row r="17688" spans="5:13" hidden="1" x14ac:dyDescent="0.2">
      <c r="F17688" s="494">
        <v>541</v>
      </c>
      <c r="G17688" s="495" t="s">
        <v>4200</v>
      </c>
      <c r="H17688" s="397"/>
      <c r="I17688" s="397"/>
      <c r="J17688" s="750" t="e">
        <f t="shared" si="213"/>
        <v>#DIV/0!</v>
      </c>
      <c r="K17688" s="398"/>
      <c r="L17688" s="398"/>
      <c r="M17688" s="682"/>
    </row>
    <row r="17689" spans="5:13" hidden="1" x14ac:dyDescent="0.2">
      <c r="F17689" s="494">
        <v>542</v>
      </c>
      <c r="G17689" s="495" t="s">
        <v>4201</v>
      </c>
      <c r="H17689" s="397"/>
      <c r="I17689" s="397"/>
      <c r="J17689" s="750" t="e">
        <f t="shared" si="213"/>
        <v>#DIV/0!</v>
      </c>
      <c r="K17689" s="398"/>
      <c r="L17689" s="398"/>
      <c r="M17689" s="682"/>
    </row>
    <row r="17690" spans="5:13" hidden="1" x14ac:dyDescent="0.2">
      <c r="F17690" s="494">
        <v>543</v>
      </c>
      <c r="G17690" s="495" t="s">
        <v>3842</v>
      </c>
      <c r="H17690" s="397"/>
      <c r="I17690" s="397"/>
      <c r="J17690" s="750" t="e">
        <f t="shared" si="213"/>
        <v>#DIV/0!</v>
      </c>
      <c r="K17690" s="398"/>
      <c r="L17690" s="398"/>
      <c r="M17690" s="682"/>
    </row>
    <row r="17691" spans="5:13" ht="38.25" hidden="1" x14ac:dyDescent="0.2">
      <c r="F17691" s="494">
        <v>551</v>
      </c>
      <c r="G17691" s="495" t="s">
        <v>4176</v>
      </c>
      <c r="H17691" s="397"/>
      <c r="I17691" s="397"/>
      <c r="J17691" s="750" t="e">
        <f t="shared" si="213"/>
        <v>#DIV/0!</v>
      </c>
      <c r="K17691" s="398"/>
      <c r="L17691" s="398"/>
      <c r="M17691" s="682"/>
    </row>
    <row r="17692" spans="5:13" hidden="1" x14ac:dyDescent="0.2">
      <c r="F17692" s="498">
        <v>611</v>
      </c>
      <c r="G17692" s="499" t="s">
        <v>3848</v>
      </c>
      <c r="H17692" s="397"/>
      <c r="I17692" s="397"/>
      <c r="J17692" s="750" t="e">
        <f t="shared" si="213"/>
        <v>#DIV/0!</v>
      </c>
      <c r="K17692" s="398"/>
      <c r="L17692" s="398"/>
      <c r="M17692" s="682"/>
    </row>
    <row r="17693" spans="5:13" hidden="1" x14ac:dyDescent="0.2">
      <c r="F17693" s="498">
        <v>620</v>
      </c>
      <c r="G17693" s="499" t="s">
        <v>88</v>
      </c>
      <c r="H17693" s="397"/>
      <c r="I17693" s="397"/>
      <c r="J17693" s="750" t="e">
        <f t="shared" si="213"/>
        <v>#DIV/0!</v>
      </c>
      <c r="K17693" s="398"/>
      <c r="L17693" s="398"/>
      <c r="M17693" s="682"/>
    </row>
    <row r="17694" spans="5:13" hidden="1" x14ac:dyDescent="0.2">
      <c r="E17694" s="500"/>
      <c r="F17694" s="498"/>
      <c r="G17694" s="509" t="s">
        <v>4366</v>
      </c>
      <c r="H17694" s="400"/>
      <c r="I17694" s="400"/>
      <c r="J17694" s="750" t="e">
        <f t="shared" si="213"/>
        <v>#DIV/0!</v>
      </c>
      <c r="K17694" s="401"/>
      <c r="L17694" s="402"/>
      <c r="M17694" s="682"/>
    </row>
    <row r="17695" spans="5:13" hidden="1" x14ac:dyDescent="0.2">
      <c r="E17695" s="502"/>
      <c r="F17695" s="503" t="s">
        <v>234</v>
      </c>
      <c r="G17695" s="504" t="s">
        <v>235</v>
      </c>
      <c r="H17695" s="403">
        <f>SUM(H17634:H17693)</f>
        <v>0</v>
      </c>
      <c r="I17695" s="403"/>
      <c r="J17695" s="750" t="e">
        <f t="shared" si="213"/>
        <v>#DIV/0!</v>
      </c>
      <c r="K17695" s="404"/>
      <c r="L17695" s="404"/>
      <c r="M17695" s="682"/>
    </row>
    <row r="17696" spans="5:13" hidden="1" x14ac:dyDescent="0.2">
      <c r="F17696" s="503" t="s">
        <v>236</v>
      </c>
      <c r="G17696" s="504" t="s">
        <v>237</v>
      </c>
      <c r="H17696" s="397"/>
      <c r="I17696" s="397"/>
      <c r="J17696" s="750" t="e">
        <f t="shared" si="213"/>
        <v>#DIV/0!</v>
      </c>
      <c r="K17696" s="398"/>
      <c r="L17696" s="404"/>
      <c r="M17696" s="682"/>
    </row>
    <row r="17697" spans="5:13" hidden="1" x14ac:dyDescent="0.2">
      <c r="F17697" s="503" t="s">
        <v>238</v>
      </c>
      <c r="G17697" s="504" t="s">
        <v>239</v>
      </c>
      <c r="H17697" s="397"/>
      <c r="I17697" s="397"/>
      <c r="J17697" s="750" t="e">
        <f t="shared" si="213"/>
        <v>#DIV/0!</v>
      </c>
      <c r="K17697" s="398"/>
      <c r="L17697" s="404"/>
      <c r="M17697" s="682"/>
    </row>
    <row r="17698" spans="5:13" hidden="1" x14ac:dyDescent="0.2">
      <c r="F17698" s="503" t="s">
        <v>240</v>
      </c>
      <c r="G17698" s="504" t="s">
        <v>241</v>
      </c>
      <c r="H17698" s="397"/>
      <c r="I17698" s="397"/>
      <c r="J17698" s="750" t="e">
        <f t="shared" si="213"/>
        <v>#DIV/0!</v>
      </c>
      <c r="K17698" s="398"/>
      <c r="L17698" s="404"/>
      <c r="M17698" s="682"/>
    </row>
    <row r="17699" spans="5:13" hidden="1" x14ac:dyDescent="0.2">
      <c r="F17699" s="503" t="s">
        <v>242</v>
      </c>
      <c r="G17699" s="504" t="s">
        <v>243</v>
      </c>
      <c r="H17699" s="397"/>
      <c r="I17699" s="397"/>
      <c r="J17699" s="750" t="e">
        <f t="shared" si="213"/>
        <v>#DIV/0!</v>
      </c>
      <c r="K17699" s="398"/>
      <c r="L17699" s="404"/>
      <c r="M17699" s="682"/>
    </row>
    <row r="17700" spans="5:13" hidden="1" x14ac:dyDescent="0.2">
      <c r="F17700" s="503" t="s">
        <v>244</v>
      </c>
      <c r="G17700" s="504" t="s">
        <v>245</v>
      </c>
      <c r="H17700" s="397"/>
      <c r="I17700" s="397"/>
      <c r="J17700" s="750" t="e">
        <f t="shared" si="213"/>
        <v>#DIV/0!</v>
      </c>
      <c r="K17700" s="398"/>
      <c r="L17700" s="404"/>
      <c r="M17700" s="682"/>
    </row>
    <row r="17701" spans="5:13" hidden="1" x14ac:dyDescent="0.2">
      <c r="F17701" s="503" t="s">
        <v>246</v>
      </c>
      <c r="G17701" s="504" t="s">
        <v>247</v>
      </c>
      <c r="H17701" s="397"/>
      <c r="I17701" s="397"/>
      <c r="J17701" s="750" t="e">
        <f t="shared" si="213"/>
        <v>#DIV/0!</v>
      </c>
      <c r="K17701" s="398"/>
      <c r="L17701" s="404"/>
      <c r="M17701" s="682"/>
    </row>
    <row r="17702" spans="5:13" ht="25.5" hidden="1" x14ac:dyDescent="0.2">
      <c r="F17702" s="503" t="s">
        <v>248</v>
      </c>
      <c r="G17702" s="504" t="s">
        <v>249</v>
      </c>
      <c r="H17702" s="397"/>
      <c r="I17702" s="397"/>
      <c r="J17702" s="750" t="e">
        <f t="shared" si="213"/>
        <v>#DIV/0!</v>
      </c>
      <c r="K17702" s="398"/>
      <c r="L17702" s="404"/>
      <c r="M17702" s="682"/>
    </row>
    <row r="17703" spans="5:13" hidden="1" x14ac:dyDescent="0.2">
      <c r="F17703" s="503" t="s">
        <v>250</v>
      </c>
      <c r="G17703" s="504" t="s">
        <v>57</v>
      </c>
      <c r="H17703" s="397"/>
      <c r="I17703" s="397"/>
      <c r="J17703" s="750" t="e">
        <f t="shared" si="213"/>
        <v>#DIV/0!</v>
      </c>
      <c r="K17703" s="398"/>
      <c r="L17703" s="404"/>
      <c r="M17703" s="682"/>
    </row>
    <row r="17704" spans="5:13" hidden="1" x14ac:dyDescent="0.2">
      <c r="F17704" s="503" t="s">
        <v>251</v>
      </c>
      <c r="G17704" s="504" t="s">
        <v>252</v>
      </c>
      <c r="H17704" s="397"/>
      <c r="I17704" s="397"/>
      <c r="J17704" s="750" t="e">
        <f t="shared" si="213"/>
        <v>#DIV/0!</v>
      </c>
      <c r="K17704" s="398"/>
      <c r="L17704" s="404"/>
      <c r="M17704" s="682"/>
    </row>
    <row r="17705" spans="5:13" hidden="1" x14ac:dyDescent="0.2">
      <c r="F17705" s="503" t="s">
        <v>253</v>
      </c>
      <c r="G17705" s="504" t="s">
        <v>254</v>
      </c>
      <c r="H17705" s="397"/>
      <c r="I17705" s="397"/>
      <c r="J17705" s="750" t="e">
        <f t="shared" si="213"/>
        <v>#DIV/0!</v>
      </c>
      <c r="K17705" s="398"/>
      <c r="L17705" s="404"/>
      <c r="M17705" s="682"/>
    </row>
    <row r="17706" spans="5:13" ht="25.5" hidden="1" x14ac:dyDescent="0.2">
      <c r="F17706" s="503" t="s">
        <v>255</v>
      </c>
      <c r="G17706" s="504" t="s">
        <v>256</v>
      </c>
      <c r="H17706" s="397"/>
      <c r="I17706" s="397"/>
      <c r="J17706" s="750" t="e">
        <f t="shared" si="213"/>
        <v>#DIV/0!</v>
      </c>
      <c r="K17706" s="398"/>
      <c r="L17706" s="404"/>
      <c r="M17706" s="682"/>
    </row>
    <row r="17707" spans="5:13" ht="25.5" hidden="1" x14ac:dyDescent="0.2">
      <c r="F17707" s="503" t="s">
        <v>257</v>
      </c>
      <c r="G17707" s="504" t="s">
        <v>258</v>
      </c>
      <c r="H17707" s="397"/>
      <c r="I17707" s="397"/>
      <c r="J17707" s="750" t="e">
        <f t="shared" si="213"/>
        <v>#DIV/0!</v>
      </c>
      <c r="K17707" s="398"/>
      <c r="L17707" s="404"/>
      <c r="M17707" s="682"/>
    </row>
    <row r="17708" spans="5:13" ht="25.5" hidden="1" x14ac:dyDescent="0.2">
      <c r="F17708" s="503" t="s">
        <v>259</v>
      </c>
      <c r="G17708" s="504" t="s">
        <v>260</v>
      </c>
      <c r="H17708" s="397"/>
      <c r="I17708" s="397"/>
      <c r="J17708" s="750" t="e">
        <f t="shared" si="213"/>
        <v>#DIV/0!</v>
      </c>
      <c r="K17708" s="398"/>
      <c r="L17708" s="404"/>
      <c r="M17708" s="682"/>
    </row>
    <row r="17709" spans="5:13" ht="25.5" hidden="1" x14ac:dyDescent="0.2">
      <c r="F17709" s="503" t="s">
        <v>261</v>
      </c>
      <c r="G17709" s="504" t="s">
        <v>262</v>
      </c>
      <c r="H17709" s="397"/>
      <c r="I17709" s="397"/>
      <c r="J17709" s="750" t="e">
        <f t="shared" si="213"/>
        <v>#DIV/0!</v>
      </c>
      <c r="K17709" s="398"/>
      <c r="L17709" s="404"/>
      <c r="M17709" s="682"/>
    </row>
    <row r="17710" spans="5:13" hidden="1" x14ac:dyDescent="0.2">
      <c r="F17710" s="503" t="s">
        <v>263</v>
      </c>
      <c r="G17710" s="504" t="s">
        <v>264</v>
      </c>
      <c r="H17710" s="403"/>
      <c r="I17710" s="403"/>
      <c r="J17710" s="750" t="e">
        <f t="shared" si="213"/>
        <v>#DIV/0!</v>
      </c>
      <c r="K17710" s="404"/>
      <c r="L17710" s="404"/>
      <c r="M17710" s="682"/>
    </row>
    <row r="17711" spans="5:13" ht="13.5" hidden="1" thickBot="1" x14ac:dyDescent="0.25">
      <c r="G17711" s="505" t="s">
        <v>4367</v>
      </c>
      <c r="H17711" s="405">
        <f>SUM(H17695:H17710)</f>
        <v>0</v>
      </c>
      <c r="I17711" s="405"/>
      <c r="J17711" s="750" t="e">
        <f t="shared" si="213"/>
        <v>#DIV/0!</v>
      </c>
      <c r="K17711" s="406">
        <f>SUM(K17696:K17710)</f>
        <v>0</v>
      </c>
      <c r="L17711" s="406"/>
      <c r="M17711" s="682"/>
    </row>
    <row r="17712" spans="5:13" ht="25.5" hidden="1" collapsed="1" x14ac:dyDescent="0.2">
      <c r="E17712" s="500"/>
      <c r="F17712" s="498"/>
      <c r="G17712" s="506" t="s">
        <v>4255</v>
      </c>
      <c r="H17712" s="407"/>
      <c r="I17712" s="408"/>
      <c r="J17712" s="750" t="e">
        <f t="shared" si="213"/>
        <v>#DIV/0!</v>
      </c>
      <c r="K17712" s="409"/>
      <c r="L17712" s="410"/>
      <c r="M17712" s="682"/>
    </row>
    <row r="17713" spans="5:13" hidden="1" x14ac:dyDescent="0.2">
      <c r="E17713" s="502"/>
      <c r="F17713" s="503" t="s">
        <v>234</v>
      </c>
      <c r="G17713" s="504" t="s">
        <v>235</v>
      </c>
      <c r="H17713" s="403">
        <f>SUM(H17634:H17693)</f>
        <v>0</v>
      </c>
      <c r="I17713" s="403"/>
      <c r="J17713" s="750" t="e">
        <f t="shared" si="213"/>
        <v>#DIV/0!</v>
      </c>
      <c r="K17713" s="404"/>
      <c r="L17713" s="404"/>
      <c r="M17713" s="682"/>
    </row>
    <row r="17714" spans="5:13" hidden="1" x14ac:dyDescent="0.2">
      <c r="F17714" s="503" t="s">
        <v>236</v>
      </c>
      <c r="G17714" s="504" t="s">
        <v>237</v>
      </c>
      <c r="H17714" s="397"/>
      <c r="I17714" s="397"/>
      <c r="J17714" s="750" t="e">
        <f t="shared" si="213"/>
        <v>#DIV/0!</v>
      </c>
      <c r="K17714" s="398"/>
      <c r="L17714" s="404"/>
      <c r="M17714" s="682"/>
    </row>
    <row r="17715" spans="5:13" hidden="1" x14ac:dyDescent="0.2">
      <c r="F17715" s="503" t="s">
        <v>238</v>
      </c>
      <c r="G17715" s="504" t="s">
        <v>239</v>
      </c>
      <c r="H17715" s="397"/>
      <c r="I17715" s="397"/>
      <c r="J17715" s="750" t="e">
        <f t="shared" si="213"/>
        <v>#DIV/0!</v>
      </c>
      <c r="K17715" s="398"/>
      <c r="L17715" s="404"/>
      <c r="M17715" s="682"/>
    </row>
    <row r="17716" spans="5:13" hidden="1" x14ac:dyDescent="0.2">
      <c r="F17716" s="503" t="s">
        <v>240</v>
      </c>
      <c r="G17716" s="504" t="s">
        <v>241</v>
      </c>
      <c r="H17716" s="397"/>
      <c r="I17716" s="397"/>
      <c r="J17716" s="750" t="e">
        <f t="shared" si="213"/>
        <v>#DIV/0!</v>
      </c>
      <c r="K17716" s="398"/>
      <c r="L17716" s="404"/>
      <c r="M17716" s="682"/>
    </row>
    <row r="17717" spans="5:13" hidden="1" x14ac:dyDescent="0.2">
      <c r="F17717" s="503" t="s">
        <v>242</v>
      </c>
      <c r="G17717" s="504" t="s">
        <v>243</v>
      </c>
      <c r="H17717" s="397"/>
      <c r="I17717" s="397"/>
      <c r="J17717" s="750" t="e">
        <f t="shared" si="213"/>
        <v>#DIV/0!</v>
      </c>
      <c r="K17717" s="398"/>
      <c r="L17717" s="404"/>
      <c r="M17717" s="682"/>
    </row>
    <row r="17718" spans="5:13" hidden="1" x14ac:dyDescent="0.2">
      <c r="F17718" s="503" t="s">
        <v>244</v>
      </c>
      <c r="G17718" s="504" t="s">
        <v>245</v>
      </c>
      <c r="H17718" s="397"/>
      <c r="I17718" s="397"/>
      <c r="J17718" s="750" t="e">
        <f t="shared" si="213"/>
        <v>#DIV/0!</v>
      </c>
      <c r="K17718" s="398"/>
      <c r="L17718" s="404"/>
      <c r="M17718" s="682"/>
    </row>
    <row r="17719" spans="5:13" hidden="1" x14ac:dyDescent="0.2">
      <c r="F17719" s="503" t="s">
        <v>246</v>
      </c>
      <c r="G17719" s="504" t="s">
        <v>247</v>
      </c>
      <c r="H17719" s="397"/>
      <c r="I17719" s="397"/>
      <c r="J17719" s="750" t="e">
        <f t="shared" si="213"/>
        <v>#DIV/0!</v>
      </c>
      <c r="K17719" s="398"/>
      <c r="L17719" s="404"/>
      <c r="M17719" s="682"/>
    </row>
    <row r="17720" spans="5:13" ht="25.5" hidden="1" x14ac:dyDescent="0.2">
      <c r="F17720" s="503" t="s">
        <v>248</v>
      </c>
      <c r="G17720" s="504" t="s">
        <v>249</v>
      </c>
      <c r="H17720" s="397"/>
      <c r="I17720" s="397"/>
      <c r="J17720" s="750" t="e">
        <f t="shared" si="213"/>
        <v>#DIV/0!</v>
      </c>
      <c r="K17720" s="398"/>
      <c r="L17720" s="404"/>
      <c r="M17720" s="682"/>
    </row>
    <row r="17721" spans="5:13" hidden="1" x14ac:dyDescent="0.2">
      <c r="F17721" s="503" t="s">
        <v>250</v>
      </c>
      <c r="G17721" s="504" t="s">
        <v>57</v>
      </c>
      <c r="H17721" s="397"/>
      <c r="I17721" s="397"/>
      <c r="J17721" s="750" t="e">
        <f t="shared" si="213"/>
        <v>#DIV/0!</v>
      </c>
      <c r="K17721" s="398"/>
      <c r="L17721" s="404"/>
      <c r="M17721" s="682"/>
    </row>
    <row r="17722" spans="5:13" hidden="1" x14ac:dyDescent="0.2">
      <c r="F17722" s="503" t="s">
        <v>251</v>
      </c>
      <c r="G17722" s="504" t="s">
        <v>252</v>
      </c>
      <c r="H17722" s="397"/>
      <c r="I17722" s="397"/>
      <c r="J17722" s="750" t="e">
        <f t="shared" si="213"/>
        <v>#DIV/0!</v>
      </c>
      <c r="K17722" s="398"/>
      <c r="L17722" s="404"/>
      <c r="M17722" s="682"/>
    </row>
    <row r="17723" spans="5:13" hidden="1" x14ac:dyDescent="0.2">
      <c r="F17723" s="503" t="s">
        <v>253</v>
      </c>
      <c r="G17723" s="504" t="s">
        <v>254</v>
      </c>
      <c r="H17723" s="397"/>
      <c r="I17723" s="397"/>
      <c r="J17723" s="750" t="e">
        <f t="shared" si="213"/>
        <v>#DIV/0!</v>
      </c>
      <c r="K17723" s="398"/>
      <c r="L17723" s="404"/>
      <c r="M17723" s="682"/>
    </row>
    <row r="17724" spans="5:13" ht="25.5" hidden="1" x14ac:dyDescent="0.2">
      <c r="F17724" s="503" t="s">
        <v>255</v>
      </c>
      <c r="G17724" s="504" t="s">
        <v>256</v>
      </c>
      <c r="H17724" s="397"/>
      <c r="I17724" s="397"/>
      <c r="J17724" s="750" t="e">
        <f t="shared" si="213"/>
        <v>#DIV/0!</v>
      </c>
      <c r="K17724" s="398"/>
      <c r="L17724" s="404"/>
      <c r="M17724" s="682"/>
    </row>
    <row r="17725" spans="5:13" ht="25.5" hidden="1" x14ac:dyDescent="0.2">
      <c r="F17725" s="503" t="s">
        <v>257</v>
      </c>
      <c r="G17725" s="504" t="s">
        <v>258</v>
      </c>
      <c r="H17725" s="397"/>
      <c r="I17725" s="397"/>
      <c r="J17725" s="750" t="e">
        <f t="shared" si="213"/>
        <v>#DIV/0!</v>
      </c>
      <c r="K17725" s="398"/>
      <c r="L17725" s="404"/>
      <c r="M17725" s="682"/>
    </row>
    <row r="17726" spans="5:13" ht="25.5" hidden="1" x14ac:dyDescent="0.2">
      <c r="F17726" s="503" t="s">
        <v>259</v>
      </c>
      <c r="G17726" s="504" t="s">
        <v>260</v>
      </c>
      <c r="H17726" s="397"/>
      <c r="I17726" s="397"/>
      <c r="J17726" s="750" t="e">
        <f t="shared" si="213"/>
        <v>#DIV/0!</v>
      </c>
      <c r="K17726" s="398"/>
      <c r="L17726" s="404"/>
      <c r="M17726" s="682"/>
    </row>
    <row r="17727" spans="5:13" ht="25.5" hidden="1" x14ac:dyDescent="0.2">
      <c r="F17727" s="503" t="s">
        <v>261</v>
      </c>
      <c r="G17727" s="504" t="s">
        <v>262</v>
      </c>
      <c r="H17727" s="397"/>
      <c r="I17727" s="397"/>
      <c r="J17727" s="750" t="e">
        <f t="shared" si="213"/>
        <v>#DIV/0!</v>
      </c>
      <c r="K17727" s="398"/>
      <c r="L17727" s="404"/>
      <c r="M17727" s="682"/>
    </row>
    <row r="17728" spans="5:13" hidden="1" x14ac:dyDescent="0.2">
      <c r="F17728" s="503" t="s">
        <v>263</v>
      </c>
      <c r="G17728" s="504" t="s">
        <v>264</v>
      </c>
      <c r="H17728" s="403"/>
      <c r="I17728" s="403"/>
      <c r="J17728" s="750" t="e">
        <f t="shared" si="213"/>
        <v>#DIV/0!</v>
      </c>
      <c r="K17728" s="404"/>
      <c r="L17728" s="404"/>
      <c r="M17728" s="682"/>
    </row>
    <row r="17729" spans="1:27" ht="13.5" hidden="1" collapsed="1" thickBot="1" x14ac:dyDescent="0.25">
      <c r="G17729" s="505" t="s">
        <v>4256</v>
      </c>
      <c r="H17729" s="405">
        <f>SUM(H17713:H17728)</f>
        <v>0</v>
      </c>
      <c r="I17729" s="405"/>
      <c r="J17729" s="750" t="e">
        <f t="shared" si="213"/>
        <v>#DIV/0!</v>
      </c>
      <c r="K17729" s="406">
        <f>SUM(K17714:K17728)</f>
        <v>0</v>
      </c>
      <c r="L17729" s="406"/>
      <c r="M17729" s="682"/>
    </row>
    <row r="17730" spans="1:27" s="530" customFormat="1" ht="15.75" hidden="1" customHeight="1" x14ac:dyDescent="0.2">
      <c r="A17730" s="526"/>
      <c r="B17730" s="527"/>
      <c r="C17730" s="534"/>
      <c r="D17730" s="535"/>
      <c r="E17730" s="535"/>
      <c r="F17730" s="167"/>
      <c r="G17730" s="513"/>
      <c r="H17730" s="422"/>
      <c r="I17730" s="422"/>
      <c r="J17730" s="750" t="e">
        <f t="shared" si="213"/>
        <v>#DIV/0!</v>
      </c>
      <c r="K17730" s="423"/>
      <c r="L17730" s="424"/>
      <c r="M17730" s="682"/>
      <c r="N17730" s="171"/>
      <c r="O17730" s="171"/>
      <c r="P17730" s="171"/>
      <c r="Q17730" s="171"/>
      <c r="R17730" s="171"/>
      <c r="S17730" s="171"/>
      <c r="T17730" s="171"/>
      <c r="U17730" s="171"/>
      <c r="V17730" s="171"/>
      <c r="W17730" s="171"/>
      <c r="X17730" s="171"/>
      <c r="Y17730" s="171"/>
      <c r="Z17730" s="171"/>
      <c r="AA17730" s="171"/>
    </row>
    <row r="17731" spans="1:27" s="530" customFormat="1" hidden="1" x14ac:dyDescent="0.2">
      <c r="A17731" s="526"/>
      <c r="B17731" s="527"/>
      <c r="C17731" s="534"/>
      <c r="D17731" s="535"/>
      <c r="E17731" s="535"/>
      <c r="F17731" s="498"/>
      <c r="G17731" s="511" t="s">
        <v>4250</v>
      </c>
      <c r="H17731" s="413"/>
      <c r="I17731" s="413"/>
      <c r="J17731" s="750" t="e">
        <f t="shared" si="213"/>
        <v>#DIV/0!</v>
      </c>
      <c r="K17731" s="414"/>
      <c r="L17731" s="415"/>
      <c r="M17731" s="682"/>
      <c r="N17731" s="171"/>
      <c r="O17731" s="171"/>
      <c r="P17731" s="171"/>
      <c r="Q17731" s="171"/>
      <c r="R17731" s="171"/>
      <c r="S17731" s="171"/>
      <c r="T17731" s="171"/>
      <c r="U17731" s="171"/>
      <c r="V17731" s="171"/>
      <c r="W17731" s="171"/>
      <c r="X17731" s="171"/>
      <c r="Y17731" s="171"/>
      <c r="Z17731" s="171"/>
      <c r="AA17731" s="171"/>
    </row>
    <row r="17732" spans="1:27" s="530" customFormat="1" hidden="1" x14ac:dyDescent="0.2">
      <c r="A17732" s="526"/>
      <c r="B17732" s="527"/>
      <c r="C17732" s="534"/>
      <c r="D17732" s="535"/>
      <c r="E17732" s="535"/>
      <c r="F17732" s="503" t="s">
        <v>234</v>
      </c>
      <c r="G17732" s="504" t="s">
        <v>235</v>
      </c>
      <c r="H17732" s="403">
        <f>SUM(H17317,H17416,H17515,H17614,H17713)</f>
        <v>0</v>
      </c>
      <c r="I17732" s="403"/>
      <c r="J17732" s="750" t="e">
        <f t="shared" si="213"/>
        <v>#DIV/0!</v>
      </c>
      <c r="K17732" s="404"/>
      <c r="L17732" s="404"/>
      <c r="M17732" s="682"/>
      <c r="N17732" s="171"/>
      <c r="O17732" s="171"/>
      <c r="P17732" s="171"/>
      <c r="Q17732" s="171"/>
      <c r="R17732" s="171"/>
      <c r="S17732" s="171"/>
      <c r="T17732" s="171"/>
      <c r="U17732" s="171"/>
      <c r="V17732" s="171"/>
      <c r="W17732" s="171"/>
      <c r="X17732" s="171"/>
      <c r="Y17732" s="171"/>
      <c r="Z17732" s="171"/>
      <c r="AA17732" s="171"/>
    </row>
    <row r="17733" spans="1:27" s="530" customFormat="1" hidden="1" x14ac:dyDescent="0.2">
      <c r="A17733" s="526"/>
      <c r="B17733" s="527"/>
      <c r="C17733" s="534"/>
      <c r="D17733" s="535"/>
      <c r="E17733" s="535"/>
      <c r="F17733" s="503" t="s">
        <v>236</v>
      </c>
      <c r="G17733" s="504" t="s">
        <v>237</v>
      </c>
      <c r="H17733" s="397"/>
      <c r="I17733" s="397"/>
      <c r="J17733" s="750" t="e">
        <f t="shared" si="213"/>
        <v>#DIV/0!</v>
      </c>
      <c r="K17733" s="398"/>
      <c r="L17733" s="404"/>
      <c r="M17733" s="682"/>
      <c r="N17733" s="171"/>
      <c r="O17733" s="171"/>
      <c r="P17733" s="171"/>
      <c r="Q17733" s="171"/>
      <c r="R17733" s="171"/>
      <c r="S17733" s="171"/>
      <c r="T17733" s="171"/>
      <c r="U17733" s="171"/>
      <c r="V17733" s="171"/>
      <c r="W17733" s="171"/>
      <c r="X17733" s="171"/>
      <c r="Y17733" s="171"/>
      <c r="Z17733" s="171"/>
      <c r="AA17733" s="171"/>
    </row>
    <row r="17734" spans="1:27" s="530" customFormat="1" hidden="1" x14ac:dyDescent="0.2">
      <c r="A17734" s="526"/>
      <c r="B17734" s="527"/>
      <c r="C17734" s="534"/>
      <c r="D17734" s="535"/>
      <c r="E17734" s="535"/>
      <c r="F17734" s="503" t="s">
        <v>238</v>
      </c>
      <c r="G17734" s="504" t="s">
        <v>239</v>
      </c>
      <c r="H17734" s="397"/>
      <c r="I17734" s="397"/>
      <c r="J17734" s="750" t="e">
        <f t="shared" si="213"/>
        <v>#DIV/0!</v>
      </c>
      <c r="K17734" s="398"/>
      <c r="L17734" s="404"/>
      <c r="M17734" s="682"/>
      <c r="N17734" s="171"/>
      <c r="O17734" s="171"/>
      <c r="P17734" s="171"/>
      <c r="Q17734" s="171"/>
      <c r="R17734" s="171"/>
      <c r="S17734" s="171"/>
      <c r="T17734" s="171"/>
      <c r="U17734" s="171"/>
      <c r="V17734" s="171"/>
      <c r="W17734" s="171"/>
      <c r="X17734" s="171"/>
      <c r="Y17734" s="171"/>
      <c r="Z17734" s="171"/>
      <c r="AA17734" s="171"/>
    </row>
    <row r="17735" spans="1:27" s="530" customFormat="1" hidden="1" x14ac:dyDescent="0.2">
      <c r="A17735" s="526"/>
      <c r="B17735" s="527"/>
      <c r="C17735" s="534"/>
      <c r="D17735" s="535"/>
      <c r="E17735" s="535"/>
      <c r="F17735" s="503" t="s">
        <v>240</v>
      </c>
      <c r="G17735" s="504" t="s">
        <v>241</v>
      </c>
      <c r="H17735" s="397"/>
      <c r="I17735" s="397"/>
      <c r="J17735" s="750" t="e">
        <f t="shared" si="213"/>
        <v>#DIV/0!</v>
      </c>
      <c r="K17735" s="398"/>
      <c r="L17735" s="404"/>
      <c r="M17735" s="682"/>
      <c r="N17735" s="171"/>
      <c r="O17735" s="171"/>
      <c r="P17735" s="171"/>
      <c r="Q17735" s="171"/>
      <c r="R17735" s="171"/>
      <c r="S17735" s="171"/>
      <c r="T17735" s="171"/>
      <c r="U17735" s="171"/>
      <c r="V17735" s="171"/>
      <c r="W17735" s="171"/>
      <c r="X17735" s="171"/>
      <c r="Y17735" s="171"/>
      <c r="Z17735" s="171"/>
      <c r="AA17735" s="171"/>
    </row>
    <row r="17736" spans="1:27" s="530" customFormat="1" hidden="1" x14ac:dyDescent="0.2">
      <c r="A17736" s="526"/>
      <c r="B17736" s="527"/>
      <c r="C17736" s="534"/>
      <c r="D17736" s="535"/>
      <c r="E17736" s="535"/>
      <c r="F17736" s="503" t="s">
        <v>242</v>
      </c>
      <c r="G17736" s="504" t="s">
        <v>243</v>
      </c>
      <c r="H17736" s="397"/>
      <c r="I17736" s="397"/>
      <c r="J17736" s="750" t="e">
        <f t="shared" si="213"/>
        <v>#DIV/0!</v>
      </c>
      <c r="K17736" s="398"/>
      <c r="L17736" s="404"/>
      <c r="M17736" s="682"/>
      <c r="N17736" s="171"/>
      <c r="O17736" s="171"/>
      <c r="P17736" s="171"/>
      <c r="Q17736" s="171"/>
      <c r="R17736" s="171"/>
      <c r="S17736" s="171"/>
      <c r="T17736" s="171"/>
      <c r="U17736" s="171"/>
      <c r="V17736" s="171"/>
      <c r="W17736" s="171"/>
      <c r="X17736" s="171"/>
      <c r="Y17736" s="171"/>
      <c r="Z17736" s="171"/>
      <c r="AA17736" s="171"/>
    </row>
    <row r="17737" spans="1:27" s="530" customFormat="1" hidden="1" x14ac:dyDescent="0.2">
      <c r="A17737" s="526"/>
      <c r="B17737" s="527"/>
      <c r="C17737" s="534"/>
      <c r="D17737" s="535"/>
      <c r="E17737" s="535"/>
      <c r="F17737" s="503" t="s">
        <v>244</v>
      </c>
      <c r="G17737" s="504" t="s">
        <v>245</v>
      </c>
      <c r="H17737" s="397"/>
      <c r="I17737" s="397"/>
      <c r="J17737" s="750" t="e">
        <f t="shared" si="213"/>
        <v>#DIV/0!</v>
      </c>
      <c r="K17737" s="398"/>
      <c r="L17737" s="404"/>
      <c r="M17737" s="682"/>
      <c r="N17737" s="171"/>
      <c r="O17737" s="171"/>
      <c r="P17737" s="171"/>
      <c r="Q17737" s="171"/>
      <c r="R17737" s="171"/>
      <c r="S17737" s="171"/>
      <c r="T17737" s="171"/>
      <c r="U17737" s="171"/>
      <c r="V17737" s="171"/>
      <c r="W17737" s="171"/>
      <c r="X17737" s="171"/>
      <c r="Y17737" s="171"/>
      <c r="Z17737" s="171"/>
      <c r="AA17737" s="171"/>
    </row>
    <row r="17738" spans="1:27" s="530" customFormat="1" hidden="1" x14ac:dyDescent="0.2">
      <c r="A17738" s="526"/>
      <c r="B17738" s="527"/>
      <c r="C17738" s="534"/>
      <c r="D17738" s="535"/>
      <c r="E17738" s="535"/>
      <c r="F17738" s="503" t="s">
        <v>246</v>
      </c>
      <c r="G17738" s="504" t="s">
        <v>247</v>
      </c>
      <c r="H17738" s="397"/>
      <c r="I17738" s="397"/>
      <c r="J17738" s="750" t="e">
        <f t="shared" si="213"/>
        <v>#DIV/0!</v>
      </c>
      <c r="K17738" s="398"/>
      <c r="L17738" s="404"/>
      <c r="M17738" s="682"/>
      <c r="N17738" s="171"/>
      <c r="O17738" s="171"/>
      <c r="P17738" s="171"/>
      <c r="Q17738" s="171"/>
      <c r="R17738" s="171"/>
      <c r="S17738" s="171"/>
      <c r="T17738" s="171"/>
      <c r="U17738" s="171"/>
      <c r="V17738" s="171"/>
      <c r="W17738" s="171"/>
      <c r="X17738" s="171"/>
      <c r="Y17738" s="171"/>
      <c r="Z17738" s="171"/>
      <c r="AA17738" s="171"/>
    </row>
    <row r="17739" spans="1:27" s="530" customFormat="1" ht="25.5" hidden="1" x14ac:dyDescent="0.2">
      <c r="A17739" s="526"/>
      <c r="B17739" s="527"/>
      <c r="C17739" s="534"/>
      <c r="D17739" s="535"/>
      <c r="E17739" s="535"/>
      <c r="F17739" s="503" t="s">
        <v>248</v>
      </c>
      <c r="G17739" s="504" t="s">
        <v>249</v>
      </c>
      <c r="H17739" s="397"/>
      <c r="I17739" s="397"/>
      <c r="J17739" s="750" t="e">
        <f t="shared" si="213"/>
        <v>#DIV/0!</v>
      </c>
      <c r="K17739" s="398"/>
      <c r="L17739" s="404"/>
      <c r="M17739" s="682"/>
      <c r="N17739" s="171"/>
      <c r="O17739" s="171"/>
      <c r="P17739" s="171"/>
      <c r="Q17739" s="171"/>
      <c r="R17739" s="171"/>
      <c r="S17739" s="171"/>
      <c r="T17739" s="171"/>
      <c r="U17739" s="171"/>
      <c r="V17739" s="171"/>
      <c r="W17739" s="171"/>
      <c r="X17739" s="171"/>
      <c r="Y17739" s="171"/>
      <c r="Z17739" s="171"/>
      <c r="AA17739" s="171"/>
    </row>
    <row r="17740" spans="1:27" s="530" customFormat="1" hidden="1" x14ac:dyDescent="0.2">
      <c r="A17740" s="526"/>
      <c r="B17740" s="527"/>
      <c r="C17740" s="534"/>
      <c r="D17740" s="535"/>
      <c r="E17740" s="535"/>
      <c r="F17740" s="503" t="s">
        <v>250</v>
      </c>
      <c r="G17740" s="504" t="s">
        <v>57</v>
      </c>
      <c r="H17740" s="397"/>
      <c r="I17740" s="397"/>
      <c r="J17740" s="750" t="e">
        <f t="shared" si="213"/>
        <v>#DIV/0!</v>
      </c>
      <c r="K17740" s="398"/>
      <c r="L17740" s="404"/>
      <c r="M17740" s="682"/>
      <c r="N17740" s="171"/>
      <c r="O17740" s="171"/>
      <c r="P17740" s="171"/>
      <c r="Q17740" s="171"/>
      <c r="R17740" s="171"/>
      <c r="S17740" s="171"/>
      <c r="T17740" s="171"/>
      <c r="U17740" s="171"/>
      <c r="V17740" s="171"/>
      <c r="W17740" s="171"/>
      <c r="X17740" s="171"/>
      <c r="Y17740" s="171"/>
      <c r="Z17740" s="171"/>
      <c r="AA17740" s="171"/>
    </row>
    <row r="17741" spans="1:27" s="530" customFormat="1" hidden="1" x14ac:dyDescent="0.2">
      <c r="A17741" s="526"/>
      <c r="B17741" s="527"/>
      <c r="C17741" s="534"/>
      <c r="D17741" s="535"/>
      <c r="E17741" s="535"/>
      <c r="F17741" s="503" t="s">
        <v>251</v>
      </c>
      <c r="G17741" s="504" t="s">
        <v>252</v>
      </c>
      <c r="H17741" s="397"/>
      <c r="I17741" s="397"/>
      <c r="J17741" s="750" t="e">
        <f t="shared" si="213"/>
        <v>#DIV/0!</v>
      </c>
      <c r="K17741" s="398"/>
      <c r="L17741" s="404"/>
      <c r="M17741" s="682"/>
      <c r="N17741" s="171"/>
      <c r="O17741" s="171"/>
      <c r="P17741" s="171"/>
      <c r="Q17741" s="171"/>
      <c r="R17741" s="171"/>
      <c r="S17741" s="171"/>
      <c r="T17741" s="171"/>
      <c r="U17741" s="171"/>
      <c r="V17741" s="171"/>
      <c r="W17741" s="171"/>
      <c r="X17741" s="171"/>
      <c r="Y17741" s="171"/>
      <c r="Z17741" s="171"/>
      <c r="AA17741" s="171"/>
    </row>
    <row r="17742" spans="1:27" s="530" customFormat="1" hidden="1" x14ac:dyDescent="0.2">
      <c r="A17742" s="526"/>
      <c r="B17742" s="527"/>
      <c r="C17742" s="534"/>
      <c r="D17742" s="535"/>
      <c r="E17742" s="535"/>
      <c r="F17742" s="503" t="s">
        <v>253</v>
      </c>
      <c r="G17742" s="504" t="s">
        <v>254</v>
      </c>
      <c r="H17742" s="397"/>
      <c r="I17742" s="397"/>
      <c r="J17742" s="750" t="e">
        <f t="shared" ref="J17742:J17805" si="214">SUM(I17742/H17742)*100</f>
        <v>#DIV/0!</v>
      </c>
      <c r="K17742" s="398"/>
      <c r="L17742" s="404"/>
      <c r="M17742" s="682"/>
      <c r="N17742" s="171"/>
      <c r="O17742" s="171"/>
      <c r="P17742" s="171"/>
      <c r="Q17742" s="171"/>
      <c r="R17742" s="171"/>
      <c r="S17742" s="171"/>
      <c r="T17742" s="171"/>
      <c r="U17742" s="171"/>
      <c r="V17742" s="171"/>
      <c r="W17742" s="171"/>
      <c r="X17742" s="171"/>
      <c r="Y17742" s="171"/>
      <c r="Z17742" s="171"/>
      <c r="AA17742" s="171"/>
    </row>
    <row r="17743" spans="1:27" s="530" customFormat="1" ht="25.5" hidden="1" x14ac:dyDescent="0.2">
      <c r="A17743" s="526"/>
      <c r="B17743" s="527"/>
      <c r="C17743" s="534"/>
      <c r="D17743" s="535"/>
      <c r="E17743" s="535"/>
      <c r="F17743" s="503" t="s">
        <v>255</v>
      </c>
      <c r="G17743" s="504" t="s">
        <v>256</v>
      </c>
      <c r="H17743" s="397"/>
      <c r="I17743" s="397"/>
      <c r="J17743" s="750" t="e">
        <f t="shared" si="214"/>
        <v>#DIV/0!</v>
      </c>
      <c r="K17743" s="398"/>
      <c r="L17743" s="404"/>
      <c r="M17743" s="682"/>
      <c r="N17743" s="171"/>
      <c r="O17743" s="171"/>
      <c r="P17743" s="171"/>
      <c r="Q17743" s="171"/>
      <c r="R17743" s="171"/>
      <c r="S17743" s="171"/>
      <c r="T17743" s="171"/>
      <c r="U17743" s="171"/>
      <c r="V17743" s="171"/>
      <c r="W17743" s="171"/>
      <c r="X17743" s="171"/>
      <c r="Y17743" s="171"/>
      <c r="Z17743" s="171"/>
      <c r="AA17743" s="171"/>
    </row>
    <row r="17744" spans="1:27" s="530" customFormat="1" ht="25.5" hidden="1" x14ac:dyDescent="0.2">
      <c r="A17744" s="526"/>
      <c r="B17744" s="527"/>
      <c r="C17744" s="534"/>
      <c r="D17744" s="535"/>
      <c r="E17744" s="535"/>
      <c r="F17744" s="503" t="s">
        <v>257</v>
      </c>
      <c r="G17744" s="504" t="s">
        <v>258</v>
      </c>
      <c r="H17744" s="397"/>
      <c r="I17744" s="397"/>
      <c r="J17744" s="750" t="e">
        <f t="shared" si="214"/>
        <v>#DIV/0!</v>
      </c>
      <c r="K17744" s="398"/>
      <c r="L17744" s="404"/>
      <c r="M17744" s="682"/>
      <c r="N17744" s="171"/>
      <c r="O17744" s="171"/>
      <c r="P17744" s="171"/>
      <c r="Q17744" s="171"/>
      <c r="R17744" s="171"/>
      <c r="S17744" s="171"/>
      <c r="T17744" s="171"/>
      <c r="U17744" s="171"/>
      <c r="V17744" s="171"/>
      <c r="W17744" s="171"/>
      <c r="X17744" s="171"/>
      <c r="Y17744" s="171"/>
      <c r="Z17744" s="171"/>
      <c r="AA17744" s="171"/>
    </row>
    <row r="17745" spans="1:27" s="530" customFormat="1" ht="25.5" hidden="1" x14ac:dyDescent="0.2">
      <c r="A17745" s="526"/>
      <c r="B17745" s="527"/>
      <c r="C17745" s="534"/>
      <c r="D17745" s="535"/>
      <c r="E17745" s="535"/>
      <c r="F17745" s="503" t="s">
        <v>259</v>
      </c>
      <c r="G17745" s="504" t="s">
        <v>260</v>
      </c>
      <c r="H17745" s="397"/>
      <c r="I17745" s="397"/>
      <c r="J17745" s="750" t="e">
        <f t="shared" si="214"/>
        <v>#DIV/0!</v>
      </c>
      <c r="K17745" s="398"/>
      <c r="L17745" s="404"/>
      <c r="M17745" s="682"/>
      <c r="N17745" s="171"/>
      <c r="O17745" s="171"/>
      <c r="P17745" s="171"/>
      <c r="Q17745" s="171"/>
      <c r="R17745" s="171"/>
      <c r="S17745" s="171"/>
      <c r="T17745" s="171"/>
      <c r="U17745" s="171"/>
      <c r="V17745" s="171"/>
      <c r="W17745" s="171"/>
      <c r="X17745" s="171"/>
      <c r="Y17745" s="171"/>
      <c r="Z17745" s="171"/>
      <c r="AA17745" s="171"/>
    </row>
    <row r="17746" spans="1:27" s="530" customFormat="1" ht="25.5" hidden="1" x14ac:dyDescent="0.2">
      <c r="A17746" s="526"/>
      <c r="B17746" s="527"/>
      <c r="C17746" s="534"/>
      <c r="D17746" s="535"/>
      <c r="E17746" s="535"/>
      <c r="F17746" s="503" t="s">
        <v>261</v>
      </c>
      <c r="G17746" s="504" t="s">
        <v>262</v>
      </c>
      <c r="H17746" s="397"/>
      <c r="I17746" s="397"/>
      <c r="J17746" s="750" t="e">
        <f t="shared" si="214"/>
        <v>#DIV/0!</v>
      </c>
      <c r="K17746" s="398"/>
      <c r="L17746" s="404"/>
      <c r="M17746" s="682"/>
      <c r="N17746" s="171"/>
      <c r="O17746" s="171"/>
      <c r="P17746" s="171"/>
      <c r="Q17746" s="171"/>
      <c r="R17746" s="171"/>
      <c r="S17746" s="171"/>
      <c r="T17746" s="171"/>
      <c r="U17746" s="171"/>
      <c r="V17746" s="171"/>
      <c r="W17746" s="171"/>
      <c r="X17746" s="171"/>
      <c r="Y17746" s="171"/>
      <c r="Z17746" s="171"/>
      <c r="AA17746" s="171"/>
    </row>
    <row r="17747" spans="1:27" s="530" customFormat="1" hidden="1" x14ac:dyDescent="0.2">
      <c r="A17747" s="526"/>
      <c r="B17747" s="527"/>
      <c r="C17747" s="534"/>
      <c r="D17747" s="535"/>
      <c r="E17747" s="535"/>
      <c r="F17747" s="503" t="s">
        <v>263</v>
      </c>
      <c r="G17747" s="504" t="s">
        <v>264</v>
      </c>
      <c r="H17747" s="403"/>
      <c r="I17747" s="403"/>
      <c r="J17747" s="750" t="e">
        <f t="shared" si="214"/>
        <v>#DIV/0!</v>
      </c>
      <c r="K17747" s="404"/>
      <c r="L17747" s="404"/>
      <c r="M17747" s="682"/>
      <c r="N17747" s="171"/>
      <c r="O17747" s="171"/>
      <c r="P17747" s="171"/>
      <c r="Q17747" s="171"/>
      <c r="R17747" s="171"/>
      <c r="S17747" s="171"/>
      <c r="T17747" s="171"/>
      <c r="U17747" s="171"/>
      <c r="V17747" s="171"/>
      <c r="W17747" s="171"/>
      <c r="X17747" s="171"/>
      <c r="Y17747" s="171"/>
      <c r="Z17747" s="171"/>
      <c r="AA17747" s="171"/>
    </row>
    <row r="17748" spans="1:27" s="530" customFormat="1" ht="13.5" hidden="1" thickBot="1" x14ac:dyDescent="0.25">
      <c r="A17748" s="526"/>
      <c r="B17748" s="527"/>
      <c r="C17748" s="534"/>
      <c r="D17748" s="535"/>
      <c r="E17748" s="535"/>
      <c r="F17748" s="464"/>
      <c r="G17748" s="505" t="s">
        <v>4251</v>
      </c>
      <c r="H17748" s="405">
        <f>SUM(H17732:H17747)</f>
        <v>0</v>
      </c>
      <c r="I17748" s="405"/>
      <c r="J17748" s="750" t="e">
        <f t="shared" si="214"/>
        <v>#DIV/0!</v>
      </c>
      <c r="K17748" s="406">
        <f>SUM(K17733:K17747)</f>
        <v>0</v>
      </c>
      <c r="L17748" s="406"/>
      <c r="M17748" s="682"/>
      <c r="N17748" s="171"/>
      <c r="O17748" s="171"/>
      <c r="P17748" s="171"/>
      <c r="Q17748" s="171"/>
      <c r="R17748" s="171"/>
      <c r="S17748" s="171"/>
      <c r="T17748" s="171"/>
      <c r="U17748" s="171"/>
      <c r="V17748" s="171"/>
      <c r="W17748" s="171"/>
      <c r="X17748" s="171"/>
      <c r="Y17748" s="171"/>
      <c r="Z17748" s="171"/>
      <c r="AA17748" s="171"/>
    </row>
    <row r="17749" spans="1:27" hidden="1" x14ac:dyDescent="0.2">
      <c r="H17749" s="397"/>
      <c r="I17749" s="397"/>
      <c r="J17749" s="750" t="e">
        <f t="shared" si="214"/>
        <v>#DIV/0!</v>
      </c>
      <c r="K17749" s="398"/>
      <c r="L17749" s="398"/>
      <c r="M17749" s="682"/>
    </row>
    <row r="17750" spans="1:27" hidden="1" x14ac:dyDescent="0.2">
      <c r="E17750" s="500"/>
      <c r="F17750" s="498"/>
      <c r="G17750" s="511" t="s">
        <v>4456</v>
      </c>
      <c r="H17750" s="413"/>
      <c r="I17750" s="413"/>
      <c r="J17750" s="750" t="e">
        <f t="shared" si="214"/>
        <v>#DIV/0!</v>
      </c>
      <c r="K17750" s="414"/>
      <c r="L17750" s="415"/>
      <c r="M17750" s="682"/>
    </row>
    <row r="17751" spans="1:27" hidden="1" x14ac:dyDescent="0.2">
      <c r="E17751" s="502"/>
      <c r="F17751" s="503" t="s">
        <v>234</v>
      </c>
      <c r="G17751" s="504" t="s">
        <v>235</v>
      </c>
      <c r="H17751" s="403">
        <f>SUM(H17732)</f>
        <v>0</v>
      </c>
      <c r="I17751" s="403"/>
      <c r="J17751" s="750" t="e">
        <f t="shared" si="214"/>
        <v>#DIV/0!</v>
      </c>
      <c r="K17751" s="404"/>
      <c r="L17751" s="404"/>
      <c r="M17751" s="682"/>
    </row>
    <row r="17752" spans="1:27" hidden="1" x14ac:dyDescent="0.2">
      <c r="F17752" s="503" t="s">
        <v>236</v>
      </c>
      <c r="G17752" s="504" t="s">
        <v>237</v>
      </c>
      <c r="H17752" s="397"/>
      <c r="I17752" s="397"/>
      <c r="J17752" s="750" t="e">
        <f t="shared" si="214"/>
        <v>#DIV/0!</v>
      </c>
      <c r="K17752" s="398"/>
      <c r="L17752" s="404"/>
      <c r="M17752" s="682"/>
    </row>
    <row r="17753" spans="1:27" hidden="1" x14ac:dyDescent="0.2">
      <c r="F17753" s="503" t="s">
        <v>238</v>
      </c>
      <c r="G17753" s="504" t="s">
        <v>239</v>
      </c>
      <c r="H17753" s="397"/>
      <c r="I17753" s="397"/>
      <c r="J17753" s="750" t="e">
        <f t="shared" si="214"/>
        <v>#DIV/0!</v>
      </c>
      <c r="K17753" s="398"/>
      <c r="L17753" s="404"/>
      <c r="M17753" s="682"/>
    </row>
    <row r="17754" spans="1:27" hidden="1" x14ac:dyDescent="0.2">
      <c r="F17754" s="503" t="s">
        <v>240</v>
      </c>
      <c r="G17754" s="504" t="s">
        <v>241</v>
      </c>
      <c r="H17754" s="397"/>
      <c r="I17754" s="397"/>
      <c r="J17754" s="750" t="e">
        <f t="shared" si="214"/>
        <v>#DIV/0!</v>
      </c>
      <c r="K17754" s="398"/>
      <c r="L17754" s="404"/>
      <c r="M17754" s="682"/>
    </row>
    <row r="17755" spans="1:27" hidden="1" x14ac:dyDescent="0.2">
      <c r="F17755" s="503" t="s">
        <v>242</v>
      </c>
      <c r="G17755" s="504" t="s">
        <v>243</v>
      </c>
      <c r="H17755" s="397"/>
      <c r="I17755" s="397"/>
      <c r="J17755" s="750" t="e">
        <f t="shared" si="214"/>
        <v>#DIV/0!</v>
      </c>
      <c r="K17755" s="398"/>
      <c r="L17755" s="404"/>
      <c r="M17755" s="682"/>
    </row>
    <row r="17756" spans="1:27" hidden="1" x14ac:dyDescent="0.2">
      <c r="F17756" s="503" t="s">
        <v>244</v>
      </c>
      <c r="G17756" s="504" t="s">
        <v>245</v>
      </c>
      <c r="H17756" s="397"/>
      <c r="I17756" s="397"/>
      <c r="J17756" s="750" t="e">
        <f t="shared" si="214"/>
        <v>#DIV/0!</v>
      </c>
      <c r="K17756" s="398"/>
      <c r="L17756" s="404"/>
      <c r="M17756" s="682"/>
    </row>
    <row r="17757" spans="1:27" hidden="1" x14ac:dyDescent="0.2">
      <c r="F17757" s="503" t="s">
        <v>246</v>
      </c>
      <c r="G17757" s="504" t="s">
        <v>247</v>
      </c>
      <c r="H17757" s="397"/>
      <c r="I17757" s="397"/>
      <c r="J17757" s="750" t="e">
        <f t="shared" si="214"/>
        <v>#DIV/0!</v>
      </c>
      <c r="K17757" s="398"/>
      <c r="L17757" s="404"/>
      <c r="M17757" s="682"/>
    </row>
    <row r="17758" spans="1:27" ht="25.5" hidden="1" x14ac:dyDescent="0.2">
      <c r="F17758" s="503" t="s">
        <v>248</v>
      </c>
      <c r="G17758" s="504" t="s">
        <v>249</v>
      </c>
      <c r="H17758" s="397"/>
      <c r="I17758" s="397"/>
      <c r="J17758" s="750" t="e">
        <f t="shared" si="214"/>
        <v>#DIV/0!</v>
      </c>
      <c r="K17758" s="398"/>
      <c r="L17758" s="404"/>
      <c r="M17758" s="682"/>
    </row>
    <row r="17759" spans="1:27" hidden="1" x14ac:dyDescent="0.2">
      <c r="F17759" s="503" t="s">
        <v>250</v>
      </c>
      <c r="G17759" s="504" t="s">
        <v>57</v>
      </c>
      <c r="H17759" s="397"/>
      <c r="I17759" s="397"/>
      <c r="J17759" s="750" t="e">
        <f t="shared" si="214"/>
        <v>#DIV/0!</v>
      </c>
      <c r="K17759" s="398"/>
      <c r="L17759" s="404"/>
      <c r="M17759" s="682"/>
    </row>
    <row r="17760" spans="1:27" hidden="1" x14ac:dyDescent="0.2">
      <c r="F17760" s="503" t="s">
        <v>251</v>
      </c>
      <c r="G17760" s="504" t="s">
        <v>252</v>
      </c>
      <c r="H17760" s="397"/>
      <c r="I17760" s="397"/>
      <c r="J17760" s="750" t="e">
        <f t="shared" si="214"/>
        <v>#DIV/0!</v>
      </c>
      <c r="K17760" s="398"/>
      <c r="L17760" s="404"/>
      <c r="M17760" s="682"/>
    </row>
    <row r="17761" spans="1:27" hidden="1" x14ac:dyDescent="0.2">
      <c r="F17761" s="503" t="s">
        <v>253</v>
      </c>
      <c r="G17761" s="504" t="s">
        <v>254</v>
      </c>
      <c r="H17761" s="397"/>
      <c r="I17761" s="397"/>
      <c r="J17761" s="750" t="e">
        <f t="shared" si="214"/>
        <v>#DIV/0!</v>
      </c>
      <c r="K17761" s="398"/>
      <c r="L17761" s="404"/>
      <c r="M17761" s="682"/>
    </row>
    <row r="17762" spans="1:27" ht="25.5" hidden="1" x14ac:dyDescent="0.2">
      <c r="F17762" s="503" t="s">
        <v>255</v>
      </c>
      <c r="G17762" s="504" t="s">
        <v>256</v>
      </c>
      <c r="H17762" s="397"/>
      <c r="I17762" s="397"/>
      <c r="J17762" s="750" t="e">
        <f t="shared" si="214"/>
        <v>#DIV/0!</v>
      </c>
      <c r="K17762" s="398"/>
      <c r="L17762" s="404"/>
      <c r="M17762" s="682"/>
    </row>
    <row r="17763" spans="1:27" ht="25.5" hidden="1" x14ac:dyDescent="0.2">
      <c r="F17763" s="503" t="s">
        <v>257</v>
      </c>
      <c r="G17763" s="504" t="s">
        <v>258</v>
      </c>
      <c r="H17763" s="397"/>
      <c r="I17763" s="397"/>
      <c r="J17763" s="750" t="e">
        <f t="shared" si="214"/>
        <v>#DIV/0!</v>
      </c>
      <c r="K17763" s="398"/>
      <c r="L17763" s="404"/>
      <c r="M17763" s="682"/>
    </row>
    <row r="17764" spans="1:27" ht="25.5" hidden="1" x14ac:dyDescent="0.2">
      <c r="F17764" s="503" t="s">
        <v>259</v>
      </c>
      <c r="G17764" s="504" t="s">
        <v>260</v>
      </c>
      <c r="H17764" s="397"/>
      <c r="I17764" s="397"/>
      <c r="J17764" s="750" t="e">
        <f t="shared" si="214"/>
        <v>#DIV/0!</v>
      </c>
      <c r="K17764" s="398"/>
      <c r="L17764" s="404"/>
      <c r="M17764" s="682"/>
    </row>
    <row r="17765" spans="1:27" ht="25.5" hidden="1" x14ac:dyDescent="0.2">
      <c r="F17765" s="503" t="s">
        <v>261</v>
      </c>
      <c r="G17765" s="504" t="s">
        <v>262</v>
      </c>
      <c r="H17765" s="397"/>
      <c r="I17765" s="397"/>
      <c r="J17765" s="750" t="e">
        <f t="shared" si="214"/>
        <v>#DIV/0!</v>
      </c>
      <c r="K17765" s="398"/>
      <c r="L17765" s="404"/>
      <c r="M17765" s="682"/>
    </row>
    <row r="17766" spans="1:27" hidden="1" x14ac:dyDescent="0.2">
      <c r="F17766" s="503" t="s">
        <v>263</v>
      </c>
      <c r="G17766" s="504" t="s">
        <v>264</v>
      </c>
      <c r="H17766" s="403"/>
      <c r="I17766" s="403"/>
      <c r="J17766" s="750" t="e">
        <f t="shared" si="214"/>
        <v>#DIV/0!</v>
      </c>
      <c r="K17766" s="404"/>
      <c r="L17766" s="404"/>
      <c r="M17766" s="682"/>
    </row>
    <row r="17767" spans="1:27" ht="13.5" hidden="1" thickBot="1" x14ac:dyDescent="0.25">
      <c r="G17767" s="505" t="s">
        <v>4457</v>
      </c>
      <c r="H17767" s="405">
        <f>SUM(H17751:H17766)</f>
        <v>0</v>
      </c>
      <c r="I17767" s="405"/>
      <c r="J17767" s="750" t="e">
        <f t="shared" si="214"/>
        <v>#DIV/0!</v>
      </c>
      <c r="K17767" s="406">
        <f>SUM(K17752:K17766)</f>
        <v>0</v>
      </c>
      <c r="L17767" s="406"/>
      <c r="M17767" s="682"/>
    </row>
    <row r="17768" spans="1:27" hidden="1" x14ac:dyDescent="0.2">
      <c r="H17768" s="397"/>
      <c r="I17768" s="397"/>
      <c r="J17768" s="750" t="e">
        <f t="shared" si="214"/>
        <v>#DIV/0!</v>
      </c>
      <c r="K17768" s="398"/>
      <c r="L17768" s="398"/>
      <c r="M17768" s="682"/>
    </row>
    <row r="17769" spans="1:27" ht="25.5" hidden="1" x14ac:dyDescent="0.2">
      <c r="A17769" s="662">
        <v>4</v>
      </c>
      <c r="B17769" s="661">
        <v>13</v>
      </c>
      <c r="C17769" s="662"/>
      <c r="D17769" s="665"/>
      <c r="E17769" s="187"/>
      <c r="F17769" s="187"/>
      <c r="G17769" s="666" t="s">
        <v>4326</v>
      </c>
      <c r="H17769" s="421"/>
      <c r="I17769" s="421"/>
      <c r="J17769" s="750" t="e">
        <f t="shared" si="214"/>
        <v>#DIV/0!</v>
      </c>
      <c r="K17769" s="449"/>
      <c r="L17769" s="447"/>
      <c r="M17769" s="682"/>
      <c r="N17769" s="667"/>
      <c r="O17769" s="668"/>
      <c r="P17769" s="171"/>
    </row>
    <row r="17770" spans="1:27" s="530" customFormat="1" hidden="1" x14ac:dyDescent="0.2">
      <c r="A17770" s="526"/>
      <c r="B17770" s="527"/>
      <c r="C17770" s="528" t="s">
        <v>3588</v>
      </c>
      <c r="D17770" s="528"/>
      <c r="E17770" s="536"/>
      <c r="F17770" s="536"/>
      <c r="G17770" s="529" t="s">
        <v>4249</v>
      </c>
      <c r="H17770" s="425"/>
      <c r="I17770" s="425"/>
      <c r="J17770" s="750" t="e">
        <f t="shared" si="214"/>
        <v>#DIV/0!</v>
      </c>
      <c r="K17770" s="243"/>
      <c r="L17770" s="243"/>
      <c r="M17770" s="682"/>
      <c r="N17770" s="171"/>
      <c r="O17770" s="171"/>
      <c r="P17770" s="171"/>
      <c r="Q17770" s="171"/>
      <c r="R17770" s="171"/>
      <c r="S17770" s="171"/>
      <c r="T17770" s="171"/>
      <c r="U17770" s="171"/>
      <c r="V17770" s="171"/>
      <c r="W17770" s="171"/>
      <c r="X17770" s="171"/>
      <c r="Y17770" s="171"/>
      <c r="Z17770" s="171"/>
      <c r="AA17770" s="171"/>
    </row>
    <row r="17771" spans="1:27" ht="25.5" hidden="1" x14ac:dyDescent="0.2">
      <c r="C17771" s="489" t="s">
        <v>4114</v>
      </c>
      <c r="D17771" s="490"/>
      <c r="G17771" s="491" t="s">
        <v>4115</v>
      </c>
      <c r="H17771" s="397"/>
      <c r="I17771" s="397"/>
      <c r="J17771" s="750" t="e">
        <f t="shared" si="214"/>
        <v>#DIV/0!</v>
      </c>
      <c r="K17771" s="398"/>
      <c r="L17771" s="398"/>
      <c r="M17771" s="682"/>
    </row>
    <row r="17772" spans="1:27" s="530" customFormat="1" hidden="1" x14ac:dyDescent="0.2">
      <c r="A17772" s="526"/>
      <c r="B17772" s="527"/>
      <c r="C17772" s="528"/>
      <c r="D17772" s="569" t="s">
        <v>3884</v>
      </c>
      <c r="E17772" s="538"/>
      <c r="F17772" s="538"/>
      <c r="G17772" s="539" t="s">
        <v>4290</v>
      </c>
      <c r="H17772" s="425"/>
      <c r="I17772" s="425"/>
      <c r="J17772" s="750" t="e">
        <f t="shared" si="214"/>
        <v>#DIV/0!</v>
      </c>
      <c r="K17772" s="243"/>
      <c r="L17772" s="243"/>
      <c r="M17772" s="682"/>
      <c r="N17772" s="171"/>
      <c r="O17772" s="171"/>
      <c r="P17772" s="171"/>
      <c r="Q17772" s="171"/>
      <c r="R17772" s="171"/>
      <c r="S17772" s="171"/>
      <c r="T17772" s="171"/>
      <c r="U17772" s="171"/>
      <c r="V17772" s="171"/>
      <c r="W17772" s="171"/>
      <c r="X17772" s="171"/>
      <c r="Y17772" s="171"/>
      <c r="Z17772" s="171"/>
      <c r="AA17772" s="171"/>
    </row>
    <row r="17773" spans="1:27" hidden="1" x14ac:dyDescent="0.2">
      <c r="F17773" s="494">
        <v>411</v>
      </c>
      <c r="G17773" s="495" t="s">
        <v>4167</v>
      </c>
      <c r="H17773" s="397"/>
      <c r="I17773" s="397"/>
      <c r="J17773" s="750" t="e">
        <f t="shared" si="214"/>
        <v>#DIV/0!</v>
      </c>
      <c r="K17773" s="398"/>
      <c r="L17773" s="398"/>
      <c r="M17773" s="682"/>
    </row>
    <row r="17774" spans="1:27" hidden="1" x14ac:dyDescent="0.2">
      <c r="F17774" s="494">
        <v>412</v>
      </c>
      <c r="G17774" s="496" t="s">
        <v>3764</v>
      </c>
      <c r="H17774" s="397"/>
      <c r="I17774" s="397"/>
      <c r="J17774" s="750" t="e">
        <f t="shared" si="214"/>
        <v>#DIV/0!</v>
      </c>
      <c r="K17774" s="398"/>
      <c r="L17774" s="398"/>
      <c r="M17774" s="682"/>
    </row>
    <row r="17775" spans="1:27" hidden="1" x14ac:dyDescent="0.2">
      <c r="F17775" s="494">
        <v>413</v>
      </c>
      <c r="G17775" s="495" t="s">
        <v>4168</v>
      </c>
      <c r="H17775" s="397"/>
      <c r="I17775" s="397"/>
      <c r="J17775" s="750" t="e">
        <f t="shared" si="214"/>
        <v>#DIV/0!</v>
      </c>
      <c r="K17775" s="398"/>
      <c r="L17775" s="398"/>
      <c r="M17775" s="682"/>
    </row>
    <row r="17776" spans="1:27" hidden="1" x14ac:dyDescent="0.2">
      <c r="F17776" s="494">
        <v>414</v>
      </c>
      <c r="G17776" s="495" t="s">
        <v>3767</v>
      </c>
      <c r="H17776" s="397"/>
      <c r="I17776" s="397"/>
      <c r="J17776" s="750" t="e">
        <f t="shared" si="214"/>
        <v>#DIV/0!</v>
      </c>
      <c r="K17776" s="398"/>
      <c r="L17776" s="398"/>
      <c r="M17776" s="682"/>
    </row>
    <row r="17777" spans="6:13" hidden="1" x14ac:dyDescent="0.2">
      <c r="F17777" s="494">
        <v>415</v>
      </c>
      <c r="G17777" s="495" t="s">
        <v>4177</v>
      </c>
      <c r="H17777" s="397"/>
      <c r="I17777" s="397"/>
      <c r="J17777" s="750" t="e">
        <f t="shared" si="214"/>
        <v>#DIV/0!</v>
      </c>
      <c r="K17777" s="398"/>
      <c r="L17777" s="398"/>
      <c r="M17777" s="682"/>
    </row>
    <row r="17778" spans="6:13" ht="25.5" hidden="1" x14ac:dyDescent="0.2">
      <c r="F17778" s="494">
        <v>416</v>
      </c>
      <c r="G17778" s="495" t="s">
        <v>4178</v>
      </c>
      <c r="H17778" s="397"/>
      <c r="I17778" s="397"/>
      <c r="J17778" s="750" t="e">
        <f t="shared" si="214"/>
        <v>#DIV/0!</v>
      </c>
      <c r="K17778" s="398"/>
      <c r="L17778" s="398"/>
      <c r="M17778" s="682"/>
    </row>
    <row r="17779" spans="6:13" hidden="1" x14ac:dyDescent="0.2">
      <c r="F17779" s="494">
        <v>417</v>
      </c>
      <c r="G17779" s="495" t="s">
        <v>4179</v>
      </c>
      <c r="H17779" s="397"/>
      <c r="I17779" s="397"/>
      <c r="J17779" s="750" t="e">
        <f t="shared" si="214"/>
        <v>#DIV/0!</v>
      </c>
      <c r="K17779" s="398"/>
      <c r="L17779" s="398"/>
      <c r="M17779" s="682"/>
    </row>
    <row r="17780" spans="6:13" hidden="1" x14ac:dyDescent="0.2">
      <c r="F17780" s="494">
        <v>418</v>
      </c>
      <c r="G17780" s="495" t="s">
        <v>3773</v>
      </c>
      <c r="H17780" s="397"/>
      <c r="I17780" s="397"/>
      <c r="J17780" s="750" t="e">
        <f t="shared" si="214"/>
        <v>#DIV/0!</v>
      </c>
      <c r="K17780" s="398"/>
      <c r="L17780" s="398"/>
      <c r="M17780" s="682"/>
    </row>
    <row r="17781" spans="6:13" hidden="1" x14ac:dyDescent="0.2">
      <c r="F17781" s="494">
        <v>421</v>
      </c>
      <c r="G17781" s="495" t="s">
        <v>3777</v>
      </c>
      <c r="H17781" s="397"/>
      <c r="I17781" s="397"/>
      <c r="J17781" s="750" t="e">
        <f t="shared" si="214"/>
        <v>#DIV/0!</v>
      </c>
      <c r="K17781" s="398"/>
      <c r="L17781" s="398"/>
      <c r="M17781" s="682"/>
    </row>
    <row r="17782" spans="6:13" hidden="1" x14ac:dyDescent="0.2">
      <c r="F17782" s="494">
        <v>422</v>
      </c>
      <c r="G17782" s="495" t="s">
        <v>3778</v>
      </c>
      <c r="H17782" s="397"/>
      <c r="I17782" s="397"/>
      <c r="J17782" s="750" t="e">
        <f t="shared" si="214"/>
        <v>#DIV/0!</v>
      </c>
      <c r="K17782" s="398"/>
      <c r="L17782" s="398"/>
      <c r="M17782" s="682"/>
    </row>
    <row r="17783" spans="6:13" hidden="1" x14ac:dyDescent="0.2">
      <c r="F17783" s="494">
        <v>423</v>
      </c>
      <c r="G17783" s="495" t="s">
        <v>3779</v>
      </c>
      <c r="H17783" s="397"/>
      <c r="I17783" s="397"/>
      <c r="J17783" s="750" t="e">
        <f t="shared" si="214"/>
        <v>#DIV/0!</v>
      </c>
      <c r="K17783" s="398"/>
      <c r="L17783" s="398"/>
      <c r="M17783" s="682"/>
    </row>
    <row r="17784" spans="6:13" hidden="1" x14ac:dyDescent="0.2">
      <c r="F17784" s="494">
        <v>424</v>
      </c>
      <c r="G17784" s="495" t="s">
        <v>3781</v>
      </c>
      <c r="H17784" s="397"/>
      <c r="I17784" s="397"/>
      <c r="J17784" s="750" t="e">
        <f t="shared" si="214"/>
        <v>#DIV/0!</v>
      </c>
      <c r="K17784" s="398"/>
      <c r="L17784" s="398"/>
      <c r="M17784" s="682"/>
    </row>
    <row r="17785" spans="6:13" hidden="1" x14ac:dyDescent="0.2">
      <c r="F17785" s="494">
        <v>425</v>
      </c>
      <c r="G17785" s="495" t="s">
        <v>4180</v>
      </c>
      <c r="H17785" s="397"/>
      <c r="I17785" s="397"/>
      <c r="J17785" s="750" t="e">
        <f t="shared" si="214"/>
        <v>#DIV/0!</v>
      </c>
      <c r="K17785" s="398"/>
      <c r="L17785" s="398"/>
      <c r="M17785" s="682"/>
    </row>
    <row r="17786" spans="6:13" hidden="1" x14ac:dyDescent="0.2">
      <c r="F17786" s="494">
        <v>426</v>
      </c>
      <c r="G17786" s="495" t="s">
        <v>3785</v>
      </c>
      <c r="H17786" s="397"/>
      <c r="I17786" s="397"/>
      <c r="J17786" s="750" t="e">
        <f t="shared" si="214"/>
        <v>#DIV/0!</v>
      </c>
      <c r="K17786" s="398"/>
      <c r="L17786" s="398"/>
      <c r="M17786" s="682"/>
    </row>
    <row r="17787" spans="6:13" ht="14.25" hidden="1" customHeight="1" x14ac:dyDescent="0.2">
      <c r="F17787" s="494">
        <v>431</v>
      </c>
      <c r="G17787" s="495" t="s">
        <v>4181</v>
      </c>
      <c r="H17787" s="397"/>
      <c r="I17787" s="397"/>
      <c r="J17787" s="750" t="e">
        <f t="shared" si="214"/>
        <v>#DIV/0!</v>
      </c>
      <c r="K17787" s="398"/>
      <c r="L17787" s="398"/>
      <c r="M17787" s="682"/>
    </row>
    <row r="17788" spans="6:13" hidden="1" x14ac:dyDescent="0.2">
      <c r="F17788" s="494">
        <v>432</v>
      </c>
      <c r="G17788" s="495" t="s">
        <v>4182</v>
      </c>
      <c r="H17788" s="397"/>
      <c r="I17788" s="397"/>
      <c r="J17788" s="750" t="e">
        <f t="shared" si="214"/>
        <v>#DIV/0!</v>
      </c>
      <c r="K17788" s="398"/>
      <c r="L17788" s="398"/>
      <c r="M17788" s="682"/>
    </row>
    <row r="17789" spans="6:13" hidden="1" x14ac:dyDescent="0.2">
      <c r="F17789" s="494">
        <v>433</v>
      </c>
      <c r="G17789" s="495" t="s">
        <v>4183</v>
      </c>
      <c r="H17789" s="397"/>
      <c r="I17789" s="397"/>
      <c r="J17789" s="750" t="e">
        <f t="shared" si="214"/>
        <v>#DIV/0!</v>
      </c>
      <c r="K17789" s="398"/>
      <c r="L17789" s="398"/>
      <c r="M17789" s="682"/>
    </row>
    <row r="17790" spans="6:13" hidden="1" x14ac:dyDescent="0.2">
      <c r="F17790" s="494">
        <v>434</v>
      </c>
      <c r="G17790" s="495" t="s">
        <v>4184</v>
      </c>
      <c r="H17790" s="397"/>
      <c r="I17790" s="397"/>
      <c r="J17790" s="750" t="e">
        <f t="shared" si="214"/>
        <v>#DIV/0!</v>
      </c>
      <c r="K17790" s="398"/>
      <c r="L17790" s="398"/>
      <c r="M17790" s="682"/>
    </row>
    <row r="17791" spans="6:13" hidden="1" x14ac:dyDescent="0.2">
      <c r="F17791" s="494">
        <v>435</v>
      </c>
      <c r="G17791" s="495" t="s">
        <v>3792</v>
      </c>
      <c r="H17791" s="397"/>
      <c r="I17791" s="397"/>
      <c r="J17791" s="750" t="e">
        <f t="shared" si="214"/>
        <v>#DIV/0!</v>
      </c>
      <c r="K17791" s="398"/>
      <c r="L17791" s="398"/>
      <c r="M17791" s="682"/>
    </row>
    <row r="17792" spans="6:13" hidden="1" x14ac:dyDescent="0.2">
      <c r="F17792" s="494">
        <v>441</v>
      </c>
      <c r="G17792" s="495" t="s">
        <v>4185</v>
      </c>
      <c r="H17792" s="397"/>
      <c r="I17792" s="397"/>
      <c r="J17792" s="750" t="e">
        <f t="shared" si="214"/>
        <v>#DIV/0!</v>
      </c>
      <c r="K17792" s="398"/>
      <c r="L17792" s="398"/>
      <c r="M17792" s="682"/>
    </row>
    <row r="17793" spans="6:13" hidden="1" x14ac:dyDescent="0.2">
      <c r="F17793" s="494">
        <v>442</v>
      </c>
      <c r="G17793" s="495" t="s">
        <v>4186</v>
      </c>
      <c r="H17793" s="397"/>
      <c r="I17793" s="397"/>
      <c r="J17793" s="750" t="e">
        <f t="shared" si="214"/>
        <v>#DIV/0!</v>
      </c>
      <c r="K17793" s="398"/>
      <c r="L17793" s="398"/>
      <c r="M17793" s="682"/>
    </row>
    <row r="17794" spans="6:13" hidden="1" x14ac:dyDescent="0.2">
      <c r="F17794" s="494">
        <v>443</v>
      </c>
      <c r="G17794" s="495" t="s">
        <v>3797</v>
      </c>
      <c r="H17794" s="397"/>
      <c r="I17794" s="397"/>
      <c r="J17794" s="750" t="e">
        <f t="shared" si="214"/>
        <v>#DIV/0!</v>
      </c>
      <c r="K17794" s="398"/>
      <c r="L17794" s="398"/>
      <c r="M17794" s="682"/>
    </row>
    <row r="17795" spans="6:13" hidden="1" x14ac:dyDescent="0.2">
      <c r="F17795" s="494">
        <v>444</v>
      </c>
      <c r="G17795" s="495" t="s">
        <v>3798</v>
      </c>
      <c r="H17795" s="397"/>
      <c r="I17795" s="397"/>
      <c r="J17795" s="750" t="e">
        <f t="shared" si="214"/>
        <v>#DIV/0!</v>
      </c>
      <c r="K17795" s="398"/>
      <c r="L17795" s="398"/>
      <c r="M17795" s="682"/>
    </row>
    <row r="17796" spans="6:13" ht="25.5" hidden="1" x14ac:dyDescent="0.2">
      <c r="F17796" s="494">
        <v>4511</v>
      </c>
      <c r="G17796" s="466" t="s">
        <v>1692</v>
      </c>
      <c r="H17796" s="397"/>
      <c r="I17796" s="397"/>
      <c r="J17796" s="750" t="e">
        <f t="shared" si="214"/>
        <v>#DIV/0!</v>
      </c>
      <c r="K17796" s="398"/>
      <c r="L17796" s="398"/>
      <c r="M17796" s="682"/>
    </row>
    <row r="17797" spans="6:13" ht="25.5" hidden="1" x14ac:dyDescent="0.2">
      <c r="F17797" s="494">
        <v>4512</v>
      </c>
      <c r="G17797" s="466" t="s">
        <v>1701</v>
      </c>
      <c r="H17797" s="397"/>
      <c r="I17797" s="397"/>
      <c r="J17797" s="750" t="e">
        <f t="shared" si="214"/>
        <v>#DIV/0!</v>
      </c>
      <c r="K17797" s="398"/>
      <c r="L17797" s="398"/>
      <c r="M17797" s="682"/>
    </row>
    <row r="17798" spans="6:13" ht="25.5" hidden="1" x14ac:dyDescent="0.2">
      <c r="F17798" s="494">
        <v>452</v>
      </c>
      <c r="G17798" s="495" t="s">
        <v>4187</v>
      </c>
      <c r="H17798" s="397"/>
      <c r="I17798" s="397"/>
      <c r="J17798" s="750" t="e">
        <f t="shared" si="214"/>
        <v>#DIV/0!</v>
      </c>
      <c r="K17798" s="398"/>
      <c r="L17798" s="398"/>
      <c r="M17798" s="682"/>
    </row>
    <row r="17799" spans="6:13" ht="25.5" hidden="1" x14ac:dyDescent="0.2">
      <c r="F17799" s="494">
        <v>453</v>
      </c>
      <c r="G17799" s="495" t="s">
        <v>4188</v>
      </c>
      <c r="H17799" s="397"/>
      <c r="I17799" s="397"/>
      <c r="J17799" s="750" t="e">
        <f t="shared" si="214"/>
        <v>#DIV/0!</v>
      </c>
      <c r="K17799" s="398"/>
      <c r="L17799" s="398"/>
      <c r="M17799" s="682"/>
    </row>
    <row r="17800" spans="6:13" hidden="1" x14ac:dyDescent="0.2">
      <c r="F17800" s="494">
        <v>454</v>
      </c>
      <c r="G17800" s="495" t="s">
        <v>3803</v>
      </c>
      <c r="H17800" s="397"/>
      <c r="I17800" s="397"/>
      <c r="J17800" s="750" t="e">
        <f t="shared" si="214"/>
        <v>#DIV/0!</v>
      </c>
      <c r="K17800" s="398"/>
      <c r="L17800" s="398"/>
      <c r="M17800" s="682"/>
    </row>
    <row r="17801" spans="6:13" hidden="1" x14ac:dyDescent="0.2">
      <c r="F17801" s="494">
        <v>461</v>
      </c>
      <c r="G17801" s="495" t="s">
        <v>4169</v>
      </c>
      <c r="H17801" s="397"/>
      <c r="I17801" s="397"/>
      <c r="J17801" s="750" t="e">
        <f t="shared" si="214"/>
        <v>#DIV/0!</v>
      </c>
      <c r="K17801" s="398"/>
      <c r="L17801" s="398"/>
      <c r="M17801" s="682"/>
    </row>
    <row r="17802" spans="6:13" ht="25.5" hidden="1" x14ac:dyDescent="0.2">
      <c r="F17802" s="494">
        <v>462</v>
      </c>
      <c r="G17802" s="495" t="s">
        <v>3806</v>
      </c>
      <c r="H17802" s="397"/>
      <c r="I17802" s="397"/>
      <c r="J17802" s="750" t="e">
        <f t="shared" si="214"/>
        <v>#DIV/0!</v>
      </c>
      <c r="K17802" s="398"/>
      <c r="L17802" s="398"/>
      <c r="M17802" s="682"/>
    </row>
    <row r="17803" spans="6:13" hidden="1" x14ac:dyDescent="0.2">
      <c r="F17803" s="494">
        <v>4631</v>
      </c>
      <c r="G17803" s="495" t="s">
        <v>3807</v>
      </c>
      <c r="H17803" s="397"/>
      <c r="I17803" s="397"/>
      <c r="J17803" s="750" t="e">
        <f t="shared" si="214"/>
        <v>#DIV/0!</v>
      </c>
      <c r="K17803" s="398"/>
      <c r="L17803" s="398"/>
      <c r="M17803" s="682"/>
    </row>
    <row r="17804" spans="6:13" hidden="1" x14ac:dyDescent="0.2">
      <c r="F17804" s="494">
        <v>4632</v>
      </c>
      <c r="G17804" s="495" t="s">
        <v>3808</v>
      </c>
      <c r="H17804" s="397"/>
      <c r="I17804" s="397"/>
      <c r="J17804" s="750" t="e">
        <f t="shared" si="214"/>
        <v>#DIV/0!</v>
      </c>
      <c r="K17804" s="398"/>
      <c r="L17804" s="398"/>
      <c r="M17804" s="682"/>
    </row>
    <row r="17805" spans="6:13" ht="25.5" hidden="1" x14ac:dyDescent="0.2">
      <c r="F17805" s="494">
        <v>464</v>
      </c>
      <c r="G17805" s="495" t="s">
        <v>3809</v>
      </c>
      <c r="H17805" s="397"/>
      <c r="I17805" s="397"/>
      <c r="J17805" s="750" t="e">
        <f t="shared" si="214"/>
        <v>#DIV/0!</v>
      </c>
      <c r="K17805" s="398"/>
      <c r="L17805" s="398"/>
      <c r="M17805" s="682"/>
    </row>
    <row r="17806" spans="6:13" hidden="1" x14ac:dyDescent="0.2">
      <c r="F17806" s="494">
        <v>465</v>
      </c>
      <c r="G17806" s="495" t="s">
        <v>4170</v>
      </c>
      <c r="H17806" s="397"/>
      <c r="I17806" s="397"/>
      <c r="J17806" s="750" t="e">
        <f t="shared" ref="J17806:J17869" si="215">SUM(I17806/H17806)*100</f>
        <v>#DIV/0!</v>
      </c>
      <c r="K17806" s="398"/>
      <c r="L17806" s="398"/>
      <c r="M17806" s="682"/>
    </row>
    <row r="17807" spans="6:13" hidden="1" x14ac:dyDescent="0.2">
      <c r="F17807" s="494">
        <v>472</v>
      </c>
      <c r="G17807" s="495" t="s">
        <v>3813</v>
      </c>
      <c r="H17807" s="397"/>
      <c r="I17807" s="397"/>
      <c r="J17807" s="750" t="e">
        <f t="shared" si="215"/>
        <v>#DIV/0!</v>
      </c>
      <c r="K17807" s="398"/>
      <c r="L17807" s="398"/>
      <c r="M17807" s="682"/>
    </row>
    <row r="17808" spans="6:13" hidden="1" x14ac:dyDescent="0.2">
      <c r="F17808" s="494">
        <v>481</v>
      </c>
      <c r="G17808" s="495" t="s">
        <v>4189</v>
      </c>
      <c r="H17808" s="397"/>
      <c r="I17808" s="397"/>
      <c r="J17808" s="750" t="e">
        <f t="shared" si="215"/>
        <v>#DIV/0!</v>
      </c>
      <c r="K17808" s="398"/>
      <c r="L17808" s="398"/>
      <c r="M17808" s="682"/>
    </row>
    <row r="17809" spans="6:13" hidden="1" x14ac:dyDescent="0.2">
      <c r="F17809" s="494">
        <v>482</v>
      </c>
      <c r="G17809" s="495" t="s">
        <v>4190</v>
      </c>
      <c r="H17809" s="397"/>
      <c r="I17809" s="397"/>
      <c r="J17809" s="750" t="e">
        <f t="shared" si="215"/>
        <v>#DIV/0!</v>
      </c>
      <c r="K17809" s="398"/>
      <c r="L17809" s="398"/>
      <c r="M17809" s="682"/>
    </row>
    <row r="17810" spans="6:13" hidden="1" x14ac:dyDescent="0.2">
      <c r="F17810" s="494">
        <v>483</v>
      </c>
      <c r="G17810" s="497" t="s">
        <v>4191</v>
      </c>
      <c r="H17810" s="397"/>
      <c r="I17810" s="397"/>
      <c r="J17810" s="750" t="e">
        <f t="shared" si="215"/>
        <v>#DIV/0!</v>
      </c>
      <c r="K17810" s="398"/>
      <c r="L17810" s="398"/>
      <c r="M17810" s="682"/>
    </row>
    <row r="17811" spans="6:13" ht="38.25" hidden="1" x14ac:dyDescent="0.2">
      <c r="F17811" s="494">
        <v>484</v>
      </c>
      <c r="G17811" s="495" t="s">
        <v>4192</v>
      </c>
      <c r="H17811" s="397"/>
      <c r="I17811" s="397"/>
      <c r="J17811" s="750" t="e">
        <f t="shared" si="215"/>
        <v>#DIV/0!</v>
      </c>
      <c r="K17811" s="398"/>
      <c r="L17811" s="398"/>
      <c r="M17811" s="682"/>
    </row>
    <row r="17812" spans="6:13" ht="25.5" hidden="1" x14ac:dyDescent="0.2">
      <c r="F17812" s="494">
        <v>485</v>
      </c>
      <c r="G17812" s="495" t="s">
        <v>4193</v>
      </c>
      <c r="H17812" s="397"/>
      <c r="I17812" s="397"/>
      <c r="J17812" s="750" t="e">
        <f t="shared" si="215"/>
        <v>#DIV/0!</v>
      </c>
      <c r="K17812" s="398"/>
      <c r="L17812" s="398"/>
      <c r="M17812" s="682"/>
    </row>
    <row r="17813" spans="6:13" ht="25.5" hidden="1" x14ac:dyDescent="0.2">
      <c r="F17813" s="494">
        <v>489</v>
      </c>
      <c r="G17813" s="495" t="s">
        <v>3821</v>
      </c>
      <c r="H17813" s="397"/>
      <c r="I17813" s="397"/>
      <c r="J17813" s="750" t="e">
        <f t="shared" si="215"/>
        <v>#DIV/0!</v>
      </c>
      <c r="K17813" s="398"/>
      <c r="L17813" s="398"/>
      <c r="M17813" s="682"/>
    </row>
    <row r="17814" spans="6:13" ht="25.5" hidden="1" x14ac:dyDescent="0.2">
      <c r="F17814" s="494">
        <v>494</v>
      </c>
      <c r="G17814" s="495" t="s">
        <v>4171</v>
      </c>
      <c r="H17814" s="397"/>
      <c r="I17814" s="397"/>
      <c r="J17814" s="750" t="e">
        <f t="shared" si="215"/>
        <v>#DIV/0!</v>
      </c>
      <c r="K17814" s="398"/>
      <c r="L17814" s="398"/>
      <c r="M17814" s="682"/>
    </row>
    <row r="17815" spans="6:13" ht="25.5" hidden="1" x14ac:dyDescent="0.2">
      <c r="F17815" s="494">
        <v>495</v>
      </c>
      <c r="G17815" s="495" t="s">
        <v>4172</v>
      </c>
      <c r="H17815" s="397"/>
      <c r="I17815" s="397"/>
      <c r="J17815" s="750" t="e">
        <f t="shared" si="215"/>
        <v>#DIV/0!</v>
      </c>
      <c r="K17815" s="398"/>
      <c r="L17815" s="398"/>
      <c r="M17815" s="682"/>
    </row>
    <row r="17816" spans="6:13" ht="38.25" hidden="1" x14ac:dyDescent="0.2">
      <c r="F17816" s="494">
        <v>496</v>
      </c>
      <c r="G17816" s="495" t="s">
        <v>4173</v>
      </c>
      <c r="H17816" s="397"/>
      <c r="I17816" s="397"/>
      <c r="J17816" s="750" t="e">
        <f t="shared" si="215"/>
        <v>#DIV/0!</v>
      </c>
      <c r="K17816" s="398"/>
      <c r="L17816" s="398"/>
      <c r="M17816" s="682"/>
    </row>
    <row r="17817" spans="6:13" ht="25.5" hidden="1" x14ac:dyDescent="0.2">
      <c r="F17817" s="494">
        <v>499</v>
      </c>
      <c r="G17817" s="495" t="s">
        <v>4174</v>
      </c>
      <c r="H17817" s="397"/>
      <c r="I17817" s="397"/>
      <c r="J17817" s="750" t="e">
        <f t="shared" si="215"/>
        <v>#DIV/0!</v>
      </c>
      <c r="K17817" s="398"/>
      <c r="L17817" s="398"/>
      <c r="M17817" s="682"/>
    </row>
    <row r="17818" spans="6:13" hidden="1" x14ac:dyDescent="0.2">
      <c r="F17818" s="494">
        <v>511</v>
      </c>
      <c r="G17818" s="497" t="s">
        <v>4194</v>
      </c>
      <c r="H17818" s="397"/>
      <c r="I17818" s="397"/>
      <c r="J17818" s="750" t="e">
        <f t="shared" si="215"/>
        <v>#DIV/0!</v>
      </c>
      <c r="K17818" s="398"/>
      <c r="L17818" s="398"/>
      <c r="M17818" s="682"/>
    </row>
    <row r="17819" spans="6:13" hidden="1" x14ac:dyDescent="0.2">
      <c r="F17819" s="494">
        <v>512</v>
      </c>
      <c r="G17819" s="497" t="s">
        <v>4195</v>
      </c>
      <c r="H17819" s="397"/>
      <c r="I17819" s="397"/>
      <c r="J17819" s="750" t="e">
        <f t="shared" si="215"/>
        <v>#DIV/0!</v>
      </c>
      <c r="K17819" s="398"/>
      <c r="L17819" s="398"/>
      <c r="M17819" s="682"/>
    </row>
    <row r="17820" spans="6:13" hidden="1" x14ac:dyDescent="0.2">
      <c r="F17820" s="494">
        <v>513</v>
      </c>
      <c r="G17820" s="497" t="s">
        <v>4196</v>
      </c>
      <c r="H17820" s="397"/>
      <c r="I17820" s="397"/>
      <c r="J17820" s="750" t="e">
        <f t="shared" si="215"/>
        <v>#DIV/0!</v>
      </c>
      <c r="K17820" s="398"/>
      <c r="L17820" s="398"/>
      <c r="M17820" s="682"/>
    </row>
    <row r="17821" spans="6:13" hidden="1" x14ac:dyDescent="0.2">
      <c r="F17821" s="494">
        <v>514</v>
      </c>
      <c r="G17821" s="495" t="s">
        <v>4197</v>
      </c>
      <c r="H17821" s="397"/>
      <c r="I17821" s="397"/>
      <c r="J17821" s="750" t="e">
        <f t="shared" si="215"/>
        <v>#DIV/0!</v>
      </c>
      <c r="K17821" s="398"/>
      <c r="L17821" s="398"/>
      <c r="M17821" s="682"/>
    </row>
    <row r="17822" spans="6:13" hidden="1" x14ac:dyDescent="0.2">
      <c r="F17822" s="494">
        <v>515</v>
      </c>
      <c r="G17822" s="495" t="s">
        <v>3832</v>
      </c>
      <c r="H17822" s="397"/>
      <c r="I17822" s="397"/>
      <c r="J17822" s="750" t="e">
        <f t="shared" si="215"/>
        <v>#DIV/0!</v>
      </c>
      <c r="K17822" s="398"/>
      <c r="L17822" s="398"/>
      <c r="M17822" s="682"/>
    </row>
    <row r="17823" spans="6:13" hidden="1" x14ac:dyDescent="0.2">
      <c r="F17823" s="494">
        <v>521</v>
      </c>
      <c r="G17823" s="495" t="s">
        <v>4198</v>
      </c>
      <c r="H17823" s="397"/>
      <c r="I17823" s="397"/>
      <c r="J17823" s="750" t="e">
        <f t="shared" si="215"/>
        <v>#DIV/0!</v>
      </c>
      <c r="K17823" s="398"/>
      <c r="L17823" s="398"/>
      <c r="M17823" s="682"/>
    </row>
    <row r="17824" spans="6:13" hidden="1" x14ac:dyDescent="0.2">
      <c r="F17824" s="494">
        <v>522</v>
      </c>
      <c r="G17824" s="495" t="s">
        <v>4199</v>
      </c>
      <c r="H17824" s="397"/>
      <c r="I17824" s="397"/>
      <c r="J17824" s="750" t="e">
        <f t="shared" si="215"/>
        <v>#DIV/0!</v>
      </c>
      <c r="K17824" s="398"/>
      <c r="L17824" s="398"/>
      <c r="M17824" s="682"/>
    </row>
    <row r="17825" spans="5:13" hidden="1" x14ac:dyDescent="0.2">
      <c r="F17825" s="494">
        <v>523</v>
      </c>
      <c r="G17825" s="495" t="s">
        <v>3837</v>
      </c>
      <c r="H17825" s="397"/>
      <c r="I17825" s="397"/>
      <c r="J17825" s="750" t="e">
        <f t="shared" si="215"/>
        <v>#DIV/0!</v>
      </c>
      <c r="K17825" s="398"/>
      <c r="L17825" s="398"/>
      <c r="M17825" s="682"/>
    </row>
    <row r="17826" spans="5:13" hidden="1" x14ac:dyDescent="0.2">
      <c r="F17826" s="494">
        <v>531</v>
      </c>
      <c r="G17826" s="496" t="s">
        <v>4175</v>
      </c>
      <c r="H17826" s="397"/>
      <c r="I17826" s="397"/>
      <c r="J17826" s="750" t="e">
        <f t="shared" si="215"/>
        <v>#DIV/0!</v>
      </c>
      <c r="K17826" s="398"/>
      <c r="L17826" s="398"/>
      <c r="M17826" s="682"/>
    </row>
    <row r="17827" spans="5:13" hidden="1" x14ac:dyDescent="0.2">
      <c r="F17827" s="494">
        <v>541</v>
      </c>
      <c r="G17827" s="495" t="s">
        <v>4200</v>
      </c>
      <c r="H17827" s="397"/>
      <c r="I17827" s="397"/>
      <c r="J17827" s="750" t="e">
        <f t="shared" si="215"/>
        <v>#DIV/0!</v>
      </c>
      <c r="K17827" s="398"/>
      <c r="L17827" s="398"/>
      <c r="M17827" s="682"/>
    </row>
    <row r="17828" spans="5:13" hidden="1" x14ac:dyDescent="0.2">
      <c r="F17828" s="494">
        <v>542</v>
      </c>
      <c r="G17828" s="495" t="s">
        <v>4201</v>
      </c>
      <c r="H17828" s="397"/>
      <c r="I17828" s="397"/>
      <c r="J17828" s="750" t="e">
        <f t="shared" si="215"/>
        <v>#DIV/0!</v>
      </c>
      <c r="K17828" s="398"/>
      <c r="L17828" s="398"/>
      <c r="M17828" s="682"/>
    </row>
    <row r="17829" spans="5:13" hidden="1" x14ac:dyDescent="0.2">
      <c r="F17829" s="494">
        <v>543</v>
      </c>
      <c r="G17829" s="495" t="s">
        <v>3842</v>
      </c>
      <c r="H17829" s="397"/>
      <c r="I17829" s="397"/>
      <c r="J17829" s="750" t="e">
        <f t="shared" si="215"/>
        <v>#DIV/0!</v>
      </c>
      <c r="K17829" s="398"/>
      <c r="L17829" s="398"/>
      <c r="M17829" s="682"/>
    </row>
    <row r="17830" spans="5:13" ht="38.25" hidden="1" x14ac:dyDescent="0.2">
      <c r="F17830" s="494">
        <v>551</v>
      </c>
      <c r="G17830" s="495" t="s">
        <v>4176</v>
      </c>
      <c r="H17830" s="397"/>
      <c r="I17830" s="397"/>
      <c r="J17830" s="750" t="e">
        <f t="shared" si="215"/>
        <v>#DIV/0!</v>
      </c>
      <c r="K17830" s="398"/>
      <c r="L17830" s="398"/>
      <c r="M17830" s="682"/>
    </row>
    <row r="17831" spans="5:13" hidden="1" x14ac:dyDescent="0.2">
      <c r="F17831" s="498">
        <v>611</v>
      </c>
      <c r="G17831" s="499" t="s">
        <v>3848</v>
      </c>
      <c r="H17831" s="397"/>
      <c r="I17831" s="397"/>
      <c r="J17831" s="750" t="e">
        <f t="shared" si="215"/>
        <v>#DIV/0!</v>
      </c>
      <c r="K17831" s="398"/>
      <c r="L17831" s="398"/>
      <c r="M17831" s="682"/>
    </row>
    <row r="17832" spans="5:13" hidden="1" x14ac:dyDescent="0.2">
      <c r="F17832" s="498">
        <v>620</v>
      </c>
      <c r="G17832" s="499" t="s">
        <v>88</v>
      </c>
      <c r="H17832" s="397"/>
      <c r="I17832" s="397"/>
      <c r="J17832" s="750" t="e">
        <f t="shared" si="215"/>
        <v>#DIV/0!</v>
      </c>
      <c r="K17832" s="398"/>
      <c r="L17832" s="398"/>
      <c r="M17832" s="682"/>
    </row>
    <row r="17833" spans="5:13" hidden="1" x14ac:dyDescent="0.2">
      <c r="E17833" s="500"/>
      <c r="F17833" s="498"/>
      <c r="G17833" s="509" t="s">
        <v>4364</v>
      </c>
      <c r="H17833" s="400"/>
      <c r="I17833" s="400"/>
      <c r="J17833" s="750" t="e">
        <f t="shared" si="215"/>
        <v>#DIV/0!</v>
      </c>
      <c r="K17833" s="401"/>
      <c r="L17833" s="402"/>
      <c r="M17833" s="682"/>
    </row>
    <row r="17834" spans="5:13" hidden="1" x14ac:dyDescent="0.2">
      <c r="E17834" s="502"/>
      <c r="F17834" s="503" t="s">
        <v>234</v>
      </c>
      <c r="G17834" s="504" t="s">
        <v>235</v>
      </c>
      <c r="H17834" s="403">
        <f>SUM(H17773:H17832)</f>
        <v>0</v>
      </c>
      <c r="I17834" s="403"/>
      <c r="J17834" s="750" t="e">
        <f t="shared" si="215"/>
        <v>#DIV/0!</v>
      </c>
      <c r="K17834" s="404"/>
      <c r="L17834" s="404"/>
      <c r="M17834" s="682"/>
    </row>
    <row r="17835" spans="5:13" hidden="1" x14ac:dyDescent="0.2">
      <c r="F17835" s="503" t="s">
        <v>236</v>
      </c>
      <c r="G17835" s="504" t="s">
        <v>237</v>
      </c>
      <c r="H17835" s="397"/>
      <c r="I17835" s="397"/>
      <c r="J17835" s="750" t="e">
        <f t="shared" si="215"/>
        <v>#DIV/0!</v>
      </c>
      <c r="K17835" s="398"/>
      <c r="L17835" s="404"/>
      <c r="M17835" s="682"/>
    </row>
    <row r="17836" spans="5:13" hidden="1" x14ac:dyDescent="0.2">
      <c r="F17836" s="503" t="s">
        <v>238</v>
      </c>
      <c r="G17836" s="504" t="s">
        <v>239</v>
      </c>
      <c r="H17836" s="397"/>
      <c r="I17836" s="397"/>
      <c r="J17836" s="750" t="e">
        <f t="shared" si="215"/>
        <v>#DIV/0!</v>
      </c>
      <c r="K17836" s="398"/>
      <c r="L17836" s="404"/>
      <c r="M17836" s="682"/>
    </row>
    <row r="17837" spans="5:13" hidden="1" x14ac:dyDescent="0.2">
      <c r="F17837" s="503" t="s">
        <v>240</v>
      </c>
      <c r="G17837" s="504" t="s">
        <v>241</v>
      </c>
      <c r="H17837" s="397"/>
      <c r="I17837" s="397"/>
      <c r="J17837" s="750" t="e">
        <f t="shared" si="215"/>
        <v>#DIV/0!</v>
      </c>
      <c r="K17837" s="398"/>
      <c r="L17837" s="404"/>
      <c r="M17837" s="682"/>
    </row>
    <row r="17838" spans="5:13" hidden="1" x14ac:dyDescent="0.2">
      <c r="F17838" s="503" t="s">
        <v>242</v>
      </c>
      <c r="G17838" s="504" t="s">
        <v>243</v>
      </c>
      <c r="H17838" s="397"/>
      <c r="I17838" s="397"/>
      <c r="J17838" s="750" t="e">
        <f t="shared" si="215"/>
        <v>#DIV/0!</v>
      </c>
      <c r="K17838" s="398"/>
      <c r="L17838" s="404"/>
      <c r="M17838" s="682"/>
    </row>
    <row r="17839" spans="5:13" hidden="1" x14ac:dyDescent="0.2">
      <c r="F17839" s="503" t="s">
        <v>244</v>
      </c>
      <c r="G17839" s="504" t="s">
        <v>245</v>
      </c>
      <c r="H17839" s="397"/>
      <c r="I17839" s="397"/>
      <c r="J17839" s="750" t="e">
        <f t="shared" si="215"/>
        <v>#DIV/0!</v>
      </c>
      <c r="K17839" s="398"/>
      <c r="L17839" s="404"/>
      <c r="M17839" s="682"/>
    </row>
    <row r="17840" spans="5:13" hidden="1" x14ac:dyDescent="0.2">
      <c r="F17840" s="503" t="s">
        <v>246</v>
      </c>
      <c r="G17840" s="504" t="s">
        <v>247</v>
      </c>
      <c r="H17840" s="397"/>
      <c r="I17840" s="397"/>
      <c r="J17840" s="750" t="e">
        <f t="shared" si="215"/>
        <v>#DIV/0!</v>
      </c>
      <c r="K17840" s="398"/>
      <c r="L17840" s="404"/>
      <c r="M17840" s="682"/>
    </row>
    <row r="17841" spans="5:13" ht="25.5" hidden="1" x14ac:dyDescent="0.2">
      <c r="F17841" s="503" t="s">
        <v>248</v>
      </c>
      <c r="G17841" s="504" t="s">
        <v>249</v>
      </c>
      <c r="H17841" s="397"/>
      <c r="I17841" s="397"/>
      <c r="J17841" s="750" t="e">
        <f t="shared" si="215"/>
        <v>#DIV/0!</v>
      </c>
      <c r="K17841" s="398"/>
      <c r="L17841" s="404"/>
      <c r="M17841" s="682"/>
    </row>
    <row r="17842" spans="5:13" hidden="1" x14ac:dyDescent="0.2">
      <c r="F17842" s="503" t="s">
        <v>250</v>
      </c>
      <c r="G17842" s="504" t="s">
        <v>57</v>
      </c>
      <c r="H17842" s="397"/>
      <c r="I17842" s="397"/>
      <c r="J17842" s="750" t="e">
        <f t="shared" si="215"/>
        <v>#DIV/0!</v>
      </c>
      <c r="K17842" s="398"/>
      <c r="L17842" s="404"/>
      <c r="M17842" s="682"/>
    </row>
    <row r="17843" spans="5:13" hidden="1" x14ac:dyDescent="0.2">
      <c r="F17843" s="503" t="s">
        <v>251</v>
      </c>
      <c r="G17843" s="504" t="s">
        <v>252</v>
      </c>
      <c r="H17843" s="397"/>
      <c r="I17843" s="397"/>
      <c r="J17843" s="750" t="e">
        <f t="shared" si="215"/>
        <v>#DIV/0!</v>
      </c>
      <c r="K17843" s="398"/>
      <c r="L17843" s="404"/>
      <c r="M17843" s="682"/>
    </row>
    <row r="17844" spans="5:13" hidden="1" x14ac:dyDescent="0.2">
      <c r="F17844" s="503" t="s">
        <v>253</v>
      </c>
      <c r="G17844" s="504" t="s">
        <v>254</v>
      </c>
      <c r="H17844" s="397"/>
      <c r="I17844" s="397"/>
      <c r="J17844" s="750" t="e">
        <f t="shared" si="215"/>
        <v>#DIV/0!</v>
      </c>
      <c r="K17844" s="398"/>
      <c r="L17844" s="404"/>
      <c r="M17844" s="682"/>
    </row>
    <row r="17845" spans="5:13" ht="25.5" hidden="1" x14ac:dyDescent="0.2">
      <c r="F17845" s="503" t="s">
        <v>255</v>
      </c>
      <c r="G17845" s="504" t="s">
        <v>256</v>
      </c>
      <c r="H17845" s="397"/>
      <c r="I17845" s="397"/>
      <c r="J17845" s="750" t="e">
        <f t="shared" si="215"/>
        <v>#DIV/0!</v>
      </c>
      <c r="K17845" s="398"/>
      <c r="L17845" s="404"/>
      <c r="M17845" s="682"/>
    </row>
    <row r="17846" spans="5:13" ht="25.5" hidden="1" x14ac:dyDescent="0.2">
      <c r="F17846" s="503" t="s">
        <v>257</v>
      </c>
      <c r="G17846" s="504" t="s">
        <v>258</v>
      </c>
      <c r="H17846" s="397"/>
      <c r="I17846" s="397"/>
      <c r="J17846" s="750" t="e">
        <f t="shared" si="215"/>
        <v>#DIV/0!</v>
      </c>
      <c r="K17846" s="398"/>
      <c r="L17846" s="404"/>
      <c r="M17846" s="682"/>
    </row>
    <row r="17847" spans="5:13" ht="25.5" hidden="1" x14ac:dyDescent="0.2">
      <c r="F17847" s="503" t="s">
        <v>259</v>
      </c>
      <c r="G17847" s="504" t="s">
        <v>260</v>
      </c>
      <c r="H17847" s="397"/>
      <c r="I17847" s="397"/>
      <c r="J17847" s="750" t="e">
        <f t="shared" si="215"/>
        <v>#DIV/0!</v>
      </c>
      <c r="K17847" s="398"/>
      <c r="L17847" s="404"/>
      <c r="M17847" s="682"/>
    </row>
    <row r="17848" spans="5:13" ht="25.5" hidden="1" x14ac:dyDescent="0.2">
      <c r="F17848" s="503" t="s">
        <v>261</v>
      </c>
      <c r="G17848" s="504" t="s">
        <v>262</v>
      </c>
      <c r="H17848" s="397"/>
      <c r="I17848" s="397"/>
      <c r="J17848" s="750" t="e">
        <f t="shared" si="215"/>
        <v>#DIV/0!</v>
      </c>
      <c r="K17848" s="398"/>
      <c r="L17848" s="404"/>
      <c r="M17848" s="682"/>
    </row>
    <row r="17849" spans="5:13" hidden="1" x14ac:dyDescent="0.2">
      <c r="F17849" s="503" t="s">
        <v>263</v>
      </c>
      <c r="G17849" s="504" t="s">
        <v>264</v>
      </c>
      <c r="H17849" s="403"/>
      <c r="I17849" s="403"/>
      <c r="J17849" s="750" t="e">
        <f t="shared" si="215"/>
        <v>#DIV/0!</v>
      </c>
      <c r="K17849" s="404"/>
      <c r="L17849" s="404"/>
      <c r="M17849" s="682"/>
    </row>
    <row r="17850" spans="5:13" ht="13.5" hidden="1" thickBot="1" x14ac:dyDescent="0.25">
      <c r="G17850" s="505" t="s">
        <v>4365</v>
      </c>
      <c r="H17850" s="405">
        <f>SUM(H17834:H17849)</f>
        <v>0</v>
      </c>
      <c r="I17850" s="405"/>
      <c r="J17850" s="750" t="e">
        <f t="shared" si="215"/>
        <v>#DIV/0!</v>
      </c>
      <c r="K17850" s="406">
        <f>SUM(K17835:K17849)</f>
        <v>0</v>
      </c>
      <c r="L17850" s="406"/>
      <c r="M17850" s="682"/>
    </row>
    <row r="17851" spans="5:13" ht="25.5" hidden="1" collapsed="1" x14ac:dyDescent="0.2">
      <c r="E17851" s="500"/>
      <c r="F17851" s="498"/>
      <c r="G17851" s="506" t="s">
        <v>4327</v>
      </c>
      <c r="H17851" s="407"/>
      <c r="I17851" s="408"/>
      <c r="J17851" s="750" t="e">
        <f t="shared" si="215"/>
        <v>#DIV/0!</v>
      </c>
      <c r="K17851" s="409"/>
      <c r="L17851" s="410"/>
      <c r="M17851" s="682"/>
    </row>
    <row r="17852" spans="5:13" hidden="1" x14ac:dyDescent="0.2">
      <c r="E17852" s="502"/>
      <c r="F17852" s="503" t="s">
        <v>234</v>
      </c>
      <c r="G17852" s="504" t="s">
        <v>235</v>
      </c>
      <c r="H17852" s="403">
        <f>SUM(H17773:H17832)</f>
        <v>0</v>
      </c>
      <c r="I17852" s="403"/>
      <c r="J17852" s="750" t="e">
        <f t="shared" si="215"/>
        <v>#DIV/0!</v>
      </c>
      <c r="K17852" s="404"/>
      <c r="L17852" s="404"/>
      <c r="M17852" s="682"/>
    </row>
    <row r="17853" spans="5:13" hidden="1" x14ac:dyDescent="0.2">
      <c r="F17853" s="503" t="s">
        <v>236</v>
      </c>
      <c r="G17853" s="504" t="s">
        <v>237</v>
      </c>
      <c r="H17853" s="397"/>
      <c r="I17853" s="397"/>
      <c r="J17853" s="750" t="e">
        <f t="shared" si="215"/>
        <v>#DIV/0!</v>
      </c>
      <c r="K17853" s="398"/>
      <c r="L17853" s="404"/>
      <c r="M17853" s="682"/>
    </row>
    <row r="17854" spans="5:13" hidden="1" x14ac:dyDescent="0.2">
      <c r="F17854" s="503" t="s">
        <v>238</v>
      </c>
      <c r="G17854" s="504" t="s">
        <v>239</v>
      </c>
      <c r="H17854" s="397"/>
      <c r="I17854" s="397"/>
      <c r="J17854" s="750" t="e">
        <f t="shared" si="215"/>
        <v>#DIV/0!</v>
      </c>
      <c r="K17854" s="398"/>
      <c r="L17854" s="404"/>
      <c r="M17854" s="682"/>
    </row>
    <row r="17855" spans="5:13" hidden="1" x14ac:dyDescent="0.2">
      <c r="F17855" s="503" t="s">
        <v>240</v>
      </c>
      <c r="G17855" s="504" t="s">
        <v>241</v>
      </c>
      <c r="H17855" s="397"/>
      <c r="I17855" s="397"/>
      <c r="J17855" s="750" t="e">
        <f t="shared" si="215"/>
        <v>#DIV/0!</v>
      </c>
      <c r="K17855" s="398"/>
      <c r="L17855" s="404"/>
      <c r="M17855" s="682"/>
    </row>
    <row r="17856" spans="5:13" hidden="1" x14ac:dyDescent="0.2">
      <c r="F17856" s="503" t="s">
        <v>242</v>
      </c>
      <c r="G17856" s="504" t="s">
        <v>243</v>
      </c>
      <c r="H17856" s="397"/>
      <c r="I17856" s="397"/>
      <c r="J17856" s="750" t="e">
        <f t="shared" si="215"/>
        <v>#DIV/0!</v>
      </c>
      <c r="K17856" s="398"/>
      <c r="L17856" s="404"/>
      <c r="M17856" s="682"/>
    </row>
    <row r="17857" spans="1:27" hidden="1" x14ac:dyDescent="0.2">
      <c r="F17857" s="503" t="s">
        <v>244</v>
      </c>
      <c r="G17857" s="504" t="s">
        <v>245</v>
      </c>
      <c r="H17857" s="397"/>
      <c r="I17857" s="397"/>
      <c r="J17857" s="750" t="e">
        <f t="shared" si="215"/>
        <v>#DIV/0!</v>
      </c>
      <c r="K17857" s="398"/>
      <c r="L17857" s="404"/>
      <c r="M17857" s="682"/>
    </row>
    <row r="17858" spans="1:27" hidden="1" x14ac:dyDescent="0.2">
      <c r="F17858" s="503" t="s">
        <v>246</v>
      </c>
      <c r="G17858" s="504" t="s">
        <v>247</v>
      </c>
      <c r="H17858" s="397"/>
      <c r="I17858" s="397"/>
      <c r="J17858" s="750" t="e">
        <f t="shared" si="215"/>
        <v>#DIV/0!</v>
      </c>
      <c r="K17858" s="398"/>
      <c r="L17858" s="404"/>
      <c r="M17858" s="682"/>
    </row>
    <row r="17859" spans="1:27" ht="25.5" hidden="1" x14ac:dyDescent="0.2">
      <c r="F17859" s="503" t="s">
        <v>248</v>
      </c>
      <c r="G17859" s="504" t="s">
        <v>249</v>
      </c>
      <c r="H17859" s="397"/>
      <c r="I17859" s="397"/>
      <c r="J17859" s="750" t="e">
        <f t="shared" si="215"/>
        <v>#DIV/0!</v>
      </c>
      <c r="K17859" s="398"/>
      <c r="L17859" s="404"/>
      <c r="M17859" s="682"/>
    </row>
    <row r="17860" spans="1:27" hidden="1" x14ac:dyDescent="0.2">
      <c r="F17860" s="503" t="s">
        <v>250</v>
      </c>
      <c r="G17860" s="504" t="s">
        <v>57</v>
      </c>
      <c r="H17860" s="397"/>
      <c r="I17860" s="397"/>
      <c r="J17860" s="750" t="e">
        <f t="shared" si="215"/>
        <v>#DIV/0!</v>
      </c>
      <c r="K17860" s="398"/>
      <c r="L17860" s="404"/>
      <c r="M17860" s="682"/>
    </row>
    <row r="17861" spans="1:27" hidden="1" x14ac:dyDescent="0.2">
      <c r="F17861" s="503" t="s">
        <v>251</v>
      </c>
      <c r="G17861" s="504" t="s">
        <v>252</v>
      </c>
      <c r="H17861" s="397"/>
      <c r="I17861" s="397"/>
      <c r="J17861" s="750" t="e">
        <f t="shared" si="215"/>
        <v>#DIV/0!</v>
      </c>
      <c r="K17861" s="398"/>
      <c r="L17861" s="404"/>
      <c r="M17861" s="682"/>
    </row>
    <row r="17862" spans="1:27" hidden="1" x14ac:dyDescent="0.2">
      <c r="F17862" s="503" t="s">
        <v>253</v>
      </c>
      <c r="G17862" s="504" t="s">
        <v>254</v>
      </c>
      <c r="H17862" s="397"/>
      <c r="I17862" s="397"/>
      <c r="J17862" s="750" t="e">
        <f t="shared" si="215"/>
        <v>#DIV/0!</v>
      </c>
      <c r="K17862" s="398"/>
      <c r="L17862" s="404"/>
      <c r="M17862" s="682"/>
    </row>
    <row r="17863" spans="1:27" ht="25.5" hidden="1" x14ac:dyDescent="0.2">
      <c r="F17863" s="503" t="s">
        <v>255</v>
      </c>
      <c r="G17863" s="504" t="s">
        <v>256</v>
      </c>
      <c r="H17863" s="397"/>
      <c r="I17863" s="397"/>
      <c r="J17863" s="750" t="e">
        <f t="shared" si="215"/>
        <v>#DIV/0!</v>
      </c>
      <c r="K17863" s="398"/>
      <c r="L17863" s="404"/>
      <c r="M17863" s="682"/>
    </row>
    <row r="17864" spans="1:27" ht="25.5" hidden="1" x14ac:dyDescent="0.2">
      <c r="F17864" s="503" t="s">
        <v>257</v>
      </c>
      <c r="G17864" s="504" t="s">
        <v>258</v>
      </c>
      <c r="H17864" s="397"/>
      <c r="I17864" s="397"/>
      <c r="J17864" s="750" t="e">
        <f t="shared" si="215"/>
        <v>#DIV/0!</v>
      </c>
      <c r="K17864" s="398"/>
      <c r="L17864" s="404"/>
      <c r="M17864" s="682"/>
    </row>
    <row r="17865" spans="1:27" ht="25.5" hidden="1" x14ac:dyDescent="0.2">
      <c r="F17865" s="503" t="s">
        <v>259</v>
      </c>
      <c r="G17865" s="504" t="s">
        <v>260</v>
      </c>
      <c r="H17865" s="397"/>
      <c r="I17865" s="397"/>
      <c r="J17865" s="750" t="e">
        <f t="shared" si="215"/>
        <v>#DIV/0!</v>
      </c>
      <c r="K17865" s="398"/>
      <c r="L17865" s="404"/>
      <c r="M17865" s="682"/>
    </row>
    <row r="17866" spans="1:27" ht="25.5" hidden="1" x14ac:dyDescent="0.2">
      <c r="F17866" s="503" t="s">
        <v>261</v>
      </c>
      <c r="G17866" s="504" t="s">
        <v>262</v>
      </c>
      <c r="H17866" s="397"/>
      <c r="I17866" s="397"/>
      <c r="J17866" s="750" t="e">
        <f t="shared" si="215"/>
        <v>#DIV/0!</v>
      </c>
      <c r="K17866" s="398"/>
      <c r="L17866" s="404"/>
      <c r="M17866" s="682"/>
    </row>
    <row r="17867" spans="1:27" hidden="1" x14ac:dyDescent="0.2">
      <c r="F17867" s="503" t="s">
        <v>263</v>
      </c>
      <c r="G17867" s="504" t="s">
        <v>264</v>
      </c>
      <c r="H17867" s="403"/>
      <c r="I17867" s="403"/>
      <c r="J17867" s="750" t="e">
        <f t="shared" si="215"/>
        <v>#DIV/0!</v>
      </c>
      <c r="K17867" s="404"/>
      <c r="L17867" s="404"/>
      <c r="M17867" s="682"/>
    </row>
    <row r="17868" spans="1:27" ht="13.5" hidden="1" collapsed="1" thickBot="1" x14ac:dyDescent="0.25">
      <c r="G17868" s="505" t="s">
        <v>4328</v>
      </c>
      <c r="H17868" s="405">
        <f>SUM(H17852:H17867)</f>
        <v>0</v>
      </c>
      <c r="I17868" s="405"/>
      <c r="J17868" s="750" t="e">
        <f t="shared" si="215"/>
        <v>#DIV/0!</v>
      </c>
      <c r="K17868" s="406">
        <f>SUM(K17853:K17867)</f>
        <v>0</v>
      </c>
      <c r="L17868" s="406"/>
      <c r="M17868" s="682"/>
    </row>
    <row r="17869" spans="1:27" hidden="1" x14ac:dyDescent="0.2">
      <c r="H17869" s="397"/>
      <c r="I17869" s="397"/>
      <c r="J17869" s="750" t="e">
        <f t="shared" si="215"/>
        <v>#DIV/0!</v>
      </c>
      <c r="K17869" s="398"/>
      <c r="L17869" s="398"/>
      <c r="M17869" s="682"/>
    </row>
    <row r="17870" spans="1:27" ht="25.5" hidden="1" x14ac:dyDescent="0.2">
      <c r="C17870" s="489" t="s">
        <v>4118</v>
      </c>
      <c r="D17870" s="490"/>
      <c r="G17870" s="491" t="s">
        <v>4119</v>
      </c>
      <c r="H17870" s="397"/>
      <c r="I17870" s="397"/>
      <c r="J17870" s="750" t="e">
        <f t="shared" ref="J17870:J17933" si="216">SUM(I17870/H17870)*100</f>
        <v>#DIV/0!</v>
      </c>
      <c r="K17870" s="398"/>
      <c r="L17870" s="398"/>
      <c r="M17870" s="682"/>
    </row>
    <row r="17871" spans="1:27" s="530" customFormat="1" ht="25.5" hidden="1" x14ac:dyDescent="0.2">
      <c r="A17871" s="526"/>
      <c r="B17871" s="527"/>
      <c r="C17871" s="534"/>
      <c r="D17871" s="571" t="s">
        <v>3888</v>
      </c>
      <c r="E17871" s="183"/>
      <c r="F17871" s="183"/>
      <c r="G17871" s="514" t="s">
        <v>103</v>
      </c>
      <c r="H17871" s="422"/>
      <c r="I17871" s="422"/>
      <c r="J17871" s="750" t="e">
        <f t="shared" si="216"/>
        <v>#DIV/0!</v>
      </c>
      <c r="K17871" s="423"/>
      <c r="L17871" s="424"/>
      <c r="M17871" s="682"/>
      <c r="N17871" s="171"/>
      <c r="O17871" s="171"/>
      <c r="P17871" s="171"/>
      <c r="Q17871" s="171"/>
      <c r="R17871" s="171"/>
      <c r="S17871" s="171"/>
      <c r="T17871" s="171"/>
      <c r="U17871" s="171"/>
      <c r="V17871" s="171"/>
      <c r="W17871" s="171"/>
      <c r="X17871" s="171"/>
      <c r="Y17871" s="171"/>
      <c r="Z17871" s="171"/>
      <c r="AA17871" s="171"/>
    </row>
    <row r="17872" spans="1:27" hidden="1" x14ac:dyDescent="0.2">
      <c r="F17872" s="494">
        <v>411</v>
      </c>
      <c r="G17872" s="495" t="s">
        <v>4167</v>
      </c>
      <c r="H17872" s="397"/>
      <c r="I17872" s="397"/>
      <c r="J17872" s="750" t="e">
        <f t="shared" si="216"/>
        <v>#DIV/0!</v>
      </c>
      <c r="K17872" s="398"/>
      <c r="L17872" s="398"/>
      <c r="M17872" s="682"/>
    </row>
    <row r="17873" spans="6:13" hidden="1" x14ac:dyDescent="0.2">
      <c r="F17873" s="494">
        <v>412</v>
      </c>
      <c r="G17873" s="496" t="s">
        <v>3764</v>
      </c>
      <c r="H17873" s="397"/>
      <c r="I17873" s="397"/>
      <c r="J17873" s="750" t="e">
        <f t="shared" si="216"/>
        <v>#DIV/0!</v>
      </c>
      <c r="K17873" s="398"/>
      <c r="L17873" s="398"/>
      <c r="M17873" s="682"/>
    </row>
    <row r="17874" spans="6:13" hidden="1" x14ac:dyDescent="0.2">
      <c r="F17874" s="494">
        <v>413</v>
      </c>
      <c r="G17874" s="495" t="s">
        <v>4168</v>
      </c>
      <c r="H17874" s="397"/>
      <c r="I17874" s="397"/>
      <c r="J17874" s="750" t="e">
        <f t="shared" si="216"/>
        <v>#DIV/0!</v>
      </c>
      <c r="K17874" s="398"/>
      <c r="L17874" s="398"/>
      <c r="M17874" s="682"/>
    </row>
    <row r="17875" spans="6:13" hidden="1" x14ac:dyDescent="0.2">
      <c r="F17875" s="494">
        <v>414</v>
      </c>
      <c r="G17875" s="495" t="s">
        <v>3767</v>
      </c>
      <c r="H17875" s="397"/>
      <c r="I17875" s="397"/>
      <c r="J17875" s="750" t="e">
        <f t="shared" si="216"/>
        <v>#DIV/0!</v>
      </c>
      <c r="K17875" s="398"/>
      <c r="L17875" s="398"/>
      <c r="M17875" s="682"/>
    </row>
    <row r="17876" spans="6:13" hidden="1" x14ac:dyDescent="0.2">
      <c r="F17876" s="494">
        <v>415</v>
      </c>
      <c r="G17876" s="495" t="s">
        <v>4177</v>
      </c>
      <c r="H17876" s="397"/>
      <c r="I17876" s="397"/>
      <c r="J17876" s="750" t="e">
        <f t="shared" si="216"/>
        <v>#DIV/0!</v>
      </c>
      <c r="K17876" s="398"/>
      <c r="L17876" s="398"/>
      <c r="M17876" s="682"/>
    </row>
    <row r="17877" spans="6:13" ht="25.5" hidden="1" x14ac:dyDescent="0.2">
      <c r="F17877" s="494">
        <v>416</v>
      </c>
      <c r="G17877" s="495" t="s">
        <v>4178</v>
      </c>
      <c r="H17877" s="397"/>
      <c r="I17877" s="397"/>
      <c r="J17877" s="750" t="e">
        <f t="shared" si="216"/>
        <v>#DIV/0!</v>
      </c>
      <c r="K17877" s="398"/>
      <c r="L17877" s="398"/>
      <c r="M17877" s="682"/>
    </row>
    <row r="17878" spans="6:13" hidden="1" x14ac:dyDescent="0.2">
      <c r="F17878" s="494">
        <v>417</v>
      </c>
      <c r="G17878" s="495" t="s">
        <v>4179</v>
      </c>
      <c r="H17878" s="397"/>
      <c r="I17878" s="397"/>
      <c r="J17878" s="750" t="e">
        <f t="shared" si="216"/>
        <v>#DIV/0!</v>
      </c>
      <c r="K17878" s="398"/>
      <c r="L17878" s="398"/>
      <c r="M17878" s="682"/>
    </row>
    <row r="17879" spans="6:13" hidden="1" x14ac:dyDescent="0.2">
      <c r="F17879" s="494">
        <v>418</v>
      </c>
      <c r="G17879" s="495" t="s">
        <v>3773</v>
      </c>
      <c r="H17879" s="397"/>
      <c r="I17879" s="397"/>
      <c r="J17879" s="750" t="e">
        <f t="shared" si="216"/>
        <v>#DIV/0!</v>
      </c>
      <c r="K17879" s="398"/>
      <c r="L17879" s="398"/>
      <c r="M17879" s="682"/>
    </row>
    <row r="17880" spans="6:13" hidden="1" x14ac:dyDescent="0.2">
      <c r="F17880" s="494">
        <v>421</v>
      </c>
      <c r="G17880" s="495" t="s">
        <v>3777</v>
      </c>
      <c r="H17880" s="397"/>
      <c r="I17880" s="397"/>
      <c r="J17880" s="750" t="e">
        <f t="shared" si="216"/>
        <v>#DIV/0!</v>
      </c>
      <c r="K17880" s="398"/>
      <c r="L17880" s="398"/>
      <c r="M17880" s="682"/>
    </row>
    <row r="17881" spans="6:13" hidden="1" x14ac:dyDescent="0.2">
      <c r="F17881" s="494">
        <v>422</v>
      </c>
      <c r="G17881" s="495" t="s">
        <v>3778</v>
      </c>
      <c r="H17881" s="397"/>
      <c r="I17881" s="397"/>
      <c r="J17881" s="750" t="e">
        <f t="shared" si="216"/>
        <v>#DIV/0!</v>
      </c>
      <c r="K17881" s="398"/>
      <c r="L17881" s="398"/>
      <c r="M17881" s="682"/>
    </row>
    <row r="17882" spans="6:13" hidden="1" x14ac:dyDescent="0.2">
      <c r="F17882" s="494">
        <v>423</v>
      </c>
      <c r="G17882" s="495" t="s">
        <v>3779</v>
      </c>
      <c r="H17882" s="397"/>
      <c r="I17882" s="397"/>
      <c r="J17882" s="750" t="e">
        <f t="shared" si="216"/>
        <v>#DIV/0!</v>
      </c>
      <c r="K17882" s="398"/>
      <c r="L17882" s="398"/>
      <c r="M17882" s="682"/>
    </row>
    <row r="17883" spans="6:13" hidden="1" x14ac:dyDescent="0.2">
      <c r="F17883" s="494">
        <v>424</v>
      </c>
      <c r="G17883" s="495" t="s">
        <v>3781</v>
      </c>
      <c r="H17883" s="397"/>
      <c r="I17883" s="397"/>
      <c r="J17883" s="750" t="e">
        <f t="shared" si="216"/>
        <v>#DIV/0!</v>
      </c>
      <c r="K17883" s="398"/>
      <c r="L17883" s="398"/>
      <c r="M17883" s="682"/>
    </row>
    <row r="17884" spans="6:13" hidden="1" x14ac:dyDescent="0.2">
      <c r="F17884" s="494">
        <v>425</v>
      </c>
      <c r="G17884" s="495" t="s">
        <v>4180</v>
      </c>
      <c r="H17884" s="397"/>
      <c r="I17884" s="397"/>
      <c r="J17884" s="750" t="e">
        <f t="shared" si="216"/>
        <v>#DIV/0!</v>
      </c>
      <c r="K17884" s="398"/>
      <c r="L17884" s="398"/>
      <c r="M17884" s="682"/>
    </row>
    <row r="17885" spans="6:13" hidden="1" x14ac:dyDescent="0.2">
      <c r="F17885" s="494">
        <v>426</v>
      </c>
      <c r="G17885" s="495" t="s">
        <v>3785</v>
      </c>
      <c r="H17885" s="397"/>
      <c r="I17885" s="397"/>
      <c r="J17885" s="750" t="e">
        <f t="shared" si="216"/>
        <v>#DIV/0!</v>
      </c>
      <c r="K17885" s="398"/>
      <c r="L17885" s="398"/>
      <c r="M17885" s="682"/>
    </row>
    <row r="17886" spans="6:13" hidden="1" x14ac:dyDescent="0.2">
      <c r="F17886" s="494">
        <v>431</v>
      </c>
      <c r="G17886" s="495" t="s">
        <v>4181</v>
      </c>
      <c r="H17886" s="397"/>
      <c r="I17886" s="397"/>
      <c r="J17886" s="750" t="e">
        <f t="shared" si="216"/>
        <v>#DIV/0!</v>
      </c>
      <c r="K17886" s="398"/>
      <c r="L17886" s="398"/>
      <c r="M17886" s="682"/>
    </row>
    <row r="17887" spans="6:13" hidden="1" x14ac:dyDescent="0.2">
      <c r="F17887" s="494">
        <v>432</v>
      </c>
      <c r="G17887" s="495" t="s">
        <v>4182</v>
      </c>
      <c r="H17887" s="397"/>
      <c r="I17887" s="397"/>
      <c r="J17887" s="750" t="e">
        <f t="shared" si="216"/>
        <v>#DIV/0!</v>
      </c>
      <c r="K17887" s="398"/>
      <c r="L17887" s="398"/>
      <c r="M17887" s="682"/>
    </row>
    <row r="17888" spans="6:13" hidden="1" x14ac:dyDescent="0.2">
      <c r="F17888" s="494">
        <v>433</v>
      </c>
      <c r="G17888" s="495" t="s">
        <v>4183</v>
      </c>
      <c r="H17888" s="397"/>
      <c r="I17888" s="397"/>
      <c r="J17888" s="750" t="e">
        <f t="shared" si="216"/>
        <v>#DIV/0!</v>
      </c>
      <c r="K17888" s="398"/>
      <c r="L17888" s="398"/>
      <c r="M17888" s="682"/>
    </row>
    <row r="17889" spans="6:13" hidden="1" x14ac:dyDescent="0.2">
      <c r="F17889" s="494">
        <v>434</v>
      </c>
      <c r="G17889" s="495" t="s">
        <v>4184</v>
      </c>
      <c r="H17889" s="397"/>
      <c r="I17889" s="397"/>
      <c r="J17889" s="750" t="e">
        <f t="shared" si="216"/>
        <v>#DIV/0!</v>
      </c>
      <c r="K17889" s="398"/>
      <c r="L17889" s="398"/>
      <c r="M17889" s="682"/>
    </row>
    <row r="17890" spans="6:13" hidden="1" x14ac:dyDescent="0.2">
      <c r="F17890" s="494">
        <v>435</v>
      </c>
      <c r="G17890" s="495" t="s">
        <v>3792</v>
      </c>
      <c r="H17890" s="397"/>
      <c r="I17890" s="397"/>
      <c r="J17890" s="750" t="e">
        <f t="shared" si="216"/>
        <v>#DIV/0!</v>
      </c>
      <c r="K17890" s="398"/>
      <c r="L17890" s="398"/>
      <c r="M17890" s="682"/>
    </row>
    <row r="17891" spans="6:13" hidden="1" x14ac:dyDescent="0.2">
      <c r="F17891" s="494">
        <v>441</v>
      </c>
      <c r="G17891" s="495" t="s">
        <v>4185</v>
      </c>
      <c r="H17891" s="397"/>
      <c r="I17891" s="397"/>
      <c r="J17891" s="750" t="e">
        <f t="shared" si="216"/>
        <v>#DIV/0!</v>
      </c>
      <c r="K17891" s="398"/>
      <c r="L17891" s="398"/>
      <c r="M17891" s="682"/>
    </row>
    <row r="17892" spans="6:13" hidden="1" x14ac:dyDescent="0.2">
      <c r="F17892" s="494">
        <v>442</v>
      </c>
      <c r="G17892" s="495" t="s">
        <v>4186</v>
      </c>
      <c r="H17892" s="397"/>
      <c r="I17892" s="397"/>
      <c r="J17892" s="750" t="e">
        <f t="shared" si="216"/>
        <v>#DIV/0!</v>
      </c>
      <c r="K17892" s="398"/>
      <c r="L17892" s="398"/>
      <c r="M17892" s="682"/>
    </row>
    <row r="17893" spans="6:13" hidden="1" x14ac:dyDescent="0.2">
      <c r="F17893" s="494">
        <v>443</v>
      </c>
      <c r="G17893" s="495" t="s">
        <v>3797</v>
      </c>
      <c r="H17893" s="397"/>
      <c r="I17893" s="397"/>
      <c r="J17893" s="750" t="e">
        <f t="shared" si="216"/>
        <v>#DIV/0!</v>
      </c>
      <c r="K17893" s="398"/>
      <c r="L17893" s="398"/>
      <c r="M17893" s="682"/>
    </row>
    <row r="17894" spans="6:13" hidden="1" x14ac:dyDescent="0.2">
      <c r="F17894" s="494">
        <v>444</v>
      </c>
      <c r="G17894" s="495" t="s">
        <v>3798</v>
      </c>
      <c r="H17894" s="397"/>
      <c r="I17894" s="397"/>
      <c r="J17894" s="750" t="e">
        <f t="shared" si="216"/>
        <v>#DIV/0!</v>
      </c>
      <c r="K17894" s="398"/>
      <c r="L17894" s="398"/>
      <c r="M17894" s="682"/>
    </row>
    <row r="17895" spans="6:13" ht="25.5" hidden="1" x14ac:dyDescent="0.2">
      <c r="F17895" s="494">
        <v>4511</v>
      </c>
      <c r="G17895" s="466" t="s">
        <v>1692</v>
      </c>
      <c r="H17895" s="397"/>
      <c r="I17895" s="397"/>
      <c r="J17895" s="750" t="e">
        <f t="shared" si="216"/>
        <v>#DIV/0!</v>
      </c>
      <c r="K17895" s="398"/>
      <c r="L17895" s="398"/>
      <c r="M17895" s="682"/>
    </row>
    <row r="17896" spans="6:13" ht="25.5" hidden="1" x14ac:dyDescent="0.2">
      <c r="F17896" s="494">
        <v>4512</v>
      </c>
      <c r="G17896" s="466" t="s">
        <v>1701</v>
      </c>
      <c r="H17896" s="397"/>
      <c r="I17896" s="397"/>
      <c r="J17896" s="750" t="e">
        <f t="shared" si="216"/>
        <v>#DIV/0!</v>
      </c>
      <c r="K17896" s="398"/>
      <c r="L17896" s="398"/>
      <c r="M17896" s="682"/>
    </row>
    <row r="17897" spans="6:13" ht="25.5" hidden="1" x14ac:dyDescent="0.2">
      <c r="F17897" s="494">
        <v>452</v>
      </c>
      <c r="G17897" s="495" t="s">
        <v>4187</v>
      </c>
      <c r="H17897" s="397"/>
      <c r="I17897" s="397"/>
      <c r="J17897" s="750" t="e">
        <f t="shared" si="216"/>
        <v>#DIV/0!</v>
      </c>
      <c r="K17897" s="398"/>
      <c r="L17897" s="398"/>
      <c r="M17897" s="682"/>
    </row>
    <row r="17898" spans="6:13" ht="25.5" hidden="1" x14ac:dyDescent="0.2">
      <c r="F17898" s="494">
        <v>453</v>
      </c>
      <c r="G17898" s="495" t="s">
        <v>4188</v>
      </c>
      <c r="H17898" s="397"/>
      <c r="I17898" s="397"/>
      <c r="J17898" s="750" t="e">
        <f t="shared" si="216"/>
        <v>#DIV/0!</v>
      </c>
      <c r="K17898" s="398"/>
      <c r="L17898" s="398"/>
      <c r="M17898" s="682"/>
    </row>
    <row r="17899" spans="6:13" hidden="1" x14ac:dyDescent="0.2">
      <c r="F17899" s="494">
        <v>454</v>
      </c>
      <c r="G17899" s="495" t="s">
        <v>3803</v>
      </c>
      <c r="H17899" s="397"/>
      <c r="I17899" s="397"/>
      <c r="J17899" s="750" t="e">
        <f t="shared" si="216"/>
        <v>#DIV/0!</v>
      </c>
      <c r="K17899" s="398"/>
      <c r="L17899" s="398"/>
      <c r="M17899" s="682"/>
    </row>
    <row r="17900" spans="6:13" hidden="1" x14ac:dyDescent="0.2">
      <c r="F17900" s="494">
        <v>461</v>
      </c>
      <c r="G17900" s="495" t="s">
        <v>4169</v>
      </c>
      <c r="H17900" s="397"/>
      <c r="I17900" s="397"/>
      <c r="J17900" s="750" t="e">
        <f t="shared" si="216"/>
        <v>#DIV/0!</v>
      </c>
      <c r="K17900" s="398"/>
      <c r="L17900" s="398"/>
      <c r="M17900" s="682"/>
    </row>
    <row r="17901" spans="6:13" ht="25.5" hidden="1" x14ac:dyDescent="0.2">
      <c r="F17901" s="494">
        <v>462</v>
      </c>
      <c r="G17901" s="495" t="s">
        <v>3806</v>
      </c>
      <c r="H17901" s="397"/>
      <c r="I17901" s="397"/>
      <c r="J17901" s="750" t="e">
        <f t="shared" si="216"/>
        <v>#DIV/0!</v>
      </c>
      <c r="K17901" s="398"/>
      <c r="L17901" s="398"/>
      <c r="M17901" s="682"/>
    </row>
    <row r="17902" spans="6:13" hidden="1" x14ac:dyDescent="0.2">
      <c r="F17902" s="494">
        <v>4631</v>
      </c>
      <c r="G17902" s="495" t="s">
        <v>3807</v>
      </c>
      <c r="H17902" s="397"/>
      <c r="I17902" s="397"/>
      <c r="J17902" s="750" t="e">
        <f t="shared" si="216"/>
        <v>#DIV/0!</v>
      </c>
      <c r="K17902" s="398"/>
      <c r="L17902" s="398"/>
      <c r="M17902" s="682"/>
    </row>
    <row r="17903" spans="6:13" hidden="1" x14ac:dyDescent="0.2">
      <c r="F17903" s="494">
        <v>4632</v>
      </c>
      <c r="G17903" s="495" t="s">
        <v>3808</v>
      </c>
      <c r="H17903" s="397"/>
      <c r="I17903" s="397"/>
      <c r="J17903" s="750" t="e">
        <f t="shared" si="216"/>
        <v>#DIV/0!</v>
      </c>
      <c r="K17903" s="398"/>
      <c r="L17903" s="398"/>
      <c r="M17903" s="682"/>
    </row>
    <row r="17904" spans="6:13" ht="25.5" hidden="1" x14ac:dyDescent="0.2">
      <c r="F17904" s="494">
        <v>464</v>
      </c>
      <c r="G17904" s="495" t="s">
        <v>3809</v>
      </c>
      <c r="H17904" s="397"/>
      <c r="I17904" s="397"/>
      <c r="J17904" s="750" t="e">
        <f t="shared" si="216"/>
        <v>#DIV/0!</v>
      </c>
      <c r="K17904" s="398"/>
      <c r="L17904" s="398"/>
      <c r="M17904" s="682"/>
    </row>
    <row r="17905" spans="6:13" hidden="1" x14ac:dyDescent="0.2">
      <c r="F17905" s="494">
        <v>465</v>
      </c>
      <c r="G17905" s="495" t="s">
        <v>4170</v>
      </c>
      <c r="H17905" s="397"/>
      <c r="I17905" s="397"/>
      <c r="J17905" s="750" t="e">
        <f t="shared" si="216"/>
        <v>#DIV/0!</v>
      </c>
      <c r="K17905" s="398"/>
      <c r="L17905" s="398"/>
      <c r="M17905" s="682"/>
    </row>
    <row r="17906" spans="6:13" hidden="1" x14ac:dyDescent="0.2">
      <c r="F17906" s="494">
        <v>472</v>
      </c>
      <c r="G17906" s="495" t="s">
        <v>3813</v>
      </c>
      <c r="H17906" s="397"/>
      <c r="I17906" s="397"/>
      <c r="J17906" s="750" t="e">
        <f t="shared" si="216"/>
        <v>#DIV/0!</v>
      </c>
      <c r="K17906" s="398"/>
      <c r="L17906" s="398"/>
      <c r="M17906" s="682"/>
    </row>
    <row r="17907" spans="6:13" hidden="1" x14ac:dyDescent="0.2">
      <c r="F17907" s="494">
        <v>481</v>
      </c>
      <c r="G17907" s="495" t="s">
        <v>4189</v>
      </c>
      <c r="H17907" s="397"/>
      <c r="I17907" s="397"/>
      <c r="J17907" s="750" t="e">
        <f t="shared" si="216"/>
        <v>#DIV/0!</v>
      </c>
      <c r="K17907" s="398"/>
      <c r="L17907" s="398"/>
      <c r="M17907" s="682"/>
    </row>
    <row r="17908" spans="6:13" hidden="1" x14ac:dyDescent="0.2">
      <c r="F17908" s="494">
        <v>482</v>
      </c>
      <c r="G17908" s="495" t="s">
        <v>4190</v>
      </c>
      <c r="H17908" s="397"/>
      <c r="I17908" s="397"/>
      <c r="J17908" s="750" t="e">
        <f t="shared" si="216"/>
        <v>#DIV/0!</v>
      </c>
      <c r="K17908" s="398"/>
      <c r="L17908" s="398"/>
      <c r="M17908" s="682"/>
    </row>
    <row r="17909" spans="6:13" hidden="1" x14ac:dyDescent="0.2">
      <c r="F17909" s="494">
        <v>483</v>
      </c>
      <c r="G17909" s="497" t="s">
        <v>4191</v>
      </c>
      <c r="H17909" s="397"/>
      <c r="I17909" s="397"/>
      <c r="J17909" s="750" t="e">
        <f t="shared" si="216"/>
        <v>#DIV/0!</v>
      </c>
      <c r="K17909" s="398"/>
      <c r="L17909" s="398"/>
      <c r="M17909" s="682"/>
    </row>
    <row r="17910" spans="6:13" ht="38.25" hidden="1" x14ac:dyDescent="0.2">
      <c r="F17910" s="494">
        <v>484</v>
      </c>
      <c r="G17910" s="495" t="s">
        <v>4192</v>
      </c>
      <c r="H17910" s="397"/>
      <c r="I17910" s="397"/>
      <c r="J17910" s="750" t="e">
        <f t="shared" si="216"/>
        <v>#DIV/0!</v>
      </c>
      <c r="K17910" s="398"/>
      <c r="L17910" s="398"/>
      <c r="M17910" s="682"/>
    </row>
    <row r="17911" spans="6:13" ht="25.5" hidden="1" x14ac:dyDescent="0.2">
      <c r="F17911" s="494">
        <v>485</v>
      </c>
      <c r="G17911" s="495" t="s">
        <v>4193</v>
      </c>
      <c r="H17911" s="397"/>
      <c r="I17911" s="397"/>
      <c r="J17911" s="750" t="e">
        <f t="shared" si="216"/>
        <v>#DIV/0!</v>
      </c>
      <c r="K17911" s="398"/>
      <c r="L17911" s="398"/>
      <c r="M17911" s="682"/>
    </row>
    <row r="17912" spans="6:13" ht="25.5" hidden="1" x14ac:dyDescent="0.2">
      <c r="F17912" s="494">
        <v>489</v>
      </c>
      <c r="G17912" s="495" t="s">
        <v>3821</v>
      </c>
      <c r="H17912" s="397"/>
      <c r="I17912" s="397"/>
      <c r="J17912" s="750" t="e">
        <f t="shared" si="216"/>
        <v>#DIV/0!</v>
      </c>
      <c r="K17912" s="398"/>
      <c r="L17912" s="398"/>
      <c r="M17912" s="682"/>
    </row>
    <row r="17913" spans="6:13" ht="25.5" hidden="1" x14ac:dyDescent="0.2">
      <c r="F17913" s="494">
        <v>494</v>
      </c>
      <c r="G17913" s="495" t="s">
        <v>4171</v>
      </c>
      <c r="H17913" s="397"/>
      <c r="I17913" s="397"/>
      <c r="J17913" s="750" t="e">
        <f t="shared" si="216"/>
        <v>#DIV/0!</v>
      </c>
      <c r="K17913" s="398"/>
      <c r="L17913" s="398"/>
      <c r="M17913" s="682"/>
    </row>
    <row r="17914" spans="6:13" ht="25.5" hidden="1" x14ac:dyDescent="0.2">
      <c r="F17914" s="494">
        <v>495</v>
      </c>
      <c r="G17914" s="495" t="s">
        <v>4172</v>
      </c>
      <c r="H17914" s="397"/>
      <c r="I17914" s="397"/>
      <c r="J17914" s="750" t="e">
        <f t="shared" si="216"/>
        <v>#DIV/0!</v>
      </c>
      <c r="K17914" s="398"/>
      <c r="L17914" s="398"/>
      <c r="M17914" s="682"/>
    </row>
    <row r="17915" spans="6:13" ht="38.25" hidden="1" x14ac:dyDescent="0.2">
      <c r="F17915" s="494">
        <v>496</v>
      </c>
      <c r="G17915" s="495" t="s">
        <v>4173</v>
      </c>
      <c r="H17915" s="397"/>
      <c r="I17915" s="397"/>
      <c r="J17915" s="750" t="e">
        <f t="shared" si="216"/>
        <v>#DIV/0!</v>
      </c>
      <c r="K17915" s="398"/>
      <c r="L17915" s="398"/>
      <c r="M17915" s="682"/>
    </row>
    <row r="17916" spans="6:13" ht="25.5" hidden="1" x14ac:dyDescent="0.2">
      <c r="F17916" s="494">
        <v>499</v>
      </c>
      <c r="G17916" s="495" t="s">
        <v>4174</v>
      </c>
      <c r="H17916" s="397"/>
      <c r="I17916" s="397"/>
      <c r="J17916" s="750" t="e">
        <f t="shared" si="216"/>
        <v>#DIV/0!</v>
      </c>
      <c r="K17916" s="398"/>
      <c r="L17916" s="398"/>
      <c r="M17916" s="682"/>
    </row>
    <row r="17917" spans="6:13" hidden="1" x14ac:dyDescent="0.2">
      <c r="F17917" s="494">
        <v>511</v>
      </c>
      <c r="G17917" s="497" t="s">
        <v>4194</v>
      </c>
      <c r="H17917" s="397"/>
      <c r="I17917" s="397"/>
      <c r="J17917" s="750" t="e">
        <f t="shared" si="216"/>
        <v>#DIV/0!</v>
      </c>
      <c r="K17917" s="398"/>
      <c r="L17917" s="398"/>
      <c r="M17917" s="682"/>
    </row>
    <row r="17918" spans="6:13" hidden="1" x14ac:dyDescent="0.2">
      <c r="F17918" s="494">
        <v>512</v>
      </c>
      <c r="G17918" s="497" t="s">
        <v>4195</v>
      </c>
      <c r="H17918" s="397"/>
      <c r="I17918" s="397"/>
      <c r="J17918" s="750" t="e">
        <f t="shared" si="216"/>
        <v>#DIV/0!</v>
      </c>
      <c r="K17918" s="398"/>
      <c r="L17918" s="398"/>
      <c r="M17918" s="682"/>
    </row>
    <row r="17919" spans="6:13" hidden="1" x14ac:dyDescent="0.2">
      <c r="F17919" s="494">
        <v>513</v>
      </c>
      <c r="G17919" s="497" t="s">
        <v>4196</v>
      </c>
      <c r="H17919" s="397"/>
      <c r="I17919" s="397"/>
      <c r="J17919" s="750" t="e">
        <f t="shared" si="216"/>
        <v>#DIV/0!</v>
      </c>
      <c r="K17919" s="398"/>
      <c r="L17919" s="398"/>
      <c r="M17919" s="682"/>
    </row>
    <row r="17920" spans="6:13" hidden="1" x14ac:dyDescent="0.2">
      <c r="F17920" s="494">
        <v>514</v>
      </c>
      <c r="G17920" s="495" t="s">
        <v>4197</v>
      </c>
      <c r="H17920" s="397"/>
      <c r="I17920" s="397"/>
      <c r="J17920" s="750" t="e">
        <f t="shared" si="216"/>
        <v>#DIV/0!</v>
      </c>
      <c r="K17920" s="398"/>
      <c r="L17920" s="398"/>
      <c r="M17920" s="682"/>
    </row>
    <row r="17921" spans="5:13" hidden="1" x14ac:dyDescent="0.2">
      <c r="F17921" s="494">
        <v>515</v>
      </c>
      <c r="G17921" s="495" t="s">
        <v>3832</v>
      </c>
      <c r="H17921" s="397"/>
      <c r="I17921" s="397"/>
      <c r="J17921" s="750" t="e">
        <f t="shared" si="216"/>
        <v>#DIV/0!</v>
      </c>
      <c r="K17921" s="398"/>
      <c r="L17921" s="398"/>
      <c r="M17921" s="682"/>
    </row>
    <row r="17922" spans="5:13" hidden="1" x14ac:dyDescent="0.2">
      <c r="F17922" s="494">
        <v>521</v>
      </c>
      <c r="G17922" s="495" t="s">
        <v>4198</v>
      </c>
      <c r="H17922" s="397"/>
      <c r="I17922" s="397"/>
      <c r="J17922" s="750" t="e">
        <f t="shared" si="216"/>
        <v>#DIV/0!</v>
      </c>
      <c r="K17922" s="398"/>
      <c r="L17922" s="398"/>
      <c r="M17922" s="682"/>
    </row>
    <row r="17923" spans="5:13" hidden="1" x14ac:dyDescent="0.2">
      <c r="F17923" s="494">
        <v>522</v>
      </c>
      <c r="G17923" s="495" t="s">
        <v>4199</v>
      </c>
      <c r="H17923" s="397"/>
      <c r="I17923" s="397"/>
      <c r="J17923" s="750" t="e">
        <f t="shared" si="216"/>
        <v>#DIV/0!</v>
      </c>
      <c r="K17923" s="398"/>
      <c r="L17923" s="398"/>
      <c r="M17923" s="682"/>
    </row>
    <row r="17924" spans="5:13" hidden="1" x14ac:dyDescent="0.2">
      <c r="F17924" s="494">
        <v>523</v>
      </c>
      <c r="G17924" s="495" t="s">
        <v>3837</v>
      </c>
      <c r="H17924" s="397"/>
      <c r="I17924" s="397"/>
      <c r="J17924" s="750" t="e">
        <f t="shared" si="216"/>
        <v>#DIV/0!</v>
      </c>
      <c r="K17924" s="398"/>
      <c r="L17924" s="398"/>
      <c r="M17924" s="682"/>
    </row>
    <row r="17925" spans="5:13" hidden="1" x14ac:dyDescent="0.2">
      <c r="F17925" s="494">
        <v>531</v>
      </c>
      <c r="G17925" s="496" t="s">
        <v>4175</v>
      </c>
      <c r="H17925" s="397"/>
      <c r="I17925" s="397"/>
      <c r="J17925" s="750" t="e">
        <f t="shared" si="216"/>
        <v>#DIV/0!</v>
      </c>
      <c r="K17925" s="398"/>
      <c r="L17925" s="398"/>
      <c r="M17925" s="682"/>
    </row>
    <row r="17926" spans="5:13" hidden="1" x14ac:dyDescent="0.2">
      <c r="F17926" s="494">
        <v>541</v>
      </c>
      <c r="G17926" s="495" t="s">
        <v>4200</v>
      </c>
      <c r="H17926" s="397"/>
      <c r="I17926" s="397"/>
      <c r="J17926" s="750" t="e">
        <f t="shared" si="216"/>
        <v>#DIV/0!</v>
      </c>
      <c r="K17926" s="398"/>
      <c r="L17926" s="398"/>
      <c r="M17926" s="682"/>
    </row>
    <row r="17927" spans="5:13" hidden="1" x14ac:dyDescent="0.2">
      <c r="F17927" s="494">
        <v>542</v>
      </c>
      <c r="G17927" s="495" t="s">
        <v>4201</v>
      </c>
      <c r="H17927" s="397"/>
      <c r="I17927" s="397"/>
      <c r="J17927" s="750" t="e">
        <f t="shared" si="216"/>
        <v>#DIV/0!</v>
      </c>
      <c r="K17927" s="398"/>
      <c r="L17927" s="398"/>
      <c r="M17927" s="682"/>
    </row>
    <row r="17928" spans="5:13" hidden="1" x14ac:dyDescent="0.2">
      <c r="F17928" s="494">
        <v>543</v>
      </c>
      <c r="G17928" s="495" t="s">
        <v>3842</v>
      </c>
      <c r="H17928" s="397"/>
      <c r="I17928" s="397"/>
      <c r="J17928" s="750" t="e">
        <f t="shared" si="216"/>
        <v>#DIV/0!</v>
      </c>
      <c r="K17928" s="398"/>
      <c r="L17928" s="398"/>
      <c r="M17928" s="682"/>
    </row>
    <row r="17929" spans="5:13" ht="38.25" hidden="1" x14ac:dyDescent="0.2">
      <c r="F17929" s="494">
        <v>551</v>
      </c>
      <c r="G17929" s="495" t="s">
        <v>4176</v>
      </c>
      <c r="H17929" s="397"/>
      <c r="I17929" s="397"/>
      <c r="J17929" s="750" t="e">
        <f t="shared" si="216"/>
        <v>#DIV/0!</v>
      </c>
      <c r="K17929" s="398"/>
      <c r="L17929" s="398"/>
      <c r="M17929" s="682"/>
    </row>
    <row r="17930" spans="5:13" hidden="1" x14ac:dyDescent="0.2">
      <c r="F17930" s="498">
        <v>611</v>
      </c>
      <c r="G17930" s="499" t="s">
        <v>3848</v>
      </c>
      <c r="H17930" s="397"/>
      <c r="I17930" s="397"/>
      <c r="J17930" s="750" t="e">
        <f t="shared" si="216"/>
        <v>#DIV/0!</v>
      </c>
      <c r="K17930" s="398"/>
      <c r="L17930" s="398"/>
      <c r="M17930" s="682"/>
    </row>
    <row r="17931" spans="5:13" hidden="1" x14ac:dyDescent="0.2">
      <c r="F17931" s="498">
        <v>620</v>
      </c>
      <c r="G17931" s="499" t="s">
        <v>88</v>
      </c>
      <c r="H17931" s="397"/>
      <c r="I17931" s="397"/>
      <c r="J17931" s="750" t="e">
        <f t="shared" si="216"/>
        <v>#DIV/0!</v>
      </c>
      <c r="K17931" s="398"/>
      <c r="L17931" s="398"/>
      <c r="M17931" s="682"/>
    </row>
    <row r="17932" spans="5:13" hidden="1" x14ac:dyDescent="0.2">
      <c r="E17932" s="500"/>
      <c r="F17932" s="498"/>
      <c r="G17932" s="509" t="s">
        <v>4366</v>
      </c>
      <c r="H17932" s="400"/>
      <c r="I17932" s="400"/>
      <c r="J17932" s="750" t="e">
        <f t="shared" si="216"/>
        <v>#DIV/0!</v>
      </c>
      <c r="K17932" s="401"/>
      <c r="L17932" s="402"/>
      <c r="M17932" s="682"/>
    </row>
    <row r="17933" spans="5:13" hidden="1" x14ac:dyDescent="0.2">
      <c r="E17933" s="502"/>
      <c r="F17933" s="503" t="s">
        <v>234</v>
      </c>
      <c r="G17933" s="504" t="s">
        <v>235</v>
      </c>
      <c r="H17933" s="403">
        <f>SUM(H17872:H17931)</f>
        <v>0</v>
      </c>
      <c r="I17933" s="403"/>
      <c r="J17933" s="750" t="e">
        <f t="shared" si="216"/>
        <v>#DIV/0!</v>
      </c>
      <c r="K17933" s="404"/>
      <c r="L17933" s="404"/>
      <c r="M17933" s="682"/>
    </row>
    <row r="17934" spans="5:13" hidden="1" x14ac:dyDescent="0.2">
      <c r="F17934" s="503" t="s">
        <v>236</v>
      </c>
      <c r="G17934" s="504" t="s">
        <v>237</v>
      </c>
      <c r="H17934" s="397"/>
      <c r="I17934" s="397"/>
      <c r="J17934" s="750" t="e">
        <f t="shared" ref="J17934:J17997" si="217">SUM(I17934/H17934)*100</f>
        <v>#DIV/0!</v>
      </c>
      <c r="K17934" s="398"/>
      <c r="L17934" s="404"/>
      <c r="M17934" s="682"/>
    </row>
    <row r="17935" spans="5:13" hidden="1" x14ac:dyDescent="0.2">
      <c r="F17935" s="503" t="s">
        <v>238</v>
      </c>
      <c r="G17935" s="504" t="s">
        <v>239</v>
      </c>
      <c r="H17935" s="397"/>
      <c r="I17935" s="397"/>
      <c r="J17935" s="750" t="e">
        <f t="shared" si="217"/>
        <v>#DIV/0!</v>
      </c>
      <c r="K17935" s="398"/>
      <c r="L17935" s="404"/>
      <c r="M17935" s="682"/>
    </row>
    <row r="17936" spans="5:13" hidden="1" x14ac:dyDescent="0.2">
      <c r="F17936" s="503" t="s">
        <v>240</v>
      </c>
      <c r="G17936" s="504" t="s">
        <v>241</v>
      </c>
      <c r="H17936" s="397"/>
      <c r="I17936" s="397"/>
      <c r="J17936" s="750" t="e">
        <f t="shared" si="217"/>
        <v>#DIV/0!</v>
      </c>
      <c r="K17936" s="398"/>
      <c r="L17936" s="404"/>
      <c r="M17936" s="682"/>
    </row>
    <row r="17937" spans="5:13" hidden="1" x14ac:dyDescent="0.2">
      <c r="F17937" s="503" t="s">
        <v>242</v>
      </c>
      <c r="G17937" s="504" t="s">
        <v>243</v>
      </c>
      <c r="H17937" s="397"/>
      <c r="I17937" s="397"/>
      <c r="J17937" s="750" t="e">
        <f t="shared" si="217"/>
        <v>#DIV/0!</v>
      </c>
      <c r="K17937" s="398"/>
      <c r="L17937" s="404"/>
      <c r="M17937" s="682"/>
    </row>
    <row r="17938" spans="5:13" hidden="1" x14ac:dyDescent="0.2">
      <c r="F17938" s="503" t="s">
        <v>244</v>
      </c>
      <c r="G17938" s="504" t="s">
        <v>245</v>
      </c>
      <c r="H17938" s="397"/>
      <c r="I17938" s="397"/>
      <c r="J17938" s="750" t="e">
        <f t="shared" si="217"/>
        <v>#DIV/0!</v>
      </c>
      <c r="K17938" s="398"/>
      <c r="L17938" s="404"/>
      <c r="M17938" s="682"/>
    </row>
    <row r="17939" spans="5:13" hidden="1" x14ac:dyDescent="0.2">
      <c r="F17939" s="503" t="s">
        <v>246</v>
      </c>
      <c r="G17939" s="504" t="s">
        <v>247</v>
      </c>
      <c r="H17939" s="397"/>
      <c r="I17939" s="397"/>
      <c r="J17939" s="750" t="e">
        <f t="shared" si="217"/>
        <v>#DIV/0!</v>
      </c>
      <c r="K17939" s="398"/>
      <c r="L17939" s="404"/>
      <c r="M17939" s="682"/>
    </row>
    <row r="17940" spans="5:13" ht="25.5" hidden="1" x14ac:dyDescent="0.2">
      <c r="F17940" s="503" t="s">
        <v>248</v>
      </c>
      <c r="G17940" s="504" t="s">
        <v>249</v>
      </c>
      <c r="H17940" s="397"/>
      <c r="I17940" s="397"/>
      <c r="J17940" s="750" t="e">
        <f t="shared" si="217"/>
        <v>#DIV/0!</v>
      </c>
      <c r="K17940" s="398"/>
      <c r="L17940" s="404"/>
      <c r="M17940" s="682"/>
    </row>
    <row r="17941" spans="5:13" hidden="1" x14ac:dyDescent="0.2">
      <c r="F17941" s="503" t="s">
        <v>250</v>
      </c>
      <c r="G17941" s="504" t="s">
        <v>57</v>
      </c>
      <c r="H17941" s="397"/>
      <c r="I17941" s="397"/>
      <c r="J17941" s="750" t="e">
        <f t="shared" si="217"/>
        <v>#DIV/0!</v>
      </c>
      <c r="K17941" s="398"/>
      <c r="L17941" s="404"/>
      <c r="M17941" s="682"/>
    </row>
    <row r="17942" spans="5:13" hidden="1" x14ac:dyDescent="0.2">
      <c r="F17942" s="503" t="s">
        <v>251</v>
      </c>
      <c r="G17942" s="504" t="s">
        <v>252</v>
      </c>
      <c r="H17942" s="397"/>
      <c r="I17942" s="397"/>
      <c r="J17942" s="750" t="e">
        <f t="shared" si="217"/>
        <v>#DIV/0!</v>
      </c>
      <c r="K17942" s="398"/>
      <c r="L17942" s="404"/>
      <c r="M17942" s="682"/>
    </row>
    <row r="17943" spans="5:13" hidden="1" x14ac:dyDescent="0.2">
      <c r="F17943" s="503" t="s">
        <v>253</v>
      </c>
      <c r="G17943" s="504" t="s">
        <v>254</v>
      </c>
      <c r="H17943" s="397"/>
      <c r="I17943" s="397"/>
      <c r="J17943" s="750" t="e">
        <f t="shared" si="217"/>
        <v>#DIV/0!</v>
      </c>
      <c r="K17943" s="398"/>
      <c r="L17943" s="404"/>
      <c r="M17943" s="682"/>
    </row>
    <row r="17944" spans="5:13" ht="25.5" hidden="1" x14ac:dyDescent="0.2">
      <c r="F17944" s="503" t="s">
        <v>255</v>
      </c>
      <c r="G17944" s="504" t="s">
        <v>256</v>
      </c>
      <c r="H17944" s="397"/>
      <c r="I17944" s="397"/>
      <c r="J17944" s="750" t="e">
        <f t="shared" si="217"/>
        <v>#DIV/0!</v>
      </c>
      <c r="K17944" s="398"/>
      <c r="L17944" s="404"/>
      <c r="M17944" s="682"/>
    </row>
    <row r="17945" spans="5:13" ht="25.5" hidden="1" x14ac:dyDescent="0.2">
      <c r="F17945" s="503" t="s">
        <v>257</v>
      </c>
      <c r="G17945" s="504" t="s">
        <v>258</v>
      </c>
      <c r="H17945" s="397"/>
      <c r="I17945" s="397"/>
      <c r="J17945" s="750" t="e">
        <f t="shared" si="217"/>
        <v>#DIV/0!</v>
      </c>
      <c r="K17945" s="398"/>
      <c r="L17945" s="404"/>
      <c r="M17945" s="682"/>
    </row>
    <row r="17946" spans="5:13" ht="25.5" hidden="1" x14ac:dyDescent="0.2">
      <c r="F17946" s="503" t="s">
        <v>259</v>
      </c>
      <c r="G17946" s="504" t="s">
        <v>260</v>
      </c>
      <c r="H17946" s="397"/>
      <c r="I17946" s="397"/>
      <c r="J17946" s="750" t="e">
        <f t="shared" si="217"/>
        <v>#DIV/0!</v>
      </c>
      <c r="K17946" s="398"/>
      <c r="L17946" s="404"/>
      <c r="M17946" s="682"/>
    </row>
    <row r="17947" spans="5:13" ht="25.5" hidden="1" x14ac:dyDescent="0.2">
      <c r="F17947" s="503" t="s">
        <v>261</v>
      </c>
      <c r="G17947" s="504" t="s">
        <v>262</v>
      </c>
      <c r="H17947" s="397"/>
      <c r="I17947" s="397"/>
      <c r="J17947" s="750" t="e">
        <f t="shared" si="217"/>
        <v>#DIV/0!</v>
      </c>
      <c r="K17947" s="398"/>
      <c r="L17947" s="404"/>
      <c r="M17947" s="682"/>
    </row>
    <row r="17948" spans="5:13" hidden="1" x14ac:dyDescent="0.2">
      <c r="F17948" s="503" t="s">
        <v>263</v>
      </c>
      <c r="G17948" s="504" t="s">
        <v>264</v>
      </c>
      <c r="H17948" s="403"/>
      <c r="I17948" s="403"/>
      <c r="J17948" s="750" t="e">
        <f t="shared" si="217"/>
        <v>#DIV/0!</v>
      </c>
      <c r="K17948" s="404"/>
      <c r="L17948" s="404"/>
      <c r="M17948" s="682"/>
    </row>
    <row r="17949" spans="5:13" ht="13.5" hidden="1" thickBot="1" x14ac:dyDescent="0.25">
      <c r="G17949" s="505" t="s">
        <v>4367</v>
      </c>
      <c r="H17949" s="405">
        <f>SUM(H17933:H17948)</f>
        <v>0</v>
      </c>
      <c r="I17949" s="405"/>
      <c r="J17949" s="750" t="e">
        <f t="shared" si="217"/>
        <v>#DIV/0!</v>
      </c>
      <c r="K17949" s="406">
        <f>SUM(K17934:K17948)</f>
        <v>0</v>
      </c>
      <c r="L17949" s="406"/>
      <c r="M17949" s="682"/>
    </row>
    <row r="17950" spans="5:13" ht="25.5" hidden="1" collapsed="1" x14ac:dyDescent="0.2">
      <c r="E17950" s="500"/>
      <c r="F17950" s="498"/>
      <c r="G17950" s="506" t="s">
        <v>4460</v>
      </c>
      <c r="H17950" s="407"/>
      <c r="I17950" s="408"/>
      <c r="J17950" s="750" t="e">
        <f t="shared" si="217"/>
        <v>#DIV/0!</v>
      </c>
      <c r="K17950" s="409"/>
      <c r="L17950" s="410"/>
      <c r="M17950" s="682"/>
    </row>
    <row r="17951" spans="5:13" hidden="1" x14ac:dyDescent="0.2">
      <c r="E17951" s="502"/>
      <c r="F17951" s="503" t="s">
        <v>234</v>
      </c>
      <c r="G17951" s="504" t="s">
        <v>235</v>
      </c>
      <c r="H17951" s="403">
        <f>SUM(H17872:H17931)</f>
        <v>0</v>
      </c>
      <c r="I17951" s="403"/>
      <c r="J17951" s="750" t="e">
        <f t="shared" si="217"/>
        <v>#DIV/0!</v>
      </c>
      <c r="K17951" s="404"/>
      <c r="L17951" s="404"/>
      <c r="M17951" s="682"/>
    </row>
    <row r="17952" spans="5:13" hidden="1" x14ac:dyDescent="0.2">
      <c r="F17952" s="503" t="s">
        <v>236</v>
      </c>
      <c r="G17952" s="504" t="s">
        <v>237</v>
      </c>
      <c r="H17952" s="397"/>
      <c r="I17952" s="397"/>
      <c r="J17952" s="750" t="e">
        <f t="shared" si="217"/>
        <v>#DIV/0!</v>
      </c>
      <c r="K17952" s="398"/>
      <c r="L17952" s="404"/>
      <c r="M17952" s="682"/>
    </row>
    <row r="17953" spans="6:13" hidden="1" x14ac:dyDescent="0.2">
      <c r="F17953" s="503" t="s">
        <v>238</v>
      </c>
      <c r="G17953" s="504" t="s">
        <v>239</v>
      </c>
      <c r="H17953" s="397"/>
      <c r="I17953" s="397"/>
      <c r="J17953" s="750" t="e">
        <f t="shared" si="217"/>
        <v>#DIV/0!</v>
      </c>
      <c r="K17953" s="398"/>
      <c r="L17953" s="404"/>
      <c r="M17953" s="682"/>
    </row>
    <row r="17954" spans="6:13" hidden="1" x14ac:dyDescent="0.2">
      <c r="F17954" s="503" t="s">
        <v>240</v>
      </c>
      <c r="G17954" s="504" t="s">
        <v>241</v>
      </c>
      <c r="H17954" s="397"/>
      <c r="I17954" s="397"/>
      <c r="J17954" s="750" t="e">
        <f t="shared" si="217"/>
        <v>#DIV/0!</v>
      </c>
      <c r="K17954" s="398"/>
      <c r="L17954" s="404"/>
      <c r="M17954" s="682"/>
    </row>
    <row r="17955" spans="6:13" hidden="1" x14ac:dyDescent="0.2">
      <c r="F17955" s="503" t="s">
        <v>242</v>
      </c>
      <c r="G17955" s="504" t="s">
        <v>243</v>
      </c>
      <c r="H17955" s="397"/>
      <c r="I17955" s="397"/>
      <c r="J17955" s="750" t="e">
        <f t="shared" si="217"/>
        <v>#DIV/0!</v>
      </c>
      <c r="K17955" s="398"/>
      <c r="L17955" s="404"/>
      <c r="M17955" s="682"/>
    </row>
    <row r="17956" spans="6:13" hidden="1" x14ac:dyDescent="0.2">
      <c r="F17956" s="503" t="s">
        <v>244</v>
      </c>
      <c r="G17956" s="504" t="s">
        <v>245</v>
      </c>
      <c r="H17956" s="397"/>
      <c r="I17956" s="397"/>
      <c r="J17956" s="750" t="e">
        <f t="shared" si="217"/>
        <v>#DIV/0!</v>
      </c>
      <c r="K17956" s="398"/>
      <c r="L17956" s="404"/>
      <c r="M17956" s="682"/>
    </row>
    <row r="17957" spans="6:13" hidden="1" x14ac:dyDescent="0.2">
      <c r="F17957" s="503" t="s">
        <v>246</v>
      </c>
      <c r="G17957" s="504" t="s">
        <v>247</v>
      </c>
      <c r="H17957" s="397"/>
      <c r="I17957" s="397"/>
      <c r="J17957" s="750" t="e">
        <f t="shared" si="217"/>
        <v>#DIV/0!</v>
      </c>
      <c r="K17957" s="398"/>
      <c r="L17957" s="404"/>
      <c r="M17957" s="682"/>
    </row>
    <row r="17958" spans="6:13" ht="25.5" hidden="1" x14ac:dyDescent="0.2">
      <c r="F17958" s="503" t="s">
        <v>248</v>
      </c>
      <c r="G17958" s="504" t="s">
        <v>249</v>
      </c>
      <c r="H17958" s="397"/>
      <c r="I17958" s="397"/>
      <c r="J17958" s="750" t="e">
        <f t="shared" si="217"/>
        <v>#DIV/0!</v>
      </c>
      <c r="K17958" s="398"/>
      <c r="L17958" s="404"/>
      <c r="M17958" s="682"/>
    </row>
    <row r="17959" spans="6:13" hidden="1" x14ac:dyDescent="0.2">
      <c r="F17959" s="503" t="s">
        <v>250</v>
      </c>
      <c r="G17959" s="504" t="s">
        <v>57</v>
      </c>
      <c r="H17959" s="397"/>
      <c r="I17959" s="397"/>
      <c r="J17959" s="750" t="e">
        <f t="shared" si="217"/>
        <v>#DIV/0!</v>
      </c>
      <c r="K17959" s="398"/>
      <c r="L17959" s="404"/>
      <c r="M17959" s="682"/>
    </row>
    <row r="17960" spans="6:13" hidden="1" x14ac:dyDescent="0.2">
      <c r="F17960" s="503" t="s">
        <v>251</v>
      </c>
      <c r="G17960" s="504" t="s">
        <v>252</v>
      </c>
      <c r="H17960" s="397"/>
      <c r="I17960" s="397"/>
      <c r="J17960" s="750" t="e">
        <f t="shared" si="217"/>
        <v>#DIV/0!</v>
      </c>
      <c r="K17960" s="398"/>
      <c r="L17960" s="404"/>
      <c r="M17960" s="682"/>
    </row>
    <row r="17961" spans="6:13" hidden="1" x14ac:dyDescent="0.2">
      <c r="F17961" s="503" t="s">
        <v>253</v>
      </c>
      <c r="G17961" s="504" t="s">
        <v>254</v>
      </c>
      <c r="H17961" s="397"/>
      <c r="I17961" s="397"/>
      <c r="J17961" s="750" t="e">
        <f t="shared" si="217"/>
        <v>#DIV/0!</v>
      </c>
      <c r="K17961" s="398"/>
      <c r="L17961" s="404"/>
      <c r="M17961" s="682"/>
    </row>
    <row r="17962" spans="6:13" ht="25.5" hidden="1" x14ac:dyDescent="0.2">
      <c r="F17962" s="503" t="s">
        <v>255</v>
      </c>
      <c r="G17962" s="504" t="s">
        <v>256</v>
      </c>
      <c r="H17962" s="397"/>
      <c r="I17962" s="397"/>
      <c r="J17962" s="750" t="e">
        <f t="shared" si="217"/>
        <v>#DIV/0!</v>
      </c>
      <c r="K17962" s="398"/>
      <c r="L17962" s="404"/>
      <c r="M17962" s="682"/>
    </row>
    <row r="17963" spans="6:13" ht="25.5" hidden="1" x14ac:dyDescent="0.2">
      <c r="F17963" s="503" t="s">
        <v>257</v>
      </c>
      <c r="G17963" s="504" t="s">
        <v>258</v>
      </c>
      <c r="H17963" s="397"/>
      <c r="I17963" s="397"/>
      <c r="J17963" s="750" t="e">
        <f t="shared" si="217"/>
        <v>#DIV/0!</v>
      </c>
      <c r="K17963" s="398"/>
      <c r="L17963" s="404"/>
      <c r="M17963" s="682"/>
    </row>
    <row r="17964" spans="6:13" ht="25.5" hidden="1" x14ac:dyDescent="0.2">
      <c r="F17964" s="503" t="s">
        <v>259</v>
      </c>
      <c r="G17964" s="504" t="s">
        <v>260</v>
      </c>
      <c r="H17964" s="397"/>
      <c r="I17964" s="397"/>
      <c r="J17964" s="750" t="e">
        <f t="shared" si="217"/>
        <v>#DIV/0!</v>
      </c>
      <c r="K17964" s="398"/>
      <c r="L17964" s="404"/>
      <c r="M17964" s="682"/>
    </row>
    <row r="17965" spans="6:13" ht="25.5" hidden="1" x14ac:dyDescent="0.2">
      <c r="F17965" s="503" t="s">
        <v>261</v>
      </c>
      <c r="G17965" s="504" t="s">
        <v>262</v>
      </c>
      <c r="H17965" s="397"/>
      <c r="I17965" s="397"/>
      <c r="J17965" s="750" t="e">
        <f t="shared" si="217"/>
        <v>#DIV/0!</v>
      </c>
      <c r="K17965" s="398"/>
      <c r="L17965" s="404"/>
      <c r="M17965" s="682"/>
    </row>
    <row r="17966" spans="6:13" hidden="1" x14ac:dyDescent="0.2">
      <c r="F17966" s="503" t="s">
        <v>263</v>
      </c>
      <c r="G17966" s="504" t="s">
        <v>264</v>
      </c>
      <c r="H17966" s="403"/>
      <c r="I17966" s="403"/>
      <c r="J17966" s="750" t="e">
        <f t="shared" si="217"/>
        <v>#DIV/0!</v>
      </c>
      <c r="K17966" s="404"/>
      <c r="L17966" s="404"/>
      <c r="M17966" s="682"/>
    </row>
    <row r="17967" spans="6:13" ht="13.5" hidden="1" collapsed="1" thickBot="1" x14ac:dyDescent="0.25">
      <c r="G17967" s="505" t="s">
        <v>4461</v>
      </c>
      <c r="H17967" s="405">
        <f>SUM(H17951:H17966)</f>
        <v>0</v>
      </c>
      <c r="I17967" s="405"/>
      <c r="J17967" s="750" t="e">
        <f t="shared" si="217"/>
        <v>#DIV/0!</v>
      </c>
      <c r="K17967" s="406">
        <f>SUM(K17952:K17966)</f>
        <v>0</v>
      </c>
      <c r="L17967" s="406"/>
      <c r="M17967" s="682"/>
    </row>
    <row r="17968" spans="6:13" hidden="1" x14ac:dyDescent="0.2">
      <c r="H17968" s="397"/>
      <c r="I17968" s="397"/>
      <c r="J17968" s="750" t="e">
        <f t="shared" si="217"/>
        <v>#DIV/0!</v>
      </c>
      <c r="K17968" s="398"/>
      <c r="L17968" s="398"/>
      <c r="M17968" s="682"/>
    </row>
    <row r="17969" spans="1:27" s="530" customFormat="1" hidden="1" x14ac:dyDescent="0.2">
      <c r="A17969" s="526"/>
      <c r="B17969" s="527"/>
      <c r="C17969" s="534"/>
      <c r="D17969" s="535"/>
      <c r="E17969" s="535"/>
      <c r="F17969" s="498"/>
      <c r="G17969" s="511" t="s">
        <v>4250</v>
      </c>
      <c r="H17969" s="413"/>
      <c r="I17969" s="413"/>
      <c r="J17969" s="750" t="e">
        <f t="shared" si="217"/>
        <v>#DIV/0!</v>
      </c>
      <c r="K17969" s="414"/>
      <c r="L17969" s="415"/>
      <c r="M17969" s="682"/>
      <c r="N17969" s="171"/>
      <c r="O17969" s="171"/>
      <c r="P17969" s="171"/>
      <c r="Q17969" s="171"/>
      <c r="R17969" s="171"/>
      <c r="S17969" s="171"/>
      <c r="T17969" s="171"/>
      <c r="U17969" s="171"/>
      <c r="V17969" s="171"/>
      <c r="W17969" s="171"/>
      <c r="X17969" s="171"/>
      <c r="Y17969" s="171"/>
      <c r="Z17969" s="171"/>
      <c r="AA17969" s="171"/>
    </row>
    <row r="17970" spans="1:27" s="530" customFormat="1" hidden="1" x14ac:dyDescent="0.2">
      <c r="A17970" s="526"/>
      <c r="B17970" s="527"/>
      <c r="C17970" s="534"/>
      <c r="D17970" s="535"/>
      <c r="E17970" s="535"/>
      <c r="F17970" s="503" t="s">
        <v>234</v>
      </c>
      <c r="G17970" s="504" t="s">
        <v>235</v>
      </c>
      <c r="H17970" s="403">
        <f>SUM(H17951,H17852,)</f>
        <v>0</v>
      </c>
      <c r="I17970" s="403"/>
      <c r="J17970" s="750" t="e">
        <f t="shared" si="217"/>
        <v>#DIV/0!</v>
      </c>
      <c r="K17970" s="404"/>
      <c r="L17970" s="404"/>
      <c r="M17970" s="682"/>
      <c r="N17970" s="171"/>
      <c r="O17970" s="171"/>
      <c r="P17970" s="171"/>
      <c r="Q17970" s="171"/>
      <c r="R17970" s="171"/>
      <c r="S17970" s="171"/>
      <c r="T17970" s="171"/>
      <c r="U17970" s="171"/>
      <c r="V17970" s="171"/>
      <c r="W17970" s="171"/>
      <c r="X17970" s="171"/>
      <c r="Y17970" s="171"/>
      <c r="Z17970" s="171"/>
      <c r="AA17970" s="171"/>
    </row>
    <row r="17971" spans="1:27" s="530" customFormat="1" hidden="1" x14ac:dyDescent="0.2">
      <c r="A17971" s="526"/>
      <c r="B17971" s="527"/>
      <c r="C17971" s="534"/>
      <c r="D17971" s="535"/>
      <c r="E17971" s="535"/>
      <c r="F17971" s="503" t="s">
        <v>236</v>
      </c>
      <c r="G17971" s="504" t="s">
        <v>237</v>
      </c>
      <c r="H17971" s="397"/>
      <c r="I17971" s="397"/>
      <c r="J17971" s="750" t="e">
        <f t="shared" si="217"/>
        <v>#DIV/0!</v>
      </c>
      <c r="K17971" s="398"/>
      <c r="L17971" s="404"/>
      <c r="M17971" s="682"/>
      <c r="N17971" s="171"/>
      <c r="O17971" s="171"/>
      <c r="P17971" s="171"/>
      <c r="Q17971" s="171"/>
      <c r="R17971" s="171"/>
      <c r="S17971" s="171"/>
      <c r="T17971" s="171"/>
      <c r="U17971" s="171"/>
      <c r="V17971" s="171"/>
      <c r="W17971" s="171"/>
      <c r="X17971" s="171"/>
      <c r="Y17971" s="171"/>
      <c r="Z17971" s="171"/>
      <c r="AA17971" s="171"/>
    </row>
    <row r="17972" spans="1:27" s="530" customFormat="1" hidden="1" x14ac:dyDescent="0.2">
      <c r="A17972" s="526"/>
      <c r="B17972" s="527"/>
      <c r="C17972" s="534"/>
      <c r="D17972" s="535"/>
      <c r="E17972" s="535"/>
      <c r="F17972" s="503" t="s">
        <v>238</v>
      </c>
      <c r="G17972" s="504" t="s">
        <v>239</v>
      </c>
      <c r="H17972" s="397"/>
      <c r="I17972" s="397"/>
      <c r="J17972" s="750" t="e">
        <f t="shared" si="217"/>
        <v>#DIV/0!</v>
      </c>
      <c r="K17972" s="398"/>
      <c r="L17972" s="404"/>
      <c r="M17972" s="682"/>
      <c r="N17972" s="171"/>
      <c r="O17972" s="171"/>
      <c r="P17972" s="171"/>
      <c r="Q17972" s="171"/>
      <c r="R17972" s="171"/>
      <c r="S17972" s="171"/>
      <c r="T17972" s="171"/>
      <c r="U17972" s="171"/>
      <c r="V17972" s="171"/>
      <c r="W17972" s="171"/>
      <c r="X17972" s="171"/>
      <c r="Y17972" s="171"/>
      <c r="Z17972" s="171"/>
      <c r="AA17972" s="171"/>
    </row>
    <row r="17973" spans="1:27" s="530" customFormat="1" hidden="1" x14ac:dyDescent="0.2">
      <c r="A17973" s="526"/>
      <c r="B17973" s="527"/>
      <c r="C17973" s="534"/>
      <c r="D17973" s="535"/>
      <c r="E17973" s="535"/>
      <c r="F17973" s="503" t="s">
        <v>240</v>
      </c>
      <c r="G17973" s="504" t="s">
        <v>241</v>
      </c>
      <c r="H17973" s="397"/>
      <c r="I17973" s="397"/>
      <c r="J17973" s="750" t="e">
        <f t="shared" si="217"/>
        <v>#DIV/0!</v>
      </c>
      <c r="K17973" s="398"/>
      <c r="L17973" s="404"/>
      <c r="M17973" s="682"/>
      <c r="N17973" s="171"/>
      <c r="O17973" s="171"/>
      <c r="P17973" s="171"/>
      <c r="Q17973" s="171"/>
      <c r="R17973" s="171"/>
      <c r="S17973" s="171"/>
      <c r="T17973" s="171"/>
      <c r="U17973" s="171"/>
      <c r="V17973" s="171"/>
      <c r="W17973" s="171"/>
      <c r="X17973" s="171"/>
      <c r="Y17973" s="171"/>
      <c r="Z17973" s="171"/>
      <c r="AA17973" s="171"/>
    </row>
    <row r="17974" spans="1:27" s="530" customFormat="1" hidden="1" x14ac:dyDescent="0.2">
      <c r="A17974" s="526"/>
      <c r="B17974" s="527"/>
      <c r="C17974" s="534"/>
      <c r="D17974" s="535"/>
      <c r="E17974" s="535"/>
      <c r="F17974" s="503" t="s">
        <v>242</v>
      </c>
      <c r="G17974" s="504" t="s">
        <v>243</v>
      </c>
      <c r="H17974" s="397"/>
      <c r="I17974" s="397"/>
      <c r="J17974" s="750" t="e">
        <f t="shared" si="217"/>
        <v>#DIV/0!</v>
      </c>
      <c r="K17974" s="398"/>
      <c r="L17974" s="404"/>
      <c r="M17974" s="682"/>
      <c r="N17974" s="171"/>
      <c r="O17974" s="171"/>
      <c r="P17974" s="171"/>
      <c r="Q17974" s="171"/>
      <c r="R17974" s="171"/>
      <c r="S17974" s="171"/>
      <c r="T17974" s="171"/>
      <c r="U17974" s="171"/>
      <c r="V17974" s="171"/>
      <c r="W17974" s="171"/>
      <c r="X17974" s="171"/>
      <c r="Y17974" s="171"/>
      <c r="Z17974" s="171"/>
      <c r="AA17974" s="171"/>
    </row>
    <row r="17975" spans="1:27" s="530" customFormat="1" hidden="1" x14ac:dyDescent="0.2">
      <c r="A17975" s="526"/>
      <c r="B17975" s="527"/>
      <c r="C17975" s="534"/>
      <c r="D17975" s="535"/>
      <c r="E17975" s="535"/>
      <c r="F17975" s="503" t="s">
        <v>244</v>
      </c>
      <c r="G17975" s="504" t="s">
        <v>245</v>
      </c>
      <c r="H17975" s="397"/>
      <c r="I17975" s="397"/>
      <c r="J17975" s="750" t="e">
        <f t="shared" si="217"/>
        <v>#DIV/0!</v>
      </c>
      <c r="K17975" s="398"/>
      <c r="L17975" s="404"/>
      <c r="M17975" s="682"/>
      <c r="N17975" s="171"/>
      <c r="O17975" s="171"/>
      <c r="P17975" s="171"/>
      <c r="Q17975" s="171"/>
      <c r="R17975" s="171"/>
      <c r="S17975" s="171"/>
      <c r="T17975" s="171"/>
      <c r="U17975" s="171"/>
      <c r="V17975" s="171"/>
      <c r="W17975" s="171"/>
      <c r="X17975" s="171"/>
      <c r="Y17975" s="171"/>
      <c r="Z17975" s="171"/>
      <c r="AA17975" s="171"/>
    </row>
    <row r="17976" spans="1:27" s="530" customFormat="1" hidden="1" x14ac:dyDescent="0.2">
      <c r="A17976" s="526"/>
      <c r="B17976" s="527"/>
      <c r="C17976" s="534"/>
      <c r="D17976" s="535"/>
      <c r="E17976" s="535"/>
      <c r="F17976" s="503" t="s">
        <v>246</v>
      </c>
      <c r="G17976" s="504" t="s">
        <v>247</v>
      </c>
      <c r="H17976" s="397"/>
      <c r="I17976" s="397"/>
      <c r="J17976" s="750" t="e">
        <f t="shared" si="217"/>
        <v>#DIV/0!</v>
      </c>
      <c r="K17976" s="398"/>
      <c r="L17976" s="404"/>
      <c r="M17976" s="682"/>
      <c r="N17976" s="171"/>
      <c r="O17976" s="171"/>
      <c r="P17976" s="171"/>
      <c r="Q17976" s="171"/>
      <c r="R17976" s="171"/>
      <c r="S17976" s="171"/>
      <c r="T17976" s="171"/>
      <c r="U17976" s="171"/>
      <c r="V17976" s="171"/>
      <c r="W17976" s="171"/>
      <c r="X17976" s="171"/>
      <c r="Y17976" s="171"/>
      <c r="Z17976" s="171"/>
      <c r="AA17976" s="171"/>
    </row>
    <row r="17977" spans="1:27" s="530" customFormat="1" ht="25.5" hidden="1" x14ac:dyDescent="0.2">
      <c r="A17977" s="526"/>
      <c r="B17977" s="527"/>
      <c r="C17977" s="534"/>
      <c r="D17977" s="535"/>
      <c r="E17977" s="535"/>
      <c r="F17977" s="503" t="s">
        <v>248</v>
      </c>
      <c r="G17977" s="504" t="s">
        <v>249</v>
      </c>
      <c r="H17977" s="397"/>
      <c r="I17977" s="397"/>
      <c r="J17977" s="750" t="e">
        <f t="shared" si="217"/>
        <v>#DIV/0!</v>
      </c>
      <c r="K17977" s="398"/>
      <c r="L17977" s="404"/>
      <c r="M17977" s="682"/>
      <c r="N17977" s="171"/>
      <c r="O17977" s="171"/>
      <c r="P17977" s="171"/>
      <c r="Q17977" s="171"/>
      <c r="R17977" s="171"/>
      <c r="S17977" s="171"/>
      <c r="T17977" s="171"/>
      <c r="U17977" s="171"/>
      <c r="V17977" s="171"/>
      <c r="W17977" s="171"/>
      <c r="X17977" s="171"/>
      <c r="Y17977" s="171"/>
      <c r="Z17977" s="171"/>
      <c r="AA17977" s="171"/>
    </row>
    <row r="17978" spans="1:27" s="530" customFormat="1" hidden="1" x14ac:dyDescent="0.2">
      <c r="A17978" s="526"/>
      <c r="B17978" s="527"/>
      <c r="C17978" s="534"/>
      <c r="D17978" s="535"/>
      <c r="E17978" s="535"/>
      <c r="F17978" s="503" t="s">
        <v>250</v>
      </c>
      <c r="G17978" s="504" t="s">
        <v>57</v>
      </c>
      <c r="H17978" s="397"/>
      <c r="I17978" s="397"/>
      <c r="J17978" s="750" t="e">
        <f t="shared" si="217"/>
        <v>#DIV/0!</v>
      </c>
      <c r="K17978" s="398"/>
      <c r="L17978" s="404"/>
      <c r="M17978" s="682"/>
      <c r="N17978" s="171"/>
      <c r="O17978" s="171"/>
      <c r="P17978" s="171"/>
      <c r="Q17978" s="171"/>
      <c r="R17978" s="171"/>
      <c r="S17978" s="171"/>
      <c r="T17978" s="171"/>
      <c r="U17978" s="171"/>
      <c r="V17978" s="171"/>
      <c r="W17978" s="171"/>
      <c r="X17978" s="171"/>
      <c r="Y17978" s="171"/>
      <c r="Z17978" s="171"/>
      <c r="AA17978" s="171"/>
    </row>
    <row r="17979" spans="1:27" s="530" customFormat="1" hidden="1" x14ac:dyDescent="0.2">
      <c r="A17979" s="526"/>
      <c r="B17979" s="527"/>
      <c r="C17979" s="534"/>
      <c r="D17979" s="535"/>
      <c r="E17979" s="535"/>
      <c r="F17979" s="503" t="s">
        <v>251</v>
      </c>
      <c r="G17979" s="504" t="s">
        <v>252</v>
      </c>
      <c r="H17979" s="397"/>
      <c r="I17979" s="397"/>
      <c r="J17979" s="750" t="e">
        <f t="shared" si="217"/>
        <v>#DIV/0!</v>
      </c>
      <c r="K17979" s="398"/>
      <c r="L17979" s="404"/>
      <c r="M17979" s="682"/>
      <c r="N17979" s="171"/>
      <c r="O17979" s="171"/>
      <c r="P17979" s="171"/>
      <c r="Q17979" s="171"/>
      <c r="R17979" s="171"/>
      <c r="S17979" s="171"/>
      <c r="T17979" s="171"/>
      <c r="U17979" s="171"/>
      <c r="V17979" s="171"/>
      <c r="W17979" s="171"/>
      <c r="X17979" s="171"/>
      <c r="Y17979" s="171"/>
      <c r="Z17979" s="171"/>
      <c r="AA17979" s="171"/>
    </row>
    <row r="17980" spans="1:27" s="530" customFormat="1" hidden="1" x14ac:dyDescent="0.2">
      <c r="A17980" s="526"/>
      <c r="B17980" s="527"/>
      <c r="C17980" s="534"/>
      <c r="D17980" s="535"/>
      <c r="E17980" s="535"/>
      <c r="F17980" s="503" t="s">
        <v>253</v>
      </c>
      <c r="G17980" s="504" t="s">
        <v>254</v>
      </c>
      <c r="H17980" s="397"/>
      <c r="I17980" s="397"/>
      <c r="J17980" s="750" t="e">
        <f t="shared" si="217"/>
        <v>#DIV/0!</v>
      </c>
      <c r="K17980" s="398"/>
      <c r="L17980" s="404"/>
      <c r="M17980" s="682"/>
      <c r="N17980" s="171"/>
      <c r="O17980" s="171"/>
      <c r="P17980" s="171"/>
      <c r="Q17980" s="171"/>
      <c r="R17980" s="171"/>
      <c r="S17980" s="171"/>
      <c r="T17980" s="171"/>
      <c r="U17980" s="171"/>
      <c r="V17980" s="171"/>
      <c r="W17980" s="171"/>
      <c r="X17980" s="171"/>
      <c r="Y17980" s="171"/>
      <c r="Z17980" s="171"/>
      <c r="AA17980" s="171"/>
    </row>
    <row r="17981" spans="1:27" s="530" customFormat="1" ht="25.5" hidden="1" x14ac:dyDescent="0.2">
      <c r="A17981" s="526"/>
      <c r="B17981" s="527"/>
      <c r="C17981" s="534"/>
      <c r="D17981" s="535"/>
      <c r="E17981" s="535"/>
      <c r="F17981" s="503" t="s">
        <v>255</v>
      </c>
      <c r="G17981" s="504" t="s">
        <v>256</v>
      </c>
      <c r="H17981" s="397"/>
      <c r="I17981" s="397"/>
      <c r="J17981" s="750" t="e">
        <f t="shared" si="217"/>
        <v>#DIV/0!</v>
      </c>
      <c r="K17981" s="398"/>
      <c r="L17981" s="404"/>
      <c r="M17981" s="682"/>
      <c r="N17981" s="171"/>
      <c r="O17981" s="171"/>
      <c r="P17981" s="171"/>
      <c r="Q17981" s="171"/>
      <c r="R17981" s="171"/>
      <c r="S17981" s="171"/>
      <c r="T17981" s="171"/>
      <c r="U17981" s="171"/>
      <c r="V17981" s="171"/>
      <c r="W17981" s="171"/>
      <c r="X17981" s="171"/>
      <c r="Y17981" s="171"/>
      <c r="Z17981" s="171"/>
      <c r="AA17981" s="171"/>
    </row>
    <row r="17982" spans="1:27" s="530" customFormat="1" ht="25.5" hidden="1" x14ac:dyDescent="0.2">
      <c r="A17982" s="526"/>
      <c r="B17982" s="527"/>
      <c r="C17982" s="534"/>
      <c r="D17982" s="535"/>
      <c r="E17982" s="535"/>
      <c r="F17982" s="503" t="s">
        <v>257</v>
      </c>
      <c r="G17982" s="504" t="s">
        <v>258</v>
      </c>
      <c r="H17982" s="397"/>
      <c r="I17982" s="397"/>
      <c r="J17982" s="750" t="e">
        <f t="shared" si="217"/>
        <v>#DIV/0!</v>
      </c>
      <c r="K17982" s="398"/>
      <c r="L17982" s="404"/>
      <c r="M17982" s="682"/>
      <c r="N17982" s="171"/>
      <c r="O17982" s="171"/>
      <c r="P17982" s="171"/>
      <c r="Q17982" s="171"/>
      <c r="R17982" s="171"/>
      <c r="S17982" s="171"/>
      <c r="T17982" s="171"/>
      <c r="U17982" s="171"/>
      <c r="V17982" s="171"/>
      <c r="W17982" s="171"/>
      <c r="X17982" s="171"/>
      <c r="Y17982" s="171"/>
      <c r="Z17982" s="171"/>
      <c r="AA17982" s="171"/>
    </row>
    <row r="17983" spans="1:27" s="530" customFormat="1" ht="25.5" hidden="1" x14ac:dyDescent="0.2">
      <c r="A17983" s="526"/>
      <c r="B17983" s="527"/>
      <c r="C17983" s="534"/>
      <c r="D17983" s="535"/>
      <c r="E17983" s="535"/>
      <c r="F17983" s="503" t="s">
        <v>259</v>
      </c>
      <c r="G17983" s="504" t="s">
        <v>260</v>
      </c>
      <c r="H17983" s="397"/>
      <c r="I17983" s="397"/>
      <c r="J17983" s="750" t="e">
        <f t="shared" si="217"/>
        <v>#DIV/0!</v>
      </c>
      <c r="K17983" s="398"/>
      <c r="L17983" s="404"/>
      <c r="M17983" s="682"/>
      <c r="N17983" s="171"/>
      <c r="O17983" s="171"/>
      <c r="P17983" s="171"/>
      <c r="Q17983" s="171"/>
      <c r="R17983" s="171"/>
      <c r="S17983" s="171"/>
      <c r="T17983" s="171"/>
      <c r="U17983" s="171"/>
      <c r="V17983" s="171"/>
      <c r="W17983" s="171"/>
      <c r="X17983" s="171"/>
      <c r="Y17983" s="171"/>
      <c r="Z17983" s="171"/>
      <c r="AA17983" s="171"/>
    </row>
    <row r="17984" spans="1:27" s="530" customFormat="1" ht="25.5" hidden="1" x14ac:dyDescent="0.2">
      <c r="A17984" s="526"/>
      <c r="B17984" s="527"/>
      <c r="C17984" s="534"/>
      <c r="D17984" s="535"/>
      <c r="E17984" s="535"/>
      <c r="F17984" s="503" t="s">
        <v>261</v>
      </c>
      <c r="G17984" s="504" t="s">
        <v>262</v>
      </c>
      <c r="H17984" s="397"/>
      <c r="I17984" s="397"/>
      <c r="J17984" s="750" t="e">
        <f t="shared" si="217"/>
        <v>#DIV/0!</v>
      </c>
      <c r="K17984" s="398"/>
      <c r="L17984" s="404"/>
      <c r="M17984" s="682"/>
      <c r="N17984" s="171"/>
      <c r="O17984" s="171"/>
      <c r="P17984" s="171"/>
      <c r="Q17984" s="171"/>
      <c r="R17984" s="171"/>
      <c r="S17984" s="171"/>
      <c r="T17984" s="171"/>
      <c r="U17984" s="171"/>
      <c r="V17984" s="171"/>
      <c r="W17984" s="171"/>
      <c r="X17984" s="171"/>
      <c r="Y17984" s="171"/>
      <c r="Z17984" s="171"/>
      <c r="AA17984" s="171"/>
    </row>
    <row r="17985" spans="1:27" s="530" customFormat="1" hidden="1" x14ac:dyDescent="0.2">
      <c r="A17985" s="526"/>
      <c r="B17985" s="527"/>
      <c r="C17985" s="534"/>
      <c r="D17985" s="535"/>
      <c r="E17985" s="535"/>
      <c r="F17985" s="503" t="s">
        <v>263</v>
      </c>
      <c r="G17985" s="504" t="s">
        <v>264</v>
      </c>
      <c r="H17985" s="403"/>
      <c r="I17985" s="403"/>
      <c r="J17985" s="750" t="e">
        <f t="shared" si="217"/>
        <v>#DIV/0!</v>
      </c>
      <c r="K17985" s="404"/>
      <c r="L17985" s="404"/>
      <c r="M17985" s="682"/>
      <c r="N17985" s="171"/>
      <c r="O17985" s="171"/>
      <c r="P17985" s="171"/>
      <c r="Q17985" s="171"/>
      <c r="R17985" s="171"/>
      <c r="S17985" s="171"/>
      <c r="T17985" s="171"/>
      <c r="U17985" s="171"/>
      <c r="V17985" s="171"/>
      <c r="W17985" s="171"/>
      <c r="X17985" s="171"/>
      <c r="Y17985" s="171"/>
      <c r="Z17985" s="171"/>
      <c r="AA17985" s="171"/>
    </row>
    <row r="17986" spans="1:27" s="530" customFormat="1" ht="13.5" hidden="1" thickBot="1" x14ac:dyDescent="0.25">
      <c r="A17986" s="526"/>
      <c r="B17986" s="527"/>
      <c r="C17986" s="534"/>
      <c r="D17986" s="535"/>
      <c r="E17986" s="535"/>
      <c r="F17986" s="464"/>
      <c r="G17986" s="505" t="s">
        <v>4251</v>
      </c>
      <c r="H17986" s="405">
        <f>SUM(H17970:H17985)</f>
        <v>0</v>
      </c>
      <c r="I17986" s="405"/>
      <c r="J17986" s="750" t="e">
        <f t="shared" si="217"/>
        <v>#DIV/0!</v>
      </c>
      <c r="K17986" s="406">
        <f>SUM(K17971:K17985)</f>
        <v>0</v>
      </c>
      <c r="L17986" s="406"/>
      <c r="M17986" s="682"/>
      <c r="N17986" s="171"/>
      <c r="O17986" s="171"/>
      <c r="P17986" s="171"/>
      <c r="Q17986" s="171"/>
      <c r="R17986" s="171"/>
      <c r="S17986" s="171"/>
      <c r="T17986" s="171"/>
      <c r="U17986" s="171"/>
      <c r="V17986" s="171"/>
      <c r="W17986" s="171"/>
      <c r="X17986" s="171"/>
      <c r="Y17986" s="171"/>
      <c r="Z17986" s="171"/>
      <c r="AA17986" s="171"/>
    </row>
    <row r="17987" spans="1:27" hidden="1" x14ac:dyDescent="0.2">
      <c r="H17987" s="397"/>
      <c r="I17987" s="397"/>
      <c r="J17987" s="750" t="e">
        <f t="shared" si="217"/>
        <v>#DIV/0!</v>
      </c>
      <c r="K17987" s="398"/>
      <c r="L17987" s="398"/>
      <c r="M17987" s="682"/>
    </row>
    <row r="17988" spans="1:27" hidden="1" x14ac:dyDescent="0.2">
      <c r="E17988" s="500"/>
      <c r="F17988" s="498"/>
      <c r="G17988" s="511" t="s">
        <v>4458</v>
      </c>
      <c r="H17988" s="413"/>
      <c r="I17988" s="413"/>
      <c r="J17988" s="750" t="e">
        <f t="shared" si="217"/>
        <v>#DIV/0!</v>
      </c>
      <c r="K17988" s="414"/>
      <c r="L17988" s="415"/>
      <c r="M17988" s="682"/>
    </row>
    <row r="17989" spans="1:27" hidden="1" x14ac:dyDescent="0.2">
      <c r="E17989" s="502"/>
      <c r="F17989" s="503" t="s">
        <v>234</v>
      </c>
      <c r="G17989" s="504" t="s">
        <v>235</v>
      </c>
      <c r="H17989" s="403">
        <f>SUM(H17970)</f>
        <v>0</v>
      </c>
      <c r="I17989" s="403"/>
      <c r="J17989" s="750" t="e">
        <f t="shared" si="217"/>
        <v>#DIV/0!</v>
      </c>
      <c r="K17989" s="404"/>
      <c r="L17989" s="404"/>
      <c r="M17989" s="682"/>
    </row>
    <row r="17990" spans="1:27" hidden="1" x14ac:dyDescent="0.2">
      <c r="F17990" s="503" t="s">
        <v>236</v>
      </c>
      <c r="G17990" s="504" t="s">
        <v>237</v>
      </c>
      <c r="H17990" s="397"/>
      <c r="I17990" s="397"/>
      <c r="J17990" s="750" t="e">
        <f t="shared" si="217"/>
        <v>#DIV/0!</v>
      </c>
      <c r="K17990" s="398"/>
      <c r="L17990" s="404"/>
      <c r="M17990" s="682"/>
    </row>
    <row r="17991" spans="1:27" hidden="1" x14ac:dyDescent="0.2">
      <c r="F17991" s="503" t="s">
        <v>238</v>
      </c>
      <c r="G17991" s="504" t="s">
        <v>239</v>
      </c>
      <c r="H17991" s="397"/>
      <c r="I17991" s="397"/>
      <c r="J17991" s="750" t="e">
        <f t="shared" si="217"/>
        <v>#DIV/0!</v>
      </c>
      <c r="K17991" s="398"/>
      <c r="L17991" s="404"/>
      <c r="M17991" s="682"/>
    </row>
    <row r="17992" spans="1:27" hidden="1" x14ac:dyDescent="0.2">
      <c r="F17992" s="503" t="s">
        <v>240</v>
      </c>
      <c r="G17992" s="504" t="s">
        <v>241</v>
      </c>
      <c r="H17992" s="397"/>
      <c r="I17992" s="397"/>
      <c r="J17992" s="750" t="e">
        <f t="shared" si="217"/>
        <v>#DIV/0!</v>
      </c>
      <c r="K17992" s="398"/>
      <c r="L17992" s="404"/>
      <c r="M17992" s="682"/>
    </row>
    <row r="17993" spans="1:27" hidden="1" x14ac:dyDescent="0.2">
      <c r="F17993" s="503" t="s">
        <v>242</v>
      </c>
      <c r="G17993" s="504" t="s">
        <v>243</v>
      </c>
      <c r="H17993" s="397"/>
      <c r="I17993" s="397"/>
      <c r="J17993" s="750" t="e">
        <f t="shared" si="217"/>
        <v>#DIV/0!</v>
      </c>
      <c r="K17993" s="398"/>
      <c r="L17993" s="404"/>
      <c r="M17993" s="682"/>
    </row>
    <row r="17994" spans="1:27" hidden="1" x14ac:dyDescent="0.2">
      <c r="F17994" s="503" t="s">
        <v>244</v>
      </c>
      <c r="G17994" s="504" t="s">
        <v>245</v>
      </c>
      <c r="H17994" s="397"/>
      <c r="I17994" s="397"/>
      <c r="J17994" s="750" t="e">
        <f t="shared" si="217"/>
        <v>#DIV/0!</v>
      </c>
      <c r="K17994" s="398"/>
      <c r="L17994" s="404"/>
      <c r="M17994" s="682"/>
    </row>
    <row r="17995" spans="1:27" hidden="1" x14ac:dyDescent="0.2">
      <c r="F17995" s="503" t="s">
        <v>246</v>
      </c>
      <c r="G17995" s="504" t="s">
        <v>247</v>
      </c>
      <c r="H17995" s="397"/>
      <c r="I17995" s="397"/>
      <c r="J17995" s="750" t="e">
        <f t="shared" si="217"/>
        <v>#DIV/0!</v>
      </c>
      <c r="K17995" s="398"/>
      <c r="L17995" s="404"/>
      <c r="M17995" s="682"/>
    </row>
    <row r="17996" spans="1:27" ht="25.5" hidden="1" x14ac:dyDescent="0.2">
      <c r="F17996" s="503" t="s">
        <v>248</v>
      </c>
      <c r="G17996" s="504" t="s">
        <v>249</v>
      </c>
      <c r="H17996" s="397"/>
      <c r="I17996" s="397"/>
      <c r="J17996" s="750" t="e">
        <f t="shared" si="217"/>
        <v>#DIV/0!</v>
      </c>
      <c r="K17996" s="398"/>
      <c r="L17996" s="404"/>
      <c r="M17996" s="682"/>
    </row>
    <row r="17997" spans="1:27" hidden="1" x14ac:dyDescent="0.2">
      <c r="F17997" s="503" t="s">
        <v>250</v>
      </c>
      <c r="G17997" s="504" t="s">
        <v>57</v>
      </c>
      <c r="H17997" s="397"/>
      <c r="I17997" s="397"/>
      <c r="J17997" s="750" t="e">
        <f t="shared" si="217"/>
        <v>#DIV/0!</v>
      </c>
      <c r="K17997" s="398"/>
      <c r="L17997" s="404"/>
      <c r="M17997" s="682"/>
    </row>
    <row r="17998" spans="1:27" hidden="1" x14ac:dyDescent="0.2">
      <c r="F17998" s="503" t="s">
        <v>251</v>
      </c>
      <c r="G17998" s="504" t="s">
        <v>252</v>
      </c>
      <c r="H17998" s="397"/>
      <c r="I17998" s="397"/>
      <c r="J17998" s="750" t="e">
        <f t="shared" ref="J17998:J18061" si="218">SUM(I17998/H17998)*100</f>
        <v>#DIV/0!</v>
      </c>
      <c r="K17998" s="398"/>
      <c r="L17998" s="404"/>
      <c r="M17998" s="682"/>
    </row>
    <row r="17999" spans="1:27" hidden="1" x14ac:dyDescent="0.2">
      <c r="F17999" s="503" t="s">
        <v>253</v>
      </c>
      <c r="G17999" s="504" t="s">
        <v>254</v>
      </c>
      <c r="H17999" s="397"/>
      <c r="I17999" s="397"/>
      <c r="J17999" s="750" t="e">
        <f t="shared" si="218"/>
        <v>#DIV/0!</v>
      </c>
      <c r="K17999" s="398"/>
      <c r="L17999" s="404"/>
      <c r="M17999" s="682"/>
    </row>
    <row r="18000" spans="1:27" ht="25.5" hidden="1" x14ac:dyDescent="0.2">
      <c r="F18000" s="503" t="s">
        <v>255</v>
      </c>
      <c r="G18000" s="504" t="s">
        <v>256</v>
      </c>
      <c r="H18000" s="397"/>
      <c r="I18000" s="397"/>
      <c r="J18000" s="750" t="e">
        <f t="shared" si="218"/>
        <v>#DIV/0!</v>
      </c>
      <c r="K18000" s="398"/>
      <c r="L18000" s="404"/>
      <c r="M18000" s="682"/>
    </row>
    <row r="18001" spans="1:13" ht="25.5" hidden="1" x14ac:dyDescent="0.2">
      <c r="F18001" s="503" t="s">
        <v>257</v>
      </c>
      <c r="G18001" s="504" t="s">
        <v>258</v>
      </c>
      <c r="H18001" s="397"/>
      <c r="I18001" s="397"/>
      <c r="J18001" s="750" t="e">
        <f t="shared" si="218"/>
        <v>#DIV/0!</v>
      </c>
      <c r="K18001" s="398"/>
      <c r="L18001" s="404"/>
      <c r="M18001" s="682"/>
    </row>
    <row r="18002" spans="1:13" ht="25.5" hidden="1" x14ac:dyDescent="0.2">
      <c r="F18002" s="503" t="s">
        <v>259</v>
      </c>
      <c r="G18002" s="504" t="s">
        <v>260</v>
      </c>
      <c r="H18002" s="397"/>
      <c r="I18002" s="397"/>
      <c r="J18002" s="750" t="e">
        <f t="shared" si="218"/>
        <v>#DIV/0!</v>
      </c>
      <c r="K18002" s="398"/>
      <c r="L18002" s="404"/>
      <c r="M18002" s="682"/>
    </row>
    <row r="18003" spans="1:13" ht="25.5" hidden="1" x14ac:dyDescent="0.2">
      <c r="F18003" s="503" t="s">
        <v>261</v>
      </c>
      <c r="G18003" s="504" t="s">
        <v>262</v>
      </c>
      <c r="H18003" s="397"/>
      <c r="I18003" s="397"/>
      <c r="J18003" s="750" t="e">
        <f t="shared" si="218"/>
        <v>#DIV/0!</v>
      </c>
      <c r="K18003" s="398"/>
      <c r="L18003" s="404"/>
      <c r="M18003" s="682"/>
    </row>
    <row r="18004" spans="1:13" hidden="1" x14ac:dyDescent="0.2">
      <c r="F18004" s="503" t="s">
        <v>263</v>
      </c>
      <c r="G18004" s="504" t="s">
        <v>264</v>
      </c>
      <c r="H18004" s="403"/>
      <c r="I18004" s="403"/>
      <c r="J18004" s="750" t="e">
        <f t="shared" si="218"/>
        <v>#DIV/0!</v>
      </c>
      <c r="K18004" s="404"/>
      <c r="L18004" s="404"/>
      <c r="M18004" s="682"/>
    </row>
    <row r="18005" spans="1:13" ht="13.5" hidden="1" thickBot="1" x14ac:dyDescent="0.25">
      <c r="G18005" s="505" t="s">
        <v>4459</v>
      </c>
      <c r="H18005" s="405">
        <f>SUM(H17989:H18004)</f>
        <v>0</v>
      </c>
      <c r="I18005" s="405"/>
      <c r="J18005" s="750" t="e">
        <f t="shared" si="218"/>
        <v>#DIV/0!</v>
      </c>
      <c r="K18005" s="406">
        <f>SUM(K17990:K18004)</f>
        <v>0</v>
      </c>
      <c r="L18005" s="406"/>
      <c r="M18005" s="682"/>
    </row>
    <row r="18006" spans="1:13" hidden="1" x14ac:dyDescent="0.2">
      <c r="G18006" s="510"/>
      <c r="H18006" s="411"/>
      <c r="I18006" s="411"/>
      <c r="J18006" s="750" t="e">
        <f t="shared" si="218"/>
        <v>#DIV/0!</v>
      </c>
      <c r="K18006" s="412"/>
      <c r="L18006" s="412"/>
      <c r="M18006" s="682"/>
    </row>
    <row r="18007" spans="1:13" hidden="1" x14ac:dyDescent="0.2">
      <c r="A18007" s="669"/>
      <c r="B18007" s="669"/>
      <c r="C18007" s="670"/>
      <c r="D18007" s="669"/>
      <c r="E18007" s="669"/>
      <c r="F18007" s="669"/>
      <c r="G18007" s="671"/>
      <c r="H18007" s="458"/>
      <c r="I18007" s="458"/>
      <c r="J18007" s="750" t="e">
        <f t="shared" si="218"/>
        <v>#DIV/0!</v>
      </c>
      <c r="K18007" s="459"/>
      <c r="L18007" s="459"/>
      <c r="M18007" s="682"/>
    </row>
    <row r="18008" spans="1:13" x14ac:dyDescent="0.2">
      <c r="E18008" s="500"/>
      <c r="F18008" s="498"/>
      <c r="G18008" s="511" t="s">
        <v>5151</v>
      </c>
      <c r="H18008" s="413"/>
      <c r="I18008" s="413"/>
      <c r="J18008" s="750"/>
      <c r="K18008" s="414"/>
      <c r="L18008" s="415"/>
      <c r="M18008" s="682"/>
    </row>
    <row r="18009" spans="1:13" x14ac:dyDescent="0.2">
      <c r="E18009" s="502"/>
      <c r="F18009" s="503" t="s">
        <v>234</v>
      </c>
      <c r="G18009" s="504" t="s">
        <v>235</v>
      </c>
      <c r="H18009" s="403">
        <f>SUM(H16460,H14637,H12121,H11483,H9576,H8842,H8147,H7570,H6998,H6381)</f>
        <v>516556836</v>
      </c>
      <c r="I18009" s="403">
        <f>SUM(I16460,I14637,I12121,I11483,I9576,I8842,I8147,I7570,I6998,I6381)</f>
        <v>466204693.37</v>
      </c>
      <c r="J18009" s="750">
        <f t="shared" si="218"/>
        <v>90.252351896084477</v>
      </c>
      <c r="K18009" s="404"/>
      <c r="L18009" s="404"/>
      <c r="M18009" s="682"/>
    </row>
    <row r="18010" spans="1:13" hidden="1" x14ac:dyDescent="0.2">
      <c r="F18010" s="503" t="s">
        <v>236</v>
      </c>
      <c r="G18010" s="504" t="s">
        <v>237</v>
      </c>
      <c r="H18010" s="397"/>
      <c r="I18010" s="397"/>
      <c r="J18010" s="750" t="e">
        <f t="shared" si="218"/>
        <v>#DIV/0!</v>
      </c>
      <c r="K18010" s="398"/>
      <c r="L18010" s="404"/>
      <c r="M18010" s="682"/>
    </row>
    <row r="18011" spans="1:13" hidden="1" x14ac:dyDescent="0.2">
      <c r="F18011" s="503" t="s">
        <v>238</v>
      </c>
      <c r="G18011" s="504" t="s">
        <v>239</v>
      </c>
      <c r="H18011" s="397"/>
      <c r="I18011" s="397"/>
      <c r="J18011" s="750" t="e">
        <f t="shared" si="218"/>
        <v>#DIV/0!</v>
      </c>
      <c r="K18011" s="398"/>
      <c r="L18011" s="404"/>
      <c r="M18011" s="682"/>
    </row>
    <row r="18012" spans="1:13" x14ac:dyDescent="0.2">
      <c r="F18012" s="503" t="s">
        <v>240</v>
      </c>
      <c r="G18012" s="504" t="s">
        <v>241</v>
      </c>
      <c r="H18012" s="397"/>
      <c r="I18012" s="397"/>
      <c r="J18012" s="750"/>
      <c r="K18012" s="398">
        <f>SUM(K14640,K12124,K9579)</f>
        <v>7035884</v>
      </c>
      <c r="L18012" s="404">
        <f>SUM(L14640,L12124,L9579,L7585,L7009,L1853)</f>
        <v>5544549.9900000012</v>
      </c>
      <c r="M18012" s="682"/>
    </row>
    <row r="18013" spans="1:13" hidden="1" x14ac:dyDescent="0.2">
      <c r="F18013" s="503" t="s">
        <v>242</v>
      </c>
      <c r="G18013" s="504" t="s">
        <v>243</v>
      </c>
      <c r="H18013" s="397"/>
      <c r="I18013" s="397"/>
      <c r="J18013" s="750" t="e">
        <f t="shared" si="218"/>
        <v>#DIV/0!</v>
      </c>
      <c r="K18013" s="398"/>
      <c r="L18013" s="404"/>
      <c r="M18013" s="682"/>
    </row>
    <row r="18014" spans="1:13" hidden="1" x14ac:dyDescent="0.2">
      <c r="F18014" s="503" t="s">
        <v>244</v>
      </c>
      <c r="G18014" s="504" t="s">
        <v>245</v>
      </c>
      <c r="H18014" s="397"/>
      <c r="I18014" s="397"/>
      <c r="J18014" s="750" t="e">
        <f t="shared" si="218"/>
        <v>#DIV/0!</v>
      </c>
      <c r="K18014" s="398"/>
      <c r="L18014" s="404"/>
      <c r="M18014" s="682"/>
    </row>
    <row r="18015" spans="1:13" x14ac:dyDescent="0.2">
      <c r="F18015" s="503" t="s">
        <v>246</v>
      </c>
      <c r="G18015" s="504" t="s">
        <v>247</v>
      </c>
      <c r="H18015" s="397"/>
      <c r="I18015" s="397"/>
      <c r="J18015" s="750"/>
      <c r="K18015" s="398">
        <f>SUM(K16466,K14643,K6395)</f>
        <v>25325491</v>
      </c>
      <c r="L18015" s="404">
        <f>SUM(L16466,L14643,L11498,L9591,L6395)</f>
        <v>28086289.619999997</v>
      </c>
      <c r="M18015" s="682"/>
    </row>
    <row r="18016" spans="1:13" ht="25.5" hidden="1" x14ac:dyDescent="0.2">
      <c r="F18016" s="503" t="s">
        <v>248</v>
      </c>
      <c r="G18016" s="504" t="s">
        <v>249</v>
      </c>
      <c r="H18016" s="397"/>
      <c r="I18016" s="397"/>
      <c r="J18016" s="750" t="e">
        <f t="shared" si="218"/>
        <v>#DIV/0!</v>
      </c>
      <c r="K18016" s="398"/>
      <c r="L18016" s="404"/>
      <c r="M18016" s="682"/>
    </row>
    <row r="18017" spans="1:15" hidden="1" x14ac:dyDescent="0.2">
      <c r="F18017" s="503" t="s">
        <v>250</v>
      </c>
      <c r="G18017" s="504" t="s">
        <v>57</v>
      </c>
      <c r="H18017" s="397"/>
      <c r="I18017" s="397"/>
      <c r="J18017" s="750" t="e">
        <f t="shared" si="218"/>
        <v>#DIV/0!</v>
      </c>
      <c r="K18017" s="398"/>
      <c r="L18017" s="404"/>
      <c r="M18017" s="682"/>
    </row>
    <row r="18018" spans="1:15" hidden="1" x14ac:dyDescent="0.2">
      <c r="F18018" s="503" t="s">
        <v>251</v>
      </c>
      <c r="G18018" s="504" t="s">
        <v>252</v>
      </c>
      <c r="H18018" s="397"/>
      <c r="I18018" s="397"/>
      <c r="J18018" s="750" t="e">
        <f t="shared" si="218"/>
        <v>#DIV/0!</v>
      </c>
      <c r="K18018" s="398"/>
      <c r="L18018" s="404"/>
      <c r="M18018" s="682"/>
    </row>
    <row r="18019" spans="1:15" hidden="1" x14ac:dyDescent="0.2">
      <c r="F18019" s="503" t="s">
        <v>253</v>
      </c>
      <c r="G18019" s="504" t="s">
        <v>254</v>
      </c>
      <c r="H18019" s="397"/>
      <c r="I18019" s="397"/>
      <c r="J18019" s="750" t="e">
        <f t="shared" si="218"/>
        <v>#DIV/0!</v>
      </c>
      <c r="K18019" s="398"/>
      <c r="L18019" s="404"/>
      <c r="M18019" s="682"/>
    </row>
    <row r="18020" spans="1:15" ht="25.5" hidden="1" x14ac:dyDescent="0.2">
      <c r="F18020" s="503" t="s">
        <v>255</v>
      </c>
      <c r="G18020" s="504" t="s">
        <v>256</v>
      </c>
      <c r="H18020" s="397"/>
      <c r="I18020" s="397"/>
      <c r="J18020" s="750" t="e">
        <f t="shared" si="218"/>
        <v>#DIV/0!</v>
      </c>
      <c r="K18020" s="398"/>
      <c r="L18020" s="404"/>
      <c r="M18020" s="682"/>
    </row>
    <row r="18021" spans="1:15" ht="17.25" customHeight="1" thickBot="1" x14ac:dyDescent="0.25">
      <c r="F18021" s="503" t="s">
        <v>257</v>
      </c>
      <c r="G18021" s="504" t="s">
        <v>258</v>
      </c>
      <c r="H18021" s="397">
        <f>SUM(H16475,H8857,H7010,H6396)</f>
        <v>42370078</v>
      </c>
      <c r="I18021" s="397">
        <f>SUM(I16475,I6396)</f>
        <v>8741665.6500000004</v>
      </c>
      <c r="J18021" s="750">
        <f t="shared" si="218"/>
        <v>20.631695910496081</v>
      </c>
      <c r="K18021" s="398"/>
      <c r="L18021" s="404">
        <f>SUM(L7010)</f>
        <v>4647</v>
      </c>
      <c r="M18021" s="682"/>
    </row>
    <row r="18022" spans="1:15" ht="16.5" hidden="1" customHeight="1" x14ac:dyDescent="0.2">
      <c r="F18022" s="503" t="s">
        <v>259</v>
      </c>
      <c r="G18022" s="504" t="s">
        <v>260</v>
      </c>
      <c r="H18022" s="397"/>
      <c r="I18022" s="397"/>
      <c r="J18022" s="750" t="e">
        <f t="shared" si="218"/>
        <v>#DIV/0!</v>
      </c>
      <c r="K18022" s="398"/>
      <c r="L18022" s="404"/>
      <c r="M18022" s="682"/>
    </row>
    <row r="18023" spans="1:15" ht="18" hidden="1" customHeight="1" thickBot="1" x14ac:dyDescent="0.25">
      <c r="F18023" s="503" t="s">
        <v>261</v>
      </c>
      <c r="G18023" s="504" t="s">
        <v>262</v>
      </c>
      <c r="H18023" s="397"/>
      <c r="I18023" s="397"/>
      <c r="J18023" s="750" t="e">
        <f t="shared" si="218"/>
        <v>#DIV/0!</v>
      </c>
      <c r="K18023" s="398"/>
      <c r="L18023" s="404"/>
      <c r="M18023" s="682"/>
    </row>
    <row r="18024" spans="1:15" ht="16.5" hidden="1" customHeight="1" thickBot="1" x14ac:dyDescent="0.25">
      <c r="F18024" s="503" t="s">
        <v>263</v>
      </c>
      <c r="G18024" s="504" t="s">
        <v>264</v>
      </c>
      <c r="H18024" s="403"/>
      <c r="I18024" s="403"/>
      <c r="J18024" s="750" t="e">
        <f t="shared" si="218"/>
        <v>#DIV/0!</v>
      </c>
      <c r="K18024" s="404"/>
      <c r="L18024" s="404"/>
      <c r="M18024" s="682"/>
    </row>
    <row r="18025" spans="1:15" ht="13.5" thickBot="1" x14ac:dyDescent="0.25">
      <c r="G18025" s="505" t="s">
        <v>5152</v>
      </c>
      <c r="H18025" s="405">
        <f>SUM(H18009:H18024)</f>
        <v>558926914</v>
      </c>
      <c r="I18025" s="405">
        <f>SUM(I18009:I18021)</f>
        <v>474946359.01999998</v>
      </c>
      <c r="J18025" s="750">
        <f t="shared" si="218"/>
        <v>84.974680432010828</v>
      </c>
      <c r="K18025" s="406">
        <f>SUM(K18010:K18024)</f>
        <v>32361375</v>
      </c>
      <c r="L18025" s="406">
        <f>SUM(L18012:L18021)</f>
        <v>33635486.609999999</v>
      </c>
      <c r="M18025" s="682"/>
    </row>
    <row r="18026" spans="1:15" ht="1.5" customHeight="1" x14ac:dyDescent="0.2">
      <c r="G18026" s="510"/>
      <c r="H18026" s="411"/>
      <c r="I18026" s="411"/>
      <c r="J18026" s="750" t="e">
        <f t="shared" si="218"/>
        <v>#DIV/0!</v>
      </c>
      <c r="K18026" s="412"/>
      <c r="L18026" s="412"/>
      <c r="M18026" s="682"/>
    </row>
    <row r="18027" spans="1:15" x14ac:dyDescent="0.2">
      <c r="A18027" s="662">
        <v>4</v>
      </c>
      <c r="B18027" s="661">
        <v>1</v>
      </c>
      <c r="C18027" s="662"/>
      <c r="D18027" s="188"/>
      <c r="E18027" s="188"/>
      <c r="F18027" s="188"/>
      <c r="G18027" s="672" t="s">
        <v>5331</v>
      </c>
      <c r="H18027" s="460"/>
      <c r="I18027" s="460"/>
      <c r="J18027" s="751"/>
      <c r="K18027" s="461"/>
      <c r="L18027" s="447"/>
      <c r="M18027" s="682"/>
      <c r="N18027" s="668"/>
      <c r="O18027" s="668"/>
    </row>
    <row r="18028" spans="1:15" x14ac:dyDescent="0.2">
      <c r="C18028" s="489" t="s">
        <v>3600</v>
      </c>
      <c r="D18028" s="490"/>
      <c r="G18028" s="491" t="s">
        <v>4202</v>
      </c>
      <c r="H18028" s="397"/>
      <c r="I18028" s="397"/>
      <c r="J18028" s="750"/>
      <c r="K18028" s="398"/>
      <c r="L18028" s="398"/>
      <c r="M18028" s="682"/>
    </row>
    <row r="18029" spans="1:15" x14ac:dyDescent="0.2">
      <c r="C18029" s="489" t="s">
        <v>4139</v>
      </c>
      <c r="D18029" s="490"/>
      <c r="G18029" s="673" t="s">
        <v>4140</v>
      </c>
      <c r="H18029" s="397"/>
      <c r="I18029" s="397"/>
      <c r="J18029" s="750"/>
      <c r="K18029" s="398"/>
      <c r="L18029" s="398"/>
      <c r="M18029" s="682"/>
    </row>
    <row r="18030" spans="1:15" x14ac:dyDescent="0.2">
      <c r="C18030" s="489"/>
      <c r="D18030" s="492">
        <v>330</v>
      </c>
      <c r="E18030" s="492"/>
      <c r="F18030" s="492"/>
      <c r="G18030" s="493" t="s">
        <v>130</v>
      </c>
      <c r="H18030" s="397"/>
      <c r="I18030" s="397"/>
      <c r="J18030" s="750"/>
      <c r="K18030" s="398"/>
      <c r="L18030" s="398"/>
      <c r="M18030" s="682"/>
    </row>
    <row r="18031" spans="1:15" x14ac:dyDescent="0.2">
      <c r="F18031" s="494">
        <v>411</v>
      </c>
      <c r="G18031" s="495" t="s">
        <v>4167</v>
      </c>
      <c r="H18031" s="397">
        <v>640500</v>
      </c>
      <c r="I18031" s="397">
        <v>639664.17000000004</v>
      </c>
      <c r="J18031" s="750">
        <f t="shared" si="218"/>
        <v>99.86950351288057</v>
      </c>
      <c r="K18031" s="398"/>
      <c r="L18031" s="398"/>
      <c r="M18031" s="682"/>
    </row>
    <row r="18032" spans="1:15" x14ac:dyDescent="0.2">
      <c r="F18032" s="494">
        <v>412</v>
      </c>
      <c r="G18032" s="496" t="s">
        <v>3764</v>
      </c>
      <c r="H18032" s="397">
        <v>114700</v>
      </c>
      <c r="I18032" s="397">
        <v>114499.86</v>
      </c>
      <c r="J18032" s="750">
        <f t="shared" si="218"/>
        <v>99.825510026155186</v>
      </c>
      <c r="K18032" s="398"/>
      <c r="L18032" s="398"/>
      <c r="M18032" s="682"/>
    </row>
    <row r="18033" spans="6:13" hidden="1" x14ac:dyDescent="0.2">
      <c r="F18033" s="494">
        <v>413</v>
      </c>
      <c r="G18033" s="495" t="s">
        <v>4168</v>
      </c>
      <c r="H18033" s="397"/>
      <c r="I18033" s="397"/>
      <c r="J18033" s="750" t="e">
        <f t="shared" si="218"/>
        <v>#DIV/0!</v>
      </c>
      <c r="K18033" s="398"/>
      <c r="L18033" s="398"/>
      <c r="M18033" s="682"/>
    </row>
    <row r="18034" spans="6:13" hidden="1" x14ac:dyDescent="0.2">
      <c r="F18034" s="494">
        <v>414</v>
      </c>
      <c r="G18034" s="495" t="s">
        <v>3767</v>
      </c>
      <c r="H18034" s="397"/>
      <c r="I18034" s="397"/>
      <c r="J18034" s="750" t="e">
        <f t="shared" si="218"/>
        <v>#DIV/0!</v>
      </c>
      <c r="K18034" s="398"/>
      <c r="L18034" s="398"/>
      <c r="M18034" s="682"/>
    </row>
    <row r="18035" spans="6:13" hidden="1" x14ac:dyDescent="0.2">
      <c r="F18035" s="494">
        <v>415</v>
      </c>
      <c r="G18035" s="495" t="s">
        <v>4177</v>
      </c>
      <c r="H18035" s="397"/>
      <c r="I18035" s="397"/>
      <c r="J18035" s="750" t="e">
        <f t="shared" si="218"/>
        <v>#DIV/0!</v>
      </c>
      <c r="K18035" s="398"/>
      <c r="L18035" s="398"/>
      <c r="M18035" s="682"/>
    </row>
    <row r="18036" spans="6:13" ht="25.5" hidden="1" x14ac:dyDescent="0.2">
      <c r="F18036" s="494">
        <v>416</v>
      </c>
      <c r="G18036" s="495" t="s">
        <v>4178</v>
      </c>
      <c r="H18036" s="397"/>
      <c r="I18036" s="397"/>
      <c r="J18036" s="750" t="e">
        <f t="shared" si="218"/>
        <v>#DIV/0!</v>
      </c>
      <c r="K18036" s="398"/>
      <c r="L18036" s="398"/>
      <c r="M18036" s="682"/>
    </row>
    <row r="18037" spans="6:13" hidden="1" x14ac:dyDescent="0.2">
      <c r="F18037" s="494">
        <v>417</v>
      </c>
      <c r="G18037" s="495" t="s">
        <v>4179</v>
      </c>
      <c r="H18037" s="397"/>
      <c r="I18037" s="397"/>
      <c r="J18037" s="750" t="e">
        <f t="shared" si="218"/>
        <v>#DIV/0!</v>
      </c>
      <c r="K18037" s="398"/>
      <c r="L18037" s="398"/>
      <c r="M18037" s="682"/>
    </row>
    <row r="18038" spans="6:13" hidden="1" x14ac:dyDescent="0.2">
      <c r="F18038" s="494">
        <v>418</v>
      </c>
      <c r="G18038" s="495" t="s">
        <v>3773</v>
      </c>
      <c r="H18038" s="397"/>
      <c r="I18038" s="397"/>
      <c r="J18038" s="750" t="e">
        <f t="shared" si="218"/>
        <v>#DIV/0!</v>
      </c>
      <c r="K18038" s="398"/>
      <c r="L18038" s="398"/>
      <c r="M18038" s="682"/>
    </row>
    <row r="18039" spans="6:13" hidden="1" x14ac:dyDescent="0.2">
      <c r="F18039" s="494">
        <v>421</v>
      </c>
      <c r="G18039" s="495" t="s">
        <v>3777</v>
      </c>
      <c r="H18039" s="397"/>
      <c r="I18039" s="397"/>
      <c r="J18039" s="750" t="e">
        <f t="shared" si="218"/>
        <v>#DIV/0!</v>
      </c>
      <c r="K18039" s="398"/>
      <c r="L18039" s="398"/>
      <c r="M18039" s="682"/>
    </row>
    <row r="18040" spans="6:13" x14ac:dyDescent="0.2">
      <c r="F18040" s="494">
        <v>422</v>
      </c>
      <c r="G18040" s="495" t="s">
        <v>3778</v>
      </c>
      <c r="H18040" s="397">
        <v>80000</v>
      </c>
      <c r="I18040" s="397">
        <v>16260</v>
      </c>
      <c r="J18040" s="750">
        <f t="shared" si="218"/>
        <v>20.324999999999999</v>
      </c>
      <c r="K18040" s="398"/>
      <c r="L18040" s="398"/>
      <c r="M18040" s="682"/>
    </row>
    <row r="18041" spans="6:13" x14ac:dyDescent="0.2">
      <c r="F18041" s="494">
        <v>423</v>
      </c>
      <c r="G18041" s="495" t="s">
        <v>3779</v>
      </c>
      <c r="H18041" s="397">
        <v>50000</v>
      </c>
      <c r="I18041" s="397">
        <v>0</v>
      </c>
      <c r="J18041" s="750">
        <f t="shared" si="218"/>
        <v>0</v>
      </c>
      <c r="K18041" s="398"/>
      <c r="L18041" s="398"/>
      <c r="M18041" s="682"/>
    </row>
    <row r="18042" spans="6:13" ht="0.75" customHeight="1" x14ac:dyDescent="0.2">
      <c r="F18042" s="494">
        <v>424</v>
      </c>
      <c r="G18042" s="495" t="s">
        <v>3781</v>
      </c>
      <c r="H18042" s="397"/>
      <c r="I18042" s="397"/>
      <c r="J18042" s="750" t="e">
        <f t="shared" si="218"/>
        <v>#DIV/0!</v>
      </c>
      <c r="K18042" s="398"/>
      <c r="L18042" s="398"/>
      <c r="M18042" s="682"/>
    </row>
    <row r="18043" spans="6:13" hidden="1" x14ac:dyDescent="0.2">
      <c r="F18043" s="494">
        <v>425</v>
      </c>
      <c r="G18043" s="495" t="s">
        <v>4180</v>
      </c>
      <c r="H18043" s="397"/>
      <c r="I18043" s="397"/>
      <c r="J18043" s="750" t="e">
        <f t="shared" si="218"/>
        <v>#DIV/0!</v>
      </c>
      <c r="K18043" s="398"/>
      <c r="L18043" s="398"/>
      <c r="M18043" s="682"/>
    </row>
    <row r="18044" spans="6:13" x14ac:dyDescent="0.2">
      <c r="F18044" s="494">
        <v>426</v>
      </c>
      <c r="G18044" s="495" t="s">
        <v>3785</v>
      </c>
      <c r="H18044" s="397">
        <v>30000</v>
      </c>
      <c r="I18044" s="397">
        <v>1700</v>
      </c>
      <c r="J18044" s="750">
        <f t="shared" si="218"/>
        <v>5.6666666666666661</v>
      </c>
      <c r="K18044" s="398"/>
      <c r="L18044" s="398"/>
      <c r="M18044" s="682"/>
    </row>
    <row r="18045" spans="6:13" ht="1.5" hidden="1" customHeight="1" x14ac:dyDescent="0.2">
      <c r="F18045" s="494">
        <v>431</v>
      </c>
      <c r="G18045" s="495" t="s">
        <v>4181</v>
      </c>
      <c r="H18045" s="397"/>
      <c r="I18045" s="397"/>
      <c r="J18045" s="750" t="e">
        <f t="shared" si="218"/>
        <v>#DIV/0!</v>
      </c>
      <c r="K18045" s="398"/>
      <c r="L18045" s="398"/>
      <c r="M18045" s="682"/>
    </row>
    <row r="18046" spans="6:13" hidden="1" x14ac:dyDescent="0.2">
      <c r="F18046" s="494">
        <v>432</v>
      </c>
      <c r="G18046" s="495" t="s">
        <v>4182</v>
      </c>
      <c r="H18046" s="397"/>
      <c r="I18046" s="397"/>
      <c r="J18046" s="750" t="e">
        <f t="shared" si="218"/>
        <v>#DIV/0!</v>
      </c>
      <c r="K18046" s="398"/>
      <c r="L18046" s="398"/>
      <c r="M18046" s="682"/>
    </row>
    <row r="18047" spans="6:13" hidden="1" x14ac:dyDescent="0.2">
      <c r="F18047" s="494">
        <v>433</v>
      </c>
      <c r="G18047" s="495" t="s">
        <v>4183</v>
      </c>
      <c r="H18047" s="397"/>
      <c r="I18047" s="397"/>
      <c r="J18047" s="750" t="e">
        <f t="shared" si="218"/>
        <v>#DIV/0!</v>
      </c>
      <c r="K18047" s="398"/>
      <c r="L18047" s="398"/>
      <c r="M18047" s="682"/>
    </row>
    <row r="18048" spans="6:13" hidden="1" x14ac:dyDescent="0.2">
      <c r="F18048" s="494">
        <v>434</v>
      </c>
      <c r="G18048" s="495" t="s">
        <v>4184</v>
      </c>
      <c r="H18048" s="397"/>
      <c r="I18048" s="397"/>
      <c r="J18048" s="750" t="e">
        <f t="shared" si="218"/>
        <v>#DIV/0!</v>
      </c>
      <c r="K18048" s="398"/>
      <c r="L18048" s="398"/>
      <c r="M18048" s="682"/>
    </row>
    <row r="18049" spans="6:13" hidden="1" x14ac:dyDescent="0.2">
      <c r="F18049" s="494">
        <v>435</v>
      </c>
      <c r="G18049" s="495" t="s">
        <v>3792</v>
      </c>
      <c r="H18049" s="397"/>
      <c r="I18049" s="397"/>
      <c r="J18049" s="750" t="e">
        <f t="shared" si="218"/>
        <v>#DIV/0!</v>
      </c>
      <c r="K18049" s="398"/>
      <c r="L18049" s="398"/>
      <c r="M18049" s="682"/>
    </row>
    <row r="18050" spans="6:13" hidden="1" x14ac:dyDescent="0.2">
      <c r="F18050" s="494">
        <v>441</v>
      </c>
      <c r="G18050" s="495" t="s">
        <v>4185</v>
      </c>
      <c r="H18050" s="397"/>
      <c r="I18050" s="397"/>
      <c r="J18050" s="750" t="e">
        <f t="shared" si="218"/>
        <v>#DIV/0!</v>
      </c>
      <c r="K18050" s="398"/>
      <c r="L18050" s="398"/>
      <c r="M18050" s="682"/>
    </row>
    <row r="18051" spans="6:13" hidden="1" x14ac:dyDescent="0.2">
      <c r="F18051" s="494">
        <v>442</v>
      </c>
      <c r="G18051" s="495" t="s">
        <v>4186</v>
      </c>
      <c r="H18051" s="397"/>
      <c r="I18051" s="397"/>
      <c r="J18051" s="750" t="e">
        <f t="shared" si="218"/>
        <v>#DIV/0!</v>
      </c>
      <c r="K18051" s="398"/>
      <c r="L18051" s="398"/>
      <c r="M18051" s="682"/>
    </row>
    <row r="18052" spans="6:13" hidden="1" x14ac:dyDescent="0.2">
      <c r="F18052" s="494">
        <v>443</v>
      </c>
      <c r="G18052" s="495" t="s">
        <v>3797</v>
      </c>
      <c r="H18052" s="397"/>
      <c r="I18052" s="397"/>
      <c r="J18052" s="750" t="e">
        <f t="shared" si="218"/>
        <v>#DIV/0!</v>
      </c>
      <c r="K18052" s="398"/>
      <c r="L18052" s="398"/>
      <c r="M18052" s="682"/>
    </row>
    <row r="18053" spans="6:13" hidden="1" x14ac:dyDescent="0.2">
      <c r="F18053" s="494">
        <v>444</v>
      </c>
      <c r="G18053" s="495" t="s">
        <v>3798</v>
      </c>
      <c r="H18053" s="397"/>
      <c r="I18053" s="397"/>
      <c r="J18053" s="750" t="e">
        <f t="shared" si="218"/>
        <v>#DIV/0!</v>
      </c>
      <c r="K18053" s="398"/>
      <c r="L18053" s="398"/>
      <c r="M18053" s="682"/>
    </row>
    <row r="18054" spans="6:13" ht="25.5" hidden="1" x14ac:dyDescent="0.2">
      <c r="F18054" s="494">
        <v>4511</v>
      </c>
      <c r="G18054" s="466" t="s">
        <v>1692</v>
      </c>
      <c r="H18054" s="397"/>
      <c r="I18054" s="397"/>
      <c r="J18054" s="750" t="e">
        <f t="shared" si="218"/>
        <v>#DIV/0!</v>
      </c>
      <c r="K18054" s="398"/>
      <c r="L18054" s="398"/>
      <c r="M18054" s="682"/>
    </row>
    <row r="18055" spans="6:13" ht="19.5" hidden="1" customHeight="1" x14ac:dyDescent="0.2">
      <c r="F18055" s="494">
        <v>4512</v>
      </c>
      <c r="G18055" s="466" t="s">
        <v>1701</v>
      </c>
      <c r="H18055" s="397"/>
      <c r="I18055" s="397"/>
      <c r="J18055" s="750" t="e">
        <f t="shared" si="218"/>
        <v>#DIV/0!</v>
      </c>
      <c r="K18055" s="398"/>
      <c r="L18055" s="398"/>
      <c r="M18055" s="682"/>
    </row>
    <row r="18056" spans="6:13" ht="25.5" hidden="1" x14ac:dyDescent="0.2">
      <c r="F18056" s="494">
        <v>452</v>
      </c>
      <c r="G18056" s="495" t="s">
        <v>4187</v>
      </c>
      <c r="H18056" s="397"/>
      <c r="I18056" s="397"/>
      <c r="J18056" s="750" t="e">
        <f t="shared" si="218"/>
        <v>#DIV/0!</v>
      </c>
      <c r="K18056" s="398"/>
      <c r="L18056" s="398"/>
      <c r="M18056" s="682"/>
    </row>
    <row r="18057" spans="6:13" ht="25.5" hidden="1" x14ac:dyDescent="0.2">
      <c r="F18057" s="494">
        <v>453</v>
      </c>
      <c r="G18057" s="495" t="s">
        <v>4188</v>
      </c>
      <c r="H18057" s="397"/>
      <c r="I18057" s="397"/>
      <c r="J18057" s="750" t="e">
        <f t="shared" si="218"/>
        <v>#DIV/0!</v>
      </c>
      <c r="K18057" s="398"/>
      <c r="L18057" s="398"/>
      <c r="M18057" s="682"/>
    </row>
    <row r="18058" spans="6:13" hidden="1" x14ac:dyDescent="0.2">
      <c r="F18058" s="494">
        <v>454</v>
      </c>
      <c r="G18058" s="495" t="s">
        <v>3803</v>
      </c>
      <c r="H18058" s="397"/>
      <c r="I18058" s="397"/>
      <c r="J18058" s="750" t="e">
        <f t="shared" si="218"/>
        <v>#DIV/0!</v>
      </c>
      <c r="K18058" s="398"/>
      <c r="L18058" s="398"/>
      <c r="M18058" s="682"/>
    </row>
    <row r="18059" spans="6:13" hidden="1" x14ac:dyDescent="0.2">
      <c r="F18059" s="494">
        <v>461</v>
      </c>
      <c r="G18059" s="495" t="s">
        <v>4169</v>
      </c>
      <c r="H18059" s="397"/>
      <c r="I18059" s="397"/>
      <c r="J18059" s="750" t="e">
        <f t="shared" si="218"/>
        <v>#DIV/0!</v>
      </c>
      <c r="K18059" s="398"/>
      <c r="L18059" s="398"/>
      <c r="M18059" s="682"/>
    </row>
    <row r="18060" spans="6:13" ht="25.5" hidden="1" x14ac:dyDescent="0.2">
      <c r="F18060" s="494">
        <v>462</v>
      </c>
      <c r="G18060" s="495" t="s">
        <v>3806</v>
      </c>
      <c r="H18060" s="397"/>
      <c r="I18060" s="397"/>
      <c r="J18060" s="750" t="e">
        <f t="shared" si="218"/>
        <v>#DIV/0!</v>
      </c>
      <c r="K18060" s="398"/>
      <c r="L18060" s="398"/>
      <c r="M18060" s="682"/>
    </row>
    <row r="18061" spans="6:13" hidden="1" x14ac:dyDescent="0.2">
      <c r="F18061" s="494">
        <v>4631</v>
      </c>
      <c r="G18061" s="495" t="s">
        <v>3807</v>
      </c>
      <c r="H18061" s="397"/>
      <c r="I18061" s="397"/>
      <c r="J18061" s="750" t="e">
        <f t="shared" si="218"/>
        <v>#DIV/0!</v>
      </c>
      <c r="K18061" s="398"/>
      <c r="L18061" s="398"/>
      <c r="M18061" s="682"/>
    </row>
    <row r="18062" spans="6:13" hidden="1" x14ac:dyDescent="0.2">
      <c r="F18062" s="494">
        <v>4632</v>
      </c>
      <c r="G18062" s="495" t="s">
        <v>3808</v>
      </c>
      <c r="H18062" s="397"/>
      <c r="I18062" s="397"/>
      <c r="J18062" s="750" t="e">
        <f t="shared" ref="J18062:J18125" si="219">SUM(I18062/H18062)*100</f>
        <v>#DIV/0!</v>
      </c>
      <c r="K18062" s="398"/>
      <c r="L18062" s="398"/>
      <c r="M18062" s="682"/>
    </row>
    <row r="18063" spans="6:13" ht="25.5" hidden="1" x14ac:dyDescent="0.2">
      <c r="F18063" s="494">
        <v>464</v>
      </c>
      <c r="G18063" s="495" t="s">
        <v>3809</v>
      </c>
      <c r="H18063" s="397"/>
      <c r="I18063" s="397"/>
      <c r="J18063" s="750" t="e">
        <f t="shared" si="219"/>
        <v>#DIV/0!</v>
      </c>
      <c r="K18063" s="398"/>
      <c r="L18063" s="398"/>
      <c r="M18063" s="682"/>
    </row>
    <row r="18064" spans="6:13" ht="12" customHeight="1" thickBot="1" x14ac:dyDescent="0.25">
      <c r="F18064" s="494">
        <v>465</v>
      </c>
      <c r="G18064" s="495" t="s">
        <v>4170</v>
      </c>
      <c r="H18064" s="397">
        <v>94000</v>
      </c>
      <c r="I18064" s="397">
        <v>85291.53</v>
      </c>
      <c r="J18064" s="750">
        <f t="shared" si="219"/>
        <v>90.735670212765953</v>
      </c>
      <c r="K18064" s="398"/>
      <c r="L18064" s="398"/>
      <c r="M18064" s="682"/>
    </row>
    <row r="18065" spans="6:13" ht="13.5" hidden="1" thickBot="1" x14ac:dyDescent="0.25">
      <c r="F18065" s="494">
        <v>472</v>
      </c>
      <c r="G18065" s="495" t="s">
        <v>3813</v>
      </c>
      <c r="H18065" s="397"/>
      <c r="I18065" s="397"/>
      <c r="J18065" s="750" t="e">
        <f t="shared" si="219"/>
        <v>#DIV/0!</v>
      </c>
      <c r="K18065" s="398"/>
      <c r="L18065" s="398"/>
      <c r="M18065" s="682"/>
    </row>
    <row r="18066" spans="6:13" ht="13.5" hidden="1" thickBot="1" x14ac:dyDescent="0.25">
      <c r="F18066" s="494">
        <v>481</v>
      </c>
      <c r="G18066" s="495" t="s">
        <v>4189</v>
      </c>
      <c r="H18066" s="397"/>
      <c r="I18066" s="397"/>
      <c r="J18066" s="750" t="e">
        <f t="shared" si="219"/>
        <v>#DIV/0!</v>
      </c>
      <c r="K18066" s="398"/>
      <c r="L18066" s="398"/>
      <c r="M18066" s="682"/>
    </row>
    <row r="18067" spans="6:13" ht="13.5" hidden="1" thickBot="1" x14ac:dyDescent="0.25">
      <c r="F18067" s="494">
        <v>482</v>
      </c>
      <c r="G18067" s="495" t="s">
        <v>4190</v>
      </c>
      <c r="H18067" s="397"/>
      <c r="I18067" s="397"/>
      <c r="J18067" s="750" t="e">
        <f t="shared" si="219"/>
        <v>#DIV/0!</v>
      </c>
      <c r="K18067" s="398"/>
      <c r="L18067" s="398"/>
      <c r="M18067" s="682"/>
    </row>
    <row r="18068" spans="6:13" ht="13.5" hidden="1" thickBot="1" x14ac:dyDescent="0.25">
      <c r="F18068" s="494">
        <v>483</v>
      </c>
      <c r="G18068" s="497" t="s">
        <v>4191</v>
      </c>
      <c r="H18068" s="397"/>
      <c r="I18068" s="397"/>
      <c r="J18068" s="750" t="e">
        <f t="shared" si="219"/>
        <v>#DIV/0!</v>
      </c>
      <c r="K18068" s="398"/>
      <c r="L18068" s="398"/>
      <c r="M18068" s="682"/>
    </row>
    <row r="18069" spans="6:13" ht="39" hidden="1" thickBot="1" x14ac:dyDescent="0.25">
      <c r="F18069" s="494">
        <v>484</v>
      </c>
      <c r="G18069" s="495" t="s">
        <v>4192</v>
      </c>
      <c r="H18069" s="397"/>
      <c r="I18069" s="397"/>
      <c r="J18069" s="750" t="e">
        <f t="shared" si="219"/>
        <v>#DIV/0!</v>
      </c>
      <c r="K18069" s="398"/>
      <c r="L18069" s="398"/>
      <c r="M18069" s="682"/>
    </row>
    <row r="18070" spans="6:13" ht="26.25" hidden="1" thickBot="1" x14ac:dyDescent="0.25">
      <c r="F18070" s="494">
        <v>485</v>
      </c>
      <c r="G18070" s="495" t="s">
        <v>4193</v>
      </c>
      <c r="H18070" s="397"/>
      <c r="I18070" s="397"/>
      <c r="J18070" s="750" t="e">
        <f t="shared" si="219"/>
        <v>#DIV/0!</v>
      </c>
      <c r="K18070" s="398"/>
      <c r="L18070" s="398"/>
      <c r="M18070" s="682"/>
    </row>
    <row r="18071" spans="6:13" ht="26.25" hidden="1" thickBot="1" x14ac:dyDescent="0.25">
      <c r="F18071" s="494">
        <v>489</v>
      </c>
      <c r="G18071" s="495" t="s">
        <v>3821</v>
      </c>
      <c r="H18071" s="397"/>
      <c r="I18071" s="397"/>
      <c r="J18071" s="750" t="e">
        <f t="shared" si="219"/>
        <v>#DIV/0!</v>
      </c>
      <c r="K18071" s="398"/>
      <c r="L18071" s="398"/>
      <c r="M18071" s="682"/>
    </row>
    <row r="18072" spans="6:13" ht="26.25" hidden="1" thickBot="1" x14ac:dyDescent="0.25">
      <c r="F18072" s="494">
        <v>494</v>
      </c>
      <c r="G18072" s="495" t="s">
        <v>4171</v>
      </c>
      <c r="H18072" s="397"/>
      <c r="I18072" s="397"/>
      <c r="J18072" s="750" t="e">
        <f t="shared" si="219"/>
        <v>#DIV/0!</v>
      </c>
      <c r="K18072" s="398"/>
      <c r="L18072" s="398"/>
      <c r="M18072" s="682"/>
    </row>
    <row r="18073" spans="6:13" ht="26.25" hidden="1" thickBot="1" x14ac:dyDescent="0.25">
      <c r="F18073" s="494">
        <v>495</v>
      </c>
      <c r="G18073" s="495" t="s">
        <v>4172</v>
      </c>
      <c r="H18073" s="397"/>
      <c r="I18073" s="397"/>
      <c r="J18073" s="750" t="e">
        <f t="shared" si="219"/>
        <v>#DIV/0!</v>
      </c>
      <c r="K18073" s="398"/>
      <c r="L18073" s="398"/>
      <c r="M18073" s="682"/>
    </row>
    <row r="18074" spans="6:13" ht="39" hidden="1" thickBot="1" x14ac:dyDescent="0.25">
      <c r="F18074" s="494">
        <v>496</v>
      </c>
      <c r="G18074" s="495" t="s">
        <v>4173</v>
      </c>
      <c r="H18074" s="397"/>
      <c r="I18074" s="397"/>
      <c r="J18074" s="750" t="e">
        <f t="shared" si="219"/>
        <v>#DIV/0!</v>
      </c>
      <c r="K18074" s="398"/>
      <c r="L18074" s="398"/>
      <c r="M18074" s="682"/>
    </row>
    <row r="18075" spans="6:13" ht="26.25" hidden="1" thickBot="1" x14ac:dyDescent="0.25">
      <c r="F18075" s="494">
        <v>499</v>
      </c>
      <c r="G18075" s="495" t="s">
        <v>4174</v>
      </c>
      <c r="H18075" s="397"/>
      <c r="I18075" s="397"/>
      <c r="J18075" s="750" t="e">
        <f t="shared" si="219"/>
        <v>#DIV/0!</v>
      </c>
      <c r="K18075" s="398"/>
      <c r="L18075" s="398"/>
      <c r="M18075" s="682"/>
    </row>
    <row r="18076" spans="6:13" ht="13.5" hidden="1" thickBot="1" x14ac:dyDescent="0.25">
      <c r="F18076" s="494">
        <v>511</v>
      </c>
      <c r="G18076" s="497" t="s">
        <v>4194</v>
      </c>
      <c r="H18076" s="397"/>
      <c r="I18076" s="397"/>
      <c r="J18076" s="750" t="e">
        <f t="shared" si="219"/>
        <v>#DIV/0!</v>
      </c>
      <c r="K18076" s="398"/>
      <c r="L18076" s="398"/>
      <c r="M18076" s="682"/>
    </row>
    <row r="18077" spans="6:13" ht="13.5" hidden="1" thickBot="1" x14ac:dyDescent="0.25">
      <c r="F18077" s="494">
        <v>512</v>
      </c>
      <c r="G18077" s="497" t="s">
        <v>4195</v>
      </c>
      <c r="H18077" s="397"/>
      <c r="I18077" s="397"/>
      <c r="J18077" s="750" t="e">
        <f t="shared" si="219"/>
        <v>#DIV/0!</v>
      </c>
      <c r="K18077" s="398"/>
      <c r="L18077" s="398"/>
      <c r="M18077" s="682"/>
    </row>
    <row r="18078" spans="6:13" ht="13.5" hidden="1" thickBot="1" x14ac:dyDescent="0.25">
      <c r="F18078" s="494">
        <v>513</v>
      </c>
      <c r="G18078" s="497" t="s">
        <v>4196</v>
      </c>
      <c r="H18078" s="397"/>
      <c r="I18078" s="397"/>
      <c r="J18078" s="750" t="e">
        <f t="shared" si="219"/>
        <v>#DIV/0!</v>
      </c>
      <c r="K18078" s="398"/>
      <c r="L18078" s="398"/>
      <c r="M18078" s="682"/>
    </row>
    <row r="18079" spans="6:13" ht="13.5" hidden="1" thickBot="1" x14ac:dyDescent="0.25">
      <c r="F18079" s="494">
        <v>514</v>
      </c>
      <c r="G18079" s="495" t="s">
        <v>4197</v>
      </c>
      <c r="H18079" s="397"/>
      <c r="I18079" s="397"/>
      <c r="J18079" s="750" t="e">
        <f t="shared" si="219"/>
        <v>#DIV/0!</v>
      </c>
      <c r="K18079" s="398"/>
      <c r="L18079" s="398"/>
      <c r="M18079" s="682"/>
    </row>
    <row r="18080" spans="6:13" ht="0.75" hidden="1" customHeight="1" thickBot="1" x14ac:dyDescent="0.25">
      <c r="F18080" s="494">
        <v>515</v>
      </c>
      <c r="G18080" s="495" t="s">
        <v>3832</v>
      </c>
      <c r="H18080" s="397"/>
      <c r="I18080" s="397"/>
      <c r="J18080" s="750" t="e">
        <f t="shared" si="219"/>
        <v>#DIV/0!</v>
      </c>
      <c r="K18080" s="398"/>
      <c r="L18080" s="398"/>
      <c r="M18080" s="682"/>
    </row>
    <row r="18081" spans="5:13" ht="13.5" hidden="1" thickBot="1" x14ac:dyDescent="0.25">
      <c r="F18081" s="494">
        <v>521</v>
      </c>
      <c r="G18081" s="495" t="s">
        <v>4198</v>
      </c>
      <c r="H18081" s="397"/>
      <c r="I18081" s="397"/>
      <c r="J18081" s="750" t="e">
        <f t="shared" si="219"/>
        <v>#DIV/0!</v>
      </c>
      <c r="K18081" s="398"/>
      <c r="L18081" s="398"/>
      <c r="M18081" s="682"/>
    </row>
    <row r="18082" spans="5:13" ht="13.5" hidden="1" thickBot="1" x14ac:dyDescent="0.25">
      <c r="F18082" s="494">
        <v>522</v>
      </c>
      <c r="G18082" s="495" t="s">
        <v>4199</v>
      </c>
      <c r="H18082" s="397"/>
      <c r="I18082" s="397"/>
      <c r="J18082" s="750" t="e">
        <f t="shared" si="219"/>
        <v>#DIV/0!</v>
      </c>
      <c r="K18082" s="398"/>
      <c r="L18082" s="398"/>
      <c r="M18082" s="682"/>
    </row>
    <row r="18083" spans="5:13" ht="13.5" hidden="1" thickBot="1" x14ac:dyDescent="0.25">
      <c r="F18083" s="494">
        <v>523</v>
      </c>
      <c r="G18083" s="495" t="s">
        <v>3837</v>
      </c>
      <c r="H18083" s="397"/>
      <c r="I18083" s="397"/>
      <c r="J18083" s="750" t="e">
        <f t="shared" si="219"/>
        <v>#DIV/0!</v>
      </c>
      <c r="K18083" s="398"/>
      <c r="L18083" s="398"/>
      <c r="M18083" s="682"/>
    </row>
    <row r="18084" spans="5:13" ht="13.5" hidden="1" thickBot="1" x14ac:dyDescent="0.25">
      <c r="F18084" s="494">
        <v>531</v>
      </c>
      <c r="G18084" s="496" t="s">
        <v>4175</v>
      </c>
      <c r="H18084" s="397"/>
      <c r="I18084" s="397"/>
      <c r="J18084" s="750" t="e">
        <f t="shared" si="219"/>
        <v>#DIV/0!</v>
      </c>
      <c r="K18084" s="398"/>
      <c r="L18084" s="398"/>
      <c r="M18084" s="682"/>
    </row>
    <row r="18085" spans="5:13" ht="13.5" hidden="1" thickBot="1" x14ac:dyDescent="0.25">
      <c r="F18085" s="494">
        <v>541</v>
      </c>
      <c r="G18085" s="495" t="s">
        <v>4200</v>
      </c>
      <c r="H18085" s="397"/>
      <c r="I18085" s="397"/>
      <c r="J18085" s="750" t="e">
        <f t="shared" si="219"/>
        <v>#DIV/0!</v>
      </c>
      <c r="K18085" s="398"/>
      <c r="L18085" s="398"/>
      <c r="M18085" s="682"/>
    </row>
    <row r="18086" spans="5:13" ht="13.5" hidden="1" thickBot="1" x14ac:dyDescent="0.25">
      <c r="F18086" s="494">
        <v>542</v>
      </c>
      <c r="G18086" s="495" t="s">
        <v>4201</v>
      </c>
      <c r="H18086" s="397"/>
      <c r="I18086" s="397"/>
      <c r="J18086" s="750" t="e">
        <f t="shared" si="219"/>
        <v>#DIV/0!</v>
      </c>
      <c r="K18086" s="398"/>
      <c r="L18086" s="398"/>
      <c r="M18086" s="682"/>
    </row>
    <row r="18087" spans="5:13" ht="13.5" hidden="1" thickBot="1" x14ac:dyDescent="0.25">
      <c r="F18087" s="494">
        <v>543</v>
      </c>
      <c r="G18087" s="495" t="s">
        <v>3842</v>
      </c>
      <c r="H18087" s="397"/>
      <c r="I18087" s="397"/>
      <c r="J18087" s="750" t="e">
        <f t="shared" si="219"/>
        <v>#DIV/0!</v>
      </c>
      <c r="K18087" s="398"/>
      <c r="L18087" s="398"/>
      <c r="M18087" s="682"/>
    </row>
    <row r="18088" spans="5:13" ht="39" hidden="1" thickBot="1" x14ac:dyDescent="0.25">
      <c r="F18088" s="494">
        <v>551</v>
      </c>
      <c r="G18088" s="495" t="s">
        <v>4176</v>
      </c>
      <c r="H18088" s="397"/>
      <c r="I18088" s="397"/>
      <c r="J18088" s="750" t="e">
        <f t="shared" si="219"/>
        <v>#DIV/0!</v>
      </c>
      <c r="K18088" s="398"/>
      <c r="L18088" s="398"/>
      <c r="M18088" s="682"/>
    </row>
    <row r="18089" spans="5:13" ht="13.5" hidden="1" thickBot="1" x14ac:dyDescent="0.25">
      <c r="F18089" s="498">
        <v>611</v>
      </c>
      <c r="G18089" s="499" t="s">
        <v>3848</v>
      </c>
      <c r="H18089" s="397"/>
      <c r="I18089" s="397"/>
      <c r="J18089" s="750" t="e">
        <f t="shared" si="219"/>
        <v>#DIV/0!</v>
      </c>
      <c r="K18089" s="398"/>
      <c r="L18089" s="398"/>
      <c r="M18089" s="682"/>
    </row>
    <row r="18090" spans="5:13" ht="13.5" hidden="1" thickBot="1" x14ac:dyDescent="0.25">
      <c r="F18090" s="498">
        <v>620</v>
      </c>
      <c r="G18090" s="499" t="s">
        <v>88</v>
      </c>
      <c r="H18090" s="397"/>
      <c r="I18090" s="397"/>
      <c r="J18090" s="750" t="e">
        <f t="shared" si="219"/>
        <v>#DIV/0!</v>
      </c>
      <c r="K18090" s="398"/>
      <c r="L18090" s="398"/>
      <c r="M18090" s="682"/>
    </row>
    <row r="18091" spans="5:13" x14ac:dyDescent="0.2">
      <c r="E18091" s="500"/>
      <c r="F18091" s="498"/>
      <c r="G18091" s="501" t="s">
        <v>4343</v>
      </c>
      <c r="H18091" s="400"/>
      <c r="I18091" s="400"/>
      <c r="J18091" s="750"/>
      <c r="K18091" s="401"/>
      <c r="L18091" s="402"/>
      <c r="M18091" s="682"/>
    </row>
    <row r="18092" spans="5:13" x14ac:dyDescent="0.2">
      <c r="E18092" s="502"/>
      <c r="F18092" s="503" t="s">
        <v>234</v>
      </c>
      <c r="G18092" s="504" t="s">
        <v>235</v>
      </c>
      <c r="H18092" s="403">
        <f>SUM(H18031:H18090)</f>
        <v>1009200</v>
      </c>
      <c r="I18092" s="403">
        <f>SUM(I18031:I18064)</f>
        <v>857415.56</v>
      </c>
      <c r="J18092" s="750">
        <f t="shared" si="219"/>
        <v>84.959924692826007</v>
      </c>
      <c r="K18092" s="404"/>
      <c r="L18092" s="404"/>
      <c r="M18092" s="682"/>
    </row>
    <row r="18093" spans="5:13" ht="0.75" customHeight="1" thickBot="1" x14ac:dyDescent="0.25">
      <c r="F18093" s="503" t="s">
        <v>236</v>
      </c>
      <c r="G18093" s="504" t="s">
        <v>237</v>
      </c>
      <c r="H18093" s="397"/>
      <c r="I18093" s="397"/>
      <c r="J18093" s="750" t="e">
        <f t="shared" si="219"/>
        <v>#DIV/0!</v>
      </c>
      <c r="K18093" s="398"/>
      <c r="L18093" s="404"/>
      <c r="M18093" s="682"/>
    </row>
    <row r="18094" spans="5:13" ht="13.5" hidden="1" thickBot="1" x14ac:dyDescent="0.25">
      <c r="F18094" s="503" t="s">
        <v>238</v>
      </c>
      <c r="G18094" s="504" t="s">
        <v>239</v>
      </c>
      <c r="H18094" s="397"/>
      <c r="I18094" s="397"/>
      <c r="J18094" s="750" t="e">
        <f t="shared" si="219"/>
        <v>#DIV/0!</v>
      </c>
      <c r="K18094" s="398"/>
      <c r="L18094" s="404"/>
      <c r="M18094" s="682"/>
    </row>
    <row r="18095" spans="5:13" ht="13.5" hidden="1" thickBot="1" x14ac:dyDescent="0.25">
      <c r="F18095" s="503" t="s">
        <v>240</v>
      </c>
      <c r="G18095" s="504" t="s">
        <v>241</v>
      </c>
      <c r="H18095" s="397"/>
      <c r="I18095" s="397"/>
      <c r="J18095" s="750" t="e">
        <f t="shared" si="219"/>
        <v>#DIV/0!</v>
      </c>
      <c r="K18095" s="398"/>
      <c r="L18095" s="404"/>
      <c r="M18095" s="682"/>
    </row>
    <row r="18096" spans="5:13" ht="13.5" hidden="1" thickBot="1" x14ac:dyDescent="0.25">
      <c r="F18096" s="503" t="s">
        <v>242</v>
      </c>
      <c r="G18096" s="504" t="s">
        <v>243</v>
      </c>
      <c r="H18096" s="397"/>
      <c r="I18096" s="397"/>
      <c r="J18096" s="750" t="e">
        <f t="shared" si="219"/>
        <v>#DIV/0!</v>
      </c>
      <c r="K18096" s="398"/>
      <c r="L18096" s="404"/>
      <c r="M18096" s="682"/>
    </row>
    <row r="18097" spans="5:13" ht="13.5" hidden="1" thickBot="1" x14ac:dyDescent="0.25">
      <c r="F18097" s="503" t="s">
        <v>244</v>
      </c>
      <c r="G18097" s="504" t="s">
        <v>245</v>
      </c>
      <c r="H18097" s="397"/>
      <c r="I18097" s="397"/>
      <c r="J18097" s="750" t="e">
        <f t="shared" si="219"/>
        <v>#DIV/0!</v>
      </c>
      <c r="K18097" s="398"/>
      <c r="L18097" s="404"/>
      <c r="M18097" s="682"/>
    </row>
    <row r="18098" spans="5:13" ht="13.5" hidden="1" thickBot="1" x14ac:dyDescent="0.25">
      <c r="F18098" s="503" t="s">
        <v>246</v>
      </c>
      <c r="G18098" s="504" t="s">
        <v>247</v>
      </c>
      <c r="H18098" s="397"/>
      <c r="I18098" s="397"/>
      <c r="J18098" s="750" t="e">
        <f t="shared" si="219"/>
        <v>#DIV/0!</v>
      </c>
      <c r="K18098" s="398"/>
      <c r="L18098" s="404"/>
      <c r="M18098" s="682"/>
    </row>
    <row r="18099" spans="5:13" ht="26.25" hidden="1" thickBot="1" x14ac:dyDescent="0.25">
      <c r="F18099" s="503" t="s">
        <v>248</v>
      </c>
      <c r="G18099" s="504" t="s">
        <v>249</v>
      </c>
      <c r="H18099" s="397"/>
      <c r="I18099" s="397"/>
      <c r="J18099" s="750" t="e">
        <f t="shared" si="219"/>
        <v>#DIV/0!</v>
      </c>
      <c r="K18099" s="398"/>
      <c r="L18099" s="404"/>
      <c r="M18099" s="682"/>
    </row>
    <row r="18100" spans="5:13" ht="13.5" hidden="1" thickBot="1" x14ac:dyDescent="0.25">
      <c r="F18100" s="503" t="s">
        <v>250</v>
      </c>
      <c r="G18100" s="504" t="s">
        <v>57</v>
      </c>
      <c r="H18100" s="397"/>
      <c r="I18100" s="397"/>
      <c r="J18100" s="750" t="e">
        <f t="shared" si="219"/>
        <v>#DIV/0!</v>
      </c>
      <c r="K18100" s="398"/>
      <c r="L18100" s="404"/>
      <c r="M18100" s="682"/>
    </row>
    <row r="18101" spans="5:13" ht="13.5" hidden="1" thickBot="1" x14ac:dyDescent="0.25">
      <c r="F18101" s="503" t="s">
        <v>251</v>
      </c>
      <c r="G18101" s="504" t="s">
        <v>252</v>
      </c>
      <c r="H18101" s="397"/>
      <c r="I18101" s="397"/>
      <c r="J18101" s="750" t="e">
        <f t="shared" si="219"/>
        <v>#DIV/0!</v>
      </c>
      <c r="K18101" s="398"/>
      <c r="L18101" s="404"/>
      <c r="M18101" s="682"/>
    </row>
    <row r="18102" spans="5:13" ht="13.5" hidden="1" thickBot="1" x14ac:dyDescent="0.25">
      <c r="F18102" s="503" t="s">
        <v>253</v>
      </c>
      <c r="G18102" s="504" t="s">
        <v>254</v>
      </c>
      <c r="H18102" s="397"/>
      <c r="I18102" s="397"/>
      <c r="J18102" s="750" t="e">
        <f t="shared" si="219"/>
        <v>#DIV/0!</v>
      </c>
      <c r="K18102" s="398"/>
      <c r="L18102" s="404"/>
      <c r="M18102" s="682"/>
    </row>
    <row r="18103" spans="5:13" ht="26.25" hidden="1" thickBot="1" x14ac:dyDescent="0.25">
      <c r="F18103" s="503" t="s">
        <v>255</v>
      </c>
      <c r="G18103" s="504" t="s">
        <v>256</v>
      </c>
      <c r="H18103" s="397"/>
      <c r="I18103" s="397"/>
      <c r="J18103" s="750" t="e">
        <f t="shared" si="219"/>
        <v>#DIV/0!</v>
      </c>
      <c r="K18103" s="398"/>
      <c r="L18103" s="404"/>
      <c r="M18103" s="682"/>
    </row>
    <row r="18104" spans="5:13" ht="26.25" hidden="1" thickBot="1" x14ac:dyDescent="0.25">
      <c r="F18104" s="503" t="s">
        <v>257</v>
      </c>
      <c r="G18104" s="504" t="s">
        <v>258</v>
      </c>
      <c r="H18104" s="397"/>
      <c r="I18104" s="397"/>
      <c r="J18104" s="750" t="e">
        <f t="shared" si="219"/>
        <v>#DIV/0!</v>
      </c>
      <c r="K18104" s="398"/>
      <c r="L18104" s="404"/>
      <c r="M18104" s="682"/>
    </row>
    <row r="18105" spans="5:13" ht="26.25" hidden="1" thickBot="1" x14ac:dyDescent="0.25">
      <c r="F18105" s="503" t="s">
        <v>259</v>
      </c>
      <c r="G18105" s="504" t="s">
        <v>260</v>
      </c>
      <c r="H18105" s="397"/>
      <c r="I18105" s="397"/>
      <c r="J18105" s="750" t="e">
        <f t="shared" si="219"/>
        <v>#DIV/0!</v>
      </c>
      <c r="K18105" s="398"/>
      <c r="L18105" s="404"/>
      <c r="M18105" s="682"/>
    </row>
    <row r="18106" spans="5:13" ht="26.25" hidden="1" thickBot="1" x14ac:dyDescent="0.25">
      <c r="F18106" s="503" t="s">
        <v>261</v>
      </c>
      <c r="G18106" s="504" t="s">
        <v>262</v>
      </c>
      <c r="H18106" s="397"/>
      <c r="I18106" s="397"/>
      <c r="J18106" s="750" t="e">
        <f t="shared" si="219"/>
        <v>#DIV/0!</v>
      </c>
      <c r="K18106" s="398"/>
      <c r="L18106" s="404"/>
      <c r="M18106" s="682"/>
    </row>
    <row r="18107" spans="5:13" ht="13.5" hidden="1" thickBot="1" x14ac:dyDescent="0.25">
      <c r="F18107" s="503" t="s">
        <v>263</v>
      </c>
      <c r="G18107" s="504" t="s">
        <v>264</v>
      </c>
      <c r="H18107" s="403"/>
      <c r="I18107" s="403"/>
      <c r="J18107" s="750" t="e">
        <f t="shared" si="219"/>
        <v>#DIV/0!</v>
      </c>
      <c r="K18107" s="404"/>
      <c r="L18107" s="404"/>
      <c r="M18107" s="682"/>
    </row>
    <row r="18108" spans="5:13" ht="13.5" thickBot="1" x14ac:dyDescent="0.25">
      <c r="G18108" s="505" t="s">
        <v>4285</v>
      </c>
      <c r="H18108" s="405">
        <f>SUM(H18092)</f>
        <v>1009200</v>
      </c>
      <c r="I18108" s="405">
        <f>SUM(I18092)</f>
        <v>857415.56</v>
      </c>
      <c r="J18108" s="750">
        <f t="shared" si="219"/>
        <v>84.959924692826007</v>
      </c>
      <c r="K18108" s="406">
        <f>SUM(K18093:K18107)</f>
        <v>0</v>
      </c>
      <c r="L18108" s="406"/>
      <c r="M18108" s="682"/>
    </row>
    <row r="18109" spans="5:13" ht="20.25" customHeight="1" collapsed="1" x14ac:dyDescent="0.2">
      <c r="E18109" s="500"/>
      <c r="F18109" s="498"/>
      <c r="G18109" s="506" t="s">
        <v>4286</v>
      </c>
      <c r="H18109" s="407"/>
      <c r="I18109" s="408"/>
      <c r="J18109" s="750"/>
      <c r="K18109" s="409"/>
      <c r="L18109" s="410"/>
      <c r="M18109" s="682"/>
    </row>
    <row r="18110" spans="5:13" x14ac:dyDescent="0.2">
      <c r="E18110" s="502"/>
      <c r="F18110" s="503" t="s">
        <v>234</v>
      </c>
      <c r="G18110" s="504" t="s">
        <v>235</v>
      </c>
      <c r="H18110" s="403">
        <f>SUM(H18031:H18090)</f>
        <v>1009200</v>
      </c>
      <c r="I18110" s="403">
        <f>SUM(I18092)</f>
        <v>857415.56</v>
      </c>
      <c r="J18110" s="750">
        <f t="shared" si="219"/>
        <v>84.959924692826007</v>
      </c>
      <c r="K18110" s="404"/>
      <c r="L18110" s="404"/>
      <c r="M18110" s="682"/>
    </row>
    <row r="18111" spans="5:13" ht="0.75" customHeight="1" thickBot="1" x14ac:dyDescent="0.25">
      <c r="F18111" s="503" t="s">
        <v>236</v>
      </c>
      <c r="G18111" s="504" t="s">
        <v>237</v>
      </c>
      <c r="H18111" s="397"/>
      <c r="I18111" s="397"/>
      <c r="J18111" s="750" t="e">
        <f t="shared" si="219"/>
        <v>#DIV/0!</v>
      </c>
      <c r="K18111" s="398"/>
      <c r="L18111" s="404"/>
      <c r="M18111" s="682"/>
    </row>
    <row r="18112" spans="5:13" ht="13.5" hidden="1" thickBot="1" x14ac:dyDescent="0.25">
      <c r="F18112" s="503" t="s">
        <v>238</v>
      </c>
      <c r="G18112" s="504" t="s">
        <v>239</v>
      </c>
      <c r="H18112" s="397"/>
      <c r="I18112" s="397"/>
      <c r="J18112" s="750" t="e">
        <f t="shared" si="219"/>
        <v>#DIV/0!</v>
      </c>
      <c r="K18112" s="398"/>
      <c r="L18112" s="404"/>
      <c r="M18112" s="682"/>
    </row>
    <row r="18113" spans="1:27" ht="13.5" hidden="1" thickBot="1" x14ac:dyDescent="0.25">
      <c r="F18113" s="503" t="s">
        <v>240</v>
      </c>
      <c r="G18113" s="504" t="s">
        <v>241</v>
      </c>
      <c r="H18113" s="397"/>
      <c r="I18113" s="397"/>
      <c r="J18113" s="750" t="e">
        <f t="shared" si="219"/>
        <v>#DIV/0!</v>
      </c>
      <c r="K18113" s="398"/>
      <c r="L18113" s="404"/>
      <c r="M18113" s="682"/>
    </row>
    <row r="18114" spans="1:27" ht="13.5" hidden="1" thickBot="1" x14ac:dyDescent="0.25">
      <c r="F18114" s="503" t="s">
        <v>242</v>
      </c>
      <c r="G18114" s="504" t="s">
        <v>243</v>
      </c>
      <c r="H18114" s="397"/>
      <c r="I18114" s="397"/>
      <c r="J18114" s="750" t="e">
        <f t="shared" si="219"/>
        <v>#DIV/0!</v>
      </c>
      <c r="K18114" s="398"/>
      <c r="L18114" s="404"/>
      <c r="M18114" s="682"/>
    </row>
    <row r="18115" spans="1:27" ht="13.5" hidden="1" thickBot="1" x14ac:dyDescent="0.25">
      <c r="F18115" s="503" t="s">
        <v>244</v>
      </c>
      <c r="G18115" s="504" t="s">
        <v>245</v>
      </c>
      <c r="H18115" s="397"/>
      <c r="I18115" s="397"/>
      <c r="J18115" s="750" t="e">
        <f t="shared" si="219"/>
        <v>#DIV/0!</v>
      </c>
      <c r="K18115" s="398"/>
      <c r="L18115" s="404"/>
      <c r="M18115" s="682"/>
    </row>
    <row r="18116" spans="1:27" ht="13.5" hidden="1" thickBot="1" x14ac:dyDescent="0.25">
      <c r="F18116" s="503" t="s">
        <v>246</v>
      </c>
      <c r="G18116" s="504" t="s">
        <v>247</v>
      </c>
      <c r="H18116" s="397"/>
      <c r="I18116" s="397"/>
      <c r="J18116" s="750" t="e">
        <f t="shared" si="219"/>
        <v>#DIV/0!</v>
      </c>
      <c r="K18116" s="398"/>
      <c r="L18116" s="404"/>
      <c r="M18116" s="682"/>
    </row>
    <row r="18117" spans="1:27" ht="26.25" hidden="1" thickBot="1" x14ac:dyDescent="0.25">
      <c r="F18117" s="503" t="s">
        <v>248</v>
      </c>
      <c r="G18117" s="504" t="s">
        <v>249</v>
      </c>
      <c r="H18117" s="397"/>
      <c r="I18117" s="397"/>
      <c r="J18117" s="750" t="e">
        <f t="shared" si="219"/>
        <v>#DIV/0!</v>
      </c>
      <c r="K18117" s="398"/>
      <c r="L18117" s="404"/>
      <c r="M18117" s="682"/>
    </row>
    <row r="18118" spans="1:27" ht="13.5" hidden="1" thickBot="1" x14ac:dyDescent="0.25">
      <c r="F18118" s="503" t="s">
        <v>250</v>
      </c>
      <c r="G18118" s="504" t="s">
        <v>57</v>
      </c>
      <c r="H18118" s="397"/>
      <c r="I18118" s="397"/>
      <c r="J18118" s="750" t="e">
        <f t="shared" si="219"/>
        <v>#DIV/0!</v>
      </c>
      <c r="K18118" s="398"/>
      <c r="L18118" s="404"/>
      <c r="M18118" s="682"/>
    </row>
    <row r="18119" spans="1:27" ht="13.5" hidden="1" thickBot="1" x14ac:dyDescent="0.25">
      <c r="F18119" s="503" t="s">
        <v>251</v>
      </c>
      <c r="G18119" s="504" t="s">
        <v>252</v>
      </c>
      <c r="H18119" s="397"/>
      <c r="I18119" s="397"/>
      <c r="J18119" s="750" t="e">
        <f t="shared" si="219"/>
        <v>#DIV/0!</v>
      </c>
      <c r="K18119" s="398"/>
      <c r="L18119" s="404"/>
      <c r="M18119" s="682"/>
    </row>
    <row r="18120" spans="1:27" ht="13.5" hidden="1" thickBot="1" x14ac:dyDescent="0.25">
      <c r="F18120" s="503" t="s">
        <v>253</v>
      </c>
      <c r="G18120" s="504" t="s">
        <v>254</v>
      </c>
      <c r="H18120" s="397"/>
      <c r="I18120" s="397"/>
      <c r="J18120" s="750" t="e">
        <f t="shared" si="219"/>
        <v>#DIV/0!</v>
      </c>
      <c r="K18120" s="398"/>
      <c r="L18120" s="404"/>
      <c r="M18120" s="682"/>
    </row>
    <row r="18121" spans="1:27" ht="26.25" hidden="1" thickBot="1" x14ac:dyDescent="0.25">
      <c r="F18121" s="503" t="s">
        <v>255</v>
      </c>
      <c r="G18121" s="504" t="s">
        <v>256</v>
      </c>
      <c r="H18121" s="397"/>
      <c r="I18121" s="397"/>
      <c r="J18121" s="750" t="e">
        <f t="shared" si="219"/>
        <v>#DIV/0!</v>
      </c>
      <c r="K18121" s="398"/>
      <c r="L18121" s="404"/>
      <c r="M18121" s="682"/>
    </row>
    <row r="18122" spans="1:27" ht="26.25" hidden="1" thickBot="1" x14ac:dyDescent="0.25">
      <c r="F18122" s="503" t="s">
        <v>257</v>
      </c>
      <c r="G18122" s="504" t="s">
        <v>258</v>
      </c>
      <c r="H18122" s="397"/>
      <c r="I18122" s="397"/>
      <c r="J18122" s="750" t="e">
        <f t="shared" si="219"/>
        <v>#DIV/0!</v>
      </c>
      <c r="K18122" s="398"/>
      <c r="L18122" s="404"/>
      <c r="M18122" s="682"/>
    </row>
    <row r="18123" spans="1:27" ht="26.25" hidden="1" thickBot="1" x14ac:dyDescent="0.25">
      <c r="F18123" s="503" t="s">
        <v>259</v>
      </c>
      <c r="G18123" s="504" t="s">
        <v>260</v>
      </c>
      <c r="H18123" s="397"/>
      <c r="I18123" s="397"/>
      <c r="J18123" s="750" t="e">
        <f t="shared" si="219"/>
        <v>#DIV/0!</v>
      </c>
      <c r="K18123" s="398"/>
      <c r="L18123" s="404"/>
      <c r="M18123" s="682"/>
    </row>
    <row r="18124" spans="1:27" ht="26.25" hidden="1" thickBot="1" x14ac:dyDescent="0.25">
      <c r="F18124" s="503" t="s">
        <v>261</v>
      </c>
      <c r="G18124" s="504" t="s">
        <v>262</v>
      </c>
      <c r="H18124" s="397"/>
      <c r="I18124" s="397"/>
      <c r="J18124" s="750" t="e">
        <f t="shared" si="219"/>
        <v>#DIV/0!</v>
      </c>
      <c r="K18124" s="398"/>
      <c r="L18124" s="404"/>
      <c r="M18124" s="682"/>
    </row>
    <row r="18125" spans="1:27" ht="13.5" hidden="1" thickBot="1" x14ac:dyDescent="0.25">
      <c r="F18125" s="503" t="s">
        <v>263</v>
      </c>
      <c r="G18125" s="504" t="s">
        <v>264</v>
      </c>
      <c r="H18125" s="403"/>
      <c r="I18125" s="403"/>
      <c r="J18125" s="750" t="e">
        <f t="shared" si="219"/>
        <v>#DIV/0!</v>
      </c>
      <c r="K18125" s="404"/>
      <c r="L18125" s="404"/>
      <c r="M18125" s="682"/>
    </row>
    <row r="18126" spans="1:27" ht="15" customHeight="1" collapsed="1" thickBot="1" x14ac:dyDescent="0.25">
      <c r="G18126" s="505" t="s">
        <v>4287</v>
      </c>
      <c r="H18126" s="405">
        <f>SUM(H18110)</f>
        <v>1009200</v>
      </c>
      <c r="I18126" s="405">
        <f>SUM(I18110)</f>
        <v>857415.56</v>
      </c>
      <c r="J18126" s="750">
        <f t="shared" ref="J18126:J18189" si="220">SUM(I18126/H18126)*100</f>
        <v>84.959924692826007</v>
      </c>
      <c r="K18126" s="406">
        <f>SUM(K18111:K18125)</f>
        <v>0</v>
      </c>
      <c r="L18126" s="406"/>
      <c r="M18126" s="682"/>
    </row>
    <row r="18127" spans="1:27" ht="6" hidden="1" customHeight="1" x14ac:dyDescent="0.2">
      <c r="G18127" s="496"/>
      <c r="H18127" s="397"/>
      <c r="I18127" s="397"/>
      <c r="J18127" s="750" t="e">
        <f t="shared" si="220"/>
        <v>#DIV/0!</v>
      </c>
      <c r="K18127" s="398"/>
      <c r="L18127" s="398"/>
      <c r="M18127" s="682"/>
    </row>
    <row r="18128" spans="1:27" s="530" customFormat="1" x14ac:dyDescent="0.2">
      <c r="A18128" s="526"/>
      <c r="B18128" s="527"/>
      <c r="C18128" s="534"/>
      <c r="D18128" s="535"/>
      <c r="E18128" s="535"/>
      <c r="F18128" s="498"/>
      <c r="G18128" s="511" t="s">
        <v>4203</v>
      </c>
      <c r="H18128" s="413"/>
      <c r="I18128" s="413"/>
      <c r="J18128" s="750"/>
      <c r="K18128" s="414"/>
      <c r="L18128" s="415"/>
      <c r="M18128" s="682"/>
      <c r="N18128" s="171"/>
      <c r="O18128" s="171"/>
      <c r="P18128" s="171"/>
      <c r="Q18128" s="171"/>
      <c r="R18128" s="171"/>
      <c r="S18128" s="171"/>
      <c r="T18128" s="171"/>
      <c r="U18128" s="171"/>
      <c r="V18128" s="171"/>
      <c r="W18128" s="171"/>
      <c r="X18128" s="171"/>
      <c r="Y18128" s="171"/>
      <c r="Z18128" s="171"/>
      <c r="AA18128" s="171"/>
    </row>
    <row r="18129" spans="1:27" s="530" customFormat="1" x14ac:dyDescent="0.2">
      <c r="A18129" s="526"/>
      <c r="B18129" s="527"/>
      <c r="C18129" s="534"/>
      <c r="D18129" s="535"/>
      <c r="E18129" s="535"/>
      <c r="F18129" s="503" t="s">
        <v>234</v>
      </c>
      <c r="G18129" s="504" t="s">
        <v>235</v>
      </c>
      <c r="H18129" s="403">
        <f>SUM(H18126)</f>
        <v>1009200</v>
      </c>
      <c r="I18129" s="403">
        <f>SUM(I18126)</f>
        <v>857415.56</v>
      </c>
      <c r="J18129" s="750">
        <f t="shared" si="220"/>
        <v>84.959924692826007</v>
      </c>
      <c r="K18129" s="404"/>
      <c r="L18129" s="404"/>
      <c r="M18129" s="682"/>
      <c r="N18129" s="171"/>
      <c r="O18129" s="171"/>
      <c r="P18129" s="171"/>
      <c r="Q18129" s="171"/>
      <c r="R18129" s="171"/>
      <c r="S18129" s="171"/>
      <c r="T18129" s="171"/>
      <c r="U18129" s="171"/>
      <c r="V18129" s="171"/>
      <c r="W18129" s="171"/>
      <c r="X18129" s="171"/>
      <c r="Y18129" s="171"/>
      <c r="Z18129" s="171"/>
      <c r="AA18129" s="171"/>
    </row>
    <row r="18130" spans="1:27" s="530" customFormat="1" ht="0.75" customHeight="1" thickBot="1" x14ac:dyDescent="0.25">
      <c r="A18130" s="526"/>
      <c r="B18130" s="527"/>
      <c r="C18130" s="534"/>
      <c r="D18130" s="535"/>
      <c r="E18130" s="535"/>
      <c r="F18130" s="503" t="s">
        <v>236</v>
      </c>
      <c r="G18130" s="504" t="s">
        <v>237</v>
      </c>
      <c r="H18130" s="397"/>
      <c r="I18130" s="397"/>
      <c r="J18130" s="750" t="e">
        <f t="shared" si="220"/>
        <v>#DIV/0!</v>
      </c>
      <c r="K18130" s="398"/>
      <c r="L18130" s="404"/>
      <c r="M18130" s="682"/>
      <c r="N18130" s="171"/>
      <c r="O18130" s="171"/>
      <c r="P18130" s="171"/>
      <c r="Q18130" s="171"/>
      <c r="R18130" s="171"/>
      <c r="S18130" s="171"/>
      <c r="T18130" s="171"/>
      <c r="U18130" s="171"/>
      <c r="V18130" s="171"/>
      <c r="W18130" s="171"/>
      <c r="X18130" s="171"/>
      <c r="Y18130" s="171"/>
      <c r="Z18130" s="171"/>
      <c r="AA18130" s="171"/>
    </row>
    <row r="18131" spans="1:27" s="530" customFormat="1" ht="13.5" hidden="1" thickBot="1" x14ac:dyDescent="0.25">
      <c r="A18131" s="526"/>
      <c r="B18131" s="527"/>
      <c r="C18131" s="534"/>
      <c r="D18131" s="535"/>
      <c r="E18131" s="535"/>
      <c r="F18131" s="503" t="s">
        <v>238</v>
      </c>
      <c r="G18131" s="504" t="s">
        <v>239</v>
      </c>
      <c r="H18131" s="397"/>
      <c r="I18131" s="397"/>
      <c r="J18131" s="750" t="e">
        <f t="shared" si="220"/>
        <v>#DIV/0!</v>
      </c>
      <c r="K18131" s="398"/>
      <c r="L18131" s="404"/>
      <c r="M18131" s="682"/>
      <c r="N18131" s="171"/>
      <c r="O18131" s="171"/>
      <c r="P18131" s="171"/>
      <c r="Q18131" s="171"/>
      <c r="R18131" s="171"/>
      <c r="S18131" s="171"/>
      <c r="T18131" s="171"/>
      <c r="U18131" s="171"/>
      <c r="V18131" s="171"/>
      <c r="W18131" s="171"/>
      <c r="X18131" s="171"/>
      <c r="Y18131" s="171"/>
      <c r="Z18131" s="171"/>
      <c r="AA18131" s="171"/>
    </row>
    <row r="18132" spans="1:27" s="530" customFormat="1" ht="13.5" hidden="1" thickBot="1" x14ac:dyDescent="0.25">
      <c r="A18132" s="526"/>
      <c r="B18132" s="527"/>
      <c r="C18132" s="534"/>
      <c r="D18132" s="535"/>
      <c r="E18132" s="535"/>
      <c r="F18132" s="503" t="s">
        <v>240</v>
      </c>
      <c r="G18132" s="504" t="s">
        <v>241</v>
      </c>
      <c r="H18132" s="397"/>
      <c r="I18132" s="397"/>
      <c r="J18132" s="750" t="e">
        <f t="shared" si="220"/>
        <v>#DIV/0!</v>
      </c>
      <c r="K18132" s="398"/>
      <c r="L18132" s="404"/>
      <c r="M18132" s="682"/>
      <c r="N18132" s="171"/>
      <c r="O18132" s="171"/>
      <c r="P18132" s="171"/>
      <c r="Q18132" s="171"/>
      <c r="R18132" s="171"/>
      <c r="S18132" s="171"/>
      <c r="T18132" s="171"/>
      <c r="U18132" s="171"/>
      <c r="V18132" s="171"/>
      <c r="W18132" s="171"/>
      <c r="X18132" s="171"/>
      <c r="Y18132" s="171"/>
      <c r="Z18132" s="171"/>
      <c r="AA18132" s="171"/>
    </row>
    <row r="18133" spans="1:27" s="530" customFormat="1" ht="13.5" hidden="1" thickBot="1" x14ac:dyDescent="0.25">
      <c r="A18133" s="526"/>
      <c r="B18133" s="527"/>
      <c r="C18133" s="534"/>
      <c r="D18133" s="535"/>
      <c r="E18133" s="535"/>
      <c r="F18133" s="503" t="s">
        <v>242</v>
      </c>
      <c r="G18133" s="504" t="s">
        <v>243</v>
      </c>
      <c r="H18133" s="397"/>
      <c r="I18133" s="397"/>
      <c r="J18133" s="750" t="e">
        <f t="shared" si="220"/>
        <v>#DIV/0!</v>
      </c>
      <c r="K18133" s="398"/>
      <c r="L18133" s="404"/>
      <c r="M18133" s="682"/>
      <c r="N18133" s="171"/>
      <c r="O18133" s="171"/>
      <c r="P18133" s="171"/>
      <c r="Q18133" s="171"/>
      <c r="R18133" s="171"/>
      <c r="S18133" s="171"/>
      <c r="T18133" s="171"/>
      <c r="U18133" s="171"/>
      <c r="V18133" s="171"/>
      <c r="W18133" s="171"/>
      <c r="X18133" s="171"/>
      <c r="Y18133" s="171"/>
      <c r="Z18133" s="171"/>
      <c r="AA18133" s="171"/>
    </row>
    <row r="18134" spans="1:27" s="530" customFormat="1" ht="13.5" hidden="1" thickBot="1" x14ac:dyDescent="0.25">
      <c r="A18134" s="526"/>
      <c r="B18134" s="527"/>
      <c r="C18134" s="534"/>
      <c r="D18134" s="535"/>
      <c r="E18134" s="535"/>
      <c r="F18134" s="503" t="s">
        <v>244</v>
      </c>
      <c r="G18134" s="504" t="s">
        <v>245</v>
      </c>
      <c r="H18134" s="397"/>
      <c r="I18134" s="397"/>
      <c r="J18134" s="750" t="e">
        <f t="shared" si="220"/>
        <v>#DIV/0!</v>
      </c>
      <c r="K18134" s="398"/>
      <c r="L18134" s="404"/>
      <c r="M18134" s="682"/>
      <c r="N18134" s="171"/>
      <c r="O18134" s="171"/>
      <c r="P18134" s="171"/>
      <c r="Q18134" s="171"/>
      <c r="R18134" s="171"/>
      <c r="S18134" s="171"/>
      <c r="T18134" s="171"/>
      <c r="U18134" s="171"/>
      <c r="V18134" s="171"/>
      <c r="W18134" s="171"/>
      <c r="X18134" s="171"/>
      <c r="Y18134" s="171"/>
      <c r="Z18134" s="171"/>
      <c r="AA18134" s="171"/>
    </row>
    <row r="18135" spans="1:27" s="530" customFormat="1" ht="13.5" hidden="1" thickBot="1" x14ac:dyDescent="0.25">
      <c r="A18135" s="526"/>
      <c r="B18135" s="527"/>
      <c r="C18135" s="534"/>
      <c r="D18135" s="535"/>
      <c r="E18135" s="535"/>
      <c r="F18135" s="503" t="s">
        <v>246</v>
      </c>
      <c r="G18135" s="504" t="s">
        <v>247</v>
      </c>
      <c r="H18135" s="397"/>
      <c r="I18135" s="397"/>
      <c r="J18135" s="750" t="e">
        <f t="shared" si="220"/>
        <v>#DIV/0!</v>
      </c>
      <c r="K18135" s="398"/>
      <c r="L18135" s="404"/>
      <c r="M18135" s="682"/>
      <c r="N18135" s="171"/>
      <c r="O18135" s="171"/>
      <c r="P18135" s="171"/>
      <c r="Q18135" s="171"/>
      <c r="R18135" s="171"/>
      <c r="S18135" s="171"/>
      <c r="T18135" s="171"/>
      <c r="U18135" s="171"/>
      <c r="V18135" s="171"/>
      <c r="W18135" s="171"/>
      <c r="X18135" s="171"/>
      <c r="Y18135" s="171"/>
      <c r="Z18135" s="171"/>
      <c r="AA18135" s="171"/>
    </row>
    <row r="18136" spans="1:27" s="530" customFormat="1" ht="26.25" hidden="1" thickBot="1" x14ac:dyDescent="0.25">
      <c r="A18136" s="526"/>
      <c r="B18136" s="527"/>
      <c r="C18136" s="534"/>
      <c r="D18136" s="535"/>
      <c r="E18136" s="535"/>
      <c r="F18136" s="503" t="s">
        <v>248</v>
      </c>
      <c r="G18136" s="504" t="s">
        <v>249</v>
      </c>
      <c r="H18136" s="397"/>
      <c r="I18136" s="397"/>
      <c r="J18136" s="750" t="e">
        <f t="shared" si="220"/>
        <v>#DIV/0!</v>
      </c>
      <c r="K18136" s="398"/>
      <c r="L18136" s="404"/>
      <c r="M18136" s="682"/>
      <c r="N18136" s="171"/>
      <c r="O18136" s="171"/>
      <c r="P18136" s="171"/>
      <c r="Q18136" s="171"/>
      <c r="R18136" s="171"/>
      <c r="S18136" s="171"/>
      <c r="T18136" s="171"/>
      <c r="U18136" s="171"/>
      <c r="V18136" s="171"/>
      <c r="W18136" s="171"/>
      <c r="X18136" s="171"/>
      <c r="Y18136" s="171"/>
      <c r="Z18136" s="171"/>
      <c r="AA18136" s="171"/>
    </row>
    <row r="18137" spans="1:27" s="530" customFormat="1" ht="13.5" hidden="1" thickBot="1" x14ac:dyDescent="0.25">
      <c r="A18137" s="526"/>
      <c r="B18137" s="527"/>
      <c r="C18137" s="534"/>
      <c r="D18137" s="535"/>
      <c r="E18137" s="535"/>
      <c r="F18137" s="503" t="s">
        <v>250</v>
      </c>
      <c r="G18137" s="504" t="s">
        <v>57</v>
      </c>
      <c r="H18137" s="397"/>
      <c r="I18137" s="397"/>
      <c r="J18137" s="750" t="e">
        <f t="shared" si="220"/>
        <v>#DIV/0!</v>
      </c>
      <c r="K18137" s="398"/>
      <c r="L18137" s="404"/>
      <c r="M18137" s="682"/>
      <c r="N18137" s="171"/>
      <c r="O18137" s="171"/>
      <c r="P18137" s="171"/>
      <c r="Q18137" s="171"/>
      <c r="R18137" s="171"/>
      <c r="S18137" s="171"/>
      <c r="T18137" s="171"/>
      <c r="U18137" s="171"/>
      <c r="V18137" s="171"/>
      <c r="W18137" s="171"/>
      <c r="X18137" s="171"/>
      <c r="Y18137" s="171"/>
      <c r="Z18137" s="171"/>
      <c r="AA18137" s="171"/>
    </row>
    <row r="18138" spans="1:27" s="530" customFormat="1" ht="13.5" hidden="1" thickBot="1" x14ac:dyDescent="0.25">
      <c r="A18138" s="526"/>
      <c r="B18138" s="527"/>
      <c r="C18138" s="534"/>
      <c r="D18138" s="535"/>
      <c r="E18138" s="535"/>
      <c r="F18138" s="503" t="s">
        <v>251</v>
      </c>
      <c r="G18138" s="504" t="s">
        <v>252</v>
      </c>
      <c r="H18138" s="397"/>
      <c r="I18138" s="397"/>
      <c r="J18138" s="750" t="e">
        <f t="shared" si="220"/>
        <v>#DIV/0!</v>
      </c>
      <c r="K18138" s="398"/>
      <c r="L18138" s="404"/>
      <c r="M18138" s="682"/>
      <c r="N18138" s="171"/>
      <c r="O18138" s="171"/>
      <c r="P18138" s="171"/>
      <c r="Q18138" s="171"/>
      <c r="R18138" s="171"/>
      <c r="S18138" s="171"/>
      <c r="T18138" s="171"/>
      <c r="U18138" s="171"/>
      <c r="V18138" s="171"/>
      <c r="W18138" s="171"/>
      <c r="X18138" s="171"/>
      <c r="Y18138" s="171"/>
      <c r="Z18138" s="171"/>
      <c r="AA18138" s="171"/>
    </row>
    <row r="18139" spans="1:27" s="530" customFormat="1" ht="13.5" hidden="1" thickBot="1" x14ac:dyDescent="0.25">
      <c r="A18139" s="526"/>
      <c r="B18139" s="527"/>
      <c r="C18139" s="534"/>
      <c r="D18139" s="535"/>
      <c r="E18139" s="535"/>
      <c r="F18139" s="503" t="s">
        <v>253</v>
      </c>
      <c r="G18139" s="504" t="s">
        <v>254</v>
      </c>
      <c r="H18139" s="397"/>
      <c r="I18139" s="397"/>
      <c r="J18139" s="750" t="e">
        <f t="shared" si="220"/>
        <v>#DIV/0!</v>
      </c>
      <c r="K18139" s="398"/>
      <c r="L18139" s="404"/>
      <c r="M18139" s="682"/>
      <c r="N18139" s="171"/>
      <c r="O18139" s="171"/>
      <c r="P18139" s="171"/>
      <c r="Q18139" s="171"/>
      <c r="R18139" s="171"/>
      <c r="S18139" s="171"/>
      <c r="T18139" s="171"/>
      <c r="U18139" s="171"/>
      <c r="V18139" s="171"/>
      <c r="W18139" s="171"/>
      <c r="X18139" s="171"/>
      <c r="Y18139" s="171"/>
      <c r="Z18139" s="171"/>
      <c r="AA18139" s="171"/>
    </row>
    <row r="18140" spans="1:27" s="530" customFormat="1" ht="26.25" hidden="1" thickBot="1" x14ac:dyDescent="0.25">
      <c r="A18140" s="526"/>
      <c r="B18140" s="527"/>
      <c r="C18140" s="534"/>
      <c r="D18140" s="535"/>
      <c r="E18140" s="535"/>
      <c r="F18140" s="503" t="s">
        <v>255</v>
      </c>
      <c r="G18140" s="504" t="s">
        <v>256</v>
      </c>
      <c r="H18140" s="397"/>
      <c r="I18140" s="397"/>
      <c r="J18140" s="750" t="e">
        <f t="shared" si="220"/>
        <v>#DIV/0!</v>
      </c>
      <c r="K18140" s="398"/>
      <c r="L18140" s="404"/>
      <c r="M18140" s="682"/>
      <c r="N18140" s="171"/>
      <c r="O18140" s="171"/>
      <c r="P18140" s="171"/>
      <c r="Q18140" s="171"/>
      <c r="R18140" s="171"/>
      <c r="S18140" s="171"/>
      <c r="T18140" s="171"/>
      <c r="U18140" s="171"/>
      <c r="V18140" s="171"/>
      <c r="W18140" s="171"/>
      <c r="X18140" s="171"/>
      <c r="Y18140" s="171"/>
      <c r="Z18140" s="171"/>
      <c r="AA18140" s="171"/>
    </row>
    <row r="18141" spans="1:27" s="530" customFormat="1" ht="26.25" hidden="1" thickBot="1" x14ac:dyDescent="0.25">
      <c r="A18141" s="526"/>
      <c r="B18141" s="527"/>
      <c r="C18141" s="534"/>
      <c r="D18141" s="535"/>
      <c r="E18141" s="535"/>
      <c r="F18141" s="503" t="s">
        <v>257</v>
      </c>
      <c r="G18141" s="504" t="s">
        <v>258</v>
      </c>
      <c r="H18141" s="397"/>
      <c r="I18141" s="397"/>
      <c r="J18141" s="750" t="e">
        <f t="shared" si="220"/>
        <v>#DIV/0!</v>
      </c>
      <c r="K18141" s="398"/>
      <c r="L18141" s="404"/>
      <c r="M18141" s="682"/>
      <c r="N18141" s="171"/>
      <c r="O18141" s="171"/>
      <c r="P18141" s="171"/>
      <c r="Q18141" s="171"/>
      <c r="R18141" s="171"/>
      <c r="S18141" s="171"/>
      <c r="T18141" s="171"/>
      <c r="U18141" s="171"/>
      <c r="V18141" s="171"/>
      <c r="W18141" s="171"/>
      <c r="X18141" s="171"/>
      <c r="Y18141" s="171"/>
      <c r="Z18141" s="171"/>
      <c r="AA18141" s="171"/>
    </row>
    <row r="18142" spans="1:27" s="530" customFormat="1" ht="26.25" hidden="1" thickBot="1" x14ac:dyDescent="0.25">
      <c r="A18142" s="526"/>
      <c r="B18142" s="527"/>
      <c r="C18142" s="534"/>
      <c r="D18142" s="535"/>
      <c r="E18142" s="535"/>
      <c r="F18142" s="503" t="s">
        <v>259</v>
      </c>
      <c r="G18142" s="504" t="s">
        <v>260</v>
      </c>
      <c r="H18142" s="397"/>
      <c r="I18142" s="397"/>
      <c r="J18142" s="750" t="e">
        <f t="shared" si="220"/>
        <v>#DIV/0!</v>
      </c>
      <c r="K18142" s="398"/>
      <c r="L18142" s="404"/>
      <c r="M18142" s="682"/>
      <c r="N18142" s="171"/>
      <c r="O18142" s="171"/>
      <c r="P18142" s="171"/>
      <c r="Q18142" s="171"/>
      <c r="R18142" s="171"/>
      <c r="S18142" s="171"/>
      <c r="T18142" s="171"/>
      <c r="U18142" s="171"/>
      <c r="V18142" s="171"/>
      <c r="W18142" s="171"/>
      <c r="X18142" s="171"/>
      <c r="Y18142" s="171"/>
      <c r="Z18142" s="171"/>
      <c r="AA18142" s="171"/>
    </row>
    <row r="18143" spans="1:27" s="530" customFormat="1" ht="26.25" hidden="1" thickBot="1" x14ac:dyDescent="0.25">
      <c r="A18143" s="526"/>
      <c r="B18143" s="527"/>
      <c r="C18143" s="534"/>
      <c r="D18143" s="535"/>
      <c r="E18143" s="535"/>
      <c r="F18143" s="503" t="s">
        <v>261</v>
      </c>
      <c r="G18143" s="504" t="s">
        <v>262</v>
      </c>
      <c r="H18143" s="397"/>
      <c r="I18143" s="397"/>
      <c r="J18143" s="750" t="e">
        <f t="shared" si="220"/>
        <v>#DIV/0!</v>
      </c>
      <c r="K18143" s="398"/>
      <c r="L18143" s="404"/>
      <c r="M18143" s="682"/>
      <c r="N18143" s="171"/>
      <c r="O18143" s="171"/>
      <c r="P18143" s="171"/>
      <c r="Q18143" s="171"/>
      <c r="R18143" s="171"/>
      <c r="S18143" s="171"/>
      <c r="T18143" s="171"/>
      <c r="U18143" s="171"/>
      <c r="V18143" s="171"/>
      <c r="W18143" s="171"/>
      <c r="X18143" s="171"/>
      <c r="Y18143" s="171"/>
      <c r="Z18143" s="171"/>
      <c r="AA18143" s="171"/>
    </row>
    <row r="18144" spans="1:27" s="530" customFormat="1" ht="13.5" hidden="1" thickBot="1" x14ac:dyDescent="0.25">
      <c r="A18144" s="526"/>
      <c r="B18144" s="527"/>
      <c r="C18144" s="534"/>
      <c r="D18144" s="535"/>
      <c r="E18144" s="535"/>
      <c r="F18144" s="503" t="s">
        <v>263</v>
      </c>
      <c r="G18144" s="504" t="s">
        <v>264</v>
      </c>
      <c r="H18144" s="403"/>
      <c r="I18144" s="403"/>
      <c r="J18144" s="750" t="e">
        <f t="shared" si="220"/>
        <v>#DIV/0!</v>
      </c>
      <c r="K18144" s="404"/>
      <c r="L18144" s="404"/>
      <c r="M18144" s="682"/>
      <c r="N18144" s="171"/>
      <c r="O18144" s="171"/>
      <c r="P18144" s="171"/>
      <c r="Q18144" s="171"/>
      <c r="R18144" s="171"/>
      <c r="S18144" s="171"/>
      <c r="T18144" s="171"/>
      <c r="U18144" s="171"/>
      <c r="V18144" s="171"/>
      <c r="W18144" s="171"/>
      <c r="X18144" s="171"/>
      <c r="Y18144" s="171"/>
      <c r="Z18144" s="171"/>
      <c r="AA18144" s="171"/>
    </row>
    <row r="18145" spans="1:27" s="530" customFormat="1" ht="13.5" thickBot="1" x14ac:dyDescent="0.25">
      <c r="A18145" s="526"/>
      <c r="B18145" s="527"/>
      <c r="C18145" s="534"/>
      <c r="D18145" s="535"/>
      <c r="E18145" s="535"/>
      <c r="F18145" s="464"/>
      <c r="G18145" s="505" t="s">
        <v>4204</v>
      </c>
      <c r="H18145" s="405">
        <f>SUM(H18129:H18144)</f>
        <v>1009200</v>
      </c>
      <c r="I18145" s="405">
        <f>SUM(I18129)</f>
        <v>857415.56</v>
      </c>
      <c r="J18145" s="750">
        <f t="shared" si="220"/>
        <v>84.959924692826007</v>
      </c>
      <c r="K18145" s="406">
        <f>SUM(K18130:K18144)</f>
        <v>0</v>
      </c>
      <c r="L18145" s="406"/>
      <c r="M18145" s="682"/>
      <c r="N18145" s="171"/>
      <c r="O18145" s="171"/>
      <c r="P18145" s="171"/>
      <c r="Q18145" s="171"/>
      <c r="R18145" s="171"/>
      <c r="S18145" s="171"/>
      <c r="T18145" s="171"/>
      <c r="U18145" s="171"/>
      <c r="V18145" s="171"/>
      <c r="W18145" s="171"/>
      <c r="X18145" s="171"/>
      <c r="Y18145" s="171"/>
      <c r="Z18145" s="171"/>
      <c r="AA18145" s="171"/>
    </row>
    <row r="18146" spans="1:27" ht="9.75" customHeight="1" x14ac:dyDescent="0.2">
      <c r="H18146" s="397"/>
      <c r="I18146" s="397"/>
      <c r="J18146" s="750"/>
      <c r="K18146" s="398"/>
      <c r="L18146" s="398"/>
      <c r="M18146" s="682"/>
    </row>
    <row r="18147" spans="1:27" x14ac:dyDescent="0.2">
      <c r="E18147" s="500"/>
      <c r="F18147" s="498"/>
      <c r="G18147" s="511" t="s">
        <v>4206</v>
      </c>
      <c r="H18147" s="413"/>
      <c r="I18147" s="413"/>
      <c r="J18147" s="750"/>
      <c r="K18147" s="414"/>
      <c r="L18147" s="415"/>
      <c r="M18147" s="682"/>
    </row>
    <row r="18148" spans="1:27" x14ac:dyDescent="0.2">
      <c r="E18148" s="502"/>
      <c r="F18148" s="503" t="s">
        <v>234</v>
      </c>
      <c r="G18148" s="504" t="s">
        <v>235</v>
      </c>
      <c r="H18148" s="403">
        <f>SUM(H18129)</f>
        <v>1009200</v>
      </c>
      <c r="I18148" s="403">
        <f>SUM(I18145)</f>
        <v>857415.56</v>
      </c>
      <c r="J18148" s="750">
        <f t="shared" si="220"/>
        <v>84.959924692826007</v>
      </c>
      <c r="K18148" s="404"/>
      <c r="L18148" s="404"/>
      <c r="M18148" s="682"/>
    </row>
    <row r="18149" spans="1:27" ht="2.25" customHeight="1" thickBot="1" x14ac:dyDescent="0.25">
      <c r="F18149" s="503" t="s">
        <v>236</v>
      </c>
      <c r="G18149" s="504" t="s">
        <v>237</v>
      </c>
      <c r="H18149" s="397"/>
      <c r="I18149" s="397"/>
      <c r="J18149" s="750"/>
      <c r="K18149" s="398"/>
      <c r="L18149" s="404"/>
      <c r="M18149" s="682"/>
    </row>
    <row r="18150" spans="1:27" ht="2.25" hidden="1" customHeight="1" thickBot="1" x14ac:dyDescent="0.25">
      <c r="F18150" s="503" t="s">
        <v>238</v>
      </c>
      <c r="G18150" s="504" t="s">
        <v>239</v>
      </c>
      <c r="H18150" s="397"/>
      <c r="I18150" s="397"/>
      <c r="J18150" s="750" t="e">
        <f t="shared" si="220"/>
        <v>#DIV/0!</v>
      </c>
      <c r="K18150" s="398"/>
      <c r="L18150" s="404"/>
      <c r="M18150" s="682"/>
    </row>
    <row r="18151" spans="1:27" ht="13.5" hidden="1" thickBot="1" x14ac:dyDescent="0.25">
      <c r="F18151" s="503" t="s">
        <v>240</v>
      </c>
      <c r="G18151" s="504" t="s">
        <v>241</v>
      </c>
      <c r="H18151" s="397"/>
      <c r="I18151" s="397"/>
      <c r="J18151" s="750" t="e">
        <f t="shared" si="220"/>
        <v>#DIV/0!</v>
      </c>
      <c r="K18151" s="398"/>
      <c r="L18151" s="404"/>
      <c r="M18151" s="682"/>
    </row>
    <row r="18152" spans="1:27" ht="13.5" hidden="1" thickBot="1" x14ac:dyDescent="0.25">
      <c r="F18152" s="503" t="s">
        <v>242</v>
      </c>
      <c r="G18152" s="504" t="s">
        <v>243</v>
      </c>
      <c r="H18152" s="397"/>
      <c r="I18152" s="397"/>
      <c r="J18152" s="750" t="e">
        <f t="shared" si="220"/>
        <v>#DIV/0!</v>
      </c>
      <c r="K18152" s="398"/>
      <c r="L18152" s="404"/>
      <c r="M18152" s="682"/>
    </row>
    <row r="18153" spans="1:27" ht="13.5" hidden="1" thickBot="1" x14ac:dyDescent="0.25">
      <c r="F18153" s="503" t="s">
        <v>244</v>
      </c>
      <c r="G18153" s="504" t="s">
        <v>245</v>
      </c>
      <c r="H18153" s="397"/>
      <c r="I18153" s="397"/>
      <c r="J18153" s="750" t="e">
        <f t="shared" si="220"/>
        <v>#DIV/0!</v>
      </c>
      <c r="K18153" s="398"/>
      <c r="L18153" s="404"/>
      <c r="M18153" s="682"/>
    </row>
    <row r="18154" spans="1:27" ht="13.5" hidden="1" thickBot="1" x14ac:dyDescent="0.25">
      <c r="F18154" s="503" t="s">
        <v>246</v>
      </c>
      <c r="G18154" s="504" t="s">
        <v>247</v>
      </c>
      <c r="H18154" s="397"/>
      <c r="I18154" s="397"/>
      <c r="J18154" s="750" t="e">
        <f t="shared" si="220"/>
        <v>#DIV/0!</v>
      </c>
      <c r="K18154" s="398"/>
      <c r="L18154" s="404"/>
      <c r="M18154" s="682"/>
    </row>
    <row r="18155" spans="1:27" ht="26.25" hidden="1" thickBot="1" x14ac:dyDescent="0.25">
      <c r="F18155" s="503" t="s">
        <v>248</v>
      </c>
      <c r="G18155" s="504" t="s">
        <v>249</v>
      </c>
      <c r="H18155" s="397"/>
      <c r="I18155" s="397"/>
      <c r="J18155" s="750" t="e">
        <f t="shared" si="220"/>
        <v>#DIV/0!</v>
      </c>
      <c r="K18155" s="398"/>
      <c r="L18155" s="404"/>
      <c r="M18155" s="682"/>
    </row>
    <row r="18156" spans="1:27" ht="13.5" hidden="1" thickBot="1" x14ac:dyDescent="0.25">
      <c r="F18156" s="503" t="s">
        <v>250</v>
      </c>
      <c r="G18156" s="504" t="s">
        <v>57</v>
      </c>
      <c r="H18156" s="397"/>
      <c r="I18156" s="397"/>
      <c r="J18156" s="750" t="e">
        <f t="shared" si="220"/>
        <v>#DIV/0!</v>
      </c>
      <c r="K18156" s="398"/>
      <c r="L18156" s="404"/>
      <c r="M18156" s="682"/>
    </row>
    <row r="18157" spans="1:27" ht="13.5" hidden="1" thickBot="1" x14ac:dyDescent="0.25">
      <c r="F18157" s="503" t="s">
        <v>251</v>
      </c>
      <c r="G18157" s="504" t="s">
        <v>252</v>
      </c>
      <c r="H18157" s="397"/>
      <c r="I18157" s="397"/>
      <c r="J18157" s="750" t="e">
        <f t="shared" si="220"/>
        <v>#DIV/0!</v>
      </c>
      <c r="K18157" s="398"/>
      <c r="L18157" s="404"/>
      <c r="M18157" s="682"/>
    </row>
    <row r="18158" spans="1:27" ht="13.5" hidden="1" thickBot="1" x14ac:dyDescent="0.25">
      <c r="F18158" s="503" t="s">
        <v>253</v>
      </c>
      <c r="G18158" s="504" t="s">
        <v>254</v>
      </c>
      <c r="H18158" s="397"/>
      <c r="I18158" s="397"/>
      <c r="J18158" s="750" t="e">
        <f t="shared" si="220"/>
        <v>#DIV/0!</v>
      </c>
      <c r="K18158" s="398"/>
      <c r="L18158" s="404"/>
      <c r="M18158" s="682"/>
    </row>
    <row r="18159" spans="1:27" ht="26.25" hidden="1" thickBot="1" x14ac:dyDescent="0.25">
      <c r="F18159" s="503" t="s">
        <v>255</v>
      </c>
      <c r="G18159" s="504" t="s">
        <v>256</v>
      </c>
      <c r="H18159" s="397"/>
      <c r="I18159" s="397"/>
      <c r="J18159" s="750" t="e">
        <f t="shared" si="220"/>
        <v>#DIV/0!</v>
      </c>
      <c r="K18159" s="398"/>
      <c r="L18159" s="404"/>
      <c r="M18159" s="682"/>
    </row>
    <row r="18160" spans="1:27" ht="26.25" hidden="1" thickBot="1" x14ac:dyDescent="0.25">
      <c r="F18160" s="503" t="s">
        <v>257</v>
      </c>
      <c r="G18160" s="504" t="s">
        <v>258</v>
      </c>
      <c r="H18160" s="397"/>
      <c r="I18160" s="397"/>
      <c r="J18160" s="750" t="e">
        <f t="shared" si="220"/>
        <v>#DIV/0!</v>
      </c>
      <c r="K18160" s="398"/>
      <c r="L18160" s="404"/>
      <c r="M18160" s="682"/>
    </row>
    <row r="18161" spans="5:13" ht="26.25" hidden="1" thickBot="1" x14ac:dyDescent="0.25">
      <c r="F18161" s="503" t="s">
        <v>259</v>
      </c>
      <c r="G18161" s="504" t="s">
        <v>260</v>
      </c>
      <c r="H18161" s="397"/>
      <c r="I18161" s="397"/>
      <c r="J18161" s="750" t="e">
        <f t="shared" si="220"/>
        <v>#DIV/0!</v>
      </c>
      <c r="K18161" s="398"/>
      <c r="L18161" s="404"/>
      <c r="M18161" s="682"/>
    </row>
    <row r="18162" spans="5:13" ht="26.25" hidden="1" thickBot="1" x14ac:dyDescent="0.25">
      <c r="F18162" s="503" t="s">
        <v>261</v>
      </c>
      <c r="G18162" s="504" t="s">
        <v>262</v>
      </c>
      <c r="H18162" s="397"/>
      <c r="I18162" s="397"/>
      <c r="J18162" s="750" t="e">
        <f t="shared" si="220"/>
        <v>#DIV/0!</v>
      </c>
      <c r="K18162" s="398"/>
      <c r="L18162" s="404"/>
      <c r="M18162" s="682"/>
    </row>
    <row r="18163" spans="5:13" ht="13.5" hidden="1" thickBot="1" x14ac:dyDescent="0.25">
      <c r="F18163" s="503" t="s">
        <v>263</v>
      </c>
      <c r="G18163" s="504" t="s">
        <v>264</v>
      </c>
      <c r="H18163" s="403"/>
      <c r="I18163" s="403"/>
      <c r="J18163" s="750" t="e">
        <f t="shared" si="220"/>
        <v>#DIV/0!</v>
      </c>
      <c r="K18163" s="404"/>
      <c r="L18163" s="404"/>
      <c r="M18163" s="682"/>
    </row>
    <row r="18164" spans="5:13" ht="13.5" thickBot="1" x14ac:dyDescent="0.25">
      <c r="G18164" s="505" t="s">
        <v>4207</v>
      </c>
      <c r="H18164" s="405">
        <f>SUM(H18148:H18163)</f>
        <v>1009200</v>
      </c>
      <c r="I18164" s="405">
        <f>SUM(I18148)</f>
        <v>857415.56</v>
      </c>
      <c r="J18164" s="750">
        <f t="shared" si="220"/>
        <v>84.959924692826007</v>
      </c>
      <c r="K18164" s="406">
        <f>SUM(K18149:K18163)</f>
        <v>0</v>
      </c>
      <c r="L18164" s="406"/>
      <c r="M18164" s="682"/>
    </row>
    <row r="18165" spans="5:13" ht="9" hidden="1" customHeight="1" x14ac:dyDescent="0.2">
      <c r="H18165" s="397"/>
      <c r="I18165" s="397"/>
      <c r="J18165" s="750" t="e">
        <f t="shared" si="220"/>
        <v>#DIV/0!</v>
      </c>
      <c r="K18165" s="398"/>
      <c r="L18165" s="398"/>
      <c r="M18165" s="682"/>
    </row>
    <row r="18166" spans="5:13" x14ac:dyDescent="0.2">
      <c r="E18166" s="500"/>
      <c r="F18166" s="498"/>
      <c r="G18166" s="511" t="s">
        <v>5332</v>
      </c>
      <c r="H18166" s="413"/>
      <c r="I18166" s="413"/>
      <c r="J18166" s="750"/>
      <c r="K18166" s="414"/>
      <c r="L18166" s="415"/>
      <c r="M18166" s="682"/>
    </row>
    <row r="18167" spans="5:13" x14ac:dyDescent="0.2">
      <c r="E18167" s="502"/>
      <c r="F18167" s="503" t="s">
        <v>234</v>
      </c>
      <c r="G18167" s="504" t="s">
        <v>235</v>
      </c>
      <c r="H18167" s="403">
        <f>SUM(H18148)</f>
        <v>1009200</v>
      </c>
      <c r="I18167" s="403">
        <f>SUM(I18164)</f>
        <v>857415.56</v>
      </c>
      <c r="J18167" s="750">
        <f t="shared" si="220"/>
        <v>84.959924692826007</v>
      </c>
      <c r="K18167" s="404"/>
      <c r="L18167" s="404"/>
      <c r="M18167" s="682"/>
    </row>
    <row r="18168" spans="5:13" ht="1.5" customHeight="1" thickBot="1" x14ac:dyDescent="0.25">
      <c r="F18168" s="503" t="s">
        <v>236</v>
      </c>
      <c r="G18168" s="504" t="s">
        <v>237</v>
      </c>
      <c r="H18168" s="397"/>
      <c r="I18168" s="397"/>
      <c r="J18168" s="750" t="e">
        <f t="shared" si="220"/>
        <v>#DIV/0!</v>
      </c>
      <c r="K18168" s="398"/>
      <c r="L18168" s="404"/>
      <c r="M18168" s="682"/>
    </row>
    <row r="18169" spans="5:13" ht="13.5" hidden="1" thickBot="1" x14ac:dyDescent="0.25">
      <c r="F18169" s="503" t="s">
        <v>238</v>
      </c>
      <c r="G18169" s="504" t="s">
        <v>239</v>
      </c>
      <c r="H18169" s="397"/>
      <c r="I18169" s="397"/>
      <c r="J18169" s="750" t="e">
        <f t="shared" si="220"/>
        <v>#DIV/0!</v>
      </c>
      <c r="K18169" s="398"/>
      <c r="L18169" s="404"/>
      <c r="M18169" s="682"/>
    </row>
    <row r="18170" spans="5:13" ht="13.5" hidden="1" thickBot="1" x14ac:dyDescent="0.25">
      <c r="F18170" s="503" t="s">
        <v>240</v>
      </c>
      <c r="G18170" s="504" t="s">
        <v>241</v>
      </c>
      <c r="H18170" s="397"/>
      <c r="I18170" s="397"/>
      <c r="J18170" s="750" t="e">
        <f t="shared" si="220"/>
        <v>#DIV/0!</v>
      </c>
      <c r="K18170" s="398"/>
      <c r="L18170" s="404"/>
      <c r="M18170" s="682"/>
    </row>
    <row r="18171" spans="5:13" ht="13.5" hidden="1" thickBot="1" x14ac:dyDescent="0.25">
      <c r="F18171" s="503" t="s">
        <v>242</v>
      </c>
      <c r="G18171" s="504" t="s">
        <v>243</v>
      </c>
      <c r="H18171" s="397"/>
      <c r="I18171" s="397"/>
      <c r="J18171" s="750" t="e">
        <f t="shared" si="220"/>
        <v>#DIV/0!</v>
      </c>
      <c r="K18171" s="398"/>
      <c r="L18171" s="404"/>
      <c r="M18171" s="682"/>
    </row>
    <row r="18172" spans="5:13" ht="13.5" hidden="1" thickBot="1" x14ac:dyDescent="0.25">
      <c r="F18172" s="503" t="s">
        <v>244</v>
      </c>
      <c r="G18172" s="504" t="s">
        <v>245</v>
      </c>
      <c r="H18172" s="397"/>
      <c r="I18172" s="397"/>
      <c r="J18172" s="750" t="e">
        <f t="shared" si="220"/>
        <v>#DIV/0!</v>
      </c>
      <c r="K18172" s="398"/>
      <c r="L18172" s="404"/>
      <c r="M18172" s="682"/>
    </row>
    <row r="18173" spans="5:13" ht="13.5" hidden="1" thickBot="1" x14ac:dyDescent="0.25">
      <c r="F18173" s="503" t="s">
        <v>246</v>
      </c>
      <c r="G18173" s="504" t="s">
        <v>247</v>
      </c>
      <c r="H18173" s="397"/>
      <c r="I18173" s="397"/>
      <c r="J18173" s="750" t="e">
        <f t="shared" si="220"/>
        <v>#DIV/0!</v>
      </c>
      <c r="K18173" s="398"/>
      <c r="L18173" s="404"/>
      <c r="M18173" s="682"/>
    </row>
    <row r="18174" spans="5:13" ht="26.25" hidden="1" thickBot="1" x14ac:dyDescent="0.25">
      <c r="F18174" s="503" t="s">
        <v>248</v>
      </c>
      <c r="G18174" s="504" t="s">
        <v>249</v>
      </c>
      <c r="H18174" s="397"/>
      <c r="I18174" s="397"/>
      <c r="J18174" s="750" t="e">
        <f t="shared" si="220"/>
        <v>#DIV/0!</v>
      </c>
      <c r="K18174" s="398"/>
      <c r="L18174" s="404"/>
      <c r="M18174" s="682"/>
    </row>
    <row r="18175" spans="5:13" ht="13.5" hidden="1" thickBot="1" x14ac:dyDescent="0.25">
      <c r="F18175" s="503" t="s">
        <v>250</v>
      </c>
      <c r="G18175" s="504" t="s">
        <v>57</v>
      </c>
      <c r="H18175" s="397"/>
      <c r="I18175" s="397"/>
      <c r="J18175" s="750" t="e">
        <f t="shared" si="220"/>
        <v>#DIV/0!</v>
      </c>
      <c r="K18175" s="398"/>
      <c r="L18175" s="404"/>
      <c r="M18175" s="682"/>
    </row>
    <row r="18176" spans="5:13" ht="13.5" hidden="1" thickBot="1" x14ac:dyDescent="0.25">
      <c r="F18176" s="503" t="s">
        <v>251</v>
      </c>
      <c r="G18176" s="504" t="s">
        <v>252</v>
      </c>
      <c r="H18176" s="397"/>
      <c r="I18176" s="397"/>
      <c r="J18176" s="750" t="e">
        <f t="shared" si="220"/>
        <v>#DIV/0!</v>
      </c>
      <c r="K18176" s="398"/>
      <c r="L18176" s="404"/>
      <c r="M18176" s="682"/>
    </row>
    <row r="18177" spans="1:13" ht="13.5" hidden="1" thickBot="1" x14ac:dyDescent="0.25">
      <c r="F18177" s="503" t="s">
        <v>253</v>
      </c>
      <c r="G18177" s="504" t="s">
        <v>254</v>
      </c>
      <c r="H18177" s="397"/>
      <c r="I18177" s="397"/>
      <c r="J18177" s="750" t="e">
        <f t="shared" si="220"/>
        <v>#DIV/0!</v>
      </c>
      <c r="K18177" s="398"/>
      <c r="L18177" s="404"/>
      <c r="M18177" s="682"/>
    </row>
    <row r="18178" spans="1:13" ht="26.25" hidden="1" thickBot="1" x14ac:dyDescent="0.25">
      <c r="F18178" s="503" t="s">
        <v>255</v>
      </c>
      <c r="G18178" s="504" t="s">
        <v>256</v>
      </c>
      <c r="H18178" s="397"/>
      <c r="I18178" s="397"/>
      <c r="J18178" s="750" t="e">
        <f t="shared" si="220"/>
        <v>#DIV/0!</v>
      </c>
      <c r="K18178" s="398"/>
      <c r="L18178" s="404"/>
      <c r="M18178" s="682"/>
    </row>
    <row r="18179" spans="1:13" ht="26.25" hidden="1" thickBot="1" x14ac:dyDescent="0.25">
      <c r="F18179" s="503" t="s">
        <v>257</v>
      </c>
      <c r="G18179" s="504" t="s">
        <v>258</v>
      </c>
      <c r="H18179" s="397"/>
      <c r="I18179" s="397"/>
      <c r="J18179" s="750" t="e">
        <f t="shared" si="220"/>
        <v>#DIV/0!</v>
      </c>
      <c r="K18179" s="398"/>
      <c r="L18179" s="404"/>
      <c r="M18179" s="682"/>
    </row>
    <row r="18180" spans="1:13" ht="26.25" hidden="1" thickBot="1" x14ac:dyDescent="0.25">
      <c r="F18180" s="503" t="s">
        <v>259</v>
      </c>
      <c r="G18180" s="504" t="s">
        <v>260</v>
      </c>
      <c r="H18180" s="397"/>
      <c r="I18180" s="397"/>
      <c r="J18180" s="750" t="e">
        <f t="shared" si="220"/>
        <v>#DIV/0!</v>
      </c>
      <c r="K18180" s="398"/>
      <c r="L18180" s="404"/>
      <c r="M18180" s="682"/>
    </row>
    <row r="18181" spans="1:13" ht="26.25" hidden="1" thickBot="1" x14ac:dyDescent="0.25">
      <c r="F18181" s="503" t="s">
        <v>261</v>
      </c>
      <c r="G18181" s="504" t="s">
        <v>262</v>
      </c>
      <c r="H18181" s="397"/>
      <c r="I18181" s="397"/>
      <c r="J18181" s="750" t="e">
        <f t="shared" si="220"/>
        <v>#DIV/0!</v>
      </c>
      <c r="K18181" s="398"/>
      <c r="L18181" s="404"/>
      <c r="M18181" s="682"/>
    </row>
    <row r="18182" spans="1:13" ht="13.5" hidden="1" thickBot="1" x14ac:dyDescent="0.25">
      <c r="F18182" s="503" t="s">
        <v>263</v>
      </c>
      <c r="G18182" s="504" t="s">
        <v>264</v>
      </c>
      <c r="H18182" s="403"/>
      <c r="I18182" s="403"/>
      <c r="J18182" s="750" t="e">
        <f t="shared" si="220"/>
        <v>#DIV/0!</v>
      </c>
      <c r="K18182" s="404"/>
      <c r="L18182" s="404"/>
      <c r="M18182" s="682"/>
    </row>
    <row r="18183" spans="1:13" ht="13.5" thickBot="1" x14ac:dyDescent="0.25">
      <c r="G18183" s="505" t="s">
        <v>5333</v>
      </c>
      <c r="H18183" s="405">
        <f>SUM(H18167:H18182)</f>
        <v>1009200</v>
      </c>
      <c r="I18183" s="405">
        <f>SUM(I18167)</f>
        <v>857415.56</v>
      </c>
      <c r="J18183" s="750">
        <f t="shared" si="220"/>
        <v>84.959924692826007</v>
      </c>
      <c r="K18183" s="406">
        <f>SUM(K18168:K18182)</f>
        <v>0</v>
      </c>
      <c r="L18183" s="406"/>
      <c r="M18183" s="682"/>
    </row>
    <row r="18184" spans="1:13" ht="0.75" customHeight="1" x14ac:dyDescent="0.2">
      <c r="H18184" s="397"/>
      <c r="I18184" s="397"/>
      <c r="J18184" s="750" t="e">
        <f t="shared" si="220"/>
        <v>#DIV/0!</v>
      </c>
      <c r="K18184" s="398"/>
      <c r="L18184" s="398"/>
      <c r="M18184" s="682"/>
    </row>
    <row r="18185" spans="1:13" ht="8.25" customHeight="1" x14ac:dyDescent="0.2">
      <c r="A18185" s="485"/>
      <c r="B18185" s="485"/>
      <c r="C18185" s="484"/>
      <c r="D18185" s="485"/>
      <c r="E18185" s="485"/>
      <c r="F18185" s="485"/>
      <c r="G18185" s="674"/>
      <c r="H18185" s="416"/>
      <c r="I18185" s="416"/>
      <c r="J18185" s="754"/>
      <c r="K18185" s="417"/>
      <c r="L18185" s="417"/>
      <c r="M18185" s="682"/>
    </row>
    <row r="18186" spans="1:13" x14ac:dyDescent="0.2">
      <c r="E18186" s="500"/>
      <c r="F18186" s="498"/>
      <c r="G18186" s="511" t="s">
        <v>5334</v>
      </c>
      <c r="H18186" s="413"/>
      <c r="I18186" s="413"/>
      <c r="J18186" s="750"/>
      <c r="K18186" s="414"/>
      <c r="L18186" s="415"/>
      <c r="M18186" s="682"/>
    </row>
    <row r="18187" spans="1:13" x14ac:dyDescent="0.2">
      <c r="E18187" s="502"/>
      <c r="F18187" s="503" t="s">
        <v>234</v>
      </c>
      <c r="G18187" s="504" t="s">
        <v>235</v>
      </c>
      <c r="H18187" s="403">
        <f>SUM(H18183,H18009,H720,H346)</f>
        <v>547900000</v>
      </c>
      <c r="I18187" s="403">
        <f>SUM(I18167,I18009,I720,I346)</f>
        <v>495774278.00999999</v>
      </c>
      <c r="J18187" s="750">
        <f t="shared" si="220"/>
        <v>90.486270854170471</v>
      </c>
      <c r="K18187" s="404"/>
      <c r="L18187" s="404"/>
      <c r="M18187" s="682"/>
    </row>
    <row r="18188" spans="1:13" hidden="1" x14ac:dyDescent="0.2">
      <c r="F18188" s="503" t="s">
        <v>236</v>
      </c>
      <c r="G18188" s="504" t="s">
        <v>237</v>
      </c>
      <c r="H18188" s="397"/>
      <c r="I18188" s="397"/>
      <c r="J18188" s="750" t="e">
        <f t="shared" si="220"/>
        <v>#DIV/0!</v>
      </c>
      <c r="K18188" s="398"/>
      <c r="L18188" s="404"/>
      <c r="M18188" s="682"/>
    </row>
    <row r="18189" spans="1:13" hidden="1" x14ac:dyDescent="0.2">
      <c r="F18189" s="503" t="s">
        <v>238</v>
      </c>
      <c r="G18189" s="504" t="s">
        <v>239</v>
      </c>
      <c r="H18189" s="397"/>
      <c r="I18189" s="397"/>
      <c r="J18189" s="750" t="e">
        <f t="shared" si="220"/>
        <v>#DIV/0!</v>
      </c>
      <c r="K18189" s="398"/>
      <c r="L18189" s="404"/>
      <c r="M18189" s="682"/>
    </row>
    <row r="18190" spans="1:13" x14ac:dyDescent="0.2">
      <c r="F18190" s="503" t="s">
        <v>240</v>
      </c>
      <c r="G18190" s="504" t="s">
        <v>241</v>
      </c>
      <c r="H18190" s="397"/>
      <c r="I18190" s="397"/>
      <c r="J18190" s="750"/>
      <c r="K18190" s="398">
        <f>SUM(K18012)</f>
        <v>7035884</v>
      </c>
      <c r="L18190" s="404">
        <f>SUM(L14640,L12124,L9579,L7585,L7009,L1853)</f>
        <v>5544549.9900000012</v>
      </c>
      <c r="M18190" s="682"/>
    </row>
    <row r="18191" spans="1:13" hidden="1" x14ac:dyDescent="0.2">
      <c r="F18191" s="503" t="s">
        <v>242</v>
      </c>
      <c r="G18191" s="504" t="s">
        <v>243</v>
      </c>
      <c r="H18191" s="397"/>
      <c r="I18191" s="397"/>
      <c r="J18191" s="750" t="e">
        <f t="shared" ref="J18191:J18203" si="221">SUM(I18191/H18191)*100</f>
        <v>#DIV/0!</v>
      </c>
      <c r="K18191" s="398"/>
      <c r="L18191" s="404"/>
      <c r="M18191" s="682"/>
    </row>
    <row r="18192" spans="1:13" hidden="1" x14ac:dyDescent="0.2">
      <c r="F18192" s="503" t="s">
        <v>244</v>
      </c>
      <c r="G18192" s="504" t="s">
        <v>245</v>
      </c>
      <c r="H18192" s="397"/>
      <c r="I18192" s="397"/>
      <c r="J18192" s="750" t="e">
        <f t="shared" si="221"/>
        <v>#DIV/0!</v>
      </c>
      <c r="K18192" s="398"/>
      <c r="L18192" s="404"/>
      <c r="M18192" s="682"/>
    </row>
    <row r="18193" spans="3:15" ht="14.25" customHeight="1" x14ac:dyDescent="0.2">
      <c r="F18193" s="503" t="s">
        <v>246</v>
      </c>
      <c r="G18193" s="504" t="s">
        <v>247</v>
      </c>
      <c r="H18193" s="397"/>
      <c r="I18193" s="397"/>
      <c r="J18193" s="750"/>
      <c r="K18193" s="398">
        <f>SUM(K18015)</f>
        <v>25325491</v>
      </c>
      <c r="L18193" s="404">
        <f>SUM(L18015)</f>
        <v>28086289.619999997</v>
      </c>
      <c r="M18193" s="682"/>
    </row>
    <row r="18194" spans="3:15" ht="25.5" hidden="1" x14ac:dyDescent="0.2">
      <c r="F18194" s="503" t="s">
        <v>248</v>
      </c>
      <c r="G18194" s="504" t="s">
        <v>249</v>
      </c>
      <c r="H18194" s="397"/>
      <c r="I18194" s="397"/>
      <c r="J18194" s="750" t="e">
        <f t="shared" si="221"/>
        <v>#DIV/0!</v>
      </c>
      <c r="K18194" s="398"/>
      <c r="L18194" s="404"/>
      <c r="M18194" s="682"/>
    </row>
    <row r="18195" spans="3:15" hidden="1" x14ac:dyDescent="0.2">
      <c r="F18195" s="503" t="s">
        <v>250</v>
      </c>
      <c r="G18195" s="504" t="s">
        <v>57</v>
      </c>
      <c r="H18195" s="397"/>
      <c r="I18195" s="397"/>
      <c r="J18195" s="750" t="e">
        <f t="shared" si="221"/>
        <v>#DIV/0!</v>
      </c>
      <c r="K18195" s="398"/>
      <c r="L18195" s="404"/>
      <c r="M18195" s="682"/>
    </row>
    <row r="18196" spans="3:15" hidden="1" x14ac:dyDescent="0.2">
      <c r="F18196" s="503" t="s">
        <v>251</v>
      </c>
      <c r="G18196" s="504" t="s">
        <v>252</v>
      </c>
      <c r="H18196" s="397"/>
      <c r="I18196" s="397"/>
      <c r="J18196" s="750" t="e">
        <f t="shared" si="221"/>
        <v>#DIV/0!</v>
      </c>
      <c r="K18196" s="398"/>
      <c r="L18196" s="404"/>
      <c r="M18196" s="682"/>
    </row>
    <row r="18197" spans="3:15" hidden="1" x14ac:dyDescent="0.2">
      <c r="F18197" s="503" t="s">
        <v>253</v>
      </c>
      <c r="G18197" s="504" t="s">
        <v>254</v>
      </c>
      <c r="H18197" s="397"/>
      <c r="I18197" s="397"/>
      <c r="J18197" s="750" t="e">
        <f t="shared" si="221"/>
        <v>#DIV/0!</v>
      </c>
      <c r="K18197" s="398"/>
      <c r="L18197" s="404"/>
      <c r="M18197" s="682"/>
    </row>
    <row r="18198" spans="3:15" ht="25.5" hidden="1" x14ac:dyDescent="0.2">
      <c r="F18198" s="503" t="s">
        <v>255</v>
      </c>
      <c r="G18198" s="504" t="s">
        <v>256</v>
      </c>
      <c r="H18198" s="397"/>
      <c r="I18198" s="397"/>
      <c r="J18198" s="750" t="e">
        <f t="shared" si="221"/>
        <v>#DIV/0!</v>
      </c>
      <c r="K18198" s="398"/>
      <c r="L18198" s="404"/>
      <c r="M18198" s="682"/>
    </row>
    <row r="18199" spans="3:15" ht="14.25" customHeight="1" x14ac:dyDescent="0.2">
      <c r="F18199" s="503" t="s">
        <v>257</v>
      </c>
      <c r="G18199" s="504" t="s">
        <v>258</v>
      </c>
      <c r="H18199" s="397">
        <f>SUM(H18021,H446)</f>
        <v>43026249</v>
      </c>
      <c r="I18199" s="397">
        <f>SUM(I18021,I726)</f>
        <v>8741665.6500000004</v>
      </c>
      <c r="J18199" s="750">
        <f t="shared" si="221"/>
        <v>20.317052620599117</v>
      </c>
      <c r="K18199" s="398"/>
      <c r="L18199" s="404">
        <f>SUM(L18021)</f>
        <v>4647</v>
      </c>
      <c r="M18199" s="682"/>
    </row>
    <row r="18200" spans="3:15" ht="18" hidden="1" customHeight="1" x14ac:dyDescent="0.2">
      <c r="F18200" s="503" t="s">
        <v>259</v>
      </c>
      <c r="G18200" s="504" t="s">
        <v>260</v>
      </c>
      <c r="H18200" s="397"/>
      <c r="I18200" s="397"/>
      <c r="J18200" s="750"/>
      <c r="K18200" s="398"/>
      <c r="L18200" s="404"/>
      <c r="M18200" s="682"/>
    </row>
    <row r="18201" spans="3:15" ht="17.25" customHeight="1" thickBot="1" x14ac:dyDescent="0.25">
      <c r="F18201" s="503" t="s">
        <v>261</v>
      </c>
      <c r="G18201" s="504" t="s">
        <v>262</v>
      </c>
      <c r="H18201" s="397">
        <f>SUM(H538)</f>
        <v>2152541</v>
      </c>
      <c r="I18201" s="397"/>
      <c r="J18201" s="750">
        <f t="shared" si="221"/>
        <v>0</v>
      </c>
      <c r="K18201" s="398"/>
      <c r="L18201" s="404"/>
      <c r="M18201" s="682"/>
      <c r="O18201" s="399"/>
    </row>
    <row r="18202" spans="3:15" ht="14.25" hidden="1" customHeight="1" thickBot="1" x14ac:dyDescent="0.25">
      <c r="F18202" s="503" t="s">
        <v>263</v>
      </c>
      <c r="G18202" s="504" t="s">
        <v>264</v>
      </c>
      <c r="H18202" s="403"/>
      <c r="I18202" s="403"/>
      <c r="J18202" s="750" t="e">
        <f t="shared" si="221"/>
        <v>#DIV/0!</v>
      </c>
      <c r="K18202" s="404"/>
      <c r="L18202" s="404"/>
      <c r="M18202" s="682"/>
    </row>
    <row r="18203" spans="3:15" ht="13.5" thickBot="1" x14ac:dyDescent="0.25">
      <c r="G18203" s="505" t="s">
        <v>5153</v>
      </c>
      <c r="H18203" s="405">
        <f>SUM(H18187:H18202)</f>
        <v>593078790</v>
      </c>
      <c r="I18203" s="405">
        <f>SUM(I18187:I18200)</f>
        <v>504515943.65999997</v>
      </c>
      <c r="J18203" s="752">
        <f t="shared" si="221"/>
        <v>85.067271358667199</v>
      </c>
      <c r="K18203" s="406">
        <f>SUM(K18188:K18202)</f>
        <v>32361375</v>
      </c>
      <c r="L18203" s="406">
        <f>SUM(L18190:L18201)</f>
        <v>33635486.609999999</v>
      </c>
      <c r="M18203" s="682"/>
    </row>
    <row r="18204" spans="3:15" x14ac:dyDescent="0.2">
      <c r="G18204" s="510"/>
      <c r="H18204" s="462"/>
      <c r="I18204" s="462"/>
      <c r="J18204" s="462"/>
      <c r="K18204" s="463"/>
      <c r="L18204" s="463"/>
      <c r="O18204" s="399"/>
    </row>
    <row r="18205" spans="3:15" ht="20.25" customHeight="1" x14ac:dyDescent="0.2">
      <c r="G18205" s="510"/>
      <c r="H18205" s="462"/>
      <c r="I18205" s="462"/>
      <c r="J18205" s="462"/>
      <c r="K18205" s="463"/>
      <c r="L18205" s="463"/>
    </row>
    <row r="18206" spans="3:15" x14ac:dyDescent="0.2">
      <c r="F18206" s="862" t="s">
        <v>5390</v>
      </c>
      <c r="G18206" s="862"/>
      <c r="H18206" s="862"/>
      <c r="I18206" s="467"/>
      <c r="J18206" s="467"/>
      <c r="K18206" s="463"/>
      <c r="L18206" s="463"/>
    </row>
    <row r="18207" spans="3:15" ht="42.75" customHeight="1" x14ac:dyDescent="0.2">
      <c r="C18207" s="863" t="s">
        <v>5435</v>
      </c>
      <c r="D18207" s="863"/>
      <c r="E18207" s="863"/>
      <c r="F18207" s="863"/>
      <c r="G18207" s="863"/>
      <c r="H18207" s="863"/>
      <c r="I18207" s="863"/>
      <c r="J18207" s="863"/>
      <c r="K18207" s="863"/>
      <c r="L18207" s="863"/>
    </row>
    <row r="18208" spans="3:15" ht="28.5" customHeight="1" x14ac:dyDescent="0.2">
      <c r="C18208" s="863" t="s">
        <v>5391</v>
      </c>
      <c r="D18208" s="863"/>
      <c r="E18208" s="863"/>
      <c r="F18208" s="863"/>
      <c r="G18208" s="863"/>
      <c r="H18208" s="863"/>
      <c r="I18208" s="863"/>
      <c r="J18208" s="863"/>
      <c r="K18208" s="863"/>
      <c r="L18208" s="863"/>
    </row>
    <row r="18209" spans="2:12" x14ac:dyDescent="0.2">
      <c r="G18209" s="862" t="s">
        <v>5392</v>
      </c>
      <c r="H18209" s="862"/>
      <c r="I18209" s="467"/>
      <c r="J18209" s="467"/>
    </row>
    <row r="18210" spans="2:12" ht="27" customHeight="1" x14ac:dyDescent="0.2">
      <c r="C18210" s="864" t="s">
        <v>5393</v>
      </c>
      <c r="D18210" s="864"/>
      <c r="E18210" s="864"/>
      <c r="F18210" s="864"/>
      <c r="G18210" s="864"/>
      <c r="H18210" s="864"/>
      <c r="I18210" s="864"/>
      <c r="J18210" s="864"/>
      <c r="K18210" s="864"/>
      <c r="L18210" s="864"/>
    </row>
    <row r="18211" spans="2:12" hidden="1" x14ac:dyDescent="0.2">
      <c r="E18211" s="861"/>
      <c r="F18211" s="861"/>
      <c r="G18211" s="861"/>
      <c r="H18211" s="861"/>
      <c r="I18211" s="861"/>
      <c r="J18211" s="861"/>
      <c r="K18211" s="861"/>
    </row>
    <row r="18212" spans="2:12" hidden="1" x14ac:dyDescent="0.2"/>
    <row r="18213" spans="2:12" hidden="1" x14ac:dyDescent="0.2">
      <c r="G18213" s="861"/>
      <c r="H18213" s="861"/>
      <c r="I18213" s="861"/>
      <c r="J18213" s="861"/>
      <c r="K18213" s="861"/>
    </row>
    <row r="18214" spans="2:12" hidden="1" x14ac:dyDescent="0.2"/>
    <row r="18215" spans="2:12" ht="31.5" hidden="1" customHeight="1" x14ac:dyDescent="0.2">
      <c r="B18215" s="861"/>
      <c r="C18215" s="861"/>
      <c r="D18215" s="861"/>
      <c r="E18215" s="861"/>
      <c r="F18215" s="861"/>
      <c r="G18215" s="861"/>
      <c r="H18215" s="861"/>
      <c r="I18215" s="861"/>
      <c r="J18215" s="861"/>
      <c r="K18215" s="861"/>
      <c r="L18215" s="861"/>
    </row>
    <row r="18216" spans="2:12" hidden="1" x14ac:dyDescent="0.2"/>
    <row r="18217" spans="2:12" hidden="1" x14ac:dyDescent="0.2"/>
    <row r="18218" spans="2:12" hidden="1" x14ac:dyDescent="0.2">
      <c r="G18218" s="861"/>
      <c r="H18218" s="861"/>
      <c r="I18218" s="861"/>
      <c r="J18218" s="861"/>
      <c r="K18218" s="861"/>
    </row>
    <row r="18219" spans="2:12" hidden="1" x14ac:dyDescent="0.2"/>
    <row r="18220" spans="2:12" ht="45" hidden="1" customHeight="1" x14ac:dyDescent="0.2">
      <c r="B18220" s="861"/>
      <c r="C18220" s="861"/>
      <c r="D18220" s="861"/>
      <c r="E18220" s="861"/>
      <c r="F18220" s="861"/>
      <c r="G18220" s="861"/>
      <c r="H18220" s="861"/>
      <c r="I18220" s="861"/>
      <c r="J18220" s="861"/>
      <c r="K18220" s="861"/>
      <c r="L18220" s="861"/>
    </row>
    <row r="18221" spans="2:12" hidden="1" x14ac:dyDescent="0.2"/>
    <row r="18222" spans="2:12" hidden="1" x14ac:dyDescent="0.2">
      <c r="G18222" s="861"/>
      <c r="H18222" s="861"/>
      <c r="I18222" s="861"/>
      <c r="J18222" s="861"/>
      <c r="K18222" s="861"/>
    </row>
    <row r="18223" spans="2:12" hidden="1" x14ac:dyDescent="0.2">
      <c r="B18223" s="862"/>
      <c r="C18223" s="862"/>
      <c r="D18223" s="862"/>
      <c r="E18223" s="862"/>
      <c r="F18223" s="862"/>
      <c r="G18223" s="862"/>
      <c r="H18223" s="862"/>
      <c r="I18223" s="862"/>
      <c r="J18223" s="862"/>
      <c r="K18223" s="862"/>
      <c r="L18223" s="862"/>
    </row>
    <row r="18224" spans="2:12" hidden="1" x14ac:dyDescent="0.2">
      <c r="B18224" s="861"/>
      <c r="C18224" s="861"/>
      <c r="D18224" s="861"/>
      <c r="E18224" s="861"/>
      <c r="F18224" s="861"/>
      <c r="G18224" s="861"/>
      <c r="H18224" s="861"/>
      <c r="I18224" s="861"/>
      <c r="J18224" s="861"/>
      <c r="K18224" s="861"/>
      <c r="L18224" s="861"/>
    </row>
    <row r="18225" spans="2:12" hidden="1" x14ac:dyDescent="0.2"/>
    <row r="18226" spans="2:12" hidden="1" x14ac:dyDescent="0.2">
      <c r="G18226" s="861"/>
      <c r="H18226" s="861"/>
      <c r="I18226" s="861"/>
      <c r="J18226" s="861"/>
      <c r="K18226" s="861"/>
    </row>
    <row r="18227" spans="2:12" ht="46.5" hidden="1" customHeight="1" x14ac:dyDescent="0.2">
      <c r="B18227" s="861"/>
      <c r="C18227" s="861"/>
      <c r="D18227" s="861"/>
      <c r="E18227" s="861"/>
      <c r="F18227" s="861"/>
      <c r="G18227" s="861"/>
      <c r="H18227" s="861"/>
      <c r="I18227" s="861"/>
      <c r="J18227" s="861"/>
      <c r="K18227" s="861"/>
      <c r="L18227" s="861"/>
    </row>
    <row r="18228" spans="2:12" ht="47.25" hidden="1" customHeight="1" x14ac:dyDescent="0.2">
      <c r="B18228" s="861"/>
      <c r="C18228" s="861"/>
      <c r="D18228" s="861"/>
      <c r="E18228" s="861"/>
      <c r="F18228" s="861"/>
      <c r="G18228" s="861"/>
      <c r="H18228" s="861"/>
      <c r="I18228" s="861"/>
      <c r="J18228" s="861"/>
      <c r="K18228" s="861"/>
      <c r="L18228" s="861"/>
    </row>
    <row r="18229" spans="2:12" ht="30" hidden="1" customHeight="1" x14ac:dyDescent="0.2">
      <c r="B18229" s="861"/>
      <c r="C18229" s="861"/>
      <c r="D18229" s="861"/>
      <c r="E18229" s="861"/>
      <c r="F18229" s="861"/>
      <c r="G18229" s="861"/>
      <c r="H18229" s="861"/>
      <c r="I18229" s="861"/>
      <c r="J18229" s="861"/>
      <c r="K18229" s="861"/>
      <c r="L18229" s="861"/>
    </row>
    <row r="18230" spans="2:12" hidden="1" x14ac:dyDescent="0.2"/>
    <row r="18231" spans="2:12" hidden="1" x14ac:dyDescent="0.2">
      <c r="G18231" s="861"/>
      <c r="H18231" s="861"/>
      <c r="I18231" s="861"/>
      <c r="J18231" s="861"/>
      <c r="K18231" s="861"/>
    </row>
    <row r="18232" spans="2:12" ht="62.25" hidden="1" customHeight="1" x14ac:dyDescent="0.2">
      <c r="B18232" s="861"/>
      <c r="C18232" s="861"/>
      <c r="D18232" s="861"/>
      <c r="E18232" s="861"/>
      <c r="F18232" s="861"/>
      <c r="G18232" s="861"/>
      <c r="H18232" s="861"/>
      <c r="I18232" s="861"/>
      <c r="J18232" s="861"/>
      <c r="K18232" s="861"/>
      <c r="L18232" s="861"/>
    </row>
    <row r="18233" spans="2:12" hidden="1" x14ac:dyDescent="0.2"/>
    <row r="18234" spans="2:12" hidden="1" x14ac:dyDescent="0.2"/>
    <row r="18235" spans="2:12" hidden="1" x14ac:dyDescent="0.2"/>
    <row r="18236" spans="2:12" hidden="1" x14ac:dyDescent="0.2"/>
    <row r="18237" spans="2:12" hidden="1" x14ac:dyDescent="0.2"/>
    <row r="18238" spans="2:12" hidden="1" x14ac:dyDescent="0.2">
      <c r="G18238" s="861"/>
      <c r="H18238" s="861"/>
      <c r="I18238" s="861"/>
      <c r="J18238" s="861"/>
      <c r="K18238" s="861"/>
    </row>
    <row r="18239" spans="2:12" hidden="1" x14ac:dyDescent="0.2">
      <c r="B18239" s="861"/>
      <c r="C18239" s="861"/>
      <c r="D18239" s="861"/>
      <c r="E18239" s="861"/>
      <c r="F18239" s="861"/>
      <c r="G18239" s="861"/>
      <c r="H18239" s="861"/>
      <c r="I18239" s="861"/>
      <c r="J18239" s="861"/>
      <c r="K18239" s="861"/>
      <c r="L18239" s="861"/>
    </row>
    <row r="18240" spans="2:12" ht="31.5" hidden="1" customHeight="1" x14ac:dyDescent="0.2">
      <c r="B18240" s="861"/>
      <c r="C18240" s="861"/>
      <c r="D18240" s="861"/>
      <c r="E18240" s="861"/>
      <c r="F18240" s="861"/>
      <c r="G18240" s="861"/>
      <c r="H18240" s="861"/>
      <c r="I18240" s="861"/>
      <c r="J18240" s="861"/>
      <c r="K18240" s="861"/>
      <c r="L18240" s="861"/>
    </row>
    <row r="18241" spans="2:12" hidden="1" x14ac:dyDescent="0.2"/>
    <row r="18242" spans="2:12" hidden="1" x14ac:dyDescent="0.2">
      <c r="G18242" s="861"/>
      <c r="H18242" s="861"/>
      <c r="I18242" s="861"/>
      <c r="J18242" s="861"/>
      <c r="K18242" s="861"/>
    </row>
    <row r="18243" spans="2:12" ht="28.5" hidden="1" customHeight="1" x14ac:dyDescent="0.2">
      <c r="B18243" s="861"/>
      <c r="C18243" s="861"/>
      <c r="D18243" s="861"/>
      <c r="E18243" s="861"/>
      <c r="F18243" s="861"/>
      <c r="G18243" s="861"/>
      <c r="H18243" s="861"/>
      <c r="I18243" s="861"/>
      <c r="J18243" s="861"/>
      <c r="K18243" s="861"/>
      <c r="L18243" s="861"/>
    </row>
    <row r="18244" spans="2:12" hidden="1" x14ac:dyDescent="0.2"/>
    <row r="18245" spans="2:12" ht="36" hidden="1" customHeight="1" x14ac:dyDescent="0.2">
      <c r="B18245" s="861"/>
      <c r="C18245" s="861"/>
      <c r="D18245" s="861"/>
      <c r="E18245" s="861"/>
      <c r="F18245" s="861"/>
      <c r="G18245" s="861"/>
      <c r="H18245" s="861"/>
      <c r="I18245" s="861"/>
      <c r="J18245" s="861"/>
      <c r="K18245" s="861"/>
      <c r="L18245" s="861"/>
    </row>
    <row r="18246" spans="2:12" hidden="1" x14ac:dyDescent="0.2"/>
    <row r="18247" spans="2:12" hidden="1" x14ac:dyDescent="0.2">
      <c r="G18247" s="861"/>
      <c r="H18247" s="861"/>
      <c r="I18247" s="861"/>
      <c r="J18247" s="861"/>
      <c r="K18247" s="861"/>
    </row>
    <row r="18248" spans="2:12" ht="33" hidden="1" customHeight="1" x14ac:dyDescent="0.2">
      <c r="B18248" s="861"/>
      <c r="C18248" s="861"/>
      <c r="D18248" s="861"/>
      <c r="E18248" s="861"/>
      <c r="F18248" s="861"/>
      <c r="G18248" s="861"/>
      <c r="H18248" s="861"/>
      <c r="I18248" s="861"/>
      <c r="J18248" s="861"/>
      <c r="K18248" s="861"/>
      <c r="L18248" s="861"/>
    </row>
    <row r="18249" spans="2:12" hidden="1" x14ac:dyDescent="0.2"/>
    <row r="18250" spans="2:12" hidden="1" x14ac:dyDescent="0.2">
      <c r="G18250" s="861"/>
      <c r="H18250" s="861"/>
      <c r="I18250" s="861"/>
      <c r="J18250" s="861"/>
      <c r="K18250" s="861"/>
    </row>
    <row r="18251" spans="2:12" ht="30.75" hidden="1" customHeight="1" x14ac:dyDescent="0.2">
      <c r="B18251" s="861"/>
      <c r="C18251" s="861"/>
      <c r="D18251" s="861"/>
      <c r="E18251" s="861"/>
      <c r="F18251" s="861"/>
      <c r="G18251" s="861"/>
      <c r="H18251" s="861"/>
      <c r="I18251" s="861"/>
      <c r="J18251" s="861"/>
      <c r="K18251" s="861"/>
      <c r="L18251" s="861"/>
    </row>
    <row r="18252" spans="2:12" ht="53.25" hidden="1" customHeight="1" x14ac:dyDescent="0.2">
      <c r="B18252" s="861"/>
      <c r="C18252" s="861"/>
      <c r="D18252" s="861"/>
      <c r="E18252" s="861"/>
      <c r="F18252" s="861"/>
      <c r="G18252" s="861"/>
      <c r="H18252" s="861"/>
      <c r="I18252" s="861"/>
      <c r="J18252" s="861"/>
      <c r="K18252" s="861"/>
      <c r="L18252" s="861"/>
    </row>
    <row r="18253" spans="2:12" ht="34.5" hidden="1" customHeight="1" x14ac:dyDescent="0.2">
      <c r="B18253" s="861"/>
      <c r="C18253" s="861"/>
      <c r="D18253" s="861"/>
      <c r="E18253" s="861"/>
      <c r="F18253" s="861"/>
      <c r="G18253" s="861"/>
      <c r="H18253" s="861"/>
      <c r="I18253" s="861"/>
      <c r="J18253" s="861"/>
      <c r="K18253" s="861"/>
      <c r="L18253" s="861"/>
    </row>
    <row r="18254" spans="2:12" hidden="1" x14ac:dyDescent="0.2"/>
    <row r="18255" spans="2:12" hidden="1" x14ac:dyDescent="0.2">
      <c r="G18255" s="861"/>
      <c r="H18255" s="861"/>
      <c r="I18255" s="861"/>
      <c r="J18255" s="861"/>
      <c r="K18255" s="861"/>
    </row>
    <row r="18256" spans="2:12" hidden="1" x14ac:dyDescent="0.2">
      <c r="B18256" s="861"/>
      <c r="C18256" s="861"/>
      <c r="D18256" s="861"/>
      <c r="E18256" s="861"/>
      <c r="F18256" s="861"/>
      <c r="G18256" s="861"/>
      <c r="H18256" s="861"/>
      <c r="I18256" s="861"/>
      <c r="J18256" s="861"/>
      <c r="K18256" s="861"/>
      <c r="L18256" s="861"/>
    </row>
    <row r="18257" spans="2:12" ht="18" hidden="1" customHeight="1" x14ac:dyDescent="0.2">
      <c r="B18257" s="865"/>
      <c r="C18257" s="865"/>
      <c r="D18257" s="865"/>
      <c r="E18257" s="865"/>
      <c r="F18257" s="865"/>
      <c r="G18257" s="865"/>
      <c r="H18257" s="865"/>
      <c r="I18257" s="865"/>
      <c r="J18257" s="865"/>
      <c r="K18257" s="865"/>
      <c r="L18257" s="865"/>
    </row>
    <row r="18258" spans="2:12" ht="36.75" hidden="1" customHeight="1" x14ac:dyDescent="0.2">
      <c r="B18258" s="861"/>
      <c r="C18258" s="861"/>
      <c r="D18258" s="861"/>
      <c r="E18258" s="861"/>
      <c r="F18258" s="861"/>
      <c r="G18258" s="861"/>
      <c r="H18258" s="861"/>
      <c r="I18258" s="861"/>
      <c r="J18258" s="861"/>
      <c r="K18258" s="861"/>
      <c r="L18258" s="861"/>
    </row>
    <row r="18259" spans="2:12" ht="51" hidden="1" customHeight="1" x14ac:dyDescent="0.2">
      <c r="B18259" s="861"/>
      <c r="C18259" s="861"/>
      <c r="D18259" s="861"/>
      <c r="E18259" s="861"/>
      <c r="F18259" s="861"/>
      <c r="G18259" s="861"/>
      <c r="H18259" s="861"/>
      <c r="I18259" s="861"/>
      <c r="J18259" s="861"/>
      <c r="K18259" s="861"/>
      <c r="L18259" s="861"/>
    </row>
    <row r="18260" spans="2:12" ht="20.25" hidden="1" customHeight="1" x14ac:dyDescent="0.2">
      <c r="B18260" s="861"/>
      <c r="C18260" s="861"/>
      <c r="D18260" s="861"/>
      <c r="E18260" s="861"/>
      <c r="F18260" s="861"/>
      <c r="G18260" s="861"/>
      <c r="H18260" s="861"/>
      <c r="I18260" s="861"/>
      <c r="J18260" s="861"/>
      <c r="K18260" s="861"/>
      <c r="L18260" s="861"/>
    </row>
    <row r="18261" spans="2:12" hidden="1" x14ac:dyDescent="0.2"/>
    <row r="18262" spans="2:12" hidden="1" x14ac:dyDescent="0.2"/>
    <row r="18263" spans="2:12" hidden="1" x14ac:dyDescent="0.2"/>
    <row r="18264" spans="2:12" hidden="1" x14ac:dyDescent="0.2"/>
    <row r="18265" spans="2:12" hidden="1" x14ac:dyDescent="0.2">
      <c r="G18265" s="861"/>
      <c r="H18265" s="861"/>
      <c r="I18265" s="861"/>
      <c r="J18265" s="861"/>
      <c r="K18265" s="861"/>
    </row>
    <row r="18266" spans="2:12" ht="46.5" hidden="1" customHeight="1" x14ac:dyDescent="0.2">
      <c r="B18266" s="861"/>
      <c r="C18266" s="861"/>
      <c r="D18266" s="861"/>
      <c r="E18266" s="861"/>
      <c r="F18266" s="861"/>
      <c r="G18266" s="861"/>
      <c r="H18266" s="861"/>
      <c r="I18266" s="861"/>
      <c r="J18266" s="861"/>
      <c r="K18266" s="861"/>
      <c r="L18266" s="861"/>
    </row>
    <row r="18267" spans="2:12" ht="54" hidden="1" customHeight="1" x14ac:dyDescent="0.2">
      <c r="B18267" s="861"/>
      <c r="C18267" s="861"/>
      <c r="D18267" s="861"/>
      <c r="E18267" s="861"/>
      <c r="F18267" s="861"/>
      <c r="G18267" s="861"/>
      <c r="H18267" s="861"/>
      <c r="I18267" s="861"/>
      <c r="J18267" s="861"/>
      <c r="K18267" s="861"/>
      <c r="L18267" s="861"/>
    </row>
    <row r="18268" spans="2:12" ht="21" hidden="1" customHeight="1" x14ac:dyDescent="0.2">
      <c r="B18268" s="861"/>
      <c r="C18268" s="861"/>
      <c r="D18268" s="861"/>
      <c r="E18268" s="861"/>
      <c r="F18268" s="861"/>
      <c r="G18268" s="861"/>
      <c r="H18268" s="861"/>
      <c r="I18268" s="861"/>
      <c r="J18268" s="861"/>
      <c r="K18268" s="861"/>
      <c r="L18268" s="861"/>
    </row>
    <row r="18269" spans="2:12" hidden="1" x14ac:dyDescent="0.2"/>
    <row r="18270" spans="2:12" hidden="1" x14ac:dyDescent="0.2">
      <c r="G18270" s="861"/>
      <c r="H18270" s="861"/>
      <c r="I18270" s="861"/>
      <c r="J18270" s="861"/>
      <c r="K18270" s="861"/>
    </row>
    <row r="18271" spans="2:12" hidden="1" x14ac:dyDescent="0.2">
      <c r="B18271" s="861"/>
      <c r="C18271" s="861"/>
      <c r="D18271" s="861"/>
      <c r="E18271" s="861"/>
      <c r="F18271" s="861"/>
      <c r="G18271" s="861"/>
      <c r="H18271" s="861"/>
      <c r="I18271" s="861"/>
      <c r="J18271" s="861"/>
      <c r="K18271" s="861"/>
      <c r="L18271" s="861"/>
    </row>
    <row r="18272" spans="2:12" hidden="1" x14ac:dyDescent="0.2">
      <c r="B18272" s="861"/>
      <c r="C18272" s="861"/>
      <c r="D18272" s="861"/>
      <c r="E18272" s="861"/>
      <c r="F18272" s="861"/>
      <c r="G18272" s="861"/>
      <c r="H18272" s="861"/>
      <c r="I18272" s="861"/>
      <c r="J18272" s="861"/>
      <c r="K18272" s="861"/>
      <c r="L18272" s="861"/>
    </row>
    <row r="18273" spans="2:12" hidden="1" x14ac:dyDescent="0.2"/>
    <row r="18274" spans="2:12" hidden="1" x14ac:dyDescent="0.2">
      <c r="G18274" s="861"/>
      <c r="H18274" s="861"/>
      <c r="I18274" s="861"/>
      <c r="J18274" s="861"/>
      <c r="K18274" s="861"/>
    </row>
    <row r="18275" spans="2:12" ht="39" hidden="1" customHeight="1" x14ac:dyDescent="0.2">
      <c r="B18275" s="861"/>
      <c r="C18275" s="861"/>
      <c r="D18275" s="861"/>
      <c r="E18275" s="861"/>
      <c r="F18275" s="861"/>
      <c r="G18275" s="861"/>
      <c r="H18275" s="861"/>
      <c r="I18275" s="861"/>
      <c r="J18275" s="861"/>
      <c r="K18275" s="861"/>
      <c r="L18275" s="861"/>
    </row>
    <row r="18276" spans="2:12" ht="30.75" hidden="1" customHeight="1" x14ac:dyDescent="0.2">
      <c r="B18276" s="861"/>
      <c r="C18276" s="861"/>
      <c r="D18276" s="861"/>
      <c r="E18276" s="861"/>
      <c r="F18276" s="861"/>
      <c r="G18276" s="861"/>
      <c r="H18276" s="861"/>
      <c r="I18276" s="861"/>
      <c r="J18276" s="861"/>
      <c r="K18276" s="861"/>
      <c r="L18276" s="861"/>
    </row>
    <row r="18277" spans="2:12" hidden="1" x14ac:dyDescent="0.2"/>
    <row r="18278" spans="2:12" hidden="1" x14ac:dyDescent="0.2">
      <c r="G18278" s="861"/>
      <c r="H18278" s="861"/>
      <c r="I18278" s="861"/>
      <c r="J18278" s="861"/>
      <c r="K18278" s="861"/>
    </row>
    <row r="18279" spans="2:12" ht="15" hidden="1" customHeight="1" x14ac:dyDescent="0.2">
      <c r="B18279" s="866"/>
      <c r="C18279" s="866"/>
      <c r="D18279" s="866"/>
      <c r="E18279" s="866"/>
      <c r="F18279" s="866"/>
      <c r="G18279" s="866"/>
      <c r="H18279" s="866"/>
      <c r="I18279" s="866"/>
      <c r="J18279" s="866"/>
      <c r="K18279" s="866"/>
      <c r="L18279" s="866"/>
    </row>
    <row r="18280" spans="2:12" hidden="1" x14ac:dyDescent="0.2">
      <c r="B18280" s="866"/>
      <c r="C18280" s="866"/>
      <c r="D18280" s="866"/>
      <c r="E18280" s="866"/>
      <c r="F18280" s="866"/>
      <c r="G18280" s="866"/>
      <c r="H18280" s="866"/>
      <c r="I18280" s="866"/>
      <c r="J18280" s="866"/>
      <c r="K18280" s="866"/>
      <c r="L18280" s="866"/>
    </row>
    <row r="18281" spans="2:12" hidden="1" x14ac:dyDescent="0.2">
      <c r="B18281" s="866"/>
      <c r="C18281" s="866"/>
      <c r="D18281" s="866"/>
      <c r="E18281" s="866"/>
      <c r="F18281" s="866"/>
      <c r="G18281" s="866"/>
      <c r="H18281" s="866"/>
      <c r="I18281" s="866"/>
      <c r="J18281" s="866"/>
      <c r="K18281" s="866"/>
      <c r="L18281" s="866"/>
    </row>
    <row r="18282" spans="2:12" hidden="1" x14ac:dyDescent="0.2">
      <c r="B18282" s="866"/>
      <c r="C18282" s="866"/>
      <c r="D18282" s="866"/>
      <c r="E18282" s="866"/>
      <c r="F18282" s="866"/>
      <c r="G18282" s="866"/>
      <c r="H18282" s="866"/>
      <c r="I18282" s="866"/>
      <c r="J18282" s="866"/>
      <c r="K18282" s="866"/>
      <c r="L18282" s="866"/>
    </row>
    <row r="18283" spans="2:12" ht="13.5" hidden="1" customHeight="1" x14ac:dyDescent="0.2">
      <c r="B18283" s="866"/>
      <c r="C18283" s="866"/>
      <c r="D18283" s="866"/>
      <c r="E18283" s="866"/>
      <c r="F18283" s="866"/>
      <c r="G18283" s="866"/>
      <c r="H18283" s="866"/>
      <c r="I18283" s="866"/>
      <c r="J18283" s="866"/>
      <c r="K18283" s="866"/>
      <c r="L18283" s="866"/>
    </row>
    <row r="18284" spans="2:12" hidden="1" x14ac:dyDescent="0.2">
      <c r="G18284" s="861"/>
      <c r="H18284" s="861"/>
      <c r="I18284" s="861"/>
      <c r="J18284" s="861"/>
      <c r="K18284" s="861"/>
    </row>
    <row r="18285" spans="2:12" hidden="1" x14ac:dyDescent="0.2">
      <c r="B18285" s="861"/>
      <c r="C18285" s="861"/>
      <c r="D18285" s="861"/>
      <c r="E18285" s="861"/>
      <c r="F18285" s="861"/>
      <c r="G18285" s="861"/>
      <c r="H18285" s="861"/>
      <c r="I18285" s="861"/>
      <c r="J18285" s="861"/>
      <c r="K18285" s="861"/>
      <c r="L18285" s="861"/>
    </row>
    <row r="18286" spans="2:12" hidden="1" x14ac:dyDescent="0.2"/>
    <row r="18287" spans="2:12" hidden="1" x14ac:dyDescent="0.2">
      <c r="G18287" s="675"/>
    </row>
    <row r="18288" spans="2:12" ht="31.5" hidden="1" customHeight="1" x14ac:dyDescent="0.2">
      <c r="B18288" s="861"/>
      <c r="C18288" s="861"/>
      <c r="D18288" s="861"/>
      <c r="E18288" s="861"/>
      <c r="F18288" s="861"/>
      <c r="G18288" s="861"/>
      <c r="H18288" s="861"/>
      <c r="I18288" s="861"/>
      <c r="J18288" s="861"/>
      <c r="K18288" s="861"/>
      <c r="L18288" s="861"/>
    </row>
    <row r="18289" spans="2:12" ht="31.5" hidden="1" customHeight="1" x14ac:dyDescent="0.2">
      <c r="B18289" s="466"/>
      <c r="C18289" s="466"/>
      <c r="D18289" s="466"/>
      <c r="E18289" s="466"/>
      <c r="F18289" s="466"/>
      <c r="G18289" s="466"/>
      <c r="H18289" s="466"/>
      <c r="I18289" s="466"/>
      <c r="J18289" s="466"/>
      <c r="K18289" s="466"/>
      <c r="L18289" s="466"/>
    </row>
    <row r="18290" spans="2:12" ht="22.5" hidden="1" customHeight="1" x14ac:dyDescent="0.2"/>
    <row r="18291" spans="2:12" hidden="1" x14ac:dyDescent="0.2">
      <c r="G18291" s="675"/>
    </row>
    <row r="18292" spans="2:12" ht="31.5" hidden="1" customHeight="1" x14ac:dyDescent="0.2">
      <c r="B18292" s="861"/>
      <c r="C18292" s="861"/>
      <c r="D18292" s="861"/>
      <c r="E18292" s="861"/>
      <c r="F18292" s="861"/>
      <c r="G18292" s="861"/>
      <c r="H18292" s="861"/>
      <c r="I18292" s="861"/>
      <c r="J18292" s="861"/>
      <c r="K18292" s="861"/>
      <c r="L18292" s="861"/>
    </row>
    <row r="18293" spans="2:12" hidden="1" x14ac:dyDescent="0.2"/>
    <row r="18294" spans="2:12" hidden="1" x14ac:dyDescent="0.2"/>
    <row r="18295" spans="2:12" hidden="1" x14ac:dyDescent="0.2">
      <c r="G18295" s="675"/>
    </row>
    <row r="18296" spans="2:12" ht="90" hidden="1" customHeight="1" x14ac:dyDescent="0.2">
      <c r="B18296" s="861"/>
      <c r="C18296" s="861"/>
      <c r="D18296" s="861"/>
      <c r="E18296" s="861"/>
      <c r="F18296" s="861"/>
      <c r="G18296" s="861"/>
      <c r="H18296" s="861"/>
      <c r="I18296" s="861"/>
      <c r="J18296" s="861"/>
      <c r="K18296" s="861"/>
      <c r="L18296" s="861"/>
    </row>
    <row r="18297" spans="2:12" ht="32.25" hidden="1" customHeight="1" x14ac:dyDescent="0.2">
      <c r="B18297" s="861"/>
      <c r="C18297" s="861"/>
      <c r="D18297" s="861"/>
      <c r="E18297" s="861"/>
      <c r="F18297" s="861"/>
      <c r="G18297" s="861"/>
      <c r="H18297" s="861"/>
      <c r="I18297" s="861"/>
      <c r="J18297" s="861"/>
      <c r="K18297" s="861"/>
      <c r="L18297" s="861"/>
    </row>
    <row r="18298" spans="2:12" ht="36" hidden="1" customHeight="1" x14ac:dyDescent="0.2">
      <c r="B18298" s="861"/>
      <c r="C18298" s="861"/>
      <c r="D18298" s="861"/>
      <c r="E18298" s="861"/>
      <c r="F18298" s="861"/>
      <c r="G18298" s="861"/>
      <c r="H18298" s="861"/>
      <c r="I18298" s="861"/>
      <c r="J18298" s="861"/>
      <c r="K18298" s="861"/>
      <c r="L18298" s="861"/>
    </row>
    <row r="18299" spans="2:12" hidden="1" x14ac:dyDescent="0.2">
      <c r="B18299" s="861"/>
      <c r="C18299" s="861"/>
      <c r="D18299" s="861"/>
      <c r="E18299" s="861"/>
      <c r="F18299" s="861"/>
      <c r="G18299" s="861"/>
      <c r="H18299" s="861"/>
      <c r="I18299" s="861"/>
      <c r="J18299" s="861"/>
      <c r="K18299" s="861"/>
      <c r="L18299" s="861"/>
    </row>
    <row r="18300" spans="2:12" ht="53.25" hidden="1" customHeight="1" x14ac:dyDescent="0.2">
      <c r="B18300" s="861"/>
      <c r="C18300" s="861"/>
      <c r="D18300" s="861"/>
      <c r="E18300" s="861"/>
      <c r="F18300" s="861"/>
      <c r="G18300" s="861"/>
      <c r="H18300" s="861"/>
      <c r="I18300" s="861"/>
      <c r="J18300" s="861"/>
      <c r="K18300" s="861"/>
      <c r="L18300" s="861"/>
    </row>
    <row r="18301" spans="2:12" hidden="1" x14ac:dyDescent="0.2">
      <c r="B18301" s="861"/>
      <c r="C18301" s="861"/>
      <c r="D18301" s="861"/>
      <c r="E18301" s="861"/>
      <c r="F18301" s="861"/>
      <c r="G18301" s="861"/>
      <c r="H18301" s="861"/>
      <c r="I18301" s="861"/>
      <c r="J18301" s="861"/>
      <c r="K18301" s="861"/>
      <c r="L18301" s="861"/>
    </row>
    <row r="18302" spans="2:12" ht="30.75" hidden="1" customHeight="1" x14ac:dyDescent="0.2">
      <c r="B18302" s="861"/>
      <c r="C18302" s="861"/>
      <c r="D18302" s="861"/>
      <c r="E18302" s="861"/>
      <c r="F18302" s="861"/>
      <c r="G18302" s="861"/>
      <c r="H18302" s="861"/>
      <c r="I18302" s="861"/>
      <c r="J18302" s="861"/>
      <c r="K18302" s="861"/>
      <c r="L18302" s="861"/>
    </row>
    <row r="18303" spans="2:12" ht="39" hidden="1" customHeight="1" x14ac:dyDescent="0.2">
      <c r="B18303" s="861"/>
      <c r="C18303" s="861"/>
      <c r="D18303" s="861"/>
      <c r="E18303" s="861"/>
      <c r="F18303" s="861"/>
      <c r="G18303" s="861"/>
      <c r="H18303" s="861"/>
      <c r="I18303" s="861"/>
      <c r="J18303" s="861"/>
      <c r="K18303" s="861"/>
      <c r="L18303" s="861"/>
    </row>
    <row r="18304" spans="2:12" hidden="1" x14ac:dyDescent="0.2"/>
    <row r="18305" spans="2:12" hidden="1" x14ac:dyDescent="0.2">
      <c r="G18305" s="861"/>
      <c r="H18305" s="861"/>
      <c r="I18305" s="861"/>
      <c r="J18305" s="861"/>
      <c r="K18305" s="861"/>
    </row>
    <row r="18306" spans="2:12" hidden="1" x14ac:dyDescent="0.2">
      <c r="B18306" s="861"/>
      <c r="C18306" s="861"/>
      <c r="D18306" s="861"/>
      <c r="E18306" s="861"/>
      <c r="F18306" s="861"/>
      <c r="G18306" s="861"/>
      <c r="H18306" s="861"/>
      <c r="I18306" s="861"/>
      <c r="J18306" s="861"/>
      <c r="K18306" s="861"/>
      <c r="L18306" s="861"/>
    </row>
    <row r="18307" spans="2:12" ht="31.5" hidden="1" customHeight="1" x14ac:dyDescent="0.2">
      <c r="B18307" s="861"/>
      <c r="C18307" s="861"/>
      <c r="D18307" s="861"/>
      <c r="E18307" s="861"/>
      <c r="F18307" s="861"/>
      <c r="G18307" s="861"/>
      <c r="H18307" s="861"/>
      <c r="I18307" s="861"/>
      <c r="J18307" s="861"/>
      <c r="K18307" s="861"/>
      <c r="L18307" s="861"/>
    </row>
    <row r="18308" spans="2:12" ht="6" hidden="1" customHeight="1" x14ac:dyDescent="0.2"/>
    <row r="18309" spans="2:12" hidden="1" x14ac:dyDescent="0.2">
      <c r="G18309" s="861"/>
      <c r="H18309" s="861"/>
      <c r="I18309" s="861"/>
      <c r="J18309" s="861"/>
      <c r="K18309" s="861"/>
    </row>
    <row r="18310" spans="2:12" hidden="1" x14ac:dyDescent="0.2">
      <c r="B18310" s="866"/>
      <c r="C18310" s="866"/>
      <c r="D18310" s="866"/>
      <c r="E18310" s="866"/>
      <c r="F18310" s="866"/>
      <c r="G18310" s="866"/>
      <c r="H18310" s="866"/>
      <c r="I18310" s="866"/>
      <c r="J18310" s="866"/>
      <c r="K18310" s="866"/>
      <c r="L18310" s="866"/>
    </row>
    <row r="18311" spans="2:12" hidden="1" x14ac:dyDescent="0.2">
      <c r="B18311" s="866"/>
      <c r="C18311" s="866"/>
      <c r="D18311" s="866"/>
      <c r="E18311" s="866"/>
      <c r="F18311" s="866"/>
      <c r="G18311" s="866"/>
      <c r="H18311" s="866"/>
      <c r="I18311" s="866"/>
      <c r="J18311" s="866"/>
      <c r="K18311" s="866"/>
      <c r="L18311" s="866"/>
    </row>
    <row r="18312" spans="2:12" ht="0.75" hidden="1" customHeight="1" x14ac:dyDescent="0.2">
      <c r="B18312" s="866"/>
      <c r="C18312" s="866"/>
      <c r="D18312" s="866"/>
      <c r="E18312" s="866"/>
      <c r="F18312" s="866"/>
      <c r="G18312" s="866"/>
      <c r="H18312" s="866"/>
      <c r="I18312" s="866"/>
      <c r="J18312" s="866"/>
      <c r="K18312" s="866"/>
      <c r="L18312" s="866"/>
    </row>
    <row r="18313" spans="2:12" ht="14.25" hidden="1" customHeight="1" x14ac:dyDescent="0.2">
      <c r="B18313" s="676"/>
      <c r="C18313" s="676"/>
      <c r="D18313" s="676"/>
      <c r="E18313" s="676"/>
      <c r="F18313" s="676"/>
      <c r="G18313" s="676"/>
      <c r="H18313" s="676"/>
      <c r="I18313" s="676"/>
      <c r="J18313" s="676"/>
      <c r="K18313" s="676"/>
      <c r="L18313" s="676"/>
    </row>
    <row r="18314" spans="2:12" hidden="1" x14ac:dyDescent="0.2">
      <c r="G18314" s="861"/>
      <c r="H18314" s="861"/>
      <c r="I18314" s="861"/>
      <c r="J18314" s="861"/>
      <c r="K18314" s="861"/>
    </row>
    <row r="18315" spans="2:12" hidden="1" x14ac:dyDescent="0.2">
      <c r="B18315" s="861"/>
      <c r="C18315" s="861"/>
      <c r="D18315" s="861"/>
      <c r="E18315" s="861"/>
      <c r="F18315" s="861"/>
      <c r="G18315" s="861"/>
      <c r="H18315" s="861"/>
      <c r="I18315" s="861"/>
      <c r="J18315" s="861"/>
      <c r="K18315" s="861"/>
      <c r="L18315" s="861"/>
    </row>
    <row r="18316" spans="2:12" ht="4.5" hidden="1" customHeight="1" x14ac:dyDescent="0.2"/>
    <row r="18317" spans="2:12" hidden="1" x14ac:dyDescent="0.2">
      <c r="G18317" s="861"/>
      <c r="H18317" s="861"/>
      <c r="I18317" s="861"/>
      <c r="J18317" s="861"/>
      <c r="K18317" s="861"/>
    </row>
    <row r="18318" spans="2:12" hidden="1" x14ac:dyDescent="0.2">
      <c r="B18318" s="866"/>
      <c r="C18318" s="866"/>
      <c r="D18318" s="866"/>
      <c r="E18318" s="866"/>
      <c r="F18318" s="866"/>
      <c r="G18318" s="866"/>
      <c r="H18318" s="866"/>
      <c r="I18318" s="866"/>
      <c r="J18318" s="866"/>
      <c r="K18318" s="866"/>
      <c r="L18318" s="866"/>
    </row>
    <row r="18319" spans="2:12" hidden="1" x14ac:dyDescent="0.2">
      <c r="B18319" s="866"/>
      <c r="C18319" s="866"/>
      <c r="D18319" s="866"/>
      <c r="E18319" s="866"/>
      <c r="F18319" s="866"/>
      <c r="G18319" s="866"/>
      <c r="H18319" s="866"/>
      <c r="I18319" s="866"/>
      <c r="J18319" s="866"/>
      <c r="K18319" s="866"/>
      <c r="L18319" s="866"/>
    </row>
    <row r="18320" spans="2:12" ht="9.75" hidden="1" customHeight="1" x14ac:dyDescent="0.2">
      <c r="B18320" s="866"/>
      <c r="C18320" s="866"/>
      <c r="D18320" s="866"/>
      <c r="E18320" s="866"/>
      <c r="F18320" s="866"/>
      <c r="G18320" s="866"/>
      <c r="H18320" s="866"/>
      <c r="I18320" s="866"/>
      <c r="J18320" s="866"/>
      <c r="K18320" s="866"/>
      <c r="L18320" s="866"/>
    </row>
    <row r="18321" spans="2:12" hidden="1" x14ac:dyDescent="0.2">
      <c r="B18321" s="677"/>
      <c r="C18321" s="678"/>
      <c r="D18321" s="677"/>
      <c r="E18321" s="677"/>
      <c r="F18321" s="677"/>
      <c r="G18321" s="679"/>
      <c r="H18321" s="680"/>
      <c r="I18321" s="680"/>
      <c r="J18321" s="680"/>
      <c r="K18321" s="681"/>
      <c r="L18321" s="681"/>
    </row>
    <row r="18322" spans="2:12" hidden="1" x14ac:dyDescent="0.2">
      <c r="B18322" s="677"/>
      <c r="C18322" s="678"/>
      <c r="D18322" s="677"/>
      <c r="E18322" s="677"/>
      <c r="F18322" s="677"/>
      <c r="G18322" s="867"/>
      <c r="H18322" s="867"/>
      <c r="I18322" s="867"/>
      <c r="J18322" s="867"/>
      <c r="K18322" s="867"/>
      <c r="L18322" s="681"/>
    </row>
    <row r="18323" spans="2:12" hidden="1" x14ac:dyDescent="0.2">
      <c r="B18323" s="866"/>
      <c r="C18323" s="866"/>
      <c r="D18323" s="866"/>
      <c r="E18323" s="866"/>
      <c r="F18323" s="866"/>
      <c r="G18323" s="866"/>
      <c r="H18323" s="866"/>
      <c r="I18323" s="866"/>
      <c r="J18323" s="866"/>
      <c r="K18323" s="866"/>
      <c r="L18323" s="866"/>
    </row>
    <row r="18324" spans="2:12" hidden="1" x14ac:dyDescent="0.2">
      <c r="B18324" s="866"/>
      <c r="C18324" s="866"/>
      <c r="D18324" s="866"/>
      <c r="E18324" s="866"/>
      <c r="F18324" s="866"/>
      <c r="G18324" s="866"/>
      <c r="H18324" s="866"/>
      <c r="I18324" s="866"/>
      <c r="J18324" s="866"/>
      <c r="K18324" s="866"/>
      <c r="L18324" s="866"/>
    </row>
    <row r="18325" spans="2:12" hidden="1" x14ac:dyDescent="0.2">
      <c r="B18325" s="866"/>
      <c r="C18325" s="866"/>
      <c r="D18325" s="866"/>
      <c r="E18325" s="866"/>
      <c r="F18325" s="866"/>
      <c r="G18325" s="866"/>
      <c r="H18325" s="866"/>
      <c r="I18325" s="866"/>
      <c r="J18325" s="866"/>
      <c r="K18325" s="866"/>
      <c r="L18325" s="866"/>
    </row>
    <row r="18326" spans="2:12" ht="9" hidden="1" customHeight="1" x14ac:dyDescent="0.2"/>
    <row r="18327" spans="2:12" hidden="1" x14ac:dyDescent="0.2">
      <c r="G18327" s="861"/>
      <c r="H18327" s="861"/>
      <c r="I18327" s="861"/>
      <c r="J18327" s="861"/>
      <c r="K18327" s="861"/>
    </row>
    <row r="18328" spans="2:12" hidden="1" x14ac:dyDescent="0.2">
      <c r="B18328" s="866"/>
      <c r="C18328" s="866"/>
      <c r="D18328" s="866"/>
      <c r="E18328" s="866"/>
      <c r="F18328" s="866"/>
      <c r="G18328" s="866"/>
      <c r="H18328" s="866"/>
      <c r="I18328" s="866"/>
      <c r="J18328" s="866"/>
      <c r="K18328" s="866"/>
      <c r="L18328" s="866"/>
    </row>
    <row r="18329" spans="2:12" hidden="1" x14ac:dyDescent="0.2">
      <c r="B18329" s="866"/>
      <c r="C18329" s="866"/>
      <c r="D18329" s="866"/>
      <c r="E18329" s="866"/>
      <c r="F18329" s="866"/>
      <c r="G18329" s="866"/>
      <c r="H18329" s="866"/>
      <c r="I18329" s="866"/>
      <c r="J18329" s="866"/>
      <c r="K18329" s="866"/>
      <c r="L18329" s="866"/>
    </row>
    <row r="18330" spans="2:12" hidden="1" x14ac:dyDescent="0.2">
      <c r="B18330" s="866"/>
      <c r="C18330" s="866"/>
      <c r="D18330" s="866"/>
      <c r="E18330" s="866"/>
      <c r="F18330" s="866"/>
      <c r="G18330" s="866"/>
      <c r="H18330" s="866"/>
      <c r="I18330" s="866"/>
      <c r="J18330" s="866"/>
      <c r="K18330" s="866"/>
      <c r="L18330" s="866"/>
    </row>
    <row r="18331" spans="2:12" ht="5.25" hidden="1" customHeight="1" x14ac:dyDescent="0.2">
      <c r="B18331" s="677"/>
      <c r="C18331" s="678"/>
      <c r="D18331" s="677"/>
      <c r="E18331" s="677"/>
      <c r="F18331" s="677"/>
      <c r="G18331" s="679"/>
      <c r="H18331" s="680"/>
      <c r="I18331" s="680"/>
      <c r="J18331" s="680"/>
      <c r="K18331" s="681"/>
      <c r="L18331" s="681"/>
    </row>
    <row r="18332" spans="2:12" hidden="1" x14ac:dyDescent="0.2">
      <c r="B18332" s="677"/>
      <c r="C18332" s="678"/>
      <c r="D18332" s="677"/>
      <c r="E18332" s="677"/>
      <c r="F18332" s="677"/>
      <c r="G18332" s="867"/>
      <c r="H18332" s="867"/>
      <c r="I18332" s="867"/>
      <c r="J18332" s="867"/>
      <c r="K18332" s="867"/>
      <c r="L18332" s="681"/>
    </row>
    <row r="18333" spans="2:12" hidden="1" x14ac:dyDescent="0.2">
      <c r="B18333" s="866"/>
      <c r="C18333" s="866"/>
      <c r="D18333" s="866"/>
      <c r="E18333" s="866"/>
      <c r="F18333" s="866"/>
      <c r="G18333" s="866"/>
      <c r="H18333" s="866"/>
      <c r="I18333" s="866"/>
      <c r="J18333" s="866"/>
      <c r="K18333" s="866"/>
      <c r="L18333" s="866"/>
    </row>
    <row r="18334" spans="2:12" hidden="1" x14ac:dyDescent="0.2">
      <c r="B18334" s="866"/>
      <c r="C18334" s="866"/>
      <c r="D18334" s="866"/>
      <c r="E18334" s="866"/>
      <c r="F18334" s="866"/>
      <c r="G18334" s="866"/>
      <c r="H18334" s="866"/>
      <c r="I18334" s="866"/>
      <c r="J18334" s="866"/>
      <c r="K18334" s="866"/>
      <c r="L18334" s="866"/>
    </row>
    <row r="18335" spans="2:12" hidden="1" x14ac:dyDescent="0.2">
      <c r="B18335" s="866"/>
      <c r="C18335" s="866"/>
      <c r="D18335" s="866"/>
      <c r="E18335" s="866"/>
      <c r="F18335" s="866"/>
      <c r="G18335" s="866"/>
      <c r="H18335" s="866"/>
      <c r="I18335" s="866"/>
      <c r="J18335" s="866"/>
      <c r="K18335" s="866"/>
      <c r="L18335" s="866"/>
    </row>
    <row r="18336" spans="2:12" ht="0.75" hidden="1" customHeight="1" x14ac:dyDescent="0.2"/>
    <row r="18337" spans="2:12" hidden="1" x14ac:dyDescent="0.2">
      <c r="G18337" s="861"/>
      <c r="H18337" s="861"/>
      <c r="I18337" s="861"/>
      <c r="J18337" s="861"/>
      <c r="K18337" s="861"/>
    </row>
    <row r="18338" spans="2:12" ht="45" hidden="1" customHeight="1" x14ac:dyDescent="0.2">
      <c r="B18338" s="861"/>
      <c r="C18338" s="861"/>
      <c r="D18338" s="861"/>
      <c r="E18338" s="861"/>
      <c r="F18338" s="861"/>
      <c r="G18338" s="861"/>
      <c r="H18338" s="861"/>
      <c r="I18338" s="861"/>
      <c r="J18338" s="861"/>
      <c r="K18338" s="861"/>
      <c r="L18338" s="861"/>
    </row>
    <row r="18339" spans="2:12" ht="9.75" hidden="1" customHeight="1" x14ac:dyDescent="0.2"/>
    <row r="18340" spans="2:12" hidden="1" x14ac:dyDescent="0.2">
      <c r="G18340" s="861"/>
      <c r="H18340" s="861"/>
      <c r="I18340" s="861"/>
      <c r="J18340" s="861"/>
      <c r="K18340" s="861"/>
    </row>
    <row r="18341" spans="2:12" hidden="1" x14ac:dyDescent="0.2">
      <c r="B18341" s="861"/>
      <c r="C18341" s="861"/>
      <c r="D18341" s="861"/>
      <c r="E18341" s="861"/>
      <c r="F18341" s="861"/>
      <c r="G18341" s="861"/>
      <c r="H18341" s="861"/>
      <c r="I18341" s="861"/>
      <c r="J18341" s="861"/>
      <c r="K18341" s="861"/>
      <c r="L18341" s="861"/>
    </row>
    <row r="18342" spans="2:12" ht="7.5" hidden="1" customHeight="1" x14ac:dyDescent="0.2"/>
    <row r="18343" spans="2:12" hidden="1" x14ac:dyDescent="0.2">
      <c r="G18343" s="861"/>
      <c r="H18343" s="861"/>
      <c r="I18343" s="861"/>
      <c r="J18343" s="861"/>
      <c r="K18343" s="861"/>
    </row>
    <row r="18344" spans="2:12" ht="15" hidden="1" customHeight="1" x14ac:dyDescent="0.2">
      <c r="B18344" s="866"/>
      <c r="C18344" s="866"/>
      <c r="D18344" s="866"/>
      <c r="E18344" s="866"/>
      <c r="F18344" s="866"/>
      <c r="G18344" s="866"/>
      <c r="H18344" s="866"/>
      <c r="I18344" s="866"/>
      <c r="J18344" s="866"/>
      <c r="K18344" s="866"/>
      <c r="L18344" s="866"/>
    </row>
    <row r="18345" spans="2:12" ht="13.5" hidden="1" customHeight="1" x14ac:dyDescent="0.2">
      <c r="B18345" s="866"/>
      <c r="C18345" s="866"/>
      <c r="D18345" s="866"/>
      <c r="E18345" s="866"/>
      <c r="F18345" s="866"/>
      <c r="G18345" s="866"/>
      <c r="H18345" s="866"/>
      <c r="I18345" s="866"/>
      <c r="J18345" s="866"/>
      <c r="K18345" s="866"/>
      <c r="L18345" s="866"/>
    </row>
    <row r="18346" spans="2:12" ht="4.5" hidden="1" customHeight="1" x14ac:dyDescent="0.2">
      <c r="B18346" s="866"/>
      <c r="C18346" s="866"/>
      <c r="D18346" s="866"/>
      <c r="E18346" s="866"/>
      <c r="F18346" s="866"/>
      <c r="G18346" s="866"/>
      <c r="H18346" s="866"/>
      <c r="I18346" s="866"/>
      <c r="J18346" s="866"/>
      <c r="K18346" s="866"/>
      <c r="L18346" s="866"/>
    </row>
    <row r="18347" spans="2:12" ht="24" customHeight="1" x14ac:dyDescent="0.2">
      <c r="C18347" s="863" t="s">
        <v>5394</v>
      </c>
      <c r="D18347" s="863"/>
      <c r="E18347" s="863"/>
      <c r="F18347" s="863"/>
      <c r="G18347" s="863"/>
      <c r="H18347" s="863"/>
      <c r="I18347" s="863"/>
      <c r="J18347" s="863"/>
      <c r="K18347" s="863"/>
      <c r="L18347" s="863"/>
    </row>
    <row r="18348" spans="2:12" ht="5.25" hidden="1" customHeight="1" x14ac:dyDescent="0.2"/>
    <row r="18349" spans="2:12" x14ac:dyDescent="0.2">
      <c r="B18349" s="552"/>
      <c r="C18349" s="552"/>
      <c r="D18349" s="869" t="s">
        <v>5317</v>
      </c>
      <c r="E18349" s="869"/>
      <c r="F18349" s="869"/>
      <c r="G18349" s="869"/>
      <c r="H18349" s="869"/>
      <c r="I18349" s="675"/>
      <c r="J18349" s="675"/>
    </row>
    <row r="18351" spans="2:12" ht="15" customHeight="1" x14ac:dyDescent="0.2">
      <c r="B18351" s="861" t="s">
        <v>5441</v>
      </c>
      <c r="C18351" s="861"/>
      <c r="D18351" s="861"/>
      <c r="E18351" s="861"/>
      <c r="F18351" s="861"/>
      <c r="G18351" s="861"/>
    </row>
    <row r="18352" spans="2:12" ht="0.75" customHeight="1" x14ac:dyDescent="0.2"/>
    <row r="18353" spans="8:11" x14ac:dyDescent="0.2">
      <c r="H18353" s="868" t="s">
        <v>5285</v>
      </c>
      <c r="I18353" s="868"/>
      <c r="J18353" s="868"/>
      <c r="K18353" s="868"/>
    </row>
    <row r="18354" spans="8:11" x14ac:dyDescent="0.2">
      <c r="H18354" s="868" t="s">
        <v>5286</v>
      </c>
      <c r="I18354" s="868"/>
      <c r="J18354" s="868"/>
      <c r="K18354" s="868"/>
    </row>
    <row r="18355" spans="8:11" x14ac:dyDescent="0.2">
      <c r="H18355" s="868" t="s">
        <v>5440</v>
      </c>
      <c r="I18355" s="868"/>
      <c r="J18355" s="868"/>
      <c r="K18355" s="868"/>
    </row>
  </sheetData>
  <sheetProtection selectLockedCells="1" selectUnlockedCells="1"/>
  <mergeCells count="98">
    <mergeCell ref="C18347:L18347"/>
    <mergeCell ref="H18354:K18354"/>
    <mergeCell ref="H18355:K18355"/>
    <mergeCell ref="D18349:H18349"/>
    <mergeCell ref="B18351:G18351"/>
    <mergeCell ref="H18353:K18353"/>
    <mergeCell ref="B18338:L18338"/>
    <mergeCell ref="G18340:K18340"/>
    <mergeCell ref="B18341:L18341"/>
    <mergeCell ref="G18343:K18343"/>
    <mergeCell ref="B18344:L18346"/>
    <mergeCell ref="B18330:L18330"/>
    <mergeCell ref="G18332:K18332"/>
    <mergeCell ref="B18333:L18335"/>
    <mergeCell ref="G18337:K18337"/>
    <mergeCell ref="B18323:L18324"/>
    <mergeCell ref="B18325:L18325"/>
    <mergeCell ref="G18327:K18327"/>
    <mergeCell ref="B18328:L18329"/>
    <mergeCell ref="B18315:L18315"/>
    <mergeCell ref="G18317:K18317"/>
    <mergeCell ref="B18318:L18320"/>
    <mergeCell ref="G18322:K18322"/>
    <mergeCell ref="B18307:L18307"/>
    <mergeCell ref="G18309:K18309"/>
    <mergeCell ref="B18310:L18312"/>
    <mergeCell ref="G18314:K18314"/>
    <mergeCell ref="B18301:L18301"/>
    <mergeCell ref="B18302:L18302"/>
    <mergeCell ref="B18303:L18303"/>
    <mergeCell ref="G18305:K18305"/>
    <mergeCell ref="B18306:L18306"/>
    <mergeCell ref="B18296:L18296"/>
    <mergeCell ref="B18297:L18297"/>
    <mergeCell ref="B18298:L18298"/>
    <mergeCell ref="B18299:L18299"/>
    <mergeCell ref="B18300:L18300"/>
    <mergeCell ref="B18282:L18283"/>
    <mergeCell ref="G18284:K18284"/>
    <mergeCell ref="B18285:L18285"/>
    <mergeCell ref="B18288:L18288"/>
    <mergeCell ref="B18292:L18292"/>
    <mergeCell ref="B18275:L18275"/>
    <mergeCell ref="B18276:L18276"/>
    <mergeCell ref="G18278:K18278"/>
    <mergeCell ref="B18279:L18281"/>
    <mergeCell ref="B18268:L18268"/>
    <mergeCell ref="G18270:K18270"/>
    <mergeCell ref="B18271:L18271"/>
    <mergeCell ref="B18272:L18272"/>
    <mergeCell ref="G18274:K18274"/>
    <mergeCell ref="B18260:L18260"/>
    <mergeCell ref="B18258:L18258"/>
    <mergeCell ref="G18265:K18265"/>
    <mergeCell ref="B18266:L18266"/>
    <mergeCell ref="B18267:L18267"/>
    <mergeCell ref="B18253:L18253"/>
    <mergeCell ref="G18255:K18255"/>
    <mergeCell ref="B18256:L18256"/>
    <mergeCell ref="B18257:L18257"/>
    <mergeCell ref="B18259:L18259"/>
    <mergeCell ref="G18247:K18247"/>
    <mergeCell ref="B18248:L18248"/>
    <mergeCell ref="G18250:K18250"/>
    <mergeCell ref="B18251:L18251"/>
    <mergeCell ref="B18252:L18252"/>
    <mergeCell ref="B18239:L18239"/>
    <mergeCell ref="B18240:L18240"/>
    <mergeCell ref="G18242:K18242"/>
    <mergeCell ref="B18243:L18243"/>
    <mergeCell ref="B18245:L18245"/>
    <mergeCell ref="G18238:K18238"/>
    <mergeCell ref="B18227:L18227"/>
    <mergeCell ref="B18228:L18228"/>
    <mergeCell ref="B18229:L18229"/>
    <mergeCell ref="B18232:L18232"/>
    <mergeCell ref="G18231:K18231"/>
    <mergeCell ref="B18220:L18220"/>
    <mergeCell ref="G18222:K18222"/>
    <mergeCell ref="B18223:L18223"/>
    <mergeCell ref="B18224:L18224"/>
    <mergeCell ref="G18226:K18226"/>
    <mergeCell ref="G18213:K18213"/>
    <mergeCell ref="B18215:L18215"/>
    <mergeCell ref="G1:K1"/>
    <mergeCell ref="E18211:K18211"/>
    <mergeCell ref="G18218:K18218"/>
    <mergeCell ref="F18206:H18206"/>
    <mergeCell ref="C18207:L18207"/>
    <mergeCell ref="G18209:H18209"/>
    <mergeCell ref="C18210:L18210"/>
    <mergeCell ref="C18208:L18208"/>
    <mergeCell ref="O6:X6"/>
    <mergeCell ref="O8:AA10"/>
    <mergeCell ref="O12:AA15"/>
    <mergeCell ref="E2:H2"/>
    <mergeCell ref="B4:L4"/>
    <mergeCell ref="E3:H3"/>
  </mergeCells>
  <printOptions horizontalCentered="1"/>
  <pageMargins left="0.16" right="0" top="0.74803149606299213" bottom="0.74803149606299213" header="0.31496062992125984" footer="0.31496062992125984"/>
  <pageSetup paperSize="9" orientation="landscape" r:id="rId1"/>
  <cellWatches>
    <cellWatch r="H18203"/>
  </cellWatch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AD4732"/>
  <sheetViews>
    <sheetView workbookViewId="0">
      <selection activeCell="F19" sqref="F19"/>
    </sheetView>
  </sheetViews>
  <sheetFormatPr defaultRowHeight="15" x14ac:dyDescent="0.25"/>
  <cols>
    <col min="1" max="1" width="7.7109375" customWidth="1"/>
    <col min="2" max="2" width="65.140625" customWidth="1"/>
    <col min="8" max="8" width="54" customWidth="1"/>
    <col min="12" max="12" width="11" customWidth="1"/>
    <col min="13" max="13" width="84.42578125" customWidth="1"/>
    <col min="14" max="14" width="11.140625" customWidth="1"/>
    <col min="15" max="15" width="9.85546875" customWidth="1"/>
    <col min="16" max="16" width="44.28515625" customWidth="1"/>
    <col min="17" max="17" width="22.85546875" customWidth="1"/>
    <col min="18" max="18" width="20.85546875" customWidth="1"/>
    <col min="19" max="19" width="18.42578125" customWidth="1"/>
    <col min="20" max="20" width="17.7109375" customWidth="1"/>
    <col min="21" max="21" width="53.140625" customWidth="1"/>
  </cols>
  <sheetData>
    <row r="1" spans="1:18" ht="18.75" x14ac:dyDescent="0.3">
      <c r="A1" s="870" t="s">
        <v>93</v>
      </c>
      <c r="B1" s="870"/>
      <c r="G1" s="871" t="s">
        <v>233</v>
      </c>
      <c r="H1" s="871"/>
      <c r="L1" s="872" t="s">
        <v>266</v>
      </c>
      <c r="M1" s="872"/>
      <c r="N1" s="62"/>
      <c r="O1" s="62"/>
      <c r="P1" s="62" t="s">
        <v>3556</v>
      </c>
    </row>
    <row r="2" spans="1:18" x14ac:dyDescent="0.25">
      <c r="A2" s="53">
        <v>0</v>
      </c>
      <c r="B2" s="52" t="s">
        <v>94</v>
      </c>
      <c r="G2" s="200" t="s">
        <v>234</v>
      </c>
      <c r="H2" s="201" t="s">
        <v>235</v>
      </c>
      <c r="L2" s="63" t="s">
        <v>3555</v>
      </c>
      <c r="M2" s="63" t="s">
        <v>22</v>
      </c>
      <c r="P2" s="61" t="s">
        <v>3602</v>
      </c>
      <c r="Q2" s="61" t="s">
        <v>3603</v>
      </c>
      <c r="R2" s="61" t="s">
        <v>3604</v>
      </c>
    </row>
    <row r="3" spans="1:18" x14ac:dyDescent="0.25">
      <c r="A3" s="56">
        <v>10</v>
      </c>
      <c r="B3" s="55" t="s">
        <v>95</v>
      </c>
      <c r="G3" s="200" t="s">
        <v>236</v>
      </c>
      <c r="H3" s="201" t="s">
        <v>237</v>
      </c>
      <c r="L3" s="64">
        <v>0</v>
      </c>
      <c r="M3" t="s">
        <v>267</v>
      </c>
      <c r="O3" s="60"/>
      <c r="P3" s="66" t="s">
        <v>3665</v>
      </c>
      <c r="Q3" s="67" t="s">
        <v>3558</v>
      </c>
      <c r="R3" s="68" t="s">
        <v>3559</v>
      </c>
    </row>
    <row r="4" spans="1:18" x14ac:dyDescent="0.25">
      <c r="A4" s="56">
        <v>20</v>
      </c>
      <c r="B4" s="55" t="s">
        <v>96</v>
      </c>
      <c r="G4" s="200" t="s">
        <v>238</v>
      </c>
      <c r="H4" s="201" t="s">
        <v>239</v>
      </c>
      <c r="L4" s="64">
        <v>10000</v>
      </c>
      <c r="M4" t="s">
        <v>268</v>
      </c>
      <c r="O4" s="59"/>
      <c r="P4" s="66" t="s">
        <v>3666</v>
      </c>
      <c r="Q4" s="67" t="s">
        <v>3561</v>
      </c>
      <c r="R4" s="68" t="s">
        <v>3562</v>
      </c>
    </row>
    <row r="5" spans="1:18" x14ac:dyDescent="0.25">
      <c r="A5" s="56">
        <v>30</v>
      </c>
      <c r="B5" s="55" t="s">
        <v>97</v>
      </c>
      <c r="G5" s="200" t="s">
        <v>240</v>
      </c>
      <c r="H5" s="201" t="s">
        <v>241</v>
      </c>
      <c r="L5" s="64">
        <v>11000</v>
      </c>
      <c r="M5" t="s">
        <v>269</v>
      </c>
      <c r="P5" s="66" t="s">
        <v>3667</v>
      </c>
      <c r="Q5" s="67" t="s">
        <v>3564</v>
      </c>
      <c r="R5" s="68" t="s">
        <v>3565</v>
      </c>
    </row>
    <row r="6" spans="1:18" x14ac:dyDescent="0.25">
      <c r="A6" s="56">
        <v>40</v>
      </c>
      <c r="B6" s="55" t="s">
        <v>98</v>
      </c>
      <c r="G6" s="200" t="s">
        <v>242</v>
      </c>
      <c r="H6" s="201" t="s">
        <v>243</v>
      </c>
      <c r="L6" s="64">
        <v>11100</v>
      </c>
      <c r="M6" t="s">
        <v>270</v>
      </c>
      <c r="P6" s="66" t="s">
        <v>3668</v>
      </c>
      <c r="Q6" s="67" t="s">
        <v>3567</v>
      </c>
      <c r="R6" s="68" t="s">
        <v>3568</v>
      </c>
    </row>
    <row r="7" spans="1:18" x14ac:dyDescent="0.25">
      <c r="A7" s="56">
        <v>50</v>
      </c>
      <c r="B7" s="55" t="s">
        <v>99</v>
      </c>
      <c r="G7" s="200" t="s">
        <v>244</v>
      </c>
      <c r="H7" s="201" t="s">
        <v>245</v>
      </c>
      <c r="L7" s="64">
        <v>11110</v>
      </c>
      <c r="M7" t="s">
        <v>271</v>
      </c>
      <c r="P7" s="66" t="s">
        <v>3669</v>
      </c>
      <c r="Q7" s="67" t="s">
        <v>3570</v>
      </c>
      <c r="R7" s="68" t="s">
        <v>3571</v>
      </c>
    </row>
    <row r="8" spans="1:18" x14ac:dyDescent="0.25">
      <c r="A8" s="56">
        <v>60</v>
      </c>
      <c r="B8" s="55" t="s">
        <v>100</v>
      </c>
      <c r="G8" s="200" t="s">
        <v>246</v>
      </c>
      <c r="H8" s="201" t="s">
        <v>247</v>
      </c>
      <c r="L8" s="64">
        <v>11111</v>
      </c>
      <c r="M8" t="s">
        <v>272</v>
      </c>
      <c r="P8" s="66" t="s">
        <v>3670</v>
      </c>
      <c r="Q8" s="67" t="s">
        <v>3573</v>
      </c>
      <c r="R8" s="68" t="s">
        <v>3574</v>
      </c>
    </row>
    <row r="9" spans="1:18" x14ac:dyDescent="0.25">
      <c r="A9" s="56">
        <v>70</v>
      </c>
      <c r="B9" s="55" t="s">
        <v>101</v>
      </c>
      <c r="G9" s="200" t="s">
        <v>248</v>
      </c>
      <c r="H9" s="201" t="s">
        <v>249</v>
      </c>
      <c r="L9" s="64">
        <v>11112</v>
      </c>
      <c r="M9" t="s">
        <v>273</v>
      </c>
      <c r="P9" s="66" t="s">
        <v>3671</v>
      </c>
      <c r="Q9" s="67" t="s">
        <v>3576</v>
      </c>
      <c r="R9" s="68" t="s">
        <v>3577</v>
      </c>
    </row>
    <row r="10" spans="1:18" x14ac:dyDescent="0.25">
      <c r="A10" s="56">
        <v>80</v>
      </c>
      <c r="B10" s="55" t="s">
        <v>102</v>
      </c>
      <c r="G10" s="200" t="s">
        <v>250</v>
      </c>
      <c r="H10" s="201" t="s">
        <v>57</v>
      </c>
      <c r="L10" s="64">
        <v>11113</v>
      </c>
      <c r="M10" t="s">
        <v>274</v>
      </c>
      <c r="P10" s="66" t="s">
        <v>3672</v>
      </c>
      <c r="Q10" s="67" t="s">
        <v>3579</v>
      </c>
      <c r="R10" s="68" t="s">
        <v>3580</v>
      </c>
    </row>
    <row r="11" spans="1:18" x14ac:dyDescent="0.25">
      <c r="A11" s="56">
        <v>90</v>
      </c>
      <c r="B11" s="55" t="s">
        <v>103</v>
      </c>
      <c r="G11" s="200" t="s">
        <v>251</v>
      </c>
      <c r="H11" s="201" t="s">
        <v>252</v>
      </c>
      <c r="L11" s="64">
        <v>11115</v>
      </c>
      <c r="M11" t="s">
        <v>275</v>
      </c>
      <c r="P11" s="66" t="s">
        <v>3673</v>
      </c>
      <c r="Q11" s="67" t="s">
        <v>3582</v>
      </c>
      <c r="R11" s="68" t="s">
        <v>3583</v>
      </c>
    </row>
    <row r="12" spans="1:18" x14ac:dyDescent="0.25">
      <c r="A12" s="51">
        <v>100</v>
      </c>
      <c r="B12" s="52" t="s">
        <v>104</v>
      </c>
      <c r="G12" s="200" t="s">
        <v>253</v>
      </c>
      <c r="H12" s="201" t="s">
        <v>254</v>
      </c>
      <c r="L12" s="64">
        <v>11116</v>
      </c>
      <c r="M12" t="s">
        <v>276</v>
      </c>
      <c r="P12" s="66" t="s">
        <v>3674</v>
      </c>
      <c r="Q12" s="67" t="s">
        <v>3585</v>
      </c>
      <c r="R12" s="68" t="s">
        <v>3586</v>
      </c>
    </row>
    <row r="13" spans="1:18" x14ac:dyDescent="0.25">
      <c r="A13" s="54">
        <v>110</v>
      </c>
      <c r="B13" s="55" t="s">
        <v>105</v>
      </c>
      <c r="G13" s="200" t="s">
        <v>255</v>
      </c>
      <c r="H13" s="201" t="s">
        <v>256</v>
      </c>
      <c r="L13" s="64">
        <v>11117</v>
      </c>
      <c r="M13" t="s">
        <v>277</v>
      </c>
      <c r="P13" s="66" t="s">
        <v>3675</v>
      </c>
      <c r="Q13" s="67" t="s">
        <v>3588</v>
      </c>
      <c r="R13" s="68" t="s">
        <v>3589</v>
      </c>
    </row>
    <row r="14" spans="1:18" x14ac:dyDescent="0.25">
      <c r="A14" s="57">
        <v>111</v>
      </c>
      <c r="B14" s="58" t="s">
        <v>106</v>
      </c>
      <c r="G14" s="200" t="s">
        <v>257</v>
      </c>
      <c r="H14" s="201" t="s">
        <v>258</v>
      </c>
      <c r="L14" s="64">
        <v>11118</v>
      </c>
      <c r="M14" t="s">
        <v>278</v>
      </c>
      <c r="P14" s="66" t="s">
        <v>3676</v>
      </c>
      <c r="Q14" s="67" t="s">
        <v>3591</v>
      </c>
      <c r="R14" s="68" t="s">
        <v>3592</v>
      </c>
    </row>
    <row r="15" spans="1:18" x14ac:dyDescent="0.25">
      <c r="A15" s="57">
        <v>112</v>
      </c>
      <c r="B15" s="58" t="s">
        <v>107</v>
      </c>
      <c r="G15" s="200" t="s">
        <v>259</v>
      </c>
      <c r="H15" s="201" t="s">
        <v>260</v>
      </c>
      <c r="L15" s="64">
        <v>11119</v>
      </c>
      <c r="M15" t="s">
        <v>279</v>
      </c>
      <c r="P15" s="66" t="s">
        <v>3677</v>
      </c>
      <c r="Q15" s="67" t="s">
        <v>3594</v>
      </c>
      <c r="R15" s="68" t="s">
        <v>3595</v>
      </c>
    </row>
    <row r="16" spans="1:18" x14ac:dyDescent="0.25">
      <c r="A16" s="57">
        <v>113</v>
      </c>
      <c r="B16" s="58" t="s">
        <v>108</v>
      </c>
      <c r="G16" s="200" t="s">
        <v>261</v>
      </c>
      <c r="H16" s="201" t="s">
        <v>262</v>
      </c>
      <c r="L16" s="64">
        <v>11120</v>
      </c>
      <c r="M16" t="s">
        <v>280</v>
      </c>
      <c r="P16" s="66" t="s">
        <v>3678</v>
      </c>
      <c r="Q16" s="67" t="s">
        <v>3597</v>
      </c>
      <c r="R16" s="68" t="s">
        <v>3598</v>
      </c>
    </row>
    <row r="17" spans="1:30" x14ac:dyDescent="0.25">
      <c r="A17" s="54">
        <v>120</v>
      </c>
      <c r="B17" s="55" t="s">
        <v>109</v>
      </c>
      <c r="G17" s="200" t="s">
        <v>263</v>
      </c>
      <c r="H17" s="201" t="s">
        <v>264</v>
      </c>
      <c r="L17" s="64">
        <v>11121</v>
      </c>
      <c r="M17" t="s">
        <v>281</v>
      </c>
      <c r="P17" s="66" t="s">
        <v>3679</v>
      </c>
      <c r="Q17" s="67" t="s">
        <v>3600</v>
      </c>
      <c r="R17" s="68" t="s">
        <v>3601</v>
      </c>
    </row>
    <row r="18" spans="1:30" x14ac:dyDescent="0.25">
      <c r="A18" s="57">
        <v>121</v>
      </c>
      <c r="B18" s="58" t="s">
        <v>110</v>
      </c>
      <c r="L18" s="64">
        <v>11125</v>
      </c>
      <c r="M18" t="s">
        <v>282</v>
      </c>
    </row>
    <row r="19" spans="1:30" x14ac:dyDescent="0.25">
      <c r="A19" s="57">
        <v>122</v>
      </c>
      <c r="B19" s="58" t="s">
        <v>111</v>
      </c>
      <c r="L19" s="64">
        <v>11126</v>
      </c>
      <c r="M19" t="s">
        <v>283</v>
      </c>
    </row>
    <row r="20" spans="1:30" x14ac:dyDescent="0.25">
      <c r="A20" s="54">
        <v>130</v>
      </c>
      <c r="B20" s="55" t="s">
        <v>112</v>
      </c>
      <c r="L20" s="64">
        <v>11127</v>
      </c>
      <c r="M20" t="s">
        <v>284</v>
      </c>
    </row>
    <row r="21" spans="1:30" x14ac:dyDescent="0.25">
      <c r="A21" s="57">
        <v>131</v>
      </c>
      <c r="B21" s="58" t="s">
        <v>113</v>
      </c>
      <c r="L21" s="64">
        <v>11128</v>
      </c>
      <c r="M21" t="s">
        <v>285</v>
      </c>
    </row>
    <row r="22" spans="1:30" x14ac:dyDescent="0.25">
      <c r="A22" s="57">
        <v>132</v>
      </c>
      <c r="B22" s="58" t="s">
        <v>114</v>
      </c>
      <c r="L22" s="64">
        <v>11129</v>
      </c>
      <c r="M22" t="s">
        <v>286</v>
      </c>
    </row>
    <row r="23" spans="1:30" x14ac:dyDescent="0.25">
      <c r="A23" s="57">
        <v>133</v>
      </c>
      <c r="B23" s="58" t="s">
        <v>115</v>
      </c>
      <c r="L23" s="64">
        <v>11130</v>
      </c>
      <c r="M23" t="s">
        <v>287</v>
      </c>
      <c r="P23" s="69" t="s">
        <v>3557</v>
      </c>
      <c r="Q23" s="70" t="s">
        <v>3605</v>
      </c>
      <c r="R23" s="70" t="s">
        <v>3606</v>
      </c>
      <c r="S23" s="71"/>
      <c r="T23" s="71"/>
      <c r="U23" s="71"/>
      <c r="V23" s="71"/>
      <c r="W23" s="71"/>
      <c r="X23" s="71"/>
      <c r="Y23" s="71"/>
      <c r="Z23" s="71"/>
      <c r="AA23" s="71"/>
      <c r="AB23" s="71"/>
      <c r="AC23" s="71"/>
      <c r="AD23" s="71"/>
    </row>
    <row r="24" spans="1:30" x14ac:dyDescent="0.25">
      <c r="A24" s="54">
        <v>140</v>
      </c>
      <c r="B24" s="55" t="s">
        <v>116</v>
      </c>
      <c r="L24" s="64">
        <v>11131</v>
      </c>
      <c r="M24" t="s">
        <v>288</v>
      </c>
      <c r="P24" s="69" t="s">
        <v>3560</v>
      </c>
      <c r="Q24" s="70" t="s">
        <v>3607</v>
      </c>
      <c r="R24" s="70" t="s">
        <v>3608</v>
      </c>
      <c r="S24" s="70" t="s">
        <v>3609</v>
      </c>
      <c r="T24" s="70" t="s">
        <v>3610</v>
      </c>
      <c r="U24" s="70" t="s">
        <v>3611</v>
      </c>
      <c r="V24" s="70" t="s">
        <v>3612</v>
      </c>
      <c r="W24" s="70" t="s">
        <v>3613</v>
      </c>
      <c r="X24" s="70" t="s">
        <v>3614</v>
      </c>
      <c r="Y24" s="70" t="s">
        <v>3615</v>
      </c>
      <c r="Z24" s="70" t="s">
        <v>3616</v>
      </c>
      <c r="AA24" s="70" t="s">
        <v>3617</v>
      </c>
      <c r="AB24" s="70" t="s">
        <v>3618</v>
      </c>
      <c r="AC24" s="70" t="s">
        <v>3619</v>
      </c>
      <c r="AD24" s="70" t="s">
        <v>3620</v>
      </c>
    </row>
    <row r="25" spans="1:30" x14ac:dyDescent="0.25">
      <c r="A25" s="54">
        <v>150</v>
      </c>
      <c r="B25" s="55" t="s">
        <v>117</v>
      </c>
      <c r="L25" s="64">
        <v>11132</v>
      </c>
      <c r="M25" t="s">
        <v>289</v>
      </c>
      <c r="P25" s="69" t="s">
        <v>3563</v>
      </c>
      <c r="Q25" s="70" t="s">
        <v>3621</v>
      </c>
      <c r="R25" s="70" t="s">
        <v>3622</v>
      </c>
      <c r="S25" s="70" t="s">
        <v>3623</v>
      </c>
      <c r="T25" s="70" t="s">
        <v>3624</v>
      </c>
      <c r="U25" s="70" t="s">
        <v>3625</v>
      </c>
      <c r="V25" s="71"/>
      <c r="W25" s="71"/>
      <c r="X25" s="71"/>
      <c r="Y25" s="71"/>
      <c r="Z25" s="71"/>
      <c r="AA25" s="71"/>
      <c r="AB25" s="71"/>
      <c r="AC25" s="71"/>
      <c r="AD25" s="71"/>
    </row>
    <row r="26" spans="1:30" x14ac:dyDescent="0.25">
      <c r="A26" s="54">
        <v>160</v>
      </c>
      <c r="B26" s="55" t="s">
        <v>118</v>
      </c>
      <c r="L26" s="64">
        <v>11133</v>
      </c>
      <c r="M26" t="s">
        <v>290</v>
      </c>
      <c r="P26" s="69" t="s">
        <v>3566</v>
      </c>
      <c r="Q26" s="69" t="s">
        <v>3626</v>
      </c>
      <c r="R26" s="69" t="s">
        <v>3627</v>
      </c>
      <c r="S26" s="71"/>
      <c r="T26" s="71"/>
      <c r="U26" s="71"/>
      <c r="V26" s="71"/>
      <c r="W26" s="71"/>
      <c r="X26" s="71"/>
      <c r="Y26" s="71"/>
      <c r="Z26" s="71"/>
      <c r="AA26" s="71"/>
      <c r="AB26" s="71"/>
      <c r="AC26" s="71"/>
      <c r="AD26" s="71"/>
    </row>
    <row r="27" spans="1:30" x14ac:dyDescent="0.25">
      <c r="A27" s="54">
        <v>170</v>
      </c>
      <c r="B27" s="55" t="s">
        <v>119</v>
      </c>
      <c r="L27" s="64">
        <v>11134</v>
      </c>
      <c r="M27" t="s">
        <v>291</v>
      </c>
      <c r="P27" s="69" t="s">
        <v>3569</v>
      </c>
      <c r="Q27" s="70" t="s">
        <v>3628</v>
      </c>
      <c r="R27" s="70" t="s">
        <v>3629</v>
      </c>
      <c r="S27" s="71"/>
      <c r="T27" s="71"/>
      <c r="U27" s="71"/>
      <c r="V27" s="71"/>
      <c r="W27" s="71"/>
      <c r="X27" s="71"/>
      <c r="Y27" s="71"/>
      <c r="Z27" s="71"/>
      <c r="AA27" s="71"/>
      <c r="AB27" s="71"/>
      <c r="AC27" s="71"/>
      <c r="AD27" s="71"/>
    </row>
    <row r="28" spans="1:30" x14ac:dyDescent="0.25">
      <c r="A28" s="54">
        <v>180</v>
      </c>
      <c r="B28" s="55" t="s">
        <v>120</v>
      </c>
      <c r="L28" s="64">
        <v>11135</v>
      </c>
      <c r="M28" t="s">
        <v>292</v>
      </c>
      <c r="P28" s="69" t="s">
        <v>3572</v>
      </c>
      <c r="Q28" s="72" t="s">
        <v>3630</v>
      </c>
      <c r="R28" s="72" t="s">
        <v>3631</v>
      </c>
      <c r="S28" s="72" t="s">
        <v>3632</v>
      </c>
      <c r="T28" s="72" t="s">
        <v>3633</v>
      </c>
      <c r="U28" s="71"/>
      <c r="V28" s="71"/>
      <c r="W28" s="71"/>
      <c r="X28" s="71"/>
      <c r="Y28" s="71"/>
      <c r="Z28" s="71"/>
      <c r="AA28" s="71"/>
      <c r="AB28" s="71"/>
      <c r="AC28" s="71"/>
      <c r="AD28" s="71"/>
    </row>
    <row r="29" spans="1:30" x14ac:dyDescent="0.25">
      <c r="A29" s="51">
        <v>200</v>
      </c>
      <c r="B29" s="52" t="s">
        <v>121</v>
      </c>
      <c r="L29" s="64">
        <v>11136</v>
      </c>
      <c r="M29" t="s">
        <v>293</v>
      </c>
      <c r="P29" s="69" t="s">
        <v>3575</v>
      </c>
      <c r="Q29" s="72" t="s">
        <v>3634</v>
      </c>
      <c r="R29" s="72" t="s">
        <v>3635</v>
      </c>
      <c r="S29" s="71"/>
      <c r="T29" s="71"/>
      <c r="U29" s="71"/>
      <c r="V29" s="71"/>
      <c r="W29" s="71"/>
      <c r="X29" s="71"/>
      <c r="Y29" s="71"/>
      <c r="Z29" s="71"/>
      <c r="AA29" s="71"/>
      <c r="AB29" s="71"/>
      <c r="AC29" s="71"/>
      <c r="AD29" s="71"/>
    </row>
    <row r="30" spans="1:30" x14ac:dyDescent="0.25">
      <c r="A30" s="54">
        <v>210</v>
      </c>
      <c r="B30" s="55" t="s">
        <v>122</v>
      </c>
      <c r="L30" s="64">
        <v>11137</v>
      </c>
      <c r="M30" t="s">
        <v>294</v>
      </c>
      <c r="P30" s="69" t="s">
        <v>3578</v>
      </c>
      <c r="Q30" s="72" t="s">
        <v>3636</v>
      </c>
      <c r="R30" s="71"/>
      <c r="S30" s="71"/>
      <c r="T30" s="71"/>
      <c r="U30" s="71"/>
      <c r="V30" s="71"/>
      <c r="W30" s="71"/>
      <c r="X30" s="71"/>
      <c r="Y30" s="71"/>
      <c r="Z30" s="71"/>
      <c r="AA30" s="71"/>
      <c r="AB30" s="71"/>
      <c r="AC30" s="71"/>
      <c r="AD30" s="71"/>
    </row>
    <row r="31" spans="1:30" x14ac:dyDescent="0.25">
      <c r="A31" s="54">
        <v>220</v>
      </c>
      <c r="B31" s="55" t="s">
        <v>123</v>
      </c>
      <c r="L31" s="64">
        <v>11138</v>
      </c>
      <c r="M31" t="s">
        <v>295</v>
      </c>
      <c r="P31" s="69" t="s">
        <v>3581</v>
      </c>
      <c r="Q31" s="72" t="s">
        <v>3637</v>
      </c>
      <c r="R31" s="71"/>
      <c r="S31" s="71"/>
      <c r="T31" s="71"/>
      <c r="U31" s="71"/>
      <c r="V31" s="71"/>
      <c r="W31" s="71"/>
      <c r="X31" s="71"/>
      <c r="Y31" s="71"/>
      <c r="Z31" s="71"/>
      <c r="AA31" s="71"/>
      <c r="AB31" s="71"/>
      <c r="AC31" s="71"/>
      <c r="AD31" s="71"/>
    </row>
    <row r="32" spans="1:30" x14ac:dyDescent="0.25">
      <c r="A32" s="54">
        <v>230</v>
      </c>
      <c r="B32" s="55" t="s">
        <v>124</v>
      </c>
      <c r="L32" s="64">
        <v>11139</v>
      </c>
      <c r="M32" t="s">
        <v>296</v>
      </c>
      <c r="P32" s="69" t="s">
        <v>3584</v>
      </c>
      <c r="Q32" s="72" t="s">
        <v>3638</v>
      </c>
      <c r="R32" s="71"/>
      <c r="S32" s="71"/>
      <c r="T32" s="71"/>
      <c r="U32" s="71"/>
      <c r="V32" s="71"/>
      <c r="W32" s="71"/>
      <c r="X32" s="71"/>
      <c r="Y32" s="71"/>
      <c r="Z32" s="71"/>
      <c r="AA32" s="71"/>
      <c r="AB32" s="71"/>
      <c r="AC32" s="71"/>
      <c r="AD32" s="71"/>
    </row>
    <row r="33" spans="1:30" x14ac:dyDescent="0.25">
      <c r="A33" s="54">
        <v>240</v>
      </c>
      <c r="B33" s="55" t="s">
        <v>125</v>
      </c>
      <c r="L33" s="64">
        <v>11140</v>
      </c>
      <c r="M33" t="s">
        <v>297</v>
      </c>
      <c r="P33" s="69" t="s">
        <v>3587</v>
      </c>
      <c r="Q33" s="72" t="s">
        <v>3639</v>
      </c>
      <c r="R33" s="72" t="s">
        <v>3640</v>
      </c>
      <c r="S33" s="72" t="s">
        <v>3641</v>
      </c>
      <c r="T33" s="72" t="s">
        <v>3642</v>
      </c>
      <c r="U33" s="72" t="s">
        <v>3643</v>
      </c>
      <c r="V33" s="72" t="s">
        <v>3644</v>
      </c>
      <c r="W33" s="71"/>
      <c r="X33" s="71"/>
      <c r="Y33" s="71"/>
      <c r="Z33" s="71"/>
      <c r="AA33" s="71"/>
      <c r="AB33" s="71"/>
      <c r="AC33" s="71"/>
      <c r="AD33" s="71"/>
    </row>
    <row r="34" spans="1:30" x14ac:dyDescent="0.25">
      <c r="A34" s="54">
        <v>250</v>
      </c>
      <c r="B34" s="55" t="s">
        <v>126</v>
      </c>
      <c r="L34" s="64">
        <v>11141</v>
      </c>
      <c r="M34" t="s">
        <v>298</v>
      </c>
      <c r="P34" s="69" t="s">
        <v>3590</v>
      </c>
      <c r="Q34" s="72" t="s">
        <v>3645</v>
      </c>
      <c r="R34" s="71"/>
      <c r="S34" s="71"/>
      <c r="T34" s="71"/>
      <c r="U34" s="71"/>
      <c r="V34" s="71"/>
      <c r="W34" s="71"/>
      <c r="X34" s="71"/>
      <c r="Y34" s="71"/>
      <c r="Z34" s="71"/>
      <c r="AA34" s="71"/>
      <c r="AB34" s="71"/>
      <c r="AC34" s="71"/>
      <c r="AD34" s="71"/>
    </row>
    <row r="35" spans="1:30" x14ac:dyDescent="0.25">
      <c r="A35" s="51">
        <v>300</v>
      </c>
      <c r="B35" s="52" t="s">
        <v>127</v>
      </c>
      <c r="L35" s="64">
        <v>11142</v>
      </c>
      <c r="M35" t="s">
        <v>299</v>
      </c>
      <c r="P35" s="69" t="s">
        <v>3593</v>
      </c>
      <c r="Q35" s="70" t="s">
        <v>3646</v>
      </c>
      <c r="R35" s="70" t="s">
        <v>3647</v>
      </c>
      <c r="S35" s="71"/>
      <c r="T35" s="71"/>
      <c r="U35" s="71"/>
      <c r="V35" s="71"/>
      <c r="W35" s="71"/>
      <c r="X35" s="71"/>
      <c r="Y35" s="71"/>
      <c r="Z35" s="71"/>
      <c r="AA35" s="71"/>
      <c r="AB35" s="71"/>
      <c r="AC35" s="71"/>
      <c r="AD35" s="71"/>
    </row>
    <row r="36" spans="1:30" x14ac:dyDescent="0.25">
      <c r="A36" s="54">
        <v>310</v>
      </c>
      <c r="B36" s="55" t="s">
        <v>128</v>
      </c>
      <c r="L36" s="64">
        <v>11143</v>
      </c>
      <c r="M36" t="s">
        <v>300</v>
      </c>
      <c r="P36" s="69" t="s">
        <v>3596</v>
      </c>
      <c r="Q36" s="70" t="s">
        <v>3648</v>
      </c>
      <c r="R36" s="70" t="s">
        <v>3649</v>
      </c>
      <c r="S36" s="70" t="s">
        <v>3650</v>
      </c>
      <c r="T36" s="71"/>
      <c r="U36" s="71"/>
      <c r="V36" s="71"/>
      <c r="W36" s="71"/>
      <c r="X36" s="71"/>
      <c r="Y36" s="71"/>
      <c r="Z36" s="71"/>
      <c r="AA36" s="71"/>
      <c r="AB36" s="71"/>
      <c r="AC36" s="71"/>
      <c r="AD36" s="71"/>
    </row>
    <row r="37" spans="1:30" x14ac:dyDescent="0.25">
      <c r="A37" s="54">
        <v>320</v>
      </c>
      <c r="B37" s="55" t="s">
        <v>129</v>
      </c>
      <c r="L37" s="64">
        <v>11145</v>
      </c>
      <c r="M37" t="s">
        <v>301</v>
      </c>
      <c r="P37" s="69" t="s">
        <v>3599</v>
      </c>
      <c r="Q37" s="70" t="s">
        <v>3651</v>
      </c>
      <c r="R37" s="70" t="s">
        <v>3652</v>
      </c>
      <c r="S37" s="70" t="s">
        <v>3653</v>
      </c>
      <c r="T37" s="70" t="s">
        <v>3654</v>
      </c>
      <c r="U37" s="70" t="s">
        <v>3655</v>
      </c>
      <c r="V37" s="70" t="s">
        <v>3656</v>
      </c>
      <c r="W37" s="70" t="s">
        <v>3657</v>
      </c>
      <c r="X37" s="70" t="s">
        <v>3658</v>
      </c>
      <c r="Y37" s="70" t="s">
        <v>3659</v>
      </c>
      <c r="Z37" s="70" t="s">
        <v>3660</v>
      </c>
      <c r="AA37" s="71"/>
      <c r="AB37" s="71"/>
      <c r="AC37" s="71"/>
      <c r="AD37" s="71"/>
    </row>
    <row r="38" spans="1:30" x14ac:dyDescent="0.25">
      <c r="A38" s="54">
        <v>330</v>
      </c>
      <c r="B38" s="55" t="s">
        <v>130</v>
      </c>
      <c r="L38" s="64">
        <v>11146</v>
      </c>
      <c r="M38" t="s">
        <v>302</v>
      </c>
    </row>
    <row r="39" spans="1:30" x14ac:dyDescent="0.25">
      <c r="A39" s="54">
        <v>350</v>
      </c>
      <c r="B39" s="55" t="s">
        <v>131</v>
      </c>
      <c r="L39" s="64">
        <v>11147</v>
      </c>
      <c r="M39" t="s">
        <v>303</v>
      </c>
    </row>
    <row r="40" spans="1:30" x14ac:dyDescent="0.25">
      <c r="A40" s="54">
        <v>360</v>
      </c>
      <c r="B40" s="55" t="s">
        <v>132</v>
      </c>
      <c r="L40" s="64">
        <v>11148</v>
      </c>
      <c r="M40" t="s">
        <v>304</v>
      </c>
    </row>
    <row r="41" spans="1:30" x14ac:dyDescent="0.25">
      <c r="A41" s="51">
        <v>400</v>
      </c>
      <c r="B41" s="52" t="s">
        <v>133</v>
      </c>
      <c r="L41" s="64">
        <v>11149</v>
      </c>
      <c r="M41" t="s">
        <v>305</v>
      </c>
    </row>
    <row r="42" spans="1:30" x14ac:dyDescent="0.25">
      <c r="A42" s="54">
        <v>410</v>
      </c>
      <c r="B42" s="55" t="s">
        <v>134</v>
      </c>
      <c r="L42" s="64">
        <v>11150</v>
      </c>
      <c r="M42" t="s">
        <v>306</v>
      </c>
    </row>
    <row r="43" spans="1:30" x14ac:dyDescent="0.25">
      <c r="A43" s="57">
        <v>411</v>
      </c>
      <c r="B43" s="58" t="s">
        <v>135</v>
      </c>
      <c r="L43" s="64">
        <v>11151</v>
      </c>
      <c r="M43" t="s">
        <v>307</v>
      </c>
    </row>
    <row r="44" spans="1:30" x14ac:dyDescent="0.25">
      <c r="A44" s="57">
        <v>412</v>
      </c>
      <c r="B44" s="58" t="s">
        <v>136</v>
      </c>
      <c r="L44" s="64">
        <v>11152</v>
      </c>
      <c r="M44" t="s">
        <v>308</v>
      </c>
    </row>
    <row r="45" spans="1:30" x14ac:dyDescent="0.25">
      <c r="A45" s="54">
        <v>420</v>
      </c>
      <c r="B45" s="55" t="s">
        <v>137</v>
      </c>
      <c r="L45" s="64">
        <v>11153</v>
      </c>
      <c r="M45" t="s">
        <v>309</v>
      </c>
    </row>
    <row r="46" spans="1:30" x14ac:dyDescent="0.25">
      <c r="A46" s="57">
        <v>421</v>
      </c>
      <c r="B46" s="58" t="s">
        <v>138</v>
      </c>
      <c r="L46" s="64">
        <v>11154</v>
      </c>
      <c r="M46" t="s">
        <v>310</v>
      </c>
    </row>
    <row r="47" spans="1:30" x14ac:dyDescent="0.25">
      <c r="A47" s="57">
        <v>422</v>
      </c>
      <c r="B47" s="58" t="s">
        <v>139</v>
      </c>
      <c r="L47" s="64">
        <v>11155</v>
      </c>
      <c r="M47" t="s">
        <v>311</v>
      </c>
    </row>
    <row r="48" spans="1:30" x14ac:dyDescent="0.25">
      <c r="A48" s="57">
        <v>423</v>
      </c>
      <c r="B48" s="58" t="s">
        <v>140</v>
      </c>
      <c r="L48" s="64">
        <v>11156</v>
      </c>
      <c r="M48" t="s">
        <v>312</v>
      </c>
    </row>
    <row r="49" spans="1:13" x14ac:dyDescent="0.25">
      <c r="A49" s="54">
        <v>430</v>
      </c>
      <c r="B49" s="55" t="s">
        <v>141</v>
      </c>
      <c r="L49" s="64">
        <v>11157</v>
      </c>
      <c r="M49" t="s">
        <v>313</v>
      </c>
    </row>
    <row r="50" spans="1:13" x14ac:dyDescent="0.25">
      <c r="A50" s="57">
        <v>431</v>
      </c>
      <c r="B50" s="58" t="s">
        <v>142</v>
      </c>
      <c r="L50" s="64">
        <v>11158</v>
      </c>
      <c r="M50" t="s">
        <v>314</v>
      </c>
    </row>
    <row r="51" spans="1:13" x14ac:dyDescent="0.25">
      <c r="A51" s="57">
        <v>432</v>
      </c>
      <c r="B51" s="58" t="s">
        <v>143</v>
      </c>
      <c r="L51" s="64">
        <v>11159</v>
      </c>
      <c r="M51" t="s">
        <v>315</v>
      </c>
    </row>
    <row r="52" spans="1:13" x14ac:dyDescent="0.25">
      <c r="A52" s="57">
        <v>433</v>
      </c>
      <c r="B52" s="58" t="s">
        <v>144</v>
      </c>
      <c r="L52" s="64">
        <v>11190</v>
      </c>
      <c r="M52" t="s">
        <v>316</v>
      </c>
    </row>
    <row r="53" spans="1:13" x14ac:dyDescent="0.25">
      <c r="A53" s="57">
        <v>434</v>
      </c>
      <c r="B53" s="58" t="s">
        <v>145</v>
      </c>
      <c r="L53" s="64">
        <v>11191</v>
      </c>
      <c r="M53" t="s">
        <v>317</v>
      </c>
    </row>
    <row r="54" spans="1:13" x14ac:dyDescent="0.25">
      <c r="A54" s="57">
        <v>435</v>
      </c>
      <c r="B54" s="58" t="s">
        <v>146</v>
      </c>
      <c r="L54" s="64">
        <v>11192</v>
      </c>
      <c r="M54" t="s">
        <v>318</v>
      </c>
    </row>
    <row r="55" spans="1:13" x14ac:dyDescent="0.25">
      <c r="A55" s="57">
        <v>436</v>
      </c>
      <c r="B55" s="58" t="s">
        <v>147</v>
      </c>
      <c r="L55" s="64">
        <v>11193</v>
      </c>
      <c r="M55" t="s">
        <v>319</v>
      </c>
    </row>
    <row r="56" spans="1:13" x14ac:dyDescent="0.25">
      <c r="A56" s="54">
        <v>440</v>
      </c>
      <c r="B56" s="55" t="s">
        <v>148</v>
      </c>
      <c r="L56" s="64">
        <v>11194</v>
      </c>
      <c r="M56" t="s">
        <v>320</v>
      </c>
    </row>
    <row r="57" spans="1:13" x14ac:dyDescent="0.25">
      <c r="A57" s="57">
        <v>441</v>
      </c>
      <c r="B57" s="58" t="s">
        <v>149</v>
      </c>
      <c r="L57" s="64">
        <v>11195</v>
      </c>
      <c r="M57" t="s">
        <v>321</v>
      </c>
    </row>
    <row r="58" spans="1:13" x14ac:dyDescent="0.25">
      <c r="A58" s="57">
        <v>442</v>
      </c>
      <c r="B58" s="58" t="s">
        <v>150</v>
      </c>
      <c r="L58" s="64">
        <v>11196</v>
      </c>
      <c r="M58" t="s">
        <v>322</v>
      </c>
    </row>
    <row r="59" spans="1:13" x14ac:dyDescent="0.25">
      <c r="A59" s="57">
        <v>443</v>
      </c>
      <c r="B59" s="58" t="s">
        <v>151</v>
      </c>
      <c r="L59" s="64">
        <v>11197</v>
      </c>
      <c r="M59" t="s">
        <v>323</v>
      </c>
    </row>
    <row r="60" spans="1:13" x14ac:dyDescent="0.25">
      <c r="A60" s="54">
        <v>450</v>
      </c>
      <c r="B60" s="55" t="s">
        <v>152</v>
      </c>
      <c r="L60" s="64">
        <v>11198</v>
      </c>
      <c r="M60" t="s">
        <v>324</v>
      </c>
    </row>
    <row r="61" spans="1:13" x14ac:dyDescent="0.25">
      <c r="A61" s="57">
        <v>451</v>
      </c>
      <c r="B61" s="58" t="s">
        <v>153</v>
      </c>
      <c r="L61" s="64">
        <v>11199</v>
      </c>
      <c r="M61" t="s">
        <v>325</v>
      </c>
    </row>
    <row r="62" spans="1:13" x14ac:dyDescent="0.25">
      <c r="A62" s="57">
        <v>452</v>
      </c>
      <c r="B62" s="58" t="s">
        <v>154</v>
      </c>
      <c r="L62" s="64">
        <v>11200</v>
      </c>
      <c r="M62" t="s">
        <v>326</v>
      </c>
    </row>
    <row r="63" spans="1:13" x14ac:dyDescent="0.25">
      <c r="A63" s="57">
        <v>453</v>
      </c>
      <c r="B63" s="58" t="s">
        <v>155</v>
      </c>
      <c r="L63" s="64">
        <v>11210</v>
      </c>
      <c r="M63" t="s">
        <v>327</v>
      </c>
    </row>
    <row r="64" spans="1:13" x14ac:dyDescent="0.25">
      <c r="A64" s="57">
        <v>454</v>
      </c>
      <c r="B64" s="58" t="s">
        <v>156</v>
      </c>
      <c r="L64" s="64">
        <v>11211</v>
      </c>
      <c r="M64" t="s">
        <v>328</v>
      </c>
    </row>
    <row r="65" spans="1:13" x14ac:dyDescent="0.25">
      <c r="A65" s="57">
        <v>455</v>
      </c>
      <c r="B65" s="58" t="s">
        <v>157</v>
      </c>
      <c r="L65" s="64">
        <v>11212</v>
      </c>
      <c r="M65" t="s">
        <v>329</v>
      </c>
    </row>
    <row r="66" spans="1:13" x14ac:dyDescent="0.25">
      <c r="A66" s="54">
        <v>460</v>
      </c>
      <c r="B66" s="55" t="s">
        <v>158</v>
      </c>
      <c r="L66" s="64">
        <v>11213</v>
      </c>
      <c r="M66" t="s">
        <v>330</v>
      </c>
    </row>
    <row r="67" spans="1:13" x14ac:dyDescent="0.25">
      <c r="A67" s="54">
        <v>470</v>
      </c>
      <c r="B67" s="55" t="s">
        <v>159</v>
      </c>
      <c r="L67" s="64">
        <v>11215</v>
      </c>
      <c r="M67" t="s">
        <v>331</v>
      </c>
    </row>
    <row r="68" spans="1:13" x14ac:dyDescent="0.25">
      <c r="A68" s="57">
        <v>471</v>
      </c>
      <c r="B68" s="58" t="s">
        <v>160</v>
      </c>
      <c r="L68" s="64">
        <v>11216</v>
      </c>
      <c r="M68" t="s">
        <v>332</v>
      </c>
    </row>
    <row r="69" spans="1:13" x14ac:dyDescent="0.25">
      <c r="A69" s="57">
        <v>472</v>
      </c>
      <c r="B69" s="58" t="s">
        <v>161</v>
      </c>
      <c r="L69" s="64">
        <v>11217</v>
      </c>
      <c r="M69" t="s">
        <v>333</v>
      </c>
    </row>
    <row r="70" spans="1:13" x14ac:dyDescent="0.25">
      <c r="A70" s="57">
        <v>473</v>
      </c>
      <c r="B70" s="58" t="s">
        <v>162</v>
      </c>
      <c r="L70" s="64">
        <v>11218</v>
      </c>
      <c r="M70" t="s">
        <v>334</v>
      </c>
    </row>
    <row r="71" spans="1:13" x14ac:dyDescent="0.25">
      <c r="A71" s="57">
        <v>474</v>
      </c>
      <c r="B71" s="58" t="s">
        <v>163</v>
      </c>
      <c r="L71" s="64">
        <v>11219</v>
      </c>
      <c r="M71" t="s">
        <v>335</v>
      </c>
    </row>
    <row r="72" spans="1:13" x14ac:dyDescent="0.25">
      <c r="A72" s="54">
        <v>480</v>
      </c>
      <c r="B72" s="55" t="s">
        <v>164</v>
      </c>
      <c r="L72" s="64">
        <v>11220</v>
      </c>
      <c r="M72" t="s">
        <v>336</v>
      </c>
    </row>
    <row r="73" spans="1:13" x14ac:dyDescent="0.25">
      <c r="A73" s="57">
        <v>481</v>
      </c>
      <c r="B73" s="58" t="s">
        <v>165</v>
      </c>
      <c r="L73" s="64">
        <v>11221</v>
      </c>
      <c r="M73" t="s">
        <v>337</v>
      </c>
    </row>
    <row r="74" spans="1:13" x14ac:dyDescent="0.25">
      <c r="A74" s="57">
        <v>482</v>
      </c>
      <c r="B74" s="58" t="s">
        <v>166</v>
      </c>
      <c r="L74" s="64">
        <v>11222</v>
      </c>
      <c r="M74" t="s">
        <v>338</v>
      </c>
    </row>
    <row r="75" spans="1:13" x14ac:dyDescent="0.25">
      <c r="A75" s="57">
        <v>483</v>
      </c>
      <c r="B75" s="58" t="s">
        <v>167</v>
      </c>
      <c r="L75" s="64">
        <v>11223</v>
      </c>
      <c r="M75" t="s">
        <v>339</v>
      </c>
    </row>
    <row r="76" spans="1:13" x14ac:dyDescent="0.25">
      <c r="A76" s="57">
        <v>484</v>
      </c>
      <c r="B76" s="58" t="s">
        <v>168</v>
      </c>
      <c r="L76" s="64">
        <v>11224</v>
      </c>
      <c r="M76" t="s">
        <v>340</v>
      </c>
    </row>
    <row r="77" spans="1:13" x14ac:dyDescent="0.25">
      <c r="A77" s="57">
        <v>485</v>
      </c>
      <c r="B77" s="58" t="s">
        <v>169</v>
      </c>
      <c r="L77" s="64">
        <v>11225</v>
      </c>
      <c r="M77" t="s">
        <v>341</v>
      </c>
    </row>
    <row r="78" spans="1:13" x14ac:dyDescent="0.25">
      <c r="A78" s="57">
        <v>486</v>
      </c>
      <c r="B78" s="58" t="s">
        <v>170</v>
      </c>
      <c r="L78" s="64">
        <v>11226</v>
      </c>
      <c r="M78" t="s">
        <v>342</v>
      </c>
    </row>
    <row r="79" spans="1:13" x14ac:dyDescent="0.25">
      <c r="A79" s="57">
        <v>487</v>
      </c>
      <c r="B79" s="58" t="s">
        <v>171</v>
      </c>
      <c r="L79" s="64">
        <v>11227</v>
      </c>
      <c r="M79" t="s">
        <v>343</v>
      </c>
    </row>
    <row r="80" spans="1:13" x14ac:dyDescent="0.25">
      <c r="A80" s="54">
        <v>490</v>
      </c>
      <c r="B80" s="55" t="s">
        <v>172</v>
      </c>
      <c r="L80" s="64">
        <v>11228</v>
      </c>
      <c r="M80" t="s">
        <v>344</v>
      </c>
    </row>
    <row r="81" spans="1:13" x14ac:dyDescent="0.25">
      <c r="A81" s="51">
        <v>500</v>
      </c>
      <c r="B81" s="52" t="s">
        <v>173</v>
      </c>
      <c r="L81" s="64">
        <v>11229</v>
      </c>
      <c r="M81" t="s">
        <v>345</v>
      </c>
    </row>
    <row r="82" spans="1:13" x14ac:dyDescent="0.25">
      <c r="A82" s="54">
        <v>510</v>
      </c>
      <c r="B82" s="55" t="s">
        <v>174</v>
      </c>
      <c r="L82" s="64">
        <v>11230</v>
      </c>
      <c r="M82" t="s">
        <v>346</v>
      </c>
    </row>
    <row r="83" spans="1:13" x14ac:dyDescent="0.25">
      <c r="A83" s="54">
        <v>520</v>
      </c>
      <c r="B83" s="55" t="s">
        <v>175</v>
      </c>
      <c r="L83" s="64">
        <v>11231</v>
      </c>
      <c r="M83" t="s">
        <v>346</v>
      </c>
    </row>
    <row r="84" spans="1:13" x14ac:dyDescent="0.25">
      <c r="A84" s="54">
        <v>530</v>
      </c>
      <c r="B84" s="55" t="s">
        <v>176</v>
      </c>
      <c r="L84" s="64">
        <v>11236</v>
      </c>
      <c r="M84" t="s">
        <v>347</v>
      </c>
    </row>
    <row r="85" spans="1:13" x14ac:dyDescent="0.25">
      <c r="A85" s="54">
        <v>540</v>
      </c>
      <c r="B85" s="55" t="s">
        <v>177</v>
      </c>
      <c r="L85" s="64">
        <v>11237</v>
      </c>
      <c r="M85" t="s">
        <v>348</v>
      </c>
    </row>
    <row r="86" spans="1:13" x14ac:dyDescent="0.25">
      <c r="A86" s="54">
        <v>550</v>
      </c>
      <c r="B86" s="55" t="s">
        <v>178</v>
      </c>
      <c r="L86" s="64">
        <v>11238</v>
      </c>
      <c r="M86" t="s">
        <v>349</v>
      </c>
    </row>
    <row r="87" spans="1:13" x14ac:dyDescent="0.25">
      <c r="A87" s="54">
        <v>560</v>
      </c>
      <c r="B87" s="55" t="s">
        <v>179</v>
      </c>
      <c r="L87" s="64">
        <v>11239</v>
      </c>
      <c r="M87" t="s">
        <v>350</v>
      </c>
    </row>
    <row r="88" spans="1:13" x14ac:dyDescent="0.25">
      <c r="A88" s="51">
        <v>600</v>
      </c>
      <c r="B88" s="52" t="s">
        <v>180</v>
      </c>
      <c r="L88" s="64">
        <v>11240</v>
      </c>
      <c r="M88" t="s">
        <v>351</v>
      </c>
    </row>
    <row r="89" spans="1:13" x14ac:dyDescent="0.25">
      <c r="A89" s="54">
        <v>610</v>
      </c>
      <c r="B89" s="55" t="s">
        <v>181</v>
      </c>
      <c r="L89" s="64">
        <v>11241</v>
      </c>
      <c r="M89" t="s">
        <v>351</v>
      </c>
    </row>
    <row r="90" spans="1:13" x14ac:dyDescent="0.25">
      <c r="A90" s="54">
        <v>620</v>
      </c>
      <c r="B90" s="55" t="s">
        <v>182</v>
      </c>
      <c r="L90" s="64">
        <v>11246</v>
      </c>
      <c r="M90" t="s">
        <v>352</v>
      </c>
    </row>
    <row r="91" spans="1:13" x14ac:dyDescent="0.25">
      <c r="A91" s="54">
        <v>630</v>
      </c>
      <c r="B91" s="55" t="s">
        <v>183</v>
      </c>
      <c r="L91" s="64">
        <v>11247</v>
      </c>
      <c r="M91" t="s">
        <v>353</v>
      </c>
    </row>
    <row r="92" spans="1:13" x14ac:dyDescent="0.25">
      <c r="A92" s="54">
        <v>640</v>
      </c>
      <c r="B92" s="55" t="s">
        <v>184</v>
      </c>
      <c r="L92" s="64">
        <v>11248</v>
      </c>
      <c r="M92" t="s">
        <v>354</v>
      </c>
    </row>
    <row r="93" spans="1:13" x14ac:dyDescent="0.25">
      <c r="A93" s="54">
        <v>650</v>
      </c>
      <c r="B93" s="55" t="s">
        <v>185</v>
      </c>
      <c r="L93" s="64">
        <v>11249</v>
      </c>
      <c r="M93" t="s">
        <v>355</v>
      </c>
    </row>
    <row r="94" spans="1:13" x14ac:dyDescent="0.25">
      <c r="A94" s="54">
        <v>660</v>
      </c>
      <c r="B94" s="55" t="s">
        <v>186</v>
      </c>
      <c r="L94" s="64">
        <v>11250</v>
      </c>
      <c r="M94" t="s">
        <v>356</v>
      </c>
    </row>
    <row r="95" spans="1:13" x14ac:dyDescent="0.25">
      <c r="A95" s="51">
        <v>700</v>
      </c>
      <c r="B95" s="52" t="s">
        <v>187</v>
      </c>
      <c r="L95" s="64">
        <v>11251</v>
      </c>
      <c r="M95" t="s">
        <v>357</v>
      </c>
    </row>
    <row r="96" spans="1:13" x14ac:dyDescent="0.25">
      <c r="A96" s="54">
        <v>710</v>
      </c>
      <c r="B96" s="55" t="s">
        <v>188</v>
      </c>
      <c r="L96" s="64">
        <v>11252</v>
      </c>
      <c r="M96" t="s">
        <v>358</v>
      </c>
    </row>
    <row r="97" spans="1:13" x14ac:dyDescent="0.25">
      <c r="A97" s="57">
        <v>711</v>
      </c>
      <c r="B97" s="58" t="s">
        <v>189</v>
      </c>
      <c r="L97" s="64">
        <v>11253</v>
      </c>
      <c r="M97" t="s">
        <v>359</v>
      </c>
    </row>
    <row r="98" spans="1:13" x14ac:dyDescent="0.25">
      <c r="A98" s="57">
        <v>712</v>
      </c>
      <c r="B98" s="58" t="s">
        <v>190</v>
      </c>
      <c r="L98" s="64">
        <v>11255</v>
      </c>
      <c r="M98" t="s">
        <v>360</v>
      </c>
    </row>
    <row r="99" spans="1:13" x14ac:dyDescent="0.25">
      <c r="A99" s="57">
        <v>713</v>
      </c>
      <c r="B99" s="58" t="s">
        <v>191</v>
      </c>
      <c r="L99" s="64">
        <v>11256</v>
      </c>
      <c r="M99" t="s">
        <v>361</v>
      </c>
    </row>
    <row r="100" spans="1:13" x14ac:dyDescent="0.25">
      <c r="A100" s="54">
        <v>720</v>
      </c>
      <c r="B100" s="55" t="s">
        <v>192</v>
      </c>
      <c r="L100" s="64">
        <v>11257</v>
      </c>
      <c r="M100" t="s">
        <v>362</v>
      </c>
    </row>
    <row r="101" spans="1:13" x14ac:dyDescent="0.25">
      <c r="A101" s="57">
        <v>721</v>
      </c>
      <c r="B101" s="58" t="s">
        <v>193</v>
      </c>
      <c r="L101" s="64">
        <v>11258</v>
      </c>
      <c r="M101" t="s">
        <v>363</v>
      </c>
    </row>
    <row r="102" spans="1:13" x14ac:dyDescent="0.25">
      <c r="A102" s="57">
        <v>722</v>
      </c>
      <c r="B102" s="58" t="s">
        <v>194</v>
      </c>
      <c r="L102" s="64">
        <v>11259</v>
      </c>
      <c r="M102" t="s">
        <v>364</v>
      </c>
    </row>
    <row r="103" spans="1:13" x14ac:dyDescent="0.25">
      <c r="A103" s="57">
        <v>723</v>
      </c>
      <c r="B103" s="58" t="s">
        <v>195</v>
      </c>
      <c r="L103" s="64">
        <v>11260</v>
      </c>
      <c r="M103" t="s">
        <v>365</v>
      </c>
    </row>
    <row r="104" spans="1:13" x14ac:dyDescent="0.25">
      <c r="A104" s="57">
        <v>724</v>
      </c>
      <c r="B104" s="58" t="s">
        <v>196</v>
      </c>
      <c r="L104" s="64">
        <v>11261</v>
      </c>
      <c r="M104" t="s">
        <v>366</v>
      </c>
    </row>
    <row r="105" spans="1:13" x14ac:dyDescent="0.25">
      <c r="A105" s="54">
        <v>730</v>
      </c>
      <c r="B105" s="55" t="s">
        <v>197</v>
      </c>
      <c r="L105" s="64">
        <v>11262</v>
      </c>
      <c r="M105" t="s">
        <v>367</v>
      </c>
    </row>
    <row r="106" spans="1:13" x14ac:dyDescent="0.25">
      <c r="A106" s="57">
        <v>731</v>
      </c>
      <c r="B106" s="58" t="s">
        <v>198</v>
      </c>
      <c r="L106" s="64">
        <v>11263</v>
      </c>
      <c r="M106" t="s">
        <v>368</v>
      </c>
    </row>
    <row r="107" spans="1:13" x14ac:dyDescent="0.25">
      <c r="A107" s="57">
        <v>732</v>
      </c>
      <c r="B107" s="58" t="s">
        <v>199</v>
      </c>
      <c r="L107" s="64">
        <v>11264</v>
      </c>
      <c r="M107" t="s">
        <v>369</v>
      </c>
    </row>
    <row r="108" spans="1:13" x14ac:dyDescent="0.25">
      <c r="A108" s="57">
        <v>733</v>
      </c>
      <c r="B108" s="58" t="s">
        <v>200</v>
      </c>
      <c r="L108" s="64">
        <v>11266</v>
      </c>
      <c r="M108" t="s">
        <v>370</v>
      </c>
    </row>
    <row r="109" spans="1:13" x14ac:dyDescent="0.25">
      <c r="A109" s="57">
        <v>734</v>
      </c>
      <c r="B109" s="58" t="s">
        <v>201</v>
      </c>
      <c r="L109" s="64">
        <v>11267</v>
      </c>
      <c r="M109" t="s">
        <v>371</v>
      </c>
    </row>
    <row r="110" spans="1:13" x14ac:dyDescent="0.25">
      <c r="A110" s="54">
        <v>740</v>
      </c>
      <c r="B110" s="55" t="s">
        <v>202</v>
      </c>
      <c r="L110" s="64">
        <v>11268</v>
      </c>
      <c r="M110" t="s">
        <v>372</v>
      </c>
    </row>
    <row r="111" spans="1:13" x14ac:dyDescent="0.25">
      <c r="A111" s="54">
        <v>750</v>
      </c>
      <c r="B111" s="55" t="s">
        <v>203</v>
      </c>
      <c r="L111" s="64">
        <v>11269</v>
      </c>
      <c r="M111" t="s">
        <v>373</v>
      </c>
    </row>
    <row r="112" spans="1:13" x14ac:dyDescent="0.25">
      <c r="A112" s="54">
        <v>760</v>
      </c>
      <c r="B112" s="55" t="s">
        <v>204</v>
      </c>
      <c r="L112" s="64">
        <v>11270</v>
      </c>
      <c r="M112" t="s">
        <v>374</v>
      </c>
    </row>
    <row r="113" spans="1:13" x14ac:dyDescent="0.25">
      <c r="A113" s="51">
        <v>800</v>
      </c>
      <c r="B113" s="52" t="s">
        <v>205</v>
      </c>
      <c r="L113" s="64">
        <v>11271</v>
      </c>
      <c r="M113" t="s">
        <v>374</v>
      </c>
    </row>
    <row r="114" spans="1:13" x14ac:dyDescent="0.25">
      <c r="A114" s="54">
        <v>810</v>
      </c>
      <c r="B114" s="55" t="s">
        <v>206</v>
      </c>
      <c r="L114" s="64">
        <v>11276</v>
      </c>
      <c r="M114" t="s">
        <v>375</v>
      </c>
    </row>
    <row r="115" spans="1:13" x14ac:dyDescent="0.25">
      <c r="A115" s="54">
        <v>820</v>
      </c>
      <c r="B115" s="55" t="s">
        <v>207</v>
      </c>
      <c r="L115" s="64">
        <v>11277</v>
      </c>
      <c r="M115" t="s">
        <v>376</v>
      </c>
    </row>
    <row r="116" spans="1:13" x14ac:dyDescent="0.25">
      <c r="A116" s="54">
        <v>830</v>
      </c>
      <c r="B116" s="55" t="s">
        <v>208</v>
      </c>
      <c r="L116" s="64">
        <v>11278</v>
      </c>
      <c r="M116" t="s">
        <v>377</v>
      </c>
    </row>
    <row r="117" spans="1:13" x14ac:dyDescent="0.25">
      <c r="A117" s="54">
        <v>840</v>
      </c>
      <c r="B117" s="55" t="s">
        <v>209</v>
      </c>
      <c r="L117" s="64">
        <v>11279</v>
      </c>
      <c r="M117" t="s">
        <v>378</v>
      </c>
    </row>
    <row r="118" spans="1:13" x14ac:dyDescent="0.25">
      <c r="A118" s="54">
        <v>850</v>
      </c>
      <c r="B118" s="55" t="s">
        <v>210</v>
      </c>
      <c r="L118" s="64">
        <v>11280</v>
      </c>
      <c r="M118" t="s">
        <v>379</v>
      </c>
    </row>
    <row r="119" spans="1:13" x14ac:dyDescent="0.25">
      <c r="A119" s="54">
        <v>860</v>
      </c>
      <c r="B119" s="55" t="s">
        <v>211</v>
      </c>
      <c r="L119" s="64">
        <v>11281</v>
      </c>
      <c r="M119" t="s">
        <v>379</v>
      </c>
    </row>
    <row r="120" spans="1:13" x14ac:dyDescent="0.25">
      <c r="A120" s="51">
        <v>900</v>
      </c>
      <c r="B120" s="52" t="s">
        <v>212</v>
      </c>
      <c r="L120" s="64">
        <v>11286</v>
      </c>
      <c r="M120" t="s">
        <v>380</v>
      </c>
    </row>
    <row r="121" spans="1:13" x14ac:dyDescent="0.25">
      <c r="A121" s="54">
        <v>910</v>
      </c>
      <c r="B121" s="55" t="s">
        <v>213</v>
      </c>
      <c r="L121" s="64">
        <v>11287</v>
      </c>
      <c r="M121" t="s">
        <v>381</v>
      </c>
    </row>
    <row r="122" spans="1:13" x14ac:dyDescent="0.25">
      <c r="A122" s="57">
        <v>911</v>
      </c>
      <c r="B122" s="58" t="s">
        <v>214</v>
      </c>
      <c r="L122" s="64">
        <v>11288</v>
      </c>
      <c r="M122" t="s">
        <v>382</v>
      </c>
    </row>
    <row r="123" spans="1:13" x14ac:dyDescent="0.25">
      <c r="A123" s="57">
        <v>912</v>
      </c>
      <c r="B123" s="58" t="s">
        <v>215</v>
      </c>
      <c r="L123" s="64">
        <v>11289</v>
      </c>
      <c r="M123" t="s">
        <v>383</v>
      </c>
    </row>
    <row r="124" spans="1:13" x14ac:dyDescent="0.25">
      <c r="A124" s="57">
        <v>913</v>
      </c>
      <c r="B124" s="58" t="s">
        <v>216</v>
      </c>
      <c r="L124" s="64">
        <v>11290</v>
      </c>
      <c r="M124" t="s">
        <v>384</v>
      </c>
    </row>
    <row r="125" spans="1:13" x14ac:dyDescent="0.25">
      <c r="A125" s="57">
        <v>914</v>
      </c>
      <c r="B125" s="58" t="s">
        <v>217</v>
      </c>
      <c r="L125" s="64">
        <v>11291</v>
      </c>
      <c r="M125" t="s">
        <v>385</v>
      </c>
    </row>
    <row r="126" spans="1:13" x14ac:dyDescent="0.25">
      <c r="A126" s="57">
        <v>915</v>
      </c>
      <c r="B126" s="58" t="s">
        <v>218</v>
      </c>
      <c r="L126" s="64">
        <v>11292</v>
      </c>
      <c r="M126" t="s">
        <v>386</v>
      </c>
    </row>
    <row r="127" spans="1:13" x14ac:dyDescent="0.25">
      <c r="A127" s="57">
        <v>916</v>
      </c>
      <c r="B127" s="58" t="s">
        <v>219</v>
      </c>
      <c r="L127" s="64">
        <v>11293</v>
      </c>
      <c r="M127" t="s">
        <v>387</v>
      </c>
    </row>
    <row r="128" spans="1:13" x14ac:dyDescent="0.25">
      <c r="A128" s="54">
        <v>920</v>
      </c>
      <c r="B128" s="55" t="s">
        <v>220</v>
      </c>
      <c r="L128" s="64">
        <v>11294</v>
      </c>
      <c r="M128" t="s">
        <v>388</v>
      </c>
    </row>
    <row r="129" spans="1:13" x14ac:dyDescent="0.25">
      <c r="A129" s="57">
        <v>921</v>
      </c>
      <c r="B129" s="58" t="s">
        <v>221</v>
      </c>
      <c r="L129" s="64">
        <v>11296</v>
      </c>
      <c r="M129" t="s">
        <v>389</v>
      </c>
    </row>
    <row r="130" spans="1:13" x14ac:dyDescent="0.25">
      <c r="A130" s="57">
        <v>922</v>
      </c>
      <c r="B130" s="58" t="s">
        <v>222</v>
      </c>
      <c r="L130" s="64">
        <v>11297</v>
      </c>
      <c r="M130" t="s">
        <v>390</v>
      </c>
    </row>
    <row r="131" spans="1:13" x14ac:dyDescent="0.25">
      <c r="A131" s="57">
        <v>923</v>
      </c>
      <c r="B131" s="58" t="s">
        <v>223</v>
      </c>
      <c r="L131" s="64">
        <v>11298</v>
      </c>
      <c r="M131" t="s">
        <v>391</v>
      </c>
    </row>
    <row r="132" spans="1:13" x14ac:dyDescent="0.25">
      <c r="A132" s="54">
        <v>930</v>
      </c>
      <c r="B132" s="55" t="s">
        <v>224</v>
      </c>
      <c r="L132" s="64">
        <v>11299</v>
      </c>
      <c r="M132" t="s">
        <v>392</v>
      </c>
    </row>
    <row r="133" spans="1:13" x14ac:dyDescent="0.25">
      <c r="A133" s="57">
        <v>931</v>
      </c>
      <c r="B133" s="58" t="s">
        <v>224</v>
      </c>
      <c r="L133" s="64">
        <v>11300</v>
      </c>
      <c r="M133" t="s">
        <v>393</v>
      </c>
    </row>
    <row r="134" spans="1:13" x14ac:dyDescent="0.25">
      <c r="A134" s="57">
        <v>932</v>
      </c>
      <c r="B134" s="58" t="s">
        <v>225</v>
      </c>
      <c r="L134" s="64">
        <v>11310</v>
      </c>
      <c r="M134" t="s">
        <v>393</v>
      </c>
    </row>
    <row r="135" spans="1:13" x14ac:dyDescent="0.25">
      <c r="A135" s="54">
        <v>940</v>
      </c>
      <c r="B135" s="55" t="s">
        <v>226</v>
      </c>
      <c r="L135" s="64">
        <v>11311</v>
      </c>
      <c r="M135" t="s">
        <v>393</v>
      </c>
    </row>
    <row r="136" spans="1:13" x14ac:dyDescent="0.25">
      <c r="A136" s="57">
        <v>941</v>
      </c>
      <c r="B136" s="58" t="s">
        <v>227</v>
      </c>
      <c r="L136" s="64">
        <v>11316</v>
      </c>
      <c r="M136" t="s">
        <v>394</v>
      </c>
    </row>
    <row r="137" spans="1:13" x14ac:dyDescent="0.25">
      <c r="A137" s="57">
        <v>942</v>
      </c>
      <c r="B137" s="58" t="s">
        <v>228</v>
      </c>
      <c r="L137" s="64">
        <v>11317</v>
      </c>
      <c r="M137" t="s">
        <v>395</v>
      </c>
    </row>
    <row r="138" spans="1:13" x14ac:dyDescent="0.25">
      <c r="A138" s="54">
        <v>950</v>
      </c>
      <c r="B138" s="55" t="s">
        <v>229</v>
      </c>
      <c r="L138" s="64">
        <v>11318</v>
      </c>
      <c r="M138" t="s">
        <v>396</v>
      </c>
    </row>
    <row r="139" spans="1:13" x14ac:dyDescent="0.25">
      <c r="A139" s="54">
        <v>960</v>
      </c>
      <c r="B139" s="55" t="s">
        <v>230</v>
      </c>
      <c r="L139" s="64">
        <v>11319</v>
      </c>
      <c r="M139" t="s">
        <v>397</v>
      </c>
    </row>
    <row r="140" spans="1:13" x14ac:dyDescent="0.25">
      <c r="A140" s="54">
        <v>970</v>
      </c>
      <c r="B140" s="55" t="s">
        <v>231</v>
      </c>
      <c r="L140" s="64">
        <v>12000</v>
      </c>
      <c r="M140" t="s">
        <v>398</v>
      </c>
    </row>
    <row r="141" spans="1:13" x14ac:dyDescent="0.25">
      <c r="A141" s="54">
        <v>980</v>
      </c>
      <c r="B141" s="55" t="s">
        <v>232</v>
      </c>
      <c r="L141" s="64">
        <v>12100</v>
      </c>
      <c r="M141" t="s">
        <v>398</v>
      </c>
    </row>
    <row r="142" spans="1:13" x14ac:dyDescent="0.25">
      <c r="L142" s="64">
        <v>12110</v>
      </c>
      <c r="M142" t="s">
        <v>398</v>
      </c>
    </row>
    <row r="143" spans="1:13" x14ac:dyDescent="0.25">
      <c r="L143" s="64">
        <v>12111</v>
      </c>
      <c r="M143" t="s">
        <v>399</v>
      </c>
    </row>
    <row r="144" spans="1:13" x14ac:dyDescent="0.25">
      <c r="L144" s="64">
        <v>12112</v>
      </c>
      <c r="M144" t="s">
        <v>400</v>
      </c>
    </row>
    <row r="145" spans="12:13" x14ac:dyDescent="0.25">
      <c r="L145" s="64">
        <v>12117</v>
      </c>
      <c r="M145" t="s">
        <v>401</v>
      </c>
    </row>
    <row r="146" spans="12:13" x14ac:dyDescent="0.25">
      <c r="L146" s="64">
        <v>12118</v>
      </c>
      <c r="M146" t="s">
        <v>402</v>
      </c>
    </row>
    <row r="147" spans="12:13" x14ac:dyDescent="0.25">
      <c r="L147" s="64">
        <v>12119</v>
      </c>
      <c r="M147" t="s">
        <v>403</v>
      </c>
    </row>
    <row r="148" spans="12:13" x14ac:dyDescent="0.25">
      <c r="L148" s="64">
        <v>13000</v>
      </c>
      <c r="M148" t="s">
        <v>404</v>
      </c>
    </row>
    <row r="149" spans="12:13" x14ac:dyDescent="0.25">
      <c r="L149" s="64">
        <v>13100</v>
      </c>
      <c r="M149" t="s">
        <v>404</v>
      </c>
    </row>
    <row r="150" spans="12:13" x14ac:dyDescent="0.25">
      <c r="L150" s="64">
        <v>13110</v>
      </c>
      <c r="M150" t="s">
        <v>404</v>
      </c>
    </row>
    <row r="151" spans="12:13" x14ac:dyDescent="0.25">
      <c r="L151" s="64">
        <v>13111</v>
      </c>
      <c r="M151" t="s">
        <v>405</v>
      </c>
    </row>
    <row r="152" spans="12:13" x14ac:dyDescent="0.25">
      <c r="L152" s="64">
        <v>13112</v>
      </c>
      <c r="M152" t="s">
        <v>406</v>
      </c>
    </row>
    <row r="153" spans="12:13" x14ac:dyDescent="0.25">
      <c r="L153" s="64">
        <v>13113</v>
      </c>
      <c r="M153" t="s">
        <v>407</v>
      </c>
    </row>
    <row r="154" spans="12:13" x14ac:dyDescent="0.25">
      <c r="L154" s="64">
        <v>13114</v>
      </c>
      <c r="M154" t="s">
        <v>408</v>
      </c>
    </row>
    <row r="155" spans="12:13" x14ac:dyDescent="0.25">
      <c r="L155" s="64">
        <v>13115</v>
      </c>
      <c r="M155" t="s">
        <v>409</v>
      </c>
    </row>
    <row r="156" spans="12:13" x14ac:dyDescent="0.25">
      <c r="L156" s="64">
        <v>13117</v>
      </c>
      <c r="M156" t="s">
        <v>410</v>
      </c>
    </row>
    <row r="157" spans="12:13" x14ac:dyDescent="0.25">
      <c r="L157" s="64">
        <v>13118</v>
      </c>
      <c r="M157" t="s">
        <v>411</v>
      </c>
    </row>
    <row r="158" spans="12:13" x14ac:dyDescent="0.25">
      <c r="L158" s="64">
        <v>13119</v>
      </c>
      <c r="M158" t="s">
        <v>412</v>
      </c>
    </row>
    <row r="159" spans="12:13" x14ac:dyDescent="0.25">
      <c r="L159" s="64">
        <v>14000</v>
      </c>
      <c r="M159" t="s">
        <v>413</v>
      </c>
    </row>
    <row r="160" spans="12:13" x14ac:dyDescent="0.25">
      <c r="L160" s="64">
        <v>14100</v>
      </c>
      <c r="M160" t="s">
        <v>414</v>
      </c>
    </row>
    <row r="161" spans="12:13" x14ac:dyDescent="0.25">
      <c r="L161" s="64">
        <v>14110</v>
      </c>
      <c r="M161" t="s">
        <v>414</v>
      </c>
    </row>
    <row r="162" spans="12:13" x14ac:dyDescent="0.25">
      <c r="L162" s="64">
        <v>14111</v>
      </c>
      <c r="M162" t="s">
        <v>415</v>
      </c>
    </row>
    <row r="163" spans="12:13" x14ac:dyDescent="0.25">
      <c r="L163" s="64">
        <v>14112</v>
      </c>
      <c r="M163" t="s">
        <v>416</v>
      </c>
    </row>
    <row r="164" spans="12:13" x14ac:dyDescent="0.25">
      <c r="L164" s="64">
        <v>14113</v>
      </c>
      <c r="M164" t="s">
        <v>417</v>
      </c>
    </row>
    <row r="165" spans="12:13" x14ac:dyDescent="0.25">
      <c r="L165" s="64">
        <v>14114</v>
      </c>
      <c r="M165" t="s">
        <v>418</v>
      </c>
    </row>
    <row r="166" spans="12:13" x14ac:dyDescent="0.25">
      <c r="L166" s="64">
        <v>14115</v>
      </c>
      <c r="M166" t="s">
        <v>419</v>
      </c>
    </row>
    <row r="167" spans="12:13" x14ac:dyDescent="0.25">
      <c r="L167" s="64">
        <v>14117</v>
      </c>
      <c r="M167" t="s">
        <v>420</v>
      </c>
    </row>
    <row r="168" spans="12:13" x14ac:dyDescent="0.25">
      <c r="L168" s="64">
        <v>14118</v>
      </c>
      <c r="M168" t="s">
        <v>421</v>
      </c>
    </row>
    <row r="169" spans="12:13" x14ac:dyDescent="0.25">
      <c r="L169" s="64">
        <v>14119</v>
      </c>
      <c r="M169" t="s">
        <v>422</v>
      </c>
    </row>
    <row r="170" spans="12:13" x14ac:dyDescent="0.25">
      <c r="L170" s="64">
        <v>14200</v>
      </c>
      <c r="M170" t="s">
        <v>423</v>
      </c>
    </row>
    <row r="171" spans="12:13" x14ac:dyDescent="0.25">
      <c r="L171" s="64">
        <v>14210</v>
      </c>
      <c r="M171" t="s">
        <v>423</v>
      </c>
    </row>
    <row r="172" spans="12:13" x14ac:dyDescent="0.25">
      <c r="L172" s="64">
        <v>14211</v>
      </c>
      <c r="M172" t="s">
        <v>424</v>
      </c>
    </row>
    <row r="173" spans="12:13" x14ac:dyDescent="0.25">
      <c r="L173" s="64">
        <v>14212</v>
      </c>
      <c r="M173" t="s">
        <v>425</v>
      </c>
    </row>
    <row r="174" spans="12:13" x14ac:dyDescent="0.25">
      <c r="L174" s="64">
        <v>14213</v>
      </c>
      <c r="M174" t="s">
        <v>426</v>
      </c>
    </row>
    <row r="175" spans="12:13" x14ac:dyDescent="0.25">
      <c r="L175" s="64">
        <v>14217</v>
      </c>
      <c r="M175" t="s">
        <v>427</v>
      </c>
    </row>
    <row r="176" spans="12:13" x14ac:dyDescent="0.25">
      <c r="L176" s="64">
        <v>14218</v>
      </c>
      <c r="M176" t="s">
        <v>428</v>
      </c>
    </row>
    <row r="177" spans="12:13" x14ac:dyDescent="0.25">
      <c r="L177" s="64">
        <v>14219</v>
      </c>
      <c r="M177" t="s">
        <v>429</v>
      </c>
    </row>
    <row r="178" spans="12:13" x14ac:dyDescent="0.25">
      <c r="L178" s="64">
        <v>14300</v>
      </c>
      <c r="M178" t="s">
        <v>430</v>
      </c>
    </row>
    <row r="179" spans="12:13" x14ac:dyDescent="0.25">
      <c r="L179" s="64">
        <v>14310</v>
      </c>
      <c r="M179" t="s">
        <v>431</v>
      </c>
    </row>
    <row r="180" spans="12:13" x14ac:dyDescent="0.25">
      <c r="L180" s="64">
        <v>14311</v>
      </c>
      <c r="M180" t="s">
        <v>431</v>
      </c>
    </row>
    <row r="181" spans="12:13" x14ac:dyDescent="0.25">
      <c r="L181" s="64">
        <v>14317</v>
      </c>
      <c r="M181" t="s">
        <v>432</v>
      </c>
    </row>
    <row r="182" spans="12:13" x14ac:dyDescent="0.25">
      <c r="L182" s="64">
        <v>14318</v>
      </c>
      <c r="M182" t="s">
        <v>433</v>
      </c>
    </row>
    <row r="183" spans="12:13" x14ac:dyDescent="0.25">
      <c r="L183" s="64">
        <v>14319</v>
      </c>
      <c r="M183" t="s">
        <v>434</v>
      </c>
    </row>
    <row r="184" spans="12:13" x14ac:dyDescent="0.25">
      <c r="L184" s="64">
        <v>14320</v>
      </c>
      <c r="M184" t="s">
        <v>435</v>
      </c>
    </row>
    <row r="185" spans="12:13" x14ac:dyDescent="0.25">
      <c r="L185" s="64">
        <v>14321</v>
      </c>
      <c r="M185" t="s">
        <v>435</v>
      </c>
    </row>
    <row r="186" spans="12:13" x14ac:dyDescent="0.25">
      <c r="L186" s="64">
        <v>14327</v>
      </c>
      <c r="M186" t="s">
        <v>436</v>
      </c>
    </row>
    <row r="187" spans="12:13" x14ac:dyDescent="0.25">
      <c r="L187" s="64">
        <v>14328</v>
      </c>
      <c r="M187" t="s">
        <v>437</v>
      </c>
    </row>
    <row r="188" spans="12:13" x14ac:dyDescent="0.25">
      <c r="L188" s="64">
        <v>14329</v>
      </c>
      <c r="M188" t="s">
        <v>438</v>
      </c>
    </row>
    <row r="189" spans="12:13" x14ac:dyDescent="0.25">
      <c r="L189" s="64">
        <v>15000</v>
      </c>
      <c r="M189" t="s">
        <v>439</v>
      </c>
    </row>
    <row r="190" spans="12:13" x14ac:dyDescent="0.25">
      <c r="L190" s="64">
        <v>15100</v>
      </c>
      <c r="M190" t="s">
        <v>440</v>
      </c>
    </row>
    <row r="191" spans="12:13" x14ac:dyDescent="0.25">
      <c r="L191" s="64">
        <v>15110</v>
      </c>
      <c r="M191" t="s">
        <v>441</v>
      </c>
    </row>
    <row r="192" spans="12:13" x14ac:dyDescent="0.25">
      <c r="L192" s="64">
        <v>15111</v>
      </c>
      <c r="M192" t="s">
        <v>442</v>
      </c>
    </row>
    <row r="193" spans="12:13" x14ac:dyDescent="0.25">
      <c r="L193" s="64">
        <v>15112</v>
      </c>
      <c r="M193" t="s">
        <v>443</v>
      </c>
    </row>
    <row r="194" spans="12:13" x14ac:dyDescent="0.25">
      <c r="L194" s="64">
        <v>15113</v>
      </c>
      <c r="M194" t="s">
        <v>444</v>
      </c>
    </row>
    <row r="195" spans="12:13" x14ac:dyDescent="0.25">
      <c r="L195" s="64">
        <v>15114</v>
      </c>
      <c r="M195" t="s">
        <v>445</v>
      </c>
    </row>
    <row r="196" spans="12:13" x14ac:dyDescent="0.25">
      <c r="L196" s="64">
        <v>15115</v>
      </c>
      <c r="M196" t="s">
        <v>446</v>
      </c>
    </row>
    <row r="197" spans="12:13" x14ac:dyDescent="0.25">
      <c r="L197" s="64">
        <v>15120</v>
      </c>
      <c r="M197" t="s">
        <v>447</v>
      </c>
    </row>
    <row r="198" spans="12:13" x14ac:dyDescent="0.25">
      <c r="L198" s="64">
        <v>15121</v>
      </c>
      <c r="M198" t="s">
        <v>448</v>
      </c>
    </row>
    <row r="199" spans="12:13" x14ac:dyDescent="0.25">
      <c r="L199" s="64">
        <v>15122</v>
      </c>
      <c r="M199" t="s">
        <v>449</v>
      </c>
    </row>
    <row r="200" spans="12:13" x14ac:dyDescent="0.25">
      <c r="L200" s="64">
        <v>15123</v>
      </c>
      <c r="M200" t="s">
        <v>450</v>
      </c>
    </row>
    <row r="201" spans="12:13" x14ac:dyDescent="0.25">
      <c r="L201" s="64">
        <v>15124</v>
      </c>
      <c r="M201" t="s">
        <v>451</v>
      </c>
    </row>
    <row r="202" spans="12:13" x14ac:dyDescent="0.25">
      <c r="L202" s="64">
        <v>15125</v>
      </c>
      <c r="M202" t="s">
        <v>452</v>
      </c>
    </row>
    <row r="203" spans="12:13" x14ac:dyDescent="0.25">
      <c r="L203" s="64">
        <v>15126</v>
      </c>
      <c r="M203" t="s">
        <v>453</v>
      </c>
    </row>
    <row r="204" spans="12:13" x14ac:dyDescent="0.25">
      <c r="L204" s="64">
        <v>15127</v>
      </c>
      <c r="M204" t="s">
        <v>454</v>
      </c>
    </row>
    <row r="205" spans="12:13" x14ac:dyDescent="0.25">
      <c r="L205" s="64">
        <v>15128</v>
      </c>
      <c r="M205" t="s">
        <v>455</v>
      </c>
    </row>
    <row r="206" spans="12:13" x14ac:dyDescent="0.25">
      <c r="L206" s="64">
        <v>15129</v>
      </c>
      <c r="M206" t="s">
        <v>456</v>
      </c>
    </row>
    <row r="207" spans="12:13" x14ac:dyDescent="0.25">
      <c r="L207" s="64">
        <v>15130</v>
      </c>
      <c r="M207" t="s">
        <v>457</v>
      </c>
    </row>
    <row r="208" spans="12:13" x14ac:dyDescent="0.25">
      <c r="L208" s="64">
        <v>15131</v>
      </c>
      <c r="M208" t="s">
        <v>457</v>
      </c>
    </row>
    <row r="209" spans="12:13" x14ac:dyDescent="0.25">
      <c r="L209" s="64">
        <v>15140</v>
      </c>
      <c r="M209" t="s">
        <v>458</v>
      </c>
    </row>
    <row r="210" spans="12:13" x14ac:dyDescent="0.25">
      <c r="L210" s="64">
        <v>15141</v>
      </c>
      <c r="M210" t="s">
        <v>458</v>
      </c>
    </row>
    <row r="211" spans="12:13" x14ac:dyDescent="0.25">
      <c r="L211" s="64">
        <v>15150</v>
      </c>
      <c r="M211" t="s">
        <v>459</v>
      </c>
    </row>
    <row r="212" spans="12:13" x14ac:dyDescent="0.25">
      <c r="L212" s="64">
        <v>15151</v>
      </c>
      <c r="M212" t="s">
        <v>459</v>
      </c>
    </row>
    <row r="213" spans="12:13" x14ac:dyDescent="0.25">
      <c r="L213" s="64">
        <v>15160</v>
      </c>
      <c r="M213" t="s">
        <v>460</v>
      </c>
    </row>
    <row r="214" spans="12:13" x14ac:dyDescent="0.25">
      <c r="L214" s="64">
        <v>15161</v>
      </c>
      <c r="M214" t="s">
        <v>460</v>
      </c>
    </row>
    <row r="215" spans="12:13" x14ac:dyDescent="0.25">
      <c r="L215" s="64">
        <v>15170</v>
      </c>
      <c r="M215" t="s">
        <v>461</v>
      </c>
    </row>
    <row r="216" spans="12:13" x14ac:dyDescent="0.25">
      <c r="L216" s="64">
        <v>15171</v>
      </c>
      <c r="M216" t="s">
        <v>461</v>
      </c>
    </row>
    <row r="217" spans="12:13" x14ac:dyDescent="0.25">
      <c r="L217" s="64">
        <v>15180</v>
      </c>
      <c r="M217" t="s">
        <v>462</v>
      </c>
    </row>
    <row r="218" spans="12:13" x14ac:dyDescent="0.25">
      <c r="L218" s="64">
        <v>15181</v>
      </c>
      <c r="M218" t="s">
        <v>463</v>
      </c>
    </row>
    <row r="219" spans="12:13" x14ac:dyDescent="0.25">
      <c r="L219" s="64">
        <v>15182</v>
      </c>
      <c r="M219" t="s">
        <v>464</v>
      </c>
    </row>
    <row r="220" spans="12:13" x14ac:dyDescent="0.25">
      <c r="L220" s="64">
        <v>15200</v>
      </c>
      <c r="M220" t="s">
        <v>465</v>
      </c>
    </row>
    <row r="221" spans="12:13" x14ac:dyDescent="0.25">
      <c r="L221" s="64">
        <v>15210</v>
      </c>
      <c r="M221" t="s">
        <v>466</v>
      </c>
    </row>
    <row r="222" spans="12:13" x14ac:dyDescent="0.25">
      <c r="L222" s="64">
        <v>15211</v>
      </c>
      <c r="M222" t="s">
        <v>467</v>
      </c>
    </row>
    <row r="223" spans="12:13" x14ac:dyDescent="0.25">
      <c r="L223" s="64">
        <v>15212</v>
      </c>
      <c r="M223" t="s">
        <v>468</v>
      </c>
    </row>
    <row r="224" spans="12:13" x14ac:dyDescent="0.25">
      <c r="L224" s="64">
        <v>15213</v>
      </c>
      <c r="M224" t="s">
        <v>469</v>
      </c>
    </row>
    <row r="225" spans="12:13" x14ac:dyDescent="0.25">
      <c r="L225" s="64">
        <v>15214</v>
      </c>
      <c r="M225" t="s">
        <v>470</v>
      </c>
    </row>
    <row r="226" spans="12:13" x14ac:dyDescent="0.25">
      <c r="L226" s="64">
        <v>15215</v>
      </c>
      <c r="M226" t="s">
        <v>471</v>
      </c>
    </row>
    <row r="227" spans="12:13" x14ac:dyDescent="0.25">
      <c r="L227" s="64">
        <v>15220</v>
      </c>
      <c r="M227" t="s">
        <v>472</v>
      </c>
    </row>
    <row r="228" spans="12:13" x14ac:dyDescent="0.25">
      <c r="L228" s="64">
        <v>15221</v>
      </c>
      <c r="M228" t="s">
        <v>473</v>
      </c>
    </row>
    <row r="229" spans="12:13" x14ac:dyDescent="0.25">
      <c r="L229" s="64">
        <v>15222</v>
      </c>
      <c r="M229" t="s">
        <v>474</v>
      </c>
    </row>
    <row r="230" spans="12:13" x14ac:dyDescent="0.25">
      <c r="L230" s="64">
        <v>15223</v>
      </c>
      <c r="M230" t="s">
        <v>475</v>
      </c>
    </row>
    <row r="231" spans="12:13" x14ac:dyDescent="0.25">
      <c r="L231" s="64">
        <v>15224</v>
      </c>
      <c r="M231" t="s">
        <v>476</v>
      </c>
    </row>
    <row r="232" spans="12:13" x14ac:dyDescent="0.25">
      <c r="L232" s="64">
        <v>15225</v>
      </c>
      <c r="M232" t="s">
        <v>477</v>
      </c>
    </row>
    <row r="233" spans="12:13" x14ac:dyDescent="0.25">
      <c r="L233" s="64">
        <v>15226</v>
      </c>
      <c r="M233" t="s">
        <v>478</v>
      </c>
    </row>
    <row r="234" spans="12:13" x14ac:dyDescent="0.25">
      <c r="L234" s="64">
        <v>15227</v>
      </c>
      <c r="M234" t="s">
        <v>479</v>
      </c>
    </row>
    <row r="235" spans="12:13" x14ac:dyDescent="0.25">
      <c r="L235" s="64">
        <v>15228</v>
      </c>
      <c r="M235" t="s">
        <v>480</v>
      </c>
    </row>
    <row r="236" spans="12:13" x14ac:dyDescent="0.25">
      <c r="L236" s="64">
        <v>15229</v>
      </c>
      <c r="M236" t="s">
        <v>481</v>
      </c>
    </row>
    <row r="237" spans="12:13" x14ac:dyDescent="0.25">
      <c r="L237" s="64">
        <v>15230</v>
      </c>
      <c r="M237" t="s">
        <v>482</v>
      </c>
    </row>
    <row r="238" spans="12:13" x14ac:dyDescent="0.25">
      <c r="L238" s="64">
        <v>15231</v>
      </c>
      <c r="M238" t="s">
        <v>482</v>
      </c>
    </row>
    <row r="239" spans="12:13" x14ac:dyDescent="0.25">
      <c r="L239" s="64">
        <v>15240</v>
      </c>
      <c r="M239" t="s">
        <v>483</v>
      </c>
    </row>
    <row r="240" spans="12:13" x14ac:dyDescent="0.25">
      <c r="L240" s="64">
        <v>15241</v>
      </c>
      <c r="M240" t="s">
        <v>483</v>
      </c>
    </row>
    <row r="241" spans="12:13" x14ac:dyDescent="0.25">
      <c r="L241" s="64">
        <v>15250</v>
      </c>
      <c r="M241" t="s">
        <v>484</v>
      </c>
    </row>
    <row r="242" spans="12:13" x14ac:dyDescent="0.25">
      <c r="L242" s="64">
        <v>15251</v>
      </c>
      <c r="M242" t="s">
        <v>484</v>
      </c>
    </row>
    <row r="243" spans="12:13" x14ac:dyDescent="0.25">
      <c r="L243" s="64">
        <v>15260</v>
      </c>
      <c r="M243" t="s">
        <v>485</v>
      </c>
    </row>
    <row r="244" spans="12:13" x14ac:dyDescent="0.25">
      <c r="L244" s="64">
        <v>15261</v>
      </c>
      <c r="M244" t="s">
        <v>485</v>
      </c>
    </row>
    <row r="245" spans="12:13" x14ac:dyDescent="0.25">
      <c r="L245" s="64">
        <v>15270</v>
      </c>
      <c r="M245" t="s">
        <v>486</v>
      </c>
    </row>
    <row r="246" spans="12:13" x14ac:dyDescent="0.25">
      <c r="L246" s="64">
        <v>15271</v>
      </c>
      <c r="M246" t="s">
        <v>486</v>
      </c>
    </row>
    <row r="247" spans="12:13" x14ac:dyDescent="0.25">
      <c r="L247" s="64">
        <v>15280</v>
      </c>
      <c r="M247" t="s">
        <v>487</v>
      </c>
    </row>
    <row r="248" spans="12:13" x14ac:dyDescent="0.25">
      <c r="L248" s="64">
        <v>15281</v>
      </c>
      <c r="M248" t="s">
        <v>488</v>
      </c>
    </row>
    <row r="249" spans="12:13" x14ac:dyDescent="0.25">
      <c r="L249" s="64">
        <v>15282</v>
      </c>
      <c r="M249" t="s">
        <v>489</v>
      </c>
    </row>
    <row r="250" spans="12:13" x14ac:dyDescent="0.25">
      <c r="L250" s="64">
        <v>16000</v>
      </c>
      <c r="M250" t="s">
        <v>490</v>
      </c>
    </row>
    <row r="251" spans="12:13" x14ac:dyDescent="0.25">
      <c r="L251" s="64">
        <v>16100</v>
      </c>
      <c r="M251" t="s">
        <v>490</v>
      </c>
    </row>
    <row r="252" spans="12:13" x14ac:dyDescent="0.25">
      <c r="L252" s="64">
        <v>16110</v>
      </c>
      <c r="M252" t="s">
        <v>491</v>
      </c>
    </row>
    <row r="253" spans="12:13" x14ac:dyDescent="0.25">
      <c r="L253" s="64">
        <v>16111</v>
      </c>
      <c r="M253" t="s">
        <v>491</v>
      </c>
    </row>
    <row r="254" spans="12:13" x14ac:dyDescent="0.25">
      <c r="L254" s="64">
        <v>16117</v>
      </c>
      <c r="M254" t="s">
        <v>492</v>
      </c>
    </row>
    <row r="255" spans="12:13" x14ac:dyDescent="0.25">
      <c r="L255" s="64">
        <v>16118</v>
      </c>
      <c r="M255" t="s">
        <v>493</v>
      </c>
    </row>
    <row r="256" spans="12:13" x14ac:dyDescent="0.25">
      <c r="L256" s="64">
        <v>16119</v>
      </c>
      <c r="M256" t="s">
        <v>494</v>
      </c>
    </row>
    <row r="257" spans="12:13" x14ac:dyDescent="0.25">
      <c r="L257" s="64">
        <v>16120</v>
      </c>
      <c r="M257" t="s">
        <v>495</v>
      </c>
    </row>
    <row r="258" spans="12:13" x14ac:dyDescent="0.25">
      <c r="L258" s="64">
        <v>16121</v>
      </c>
      <c r="M258" t="s">
        <v>495</v>
      </c>
    </row>
    <row r="259" spans="12:13" x14ac:dyDescent="0.25">
      <c r="L259" s="64">
        <v>16127</v>
      </c>
      <c r="M259" t="s">
        <v>496</v>
      </c>
    </row>
    <row r="260" spans="12:13" x14ac:dyDescent="0.25">
      <c r="L260" s="64">
        <v>16128</v>
      </c>
      <c r="M260" t="s">
        <v>497</v>
      </c>
    </row>
    <row r="261" spans="12:13" x14ac:dyDescent="0.25">
      <c r="L261" s="64">
        <v>16129</v>
      </c>
      <c r="M261" t="s">
        <v>498</v>
      </c>
    </row>
    <row r="262" spans="12:13" x14ac:dyDescent="0.25">
      <c r="L262" s="64">
        <v>16130</v>
      </c>
      <c r="M262" t="s">
        <v>499</v>
      </c>
    </row>
    <row r="263" spans="12:13" x14ac:dyDescent="0.25">
      <c r="L263" s="64">
        <v>16131</v>
      </c>
      <c r="M263" t="s">
        <v>499</v>
      </c>
    </row>
    <row r="264" spans="12:13" x14ac:dyDescent="0.25">
      <c r="L264" s="64">
        <v>16137</v>
      </c>
      <c r="M264" t="s">
        <v>500</v>
      </c>
    </row>
    <row r="265" spans="12:13" x14ac:dyDescent="0.25">
      <c r="L265" s="64">
        <v>16138</v>
      </c>
      <c r="M265" t="s">
        <v>501</v>
      </c>
    </row>
    <row r="266" spans="12:13" x14ac:dyDescent="0.25">
      <c r="L266" s="64">
        <v>16139</v>
      </c>
      <c r="M266" t="s">
        <v>502</v>
      </c>
    </row>
    <row r="267" spans="12:13" x14ac:dyDescent="0.25">
      <c r="L267" s="64">
        <v>16140</v>
      </c>
      <c r="M267" t="s">
        <v>503</v>
      </c>
    </row>
    <row r="268" spans="12:13" x14ac:dyDescent="0.25">
      <c r="L268" s="64">
        <v>16141</v>
      </c>
      <c r="M268" t="s">
        <v>503</v>
      </c>
    </row>
    <row r="269" spans="12:13" x14ac:dyDescent="0.25">
      <c r="L269" s="64">
        <v>16147</v>
      </c>
      <c r="M269" t="s">
        <v>504</v>
      </c>
    </row>
    <row r="270" spans="12:13" x14ac:dyDescent="0.25">
      <c r="L270" s="64">
        <v>16148</v>
      </c>
      <c r="M270" t="s">
        <v>505</v>
      </c>
    </row>
    <row r="271" spans="12:13" x14ac:dyDescent="0.25">
      <c r="L271" s="64">
        <v>16149</v>
      </c>
      <c r="M271" t="s">
        <v>506</v>
      </c>
    </row>
    <row r="272" spans="12:13" x14ac:dyDescent="0.25">
      <c r="L272" s="64">
        <v>16150</v>
      </c>
      <c r="M272" t="s">
        <v>507</v>
      </c>
    </row>
    <row r="273" spans="12:13" x14ac:dyDescent="0.25">
      <c r="L273" s="64">
        <v>16151</v>
      </c>
      <c r="M273" t="s">
        <v>507</v>
      </c>
    </row>
    <row r="274" spans="12:13" x14ac:dyDescent="0.25">
      <c r="L274" s="64">
        <v>16157</v>
      </c>
      <c r="M274" t="s">
        <v>508</v>
      </c>
    </row>
    <row r="275" spans="12:13" x14ac:dyDescent="0.25">
      <c r="L275" s="64">
        <v>16158</v>
      </c>
      <c r="M275" t="s">
        <v>509</v>
      </c>
    </row>
    <row r="276" spans="12:13" x14ac:dyDescent="0.25">
      <c r="L276" s="64">
        <v>16159</v>
      </c>
      <c r="M276" t="s">
        <v>510</v>
      </c>
    </row>
    <row r="277" spans="12:13" x14ac:dyDescent="0.25">
      <c r="L277" s="64">
        <v>16160</v>
      </c>
      <c r="M277" t="s">
        <v>511</v>
      </c>
    </row>
    <row r="278" spans="12:13" x14ac:dyDescent="0.25">
      <c r="L278" s="64">
        <v>16161</v>
      </c>
      <c r="M278" t="s">
        <v>511</v>
      </c>
    </row>
    <row r="279" spans="12:13" x14ac:dyDescent="0.25">
      <c r="L279" s="64">
        <v>16167</v>
      </c>
      <c r="M279" t="s">
        <v>512</v>
      </c>
    </row>
    <row r="280" spans="12:13" x14ac:dyDescent="0.25">
      <c r="L280" s="64">
        <v>16168</v>
      </c>
      <c r="M280" t="s">
        <v>513</v>
      </c>
    </row>
    <row r="281" spans="12:13" x14ac:dyDescent="0.25">
      <c r="L281" s="64">
        <v>16169</v>
      </c>
      <c r="M281" t="s">
        <v>514</v>
      </c>
    </row>
    <row r="282" spans="12:13" x14ac:dyDescent="0.25">
      <c r="L282" s="64">
        <v>16170</v>
      </c>
      <c r="M282" t="s">
        <v>515</v>
      </c>
    </row>
    <row r="283" spans="12:13" x14ac:dyDescent="0.25">
      <c r="L283" s="64">
        <v>16171</v>
      </c>
      <c r="M283" t="s">
        <v>515</v>
      </c>
    </row>
    <row r="284" spans="12:13" x14ac:dyDescent="0.25">
      <c r="L284" s="64">
        <v>16177</v>
      </c>
      <c r="M284" t="s">
        <v>516</v>
      </c>
    </row>
    <row r="285" spans="12:13" x14ac:dyDescent="0.25">
      <c r="L285" s="64">
        <v>16178</v>
      </c>
      <c r="M285" t="s">
        <v>517</v>
      </c>
    </row>
    <row r="286" spans="12:13" x14ac:dyDescent="0.25">
      <c r="L286" s="64">
        <v>16179</v>
      </c>
      <c r="M286" t="s">
        <v>518</v>
      </c>
    </row>
    <row r="287" spans="12:13" x14ac:dyDescent="0.25">
      <c r="L287" s="64">
        <v>16180</v>
      </c>
      <c r="M287" t="s">
        <v>519</v>
      </c>
    </row>
    <row r="288" spans="12:13" x14ac:dyDescent="0.25">
      <c r="L288" s="64">
        <v>16181</v>
      </c>
      <c r="M288" t="s">
        <v>519</v>
      </c>
    </row>
    <row r="289" spans="12:13" x14ac:dyDescent="0.25">
      <c r="L289" s="64">
        <v>16190</v>
      </c>
      <c r="M289" t="s">
        <v>520</v>
      </c>
    </row>
    <row r="290" spans="12:13" x14ac:dyDescent="0.25">
      <c r="L290" s="64">
        <v>16191</v>
      </c>
      <c r="M290" t="s">
        <v>520</v>
      </c>
    </row>
    <row r="291" spans="12:13" x14ac:dyDescent="0.25">
      <c r="L291" s="64">
        <v>20000</v>
      </c>
      <c r="M291" t="s">
        <v>521</v>
      </c>
    </row>
    <row r="292" spans="12:13" x14ac:dyDescent="0.25">
      <c r="L292" s="64">
        <v>21000</v>
      </c>
      <c r="M292" t="s">
        <v>522</v>
      </c>
    </row>
    <row r="293" spans="12:13" x14ac:dyDescent="0.25">
      <c r="L293" s="64">
        <v>21100</v>
      </c>
      <c r="M293" t="s">
        <v>523</v>
      </c>
    </row>
    <row r="294" spans="12:13" x14ac:dyDescent="0.25">
      <c r="L294" s="64">
        <v>21110</v>
      </c>
      <c r="M294" t="s">
        <v>523</v>
      </c>
    </row>
    <row r="295" spans="12:13" x14ac:dyDescent="0.25">
      <c r="L295" s="64">
        <v>21111</v>
      </c>
      <c r="M295" t="s">
        <v>523</v>
      </c>
    </row>
    <row r="296" spans="12:13" x14ac:dyDescent="0.25">
      <c r="L296" s="64">
        <v>21117</v>
      </c>
      <c r="M296" t="s">
        <v>524</v>
      </c>
    </row>
    <row r="297" spans="12:13" x14ac:dyDescent="0.25">
      <c r="L297" s="64">
        <v>21118</v>
      </c>
      <c r="M297" t="s">
        <v>525</v>
      </c>
    </row>
    <row r="298" spans="12:13" x14ac:dyDescent="0.25">
      <c r="L298" s="64">
        <v>21119</v>
      </c>
      <c r="M298" t="s">
        <v>526</v>
      </c>
    </row>
    <row r="299" spans="12:13" x14ac:dyDescent="0.25">
      <c r="L299" s="64">
        <v>21200</v>
      </c>
      <c r="M299" t="s">
        <v>527</v>
      </c>
    </row>
    <row r="300" spans="12:13" x14ac:dyDescent="0.25">
      <c r="L300" s="64">
        <v>21210</v>
      </c>
      <c r="M300" t="s">
        <v>528</v>
      </c>
    </row>
    <row r="301" spans="12:13" x14ac:dyDescent="0.25">
      <c r="L301" s="64">
        <v>21211</v>
      </c>
      <c r="M301" t="s">
        <v>528</v>
      </c>
    </row>
    <row r="302" spans="12:13" x14ac:dyDescent="0.25">
      <c r="L302" s="64">
        <v>21220</v>
      </c>
      <c r="M302" t="s">
        <v>529</v>
      </c>
    </row>
    <row r="303" spans="12:13" x14ac:dyDescent="0.25">
      <c r="L303" s="64">
        <v>21221</v>
      </c>
      <c r="M303" t="s">
        <v>529</v>
      </c>
    </row>
    <row r="304" spans="12:13" x14ac:dyDescent="0.25">
      <c r="L304" s="64">
        <v>21230</v>
      </c>
      <c r="M304" t="s">
        <v>530</v>
      </c>
    </row>
    <row r="305" spans="12:13" x14ac:dyDescent="0.25">
      <c r="L305" s="64">
        <v>21231</v>
      </c>
      <c r="M305" t="s">
        <v>530</v>
      </c>
    </row>
    <row r="306" spans="12:13" x14ac:dyDescent="0.25">
      <c r="L306" s="64">
        <v>21300</v>
      </c>
      <c r="M306" t="s">
        <v>531</v>
      </c>
    </row>
    <row r="307" spans="12:13" x14ac:dyDescent="0.25">
      <c r="L307" s="64">
        <v>21310</v>
      </c>
      <c r="M307" t="s">
        <v>531</v>
      </c>
    </row>
    <row r="308" spans="12:13" x14ac:dyDescent="0.25">
      <c r="L308" s="64">
        <v>21311</v>
      </c>
      <c r="M308" t="s">
        <v>532</v>
      </c>
    </row>
    <row r="309" spans="12:13" x14ac:dyDescent="0.25">
      <c r="L309" s="64">
        <v>21312</v>
      </c>
      <c r="M309" t="s">
        <v>533</v>
      </c>
    </row>
    <row r="310" spans="12:13" x14ac:dyDescent="0.25">
      <c r="L310" s="64">
        <v>21313</v>
      </c>
      <c r="M310" t="s">
        <v>534</v>
      </c>
    </row>
    <row r="311" spans="12:13" x14ac:dyDescent="0.25">
      <c r="L311" s="64">
        <v>21314</v>
      </c>
      <c r="M311" t="s">
        <v>535</v>
      </c>
    </row>
    <row r="312" spans="12:13" x14ac:dyDescent="0.25">
      <c r="L312" s="64">
        <v>21319</v>
      </c>
      <c r="M312" t="s">
        <v>536</v>
      </c>
    </row>
    <row r="313" spans="12:13" x14ac:dyDescent="0.25">
      <c r="L313" s="64">
        <v>22000</v>
      </c>
      <c r="M313" t="s">
        <v>537</v>
      </c>
    </row>
    <row r="314" spans="12:13" x14ac:dyDescent="0.25">
      <c r="L314" s="64">
        <v>22100</v>
      </c>
      <c r="M314" t="s">
        <v>538</v>
      </c>
    </row>
    <row r="315" spans="12:13" x14ac:dyDescent="0.25">
      <c r="L315" s="64">
        <v>22110</v>
      </c>
      <c r="M315" t="s">
        <v>538</v>
      </c>
    </row>
    <row r="316" spans="12:13" x14ac:dyDescent="0.25">
      <c r="L316" s="64">
        <v>22111</v>
      </c>
      <c r="M316" t="s">
        <v>538</v>
      </c>
    </row>
    <row r="317" spans="12:13" x14ac:dyDescent="0.25">
      <c r="L317" s="64">
        <v>22120</v>
      </c>
      <c r="M317" t="s">
        <v>539</v>
      </c>
    </row>
    <row r="318" spans="12:13" x14ac:dyDescent="0.25">
      <c r="L318" s="64">
        <v>22121</v>
      </c>
      <c r="M318" t="s">
        <v>539</v>
      </c>
    </row>
    <row r="319" spans="12:13" x14ac:dyDescent="0.25">
      <c r="L319" s="64">
        <v>22129</v>
      </c>
      <c r="M319" t="s">
        <v>540</v>
      </c>
    </row>
    <row r="320" spans="12:13" x14ac:dyDescent="0.25">
      <c r="L320" s="64">
        <v>22200</v>
      </c>
      <c r="M320" t="s">
        <v>541</v>
      </c>
    </row>
    <row r="321" spans="12:13" x14ac:dyDescent="0.25">
      <c r="L321" s="64">
        <v>22210</v>
      </c>
      <c r="M321" t="s">
        <v>542</v>
      </c>
    </row>
    <row r="322" spans="12:13" x14ac:dyDescent="0.25">
      <c r="L322" s="64">
        <v>22211</v>
      </c>
      <c r="M322" t="s">
        <v>543</v>
      </c>
    </row>
    <row r="323" spans="12:13" x14ac:dyDescent="0.25">
      <c r="L323" s="64">
        <v>22220</v>
      </c>
      <c r="M323" t="s">
        <v>544</v>
      </c>
    </row>
    <row r="324" spans="12:13" x14ac:dyDescent="0.25">
      <c r="L324" s="64">
        <v>22221</v>
      </c>
      <c r="M324" t="s">
        <v>545</v>
      </c>
    </row>
    <row r="325" spans="12:13" x14ac:dyDescent="0.25">
      <c r="L325" s="64">
        <v>22222</v>
      </c>
      <c r="M325" t="s">
        <v>546</v>
      </c>
    </row>
    <row r="326" spans="12:13" x14ac:dyDescent="0.25">
      <c r="L326" s="64">
        <v>22230</v>
      </c>
      <c r="M326" t="s">
        <v>547</v>
      </c>
    </row>
    <row r="327" spans="12:13" x14ac:dyDescent="0.25">
      <c r="L327" s="64">
        <v>22231</v>
      </c>
      <c r="M327" t="s">
        <v>548</v>
      </c>
    </row>
    <row r="328" spans="12:13" x14ac:dyDescent="0.25">
      <c r="L328" s="64">
        <v>22232</v>
      </c>
      <c r="M328" t="s">
        <v>549</v>
      </c>
    </row>
    <row r="329" spans="12:13" x14ac:dyDescent="0.25">
      <c r="L329" s="64">
        <v>22233</v>
      </c>
      <c r="M329" t="s">
        <v>550</v>
      </c>
    </row>
    <row r="330" spans="12:13" x14ac:dyDescent="0.25">
      <c r="L330" s="64">
        <v>22234</v>
      </c>
      <c r="M330" t="s">
        <v>551</v>
      </c>
    </row>
    <row r="331" spans="12:13" x14ac:dyDescent="0.25">
      <c r="L331" s="64">
        <v>22235</v>
      </c>
      <c r="M331" t="s">
        <v>552</v>
      </c>
    </row>
    <row r="332" spans="12:13" x14ac:dyDescent="0.25">
      <c r="L332" s="64">
        <v>22236</v>
      </c>
      <c r="M332" t="s">
        <v>553</v>
      </c>
    </row>
    <row r="333" spans="12:13" x14ac:dyDescent="0.25">
      <c r="L333" s="64">
        <v>22237</v>
      </c>
      <c r="M333" t="s">
        <v>554</v>
      </c>
    </row>
    <row r="334" spans="12:13" x14ac:dyDescent="0.25">
      <c r="L334" s="64">
        <v>22238</v>
      </c>
      <c r="M334" t="s">
        <v>555</v>
      </c>
    </row>
    <row r="335" spans="12:13" x14ac:dyDescent="0.25">
      <c r="L335" s="64">
        <v>22239</v>
      </c>
      <c r="M335" t="s">
        <v>556</v>
      </c>
    </row>
    <row r="336" spans="12:13" x14ac:dyDescent="0.25">
      <c r="L336" s="64">
        <v>22290</v>
      </c>
      <c r="M336" t="s">
        <v>557</v>
      </c>
    </row>
    <row r="337" spans="12:13" x14ac:dyDescent="0.25">
      <c r="L337" s="64">
        <v>22291</v>
      </c>
      <c r="M337" t="s">
        <v>558</v>
      </c>
    </row>
    <row r="338" spans="12:13" x14ac:dyDescent="0.25">
      <c r="L338" s="64">
        <v>22292</v>
      </c>
      <c r="M338" t="s">
        <v>559</v>
      </c>
    </row>
    <row r="339" spans="12:13" x14ac:dyDescent="0.25">
      <c r="L339" s="64">
        <v>22293</v>
      </c>
      <c r="M339" t="s">
        <v>560</v>
      </c>
    </row>
    <row r="340" spans="12:13" x14ac:dyDescent="0.25">
      <c r="L340" s="65">
        <v>100000</v>
      </c>
      <c r="M340" t="s">
        <v>561</v>
      </c>
    </row>
    <row r="341" spans="12:13" x14ac:dyDescent="0.25">
      <c r="L341" s="64">
        <v>110000</v>
      </c>
      <c r="M341" t="s">
        <v>562</v>
      </c>
    </row>
    <row r="342" spans="12:13" x14ac:dyDescent="0.25">
      <c r="L342" s="64">
        <v>111000</v>
      </c>
      <c r="M342" t="s">
        <v>563</v>
      </c>
    </row>
    <row r="343" spans="12:13" x14ac:dyDescent="0.25">
      <c r="L343" s="64">
        <v>111100</v>
      </c>
      <c r="M343" t="s">
        <v>564</v>
      </c>
    </row>
    <row r="344" spans="12:13" x14ac:dyDescent="0.25">
      <c r="L344" s="64">
        <v>111110</v>
      </c>
      <c r="M344" t="s">
        <v>565</v>
      </c>
    </row>
    <row r="345" spans="12:13" x14ac:dyDescent="0.25">
      <c r="L345" s="64">
        <v>111111</v>
      </c>
      <c r="M345" t="s">
        <v>565</v>
      </c>
    </row>
    <row r="346" spans="12:13" x14ac:dyDescent="0.25">
      <c r="L346" s="64">
        <v>111190</v>
      </c>
      <c r="M346" t="s">
        <v>566</v>
      </c>
    </row>
    <row r="347" spans="12:13" x14ac:dyDescent="0.25">
      <c r="L347" s="64">
        <v>111191</v>
      </c>
      <c r="M347" t="s">
        <v>566</v>
      </c>
    </row>
    <row r="348" spans="12:13" x14ac:dyDescent="0.25">
      <c r="L348" s="64">
        <v>111200</v>
      </c>
      <c r="M348" t="s">
        <v>567</v>
      </c>
    </row>
    <row r="349" spans="12:13" x14ac:dyDescent="0.25">
      <c r="L349" s="64">
        <v>111210</v>
      </c>
      <c r="M349" t="s">
        <v>568</v>
      </c>
    </row>
    <row r="350" spans="12:13" x14ac:dyDescent="0.25">
      <c r="L350" s="64">
        <v>111211</v>
      </c>
      <c r="M350" t="s">
        <v>568</v>
      </c>
    </row>
    <row r="351" spans="12:13" x14ac:dyDescent="0.25">
      <c r="L351" s="64">
        <v>111220</v>
      </c>
      <c r="M351" t="s">
        <v>569</v>
      </c>
    </row>
    <row r="352" spans="12:13" x14ac:dyDescent="0.25">
      <c r="L352" s="64">
        <v>111221</v>
      </c>
      <c r="M352" t="s">
        <v>569</v>
      </c>
    </row>
    <row r="353" spans="12:13" x14ac:dyDescent="0.25">
      <c r="L353" s="64">
        <v>111230</v>
      </c>
      <c r="M353" t="s">
        <v>570</v>
      </c>
    </row>
    <row r="354" spans="12:13" x14ac:dyDescent="0.25">
      <c r="L354" s="64">
        <v>111231</v>
      </c>
      <c r="M354" t="s">
        <v>570</v>
      </c>
    </row>
    <row r="355" spans="12:13" x14ac:dyDescent="0.25">
      <c r="L355" s="64">
        <v>111240</v>
      </c>
      <c r="M355" t="s">
        <v>571</v>
      </c>
    </row>
    <row r="356" spans="12:13" x14ac:dyDescent="0.25">
      <c r="L356" s="64">
        <v>111241</v>
      </c>
      <c r="M356" t="s">
        <v>571</v>
      </c>
    </row>
    <row r="357" spans="12:13" x14ac:dyDescent="0.25">
      <c r="L357" s="64">
        <v>111250</v>
      </c>
      <c r="M357" t="s">
        <v>572</v>
      </c>
    </row>
    <row r="358" spans="12:13" x14ac:dyDescent="0.25">
      <c r="L358" s="64">
        <v>111251</v>
      </c>
      <c r="M358" t="s">
        <v>573</v>
      </c>
    </row>
    <row r="359" spans="12:13" x14ac:dyDescent="0.25">
      <c r="L359" s="64">
        <v>111252</v>
      </c>
      <c r="M359" t="s">
        <v>574</v>
      </c>
    </row>
    <row r="360" spans="12:13" x14ac:dyDescent="0.25">
      <c r="L360" s="64">
        <v>111255</v>
      </c>
      <c r="M360" t="s">
        <v>575</v>
      </c>
    </row>
    <row r="361" spans="12:13" x14ac:dyDescent="0.25">
      <c r="L361" s="64">
        <v>111290</v>
      </c>
      <c r="M361" t="s">
        <v>576</v>
      </c>
    </row>
    <row r="362" spans="12:13" x14ac:dyDescent="0.25">
      <c r="L362" s="64">
        <v>111291</v>
      </c>
      <c r="M362" t="s">
        <v>577</v>
      </c>
    </row>
    <row r="363" spans="12:13" x14ac:dyDescent="0.25">
      <c r="L363" s="64">
        <v>111292</v>
      </c>
      <c r="M363" t="s">
        <v>578</v>
      </c>
    </row>
    <row r="364" spans="12:13" x14ac:dyDescent="0.25">
      <c r="L364" s="64">
        <v>111293</v>
      </c>
      <c r="M364" t="s">
        <v>579</v>
      </c>
    </row>
    <row r="365" spans="12:13" x14ac:dyDescent="0.25">
      <c r="L365" s="64">
        <v>111294</v>
      </c>
      <c r="M365" t="s">
        <v>580</v>
      </c>
    </row>
    <row r="366" spans="12:13" x14ac:dyDescent="0.25">
      <c r="L366" s="64">
        <v>111295</v>
      </c>
      <c r="M366" t="s">
        <v>581</v>
      </c>
    </row>
    <row r="367" spans="12:13" x14ac:dyDescent="0.25">
      <c r="L367" s="64">
        <v>111300</v>
      </c>
      <c r="M367" t="s">
        <v>582</v>
      </c>
    </row>
    <row r="368" spans="12:13" x14ac:dyDescent="0.25">
      <c r="L368" s="64">
        <v>111310</v>
      </c>
      <c r="M368" t="s">
        <v>583</v>
      </c>
    </row>
    <row r="369" spans="12:13" x14ac:dyDescent="0.25">
      <c r="L369" s="64">
        <v>111311</v>
      </c>
      <c r="M369" t="s">
        <v>583</v>
      </c>
    </row>
    <row r="370" spans="12:13" x14ac:dyDescent="0.25">
      <c r="L370" s="64">
        <v>111380</v>
      </c>
      <c r="M370" t="s">
        <v>584</v>
      </c>
    </row>
    <row r="371" spans="12:13" x14ac:dyDescent="0.25">
      <c r="L371" s="64">
        <v>111381</v>
      </c>
      <c r="M371" t="s">
        <v>584</v>
      </c>
    </row>
    <row r="372" spans="12:13" x14ac:dyDescent="0.25">
      <c r="L372" s="64">
        <v>111390</v>
      </c>
      <c r="M372" t="s">
        <v>585</v>
      </c>
    </row>
    <row r="373" spans="12:13" x14ac:dyDescent="0.25">
      <c r="L373" s="64">
        <v>111391</v>
      </c>
      <c r="M373" t="s">
        <v>586</v>
      </c>
    </row>
    <row r="374" spans="12:13" x14ac:dyDescent="0.25">
      <c r="L374" s="64">
        <v>111398</v>
      </c>
      <c r="M374" t="s">
        <v>587</v>
      </c>
    </row>
    <row r="375" spans="12:13" x14ac:dyDescent="0.25">
      <c r="L375" s="64">
        <v>111400</v>
      </c>
      <c r="M375" t="s">
        <v>588</v>
      </c>
    </row>
    <row r="376" spans="12:13" x14ac:dyDescent="0.25">
      <c r="L376" s="64">
        <v>111410</v>
      </c>
      <c r="M376" t="s">
        <v>589</v>
      </c>
    </row>
    <row r="377" spans="12:13" x14ac:dyDescent="0.25">
      <c r="L377" s="64">
        <v>111411</v>
      </c>
      <c r="M377" t="s">
        <v>589</v>
      </c>
    </row>
    <row r="378" spans="12:13" x14ac:dyDescent="0.25">
      <c r="L378" s="64">
        <v>111490</v>
      </c>
      <c r="M378" t="s">
        <v>590</v>
      </c>
    </row>
    <row r="379" spans="12:13" x14ac:dyDescent="0.25">
      <c r="L379" s="64">
        <v>111491</v>
      </c>
      <c r="M379" t="s">
        <v>590</v>
      </c>
    </row>
    <row r="380" spans="12:13" x14ac:dyDescent="0.25">
      <c r="L380" s="64">
        <v>111500</v>
      </c>
      <c r="M380" t="s">
        <v>591</v>
      </c>
    </row>
    <row r="381" spans="12:13" x14ac:dyDescent="0.25">
      <c r="L381" s="64">
        <v>111510</v>
      </c>
      <c r="M381" t="s">
        <v>591</v>
      </c>
    </row>
    <row r="382" spans="12:13" x14ac:dyDescent="0.25">
      <c r="L382" s="64">
        <v>111511</v>
      </c>
      <c r="M382" t="s">
        <v>591</v>
      </c>
    </row>
    <row r="383" spans="12:13" x14ac:dyDescent="0.25">
      <c r="L383" s="64">
        <v>111590</v>
      </c>
      <c r="M383" t="s">
        <v>592</v>
      </c>
    </row>
    <row r="384" spans="12:13" x14ac:dyDescent="0.25">
      <c r="L384" s="64">
        <v>111591</v>
      </c>
      <c r="M384" t="s">
        <v>592</v>
      </c>
    </row>
    <row r="385" spans="12:13" x14ac:dyDescent="0.25">
      <c r="L385" s="64">
        <v>111600</v>
      </c>
      <c r="M385" t="s">
        <v>593</v>
      </c>
    </row>
    <row r="386" spans="12:13" x14ac:dyDescent="0.25">
      <c r="L386" s="64">
        <v>111610</v>
      </c>
      <c r="M386" t="s">
        <v>593</v>
      </c>
    </row>
    <row r="387" spans="12:13" x14ac:dyDescent="0.25">
      <c r="L387" s="64">
        <v>111611</v>
      </c>
      <c r="M387" t="s">
        <v>594</v>
      </c>
    </row>
    <row r="388" spans="12:13" x14ac:dyDescent="0.25">
      <c r="L388" s="64">
        <v>111612</v>
      </c>
      <c r="M388" t="s">
        <v>595</v>
      </c>
    </row>
    <row r="389" spans="12:13" x14ac:dyDescent="0.25">
      <c r="L389" s="64">
        <v>111613</v>
      </c>
      <c r="M389" t="s">
        <v>596</v>
      </c>
    </row>
    <row r="390" spans="12:13" x14ac:dyDescent="0.25">
      <c r="L390" s="64">
        <v>111690</v>
      </c>
      <c r="M390" t="s">
        <v>597</v>
      </c>
    </row>
    <row r="391" spans="12:13" x14ac:dyDescent="0.25">
      <c r="L391" s="64">
        <v>111691</v>
      </c>
      <c r="M391" t="s">
        <v>597</v>
      </c>
    </row>
    <row r="392" spans="12:13" x14ac:dyDescent="0.25">
      <c r="L392" s="64">
        <v>111700</v>
      </c>
      <c r="M392" t="s">
        <v>598</v>
      </c>
    </row>
    <row r="393" spans="12:13" x14ac:dyDescent="0.25">
      <c r="L393" s="64">
        <v>111710</v>
      </c>
      <c r="M393" t="s">
        <v>599</v>
      </c>
    </row>
    <row r="394" spans="12:13" x14ac:dyDescent="0.25">
      <c r="L394" s="64">
        <v>111711</v>
      </c>
      <c r="M394" t="s">
        <v>599</v>
      </c>
    </row>
    <row r="395" spans="12:13" x14ac:dyDescent="0.25">
      <c r="L395" s="64">
        <v>111712</v>
      </c>
      <c r="M395" t="s">
        <v>600</v>
      </c>
    </row>
    <row r="396" spans="12:13" x14ac:dyDescent="0.25">
      <c r="L396" s="64">
        <v>111790</v>
      </c>
      <c r="M396" t="s">
        <v>601</v>
      </c>
    </row>
    <row r="397" spans="12:13" x14ac:dyDescent="0.25">
      <c r="L397" s="64">
        <v>111791</v>
      </c>
      <c r="M397" t="s">
        <v>601</v>
      </c>
    </row>
    <row r="398" spans="12:13" x14ac:dyDescent="0.25">
      <c r="L398" s="64">
        <v>111800</v>
      </c>
      <c r="M398" t="s">
        <v>602</v>
      </c>
    </row>
    <row r="399" spans="12:13" x14ac:dyDescent="0.25">
      <c r="L399" s="64">
        <v>111810</v>
      </c>
      <c r="M399" t="s">
        <v>602</v>
      </c>
    </row>
    <row r="400" spans="12:13" x14ac:dyDescent="0.25">
      <c r="L400" s="64">
        <v>111811</v>
      </c>
      <c r="M400" t="s">
        <v>602</v>
      </c>
    </row>
    <row r="401" spans="12:13" x14ac:dyDescent="0.25">
      <c r="L401" s="64">
        <v>111890</v>
      </c>
      <c r="M401" t="s">
        <v>603</v>
      </c>
    </row>
    <row r="402" spans="12:13" x14ac:dyDescent="0.25">
      <c r="L402" s="64">
        <v>111891</v>
      </c>
      <c r="M402" t="s">
        <v>603</v>
      </c>
    </row>
    <row r="403" spans="12:13" x14ac:dyDescent="0.25">
      <c r="L403" s="64">
        <v>111900</v>
      </c>
      <c r="M403" t="s">
        <v>604</v>
      </c>
    </row>
    <row r="404" spans="12:13" x14ac:dyDescent="0.25">
      <c r="L404" s="64">
        <v>111910</v>
      </c>
      <c r="M404" t="s">
        <v>605</v>
      </c>
    </row>
    <row r="405" spans="12:13" x14ac:dyDescent="0.25">
      <c r="L405" s="64">
        <v>111911</v>
      </c>
      <c r="M405" t="s">
        <v>605</v>
      </c>
    </row>
    <row r="406" spans="12:13" x14ac:dyDescent="0.25">
      <c r="L406" s="64">
        <v>111920</v>
      </c>
      <c r="M406" t="s">
        <v>606</v>
      </c>
    </row>
    <row r="407" spans="12:13" x14ac:dyDescent="0.25">
      <c r="L407" s="64">
        <v>111921</v>
      </c>
      <c r="M407" t="s">
        <v>607</v>
      </c>
    </row>
    <row r="408" spans="12:13" x14ac:dyDescent="0.25">
      <c r="L408" s="64">
        <v>111922</v>
      </c>
      <c r="M408" t="s">
        <v>608</v>
      </c>
    </row>
    <row r="409" spans="12:13" x14ac:dyDescent="0.25">
      <c r="L409" s="64">
        <v>111930</v>
      </c>
      <c r="M409" t="s">
        <v>609</v>
      </c>
    </row>
    <row r="410" spans="12:13" x14ac:dyDescent="0.25">
      <c r="L410" s="64">
        <v>111931</v>
      </c>
      <c r="M410" t="s">
        <v>609</v>
      </c>
    </row>
    <row r="411" spans="12:13" x14ac:dyDescent="0.25">
      <c r="L411" s="64">
        <v>111940</v>
      </c>
      <c r="M411" t="s">
        <v>610</v>
      </c>
    </row>
    <row r="412" spans="12:13" x14ac:dyDescent="0.25">
      <c r="L412" s="64">
        <v>111941</v>
      </c>
      <c r="M412" t="s">
        <v>610</v>
      </c>
    </row>
    <row r="413" spans="12:13" x14ac:dyDescent="0.25">
      <c r="L413" s="64">
        <v>111990</v>
      </c>
      <c r="M413" t="s">
        <v>611</v>
      </c>
    </row>
    <row r="414" spans="12:13" x14ac:dyDescent="0.25">
      <c r="L414" s="64">
        <v>111991</v>
      </c>
      <c r="M414" t="s">
        <v>612</v>
      </c>
    </row>
    <row r="415" spans="12:13" x14ac:dyDescent="0.25">
      <c r="L415" s="64">
        <v>111992</v>
      </c>
      <c r="M415" t="s">
        <v>613</v>
      </c>
    </row>
    <row r="416" spans="12:13" x14ac:dyDescent="0.25">
      <c r="L416" s="64">
        <v>111993</v>
      </c>
      <c r="M416" t="s">
        <v>614</v>
      </c>
    </row>
    <row r="417" spans="12:13" x14ac:dyDescent="0.25">
      <c r="L417" s="64">
        <v>111994</v>
      </c>
      <c r="M417" t="s">
        <v>615</v>
      </c>
    </row>
    <row r="418" spans="12:13" x14ac:dyDescent="0.25">
      <c r="L418" s="64">
        <v>112000</v>
      </c>
      <c r="M418" t="s">
        <v>616</v>
      </c>
    </row>
    <row r="419" spans="12:13" x14ac:dyDescent="0.25">
      <c r="L419" s="64">
        <v>112100</v>
      </c>
      <c r="M419" t="s">
        <v>617</v>
      </c>
    </row>
    <row r="420" spans="12:13" x14ac:dyDescent="0.25">
      <c r="L420" s="64">
        <v>112110</v>
      </c>
      <c r="M420" t="s">
        <v>617</v>
      </c>
    </row>
    <row r="421" spans="12:13" x14ac:dyDescent="0.25">
      <c r="L421" s="64">
        <v>112111</v>
      </c>
      <c r="M421" t="s">
        <v>617</v>
      </c>
    </row>
    <row r="422" spans="12:13" x14ac:dyDescent="0.25">
      <c r="L422" s="64">
        <v>112190</v>
      </c>
      <c r="M422" t="s">
        <v>618</v>
      </c>
    </row>
    <row r="423" spans="12:13" x14ac:dyDescent="0.25">
      <c r="L423" s="64">
        <v>112191</v>
      </c>
      <c r="M423" t="s">
        <v>618</v>
      </c>
    </row>
    <row r="424" spans="12:13" x14ac:dyDescent="0.25">
      <c r="L424" s="64">
        <v>112200</v>
      </c>
      <c r="M424" t="s">
        <v>619</v>
      </c>
    </row>
    <row r="425" spans="12:13" x14ac:dyDescent="0.25">
      <c r="L425" s="64">
        <v>112210</v>
      </c>
      <c r="M425" t="s">
        <v>619</v>
      </c>
    </row>
    <row r="426" spans="12:13" x14ac:dyDescent="0.25">
      <c r="L426" s="64">
        <v>112211</v>
      </c>
      <c r="M426" t="s">
        <v>619</v>
      </c>
    </row>
    <row r="427" spans="12:13" x14ac:dyDescent="0.25">
      <c r="L427" s="64">
        <v>112290</v>
      </c>
      <c r="M427" t="s">
        <v>620</v>
      </c>
    </row>
    <row r="428" spans="12:13" x14ac:dyDescent="0.25">
      <c r="L428" s="64">
        <v>112291</v>
      </c>
      <c r="M428" t="s">
        <v>620</v>
      </c>
    </row>
    <row r="429" spans="12:13" x14ac:dyDescent="0.25">
      <c r="L429" s="64">
        <v>112300</v>
      </c>
      <c r="M429" t="s">
        <v>621</v>
      </c>
    </row>
    <row r="430" spans="12:13" x14ac:dyDescent="0.25">
      <c r="L430" s="64">
        <v>112310</v>
      </c>
      <c r="M430" t="s">
        <v>621</v>
      </c>
    </row>
    <row r="431" spans="12:13" x14ac:dyDescent="0.25">
      <c r="L431" s="64">
        <v>112311</v>
      </c>
      <c r="M431" t="s">
        <v>621</v>
      </c>
    </row>
    <row r="432" spans="12:13" x14ac:dyDescent="0.25">
      <c r="L432" s="64">
        <v>112390</v>
      </c>
      <c r="M432" t="s">
        <v>622</v>
      </c>
    </row>
    <row r="433" spans="12:13" x14ac:dyDescent="0.25">
      <c r="L433" s="64">
        <v>112391</v>
      </c>
      <c r="M433" t="s">
        <v>622</v>
      </c>
    </row>
    <row r="434" spans="12:13" x14ac:dyDescent="0.25">
      <c r="L434" s="64">
        <v>112400</v>
      </c>
      <c r="M434" t="s">
        <v>623</v>
      </c>
    </row>
    <row r="435" spans="12:13" x14ac:dyDescent="0.25">
      <c r="L435" s="64">
        <v>112410</v>
      </c>
      <c r="M435" t="s">
        <v>623</v>
      </c>
    </row>
    <row r="436" spans="12:13" x14ac:dyDescent="0.25">
      <c r="L436" s="64">
        <v>112411</v>
      </c>
      <c r="M436" t="s">
        <v>623</v>
      </c>
    </row>
    <row r="437" spans="12:13" x14ac:dyDescent="0.25">
      <c r="L437" s="64">
        <v>112490</v>
      </c>
      <c r="M437" t="s">
        <v>624</v>
      </c>
    </row>
    <row r="438" spans="12:13" x14ac:dyDescent="0.25">
      <c r="L438" s="64">
        <v>112491</v>
      </c>
      <c r="M438" t="s">
        <v>624</v>
      </c>
    </row>
    <row r="439" spans="12:13" x14ac:dyDescent="0.25">
      <c r="L439" s="64">
        <v>112500</v>
      </c>
      <c r="M439" t="s">
        <v>625</v>
      </c>
    </row>
    <row r="440" spans="12:13" x14ac:dyDescent="0.25">
      <c r="L440" s="64">
        <v>112510</v>
      </c>
      <c r="M440" t="s">
        <v>625</v>
      </c>
    </row>
    <row r="441" spans="12:13" x14ac:dyDescent="0.25">
      <c r="L441" s="64">
        <v>112511</v>
      </c>
      <c r="M441" t="s">
        <v>625</v>
      </c>
    </row>
    <row r="442" spans="12:13" x14ac:dyDescent="0.25">
      <c r="L442" s="64">
        <v>112590</v>
      </c>
      <c r="M442" t="s">
        <v>626</v>
      </c>
    </row>
    <row r="443" spans="12:13" x14ac:dyDescent="0.25">
      <c r="L443" s="64">
        <v>112591</v>
      </c>
      <c r="M443" t="s">
        <v>626</v>
      </c>
    </row>
    <row r="444" spans="12:13" x14ac:dyDescent="0.25">
      <c r="L444" s="64">
        <v>112600</v>
      </c>
      <c r="M444" t="s">
        <v>627</v>
      </c>
    </row>
    <row r="445" spans="12:13" x14ac:dyDescent="0.25">
      <c r="L445" s="64">
        <v>112610</v>
      </c>
      <c r="M445" t="s">
        <v>627</v>
      </c>
    </row>
    <row r="446" spans="12:13" x14ac:dyDescent="0.25">
      <c r="L446" s="64">
        <v>112611</v>
      </c>
      <c r="M446" t="s">
        <v>628</v>
      </c>
    </row>
    <row r="447" spans="12:13" x14ac:dyDescent="0.25">
      <c r="L447" s="64">
        <v>112612</v>
      </c>
      <c r="M447" t="s">
        <v>629</v>
      </c>
    </row>
    <row r="448" spans="12:13" x14ac:dyDescent="0.25">
      <c r="L448" s="64">
        <v>112690</v>
      </c>
      <c r="M448" t="s">
        <v>630</v>
      </c>
    </row>
    <row r="449" spans="12:13" x14ac:dyDescent="0.25">
      <c r="L449" s="64">
        <v>112691</v>
      </c>
      <c r="M449" t="s">
        <v>630</v>
      </c>
    </row>
    <row r="450" spans="12:13" x14ac:dyDescent="0.25">
      <c r="L450" s="64">
        <v>112700</v>
      </c>
      <c r="M450" t="s">
        <v>631</v>
      </c>
    </row>
    <row r="451" spans="12:13" x14ac:dyDescent="0.25">
      <c r="L451" s="64">
        <v>112710</v>
      </c>
      <c r="M451" t="s">
        <v>632</v>
      </c>
    </row>
    <row r="452" spans="12:13" x14ac:dyDescent="0.25">
      <c r="L452" s="64">
        <v>112711</v>
      </c>
      <c r="M452" t="s">
        <v>632</v>
      </c>
    </row>
    <row r="453" spans="12:13" x14ac:dyDescent="0.25">
      <c r="L453" s="64">
        <v>112720</v>
      </c>
      <c r="M453" t="s">
        <v>633</v>
      </c>
    </row>
    <row r="454" spans="12:13" x14ac:dyDescent="0.25">
      <c r="L454" s="64">
        <v>112721</v>
      </c>
      <c r="M454" t="s">
        <v>633</v>
      </c>
    </row>
    <row r="455" spans="12:13" x14ac:dyDescent="0.25">
      <c r="L455" s="64">
        <v>112790</v>
      </c>
      <c r="M455" t="s">
        <v>634</v>
      </c>
    </row>
    <row r="456" spans="12:13" x14ac:dyDescent="0.25">
      <c r="L456" s="64">
        <v>112791</v>
      </c>
      <c r="M456" t="s">
        <v>635</v>
      </c>
    </row>
    <row r="457" spans="12:13" x14ac:dyDescent="0.25">
      <c r="L457" s="64">
        <v>112792</v>
      </c>
      <c r="M457" t="s">
        <v>636</v>
      </c>
    </row>
    <row r="458" spans="12:13" x14ac:dyDescent="0.25">
      <c r="L458" s="64">
        <v>112800</v>
      </c>
      <c r="M458" t="s">
        <v>637</v>
      </c>
    </row>
    <row r="459" spans="12:13" x14ac:dyDescent="0.25">
      <c r="L459" s="64">
        <v>112810</v>
      </c>
      <c r="M459" t="s">
        <v>637</v>
      </c>
    </row>
    <row r="460" spans="12:13" x14ac:dyDescent="0.25">
      <c r="L460" s="64">
        <v>112811</v>
      </c>
      <c r="M460" t="s">
        <v>637</v>
      </c>
    </row>
    <row r="461" spans="12:13" x14ac:dyDescent="0.25">
      <c r="L461" s="64">
        <v>120000</v>
      </c>
      <c r="M461" t="s">
        <v>638</v>
      </c>
    </row>
    <row r="462" spans="12:13" x14ac:dyDescent="0.25">
      <c r="L462" s="64">
        <v>121000</v>
      </c>
      <c r="M462" t="s">
        <v>639</v>
      </c>
    </row>
    <row r="463" spans="12:13" x14ac:dyDescent="0.25">
      <c r="L463" s="64">
        <v>121100</v>
      </c>
      <c r="M463" t="s">
        <v>640</v>
      </c>
    </row>
    <row r="464" spans="12:13" x14ac:dyDescent="0.25">
      <c r="L464" s="64">
        <v>121110</v>
      </c>
      <c r="M464" t="s">
        <v>640</v>
      </c>
    </row>
    <row r="465" spans="12:13" x14ac:dyDescent="0.25">
      <c r="L465" s="64">
        <v>121111</v>
      </c>
      <c r="M465" t="s">
        <v>641</v>
      </c>
    </row>
    <row r="466" spans="12:13" x14ac:dyDescent="0.25">
      <c r="L466" s="64">
        <v>121112</v>
      </c>
      <c r="M466" t="s">
        <v>642</v>
      </c>
    </row>
    <row r="467" spans="12:13" x14ac:dyDescent="0.25">
      <c r="L467" s="64">
        <v>121113</v>
      </c>
      <c r="M467" t="s">
        <v>643</v>
      </c>
    </row>
    <row r="468" spans="12:13" x14ac:dyDescent="0.25">
      <c r="L468" s="64">
        <v>121200</v>
      </c>
      <c r="M468" t="s">
        <v>644</v>
      </c>
    </row>
    <row r="469" spans="12:13" x14ac:dyDescent="0.25">
      <c r="L469" s="64">
        <v>121210</v>
      </c>
      <c r="M469" t="s">
        <v>644</v>
      </c>
    </row>
    <row r="470" spans="12:13" x14ac:dyDescent="0.25">
      <c r="L470" s="64">
        <v>121211</v>
      </c>
      <c r="M470" t="s">
        <v>645</v>
      </c>
    </row>
    <row r="471" spans="12:13" x14ac:dyDescent="0.25">
      <c r="L471" s="64">
        <v>121212</v>
      </c>
      <c r="M471" t="s">
        <v>646</v>
      </c>
    </row>
    <row r="472" spans="12:13" x14ac:dyDescent="0.25">
      <c r="L472" s="64">
        <v>121213</v>
      </c>
      <c r="M472" t="s">
        <v>647</v>
      </c>
    </row>
    <row r="473" spans="12:13" x14ac:dyDescent="0.25">
      <c r="L473" s="64">
        <v>121214</v>
      </c>
      <c r="M473" t="s">
        <v>648</v>
      </c>
    </row>
    <row r="474" spans="12:13" x14ac:dyDescent="0.25">
      <c r="L474" s="64">
        <v>121215</v>
      </c>
      <c r="M474" t="s">
        <v>649</v>
      </c>
    </row>
    <row r="475" spans="12:13" x14ac:dyDescent="0.25">
      <c r="L475" s="64">
        <v>121216</v>
      </c>
      <c r="M475" t="s">
        <v>650</v>
      </c>
    </row>
    <row r="476" spans="12:13" x14ac:dyDescent="0.25">
      <c r="L476" s="64">
        <v>121217</v>
      </c>
      <c r="M476" t="s">
        <v>651</v>
      </c>
    </row>
    <row r="477" spans="12:13" x14ac:dyDescent="0.25">
      <c r="L477" s="64">
        <v>121218</v>
      </c>
      <c r="M477" t="s">
        <v>652</v>
      </c>
    </row>
    <row r="478" spans="12:13" x14ac:dyDescent="0.25">
      <c r="L478" s="64">
        <v>121219</v>
      </c>
      <c r="M478" t="s">
        <v>653</v>
      </c>
    </row>
    <row r="479" spans="12:13" x14ac:dyDescent="0.25">
      <c r="L479" s="64">
        <v>121300</v>
      </c>
      <c r="M479" t="s">
        <v>654</v>
      </c>
    </row>
    <row r="480" spans="12:13" x14ac:dyDescent="0.25">
      <c r="L480" s="64">
        <v>121310</v>
      </c>
      <c r="M480" t="s">
        <v>654</v>
      </c>
    </row>
    <row r="481" spans="12:13" x14ac:dyDescent="0.25">
      <c r="L481" s="64">
        <v>121311</v>
      </c>
      <c r="M481" t="s">
        <v>655</v>
      </c>
    </row>
    <row r="482" spans="12:13" x14ac:dyDescent="0.25">
      <c r="L482" s="64">
        <v>121312</v>
      </c>
      <c r="M482" t="s">
        <v>656</v>
      </c>
    </row>
    <row r="483" spans="12:13" x14ac:dyDescent="0.25">
      <c r="L483" s="64">
        <v>121313</v>
      </c>
      <c r="M483" t="s">
        <v>657</v>
      </c>
    </row>
    <row r="484" spans="12:13" x14ac:dyDescent="0.25">
      <c r="L484" s="64">
        <v>121314</v>
      </c>
      <c r="M484" t="s">
        <v>658</v>
      </c>
    </row>
    <row r="485" spans="12:13" x14ac:dyDescent="0.25">
      <c r="L485" s="64">
        <v>121315</v>
      </c>
      <c r="M485" t="s">
        <v>659</v>
      </c>
    </row>
    <row r="486" spans="12:13" x14ac:dyDescent="0.25">
      <c r="L486" s="64">
        <v>121319</v>
      </c>
      <c r="M486" t="s">
        <v>660</v>
      </c>
    </row>
    <row r="487" spans="12:13" x14ac:dyDescent="0.25">
      <c r="L487" s="64">
        <v>121400</v>
      </c>
      <c r="M487" t="s">
        <v>661</v>
      </c>
    </row>
    <row r="488" spans="12:13" x14ac:dyDescent="0.25">
      <c r="L488" s="64">
        <v>121410</v>
      </c>
      <c r="M488" t="s">
        <v>661</v>
      </c>
    </row>
    <row r="489" spans="12:13" x14ac:dyDescent="0.25">
      <c r="L489" s="64">
        <v>121411</v>
      </c>
      <c r="M489" t="s">
        <v>662</v>
      </c>
    </row>
    <row r="490" spans="12:13" x14ac:dyDescent="0.25">
      <c r="L490" s="64">
        <v>121412</v>
      </c>
      <c r="M490" t="s">
        <v>663</v>
      </c>
    </row>
    <row r="491" spans="12:13" x14ac:dyDescent="0.25">
      <c r="L491" s="64">
        <v>121413</v>
      </c>
      <c r="M491" t="s">
        <v>664</v>
      </c>
    </row>
    <row r="492" spans="12:13" x14ac:dyDescent="0.25">
      <c r="L492" s="64">
        <v>121414</v>
      </c>
      <c r="M492" t="s">
        <v>665</v>
      </c>
    </row>
    <row r="493" spans="12:13" x14ac:dyDescent="0.25">
      <c r="L493" s="64">
        <v>121418</v>
      </c>
      <c r="M493" t="s">
        <v>666</v>
      </c>
    </row>
    <row r="494" spans="12:13" x14ac:dyDescent="0.25">
      <c r="L494" s="64">
        <v>121419</v>
      </c>
      <c r="M494" t="s">
        <v>667</v>
      </c>
    </row>
    <row r="495" spans="12:13" x14ac:dyDescent="0.25">
      <c r="L495" s="64">
        <v>121500</v>
      </c>
      <c r="M495" t="s">
        <v>668</v>
      </c>
    </row>
    <row r="496" spans="12:13" x14ac:dyDescent="0.25">
      <c r="L496" s="64">
        <v>121510</v>
      </c>
      <c r="M496" t="s">
        <v>668</v>
      </c>
    </row>
    <row r="497" spans="12:13" x14ac:dyDescent="0.25">
      <c r="L497" s="64">
        <v>121511</v>
      </c>
      <c r="M497" t="s">
        <v>669</v>
      </c>
    </row>
    <row r="498" spans="12:13" x14ac:dyDescent="0.25">
      <c r="L498" s="64">
        <v>121512</v>
      </c>
      <c r="M498" t="s">
        <v>670</v>
      </c>
    </row>
    <row r="499" spans="12:13" x14ac:dyDescent="0.25">
      <c r="L499" s="64">
        <v>121513</v>
      </c>
      <c r="M499" t="s">
        <v>671</v>
      </c>
    </row>
    <row r="500" spans="12:13" x14ac:dyDescent="0.25">
      <c r="L500" s="64">
        <v>121518</v>
      </c>
      <c r="M500" t="s">
        <v>672</v>
      </c>
    </row>
    <row r="501" spans="12:13" x14ac:dyDescent="0.25">
      <c r="L501" s="64">
        <v>121600</v>
      </c>
      <c r="M501" t="s">
        <v>673</v>
      </c>
    </row>
    <row r="502" spans="12:13" x14ac:dyDescent="0.25">
      <c r="L502" s="64">
        <v>121610</v>
      </c>
      <c r="M502" t="s">
        <v>673</v>
      </c>
    </row>
    <row r="503" spans="12:13" x14ac:dyDescent="0.25">
      <c r="L503" s="64">
        <v>121611</v>
      </c>
      <c r="M503" t="s">
        <v>674</v>
      </c>
    </row>
    <row r="504" spans="12:13" x14ac:dyDescent="0.25">
      <c r="L504" s="64">
        <v>121612</v>
      </c>
      <c r="M504" t="s">
        <v>675</v>
      </c>
    </row>
    <row r="505" spans="12:13" x14ac:dyDescent="0.25">
      <c r="L505" s="64">
        <v>121618</v>
      </c>
      <c r="M505" t="s">
        <v>676</v>
      </c>
    </row>
    <row r="506" spans="12:13" x14ac:dyDescent="0.25">
      <c r="L506" s="64">
        <v>121619</v>
      </c>
      <c r="M506" t="s">
        <v>677</v>
      </c>
    </row>
    <row r="507" spans="12:13" x14ac:dyDescent="0.25">
      <c r="L507" s="64">
        <v>121700</v>
      </c>
      <c r="M507" t="s">
        <v>678</v>
      </c>
    </row>
    <row r="508" spans="12:13" x14ac:dyDescent="0.25">
      <c r="L508" s="64">
        <v>121710</v>
      </c>
      <c r="M508" t="s">
        <v>678</v>
      </c>
    </row>
    <row r="509" spans="12:13" x14ac:dyDescent="0.25">
      <c r="L509" s="64">
        <v>121711</v>
      </c>
      <c r="M509" t="s">
        <v>679</v>
      </c>
    </row>
    <row r="510" spans="12:13" x14ac:dyDescent="0.25">
      <c r="L510" s="64">
        <v>121712</v>
      </c>
      <c r="M510" t="s">
        <v>680</v>
      </c>
    </row>
    <row r="511" spans="12:13" x14ac:dyDescent="0.25">
      <c r="L511" s="64">
        <v>121713</v>
      </c>
      <c r="M511" t="s">
        <v>681</v>
      </c>
    </row>
    <row r="512" spans="12:13" x14ac:dyDescent="0.25">
      <c r="L512" s="64">
        <v>121714</v>
      </c>
      <c r="M512" t="s">
        <v>682</v>
      </c>
    </row>
    <row r="513" spans="12:13" x14ac:dyDescent="0.25">
      <c r="L513" s="64">
        <v>121715</v>
      </c>
      <c r="M513" t="s">
        <v>683</v>
      </c>
    </row>
    <row r="514" spans="12:13" x14ac:dyDescent="0.25">
      <c r="L514" s="64">
        <v>121716</v>
      </c>
      <c r="M514" t="s">
        <v>684</v>
      </c>
    </row>
    <row r="515" spans="12:13" x14ac:dyDescent="0.25">
      <c r="L515" s="64">
        <v>121717</v>
      </c>
      <c r="M515" t="s">
        <v>685</v>
      </c>
    </row>
    <row r="516" spans="12:13" x14ac:dyDescent="0.25">
      <c r="L516" s="64">
        <v>121718</v>
      </c>
      <c r="M516" t="s">
        <v>686</v>
      </c>
    </row>
    <row r="517" spans="12:13" x14ac:dyDescent="0.25">
      <c r="L517" s="64">
        <v>121719</v>
      </c>
      <c r="M517" t="s">
        <v>678</v>
      </c>
    </row>
    <row r="518" spans="12:13" x14ac:dyDescent="0.25">
      <c r="L518" s="64">
        <v>121800</v>
      </c>
      <c r="M518" t="s">
        <v>687</v>
      </c>
    </row>
    <row r="519" spans="12:13" x14ac:dyDescent="0.25">
      <c r="L519" s="64">
        <v>121810</v>
      </c>
      <c r="M519" t="s">
        <v>687</v>
      </c>
    </row>
    <row r="520" spans="12:13" x14ac:dyDescent="0.25">
      <c r="L520" s="64">
        <v>121811</v>
      </c>
      <c r="M520" t="s">
        <v>688</v>
      </c>
    </row>
    <row r="521" spans="12:13" x14ac:dyDescent="0.25">
      <c r="L521" s="64">
        <v>121812</v>
      </c>
      <c r="M521" t="s">
        <v>689</v>
      </c>
    </row>
    <row r="522" spans="12:13" x14ac:dyDescent="0.25">
      <c r="L522" s="64">
        <v>121900</v>
      </c>
      <c r="M522" t="s">
        <v>690</v>
      </c>
    </row>
    <row r="523" spans="12:13" x14ac:dyDescent="0.25">
      <c r="L523" s="64">
        <v>121910</v>
      </c>
      <c r="M523" t="s">
        <v>691</v>
      </c>
    </row>
    <row r="524" spans="12:13" x14ac:dyDescent="0.25">
      <c r="L524" s="64">
        <v>121911</v>
      </c>
      <c r="M524" t="s">
        <v>692</v>
      </c>
    </row>
    <row r="525" spans="12:13" x14ac:dyDescent="0.25">
      <c r="L525" s="64">
        <v>121912</v>
      </c>
      <c r="M525" t="s">
        <v>693</v>
      </c>
    </row>
    <row r="526" spans="12:13" x14ac:dyDescent="0.25">
      <c r="L526" s="64">
        <v>121913</v>
      </c>
      <c r="M526" t="s">
        <v>694</v>
      </c>
    </row>
    <row r="527" spans="12:13" x14ac:dyDescent="0.25">
      <c r="L527" s="64">
        <v>121914</v>
      </c>
      <c r="M527" t="s">
        <v>695</v>
      </c>
    </row>
    <row r="528" spans="12:13" x14ac:dyDescent="0.25">
      <c r="L528" s="64">
        <v>121915</v>
      </c>
      <c r="M528" t="s">
        <v>696</v>
      </c>
    </row>
    <row r="529" spans="12:13" x14ac:dyDescent="0.25">
      <c r="L529" s="64">
        <v>121916</v>
      </c>
      <c r="M529" t="s">
        <v>697</v>
      </c>
    </row>
    <row r="530" spans="12:13" x14ac:dyDescent="0.25">
      <c r="L530" s="64">
        <v>121917</v>
      </c>
      <c r="M530" t="s">
        <v>698</v>
      </c>
    </row>
    <row r="531" spans="12:13" x14ac:dyDescent="0.25">
      <c r="L531" s="64">
        <v>121920</v>
      </c>
      <c r="M531" t="s">
        <v>699</v>
      </c>
    </row>
    <row r="532" spans="12:13" x14ac:dyDescent="0.25">
      <c r="L532" s="64">
        <v>121921</v>
      </c>
      <c r="M532" t="s">
        <v>700</v>
      </c>
    </row>
    <row r="533" spans="12:13" x14ac:dyDescent="0.25">
      <c r="L533" s="64">
        <v>121922</v>
      </c>
      <c r="M533" t="s">
        <v>701</v>
      </c>
    </row>
    <row r="534" spans="12:13" x14ac:dyDescent="0.25">
      <c r="L534" s="64">
        <v>121990</v>
      </c>
      <c r="M534" t="s">
        <v>702</v>
      </c>
    </row>
    <row r="535" spans="12:13" x14ac:dyDescent="0.25">
      <c r="L535" s="64">
        <v>121991</v>
      </c>
      <c r="M535" t="s">
        <v>703</v>
      </c>
    </row>
    <row r="536" spans="12:13" x14ac:dyDescent="0.25">
      <c r="L536" s="64">
        <v>121992</v>
      </c>
      <c r="M536" t="s">
        <v>704</v>
      </c>
    </row>
    <row r="537" spans="12:13" x14ac:dyDescent="0.25">
      <c r="L537" s="64">
        <v>122000</v>
      </c>
      <c r="M537" t="s">
        <v>705</v>
      </c>
    </row>
    <row r="538" spans="12:13" x14ac:dyDescent="0.25">
      <c r="L538" s="64">
        <v>122100</v>
      </c>
      <c r="M538" t="s">
        <v>706</v>
      </c>
    </row>
    <row r="539" spans="12:13" x14ac:dyDescent="0.25">
      <c r="L539" s="64">
        <v>122110</v>
      </c>
      <c r="M539" t="s">
        <v>707</v>
      </c>
    </row>
    <row r="540" spans="12:13" x14ac:dyDescent="0.25">
      <c r="L540" s="64">
        <v>122111</v>
      </c>
      <c r="M540" t="s">
        <v>708</v>
      </c>
    </row>
    <row r="541" spans="12:13" x14ac:dyDescent="0.25">
      <c r="L541" s="64">
        <v>122112</v>
      </c>
      <c r="M541" t="s">
        <v>709</v>
      </c>
    </row>
    <row r="542" spans="12:13" x14ac:dyDescent="0.25">
      <c r="L542" s="64">
        <v>122113</v>
      </c>
      <c r="M542" t="s">
        <v>710</v>
      </c>
    </row>
    <row r="543" spans="12:13" x14ac:dyDescent="0.25">
      <c r="L543" s="64">
        <v>122119</v>
      </c>
      <c r="M543" t="s">
        <v>711</v>
      </c>
    </row>
    <row r="544" spans="12:13" x14ac:dyDescent="0.25">
      <c r="L544" s="64">
        <v>122120</v>
      </c>
      <c r="M544" t="s">
        <v>712</v>
      </c>
    </row>
    <row r="545" spans="12:13" x14ac:dyDescent="0.25">
      <c r="L545" s="64">
        <v>122121</v>
      </c>
      <c r="M545" t="s">
        <v>708</v>
      </c>
    </row>
    <row r="546" spans="12:13" x14ac:dyDescent="0.25">
      <c r="L546" s="64">
        <v>122122</v>
      </c>
      <c r="M546" t="s">
        <v>710</v>
      </c>
    </row>
    <row r="547" spans="12:13" x14ac:dyDescent="0.25">
      <c r="L547" s="64">
        <v>122129</v>
      </c>
      <c r="M547" t="s">
        <v>713</v>
      </c>
    </row>
    <row r="548" spans="12:13" x14ac:dyDescent="0.25">
      <c r="L548" s="64">
        <v>122130</v>
      </c>
      <c r="M548" t="s">
        <v>714</v>
      </c>
    </row>
    <row r="549" spans="12:13" x14ac:dyDescent="0.25">
      <c r="L549" s="64">
        <v>122131</v>
      </c>
      <c r="M549" t="s">
        <v>715</v>
      </c>
    </row>
    <row r="550" spans="12:13" x14ac:dyDescent="0.25">
      <c r="L550" s="64">
        <v>122132</v>
      </c>
      <c r="M550" t="s">
        <v>716</v>
      </c>
    </row>
    <row r="551" spans="12:13" x14ac:dyDescent="0.25">
      <c r="L551" s="64">
        <v>122133</v>
      </c>
      <c r="M551" t="s">
        <v>717</v>
      </c>
    </row>
    <row r="552" spans="12:13" x14ac:dyDescent="0.25">
      <c r="L552" s="64">
        <v>122139</v>
      </c>
      <c r="M552" t="s">
        <v>718</v>
      </c>
    </row>
    <row r="553" spans="12:13" x14ac:dyDescent="0.25">
      <c r="L553" s="64">
        <v>122140</v>
      </c>
      <c r="M553" t="s">
        <v>719</v>
      </c>
    </row>
    <row r="554" spans="12:13" x14ac:dyDescent="0.25">
      <c r="L554" s="64">
        <v>122141</v>
      </c>
      <c r="M554" t="s">
        <v>720</v>
      </c>
    </row>
    <row r="555" spans="12:13" x14ac:dyDescent="0.25">
      <c r="L555" s="64">
        <v>122142</v>
      </c>
      <c r="M555" t="s">
        <v>721</v>
      </c>
    </row>
    <row r="556" spans="12:13" x14ac:dyDescent="0.25">
      <c r="L556" s="64">
        <v>122143</v>
      </c>
      <c r="M556" t="s">
        <v>722</v>
      </c>
    </row>
    <row r="557" spans="12:13" x14ac:dyDescent="0.25">
      <c r="L557" s="64">
        <v>122144</v>
      </c>
      <c r="M557" t="s">
        <v>723</v>
      </c>
    </row>
    <row r="558" spans="12:13" x14ac:dyDescent="0.25">
      <c r="L558" s="64">
        <v>122145</v>
      </c>
      <c r="M558" t="s">
        <v>724</v>
      </c>
    </row>
    <row r="559" spans="12:13" x14ac:dyDescent="0.25">
      <c r="L559" s="64">
        <v>122146</v>
      </c>
      <c r="M559" t="s">
        <v>725</v>
      </c>
    </row>
    <row r="560" spans="12:13" x14ac:dyDescent="0.25">
      <c r="L560" s="64">
        <v>122147</v>
      </c>
      <c r="M560" t="s">
        <v>726</v>
      </c>
    </row>
    <row r="561" spans="12:13" x14ac:dyDescent="0.25">
      <c r="L561" s="64">
        <v>122148</v>
      </c>
      <c r="M561" t="s">
        <v>727</v>
      </c>
    </row>
    <row r="562" spans="12:13" x14ac:dyDescent="0.25">
      <c r="L562" s="64">
        <v>122149</v>
      </c>
      <c r="M562" t="s">
        <v>728</v>
      </c>
    </row>
    <row r="563" spans="12:13" x14ac:dyDescent="0.25">
      <c r="L563" s="64">
        <v>122150</v>
      </c>
      <c r="M563" t="s">
        <v>729</v>
      </c>
    </row>
    <row r="564" spans="12:13" x14ac:dyDescent="0.25">
      <c r="L564" s="64">
        <v>122151</v>
      </c>
      <c r="M564" t="s">
        <v>730</v>
      </c>
    </row>
    <row r="565" spans="12:13" x14ac:dyDescent="0.25">
      <c r="L565" s="64">
        <v>122152</v>
      </c>
      <c r="M565" t="s">
        <v>731</v>
      </c>
    </row>
    <row r="566" spans="12:13" x14ac:dyDescent="0.25">
      <c r="L566" s="64">
        <v>122153</v>
      </c>
      <c r="M566" t="s">
        <v>732</v>
      </c>
    </row>
    <row r="567" spans="12:13" x14ac:dyDescent="0.25">
      <c r="L567" s="64">
        <v>122154</v>
      </c>
      <c r="M567" t="s">
        <v>733</v>
      </c>
    </row>
    <row r="568" spans="12:13" x14ac:dyDescent="0.25">
      <c r="L568" s="64">
        <v>122155</v>
      </c>
      <c r="M568" t="s">
        <v>734</v>
      </c>
    </row>
    <row r="569" spans="12:13" x14ac:dyDescent="0.25">
      <c r="L569" s="64">
        <v>122156</v>
      </c>
      <c r="M569" t="s">
        <v>735</v>
      </c>
    </row>
    <row r="570" spans="12:13" x14ac:dyDescent="0.25">
      <c r="L570" s="64">
        <v>122157</v>
      </c>
      <c r="M570" t="s">
        <v>736</v>
      </c>
    </row>
    <row r="571" spans="12:13" x14ac:dyDescent="0.25">
      <c r="L571" s="64">
        <v>122159</v>
      </c>
      <c r="M571" t="s">
        <v>737</v>
      </c>
    </row>
    <row r="572" spans="12:13" x14ac:dyDescent="0.25">
      <c r="L572" s="64">
        <v>122160</v>
      </c>
      <c r="M572" t="s">
        <v>738</v>
      </c>
    </row>
    <row r="573" spans="12:13" x14ac:dyDescent="0.25">
      <c r="L573" s="64">
        <v>122161</v>
      </c>
      <c r="M573" t="s">
        <v>739</v>
      </c>
    </row>
    <row r="574" spans="12:13" x14ac:dyDescent="0.25">
      <c r="L574" s="64">
        <v>122162</v>
      </c>
      <c r="M574" t="s">
        <v>740</v>
      </c>
    </row>
    <row r="575" spans="12:13" x14ac:dyDescent="0.25">
      <c r="L575" s="64">
        <v>122163</v>
      </c>
      <c r="M575" t="s">
        <v>741</v>
      </c>
    </row>
    <row r="576" spans="12:13" x14ac:dyDescent="0.25">
      <c r="L576" s="64">
        <v>122164</v>
      </c>
      <c r="M576" t="s">
        <v>742</v>
      </c>
    </row>
    <row r="577" spans="12:13" x14ac:dyDescent="0.25">
      <c r="L577" s="64">
        <v>122165</v>
      </c>
      <c r="M577" t="s">
        <v>743</v>
      </c>
    </row>
    <row r="578" spans="12:13" x14ac:dyDescent="0.25">
      <c r="L578" s="64">
        <v>122169</v>
      </c>
      <c r="M578" t="s">
        <v>744</v>
      </c>
    </row>
    <row r="579" spans="12:13" x14ac:dyDescent="0.25">
      <c r="L579" s="64">
        <v>122190</v>
      </c>
      <c r="M579" t="s">
        <v>745</v>
      </c>
    </row>
    <row r="580" spans="12:13" x14ac:dyDescent="0.25">
      <c r="L580" s="64">
        <v>122191</v>
      </c>
      <c r="M580" t="s">
        <v>746</v>
      </c>
    </row>
    <row r="581" spans="12:13" x14ac:dyDescent="0.25">
      <c r="L581" s="64">
        <v>122192</v>
      </c>
      <c r="M581" t="s">
        <v>747</v>
      </c>
    </row>
    <row r="582" spans="12:13" x14ac:dyDescent="0.25">
      <c r="L582" s="64">
        <v>122193</v>
      </c>
      <c r="M582" t="s">
        <v>748</v>
      </c>
    </row>
    <row r="583" spans="12:13" x14ac:dyDescent="0.25">
      <c r="L583" s="64">
        <v>122194</v>
      </c>
      <c r="M583" t="s">
        <v>749</v>
      </c>
    </row>
    <row r="584" spans="12:13" x14ac:dyDescent="0.25">
      <c r="L584" s="64">
        <v>122195</v>
      </c>
      <c r="M584" t="s">
        <v>750</v>
      </c>
    </row>
    <row r="585" spans="12:13" x14ac:dyDescent="0.25">
      <c r="L585" s="64">
        <v>122196</v>
      </c>
      <c r="M585" t="s">
        <v>751</v>
      </c>
    </row>
    <row r="586" spans="12:13" x14ac:dyDescent="0.25">
      <c r="L586" s="64">
        <v>122197</v>
      </c>
      <c r="M586" t="s">
        <v>736</v>
      </c>
    </row>
    <row r="587" spans="12:13" x14ac:dyDescent="0.25">
      <c r="L587" s="64">
        <v>122198</v>
      </c>
      <c r="M587" t="s">
        <v>752</v>
      </c>
    </row>
    <row r="588" spans="12:13" x14ac:dyDescent="0.25">
      <c r="L588" s="64">
        <v>122199</v>
      </c>
      <c r="M588" t="s">
        <v>753</v>
      </c>
    </row>
    <row r="589" spans="12:13" x14ac:dyDescent="0.25">
      <c r="L589" s="64">
        <v>123000</v>
      </c>
      <c r="M589" t="s">
        <v>754</v>
      </c>
    </row>
    <row r="590" spans="12:13" x14ac:dyDescent="0.25">
      <c r="L590" s="64">
        <v>123100</v>
      </c>
      <c r="M590" t="s">
        <v>755</v>
      </c>
    </row>
    <row r="591" spans="12:13" x14ac:dyDescent="0.25">
      <c r="L591" s="64">
        <v>123110</v>
      </c>
      <c r="M591" t="s">
        <v>756</v>
      </c>
    </row>
    <row r="592" spans="12:13" x14ac:dyDescent="0.25">
      <c r="L592" s="64">
        <v>123111</v>
      </c>
      <c r="M592" t="s">
        <v>757</v>
      </c>
    </row>
    <row r="593" spans="12:13" x14ac:dyDescent="0.25">
      <c r="L593" s="64">
        <v>123112</v>
      </c>
      <c r="M593" t="s">
        <v>758</v>
      </c>
    </row>
    <row r="594" spans="12:13" x14ac:dyDescent="0.25">
      <c r="L594" s="64">
        <v>123113</v>
      </c>
      <c r="M594" t="s">
        <v>759</v>
      </c>
    </row>
    <row r="595" spans="12:13" x14ac:dyDescent="0.25">
      <c r="L595" s="64">
        <v>123119</v>
      </c>
      <c r="M595" t="s">
        <v>760</v>
      </c>
    </row>
    <row r="596" spans="12:13" x14ac:dyDescent="0.25">
      <c r="L596" s="64">
        <v>123120</v>
      </c>
      <c r="M596" t="s">
        <v>761</v>
      </c>
    </row>
    <row r="597" spans="12:13" x14ac:dyDescent="0.25">
      <c r="L597" s="64">
        <v>123121</v>
      </c>
      <c r="M597" t="s">
        <v>762</v>
      </c>
    </row>
    <row r="598" spans="12:13" x14ac:dyDescent="0.25">
      <c r="L598" s="64">
        <v>123122</v>
      </c>
      <c r="M598" t="s">
        <v>763</v>
      </c>
    </row>
    <row r="599" spans="12:13" x14ac:dyDescent="0.25">
      <c r="L599" s="64">
        <v>123129</v>
      </c>
      <c r="M599" t="s">
        <v>764</v>
      </c>
    </row>
    <row r="600" spans="12:13" x14ac:dyDescent="0.25">
      <c r="L600" s="64">
        <v>123130</v>
      </c>
      <c r="M600" t="s">
        <v>736</v>
      </c>
    </row>
    <row r="601" spans="12:13" x14ac:dyDescent="0.25">
      <c r="L601" s="64">
        <v>123131</v>
      </c>
      <c r="M601" t="s">
        <v>736</v>
      </c>
    </row>
    <row r="602" spans="12:13" x14ac:dyDescent="0.25">
      <c r="L602" s="64">
        <v>123190</v>
      </c>
      <c r="M602" t="s">
        <v>765</v>
      </c>
    </row>
    <row r="603" spans="12:13" x14ac:dyDescent="0.25">
      <c r="L603" s="64">
        <v>123191</v>
      </c>
      <c r="M603" t="s">
        <v>765</v>
      </c>
    </row>
    <row r="604" spans="12:13" x14ac:dyDescent="0.25">
      <c r="L604" s="64">
        <v>123200</v>
      </c>
      <c r="M604" t="s">
        <v>766</v>
      </c>
    </row>
    <row r="605" spans="12:13" x14ac:dyDescent="0.25">
      <c r="L605" s="64">
        <v>123210</v>
      </c>
      <c r="M605" t="s">
        <v>767</v>
      </c>
    </row>
    <row r="606" spans="12:13" x14ac:dyDescent="0.25">
      <c r="L606" s="64">
        <v>123211</v>
      </c>
      <c r="M606" t="s">
        <v>767</v>
      </c>
    </row>
    <row r="607" spans="12:13" x14ac:dyDescent="0.25">
      <c r="L607" s="64">
        <v>123220</v>
      </c>
      <c r="M607" t="s">
        <v>768</v>
      </c>
    </row>
    <row r="608" spans="12:13" x14ac:dyDescent="0.25">
      <c r="L608" s="64">
        <v>123221</v>
      </c>
      <c r="M608" t="s">
        <v>768</v>
      </c>
    </row>
    <row r="609" spans="12:13" x14ac:dyDescent="0.25">
      <c r="L609" s="64">
        <v>123230</v>
      </c>
      <c r="M609" t="s">
        <v>769</v>
      </c>
    </row>
    <row r="610" spans="12:13" x14ac:dyDescent="0.25">
      <c r="L610" s="64">
        <v>123231</v>
      </c>
      <c r="M610" t="s">
        <v>769</v>
      </c>
    </row>
    <row r="611" spans="12:13" x14ac:dyDescent="0.25">
      <c r="L611" s="64">
        <v>123240</v>
      </c>
      <c r="M611" t="s">
        <v>770</v>
      </c>
    </row>
    <row r="612" spans="12:13" x14ac:dyDescent="0.25">
      <c r="L612" s="64">
        <v>123241</v>
      </c>
      <c r="M612" t="s">
        <v>770</v>
      </c>
    </row>
    <row r="613" spans="12:13" x14ac:dyDescent="0.25">
      <c r="L613" s="64">
        <v>123250</v>
      </c>
      <c r="M613" t="s">
        <v>771</v>
      </c>
    </row>
    <row r="614" spans="12:13" x14ac:dyDescent="0.25">
      <c r="L614" s="64">
        <v>123251</v>
      </c>
      <c r="M614" t="s">
        <v>771</v>
      </c>
    </row>
    <row r="615" spans="12:13" x14ac:dyDescent="0.25">
      <c r="L615" s="64">
        <v>123260</v>
      </c>
      <c r="M615" t="s">
        <v>772</v>
      </c>
    </row>
    <row r="616" spans="12:13" x14ac:dyDescent="0.25">
      <c r="L616" s="64">
        <v>123261</v>
      </c>
      <c r="M616" t="s">
        <v>772</v>
      </c>
    </row>
    <row r="617" spans="12:13" x14ac:dyDescent="0.25">
      <c r="L617" s="64">
        <v>123290</v>
      </c>
      <c r="M617" t="s">
        <v>773</v>
      </c>
    </row>
    <row r="618" spans="12:13" x14ac:dyDescent="0.25">
      <c r="L618" s="64">
        <v>123291</v>
      </c>
      <c r="M618" t="s">
        <v>773</v>
      </c>
    </row>
    <row r="619" spans="12:13" x14ac:dyDescent="0.25">
      <c r="L619" s="64">
        <v>123300</v>
      </c>
      <c r="M619" t="s">
        <v>774</v>
      </c>
    </row>
    <row r="620" spans="12:13" x14ac:dyDescent="0.25">
      <c r="L620" s="64">
        <v>123310</v>
      </c>
      <c r="M620" t="s">
        <v>775</v>
      </c>
    </row>
    <row r="621" spans="12:13" x14ac:dyDescent="0.25">
      <c r="L621" s="64">
        <v>123311</v>
      </c>
      <c r="M621" t="s">
        <v>775</v>
      </c>
    </row>
    <row r="622" spans="12:13" x14ac:dyDescent="0.25">
      <c r="L622" s="64">
        <v>123320</v>
      </c>
      <c r="M622" t="s">
        <v>700</v>
      </c>
    </row>
    <row r="623" spans="12:13" x14ac:dyDescent="0.25">
      <c r="L623" s="64">
        <v>123321</v>
      </c>
      <c r="M623" t="s">
        <v>700</v>
      </c>
    </row>
    <row r="624" spans="12:13" x14ac:dyDescent="0.25">
      <c r="L624" s="64">
        <v>123330</v>
      </c>
      <c r="M624" t="s">
        <v>776</v>
      </c>
    </row>
    <row r="625" spans="12:13" x14ac:dyDescent="0.25">
      <c r="L625" s="64">
        <v>123331</v>
      </c>
      <c r="M625" t="s">
        <v>776</v>
      </c>
    </row>
    <row r="626" spans="12:13" x14ac:dyDescent="0.25">
      <c r="L626" s="64">
        <v>123340</v>
      </c>
      <c r="M626" t="s">
        <v>777</v>
      </c>
    </row>
    <row r="627" spans="12:13" x14ac:dyDescent="0.25">
      <c r="L627" s="64">
        <v>123341</v>
      </c>
      <c r="M627" t="s">
        <v>777</v>
      </c>
    </row>
    <row r="628" spans="12:13" x14ac:dyDescent="0.25">
      <c r="L628" s="64">
        <v>123350</v>
      </c>
      <c r="M628" t="s">
        <v>778</v>
      </c>
    </row>
    <row r="629" spans="12:13" x14ac:dyDescent="0.25">
      <c r="L629" s="64">
        <v>123351</v>
      </c>
      <c r="M629" t="s">
        <v>778</v>
      </c>
    </row>
    <row r="630" spans="12:13" x14ac:dyDescent="0.25">
      <c r="L630" s="64">
        <v>123360</v>
      </c>
      <c r="M630" t="s">
        <v>779</v>
      </c>
    </row>
    <row r="631" spans="12:13" x14ac:dyDescent="0.25">
      <c r="L631" s="64">
        <v>123361</v>
      </c>
      <c r="M631" t="s">
        <v>779</v>
      </c>
    </row>
    <row r="632" spans="12:13" x14ac:dyDescent="0.25">
      <c r="L632" s="64">
        <v>123370</v>
      </c>
      <c r="M632" t="s">
        <v>780</v>
      </c>
    </row>
    <row r="633" spans="12:13" x14ac:dyDescent="0.25">
      <c r="L633" s="64">
        <v>123371</v>
      </c>
      <c r="M633" t="s">
        <v>780</v>
      </c>
    </row>
    <row r="634" spans="12:13" x14ac:dyDescent="0.25">
      <c r="L634" s="64">
        <v>123380</v>
      </c>
      <c r="M634" t="s">
        <v>781</v>
      </c>
    </row>
    <row r="635" spans="12:13" x14ac:dyDescent="0.25">
      <c r="L635" s="64">
        <v>123381</v>
      </c>
      <c r="M635" t="s">
        <v>781</v>
      </c>
    </row>
    <row r="636" spans="12:13" x14ac:dyDescent="0.25">
      <c r="L636" s="64">
        <v>123390</v>
      </c>
      <c r="M636" t="s">
        <v>782</v>
      </c>
    </row>
    <row r="637" spans="12:13" x14ac:dyDescent="0.25">
      <c r="L637" s="64">
        <v>123391</v>
      </c>
      <c r="M637" t="s">
        <v>782</v>
      </c>
    </row>
    <row r="638" spans="12:13" x14ac:dyDescent="0.25">
      <c r="L638" s="64">
        <v>123900</v>
      </c>
      <c r="M638" t="s">
        <v>783</v>
      </c>
    </row>
    <row r="639" spans="12:13" x14ac:dyDescent="0.25">
      <c r="L639" s="64">
        <v>123910</v>
      </c>
      <c r="M639" t="s">
        <v>784</v>
      </c>
    </row>
    <row r="640" spans="12:13" x14ac:dyDescent="0.25">
      <c r="L640" s="64">
        <v>123911</v>
      </c>
      <c r="M640" t="s">
        <v>784</v>
      </c>
    </row>
    <row r="641" spans="12:13" x14ac:dyDescent="0.25">
      <c r="L641" s="64">
        <v>123920</v>
      </c>
      <c r="M641" t="s">
        <v>785</v>
      </c>
    </row>
    <row r="642" spans="12:13" x14ac:dyDescent="0.25">
      <c r="L642" s="64">
        <v>123921</v>
      </c>
      <c r="M642" t="s">
        <v>785</v>
      </c>
    </row>
    <row r="643" spans="12:13" x14ac:dyDescent="0.25">
      <c r="L643" s="64">
        <v>123930</v>
      </c>
      <c r="M643" t="s">
        <v>786</v>
      </c>
    </row>
    <row r="644" spans="12:13" x14ac:dyDescent="0.25">
      <c r="L644" s="64">
        <v>123931</v>
      </c>
      <c r="M644" t="s">
        <v>786</v>
      </c>
    </row>
    <row r="645" spans="12:13" x14ac:dyDescent="0.25">
      <c r="L645" s="64">
        <v>123940</v>
      </c>
      <c r="M645" t="s">
        <v>787</v>
      </c>
    </row>
    <row r="646" spans="12:13" x14ac:dyDescent="0.25">
      <c r="L646" s="64">
        <v>123941</v>
      </c>
      <c r="M646" t="s">
        <v>787</v>
      </c>
    </row>
    <row r="647" spans="12:13" x14ac:dyDescent="0.25">
      <c r="L647" s="64">
        <v>123950</v>
      </c>
      <c r="M647" t="s">
        <v>788</v>
      </c>
    </row>
    <row r="648" spans="12:13" x14ac:dyDescent="0.25">
      <c r="L648" s="64">
        <v>123951</v>
      </c>
      <c r="M648" t="s">
        <v>788</v>
      </c>
    </row>
    <row r="649" spans="12:13" x14ac:dyDescent="0.25">
      <c r="L649" s="64">
        <v>123960</v>
      </c>
      <c r="M649" t="s">
        <v>789</v>
      </c>
    </row>
    <row r="650" spans="12:13" x14ac:dyDescent="0.25">
      <c r="L650" s="64">
        <v>123961</v>
      </c>
      <c r="M650" t="s">
        <v>790</v>
      </c>
    </row>
    <row r="651" spans="12:13" x14ac:dyDescent="0.25">
      <c r="L651" s="64">
        <v>123962</v>
      </c>
      <c r="M651" t="s">
        <v>791</v>
      </c>
    </row>
    <row r="652" spans="12:13" x14ac:dyDescent="0.25">
      <c r="L652" s="64">
        <v>123963</v>
      </c>
      <c r="M652" t="s">
        <v>792</v>
      </c>
    </row>
    <row r="653" spans="12:13" x14ac:dyDescent="0.25">
      <c r="L653" s="64">
        <v>123964</v>
      </c>
      <c r="M653" t="s">
        <v>793</v>
      </c>
    </row>
    <row r="654" spans="12:13" x14ac:dyDescent="0.25">
      <c r="L654" s="64">
        <v>123965</v>
      </c>
      <c r="M654" t="s">
        <v>794</v>
      </c>
    </row>
    <row r="655" spans="12:13" x14ac:dyDescent="0.25">
      <c r="L655" s="64">
        <v>123966</v>
      </c>
      <c r="M655" t="s">
        <v>795</v>
      </c>
    </row>
    <row r="656" spans="12:13" x14ac:dyDescent="0.25">
      <c r="L656" s="64">
        <v>123967</v>
      </c>
      <c r="M656" t="s">
        <v>796</v>
      </c>
    </row>
    <row r="657" spans="12:13" x14ac:dyDescent="0.25">
      <c r="L657" s="64">
        <v>123968</v>
      </c>
      <c r="M657" t="s">
        <v>797</v>
      </c>
    </row>
    <row r="658" spans="12:13" x14ac:dyDescent="0.25">
      <c r="L658" s="64">
        <v>123969</v>
      </c>
      <c r="M658" t="s">
        <v>798</v>
      </c>
    </row>
    <row r="659" spans="12:13" x14ac:dyDescent="0.25">
      <c r="L659" s="64">
        <v>123990</v>
      </c>
      <c r="M659" t="s">
        <v>799</v>
      </c>
    </row>
    <row r="660" spans="12:13" x14ac:dyDescent="0.25">
      <c r="L660" s="64">
        <v>123991</v>
      </c>
      <c r="M660" t="s">
        <v>799</v>
      </c>
    </row>
    <row r="661" spans="12:13" x14ac:dyDescent="0.25">
      <c r="L661" s="64">
        <v>130000</v>
      </c>
      <c r="M661" t="s">
        <v>800</v>
      </c>
    </row>
    <row r="662" spans="12:13" x14ac:dyDescent="0.25">
      <c r="L662" s="64">
        <v>131000</v>
      </c>
      <c r="M662" t="s">
        <v>800</v>
      </c>
    </row>
    <row r="663" spans="12:13" x14ac:dyDescent="0.25">
      <c r="L663" s="64">
        <v>131100</v>
      </c>
      <c r="M663" t="s">
        <v>801</v>
      </c>
    </row>
    <row r="664" spans="12:13" x14ac:dyDescent="0.25">
      <c r="L664" s="64">
        <v>131110</v>
      </c>
      <c r="M664" t="s">
        <v>801</v>
      </c>
    </row>
    <row r="665" spans="12:13" x14ac:dyDescent="0.25">
      <c r="L665" s="64">
        <v>131111</v>
      </c>
      <c r="M665" t="s">
        <v>802</v>
      </c>
    </row>
    <row r="666" spans="12:13" x14ac:dyDescent="0.25">
      <c r="L666" s="64">
        <v>131112</v>
      </c>
      <c r="M666" t="s">
        <v>803</v>
      </c>
    </row>
    <row r="667" spans="12:13" x14ac:dyDescent="0.25">
      <c r="L667" s="64">
        <v>131113</v>
      </c>
      <c r="M667" t="s">
        <v>804</v>
      </c>
    </row>
    <row r="668" spans="12:13" x14ac:dyDescent="0.25">
      <c r="L668" s="64">
        <v>131114</v>
      </c>
      <c r="M668" t="s">
        <v>805</v>
      </c>
    </row>
    <row r="669" spans="12:13" x14ac:dyDescent="0.25">
      <c r="L669" s="64">
        <v>131119</v>
      </c>
      <c r="M669" t="s">
        <v>806</v>
      </c>
    </row>
    <row r="670" spans="12:13" x14ac:dyDescent="0.25">
      <c r="L670" s="64">
        <v>131200</v>
      </c>
      <c r="M670" t="s">
        <v>807</v>
      </c>
    </row>
    <row r="671" spans="12:13" x14ac:dyDescent="0.25">
      <c r="L671" s="64">
        <v>131210</v>
      </c>
      <c r="M671" t="s">
        <v>807</v>
      </c>
    </row>
    <row r="672" spans="12:13" x14ac:dyDescent="0.25">
      <c r="L672" s="64">
        <v>131211</v>
      </c>
      <c r="M672" t="s">
        <v>808</v>
      </c>
    </row>
    <row r="673" spans="12:13" x14ac:dyDescent="0.25">
      <c r="L673" s="64">
        <v>131212</v>
      </c>
      <c r="M673" t="s">
        <v>809</v>
      </c>
    </row>
    <row r="674" spans="12:13" x14ac:dyDescent="0.25">
      <c r="L674" s="64">
        <v>131300</v>
      </c>
      <c r="M674" t="s">
        <v>810</v>
      </c>
    </row>
    <row r="675" spans="12:13" x14ac:dyDescent="0.25">
      <c r="L675" s="64">
        <v>131310</v>
      </c>
      <c r="M675" t="s">
        <v>810</v>
      </c>
    </row>
    <row r="676" spans="12:13" x14ac:dyDescent="0.25">
      <c r="L676" s="64">
        <v>131311</v>
      </c>
      <c r="M676" t="s">
        <v>811</v>
      </c>
    </row>
    <row r="677" spans="12:13" x14ac:dyDescent="0.25">
      <c r="L677" s="64">
        <v>131312</v>
      </c>
      <c r="M677" t="s">
        <v>810</v>
      </c>
    </row>
    <row r="678" spans="12:13" x14ac:dyDescent="0.25">
      <c r="L678" s="64">
        <v>200000</v>
      </c>
      <c r="M678" t="s">
        <v>812</v>
      </c>
    </row>
    <row r="679" spans="12:13" x14ac:dyDescent="0.25">
      <c r="L679" s="65">
        <v>210000</v>
      </c>
      <c r="M679" s="61" t="s">
        <v>813</v>
      </c>
    </row>
    <row r="680" spans="12:13" x14ac:dyDescent="0.25">
      <c r="L680" s="64">
        <v>211000</v>
      </c>
      <c r="M680" t="s">
        <v>814</v>
      </c>
    </row>
    <row r="681" spans="12:13" x14ac:dyDescent="0.25">
      <c r="L681" s="64">
        <v>211100</v>
      </c>
      <c r="M681" t="s">
        <v>815</v>
      </c>
    </row>
    <row r="682" spans="12:13" x14ac:dyDescent="0.25">
      <c r="L682" s="64">
        <v>211110</v>
      </c>
      <c r="M682" t="s">
        <v>815</v>
      </c>
    </row>
    <row r="683" spans="12:13" x14ac:dyDescent="0.25">
      <c r="L683" s="64">
        <v>211111</v>
      </c>
      <c r="M683" t="s">
        <v>815</v>
      </c>
    </row>
    <row r="684" spans="12:13" x14ac:dyDescent="0.25">
      <c r="L684" s="64">
        <v>211200</v>
      </c>
      <c r="M684" t="s">
        <v>816</v>
      </c>
    </row>
    <row r="685" spans="12:13" x14ac:dyDescent="0.25">
      <c r="L685" s="64">
        <v>211210</v>
      </c>
      <c r="M685" t="s">
        <v>817</v>
      </c>
    </row>
    <row r="686" spans="12:13" x14ac:dyDescent="0.25">
      <c r="L686" s="64">
        <v>211211</v>
      </c>
      <c r="M686" t="s">
        <v>817</v>
      </c>
    </row>
    <row r="687" spans="12:13" x14ac:dyDescent="0.25">
      <c r="L687" s="64">
        <v>211220</v>
      </c>
      <c r="M687" t="s">
        <v>818</v>
      </c>
    </row>
    <row r="688" spans="12:13" x14ac:dyDescent="0.25">
      <c r="L688" s="64">
        <v>211221</v>
      </c>
      <c r="M688" t="s">
        <v>818</v>
      </c>
    </row>
    <row r="689" spans="12:13" x14ac:dyDescent="0.25">
      <c r="L689" s="64">
        <v>211230</v>
      </c>
      <c r="M689" t="s">
        <v>819</v>
      </c>
    </row>
    <row r="690" spans="12:13" x14ac:dyDescent="0.25">
      <c r="L690" s="64">
        <v>211231</v>
      </c>
      <c r="M690" t="s">
        <v>819</v>
      </c>
    </row>
    <row r="691" spans="12:13" x14ac:dyDescent="0.25">
      <c r="L691" s="64">
        <v>211240</v>
      </c>
      <c r="M691" t="s">
        <v>820</v>
      </c>
    </row>
    <row r="692" spans="12:13" x14ac:dyDescent="0.25">
      <c r="L692" s="64">
        <v>211241</v>
      </c>
      <c r="M692" t="s">
        <v>820</v>
      </c>
    </row>
    <row r="693" spans="12:13" x14ac:dyDescent="0.25">
      <c r="L693" s="64">
        <v>211250</v>
      </c>
      <c r="M693" t="s">
        <v>821</v>
      </c>
    </row>
    <row r="694" spans="12:13" x14ac:dyDescent="0.25">
      <c r="L694" s="64">
        <v>211251</v>
      </c>
      <c r="M694" t="s">
        <v>822</v>
      </c>
    </row>
    <row r="695" spans="12:13" x14ac:dyDescent="0.25">
      <c r="L695" s="64">
        <v>211252</v>
      </c>
      <c r="M695" t="s">
        <v>823</v>
      </c>
    </row>
    <row r="696" spans="12:13" x14ac:dyDescent="0.25">
      <c r="L696" s="64">
        <v>211255</v>
      </c>
      <c r="M696" t="s">
        <v>824</v>
      </c>
    </row>
    <row r="697" spans="12:13" x14ac:dyDescent="0.25">
      <c r="L697" s="64">
        <v>211300</v>
      </c>
      <c r="M697" t="s">
        <v>825</v>
      </c>
    </row>
    <row r="698" spans="12:13" x14ac:dyDescent="0.25">
      <c r="L698" s="64">
        <v>211310</v>
      </c>
      <c r="M698" t="s">
        <v>825</v>
      </c>
    </row>
    <row r="699" spans="12:13" x14ac:dyDescent="0.25">
      <c r="L699" s="64">
        <v>211311</v>
      </c>
      <c r="M699" t="s">
        <v>826</v>
      </c>
    </row>
    <row r="700" spans="12:13" x14ac:dyDescent="0.25">
      <c r="L700" s="64">
        <v>211390</v>
      </c>
      <c r="M700" t="s">
        <v>827</v>
      </c>
    </row>
    <row r="701" spans="12:13" x14ac:dyDescent="0.25">
      <c r="L701" s="64">
        <v>211391</v>
      </c>
      <c r="M701" t="s">
        <v>827</v>
      </c>
    </row>
    <row r="702" spans="12:13" x14ac:dyDescent="0.25">
      <c r="L702" s="64">
        <v>211400</v>
      </c>
      <c r="M702" t="s">
        <v>828</v>
      </c>
    </row>
    <row r="703" spans="12:13" x14ac:dyDescent="0.25">
      <c r="L703" s="64">
        <v>211410</v>
      </c>
      <c r="M703" t="s">
        <v>828</v>
      </c>
    </row>
    <row r="704" spans="12:13" x14ac:dyDescent="0.25">
      <c r="L704" s="64">
        <v>211411</v>
      </c>
      <c r="M704" t="s">
        <v>828</v>
      </c>
    </row>
    <row r="705" spans="12:13" x14ac:dyDescent="0.25">
      <c r="L705" s="64">
        <v>211500</v>
      </c>
      <c r="M705" t="s">
        <v>829</v>
      </c>
    </row>
    <row r="706" spans="12:13" x14ac:dyDescent="0.25">
      <c r="L706" s="64">
        <v>211510</v>
      </c>
      <c r="M706" t="s">
        <v>829</v>
      </c>
    </row>
    <row r="707" spans="12:13" x14ac:dyDescent="0.25">
      <c r="L707" s="64">
        <v>211511</v>
      </c>
      <c r="M707" t="s">
        <v>829</v>
      </c>
    </row>
    <row r="708" spans="12:13" x14ac:dyDescent="0.25">
      <c r="L708" s="64">
        <v>211600</v>
      </c>
      <c r="M708" t="s">
        <v>830</v>
      </c>
    </row>
    <row r="709" spans="12:13" x14ac:dyDescent="0.25">
      <c r="L709" s="64">
        <v>211610</v>
      </c>
      <c r="M709" t="s">
        <v>830</v>
      </c>
    </row>
    <row r="710" spans="12:13" x14ac:dyDescent="0.25">
      <c r="L710" s="64">
        <v>211611</v>
      </c>
      <c r="M710" t="s">
        <v>830</v>
      </c>
    </row>
    <row r="711" spans="12:13" x14ac:dyDescent="0.25">
      <c r="L711" s="64">
        <v>211700</v>
      </c>
      <c r="M711" t="s">
        <v>831</v>
      </c>
    </row>
    <row r="712" spans="12:13" x14ac:dyDescent="0.25">
      <c r="L712" s="64">
        <v>211710</v>
      </c>
      <c r="M712" t="s">
        <v>831</v>
      </c>
    </row>
    <row r="713" spans="12:13" x14ac:dyDescent="0.25">
      <c r="L713" s="64">
        <v>211711</v>
      </c>
      <c r="M713" t="s">
        <v>831</v>
      </c>
    </row>
    <row r="714" spans="12:13" x14ac:dyDescent="0.25">
      <c r="L714" s="64">
        <v>211800</v>
      </c>
      <c r="M714" t="s">
        <v>832</v>
      </c>
    </row>
    <row r="715" spans="12:13" x14ac:dyDescent="0.25">
      <c r="L715" s="64">
        <v>211810</v>
      </c>
      <c r="M715" t="s">
        <v>832</v>
      </c>
    </row>
    <row r="716" spans="12:13" x14ac:dyDescent="0.25">
      <c r="L716" s="64">
        <v>211811</v>
      </c>
      <c r="M716" t="s">
        <v>832</v>
      </c>
    </row>
    <row r="717" spans="12:13" x14ac:dyDescent="0.25">
      <c r="L717" s="64">
        <v>211900</v>
      </c>
      <c r="M717" t="s">
        <v>833</v>
      </c>
    </row>
    <row r="718" spans="12:13" x14ac:dyDescent="0.25">
      <c r="L718" s="64">
        <v>211910</v>
      </c>
      <c r="M718" t="s">
        <v>833</v>
      </c>
    </row>
    <row r="719" spans="12:13" x14ac:dyDescent="0.25">
      <c r="L719" s="64">
        <v>211911</v>
      </c>
      <c r="M719" t="s">
        <v>834</v>
      </c>
    </row>
    <row r="720" spans="12:13" x14ac:dyDescent="0.25">
      <c r="L720" s="64">
        <v>211912</v>
      </c>
      <c r="M720" t="s">
        <v>835</v>
      </c>
    </row>
    <row r="721" spans="12:13" x14ac:dyDescent="0.25">
      <c r="L721" s="64">
        <v>211913</v>
      </c>
      <c r="M721" t="s">
        <v>836</v>
      </c>
    </row>
    <row r="722" spans="12:13" x14ac:dyDescent="0.25">
      <c r="L722" s="64">
        <v>212000</v>
      </c>
      <c r="M722" t="s">
        <v>837</v>
      </c>
    </row>
    <row r="723" spans="12:13" x14ac:dyDescent="0.25">
      <c r="L723" s="64">
        <v>212100</v>
      </c>
      <c r="M723" t="s">
        <v>838</v>
      </c>
    </row>
    <row r="724" spans="12:13" x14ac:dyDescent="0.25">
      <c r="L724" s="64">
        <v>212110</v>
      </c>
      <c r="M724" t="s">
        <v>838</v>
      </c>
    </row>
    <row r="725" spans="12:13" x14ac:dyDescent="0.25">
      <c r="L725" s="64">
        <v>212111</v>
      </c>
      <c r="M725" t="s">
        <v>838</v>
      </c>
    </row>
    <row r="726" spans="12:13" x14ac:dyDescent="0.25">
      <c r="L726" s="64">
        <v>212200</v>
      </c>
      <c r="M726" t="s">
        <v>839</v>
      </c>
    </row>
    <row r="727" spans="12:13" x14ac:dyDescent="0.25">
      <c r="L727" s="64">
        <v>212210</v>
      </c>
      <c r="M727" t="s">
        <v>840</v>
      </c>
    </row>
    <row r="728" spans="12:13" x14ac:dyDescent="0.25">
      <c r="L728" s="64">
        <v>212211</v>
      </c>
      <c r="M728" t="s">
        <v>840</v>
      </c>
    </row>
    <row r="729" spans="12:13" x14ac:dyDescent="0.25">
      <c r="L729" s="64">
        <v>212220</v>
      </c>
      <c r="M729" t="s">
        <v>841</v>
      </c>
    </row>
    <row r="730" spans="12:13" x14ac:dyDescent="0.25">
      <c r="L730" s="64">
        <v>212221</v>
      </c>
      <c r="M730" t="s">
        <v>841</v>
      </c>
    </row>
    <row r="731" spans="12:13" x14ac:dyDescent="0.25">
      <c r="L731" s="64">
        <v>212290</v>
      </c>
      <c r="M731" t="s">
        <v>842</v>
      </c>
    </row>
    <row r="732" spans="12:13" x14ac:dyDescent="0.25">
      <c r="L732" s="64">
        <v>212291</v>
      </c>
      <c r="M732" t="s">
        <v>842</v>
      </c>
    </row>
    <row r="733" spans="12:13" x14ac:dyDescent="0.25">
      <c r="L733" s="64">
        <v>212300</v>
      </c>
      <c r="M733" t="s">
        <v>843</v>
      </c>
    </row>
    <row r="734" spans="12:13" x14ac:dyDescent="0.25">
      <c r="L734" s="64">
        <v>212310</v>
      </c>
      <c r="M734" t="s">
        <v>844</v>
      </c>
    </row>
    <row r="735" spans="12:13" x14ac:dyDescent="0.25">
      <c r="L735" s="64">
        <v>212311</v>
      </c>
      <c r="M735" t="s">
        <v>844</v>
      </c>
    </row>
    <row r="736" spans="12:13" x14ac:dyDescent="0.25">
      <c r="L736" s="64">
        <v>212320</v>
      </c>
      <c r="M736" t="s">
        <v>845</v>
      </c>
    </row>
    <row r="737" spans="12:13" x14ac:dyDescent="0.25">
      <c r="L737" s="64">
        <v>212321</v>
      </c>
      <c r="M737" t="s">
        <v>845</v>
      </c>
    </row>
    <row r="738" spans="12:13" x14ac:dyDescent="0.25">
      <c r="L738" s="64">
        <v>212330</v>
      </c>
      <c r="M738" t="s">
        <v>846</v>
      </c>
    </row>
    <row r="739" spans="12:13" x14ac:dyDescent="0.25">
      <c r="L739" s="64">
        <v>212331</v>
      </c>
      <c r="M739" t="s">
        <v>846</v>
      </c>
    </row>
    <row r="740" spans="12:13" x14ac:dyDescent="0.25">
      <c r="L740" s="64">
        <v>212340</v>
      </c>
      <c r="M740" t="s">
        <v>847</v>
      </c>
    </row>
    <row r="741" spans="12:13" x14ac:dyDescent="0.25">
      <c r="L741" s="64">
        <v>212341</v>
      </c>
      <c r="M741" t="s">
        <v>847</v>
      </c>
    </row>
    <row r="742" spans="12:13" x14ac:dyDescent="0.25">
      <c r="L742" s="64">
        <v>212350</v>
      </c>
      <c r="M742" t="s">
        <v>848</v>
      </c>
    </row>
    <row r="743" spans="12:13" x14ac:dyDescent="0.25">
      <c r="L743" s="64">
        <v>212351</v>
      </c>
      <c r="M743" t="s">
        <v>848</v>
      </c>
    </row>
    <row r="744" spans="12:13" x14ac:dyDescent="0.25">
      <c r="L744" s="64">
        <v>212390</v>
      </c>
      <c r="M744" t="s">
        <v>849</v>
      </c>
    </row>
    <row r="745" spans="12:13" x14ac:dyDescent="0.25">
      <c r="L745" s="64">
        <v>212391</v>
      </c>
      <c r="M745" t="s">
        <v>849</v>
      </c>
    </row>
    <row r="746" spans="12:13" x14ac:dyDescent="0.25">
      <c r="L746" s="64">
        <v>212400</v>
      </c>
      <c r="M746" t="s">
        <v>850</v>
      </c>
    </row>
    <row r="747" spans="12:13" x14ac:dyDescent="0.25">
      <c r="L747" s="64">
        <v>212410</v>
      </c>
      <c r="M747" t="s">
        <v>851</v>
      </c>
    </row>
    <row r="748" spans="12:13" x14ac:dyDescent="0.25">
      <c r="L748" s="64">
        <v>212411</v>
      </c>
      <c r="M748" t="s">
        <v>851</v>
      </c>
    </row>
    <row r="749" spans="12:13" x14ac:dyDescent="0.25">
      <c r="L749" s="64">
        <v>212490</v>
      </c>
      <c r="M749" t="s">
        <v>852</v>
      </c>
    </row>
    <row r="750" spans="12:13" x14ac:dyDescent="0.25">
      <c r="L750" s="64">
        <v>212491</v>
      </c>
      <c r="M750" t="s">
        <v>852</v>
      </c>
    </row>
    <row r="751" spans="12:13" x14ac:dyDescent="0.25">
      <c r="L751" s="64">
        <v>212500</v>
      </c>
      <c r="M751" t="s">
        <v>853</v>
      </c>
    </row>
    <row r="752" spans="12:13" x14ac:dyDescent="0.25">
      <c r="L752" s="64">
        <v>212510</v>
      </c>
      <c r="M752" t="s">
        <v>853</v>
      </c>
    </row>
    <row r="753" spans="12:13" x14ac:dyDescent="0.25">
      <c r="L753" s="64">
        <v>212511</v>
      </c>
      <c r="M753" t="s">
        <v>853</v>
      </c>
    </row>
    <row r="754" spans="12:13" x14ac:dyDescent="0.25">
      <c r="L754" s="64">
        <v>212600</v>
      </c>
      <c r="M754" t="s">
        <v>854</v>
      </c>
    </row>
    <row r="755" spans="12:13" x14ac:dyDescent="0.25">
      <c r="L755" s="64">
        <v>212610</v>
      </c>
      <c r="M755" t="s">
        <v>854</v>
      </c>
    </row>
    <row r="756" spans="12:13" x14ac:dyDescent="0.25">
      <c r="L756" s="64">
        <v>212611</v>
      </c>
      <c r="M756" t="s">
        <v>854</v>
      </c>
    </row>
    <row r="757" spans="12:13" x14ac:dyDescent="0.25">
      <c r="L757" s="64">
        <v>213000</v>
      </c>
      <c r="M757" t="s">
        <v>855</v>
      </c>
    </row>
    <row r="758" spans="12:13" x14ac:dyDescent="0.25">
      <c r="L758" s="64">
        <v>213100</v>
      </c>
      <c r="M758" t="s">
        <v>855</v>
      </c>
    </row>
    <row r="759" spans="12:13" x14ac:dyDescent="0.25">
      <c r="L759" s="64">
        <v>213110</v>
      </c>
      <c r="M759" t="s">
        <v>855</v>
      </c>
    </row>
    <row r="760" spans="12:13" x14ac:dyDescent="0.25">
      <c r="L760" s="64">
        <v>213111</v>
      </c>
      <c r="M760" t="s">
        <v>855</v>
      </c>
    </row>
    <row r="761" spans="12:13" x14ac:dyDescent="0.25">
      <c r="L761" s="64">
        <v>220000</v>
      </c>
      <c r="M761" t="s">
        <v>856</v>
      </c>
    </row>
    <row r="762" spans="12:13" x14ac:dyDescent="0.25">
      <c r="L762" s="64">
        <v>221000</v>
      </c>
      <c r="M762" t="s">
        <v>857</v>
      </c>
    </row>
    <row r="763" spans="12:13" x14ac:dyDescent="0.25">
      <c r="L763" s="64">
        <v>221100</v>
      </c>
      <c r="M763" t="s">
        <v>858</v>
      </c>
    </row>
    <row r="764" spans="12:13" x14ac:dyDescent="0.25">
      <c r="L764" s="64">
        <v>221110</v>
      </c>
      <c r="M764" t="s">
        <v>858</v>
      </c>
    </row>
    <row r="765" spans="12:13" x14ac:dyDescent="0.25">
      <c r="L765" s="64">
        <v>221111</v>
      </c>
      <c r="M765" t="s">
        <v>858</v>
      </c>
    </row>
    <row r="766" spans="12:13" x14ac:dyDescent="0.25">
      <c r="L766" s="64">
        <v>221200</v>
      </c>
      <c r="M766" t="s">
        <v>859</v>
      </c>
    </row>
    <row r="767" spans="12:13" x14ac:dyDescent="0.25">
      <c r="L767" s="64">
        <v>221210</v>
      </c>
      <c r="M767" t="s">
        <v>860</v>
      </c>
    </row>
    <row r="768" spans="12:13" x14ac:dyDescent="0.25">
      <c r="L768" s="64">
        <v>221211</v>
      </c>
      <c r="M768" t="s">
        <v>860</v>
      </c>
    </row>
    <row r="769" spans="12:13" x14ac:dyDescent="0.25">
      <c r="L769" s="64">
        <v>221220</v>
      </c>
      <c r="M769" t="s">
        <v>861</v>
      </c>
    </row>
    <row r="770" spans="12:13" x14ac:dyDescent="0.25">
      <c r="L770" s="64">
        <v>221221</v>
      </c>
      <c r="M770" t="s">
        <v>861</v>
      </c>
    </row>
    <row r="771" spans="12:13" x14ac:dyDescent="0.25">
      <c r="L771" s="64">
        <v>221230</v>
      </c>
      <c r="M771" t="s">
        <v>862</v>
      </c>
    </row>
    <row r="772" spans="12:13" x14ac:dyDescent="0.25">
      <c r="L772" s="64">
        <v>221231</v>
      </c>
      <c r="M772" t="s">
        <v>862</v>
      </c>
    </row>
    <row r="773" spans="12:13" x14ac:dyDescent="0.25">
      <c r="L773" s="64">
        <v>221240</v>
      </c>
      <c r="M773" t="s">
        <v>863</v>
      </c>
    </row>
    <row r="774" spans="12:13" x14ac:dyDescent="0.25">
      <c r="L774" s="64">
        <v>221241</v>
      </c>
      <c r="M774" t="s">
        <v>863</v>
      </c>
    </row>
    <row r="775" spans="12:13" x14ac:dyDescent="0.25">
      <c r="L775" s="64">
        <v>221250</v>
      </c>
      <c r="M775" t="s">
        <v>864</v>
      </c>
    </row>
    <row r="776" spans="12:13" x14ac:dyDescent="0.25">
      <c r="L776" s="64">
        <v>221251</v>
      </c>
      <c r="M776" t="s">
        <v>865</v>
      </c>
    </row>
    <row r="777" spans="12:13" x14ac:dyDescent="0.25">
      <c r="L777" s="64">
        <v>221252</v>
      </c>
      <c r="M777" t="s">
        <v>866</v>
      </c>
    </row>
    <row r="778" spans="12:13" x14ac:dyDescent="0.25">
      <c r="L778" s="64">
        <v>221255</v>
      </c>
      <c r="M778" t="s">
        <v>867</v>
      </c>
    </row>
    <row r="779" spans="12:13" x14ac:dyDescent="0.25">
      <c r="L779" s="64">
        <v>221300</v>
      </c>
      <c r="M779" t="s">
        <v>868</v>
      </c>
    </row>
    <row r="780" spans="12:13" x14ac:dyDescent="0.25">
      <c r="L780" s="64">
        <v>221310</v>
      </c>
      <c r="M780" t="s">
        <v>869</v>
      </c>
    </row>
    <row r="781" spans="12:13" x14ac:dyDescent="0.25">
      <c r="L781" s="64">
        <v>221311</v>
      </c>
      <c r="M781" t="s">
        <v>869</v>
      </c>
    </row>
    <row r="782" spans="12:13" x14ac:dyDescent="0.25">
      <c r="L782" s="64">
        <v>221390</v>
      </c>
      <c r="M782" t="s">
        <v>870</v>
      </c>
    </row>
    <row r="783" spans="12:13" x14ac:dyDescent="0.25">
      <c r="L783" s="64">
        <v>221391</v>
      </c>
      <c r="M783" t="s">
        <v>870</v>
      </c>
    </row>
    <row r="784" spans="12:13" x14ac:dyDescent="0.25">
      <c r="L784" s="64">
        <v>221400</v>
      </c>
      <c r="M784" t="s">
        <v>871</v>
      </c>
    </row>
    <row r="785" spans="12:13" x14ac:dyDescent="0.25">
      <c r="L785" s="64">
        <v>221410</v>
      </c>
      <c r="M785" t="s">
        <v>871</v>
      </c>
    </row>
    <row r="786" spans="12:13" x14ac:dyDescent="0.25">
      <c r="L786" s="64">
        <v>221411</v>
      </c>
      <c r="M786" t="s">
        <v>871</v>
      </c>
    </row>
    <row r="787" spans="12:13" x14ac:dyDescent="0.25">
      <c r="L787" s="64">
        <v>221500</v>
      </c>
      <c r="M787" t="s">
        <v>872</v>
      </c>
    </row>
    <row r="788" spans="12:13" x14ac:dyDescent="0.25">
      <c r="L788" s="64">
        <v>221510</v>
      </c>
      <c r="M788" t="s">
        <v>872</v>
      </c>
    </row>
    <row r="789" spans="12:13" x14ac:dyDescent="0.25">
      <c r="L789" s="64">
        <v>221511</v>
      </c>
      <c r="M789" t="s">
        <v>872</v>
      </c>
    </row>
    <row r="790" spans="12:13" x14ac:dyDescent="0.25">
      <c r="L790" s="64">
        <v>221600</v>
      </c>
      <c r="M790" t="s">
        <v>873</v>
      </c>
    </row>
    <row r="791" spans="12:13" x14ac:dyDescent="0.25">
      <c r="L791" s="64">
        <v>221610</v>
      </c>
      <c r="M791" t="s">
        <v>873</v>
      </c>
    </row>
    <row r="792" spans="12:13" x14ac:dyDescent="0.25">
      <c r="L792" s="64">
        <v>221611</v>
      </c>
      <c r="M792" t="s">
        <v>873</v>
      </c>
    </row>
    <row r="793" spans="12:13" x14ac:dyDescent="0.25">
      <c r="L793" s="64">
        <v>221700</v>
      </c>
      <c r="M793" t="s">
        <v>874</v>
      </c>
    </row>
    <row r="794" spans="12:13" x14ac:dyDescent="0.25">
      <c r="L794" s="64">
        <v>221710</v>
      </c>
      <c r="M794" t="s">
        <v>874</v>
      </c>
    </row>
    <row r="795" spans="12:13" x14ac:dyDescent="0.25">
      <c r="L795" s="64">
        <v>221711</v>
      </c>
      <c r="M795" t="s">
        <v>874</v>
      </c>
    </row>
    <row r="796" spans="12:13" x14ac:dyDescent="0.25">
      <c r="L796" s="64">
        <v>221800</v>
      </c>
      <c r="M796" t="s">
        <v>875</v>
      </c>
    </row>
    <row r="797" spans="12:13" x14ac:dyDescent="0.25">
      <c r="L797" s="64">
        <v>221810</v>
      </c>
      <c r="M797" t="s">
        <v>875</v>
      </c>
    </row>
    <row r="798" spans="12:13" x14ac:dyDescent="0.25">
      <c r="L798" s="64">
        <v>221811</v>
      </c>
      <c r="M798" t="s">
        <v>875</v>
      </c>
    </row>
    <row r="799" spans="12:13" x14ac:dyDescent="0.25">
      <c r="L799" s="64">
        <v>222000</v>
      </c>
      <c r="M799" t="s">
        <v>876</v>
      </c>
    </row>
    <row r="800" spans="12:13" x14ac:dyDescent="0.25">
      <c r="L800" s="64">
        <v>222100</v>
      </c>
      <c r="M800" t="s">
        <v>877</v>
      </c>
    </row>
    <row r="801" spans="12:13" x14ac:dyDescent="0.25">
      <c r="L801" s="64">
        <v>222110</v>
      </c>
      <c r="M801" t="s">
        <v>877</v>
      </c>
    </row>
    <row r="802" spans="12:13" x14ac:dyDescent="0.25">
      <c r="L802" s="64">
        <v>222111</v>
      </c>
      <c r="M802" t="s">
        <v>877</v>
      </c>
    </row>
    <row r="803" spans="12:13" x14ac:dyDescent="0.25">
      <c r="L803" s="64">
        <v>222200</v>
      </c>
      <c r="M803" t="s">
        <v>878</v>
      </c>
    </row>
    <row r="804" spans="12:13" x14ac:dyDescent="0.25">
      <c r="L804" s="64">
        <v>222210</v>
      </c>
      <c r="M804" t="s">
        <v>879</v>
      </c>
    </row>
    <row r="805" spans="12:13" x14ac:dyDescent="0.25">
      <c r="L805" s="64">
        <v>222211</v>
      </c>
      <c r="M805" t="s">
        <v>879</v>
      </c>
    </row>
    <row r="806" spans="12:13" x14ac:dyDescent="0.25">
      <c r="L806" s="64">
        <v>222220</v>
      </c>
      <c r="M806" t="s">
        <v>880</v>
      </c>
    </row>
    <row r="807" spans="12:13" x14ac:dyDescent="0.25">
      <c r="L807" s="64">
        <v>222221</v>
      </c>
      <c r="M807" t="s">
        <v>880</v>
      </c>
    </row>
    <row r="808" spans="12:13" x14ac:dyDescent="0.25">
      <c r="L808" s="64">
        <v>222290</v>
      </c>
      <c r="M808" t="s">
        <v>881</v>
      </c>
    </row>
    <row r="809" spans="12:13" x14ac:dyDescent="0.25">
      <c r="L809" s="64">
        <v>222291</v>
      </c>
      <c r="M809" t="s">
        <v>881</v>
      </c>
    </row>
    <row r="810" spans="12:13" x14ac:dyDescent="0.25">
      <c r="L810" s="64">
        <v>222300</v>
      </c>
      <c r="M810" t="s">
        <v>882</v>
      </c>
    </row>
    <row r="811" spans="12:13" x14ac:dyDescent="0.25">
      <c r="L811" s="64">
        <v>222310</v>
      </c>
      <c r="M811" t="s">
        <v>883</v>
      </c>
    </row>
    <row r="812" spans="12:13" x14ac:dyDescent="0.25">
      <c r="L812" s="64">
        <v>222311</v>
      </c>
      <c r="M812" t="s">
        <v>883</v>
      </c>
    </row>
    <row r="813" spans="12:13" x14ac:dyDescent="0.25">
      <c r="L813" s="64">
        <v>222320</v>
      </c>
      <c r="M813" t="s">
        <v>884</v>
      </c>
    </row>
    <row r="814" spans="12:13" x14ac:dyDescent="0.25">
      <c r="L814" s="64">
        <v>222321</v>
      </c>
      <c r="M814" t="s">
        <v>884</v>
      </c>
    </row>
    <row r="815" spans="12:13" x14ac:dyDescent="0.25">
      <c r="L815" s="64">
        <v>222330</v>
      </c>
      <c r="M815" t="s">
        <v>885</v>
      </c>
    </row>
    <row r="816" spans="12:13" x14ac:dyDescent="0.25">
      <c r="L816" s="64">
        <v>222331</v>
      </c>
      <c r="M816" t="s">
        <v>885</v>
      </c>
    </row>
    <row r="817" spans="12:13" x14ac:dyDescent="0.25">
      <c r="L817" s="64">
        <v>222340</v>
      </c>
      <c r="M817" t="s">
        <v>886</v>
      </c>
    </row>
    <row r="818" spans="12:13" x14ac:dyDescent="0.25">
      <c r="L818" s="64">
        <v>222341</v>
      </c>
      <c r="M818" t="s">
        <v>886</v>
      </c>
    </row>
    <row r="819" spans="12:13" x14ac:dyDescent="0.25">
      <c r="L819" s="64">
        <v>222350</v>
      </c>
      <c r="M819" t="s">
        <v>887</v>
      </c>
    </row>
    <row r="820" spans="12:13" x14ac:dyDescent="0.25">
      <c r="L820" s="64">
        <v>222351</v>
      </c>
      <c r="M820" t="s">
        <v>887</v>
      </c>
    </row>
    <row r="821" spans="12:13" x14ac:dyDescent="0.25">
      <c r="L821" s="64">
        <v>222390</v>
      </c>
      <c r="M821" t="s">
        <v>888</v>
      </c>
    </row>
    <row r="822" spans="12:13" x14ac:dyDescent="0.25">
      <c r="L822" s="64">
        <v>222391</v>
      </c>
      <c r="M822" t="s">
        <v>888</v>
      </c>
    </row>
    <row r="823" spans="12:13" x14ac:dyDescent="0.25">
      <c r="L823" s="64">
        <v>222400</v>
      </c>
      <c r="M823" t="s">
        <v>889</v>
      </c>
    </row>
    <row r="824" spans="12:13" x14ac:dyDescent="0.25">
      <c r="L824" s="64">
        <v>222410</v>
      </c>
      <c r="M824" t="s">
        <v>890</v>
      </c>
    </row>
    <row r="825" spans="12:13" x14ac:dyDescent="0.25">
      <c r="L825" s="64">
        <v>222411</v>
      </c>
      <c r="M825" t="s">
        <v>890</v>
      </c>
    </row>
    <row r="826" spans="12:13" x14ac:dyDescent="0.25">
      <c r="L826" s="64">
        <v>222490</v>
      </c>
      <c r="M826" t="s">
        <v>891</v>
      </c>
    </row>
    <row r="827" spans="12:13" x14ac:dyDescent="0.25">
      <c r="L827" s="64">
        <v>222491</v>
      </c>
      <c r="M827" t="s">
        <v>891</v>
      </c>
    </row>
    <row r="828" spans="12:13" x14ac:dyDescent="0.25">
      <c r="L828" s="64">
        <v>222500</v>
      </c>
      <c r="M828" t="s">
        <v>892</v>
      </c>
    </row>
    <row r="829" spans="12:13" x14ac:dyDescent="0.25">
      <c r="L829" s="64">
        <v>222510</v>
      </c>
      <c r="M829" t="s">
        <v>892</v>
      </c>
    </row>
    <row r="830" spans="12:13" x14ac:dyDescent="0.25">
      <c r="L830" s="64">
        <v>222511</v>
      </c>
      <c r="M830" t="s">
        <v>892</v>
      </c>
    </row>
    <row r="831" spans="12:13" x14ac:dyDescent="0.25">
      <c r="L831" s="64">
        <v>222600</v>
      </c>
      <c r="M831" t="s">
        <v>893</v>
      </c>
    </row>
    <row r="832" spans="12:13" x14ac:dyDescent="0.25">
      <c r="L832" s="64">
        <v>222610</v>
      </c>
      <c r="M832" t="s">
        <v>893</v>
      </c>
    </row>
    <row r="833" spans="12:13" x14ac:dyDescent="0.25">
      <c r="L833" s="64">
        <v>222611</v>
      </c>
      <c r="M833" t="s">
        <v>893</v>
      </c>
    </row>
    <row r="834" spans="12:13" x14ac:dyDescent="0.25">
      <c r="L834" s="64">
        <v>223000</v>
      </c>
      <c r="M834" t="s">
        <v>894</v>
      </c>
    </row>
    <row r="835" spans="12:13" x14ac:dyDescent="0.25">
      <c r="L835" s="64">
        <v>223100</v>
      </c>
      <c r="M835" t="s">
        <v>894</v>
      </c>
    </row>
    <row r="836" spans="12:13" x14ac:dyDescent="0.25">
      <c r="L836" s="64">
        <v>223110</v>
      </c>
      <c r="M836" t="s">
        <v>894</v>
      </c>
    </row>
    <row r="837" spans="12:13" x14ac:dyDescent="0.25">
      <c r="L837" s="64">
        <v>223111</v>
      </c>
      <c r="M837" t="s">
        <v>894</v>
      </c>
    </row>
    <row r="838" spans="12:13" x14ac:dyDescent="0.25">
      <c r="L838" s="64">
        <v>230000</v>
      </c>
      <c r="M838" t="s">
        <v>895</v>
      </c>
    </row>
    <row r="839" spans="12:13" x14ac:dyDescent="0.25">
      <c r="L839" s="64">
        <v>231000</v>
      </c>
      <c r="M839" t="s">
        <v>896</v>
      </c>
    </row>
    <row r="840" spans="12:13" x14ac:dyDescent="0.25">
      <c r="L840" s="64">
        <v>231100</v>
      </c>
      <c r="M840" t="s">
        <v>897</v>
      </c>
    </row>
    <row r="841" spans="12:13" x14ac:dyDescent="0.25">
      <c r="L841" s="64">
        <v>231110</v>
      </c>
      <c r="M841" t="s">
        <v>897</v>
      </c>
    </row>
    <row r="842" spans="12:13" x14ac:dyDescent="0.25">
      <c r="L842" s="64">
        <v>231111</v>
      </c>
      <c r="M842" t="s">
        <v>897</v>
      </c>
    </row>
    <row r="843" spans="12:13" x14ac:dyDescent="0.25">
      <c r="L843" s="64">
        <v>231200</v>
      </c>
      <c r="M843" t="s">
        <v>898</v>
      </c>
    </row>
    <row r="844" spans="12:13" x14ac:dyDescent="0.25">
      <c r="L844" s="64">
        <v>231210</v>
      </c>
      <c r="M844" t="s">
        <v>898</v>
      </c>
    </row>
    <row r="845" spans="12:13" x14ac:dyDescent="0.25">
      <c r="L845" s="64">
        <v>231211</v>
      </c>
      <c r="M845" t="s">
        <v>898</v>
      </c>
    </row>
    <row r="846" spans="12:13" x14ac:dyDescent="0.25">
      <c r="L846" s="64">
        <v>231300</v>
      </c>
      <c r="M846" t="s">
        <v>899</v>
      </c>
    </row>
    <row r="847" spans="12:13" x14ac:dyDescent="0.25">
      <c r="L847" s="64">
        <v>231310</v>
      </c>
      <c r="M847" t="s">
        <v>899</v>
      </c>
    </row>
    <row r="848" spans="12:13" x14ac:dyDescent="0.25">
      <c r="L848" s="64">
        <v>231311</v>
      </c>
      <c r="M848" t="s">
        <v>899</v>
      </c>
    </row>
    <row r="849" spans="12:13" x14ac:dyDescent="0.25">
      <c r="L849" s="64">
        <v>231400</v>
      </c>
      <c r="M849" t="s">
        <v>900</v>
      </c>
    </row>
    <row r="850" spans="12:13" x14ac:dyDescent="0.25">
      <c r="L850" s="64">
        <v>231410</v>
      </c>
      <c r="M850" t="s">
        <v>900</v>
      </c>
    </row>
    <row r="851" spans="12:13" x14ac:dyDescent="0.25">
      <c r="L851" s="64">
        <v>231411</v>
      </c>
      <c r="M851" t="s">
        <v>900</v>
      </c>
    </row>
    <row r="852" spans="12:13" x14ac:dyDescent="0.25">
      <c r="L852" s="64">
        <v>231500</v>
      </c>
      <c r="M852" t="s">
        <v>901</v>
      </c>
    </row>
    <row r="853" spans="12:13" x14ac:dyDescent="0.25">
      <c r="L853" s="64">
        <v>231510</v>
      </c>
      <c r="M853" t="s">
        <v>901</v>
      </c>
    </row>
    <row r="854" spans="12:13" x14ac:dyDescent="0.25">
      <c r="L854" s="64">
        <v>231511</v>
      </c>
      <c r="M854" t="s">
        <v>901</v>
      </c>
    </row>
    <row r="855" spans="12:13" x14ac:dyDescent="0.25">
      <c r="L855" s="64">
        <v>232000</v>
      </c>
      <c r="M855" t="s">
        <v>902</v>
      </c>
    </row>
    <row r="856" spans="12:13" x14ac:dyDescent="0.25">
      <c r="L856" s="64">
        <v>232100</v>
      </c>
      <c r="M856" t="s">
        <v>903</v>
      </c>
    </row>
    <row r="857" spans="12:13" x14ac:dyDescent="0.25">
      <c r="L857" s="64">
        <v>232110</v>
      </c>
      <c r="M857" t="s">
        <v>903</v>
      </c>
    </row>
    <row r="858" spans="12:13" x14ac:dyDescent="0.25">
      <c r="L858" s="64">
        <v>232111</v>
      </c>
      <c r="M858" t="s">
        <v>903</v>
      </c>
    </row>
    <row r="859" spans="12:13" x14ac:dyDescent="0.25">
      <c r="L859" s="64">
        <v>232200</v>
      </c>
      <c r="M859" t="s">
        <v>904</v>
      </c>
    </row>
    <row r="860" spans="12:13" x14ac:dyDescent="0.25">
      <c r="L860" s="64">
        <v>232210</v>
      </c>
      <c r="M860" t="s">
        <v>904</v>
      </c>
    </row>
    <row r="861" spans="12:13" x14ac:dyDescent="0.25">
      <c r="L861" s="64">
        <v>232211</v>
      </c>
      <c r="M861" t="s">
        <v>904</v>
      </c>
    </row>
    <row r="862" spans="12:13" x14ac:dyDescent="0.25">
      <c r="L862" s="64">
        <v>232300</v>
      </c>
      <c r="M862" t="s">
        <v>905</v>
      </c>
    </row>
    <row r="863" spans="12:13" x14ac:dyDescent="0.25">
      <c r="L863" s="64">
        <v>232310</v>
      </c>
      <c r="M863" t="s">
        <v>905</v>
      </c>
    </row>
    <row r="864" spans="12:13" x14ac:dyDescent="0.25">
      <c r="L864" s="64">
        <v>232311</v>
      </c>
      <c r="M864" t="s">
        <v>905</v>
      </c>
    </row>
    <row r="865" spans="12:13" x14ac:dyDescent="0.25">
      <c r="L865" s="64">
        <v>232400</v>
      </c>
      <c r="M865" t="s">
        <v>906</v>
      </c>
    </row>
    <row r="866" spans="12:13" x14ac:dyDescent="0.25">
      <c r="L866" s="64">
        <v>232410</v>
      </c>
      <c r="M866" t="s">
        <v>906</v>
      </c>
    </row>
    <row r="867" spans="12:13" x14ac:dyDescent="0.25">
      <c r="L867" s="64">
        <v>232411</v>
      </c>
      <c r="M867" t="s">
        <v>906</v>
      </c>
    </row>
    <row r="868" spans="12:13" x14ac:dyDescent="0.25">
      <c r="L868" s="64">
        <v>232500</v>
      </c>
      <c r="M868" t="s">
        <v>907</v>
      </c>
    </row>
    <row r="869" spans="12:13" x14ac:dyDescent="0.25">
      <c r="L869" s="64">
        <v>232510</v>
      </c>
      <c r="M869" t="s">
        <v>907</v>
      </c>
    </row>
    <row r="870" spans="12:13" x14ac:dyDescent="0.25">
      <c r="L870" s="64">
        <v>232511</v>
      </c>
      <c r="M870" t="s">
        <v>907</v>
      </c>
    </row>
    <row r="871" spans="12:13" x14ac:dyDescent="0.25">
      <c r="L871" s="64">
        <v>233000</v>
      </c>
      <c r="M871" t="s">
        <v>908</v>
      </c>
    </row>
    <row r="872" spans="12:13" x14ac:dyDescent="0.25">
      <c r="L872" s="64">
        <v>233100</v>
      </c>
      <c r="M872" t="s">
        <v>909</v>
      </c>
    </row>
    <row r="873" spans="12:13" x14ac:dyDescent="0.25">
      <c r="L873" s="64">
        <v>233110</v>
      </c>
      <c r="M873" t="s">
        <v>909</v>
      </c>
    </row>
    <row r="874" spans="12:13" x14ac:dyDescent="0.25">
      <c r="L874" s="64">
        <v>233111</v>
      </c>
      <c r="M874" t="s">
        <v>909</v>
      </c>
    </row>
    <row r="875" spans="12:13" x14ac:dyDescent="0.25">
      <c r="L875" s="64">
        <v>233200</v>
      </c>
      <c r="M875" t="s">
        <v>910</v>
      </c>
    </row>
    <row r="876" spans="12:13" x14ac:dyDescent="0.25">
      <c r="L876" s="64">
        <v>233210</v>
      </c>
      <c r="M876" t="s">
        <v>910</v>
      </c>
    </row>
    <row r="877" spans="12:13" x14ac:dyDescent="0.25">
      <c r="L877" s="64">
        <v>233211</v>
      </c>
      <c r="M877" t="s">
        <v>910</v>
      </c>
    </row>
    <row r="878" spans="12:13" x14ac:dyDescent="0.25">
      <c r="L878" s="64">
        <v>233300</v>
      </c>
      <c r="M878" t="s">
        <v>911</v>
      </c>
    </row>
    <row r="879" spans="12:13" x14ac:dyDescent="0.25">
      <c r="L879" s="64">
        <v>233310</v>
      </c>
      <c r="M879" t="s">
        <v>911</v>
      </c>
    </row>
    <row r="880" spans="12:13" x14ac:dyDescent="0.25">
      <c r="L880" s="64">
        <v>233311</v>
      </c>
      <c r="M880" t="s">
        <v>911</v>
      </c>
    </row>
    <row r="881" spans="12:13" x14ac:dyDescent="0.25">
      <c r="L881" s="64">
        <v>233400</v>
      </c>
      <c r="M881" t="s">
        <v>912</v>
      </c>
    </row>
    <row r="882" spans="12:13" x14ac:dyDescent="0.25">
      <c r="L882" s="64">
        <v>233410</v>
      </c>
      <c r="M882" t="s">
        <v>912</v>
      </c>
    </row>
    <row r="883" spans="12:13" x14ac:dyDescent="0.25">
      <c r="L883" s="64">
        <v>233411</v>
      </c>
      <c r="M883" t="s">
        <v>912</v>
      </c>
    </row>
    <row r="884" spans="12:13" x14ac:dyDescent="0.25">
      <c r="L884" s="64">
        <v>233500</v>
      </c>
      <c r="M884" t="s">
        <v>913</v>
      </c>
    </row>
    <row r="885" spans="12:13" x14ac:dyDescent="0.25">
      <c r="L885" s="64">
        <v>233510</v>
      </c>
      <c r="M885" t="s">
        <v>913</v>
      </c>
    </row>
    <row r="886" spans="12:13" x14ac:dyDescent="0.25">
      <c r="L886" s="64">
        <v>233511</v>
      </c>
      <c r="M886" t="s">
        <v>913</v>
      </c>
    </row>
    <row r="887" spans="12:13" x14ac:dyDescent="0.25">
      <c r="L887" s="64">
        <v>234000</v>
      </c>
      <c r="M887" t="s">
        <v>914</v>
      </c>
    </row>
    <row r="888" spans="12:13" x14ac:dyDescent="0.25">
      <c r="L888" s="64">
        <v>234100</v>
      </c>
      <c r="M888" t="s">
        <v>915</v>
      </c>
    </row>
    <row r="889" spans="12:13" x14ac:dyDescent="0.25">
      <c r="L889" s="64">
        <v>234110</v>
      </c>
      <c r="M889" t="s">
        <v>915</v>
      </c>
    </row>
    <row r="890" spans="12:13" x14ac:dyDescent="0.25">
      <c r="L890" s="64">
        <v>234111</v>
      </c>
      <c r="M890" t="s">
        <v>915</v>
      </c>
    </row>
    <row r="891" spans="12:13" x14ac:dyDescent="0.25">
      <c r="L891" s="64">
        <v>234200</v>
      </c>
      <c r="M891" t="s">
        <v>916</v>
      </c>
    </row>
    <row r="892" spans="12:13" x14ac:dyDescent="0.25">
      <c r="L892" s="64">
        <v>234210</v>
      </c>
      <c r="M892" t="s">
        <v>916</v>
      </c>
    </row>
    <row r="893" spans="12:13" x14ac:dyDescent="0.25">
      <c r="L893" s="64">
        <v>234211</v>
      </c>
      <c r="M893" t="s">
        <v>916</v>
      </c>
    </row>
    <row r="894" spans="12:13" x14ac:dyDescent="0.25">
      <c r="L894" s="64">
        <v>234300</v>
      </c>
      <c r="M894" t="s">
        <v>917</v>
      </c>
    </row>
    <row r="895" spans="12:13" x14ac:dyDescent="0.25">
      <c r="L895" s="64">
        <v>234310</v>
      </c>
      <c r="M895" t="s">
        <v>917</v>
      </c>
    </row>
    <row r="896" spans="12:13" x14ac:dyDescent="0.25">
      <c r="L896" s="64">
        <v>234311</v>
      </c>
      <c r="M896" t="s">
        <v>917</v>
      </c>
    </row>
    <row r="897" spans="12:13" x14ac:dyDescent="0.25">
      <c r="L897" s="64">
        <v>235000</v>
      </c>
      <c r="M897" t="s">
        <v>918</v>
      </c>
    </row>
    <row r="898" spans="12:13" x14ac:dyDescent="0.25">
      <c r="L898" s="64">
        <v>235100</v>
      </c>
      <c r="M898" t="s">
        <v>919</v>
      </c>
    </row>
    <row r="899" spans="12:13" x14ac:dyDescent="0.25">
      <c r="L899" s="64">
        <v>235110</v>
      </c>
      <c r="M899" t="s">
        <v>919</v>
      </c>
    </row>
    <row r="900" spans="12:13" x14ac:dyDescent="0.25">
      <c r="L900" s="64">
        <v>235111</v>
      </c>
      <c r="M900" t="s">
        <v>919</v>
      </c>
    </row>
    <row r="901" spans="12:13" x14ac:dyDescent="0.25">
      <c r="L901" s="64">
        <v>235200</v>
      </c>
      <c r="M901" t="s">
        <v>920</v>
      </c>
    </row>
    <row r="902" spans="12:13" x14ac:dyDescent="0.25">
      <c r="L902" s="64">
        <v>235210</v>
      </c>
      <c r="M902" t="s">
        <v>920</v>
      </c>
    </row>
    <row r="903" spans="12:13" x14ac:dyDescent="0.25">
      <c r="L903" s="64">
        <v>235211</v>
      </c>
      <c r="M903" t="s">
        <v>920</v>
      </c>
    </row>
    <row r="904" spans="12:13" x14ac:dyDescent="0.25">
      <c r="L904" s="64">
        <v>235300</v>
      </c>
      <c r="M904" t="s">
        <v>921</v>
      </c>
    </row>
    <row r="905" spans="12:13" x14ac:dyDescent="0.25">
      <c r="L905" s="64">
        <v>235310</v>
      </c>
      <c r="M905" t="s">
        <v>921</v>
      </c>
    </row>
    <row r="906" spans="12:13" x14ac:dyDescent="0.25">
      <c r="L906" s="64">
        <v>235311</v>
      </c>
      <c r="M906" t="s">
        <v>921</v>
      </c>
    </row>
    <row r="907" spans="12:13" x14ac:dyDescent="0.25">
      <c r="L907" s="64">
        <v>235400</v>
      </c>
      <c r="M907" t="s">
        <v>922</v>
      </c>
    </row>
    <row r="908" spans="12:13" x14ac:dyDescent="0.25">
      <c r="L908" s="64">
        <v>235410</v>
      </c>
      <c r="M908" t="s">
        <v>922</v>
      </c>
    </row>
    <row r="909" spans="12:13" x14ac:dyDescent="0.25">
      <c r="L909" s="64">
        <v>235411</v>
      </c>
      <c r="M909" t="s">
        <v>922</v>
      </c>
    </row>
    <row r="910" spans="12:13" x14ac:dyDescent="0.25">
      <c r="L910" s="64">
        <v>235500</v>
      </c>
      <c r="M910" t="s">
        <v>923</v>
      </c>
    </row>
    <row r="911" spans="12:13" x14ac:dyDescent="0.25">
      <c r="L911" s="64">
        <v>235510</v>
      </c>
      <c r="M911" t="s">
        <v>923</v>
      </c>
    </row>
    <row r="912" spans="12:13" x14ac:dyDescent="0.25">
      <c r="L912" s="64">
        <v>235511</v>
      </c>
      <c r="M912" t="s">
        <v>923</v>
      </c>
    </row>
    <row r="913" spans="12:13" x14ac:dyDescent="0.25">
      <c r="L913" s="64">
        <v>236000</v>
      </c>
      <c r="M913" t="s">
        <v>924</v>
      </c>
    </row>
    <row r="914" spans="12:13" x14ac:dyDescent="0.25">
      <c r="L914" s="64">
        <v>236100</v>
      </c>
      <c r="M914" t="s">
        <v>925</v>
      </c>
    </row>
    <row r="915" spans="12:13" x14ac:dyDescent="0.25">
      <c r="L915" s="64">
        <v>236110</v>
      </c>
      <c r="M915" t="s">
        <v>925</v>
      </c>
    </row>
    <row r="916" spans="12:13" x14ac:dyDescent="0.25">
      <c r="L916" s="64">
        <v>236111</v>
      </c>
      <c r="M916" t="s">
        <v>925</v>
      </c>
    </row>
    <row r="917" spans="12:13" x14ac:dyDescent="0.25">
      <c r="L917" s="64">
        <v>236120</v>
      </c>
      <c r="M917" t="s">
        <v>926</v>
      </c>
    </row>
    <row r="918" spans="12:13" x14ac:dyDescent="0.25">
      <c r="L918" s="64">
        <v>236121</v>
      </c>
      <c r="M918" t="s">
        <v>927</v>
      </c>
    </row>
    <row r="919" spans="12:13" x14ac:dyDescent="0.25">
      <c r="L919" s="64">
        <v>236122</v>
      </c>
      <c r="M919" t="s">
        <v>928</v>
      </c>
    </row>
    <row r="920" spans="12:13" x14ac:dyDescent="0.25">
      <c r="L920" s="64">
        <v>236123</v>
      </c>
      <c r="M920" t="s">
        <v>929</v>
      </c>
    </row>
    <row r="921" spans="12:13" x14ac:dyDescent="0.25">
      <c r="L921" s="64">
        <v>236200</v>
      </c>
      <c r="M921" t="s">
        <v>930</v>
      </c>
    </row>
    <row r="922" spans="12:13" x14ac:dyDescent="0.25">
      <c r="L922" s="64">
        <v>236210</v>
      </c>
      <c r="M922" t="s">
        <v>930</v>
      </c>
    </row>
    <row r="923" spans="12:13" x14ac:dyDescent="0.25">
      <c r="L923" s="64">
        <v>236211</v>
      </c>
      <c r="M923" t="s">
        <v>930</v>
      </c>
    </row>
    <row r="924" spans="12:13" x14ac:dyDescent="0.25">
      <c r="L924" s="64">
        <v>236300</v>
      </c>
      <c r="M924" t="s">
        <v>931</v>
      </c>
    </row>
    <row r="925" spans="12:13" x14ac:dyDescent="0.25">
      <c r="L925" s="64">
        <v>236310</v>
      </c>
      <c r="M925" t="s">
        <v>931</v>
      </c>
    </row>
    <row r="926" spans="12:13" x14ac:dyDescent="0.25">
      <c r="L926" s="64">
        <v>236311</v>
      </c>
      <c r="M926" t="s">
        <v>931</v>
      </c>
    </row>
    <row r="927" spans="12:13" x14ac:dyDescent="0.25">
      <c r="L927" s="64">
        <v>236400</v>
      </c>
      <c r="M927" t="s">
        <v>932</v>
      </c>
    </row>
    <row r="928" spans="12:13" x14ac:dyDescent="0.25">
      <c r="L928" s="64">
        <v>236410</v>
      </c>
      <c r="M928" t="s">
        <v>932</v>
      </c>
    </row>
    <row r="929" spans="12:13" x14ac:dyDescent="0.25">
      <c r="L929" s="64">
        <v>236411</v>
      </c>
      <c r="M929" t="s">
        <v>932</v>
      </c>
    </row>
    <row r="930" spans="12:13" x14ac:dyDescent="0.25">
      <c r="L930" s="64">
        <v>236500</v>
      </c>
      <c r="M930" t="s">
        <v>933</v>
      </c>
    </row>
    <row r="931" spans="12:13" x14ac:dyDescent="0.25">
      <c r="L931" s="64">
        <v>236510</v>
      </c>
      <c r="M931" t="s">
        <v>933</v>
      </c>
    </row>
    <row r="932" spans="12:13" x14ac:dyDescent="0.25">
      <c r="L932" s="64">
        <v>236511</v>
      </c>
      <c r="M932" t="s">
        <v>933</v>
      </c>
    </row>
    <row r="933" spans="12:13" x14ac:dyDescent="0.25">
      <c r="L933" s="64">
        <v>237000</v>
      </c>
      <c r="M933" t="s">
        <v>934</v>
      </c>
    </row>
    <row r="934" spans="12:13" x14ac:dyDescent="0.25">
      <c r="L934" s="64">
        <v>237100</v>
      </c>
      <c r="M934" t="s">
        <v>935</v>
      </c>
    </row>
    <row r="935" spans="12:13" x14ac:dyDescent="0.25">
      <c r="L935" s="64">
        <v>237110</v>
      </c>
      <c r="M935" t="s">
        <v>935</v>
      </c>
    </row>
    <row r="936" spans="12:13" x14ac:dyDescent="0.25">
      <c r="L936" s="64">
        <v>237111</v>
      </c>
      <c r="M936" t="s">
        <v>936</v>
      </c>
    </row>
    <row r="937" spans="12:13" x14ac:dyDescent="0.25">
      <c r="L937" s="64">
        <v>237112</v>
      </c>
      <c r="M937" t="s">
        <v>937</v>
      </c>
    </row>
    <row r="938" spans="12:13" x14ac:dyDescent="0.25">
      <c r="L938" s="64">
        <v>237200</v>
      </c>
      <c r="M938" t="s">
        <v>938</v>
      </c>
    </row>
    <row r="939" spans="12:13" x14ac:dyDescent="0.25">
      <c r="L939" s="64">
        <v>237210</v>
      </c>
      <c r="M939" t="s">
        <v>938</v>
      </c>
    </row>
    <row r="940" spans="12:13" x14ac:dyDescent="0.25">
      <c r="L940" s="64">
        <v>237211</v>
      </c>
      <c r="M940" t="s">
        <v>938</v>
      </c>
    </row>
    <row r="941" spans="12:13" x14ac:dyDescent="0.25">
      <c r="L941" s="64">
        <v>237300</v>
      </c>
      <c r="M941" t="s">
        <v>939</v>
      </c>
    </row>
    <row r="942" spans="12:13" x14ac:dyDescent="0.25">
      <c r="L942" s="64">
        <v>237310</v>
      </c>
      <c r="M942" t="s">
        <v>939</v>
      </c>
    </row>
    <row r="943" spans="12:13" x14ac:dyDescent="0.25">
      <c r="L943" s="64">
        <v>237311</v>
      </c>
      <c r="M943" t="s">
        <v>939</v>
      </c>
    </row>
    <row r="944" spans="12:13" x14ac:dyDescent="0.25">
      <c r="L944" s="64">
        <v>237400</v>
      </c>
      <c r="M944" t="s">
        <v>940</v>
      </c>
    </row>
    <row r="945" spans="12:13" x14ac:dyDescent="0.25">
      <c r="L945" s="64">
        <v>237410</v>
      </c>
      <c r="M945" t="s">
        <v>940</v>
      </c>
    </row>
    <row r="946" spans="12:13" x14ac:dyDescent="0.25">
      <c r="L946" s="64">
        <v>237411</v>
      </c>
      <c r="M946" t="s">
        <v>940</v>
      </c>
    </row>
    <row r="947" spans="12:13" x14ac:dyDescent="0.25">
      <c r="L947" s="64">
        <v>237500</v>
      </c>
      <c r="M947" t="s">
        <v>941</v>
      </c>
    </row>
    <row r="948" spans="12:13" x14ac:dyDescent="0.25">
      <c r="L948" s="64">
        <v>237510</v>
      </c>
      <c r="M948" t="s">
        <v>941</v>
      </c>
    </row>
    <row r="949" spans="12:13" x14ac:dyDescent="0.25">
      <c r="L949" s="64">
        <v>237511</v>
      </c>
      <c r="M949" t="s">
        <v>941</v>
      </c>
    </row>
    <row r="950" spans="12:13" x14ac:dyDescent="0.25">
      <c r="L950" s="64">
        <v>237600</v>
      </c>
      <c r="M950" t="s">
        <v>942</v>
      </c>
    </row>
    <row r="951" spans="12:13" x14ac:dyDescent="0.25">
      <c r="L951" s="64">
        <v>237610</v>
      </c>
      <c r="M951" t="s">
        <v>942</v>
      </c>
    </row>
    <row r="952" spans="12:13" x14ac:dyDescent="0.25">
      <c r="L952" s="64">
        <v>237611</v>
      </c>
      <c r="M952" t="s">
        <v>942</v>
      </c>
    </row>
    <row r="953" spans="12:13" x14ac:dyDescent="0.25">
      <c r="L953" s="64">
        <v>237700</v>
      </c>
      <c r="M953" t="s">
        <v>943</v>
      </c>
    </row>
    <row r="954" spans="12:13" x14ac:dyDescent="0.25">
      <c r="L954" s="64">
        <v>237710</v>
      </c>
      <c r="M954" t="s">
        <v>943</v>
      </c>
    </row>
    <row r="955" spans="12:13" x14ac:dyDescent="0.25">
      <c r="L955" s="64">
        <v>237711</v>
      </c>
      <c r="M955" t="s">
        <v>943</v>
      </c>
    </row>
    <row r="956" spans="12:13" x14ac:dyDescent="0.25">
      <c r="L956" s="64">
        <v>238000</v>
      </c>
      <c r="M956" t="s">
        <v>944</v>
      </c>
    </row>
    <row r="957" spans="12:13" x14ac:dyDescent="0.25">
      <c r="L957" s="64">
        <v>238100</v>
      </c>
      <c r="M957" t="s">
        <v>945</v>
      </c>
    </row>
    <row r="958" spans="12:13" x14ac:dyDescent="0.25">
      <c r="L958" s="64">
        <v>238110</v>
      </c>
      <c r="M958" t="s">
        <v>945</v>
      </c>
    </row>
    <row r="959" spans="12:13" x14ac:dyDescent="0.25">
      <c r="L959" s="64">
        <v>238111</v>
      </c>
      <c r="M959" t="s">
        <v>945</v>
      </c>
    </row>
    <row r="960" spans="12:13" x14ac:dyDescent="0.25">
      <c r="L960" s="64">
        <v>238200</v>
      </c>
      <c r="M960" t="s">
        <v>946</v>
      </c>
    </row>
    <row r="961" spans="12:13" x14ac:dyDescent="0.25">
      <c r="L961" s="64">
        <v>238210</v>
      </c>
      <c r="M961" t="s">
        <v>946</v>
      </c>
    </row>
    <row r="962" spans="12:13" x14ac:dyDescent="0.25">
      <c r="L962" s="64">
        <v>238211</v>
      </c>
      <c r="M962" t="s">
        <v>946</v>
      </c>
    </row>
    <row r="963" spans="12:13" x14ac:dyDescent="0.25">
      <c r="L963" s="64">
        <v>238300</v>
      </c>
      <c r="M963" t="s">
        <v>947</v>
      </c>
    </row>
    <row r="964" spans="12:13" x14ac:dyDescent="0.25">
      <c r="L964" s="64">
        <v>238310</v>
      </c>
      <c r="M964" t="s">
        <v>947</v>
      </c>
    </row>
    <row r="965" spans="12:13" x14ac:dyDescent="0.25">
      <c r="L965" s="64">
        <v>238311</v>
      </c>
      <c r="M965" t="s">
        <v>947</v>
      </c>
    </row>
    <row r="966" spans="12:13" x14ac:dyDescent="0.25">
      <c r="L966" s="64">
        <v>238400</v>
      </c>
      <c r="M966" t="s">
        <v>948</v>
      </c>
    </row>
    <row r="967" spans="12:13" x14ac:dyDescent="0.25">
      <c r="L967" s="64">
        <v>238410</v>
      </c>
      <c r="M967" t="s">
        <v>948</v>
      </c>
    </row>
    <row r="968" spans="12:13" x14ac:dyDescent="0.25">
      <c r="L968" s="64">
        <v>238411</v>
      </c>
      <c r="M968" t="s">
        <v>948</v>
      </c>
    </row>
    <row r="969" spans="12:13" x14ac:dyDescent="0.25">
      <c r="L969" s="64">
        <v>238500</v>
      </c>
      <c r="M969" t="s">
        <v>949</v>
      </c>
    </row>
    <row r="970" spans="12:13" x14ac:dyDescent="0.25">
      <c r="L970" s="64">
        <v>238510</v>
      </c>
      <c r="M970" t="s">
        <v>949</v>
      </c>
    </row>
    <row r="971" spans="12:13" x14ac:dyDescent="0.25">
      <c r="L971" s="64">
        <v>238511</v>
      </c>
      <c r="M971" t="s">
        <v>949</v>
      </c>
    </row>
    <row r="972" spans="12:13" x14ac:dyDescent="0.25">
      <c r="L972" s="64">
        <v>239000</v>
      </c>
      <c r="M972" t="s">
        <v>950</v>
      </c>
    </row>
    <row r="973" spans="12:13" x14ac:dyDescent="0.25">
      <c r="L973" s="64">
        <v>239100</v>
      </c>
      <c r="M973" t="s">
        <v>951</v>
      </c>
    </row>
    <row r="974" spans="12:13" x14ac:dyDescent="0.25">
      <c r="L974" s="64">
        <v>239110</v>
      </c>
      <c r="M974" t="s">
        <v>951</v>
      </c>
    </row>
    <row r="975" spans="12:13" x14ac:dyDescent="0.25">
      <c r="L975" s="64">
        <v>239111</v>
      </c>
      <c r="M975" t="s">
        <v>951</v>
      </c>
    </row>
    <row r="976" spans="12:13" x14ac:dyDescent="0.25">
      <c r="L976" s="64">
        <v>239200</v>
      </c>
      <c r="M976" t="s">
        <v>952</v>
      </c>
    </row>
    <row r="977" spans="12:13" x14ac:dyDescent="0.25">
      <c r="L977" s="64">
        <v>239210</v>
      </c>
      <c r="M977" t="s">
        <v>952</v>
      </c>
    </row>
    <row r="978" spans="12:13" x14ac:dyDescent="0.25">
      <c r="L978" s="64">
        <v>239211</v>
      </c>
      <c r="M978" t="s">
        <v>952</v>
      </c>
    </row>
    <row r="979" spans="12:13" x14ac:dyDescent="0.25">
      <c r="L979" s="64">
        <v>239300</v>
      </c>
      <c r="M979" t="s">
        <v>953</v>
      </c>
    </row>
    <row r="980" spans="12:13" x14ac:dyDescent="0.25">
      <c r="L980" s="64">
        <v>239310</v>
      </c>
      <c r="M980" t="s">
        <v>953</v>
      </c>
    </row>
    <row r="981" spans="12:13" x14ac:dyDescent="0.25">
      <c r="L981" s="64">
        <v>239311</v>
      </c>
      <c r="M981" t="s">
        <v>953</v>
      </c>
    </row>
    <row r="982" spans="12:13" x14ac:dyDescent="0.25">
      <c r="L982" s="64">
        <v>239400</v>
      </c>
      <c r="M982" t="s">
        <v>954</v>
      </c>
    </row>
    <row r="983" spans="12:13" x14ac:dyDescent="0.25">
      <c r="L983" s="64">
        <v>239410</v>
      </c>
      <c r="M983" t="s">
        <v>954</v>
      </c>
    </row>
    <row r="984" spans="12:13" x14ac:dyDescent="0.25">
      <c r="L984" s="64">
        <v>239411</v>
      </c>
      <c r="M984" t="s">
        <v>954</v>
      </c>
    </row>
    <row r="985" spans="12:13" x14ac:dyDescent="0.25">
      <c r="L985" s="64">
        <v>239500</v>
      </c>
      <c r="M985" t="s">
        <v>955</v>
      </c>
    </row>
    <row r="986" spans="12:13" x14ac:dyDescent="0.25">
      <c r="L986" s="64">
        <v>239510</v>
      </c>
      <c r="M986" t="s">
        <v>955</v>
      </c>
    </row>
    <row r="987" spans="12:13" x14ac:dyDescent="0.25">
      <c r="L987" s="64">
        <v>239511</v>
      </c>
      <c r="M987" t="s">
        <v>955</v>
      </c>
    </row>
    <row r="988" spans="12:13" x14ac:dyDescent="0.25">
      <c r="L988" s="64">
        <v>240000</v>
      </c>
      <c r="M988" t="s">
        <v>956</v>
      </c>
    </row>
    <row r="989" spans="12:13" x14ac:dyDescent="0.25">
      <c r="L989" s="64">
        <v>241000</v>
      </c>
      <c r="M989" t="s">
        <v>957</v>
      </c>
    </row>
    <row r="990" spans="12:13" x14ac:dyDescent="0.25">
      <c r="L990" s="64">
        <v>241100</v>
      </c>
      <c r="M990" t="s">
        <v>958</v>
      </c>
    </row>
    <row r="991" spans="12:13" x14ac:dyDescent="0.25">
      <c r="L991" s="64">
        <v>241110</v>
      </c>
      <c r="M991" t="s">
        <v>959</v>
      </c>
    </row>
    <row r="992" spans="12:13" x14ac:dyDescent="0.25">
      <c r="L992" s="64">
        <v>241111</v>
      </c>
      <c r="M992" t="s">
        <v>960</v>
      </c>
    </row>
    <row r="993" spans="12:13" x14ac:dyDescent="0.25">
      <c r="L993" s="64">
        <v>241112</v>
      </c>
      <c r="M993" t="s">
        <v>961</v>
      </c>
    </row>
    <row r="994" spans="12:13" x14ac:dyDescent="0.25">
      <c r="L994" s="64">
        <v>241120</v>
      </c>
      <c r="M994" t="s">
        <v>962</v>
      </c>
    </row>
    <row r="995" spans="12:13" x14ac:dyDescent="0.25">
      <c r="L995" s="64">
        <v>241121</v>
      </c>
      <c r="M995" t="s">
        <v>963</v>
      </c>
    </row>
    <row r="996" spans="12:13" x14ac:dyDescent="0.25">
      <c r="L996" s="64">
        <v>241122</v>
      </c>
      <c r="M996" t="s">
        <v>964</v>
      </c>
    </row>
    <row r="997" spans="12:13" x14ac:dyDescent="0.25">
      <c r="L997" s="64">
        <v>241123</v>
      </c>
      <c r="M997" t="s">
        <v>965</v>
      </c>
    </row>
    <row r="998" spans="12:13" x14ac:dyDescent="0.25">
      <c r="L998" s="64">
        <v>241124</v>
      </c>
      <c r="M998" t="s">
        <v>966</v>
      </c>
    </row>
    <row r="999" spans="12:13" x14ac:dyDescent="0.25">
      <c r="L999" s="64">
        <v>241125</v>
      </c>
      <c r="M999" t="s">
        <v>967</v>
      </c>
    </row>
    <row r="1000" spans="12:13" x14ac:dyDescent="0.25">
      <c r="L1000" s="64">
        <v>241130</v>
      </c>
      <c r="M1000" t="s">
        <v>968</v>
      </c>
    </row>
    <row r="1001" spans="12:13" x14ac:dyDescent="0.25">
      <c r="L1001" s="64">
        <v>241131</v>
      </c>
      <c r="M1001" t="s">
        <v>969</v>
      </c>
    </row>
    <row r="1002" spans="12:13" x14ac:dyDescent="0.25">
      <c r="L1002" s="64">
        <v>241132</v>
      </c>
      <c r="M1002" t="s">
        <v>970</v>
      </c>
    </row>
    <row r="1003" spans="12:13" x14ac:dyDescent="0.25">
      <c r="L1003" s="64">
        <v>241140</v>
      </c>
      <c r="M1003" t="s">
        <v>971</v>
      </c>
    </row>
    <row r="1004" spans="12:13" x14ac:dyDescent="0.25">
      <c r="L1004" s="64">
        <v>241141</v>
      </c>
      <c r="M1004" t="s">
        <v>971</v>
      </c>
    </row>
    <row r="1005" spans="12:13" x14ac:dyDescent="0.25">
      <c r="L1005" s="64">
        <v>241150</v>
      </c>
      <c r="M1005" t="s">
        <v>972</v>
      </c>
    </row>
    <row r="1006" spans="12:13" x14ac:dyDescent="0.25">
      <c r="L1006" s="64">
        <v>241151</v>
      </c>
      <c r="M1006" t="s">
        <v>972</v>
      </c>
    </row>
    <row r="1007" spans="12:13" x14ac:dyDescent="0.25">
      <c r="L1007" s="64">
        <v>241160</v>
      </c>
      <c r="M1007" t="s">
        <v>973</v>
      </c>
    </row>
    <row r="1008" spans="12:13" x14ac:dyDescent="0.25">
      <c r="L1008" s="64">
        <v>241161</v>
      </c>
      <c r="M1008" t="s">
        <v>973</v>
      </c>
    </row>
    <row r="1009" spans="12:13" x14ac:dyDescent="0.25">
      <c r="L1009" s="64">
        <v>241170</v>
      </c>
      <c r="M1009" t="s">
        <v>974</v>
      </c>
    </row>
    <row r="1010" spans="12:13" x14ac:dyDescent="0.25">
      <c r="L1010" s="64">
        <v>241171</v>
      </c>
      <c r="M1010" t="s">
        <v>974</v>
      </c>
    </row>
    <row r="1011" spans="12:13" x14ac:dyDescent="0.25">
      <c r="L1011" s="64">
        <v>241180</v>
      </c>
      <c r="M1011" t="s">
        <v>975</v>
      </c>
    </row>
    <row r="1012" spans="12:13" x14ac:dyDescent="0.25">
      <c r="L1012" s="64">
        <v>241181</v>
      </c>
      <c r="M1012" t="s">
        <v>975</v>
      </c>
    </row>
    <row r="1013" spans="12:13" x14ac:dyDescent="0.25">
      <c r="L1013" s="64">
        <v>241200</v>
      </c>
      <c r="M1013" t="s">
        <v>976</v>
      </c>
    </row>
    <row r="1014" spans="12:13" x14ac:dyDescent="0.25">
      <c r="L1014" s="64">
        <v>241210</v>
      </c>
      <c r="M1014" t="s">
        <v>977</v>
      </c>
    </row>
    <row r="1015" spans="12:13" x14ac:dyDescent="0.25">
      <c r="L1015" s="64">
        <v>241211</v>
      </c>
      <c r="M1015" t="s">
        <v>978</v>
      </c>
    </row>
    <row r="1016" spans="12:13" x14ac:dyDescent="0.25">
      <c r="L1016" s="64">
        <v>241212</v>
      </c>
      <c r="M1016" t="s">
        <v>979</v>
      </c>
    </row>
    <row r="1017" spans="12:13" x14ac:dyDescent="0.25">
      <c r="L1017" s="64">
        <v>241220</v>
      </c>
      <c r="M1017" t="s">
        <v>980</v>
      </c>
    </row>
    <row r="1018" spans="12:13" x14ac:dyDescent="0.25">
      <c r="L1018" s="64">
        <v>241221</v>
      </c>
      <c r="M1018" t="s">
        <v>981</v>
      </c>
    </row>
    <row r="1019" spans="12:13" x14ac:dyDescent="0.25">
      <c r="L1019" s="64">
        <v>241222</v>
      </c>
      <c r="M1019" t="s">
        <v>982</v>
      </c>
    </row>
    <row r="1020" spans="12:13" x14ac:dyDescent="0.25">
      <c r="L1020" s="64">
        <v>241229</v>
      </c>
      <c r="M1020" t="s">
        <v>983</v>
      </c>
    </row>
    <row r="1021" spans="12:13" x14ac:dyDescent="0.25">
      <c r="L1021" s="64">
        <v>241230</v>
      </c>
      <c r="M1021" t="s">
        <v>984</v>
      </c>
    </row>
    <row r="1022" spans="12:13" x14ac:dyDescent="0.25">
      <c r="L1022" s="64">
        <v>241231</v>
      </c>
      <c r="M1022" t="s">
        <v>985</v>
      </c>
    </row>
    <row r="1023" spans="12:13" x14ac:dyDescent="0.25">
      <c r="L1023" s="64">
        <v>241232</v>
      </c>
      <c r="M1023" t="s">
        <v>986</v>
      </c>
    </row>
    <row r="1024" spans="12:13" x14ac:dyDescent="0.25">
      <c r="L1024" s="64">
        <v>241233</v>
      </c>
      <c r="M1024" t="s">
        <v>987</v>
      </c>
    </row>
    <row r="1025" spans="12:13" x14ac:dyDescent="0.25">
      <c r="L1025" s="64">
        <v>241234</v>
      </c>
      <c r="M1025" t="s">
        <v>988</v>
      </c>
    </row>
    <row r="1026" spans="12:13" x14ac:dyDescent="0.25">
      <c r="L1026" s="64">
        <v>241235</v>
      </c>
      <c r="M1026" t="s">
        <v>989</v>
      </c>
    </row>
    <row r="1027" spans="12:13" x14ac:dyDescent="0.25">
      <c r="L1027" s="64">
        <v>241239</v>
      </c>
      <c r="M1027" t="s">
        <v>990</v>
      </c>
    </row>
    <row r="1028" spans="12:13" x14ac:dyDescent="0.25">
      <c r="L1028" s="64">
        <v>241240</v>
      </c>
      <c r="M1028" t="s">
        <v>991</v>
      </c>
    </row>
    <row r="1029" spans="12:13" x14ac:dyDescent="0.25">
      <c r="L1029" s="64">
        <v>241241</v>
      </c>
      <c r="M1029" t="s">
        <v>992</v>
      </c>
    </row>
    <row r="1030" spans="12:13" x14ac:dyDescent="0.25">
      <c r="L1030" s="64">
        <v>241249</v>
      </c>
      <c r="M1030" t="s">
        <v>993</v>
      </c>
    </row>
    <row r="1031" spans="12:13" x14ac:dyDescent="0.25">
      <c r="L1031" s="64">
        <v>241250</v>
      </c>
      <c r="M1031" t="s">
        <v>994</v>
      </c>
    </row>
    <row r="1032" spans="12:13" x14ac:dyDescent="0.25">
      <c r="L1032" s="64">
        <v>241251</v>
      </c>
      <c r="M1032" t="s">
        <v>994</v>
      </c>
    </row>
    <row r="1033" spans="12:13" x14ac:dyDescent="0.25">
      <c r="L1033" s="64">
        <v>241260</v>
      </c>
      <c r="M1033" t="s">
        <v>995</v>
      </c>
    </row>
    <row r="1034" spans="12:13" x14ac:dyDescent="0.25">
      <c r="L1034" s="64">
        <v>241261</v>
      </c>
      <c r="M1034" t="s">
        <v>995</v>
      </c>
    </row>
    <row r="1035" spans="12:13" x14ac:dyDescent="0.25">
      <c r="L1035" s="64">
        <v>241300</v>
      </c>
      <c r="M1035" t="s">
        <v>996</v>
      </c>
    </row>
    <row r="1036" spans="12:13" x14ac:dyDescent="0.25">
      <c r="L1036" s="64">
        <v>241310</v>
      </c>
      <c r="M1036" t="s">
        <v>996</v>
      </c>
    </row>
    <row r="1037" spans="12:13" x14ac:dyDescent="0.25">
      <c r="L1037" s="64">
        <v>241311</v>
      </c>
      <c r="M1037" t="s">
        <v>996</v>
      </c>
    </row>
    <row r="1038" spans="12:13" x14ac:dyDescent="0.25">
      <c r="L1038" s="64">
        <v>241400</v>
      </c>
      <c r="M1038" t="s">
        <v>997</v>
      </c>
    </row>
    <row r="1039" spans="12:13" x14ac:dyDescent="0.25">
      <c r="L1039" s="64">
        <v>241410</v>
      </c>
      <c r="M1039" t="s">
        <v>997</v>
      </c>
    </row>
    <row r="1040" spans="12:13" x14ac:dyDescent="0.25">
      <c r="L1040" s="64">
        <v>241411</v>
      </c>
      <c r="M1040" t="s">
        <v>998</v>
      </c>
    </row>
    <row r="1041" spans="12:13" x14ac:dyDescent="0.25">
      <c r="L1041" s="64">
        <v>241412</v>
      </c>
      <c r="M1041" t="s">
        <v>999</v>
      </c>
    </row>
    <row r="1042" spans="12:13" x14ac:dyDescent="0.25">
      <c r="L1042" s="64">
        <v>241413</v>
      </c>
      <c r="M1042" t="s">
        <v>1000</v>
      </c>
    </row>
    <row r="1043" spans="12:13" x14ac:dyDescent="0.25">
      <c r="L1043" s="64">
        <v>242000</v>
      </c>
      <c r="M1043" t="s">
        <v>1001</v>
      </c>
    </row>
    <row r="1044" spans="12:13" x14ac:dyDescent="0.25">
      <c r="L1044" s="64">
        <v>242100</v>
      </c>
      <c r="M1044" t="s">
        <v>1002</v>
      </c>
    </row>
    <row r="1045" spans="12:13" x14ac:dyDescent="0.25">
      <c r="L1045" s="64">
        <v>242110</v>
      </c>
      <c r="M1045" t="s">
        <v>1003</v>
      </c>
    </row>
    <row r="1046" spans="12:13" x14ac:dyDescent="0.25">
      <c r="L1046" s="64">
        <v>242111</v>
      </c>
      <c r="M1046" t="s">
        <v>1004</v>
      </c>
    </row>
    <row r="1047" spans="12:13" x14ac:dyDescent="0.25">
      <c r="L1047" s="64">
        <v>242112</v>
      </c>
      <c r="M1047" t="s">
        <v>1005</v>
      </c>
    </row>
    <row r="1048" spans="12:13" x14ac:dyDescent="0.25">
      <c r="L1048" s="64">
        <v>242113</v>
      </c>
      <c r="M1048" t="s">
        <v>1006</v>
      </c>
    </row>
    <row r="1049" spans="12:13" x14ac:dyDescent="0.25">
      <c r="L1049" s="64">
        <v>242114</v>
      </c>
      <c r="M1049" t="s">
        <v>1007</v>
      </c>
    </row>
    <row r="1050" spans="12:13" x14ac:dyDescent="0.25">
      <c r="L1050" s="64">
        <v>242119</v>
      </c>
      <c r="M1050" t="s">
        <v>1008</v>
      </c>
    </row>
    <row r="1051" spans="12:13" x14ac:dyDescent="0.25">
      <c r="L1051" s="64">
        <v>242120</v>
      </c>
      <c r="M1051" t="s">
        <v>1009</v>
      </c>
    </row>
    <row r="1052" spans="12:13" x14ac:dyDescent="0.25">
      <c r="L1052" s="64">
        <v>242121</v>
      </c>
      <c r="M1052" t="s">
        <v>1010</v>
      </c>
    </row>
    <row r="1053" spans="12:13" x14ac:dyDescent="0.25">
      <c r="L1053" s="64">
        <v>242122</v>
      </c>
      <c r="M1053" t="s">
        <v>1011</v>
      </c>
    </row>
    <row r="1054" spans="12:13" x14ac:dyDescent="0.25">
      <c r="L1054" s="64">
        <v>242123</v>
      </c>
      <c r="M1054" t="s">
        <v>1012</v>
      </c>
    </row>
    <row r="1055" spans="12:13" x14ac:dyDescent="0.25">
      <c r="L1055" s="64">
        <v>242124</v>
      </c>
      <c r="M1055" t="s">
        <v>1013</v>
      </c>
    </row>
    <row r="1056" spans="12:13" x14ac:dyDescent="0.25">
      <c r="L1056" s="64">
        <v>242129</v>
      </c>
      <c r="M1056" t="s">
        <v>1014</v>
      </c>
    </row>
    <row r="1057" spans="12:13" x14ac:dyDescent="0.25">
      <c r="L1057" s="64">
        <v>242200</v>
      </c>
      <c r="M1057" t="s">
        <v>1015</v>
      </c>
    </row>
    <row r="1058" spans="12:13" x14ac:dyDescent="0.25">
      <c r="L1058" s="64">
        <v>242210</v>
      </c>
      <c r="M1058" t="s">
        <v>1016</v>
      </c>
    </row>
    <row r="1059" spans="12:13" x14ac:dyDescent="0.25">
      <c r="L1059" s="64">
        <v>242211</v>
      </c>
      <c r="M1059" t="s">
        <v>1017</v>
      </c>
    </row>
    <row r="1060" spans="12:13" x14ac:dyDescent="0.25">
      <c r="L1060" s="64">
        <v>242219</v>
      </c>
      <c r="M1060" t="s">
        <v>1018</v>
      </c>
    </row>
    <row r="1061" spans="12:13" x14ac:dyDescent="0.25">
      <c r="L1061" s="64">
        <v>242220</v>
      </c>
      <c r="M1061" t="s">
        <v>1019</v>
      </c>
    </row>
    <row r="1062" spans="12:13" x14ac:dyDescent="0.25">
      <c r="L1062" s="64">
        <v>242221</v>
      </c>
      <c r="M1062" t="s">
        <v>1020</v>
      </c>
    </row>
    <row r="1063" spans="12:13" x14ac:dyDescent="0.25">
      <c r="L1063" s="64">
        <v>242229</v>
      </c>
      <c r="M1063" t="s">
        <v>1021</v>
      </c>
    </row>
    <row r="1064" spans="12:13" x14ac:dyDescent="0.25">
      <c r="L1064" s="64">
        <v>242300</v>
      </c>
      <c r="M1064" t="s">
        <v>1022</v>
      </c>
    </row>
    <row r="1065" spans="12:13" x14ac:dyDescent="0.25">
      <c r="L1065" s="64">
        <v>242310</v>
      </c>
      <c r="M1065" t="s">
        <v>1023</v>
      </c>
    </row>
    <row r="1066" spans="12:13" x14ac:dyDescent="0.25">
      <c r="L1066" s="64">
        <v>242311</v>
      </c>
      <c r="M1066" t="s">
        <v>1024</v>
      </c>
    </row>
    <row r="1067" spans="12:13" x14ac:dyDescent="0.25">
      <c r="L1067" s="64">
        <v>242319</v>
      </c>
      <c r="M1067" t="s">
        <v>1025</v>
      </c>
    </row>
    <row r="1068" spans="12:13" x14ac:dyDescent="0.25">
      <c r="L1068" s="64">
        <v>242320</v>
      </c>
      <c r="M1068" t="s">
        <v>1026</v>
      </c>
    </row>
    <row r="1069" spans="12:13" x14ac:dyDescent="0.25">
      <c r="L1069" s="64">
        <v>242321</v>
      </c>
      <c r="M1069" t="s">
        <v>1027</v>
      </c>
    </row>
    <row r="1070" spans="12:13" x14ac:dyDescent="0.25">
      <c r="L1070" s="64">
        <v>242329</v>
      </c>
      <c r="M1070" t="s">
        <v>1028</v>
      </c>
    </row>
    <row r="1071" spans="12:13" x14ac:dyDescent="0.25">
      <c r="L1071" s="64">
        <v>242400</v>
      </c>
      <c r="M1071" t="s">
        <v>1029</v>
      </c>
    </row>
    <row r="1072" spans="12:13" x14ac:dyDescent="0.25">
      <c r="L1072" s="64">
        <v>242410</v>
      </c>
      <c r="M1072" t="s">
        <v>1030</v>
      </c>
    </row>
    <row r="1073" spans="12:13" x14ac:dyDescent="0.25">
      <c r="L1073" s="64">
        <v>242411</v>
      </c>
      <c r="M1073" t="s">
        <v>1030</v>
      </c>
    </row>
    <row r="1074" spans="12:13" x14ac:dyDescent="0.25">
      <c r="L1074" s="64">
        <v>242420</v>
      </c>
      <c r="M1074" t="s">
        <v>1031</v>
      </c>
    </row>
    <row r="1075" spans="12:13" x14ac:dyDescent="0.25">
      <c r="L1075" s="64">
        <v>242421</v>
      </c>
      <c r="M1075" t="s">
        <v>1031</v>
      </c>
    </row>
    <row r="1076" spans="12:13" x14ac:dyDescent="0.25">
      <c r="L1076" s="64">
        <v>243000</v>
      </c>
      <c r="M1076" t="s">
        <v>1032</v>
      </c>
    </row>
    <row r="1077" spans="12:13" x14ac:dyDescent="0.25">
      <c r="L1077" s="64">
        <v>243100</v>
      </c>
      <c r="M1077" t="s">
        <v>1033</v>
      </c>
    </row>
    <row r="1078" spans="12:13" x14ac:dyDescent="0.25">
      <c r="L1078" s="64">
        <v>243110</v>
      </c>
      <c r="M1078" t="s">
        <v>1034</v>
      </c>
    </row>
    <row r="1079" spans="12:13" x14ac:dyDescent="0.25">
      <c r="L1079" s="64">
        <v>243111</v>
      </c>
      <c r="M1079" t="s">
        <v>1034</v>
      </c>
    </row>
    <row r="1080" spans="12:13" x14ac:dyDescent="0.25">
      <c r="L1080" s="64">
        <v>243120</v>
      </c>
      <c r="M1080" t="s">
        <v>1035</v>
      </c>
    </row>
    <row r="1081" spans="12:13" x14ac:dyDescent="0.25">
      <c r="L1081" s="64">
        <v>243121</v>
      </c>
      <c r="M1081" t="s">
        <v>1035</v>
      </c>
    </row>
    <row r="1082" spans="12:13" x14ac:dyDescent="0.25">
      <c r="L1082" s="64">
        <v>243200</v>
      </c>
      <c r="M1082" t="s">
        <v>1036</v>
      </c>
    </row>
    <row r="1083" spans="12:13" x14ac:dyDescent="0.25">
      <c r="L1083" s="64">
        <v>243210</v>
      </c>
      <c r="M1083" t="s">
        <v>1037</v>
      </c>
    </row>
    <row r="1084" spans="12:13" x14ac:dyDescent="0.25">
      <c r="L1084" s="64">
        <v>243211</v>
      </c>
      <c r="M1084" t="s">
        <v>1038</v>
      </c>
    </row>
    <row r="1085" spans="12:13" x14ac:dyDescent="0.25">
      <c r="L1085" s="64">
        <v>243212</v>
      </c>
      <c r="M1085" t="s">
        <v>1039</v>
      </c>
    </row>
    <row r="1086" spans="12:13" x14ac:dyDescent="0.25">
      <c r="L1086" s="64">
        <v>243219</v>
      </c>
      <c r="M1086" t="s">
        <v>1040</v>
      </c>
    </row>
    <row r="1087" spans="12:13" x14ac:dyDescent="0.25">
      <c r="L1087" s="64">
        <v>243220</v>
      </c>
      <c r="M1087" t="s">
        <v>1041</v>
      </c>
    </row>
    <row r="1088" spans="12:13" x14ac:dyDescent="0.25">
      <c r="L1088" s="64">
        <v>243221</v>
      </c>
      <c r="M1088" t="s">
        <v>1042</v>
      </c>
    </row>
    <row r="1089" spans="12:13" x14ac:dyDescent="0.25">
      <c r="L1089" s="64">
        <v>243222</v>
      </c>
      <c r="M1089" t="s">
        <v>1043</v>
      </c>
    </row>
    <row r="1090" spans="12:13" x14ac:dyDescent="0.25">
      <c r="L1090" s="64">
        <v>243229</v>
      </c>
      <c r="M1090" t="s">
        <v>1044</v>
      </c>
    </row>
    <row r="1091" spans="12:13" x14ac:dyDescent="0.25">
      <c r="L1091" s="64">
        <v>243300</v>
      </c>
      <c r="M1091" t="s">
        <v>1045</v>
      </c>
    </row>
    <row r="1092" spans="12:13" x14ac:dyDescent="0.25">
      <c r="L1092" s="64">
        <v>243310</v>
      </c>
      <c r="M1092" t="s">
        <v>1046</v>
      </c>
    </row>
    <row r="1093" spans="12:13" x14ac:dyDescent="0.25">
      <c r="L1093" s="64">
        <v>243311</v>
      </c>
      <c r="M1093" t="s">
        <v>1047</v>
      </c>
    </row>
    <row r="1094" spans="12:13" x14ac:dyDescent="0.25">
      <c r="L1094" s="64">
        <v>243312</v>
      </c>
      <c r="M1094" t="s">
        <v>1048</v>
      </c>
    </row>
    <row r="1095" spans="12:13" x14ac:dyDescent="0.25">
      <c r="L1095" s="64">
        <v>243313</v>
      </c>
      <c r="M1095" t="s">
        <v>1049</v>
      </c>
    </row>
    <row r="1096" spans="12:13" x14ac:dyDescent="0.25">
      <c r="L1096" s="64">
        <v>243314</v>
      </c>
      <c r="M1096" t="s">
        <v>1050</v>
      </c>
    </row>
    <row r="1097" spans="12:13" x14ac:dyDescent="0.25">
      <c r="L1097" s="64">
        <v>243320</v>
      </c>
      <c r="M1097" t="s">
        <v>1051</v>
      </c>
    </row>
    <row r="1098" spans="12:13" x14ac:dyDescent="0.25">
      <c r="L1098" s="64">
        <v>243321</v>
      </c>
      <c r="M1098" t="s">
        <v>1052</v>
      </c>
    </row>
    <row r="1099" spans="12:13" x14ac:dyDescent="0.25">
      <c r="L1099" s="64">
        <v>243322</v>
      </c>
      <c r="M1099" t="s">
        <v>1053</v>
      </c>
    </row>
    <row r="1100" spans="12:13" x14ac:dyDescent="0.25">
      <c r="L1100" s="64">
        <v>243323</v>
      </c>
      <c r="M1100" t="s">
        <v>1054</v>
      </c>
    </row>
    <row r="1101" spans="12:13" x14ac:dyDescent="0.25">
      <c r="L1101" s="64">
        <v>243324</v>
      </c>
      <c r="M1101" t="s">
        <v>1055</v>
      </c>
    </row>
    <row r="1102" spans="12:13" x14ac:dyDescent="0.25">
      <c r="L1102" s="64">
        <v>243400</v>
      </c>
      <c r="M1102" t="s">
        <v>1056</v>
      </c>
    </row>
    <row r="1103" spans="12:13" x14ac:dyDescent="0.25">
      <c r="L1103" s="64">
        <v>243410</v>
      </c>
      <c r="M1103" t="s">
        <v>1057</v>
      </c>
    </row>
    <row r="1104" spans="12:13" x14ac:dyDescent="0.25">
      <c r="L1104" s="64">
        <v>243411</v>
      </c>
      <c r="M1104" t="s">
        <v>1058</v>
      </c>
    </row>
    <row r="1105" spans="12:13" x14ac:dyDescent="0.25">
      <c r="L1105" s="64">
        <v>243412</v>
      </c>
      <c r="M1105" t="s">
        <v>1059</v>
      </c>
    </row>
    <row r="1106" spans="12:13" x14ac:dyDescent="0.25">
      <c r="L1106" s="64">
        <v>243413</v>
      </c>
      <c r="M1106" t="s">
        <v>1060</v>
      </c>
    </row>
    <row r="1107" spans="12:13" x14ac:dyDescent="0.25">
      <c r="L1107" s="64">
        <v>243414</v>
      </c>
      <c r="M1107" t="s">
        <v>1061</v>
      </c>
    </row>
    <row r="1108" spans="12:13" x14ac:dyDescent="0.25">
      <c r="L1108" s="64">
        <v>243415</v>
      </c>
      <c r="M1108" t="s">
        <v>1062</v>
      </c>
    </row>
    <row r="1109" spans="12:13" x14ac:dyDescent="0.25">
      <c r="L1109" s="64">
        <v>243420</v>
      </c>
      <c r="M1109" t="s">
        <v>1063</v>
      </c>
    </row>
    <row r="1110" spans="12:13" x14ac:dyDescent="0.25">
      <c r="L1110" s="64">
        <v>243421</v>
      </c>
      <c r="M1110" t="s">
        <v>1064</v>
      </c>
    </row>
    <row r="1111" spans="12:13" x14ac:dyDescent="0.25">
      <c r="L1111" s="64">
        <v>243422</v>
      </c>
      <c r="M1111" t="s">
        <v>1065</v>
      </c>
    </row>
    <row r="1112" spans="12:13" x14ac:dyDescent="0.25">
      <c r="L1112" s="64">
        <v>243425</v>
      </c>
      <c r="M1112" t="s">
        <v>1066</v>
      </c>
    </row>
    <row r="1113" spans="12:13" x14ac:dyDescent="0.25">
      <c r="L1113" s="64">
        <v>244000</v>
      </c>
      <c r="M1113" t="s">
        <v>1067</v>
      </c>
    </row>
    <row r="1114" spans="12:13" x14ac:dyDescent="0.25">
      <c r="L1114" s="64">
        <v>244100</v>
      </c>
      <c r="M1114" t="s">
        <v>1068</v>
      </c>
    </row>
    <row r="1115" spans="12:13" x14ac:dyDescent="0.25">
      <c r="L1115" s="64">
        <v>244110</v>
      </c>
      <c r="M1115" t="s">
        <v>1069</v>
      </c>
    </row>
    <row r="1116" spans="12:13" x14ac:dyDescent="0.25">
      <c r="L1116" s="64">
        <v>244111</v>
      </c>
      <c r="M1116" t="s">
        <v>1070</v>
      </c>
    </row>
    <row r="1117" spans="12:13" x14ac:dyDescent="0.25">
      <c r="L1117" s="64">
        <v>244112</v>
      </c>
      <c r="M1117" t="s">
        <v>1071</v>
      </c>
    </row>
    <row r="1118" spans="12:13" x14ac:dyDescent="0.25">
      <c r="L1118" s="64">
        <v>244113</v>
      </c>
      <c r="M1118" t="s">
        <v>1072</v>
      </c>
    </row>
    <row r="1119" spans="12:13" x14ac:dyDescent="0.25">
      <c r="L1119" s="64">
        <v>244114</v>
      </c>
      <c r="M1119" t="s">
        <v>1073</v>
      </c>
    </row>
    <row r="1120" spans="12:13" x14ac:dyDescent="0.25">
      <c r="L1120" s="64">
        <v>244119</v>
      </c>
      <c r="M1120" t="s">
        <v>1074</v>
      </c>
    </row>
    <row r="1121" spans="12:13" x14ac:dyDescent="0.25">
      <c r="L1121" s="64">
        <v>244120</v>
      </c>
      <c r="M1121" t="s">
        <v>1075</v>
      </c>
    </row>
    <row r="1122" spans="12:13" x14ac:dyDescent="0.25">
      <c r="L1122" s="64">
        <v>244121</v>
      </c>
      <c r="M1122" t="s">
        <v>1076</v>
      </c>
    </row>
    <row r="1123" spans="12:13" x14ac:dyDescent="0.25">
      <c r="L1123" s="64">
        <v>244122</v>
      </c>
      <c r="M1123" t="s">
        <v>1077</v>
      </c>
    </row>
    <row r="1124" spans="12:13" x14ac:dyDescent="0.25">
      <c r="L1124" s="64">
        <v>244123</v>
      </c>
      <c r="M1124" t="s">
        <v>1078</v>
      </c>
    </row>
    <row r="1125" spans="12:13" x14ac:dyDescent="0.25">
      <c r="L1125" s="64">
        <v>244124</v>
      </c>
      <c r="M1125" t="s">
        <v>1079</v>
      </c>
    </row>
    <row r="1126" spans="12:13" x14ac:dyDescent="0.25">
      <c r="L1126" s="64">
        <v>244125</v>
      </c>
      <c r="M1126" t="s">
        <v>1080</v>
      </c>
    </row>
    <row r="1127" spans="12:13" x14ac:dyDescent="0.25">
      <c r="L1127" s="64">
        <v>244126</v>
      </c>
      <c r="M1127" t="s">
        <v>1081</v>
      </c>
    </row>
    <row r="1128" spans="12:13" x14ac:dyDescent="0.25">
      <c r="L1128" s="64">
        <v>244129</v>
      </c>
      <c r="M1128" t="s">
        <v>1082</v>
      </c>
    </row>
    <row r="1129" spans="12:13" x14ac:dyDescent="0.25">
      <c r="L1129" s="64">
        <v>244190</v>
      </c>
      <c r="M1129" t="s">
        <v>1083</v>
      </c>
    </row>
    <row r="1130" spans="12:13" x14ac:dyDescent="0.25">
      <c r="L1130" s="64">
        <v>244191</v>
      </c>
      <c r="M1130" t="s">
        <v>1084</v>
      </c>
    </row>
    <row r="1131" spans="12:13" x14ac:dyDescent="0.25">
      <c r="L1131" s="64">
        <v>244192</v>
      </c>
      <c r="M1131" t="s">
        <v>1085</v>
      </c>
    </row>
    <row r="1132" spans="12:13" x14ac:dyDescent="0.25">
      <c r="L1132" s="64">
        <v>244193</v>
      </c>
      <c r="M1132" t="s">
        <v>1086</v>
      </c>
    </row>
    <row r="1133" spans="12:13" x14ac:dyDescent="0.25">
      <c r="L1133" s="64">
        <v>244194</v>
      </c>
      <c r="M1133" t="s">
        <v>1087</v>
      </c>
    </row>
    <row r="1134" spans="12:13" x14ac:dyDescent="0.25">
      <c r="L1134" s="64">
        <v>244195</v>
      </c>
      <c r="M1134" t="s">
        <v>1088</v>
      </c>
    </row>
    <row r="1135" spans="12:13" x14ac:dyDescent="0.25">
      <c r="L1135" s="64">
        <v>244200</v>
      </c>
      <c r="M1135" t="s">
        <v>1089</v>
      </c>
    </row>
    <row r="1136" spans="12:13" x14ac:dyDescent="0.25">
      <c r="L1136" s="64">
        <v>244210</v>
      </c>
      <c r="M1136" t="s">
        <v>1090</v>
      </c>
    </row>
    <row r="1137" spans="12:13" x14ac:dyDescent="0.25">
      <c r="L1137" s="64">
        <v>244211</v>
      </c>
      <c r="M1137" t="s">
        <v>1091</v>
      </c>
    </row>
    <row r="1138" spans="12:13" x14ac:dyDescent="0.25">
      <c r="L1138" s="64">
        <v>244212</v>
      </c>
      <c r="M1138" t="s">
        <v>1092</v>
      </c>
    </row>
    <row r="1139" spans="12:13" x14ac:dyDescent="0.25">
      <c r="L1139" s="64">
        <v>244213</v>
      </c>
      <c r="M1139" t="s">
        <v>1093</v>
      </c>
    </row>
    <row r="1140" spans="12:13" x14ac:dyDescent="0.25">
      <c r="L1140" s="64">
        <v>244220</v>
      </c>
      <c r="M1140" t="s">
        <v>1094</v>
      </c>
    </row>
    <row r="1141" spans="12:13" x14ac:dyDescent="0.25">
      <c r="L1141" s="64">
        <v>244221</v>
      </c>
      <c r="M1141" t="s">
        <v>1094</v>
      </c>
    </row>
    <row r="1142" spans="12:13" x14ac:dyDescent="0.25">
      <c r="L1142" s="64">
        <v>244230</v>
      </c>
      <c r="M1142" t="s">
        <v>1095</v>
      </c>
    </row>
    <row r="1143" spans="12:13" x14ac:dyDescent="0.25">
      <c r="L1143" s="64">
        <v>244231</v>
      </c>
      <c r="M1143" t="s">
        <v>1095</v>
      </c>
    </row>
    <row r="1144" spans="12:13" x14ac:dyDescent="0.25">
      <c r="L1144" s="64">
        <v>244240</v>
      </c>
      <c r="M1144" t="s">
        <v>1096</v>
      </c>
    </row>
    <row r="1145" spans="12:13" x14ac:dyDescent="0.25">
      <c r="L1145" s="64">
        <v>244241</v>
      </c>
      <c r="M1145" t="s">
        <v>1096</v>
      </c>
    </row>
    <row r="1146" spans="12:13" x14ac:dyDescent="0.25">
      <c r="L1146" s="64">
        <v>244250</v>
      </c>
      <c r="M1146" t="s">
        <v>1097</v>
      </c>
    </row>
    <row r="1147" spans="12:13" x14ac:dyDescent="0.25">
      <c r="L1147" s="64">
        <v>244251</v>
      </c>
      <c r="M1147" t="s">
        <v>1098</v>
      </c>
    </row>
    <row r="1148" spans="12:13" x14ac:dyDescent="0.25">
      <c r="L1148" s="64">
        <v>244252</v>
      </c>
      <c r="M1148" t="s">
        <v>1099</v>
      </c>
    </row>
    <row r="1149" spans="12:13" x14ac:dyDescent="0.25">
      <c r="L1149" s="64">
        <v>244260</v>
      </c>
      <c r="M1149" t="s">
        <v>1100</v>
      </c>
    </row>
    <row r="1150" spans="12:13" x14ac:dyDescent="0.25">
      <c r="L1150" s="64">
        <v>244261</v>
      </c>
      <c r="M1150" t="s">
        <v>1100</v>
      </c>
    </row>
    <row r="1151" spans="12:13" x14ac:dyDescent="0.25">
      <c r="L1151" s="64">
        <v>244270</v>
      </c>
      <c r="M1151" t="s">
        <v>1101</v>
      </c>
    </row>
    <row r="1152" spans="12:13" x14ac:dyDescent="0.25">
      <c r="L1152" s="64">
        <v>244271</v>
      </c>
      <c r="M1152" t="s">
        <v>1102</v>
      </c>
    </row>
    <row r="1153" spans="12:13" x14ac:dyDescent="0.25">
      <c r="L1153" s="64">
        <v>244272</v>
      </c>
      <c r="M1153" t="s">
        <v>1103</v>
      </c>
    </row>
    <row r="1154" spans="12:13" x14ac:dyDescent="0.25">
      <c r="L1154" s="64">
        <v>244273</v>
      </c>
      <c r="M1154" t="s">
        <v>1104</v>
      </c>
    </row>
    <row r="1155" spans="12:13" x14ac:dyDescent="0.25">
      <c r="L1155" s="64">
        <v>244274</v>
      </c>
      <c r="M1155" t="s">
        <v>1105</v>
      </c>
    </row>
    <row r="1156" spans="12:13" x14ac:dyDescent="0.25">
      <c r="L1156" s="64">
        <v>244280</v>
      </c>
      <c r="M1156" t="s">
        <v>1106</v>
      </c>
    </row>
    <row r="1157" spans="12:13" x14ac:dyDescent="0.25">
      <c r="L1157" s="64">
        <v>244281</v>
      </c>
      <c r="M1157" t="s">
        <v>1106</v>
      </c>
    </row>
    <row r="1158" spans="12:13" x14ac:dyDescent="0.25">
      <c r="L1158" s="64">
        <v>244290</v>
      </c>
      <c r="M1158" t="s">
        <v>1107</v>
      </c>
    </row>
    <row r="1159" spans="12:13" x14ac:dyDescent="0.25">
      <c r="L1159" s="64">
        <v>244291</v>
      </c>
      <c r="M1159" t="s">
        <v>1108</v>
      </c>
    </row>
    <row r="1160" spans="12:13" x14ac:dyDescent="0.25">
      <c r="L1160" s="64">
        <v>244292</v>
      </c>
      <c r="M1160" t="s">
        <v>1109</v>
      </c>
    </row>
    <row r="1161" spans="12:13" x14ac:dyDescent="0.25">
      <c r="L1161" s="64">
        <v>244293</v>
      </c>
      <c r="M1161" t="s">
        <v>1110</v>
      </c>
    </row>
    <row r="1162" spans="12:13" x14ac:dyDescent="0.25">
      <c r="L1162" s="64">
        <v>245000</v>
      </c>
      <c r="M1162" t="s">
        <v>1111</v>
      </c>
    </row>
    <row r="1163" spans="12:13" x14ac:dyDescent="0.25">
      <c r="L1163" s="64">
        <v>245100</v>
      </c>
      <c r="M1163" t="s">
        <v>1112</v>
      </c>
    </row>
    <row r="1164" spans="12:13" x14ac:dyDescent="0.25">
      <c r="L1164" s="64">
        <v>245110</v>
      </c>
      <c r="M1164" t="s">
        <v>1113</v>
      </c>
    </row>
    <row r="1165" spans="12:13" x14ac:dyDescent="0.25">
      <c r="L1165" s="64">
        <v>245111</v>
      </c>
      <c r="M1165" t="s">
        <v>1113</v>
      </c>
    </row>
    <row r="1166" spans="12:13" x14ac:dyDescent="0.25">
      <c r="L1166" s="64">
        <v>245112</v>
      </c>
      <c r="M1166" t="s">
        <v>1114</v>
      </c>
    </row>
    <row r="1167" spans="12:13" x14ac:dyDescent="0.25">
      <c r="L1167" s="64">
        <v>245113</v>
      </c>
      <c r="M1167" t="s">
        <v>1115</v>
      </c>
    </row>
    <row r="1168" spans="12:13" x14ac:dyDescent="0.25">
      <c r="L1168" s="64">
        <v>245190</v>
      </c>
      <c r="M1168" t="s">
        <v>1116</v>
      </c>
    </row>
    <row r="1169" spans="12:13" x14ac:dyDescent="0.25">
      <c r="L1169" s="64">
        <v>245191</v>
      </c>
      <c r="M1169" t="s">
        <v>1117</v>
      </c>
    </row>
    <row r="1170" spans="12:13" x14ac:dyDescent="0.25">
      <c r="L1170" s="64">
        <v>245192</v>
      </c>
      <c r="M1170" t="s">
        <v>1118</v>
      </c>
    </row>
    <row r="1171" spans="12:13" x14ac:dyDescent="0.25">
      <c r="L1171" s="64">
        <v>245193</v>
      </c>
      <c r="M1171" t="s">
        <v>1119</v>
      </c>
    </row>
    <row r="1172" spans="12:13" x14ac:dyDescent="0.25">
      <c r="L1172" s="64">
        <v>245194</v>
      </c>
      <c r="M1172" t="s">
        <v>1120</v>
      </c>
    </row>
    <row r="1173" spans="12:13" x14ac:dyDescent="0.25">
      <c r="L1173" s="64">
        <v>245195</v>
      </c>
      <c r="M1173" t="s">
        <v>1121</v>
      </c>
    </row>
    <row r="1174" spans="12:13" x14ac:dyDescent="0.25">
      <c r="L1174" s="64">
        <v>245196</v>
      </c>
      <c r="M1174" t="s">
        <v>1122</v>
      </c>
    </row>
    <row r="1175" spans="12:13" x14ac:dyDescent="0.25">
      <c r="L1175" s="64">
        <v>245199</v>
      </c>
      <c r="M1175" t="s">
        <v>1116</v>
      </c>
    </row>
    <row r="1176" spans="12:13" x14ac:dyDescent="0.25">
      <c r="L1176" s="64">
        <v>245200</v>
      </c>
      <c r="M1176" t="s">
        <v>1123</v>
      </c>
    </row>
    <row r="1177" spans="12:13" x14ac:dyDescent="0.25">
      <c r="L1177" s="64">
        <v>245210</v>
      </c>
      <c r="M1177" t="s">
        <v>1124</v>
      </c>
    </row>
    <row r="1178" spans="12:13" x14ac:dyDescent="0.25">
      <c r="L1178" s="64">
        <v>245211</v>
      </c>
      <c r="M1178" t="s">
        <v>1125</v>
      </c>
    </row>
    <row r="1179" spans="12:13" x14ac:dyDescent="0.25">
      <c r="L1179" s="64">
        <v>245212</v>
      </c>
      <c r="M1179" t="s">
        <v>1126</v>
      </c>
    </row>
    <row r="1180" spans="12:13" x14ac:dyDescent="0.25">
      <c r="L1180" s="64">
        <v>245213</v>
      </c>
      <c r="M1180" t="s">
        <v>1127</v>
      </c>
    </row>
    <row r="1181" spans="12:13" x14ac:dyDescent="0.25">
      <c r="L1181" s="64">
        <v>245214</v>
      </c>
      <c r="M1181" t="s">
        <v>1128</v>
      </c>
    </row>
    <row r="1182" spans="12:13" x14ac:dyDescent="0.25">
      <c r="L1182" s="64">
        <v>245219</v>
      </c>
      <c r="M1182" t="s">
        <v>1129</v>
      </c>
    </row>
    <row r="1183" spans="12:13" x14ac:dyDescent="0.25">
      <c r="L1183" s="64">
        <v>245220</v>
      </c>
      <c r="M1183" t="s">
        <v>1130</v>
      </c>
    </row>
    <row r="1184" spans="12:13" x14ac:dyDescent="0.25">
      <c r="L1184" s="64">
        <v>245221</v>
      </c>
      <c r="M1184" t="s">
        <v>1131</v>
      </c>
    </row>
    <row r="1185" spans="12:13" x14ac:dyDescent="0.25">
      <c r="L1185" s="64">
        <v>245222</v>
      </c>
      <c r="M1185" t="s">
        <v>1132</v>
      </c>
    </row>
    <row r="1186" spans="12:13" x14ac:dyDescent="0.25">
      <c r="L1186" s="64">
        <v>245223</v>
      </c>
      <c r="M1186" t="s">
        <v>1133</v>
      </c>
    </row>
    <row r="1187" spans="12:13" x14ac:dyDescent="0.25">
      <c r="L1187" s="64">
        <v>245224</v>
      </c>
      <c r="M1187" t="s">
        <v>1134</v>
      </c>
    </row>
    <row r="1188" spans="12:13" x14ac:dyDescent="0.25">
      <c r="L1188" s="64">
        <v>245225</v>
      </c>
      <c r="M1188" t="s">
        <v>1135</v>
      </c>
    </row>
    <row r="1189" spans="12:13" x14ac:dyDescent="0.25">
      <c r="L1189" s="64">
        <v>245230</v>
      </c>
      <c r="M1189" t="s">
        <v>1136</v>
      </c>
    </row>
    <row r="1190" spans="12:13" x14ac:dyDescent="0.25">
      <c r="L1190" s="64">
        <v>245231</v>
      </c>
      <c r="M1190" t="s">
        <v>1137</v>
      </c>
    </row>
    <row r="1191" spans="12:13" x14ac:dyDescent="0.25">
      <c r="L1191" s="64">
        <v>245232</v>
      </c>
      <c r="M1191" t="s">
        <v>1138</v>
      </c>
    </row>
    <row r="1192" spans="12:13" x14ac:dyDescent="0.25">
      <c r="L1192" s="64">
        <v>245233</v>
      </c>
      <c r="M1192" t="s">
        <v>1139</v>
      </c>
    </row>
    <row r="1193" spans="12:13" x14ac:dyDescent="0.25">
      <c r="L1193" s="64">
        <v>245234</v>
      </c>
      <c r="M1193" t="s">
        <v>1140</v>
      </c>
    </row>
    <row r="1194" spans="12:13" x14ac:dyDescent="0.25">
      <c r="L1194" s="64">
        <v>245240</v>
      </c>
      <c r="M1194" t="s">
        <v>1141</v>
      </c>
    </row>
    <row r="1195" spans="12:13" x14ac:dyDescent="0.25">
      <c r="L1195" s="64">
        <v>245241</v>
      </c>
      <c r="M1195" t="s">
        <v>1142</v>
      </c>
    </row>
    <row r="1196" spans="12:13" x14ac:dyDescent="0.25">
      <c r="L1196" s="64">
        <v>245242</v>
      </c>
      <c r="M1196" t="s">
        <v>1143</v>
      </c>
    </row>
    <row r="1197" spans="12:13" x14ac:dyDescent="0.25">
      <c r="L1197" s="64">
        <v>245243</v>
      </c>
      <c r="M1197" t="s">
        <v>1144</v>
      </c>
    </row>
    <row r="1198" spans="12:13" x14ac:dyDescent="0.25">
      <c r="L1198" s="64">
        <v>245244</v>
      </c>
      <c r="M1198" t="s">
        <v>1145</v>
      </c>
    </row>
    <row r="1199" spans="12:13" x14ac:dyDescent="0.25">
      <c r="L1199" s="64">
        <v>245245</v>
      </c>
      <c r="M1199" t="s">
        <v>1146</v>
      </c>
    </row>
    <row r="1200" spans="12:13" x14ac:dyDescent="0.25">
      <c r="L1200" s="64">
        <v>245246</v>
      </c>
      <c r="M1200" t="s">
        <v>1147</v>
      </c>
    </row>
    <row r="1201" spans="12:13" x14ac:dyDescent="0.25">
      <c r="L1201" s="64">
        <v>245247</v>
      </c>
      <c r="M1201" t="s">
        <v>1148</v>
      </c>
    </row>
    <row r="1202" spans="12:13" x14ac:dyDescent="0.25">
      <c r="L1202" s="64">
        <v>245248</v>
      </c>
      <c r="M1202" t="s">
        <v>1149</v>
      </c>
    </row>
    <row r="1203" spans="12:13" x14ac:dyDescent="0.25">
      <c r="L1203" s="64">
        <v>245249</v>
      </c>
      <c r="M1203" t="s">
        <v>1150</v>
      </c>
    </row>
    <row r="1204" spans="12:13" x14ac:dyDescent="0.25">
      <c r="L1204" s="64">
        <v>245300</v>
      </c>
      <c r="M1204" t="s">
        <v>1151</v>
      </c>
    </row>
    <row r="1205" spans="12:13" x14ac:dyDescent="0.25">
      <c r="L1205" s="64">
        <v>245310</v>
      </c>
      <c r="M1205" t="s">
        <v>1151</v>
      </c>
    </row>
    <row r="1206" spans="12:13" x14ac:dyDescent="0.25">
      <c r="L1206" s="64">
        <v>245311</v>
      </c>
      <c r="M1206" t="s">
        <v>1151</v>
      </c>
    </row>
    <row r="1207" spans="12:13" x14ac:dyDescent="0.25">
      <c r="L1207" s="64">
        <v>245400</v>
      </c>
      <c r="M1207" t="s">
        <v>1152</v>
      </c>
    </row>
    <row r="1208" spans="12:13" x14ac:dyDescent="0.25">
      <c r="L1208" s="64">
        <v>245410</v>
      </c>
      <c r="M1208" t="s">
        <v>1152</v>
      </c>
    </row>
    <row r="1209" spans="12:13" x14ac:dyDescent="0.25">
      <c r="L1209" s="64">
        <v>245411</v>
      </c>
      <c r="M1209" t="s">
        <v>1152</v>
      </c>
    </row>
    <row r="1210" spans="12:13" x14ac:dyDescent="0.25">
      <c r="L1210" s="64">
        <v>245420</v>
      </c>
      <c r="M1210" t="s">
        <v>1153</v>
      </c>
    </row>
    <row r="1211" spans="12:13" x14ac:dyDescent="0.25">
      <c r="L1211" s="64">
        <v>245421</v>
      </c>
      <c r="M1211" t="s">
        <v>1153</v>
      </c>
    </row>
    <row r="1212" spans="12:13" x14ac:dyDescent="0.25">
      <c r="L1212" s="64">
        <v>245500</v>
      </c>
      <c r="M1212" t="s">
        <v>1154</v>
      </c>
    </row>
    <row r="1213" spans="12:13" x14ac:dyDescent="0.25">
      <c r="L1213" s="64">
        <v>245510</v>
      </c>
      <c r="M1213" t="s">
        <v>1154</v>
      </c>
    </row>
    <row r="1214" spans="12:13" x14ac:dyDescent="0.25">
      <c r="L1214" s="64">
        <v>245511</v>
      </c>
      <c r="M1214" t="s">
        <v>1154</v>
      </c>
    </row>
    <row r="1215" spans="12:13" x14ac:dyDescent="0.25">
      <c r="L1215" s="64">
        <v>250000</v>
      </c>
      <c r="M1215" t="s">
        <v>1155</v>
      </c>
    </row>
    <row r="1216" spans="12:13" x14ac:dyDescent="0.25">
      <c r="L1216" s="64">
        <v>251000</v>
      </c>
      <c r="M1216" t="s">
        <v>1156</v>
      </c>
    </row>
    <row r="1217" spans="12:13" x14ac:dyDescent="0.25">
      <c r="L1217" s="64">
        <v>251100</v>
      </c>
      <c r="M1217" t="s">
        <v>1157</v>
      </c>
    </row>
    <row r="1218" spans="12:13" x14ac:dyDescent="0.25">
      <c r="L1218" s="64">
        <v>251110</v>
      </c>
      <c r="M1218" t="s">
        <v>1157</v>
      </c>
    </row>
    <row r="1219" spans="12:13" x14ac:dyDescent="0.25">
      <c r="L1219" s="64">
        <v>251111</v>
      </c>
      <c r="M1219" t="s">
        <v>1157</v>
      </c>
    </row>
    <row r="1220" spans="12:13" x14ac:dyDescent="0.25">
      <c r="L1220" s="64">
        <v>251200</v>
      </c>
      <c r="M1220" t="s">
        <v>1158</v>
      </c>
    </row>
    <row r="1221" spans="12:13" x14ac:dyDescent="0.25">
      <c r="L1221" s="64">
        <v>251210</v>
      </c>
      <c r="M1221" t="s">
        <v>1158</v>
      </c>
    </row>
    <row r="1222" spans="12:13" x14ac:dyDescent="0.25">
      <c r="L1222" s="64">
        <v>251211</v>
      </c>
      <c r="M1222" t="s">
        <v>1158</v>
      </c>
    </row>
    <row r="1223" spans="12:13" x14ac:dyDescent="0.25">
      <c r="L1223" s="64">
        <v>251212</v>
      </c>
      <c r="M1223" t="s">
        <v>1159</v>
      </c>
    </row>
    <row r="1224" spans="12:13" x14ac:dyDescent="0.25">
      <c r="L1224" s="64">
        <v>251219</v>
      </c>
      <c r="M1224" t="s">
        <v>1160</v>
      </c>
    </row>
    <row r="1225" spans="12:13" x14ac:dyDescent="0.25">
      <c r="L1225" s="64">
        <v>251300</v>
      </c>
      <c r="M1225" t="s">
        <v>1161</v>
      </c>
    </row>
    <row r="1226" spans="12:13" x14ac:dyDescent="0.25">
      <c r="L1226" s="64">
        <v>251310</v>
      </c>
      <c r="M1226" t="s">
        <v>1161</v>
      </c>
    </row>
    <row r="1227" spans="12:13" x14ac:dyDescent="0.25">
      <c r="L1227" s="64">
        <v>251311</v>
      </c>
      <c r="M1227" t="s">
        <v>1161</v>
      </c>
    </row>
    <row r="1228" spans="12:13" x14ac:dyDescent="0.25">
      <c r="L1228" s="64">
        <v>252000</v>
      </c>
      <c r="M1228" t="s">
        <v>1162</v>
      </c>
    </row>
    <row r="1229" spans="12:13" x14ac:dyDescent="0.25">
      <c r="L1229" s="64">
        <v>252100</v>
      </c>
      <c r="M1229" t="s">
        <v>1163</v>
      </c>
    </row>
    <row r="1230" spans="12:13" x14ac:dyDescent="0.25">
      <c r="L1230" s="64">
        <v>252110</v>
      </c>
      <c r="M1230" t="s">
        <v>1163</v>
      </c>
    </row>
    <row r="1231" spans="12:13" x14ac:dyDescent="0.25">
      <c r="L1231" s="64">
        <v>252111</v>
      </c>
      <c r="M1231" t="s">
        <v>1163</v>
      </c>
    </row>
    <row r="1232" spans="12:13" x14ac:dyDescent="0.25">
      <c r="L1232" s="64">
        <v>252200</v>
      </c>
      <c r="M1232" t="s">
        <v>1164</v>
      </c>
    </row>
    <row r="1233" spans="12:13" x14ac:dyDescent="0.25">
      <c r="L1233" s="64">
        <v>252210</v>
      </c>
      <c r="M1233" t="s">
        <v>1164</v>
      </c>
    </row>
    <row r="1234" spans="12:13" x14ac:dyDescent="0.25">
      <c r="L1234" s="64">
        <v>252211</v>
      </c>
      <c r="M1234" t="s">
        <v>1164</v>
      </c>
    </row>
    <row r="1235" spans="12:13" x14ac:dyDescent="0.25">
      <c r="L1235" s="64">
        <v>253000</v>
      </c>
      <c r="M1235" t="s">
        <v>1165</v>
      </c>
    </row>
    <row r="1236" spans="12:13" x14ac:dyDescent="0.25">
      <c r="L1236" s="64">
        <v>253100</v>
      </c>
      <c r="M1236" t="s">
        <v>1165</v>
      </c>
    </row>
    <row r="1237" spans="12:13" x14ac:dyDescent="0.25">
      <c r="L1237" s="64">
        <v>253110</v>
      </c>
      <c r="M1237" t="s">
        <v>1165</v>
      </c>
    </row>
    <row r="1238" spans="12:13" x14ac:dyDescent="0.25">
      <c r="L1238" s="64">
        <v>253111</v>
      </c>
      <c r="M1238" t="s">
        <v>1166</v>
      </c>
    </row>
    <row r="1239" spans="12:13" x14ac:dyDescent="0.25">
      <c r="L1239" s="64">
        <v>253112</v>
      </c>
      <c r="M1239" t="s">
        <v>1167</v>
      </c>
    </row>
    <row r="1240" spans="12:13" x14ac:dyDescent="0.25">
      <c r="L1240" s="64">
        <v>254000</v>
      </c>
      <c r="M1240" t="s">
        <v>1168</v>
      </c>
    </row>
    <row r="1241" spans="12:13" x14ac:dyDescent="0.25">
      <c r="L1241" s="64">
        <v>254100</v>
      </c>
      <c r="M1241" t="s">
        <v>1169</v>
      </c>
    </row>
    <row r="1242" spans="12:13" x14ac:dyDescent="0.25">
      <c r="L1242" s="64">
        <v>254110</v>
      </c>
      <c r="M1242" t="s">
        <v>1169</v>
      </c>
    </row>
    <row r="1243" spans="12:13" x14ac:dyDescent="0.25">
      <c r="L1243" s="64">
        <v>254111</v>
      </c>
      <c r="M1243" t="s">
        <v>1170</v>
      </c>
    </row>
    <row r="1244" spans="12:13" x14ac:dyDescent="0.25">
      <c r="L1244" s="64">
        <v>254112</v>
      </c>
      <c r="M1244" t="s">
        <v>1171</v>
      </c>
    </row>
    <row r="1245" spans="12:13" x14ac:dyDescent="0.25">
      <c r="L1245" s="64">
        <v>254113</v>
      </c>
      <c r="M1245" t="s">
        <v>1172</v>
      </c>
    </row>
    <row r="1246" spans="12:13" x14ac:dyDescent="0.25">
      <c r="L1246" s="64">
        <v>254114</v>
      </c>
      <c r="M1246" t="s">
        <v>1173</v>
      </c>
    </row>
    <row r="1247" spans="12:13" x14ac:dyDescent="0.25">
      <c r="L1247" s="64">
        <v>254200</v>
      </c>
      <c r="M1247" t="s">
        <v>1174</v>
      </c>
    </row>
    <row r="1248" spans="12:13" x14ac:dyDescent="0.25">
      <c r="L1248" s="64">
        <v>254210</v>
      </c>
      <c r="M1248" t="s">
        <v>1174</v>
      </c>
    </row>
    <row r="1249" spans="12:13" x14ac:dyDescent="0.25">
      <c r="L1249" s="64">
        <v>254211</v>
      </c>
      <c r="M1249" t="s">
        <v>1174</v>
      </c>
    </row>
    <row r="1250" spans="12:13" x14ac:dyDescent="0.25">
      <c r="L1250" s="64">
        <v>254900</v>
      </c>
      <c r="M1250" t="s">
        <v>1175</v>
      </c>
    </row>
    <row r="1251" spans="12:13" x14ac:dyDescent="0.25">
      <c r="L1251" s="64">
        <v>254910</v>
      </c>
      <c r="M1251" t="s">
        <v>1176</v>
      </c>
    </row>
    <row r="1252" spans="12:13" x14ac:dyDescent="0.25">
      <c r="L1252" s="64">
        <v>254911</v>
      </c>
      <c r="M1252" t="s">
        <v>1177</v>
      </c>
    </row>
    <row r="1253" spans="12:13" x14ac:dyDescent="0.25">
      <c r="L1253" s="64">
        <v>254912</v>
      </c>
      <c r="M1253" t="s">
        <v>1178</v>
      </c>
    </row>
    <row r="1254" spans="12:13" x14ac:dyDescent="0.25">
      <c r="L1254" s="64">
        <v>254913</v>
      </c>
      <c r="M1254" t="s">
        <v>1179</v>
      </c>
    </row>
    <row r="1255" spans="12:13" x14ac:dyDescent="0.25">
      <c r="L1255" s="64">
        <v>254920</v>
      </c>
      <c r="M1255" t="s">
        <v>1180</v>
      </c>
    </row>
    <row r="1256" spans="12:13" x14ac:dyDescent="0.25">
      <c r="L1256" s="64">
        <v>254921</v>
      </c>
      <c r="M1256" t="s">
        <v>1181</v>
      </c>
    </row>
    <row r="1257" spans="12:13" x14ac:dyDescent="0.25">
      <c r="L1257" s="64">
        <v>254922</v>
      </c>
      <c r="M1257" t="s">
        <v>1182</v>
      </c>
    </row>
    <row r="1258" spans="12:13" x14ac:dyDescent="0.25">
      <c r="L1258" s="64">
        <v>254930</v>
      </c>
      <c r="M1258" t="s">
        <v>1183</v>
      </c>
    </row>
    <row r="1259" spans="12:13" x14ac:dyDescent="0.25">
      <c r="L1259" s="64">
        <v>254931</v>
      </c>
      <c r="M1259" t="s">
        <v>1183</v>
      </c>
    </row>
    <row r="1260" spans="12:13" x14ac:dyDescent="0.25">
      <c r="L1260" s="64">
        <v>254932</v>
      </c>
      <c r="M1260" t="s">
        <v>1184</v>
      </c>
    </row>
    <row r="1261" spans="12:13" x14ac:dyDescent="0.25">
      <c r="L1261" s="64">
        <v>290000</v>
      </c>
      <c r="M1261" t="s">
        <v>1185</v>
      </c>
    </row>
    <row r="1262" spans="12:13" x14ac:dyDescent="0.25">
      <c r="L1262" s="64">
        <v>291000</v>
      </c>
      <c r="M1262" t="s">
        <v>1185</v>
      </c>
    </row>
    <row r="1263" spans="12:13" x14ac:dyDescent="0.25">
      <c r="L1263" s="64">
        <v>291100</v>
      </c>
      <c r="M1263" t="s">
        <v>1186</v>
      </c>
    </row>
    <row r="1264" spans="12:13" x14ac:dyDescent="0.25">
      <c r="L1264" s="64">
        <v>291110</v>
      </c>
      <c r="M1264" t="s">
        <v>1187</v>
      </c>
    </row>
    <row r="1265" spans="12:13" x14ac:dyDescent="0.25">
      <c r="L1265" s="64">
        <v>291111</v>
      </c>
      <c r="M1265" t="s">
        <v>1187</v>
      </c>
    </row>
    <row r="1266" spans="12:13" x14ac:dyDescent="0.25">
      <c r="L1266" s="64">
        <v>291190</v>
      </c>
      <c r="M1266" t="s">
        <v>1188</v>
      </c>
    </row>
    <row r="1267" spans="12:13" x14ac:dyDescent="0.25">
      <c r="L1267" s="64">
        <v>291191</v>
      </c>
      <c r="M1267" t="s">
        <v>1188</v>
      </c>
    </row>
    <row r="1268" spans="12:13" x14ac:dyDescent="0.25">
      <c r="L1268" s="64">
        <v>291200</v>
      </c>
      <c r="M1268" t="s">
        <v>1189</v>
      </c>
    </row>
    <row r="1269" spans="12:13" x14ac:dyDescent="0.25">
      <c r="L1269" s="64">
        <v>291210</v>
      </c>
      <c r="M1269" t="s">
        <v>1190</v>
      </c>
    </row>
    <row r="1270" spans="12:13" x14ac:dyDescent="0.25">
      <c r="L1270" s="64">
        <v>291211</v>
      </c>
      <c r="M1270" t="s">
        <v>1191</v>
      </c>
    </row>
    <row r="1271" spans="12:13" x14ac:dyDescent="0.25">
      <c r="L1271" s="64">
        <v>291212</v>
      </c>
      <c r="M1271" t="s">
        <v>1192</v>
      </c>
    </row>
    <row r="1272" spans="12:13" x14ac:dyDescent="0.25">
      <c r="L1272" s="64">
        <v>291213</v>
      </c>
      <c r="M1272" t="s">
        <v>1193</v>
      </c>
    </row>
    <row r="1273" spans="12:13" x14ac:dyDescent="0.25">
      <c r="L1273" s="64">
        <v>291220</v>
      </c>
      <c r="M1273" t="s">
        <v>1194</v>
      </c>
    </row>
    <row r="1274" spans="12:13" x14ac:dyDescent="0.25">
      <c r="L1274" s="64">
        <v>291221</v>
      </c>
      <c r="M1274" t="s">
        <v>1194</v>
      </c>
    </row>
    <row r="1275" spans="12:13" x14ac:dyDescent="0.25">
      <c r="L1275" s="64">
        <v>291300</v>
      </c>
      <c r="M1275" t="s">
        <v>1195</v>
      </c>
    </row>
    <row r="1276" spans="12:13" x14ac:dyDescent="0.25">
      <c r="L1276" s="64">
        <v>291310</v>
      </c>
      <c r="M1276" t="s">
        <v>1195</v>
      </c>
    </row>
    <row r="1277" spans="12:13" x14ac:dyDescent="0.25">
      <c r="L1277" s="64">
        <v>291311</v>
      </c>
      <c r="M1277" t="s">
        <v>1196</v>
      </c>
    </row>
    <row r="1278" spans="12:13" x14ac:dyDescent="0.25">
      <c r="L1278" s="64">
        <v>291312</v>
      </c>
      <c r="M1278" t="s">
        <v>1197</v>
      </c>
    </row>
    <row r="1279" spans="12:13" x14ac:dyDescent="0.25">
      <c r="L1279" s="64">
        <v>291900</v>
      </c>
      <c r="M1279" t="s">
        <v>1198</v>
      </c>
    </row>
    <row r="1280" spans="12:13" x14ac:dyDescent="0.25">
      <c r="L1280" s="64">
        <v>291910</v>
      </c>
      <c r="M1280" t="s">
        <v>1198</v>
      </c>
    </row>
    <row r="1281" spans="12:13" x14ac:dyDescent="0.25">
      <c r="L1281" s="64">
        <v>291911</v>
      </c>
      <c r="M1281" t="s">
        <v>1199</v>
      </c>
    </row>
    <row r="1282" spans="12:13" x14ac:dyDescent="0.25">
      <c r="L1282" s="64">
        <v>291919</v>
      </c>
      <c r="M1282" t="s">
        <v>1198</v>
      </c>
    </row>
    <row r="1283" spans="12:13" x14ac:dyDescent="0.25">
      <c r="L1283" s="64">
        <v>300000</v>
      </c>
      <c r="M1283" t="s">
        <v>1200</v>
      </c>
    </row>
    <row r="1284" spans="12:13" x14ac:dyDescent="0.25">
      <c r="L1284" s="64">
        <v>310000</v>
      </c>
      <c r="M1284" t="s">
        <v>1201</v>
      </c>
    </row>
    <row r="1285" spans="12:13" x14ac:dyDescent="0.25">
      <c r="L1285" s="64">
        <v>311000</v>
      </c>
      <c r="M1285" t="s">
        <v>1201</v>
      </c>
    </row>
    <row r="1286" spans="12:13" x14ac:dyDescent="0.25">
      <c r="L1286" s="64">
        <v>311100</v>
      </c>
      <c r="M1286" t="s">
        <v>268</v>
      </c>
    </row>
    <row r="1287" spans="12:13" x14ac:dyDescent="0.25">
      <c r="L1287" s="65">
        <v>311110</v>
      </c>
      <c r="M1287" t="s">
        <v>1202</v>
      </c>
    </row>
    <row r="1288" spans="12:13" x14ac:dyDescent="0.25">
      <c r="L1288" s="64">
        <v>311111</v>
      </c>
      <c r="M1288" t="s">
        <v>270</v>
      </c>
    </row>
    <row r="1289" spans="12:13" x14ac:dyDescent="0.25">
      <c r="L1289" s="64">
        <v>311112</v>
      </c>
      <c r="M1289" t="s">
        <v>326</v>
      </c>
    </row>
    <row r="1290" spans="12:13" x14ac:dyDescent="0.25">
      <c r="L1290" s="64">
        <v>311113</v>
      </c>
      <c r="M1290" t="s">
        <v>393</v>
      </c>
    </row>
    <row r="1291" spans="12:13" x14ac:dyDescent="0.25">
      <c r="L1291" s="64">
        <v>311120</v>
      </c>
      <c r="M1291" t="s">
        <v>398</v>
      </c>
    </row>
    <row r="1292" spans="12:13" x14ac:dyDescent="0.25">
      <c r="L1292" s="64">
        <v>311121</v>
      </c>
      <c r="M1292" t="s">
        <v>398</v>
      </c>
    </row>
    <row r="1293" spans="12:13" x14ac:dyDescent="0.25">
      <c r="L1293" s="64">
        <v>311130</v>
      </c>
      <c r="M1293" t="s">
        <v>404</v>
      </c>
    </row>
    <row r="1294" spans="12:13" x14ac:dyDescent="0.25">
      <c r="L1294" s="64">
        <v>311131</v>
      </c>
      <c r="M1294" t="s">
        <v>404</v>
      </c>
    </row>
    <row r="1295" spans="12:13" x14ac:dyDescent="0.25">
      <c r="L1295" s="64">
        <v>311140</v>
      </c>
      <c r="M1295" t="s">
        <v>1203</v>
      </c>
    </row>
    <row r="1296" spans="12:13" x14ac:dyDescent="0.25">
      <c r="L1296" s="64">
        <v>311141</v>
      </c>
      <c r="M1296" t="s">
        <v>1203</v>
      </c>
    </row>
    <row r="1297" spans="12:13" x14ac:dyDescent="0.25">
      <c r="L1297" s="64">
        <v>311150</v>
      </c>
      <c r="M1297" t="s">
        <v>440</v>
      </c>
    </row>
    <row r="1298" spans="12:13" x14ac:dyDescent="0.25">
      <c r="L1298" s="64">
        <v>311151</v>
      </c>
      <c r="M1298" t="s">
        <v>440</v>
      </c>
    </row>
    <row r="1299" spans="12:13" x14ac:dyDescent="0.25">
      <c r="L1299" s="64">
        <v>311160</v>
      </c>
      <c r="M1299" t="s">
        <v>490</v>
      </c>
    </row>
    <row r="1300" spans="12:13" x14ac:dyDescent="0.25">
      <c r="L1300" s="64">
        <v>311161</v>
      </c>
      <c r="M1300" t="s">
        <v>490</v>
      </c>
    </row>
    <row r="1301" spans="12:13" x14ac:dyDescent="0.25">
      <c r="L1301" s="64">
        <v>311200</v>
      </c>
      <c r="M1301" t="s">
        <v>521</v>
      </c>
    </row>
    <row r="1302" spans="12:13" x14ac:dyDescent="0.25">
      <c r="L1302" s="64">
        <v>311210</v>
      </c>
      <c r="M1302" t="s">
        <v>1204</v>
      </c>
    </row>
    <row r="1303" spans="12:13" x14ac:dyDescent="0.25">
      <c r="L1303" s="64">
        <v>311211</v>
      </c>
      <c r="M1303" t="s">
        <v>1204</v>
      </c>
    </row>
    <row r="1304" spans="12:13" x14ac:dyDescent="0.25">
      <c r="L1304" s="64">
        <v>311220</v>
      </c>
      <c r="M1304" t="s">
        <v>1205</v>
      </c>
    </row>
    <row r="1305" spans="12:13" x14ac:dyDescent="0.25">
      <c r="L1305" s="64">
        <v>311221</v>
      </c>
      <c r="M1305" t="s">
        <v>1205</v>
      </c>
    </row>
    <row r="1306" spans="12:13" x14ac:dyDescent="0.25">
      <c r="L1306" s="64">
        <v>311230</v>
      </c>
      <c r="M1306" t="s">
        <v>1206</v>
      </c>
    </row>
    <row r="1307" spans="12:13" x14ac:dyDescent="0.25">
      <c r="L1307" s="64">
        <v>311231</v>
      </c>
      <c r="M1307" t="s">
        <v>1206</v>
      </c>
    </row>
    <row r="1308" spans="12:13" x14ac:dyDescent="0.25">
      <c r="L1308" s="64">
        <v>311240</v>
      </c>
      <c r="M1308" t="s">
        <v>1207</v>
      </c>
    </row>
    <row r="1309" spans="12:13" x14ac:dyDescent="0.25">
      <c r="L1309" s="64">
        <v>311241</v>
      </c>
      <c r="M1309" t="s">
        <v>1207</v>
      </c>
    </row>
    <row r="1310" spans="12:13" x14ac:dyDescent="0.25">
      <c r="L1310" s="64">
        <v>311250</v>
      </c>
      <c r="M1310" t="s">
        <v>1208</v>
      </c>
    </row>
    <row r="1311" spans="12:13" x14ac:dyDescent="0.25">
      <c r="L1311" s="64">
        <v>311251</v>
      </c>
      <c r="M1311" t="s">
        <v>1208</v>
      </c>
    </row>
    <row r="1312" spans="12:13" x14ac:dyDescent="0.25">
      <c r="L1312" s="64">
        <v>311260</v>
      </c>
      <c r="M1312" t="s">
        <v>541</v>
      </c>
    </row>
    <row r="1313" spans="12:13" x14ac:dyDescent="0.25">
      <c r="L1313" s="64">
        <v>311261</v>
      </c>
      <c r="M1313" t="s">
        <v>541</v>
      </c>
    </row>
    <row r="1314" spans="12:13" x14ac:dyDescent="0.25">
      <c r="L1314" s="64">
        <v>311270</v>
      </c>
      <c r="M1314" t="s">
        <v>538</v>
      </c>
    </row>
    <row r="1315" spans="12:13" x14ac:dyDescent="0.25">
      <c r="L1315" s="64">
        <v>311271</v>
      </c>
      <c r="M1315" t="s">
        <v>538</v>
      </c>
    </row>
    <row r="1316" spans="12:13" x14ac:dyDescent="0.25">
      <c r="L1316" s="64">
        <v>311300</v>
      </c>
      <c r="M1316" t="s">
        <v>1209</v>
      </c>
    </row>
    <row r="1317" spans="12:13" x14ac:dyDescent="0.25">
      <c r="L1317" s="64">
        <v>311310</v>
      </c>
      <c r="M1317" t="s">
        <v>1209</v>
      </c>
    </row>
    <row r="1318" spans="12:13" x14ac:dyDescent="0.25">
      <c r="L1318" s="64">
        <v>311311</v>
      </c>
      <c r="M1318" t="s">
        <v>1209</v>
      </c>
    </row>
    <row r="1319" spans="12:13" x14ac:dyDescent="0.25">
      <c r="L1319" s="64">
        <v>311400</v>
      </c>
      <c r="M1319" t="s">
        <v>561</v>
      </c>
    </row>
    <row r="1320" spans="12:13" x14ac:dyDescent="0.25">
      <c r="L1320" s="64">
        <v>311410</v>
      </c>
      <c r="M1320" t="s">
        <v>561</v>
      </c>
    </row>
    <row r="1321" spans="12:13" x14ac:dyDescent="0.25">
      <c r="L1321" s="64">
        <v>311411</v>
      </c>
      <c r="M1321" t="s">
        <v>563</v>
      </c>
    </row>
    <row r="1322" spans="12:13" x14ac:dyDescent="0.25">
      <c r="L1322" s="64">
        <v>311412</v>
      </c>
      <c r="M1322" t="s">
        <v>1210</v>
      </c>
    </row>
    <row r="1323" spans="12:13" x14ac:dyDescent="0.25">
      <c r="L1323" s="64">
        <v>311419</v>
      </c>
      <c r="M1323" t="s">
        <v>1211</v>
      </c>
    </row>
    <row r="1324" spans="12:13" x14ac:dyDescent="0.25">
      <c r="L1324" s="64">
        <v>311500</v>
      </c>
      <c r="M1324" t="s">
        <v>1212</v>
      </c>
    </row>
    <row r="1325" spans="12:13" x14ac:dyDescent="0.25">
      <c r="L1325" s="64">
        <v>311510</v>
      </c>
      <c r="M1325" t="s">
        <v>1212</v>
      </c>
    </row>
    <row r="1326" spans="12:13" x14ac:dyDescent="0.25">
      <c r="L1326" s="64">
        <v>311511</v>
      </c>
      <c r="M1326" t="s">
        <v>1213</v>
      </c>
    </row>
    <row r="1327" spans="12:13" x14ac:dyDescent="0.25">
      <c r="L1327" s="64">
        <v>311512</v>
      </c>
      <c r="M1327" t="s">
        <v>1214</v>
      </c>
    </row>
    <row r="1328" spans="12:13" x14ac:dyDescent="0.25">
      <c r="L1328" s="64">
        <v>311513</v>
      </c>
      <c r="M1328" t="s">
        <v>1215</v>
      </c>
    </row>
    <row r="1329" spans="12:13" x14ac:dyDescent="0.25">
      <c r="L1329" s="64">
        <v>311519</v>
      </c>
      <c r="M1329" t="s">
        <v>1216</v>
      </c>
    </row>
    <row r="1330" spans="12:13" x14ac:dyDescent="0.25">
      <c r="L1330" s="64">
        <v>311600</v>
      </c>
      <c r="M1330" t="s">
        <v>1217</v>
      </c>
    </row>
    <row r="1331" spans="12:13" x14ac:dyDescent="0.25">
      <c r="L1331" s="64">
        <v>311610</v>
      </c>
      <c r="M1331" t="s">
        <v>1218</v>
      </c>
    </row>
    <row r="1332" spans="12:13" x14ac:dyDescent="0.25">
      <c r="L1332" s="64">
        <v>311611</v>
      </c>
      <c r="M1332" t="s">
        <v>1219</v>
      </c>
    </row>
    <row r="1333" spans="12:13" x14ac:dyDescent="0.25">
      <c r="L1333" s="64">
        <v>311612</v>
      </c>
      <c r="M1333" t="s">
        <v>1220</v>
      </c>
    </row>
    <row r="1334" spans="12:13" x14ac:dyDescent="0.25">
      <c r="L1334" s="64">
        <v>311700</v>
      </c>
      <c r="M1334" t="s">
        <v>1221</v>
      </c>
    </row>
    <row r="1335" spans="12:13" x14ac:dyDescent="0.25">
      <c r="L1335" s="64">
        <v>311710</v>
      </c>
      <c r="M1335" t="s">
        <v>1221</v>
      </c>
    </row>
    <row r="1336" spans="12:13" x14ac:dyDescent="0.25">
      <c r="L1336" s="64">
        <v>311711</v>
      </c>
      <c r="M1336" t="s">
        <v>1222</v>
      </c>
    </row>
    <row r="1337" spans="12:13" x14ac:dyDescent="0.25">
      <c r="L1337" s="64">
        <v>311712</v>
      </c>
      <c r="M1337" t="s">
        <v>1223</v>
      </c>
    </row>
    <row r="1338" spans="12:13" x14ac:dyDescent="0.25">
      <c r="L1338" s="64">
        <v>311713</v>
      </c>
      <c r="M1338" t="s">
        <v>1224</v>
      </c>
    </row>
    <row r="1339" spans="12:13" x14ac:dyDescent="0.25">
      <c r="L1339" s="64">
        <v>311900</v>
      </c>
      <c r="M1339" t="s">
        <v>1225</v>
      </c>
    </row>
    <row r="1340" spans="12:13" x14ac:dyDescent="0.25">
      <c r="L1340" s="64">
        <v>311910</v>
      </c>
      <c r="M1340" t="s">
        <v>1225</v>
      </c>
    </row>
    <row r="1341" spans="12:13" x14ac:dyDescent="0.25">
      <c r="L1341" s="64">
        <v>311911</v>
      </c>
      <c r="M1341" t="s">
        <v>1225</v>
      </c>
    </row>
    <row r="1342" spans="12:13" x14ac:dyDescent="0.25">
      <c r="L1342" s="64">
        <v>320000</v>
      </c>
      <c r="M1342" t="s">
        <v>1226</v>
      </c>
    </row>
    <row r="1343" spans="12:13" x14ac:dyDescent="0.25">
      <c r="L1343" s="64">
        <v>321000</v>
      </c>
      <c r="M1343" t="s">
        <v>1226</v>
      </c>
    </row>
    <row r="1344" spans="12:13" x14ac:dyDescent="0.25">
      <c r="L1344" s="64">
        <v>321100</v>
      </c>
      <c r="M1344" t="s">
        <v>1226</v>
      </c>
    </row>
    <row r="1345" spans="12:13" x14ac:dyDescent="0.25">
      <c r="L1345" s="64">
        <v>321110</v>
      </c>
      <c r="M1345" t="s">
        <v>1227</v>
      </c>
    </row>
    <row r="1346" spans="12:13" x14ac:dyDescent="0.25">
      <c r="L1346" s="64">
        <v>321111</v>
      </c>
      <c r="M1346" t="s">
        <v>1227</v>
      </c>
    </row>
    <row r="1347" spans="12:13" x14ac:dyDescent="0.25">
      <c r="L1347" s="64">
        <v>321120</v>
      </c>
      <c r="M1347" t="s">
        <v>1228</v>
      </c>
    </row>
    <row r="1348" spans="12:13" x14ac:dyDescent="0.25">
      <c r="L1348" s="64">
        <v>321121</v>
      </c>
      <c r="M1348" t="s">
        <v>1229</v>
      </c>
    </row>
    <row r="1349" spans="12:13" x14ac:dyDescent="0.25">
      <c r="L1349" s="64">
        <v>321122</v>
      </c>
      <c r="M1349" t="s">
        <v>1230</v>
      </c>
    </row>
    <row r="1350" spans="12:13" x14ac:dyDescent="0.25">
      <c r="L1350" s="64">
        <v>321200</v>
      </c>
      <c r="M1350" t="s">
        <v>1231</v>
      </c>
    </row>
    <row r="1351" spans="12:13" x14ac:dyDescent="0.25">
      <c r="L1351" s="64">
        <v>321210</v>
      </c>
      <c r="M1351" t="s">
        <v>1231</v>
      </c>
    </row>
    <row r="1352" spans="12:13" x14ac:dyDescent="0.25">
      <c r="L1352" s="64">
        <v>321211</v>
      </c>
      <c r="M1352" t="s">
        <v>1231</v>
      </c>
    </row>
    <row r="1353" spans="12:13" x14ac:dyDescent="0.25">
      <c r="L1353" s="64">
        <v>321300</v>
      </c>
      <c r="M1353" t="s">
        <v>1232</v>
      </c>
    </row>
    <row r="1354" spans="12:13" x14ac:dyDescent="0.25">
      <c r="L1354" s="64">
        <v>321310</v>
      </c>
      <c r="M1354" t="s">
        <v>1232</v>
      </c>
    </row>
    <row r="1355" spans="12:13" x14ac:dyDescent="0.25">
      <c r="L1355" s="64">
        <v>321311</v>
      </c>
      <c r="M1355" t="s">
        <v>1233</v>
      </c>
    </row>
    <row r="1356" spans="12:13" x14ac:dyDescent="0.25">
      <c r="L1356" s="64">
        <v>321312</v>
      </c>
      <c r="M1356" t="s">
        <v>1234</v>
      </c>
    </row>
    <row r="1357" spans="12:13" x14ac:dyDescent="0.25">
      <c r="L1357" s="64">
        <v>330000</v>
      </c>
      <c r="M1357" t="s">
        <v>1235</v>
      </c>
    </row>
    <row r="1358" spans="12:13" x14ac:dyDescent="0.25">
      <c r="L1358" s="64">
        <v>331000</v>
      </c>
      <c r="M1358" t="s">
        <v>1235</v>
      </c>
    </row>
    <row r="1359" spans="12:13" x14ac:dyDescent="0.25">
      <c r="L1359" s="64">
        <v>331100</v>
      </c>
      <c r="M1359" t="s">
        <v>1235</v>
      </c>
    </row>
    <row r="1360" spans="12:13" x14ac:dyDescent="0.25">
      <c r="L1360" s="64">
        <v>331110</v>
      </c>
      <c r="M1360" t="s">
        <v>277</v>
      </c>
    </row>
    <row r="1361" spans="12:13" x14ac:dyDescent="0.25">
      <c r="L1361" s="64">
        <v>331111</v>
      </c>
      <c r="M1361" t="s">
        <v>277</v>
      </c>
    </row>
    <row r="1362" spans="12:13" x14ac:dyDescent="0.25">
      <c r="L1362" s="64">
        <v>331120</v>
      </c>
      <c r="M1362" t="s">
        <v>1236</v>
      </c>
    </row>
    <row r="1363" spans="12:13" x14ac:dyDescent="0.25">
      <c r="L1363" s="64">
        <v>331121</v>
      </c>
      <c r="M1363" t="s">
        <v>1236</v>
      </c>
    </row>
    <row r="1364" spans="12:13" x14ac:dyDescent="0.25">
      <c r="L1364" s="64">
        <v>331130</v>
      </c>
      <c r="M1364" t="s">
        <v>1237</v>
      </c>
    </row>
    <row r="1365" spans="12:13" x14ac:dyDescent="0.25">
      <c r="L1365" s="64">
        <v>331131</v>
      </c>
      <c r="M1365" t="s">
        <v>1237</v>
      </c>
    </row>
    <row r="1366" spans="12:13" x14ac:dyDescent="0.25">
      <c r="L1366" s="64">
        <v>331140</v>
      </c>
      <c r="M1366" t="s">
        <v>1238</v>
      </c>
    </row>
    <row r="1367" spans="12:13" x14ac:dyDescent="0.25">
      <c r="L1367" s="64">
        <v>331141</v>
      </c>
      <c r="M1367" t="s">
        <v>1238</v>
      </c>
    </row>
    <row r="1368" spans="12:13" x14ac:dyDescent="0.25">
      <c r="L1368" s="64">
        <v>331150</v>
      </c>
      <c r="M1368" t="s">
        <v>410</v>
      </c>
    </row>
    <row r="1369" spans="12:13" x14ac:dyDescent="0.25">
      <c r="L1369" s="64">
        <v>331151</v>
      </c>
      <c r="M1369" t="s">
        <v>410</v>
      </c>
    </row>
    <row r="1370" spans="12:13" x14ac:dyDescent="0.25">
      <c r="L1370" s="64">
        <v>331160</v>
      </c>
      <c r="M1370" t="s">
        <v>1239</v>
      </c>
    </row>
    <row r="1371" spans="12:13" x14ac:dyDescent="0.25">
      <c r="L1371" s="64">
        <v>331161</v>
      </c>
      <c r="M1371" t="s">
        <v>1240</v>
      </c>
    </row>
    <row r="1372" spans="12:13" x14ac:dyDescent="0.25">
      <c r="L1372" s="64">
        <v>331170</v>
      </c>
      <c r="M1372" t="s">
        <v>1241</v>
      </c>
    </row>
    <row r="1373" spans="12:13" x14ac:dyDescent="0.25">
      <c r="L1373" s="64">
        <v>331171</v>
      </c>
      <c r="M1373" t="s">
        <v>1241</v>
      </c>
    </row>
    <row r="1374" spans="12:13" x14ac:dyDescent="0.25">
      <c r="L1374" s="64">
        <v>331180</v>
      </c>
      <c r="M1374" t="s">
        <v>1242</v>
      </c>
    </row>
    <row r="1375" spans="12:13" x14ac:dyDescent="0.25">
      <c r="L1375" s="64">
        <v>331181</v>
      </c>
      <c r="M1375" t="s">
        <v>1242</v>
      </c>
    </row>
    <row r="1376" spans="12:13" x14ac:dyDescent="0.25">
      <c r="L1376" s="64">
        <v>340000</v>
      </c>
      <c r="M1376" t="s">
        <v>1243</v>
      </c>
    </row>
    <row r="1377" spans="12:13" x14ac:dyDescent="0.25">
      <c r="L1377" s="64">
        <v>341000</v>
      </c>
      <c r="M1377" t="s">
        <v>1243</v>
      </c>
    </row>
    <row r="1378" spans="12:13" x14ac:dyDescent="0.25">
      <c r="L1378" s="64">
        <v>341100</v>
      </c>
      <c r="M1378" t="s">
        <v>1243</v>
      </c>
    </row>
    <row r="1379" spans="12:13" x14ac:dyDescent="0.25">
      <c r="L1379" s="64">
        <v>341110</v>
      </c>
      <c r="M1379" t="s">
        <v>278</v>
      </c>
    </row>
    <row r="1380" spans="12:13" x14ac:dyDescent="0.25">
      <c r="L1380" s="64">
        <v>341111</v>
      </c>
      <c r="M1380" t="s">
        <v>278</v>
      </c>
    </row>
    <row r="1381" spans="12:13" x14ac:dyDescent="0.25">
      <c r="L1381" s="64">
        <v>341120</v>
      </c>
      <c r="M1381" t="s">
        <v>1244</v>
      </c>
    </row>
    <row r="1382" spans="12:13" x14ac:dyDescent="0.25">
      <c r="L1382" s="64">
        <v>341121</v>
      </c>
      <c r="M1382" t="s">
        <v>1244</v>
      </c>
    </row>
    <row r="1383" spans="12:13" x14ac:dyDescent="0.25">
      <c r="L1383" s="64">
        <v>341130</v>
      </c>
      <c r="M1383" t="s">
        <v>1245</v>
      </c>
    </row>
    <row r="1384" spans="12:13" x14ac:dyDescent="0.25">
      <c r="L1384" s="64">
        <v>341131</v>
      </c>
      <c r="M1384" t="s">
        <v>1245</v>
      </c>
    </row>
    <row r="1385" spans="12:13" x14ac:dyDescent="0.25">
      <c r="L1385" s="64">
        <v>341140</v>
      </c>
      <c r="M1385" t="s">
        <v>402</v>
      </c>
    </row>
    <row r="1386" spans="12:13" x14ac:dyDescent="0.25">
      <c r="L1386" s="64">
        <v>341141</v>
      </c>
      <c r="M1386" t="s">
        <v>402</v>
      </c>
    </row>
    <row r="1387" spans="12:13" x14ac:dyDescent="0.25">
      <c r="L1387" s="64">
        <v>341150</v>
      </c>
      <c r="M1387" t="s">
        <v>411</v>
      </c>
    </row>
    <row r="1388" spans="12:13" x14ac:dyDescent="0.25">
      <c r="L1388" s="64">
        <v>341151</v>
      </c>
      <c r="M1388" t="s">
        <v>411</v>
      </c>
    </row>
    <row r="1389" spans="12:13" x14ac:dyDescent="0.25">
      <c r="L1389" s="64">
        <v>341160</v>
      </c>
      <c r="M1389" t="s">
        <v>1246</v>
      </c>
    </row>
    <row r="1390" spans="12:13" x14ac:dyDescent="0.25">
      <c r="L1390" s="64">
        <v>341161</v>
      </c>
      <c r="M1390" t="s">
        <v>1246</v>
      </c>
    </row>
    <row r="1391" spans="12:13" x14ac:dyDescent="0.25">
      <c r="L1391" s="64">
        <v>341170</v>
      </c>
      <c r="M1391" t="s">
        <v>509</v>
      </c>
    </row>
    <row r="1392" spans="12:13" x14ac:dyDescent="0.25">
      <c r="L1392" s="64">
        <v>341171</v>
      </c>
      <c r="M1392" t="s">
        <v>509</v>
      </c>
    </row>
    <row r="1393" spans="12:13" x14ac:dyDescent="0.25">
      <c r="L1393" s="64">
        <v>341180</v>
      </c>
      <c r="M1393" t="s">
        <v>1247</v>
      </c>
    </row>
    <row r="1394" spans="12:13" x14ac:dyDescent="0.25">
      <c r="L1394" s="64">
        <v>341181</v>
      </c>
      <c r="M1394" t="s">
        <v>1247</v>
      </c>
    </row>
    <row r="1395" spans="12:13" x14ac:dyDescent="0.25">
      <c r="L1395" s="64">
        <v>350000</v>
      </c>
      <c r="M1395" t="s">
        <v>1248</v>
      </c>
    </row>
    <row r="1396" spans="12:13" x14ac:dyDescent="0.25">
      <c r="L1396" s="64">
        <v>351000</v>
      </c>
      <c r="M1396" t="s">
        <v>1249</v>
      </c>
    </row>
    <row r="1397" spans="12:13" x14ac:dyDescent="0.25">
      <c r="L1397" s="64">
        <v>351100</v>
      </c>
      <c r="M1397" t="s">
        <v>1249</v>
      </c>
    </row>
    <row r="1398" spans="12:13" x14ac:dyDescent="0.25">
      <c r="L1398" s="64">
        <v>351110</v>
      </c>
      <c r="M1398" t="s">
        <v>1250</v>
      </c>
    </row>
    <row r="1399" spans="12:13" x14ac:dyDescent="0.25">
      <c r="L1399" s="64">
        <v>351111</v>
      </c>
      <c r="M1399" t="s">
        <v>1250</v>
      </c>
    </row>
    <row r="1400" spans="12:13" x14ac:dyDescent="0.25">
      <c r="L1400" s="64">
        <v>351120</v>
      </c>
      <c r="M1400" t="s">
        <v>1251</v>
      </c>
    </row>
    <row r="1401" spans="12:13" x14ac:dyDescent="0.25">
      <c r="L1401" s="64">
        <v>351121</v>
      </c>
      <c r="M1401" t="s">
        <v>1252</v>
      </c>
    </row>
    <row r="1402" spans="12:13" x14ac:dyDescent="0.25">
      <c r="L1402" s="64">
        <v>351122</v>
      </c>
      <c r="M1402" t="s">
        <v>1253</v>
      </c>
    </row>
    <row r="1403" spans="12:13" x14ac:dyDescent="0.25">
      <c r="L1403" s="64">
        <v>351123</v>
      </c>
      <c r="M1403" t="s">
        <v>1254</v>
      </c>
    </row>
    <row r="1404" spans="12:13" x14ac:dyDescent="0.25">
      <c r="L1404" s="64">
        <v>351130</v>
      </c>
      <c r="M1404" t="s">
        <v>1255</v>
      </c>
    </row>
    <row r="1405" spans="12:13" x14ac:dyDescent="0.25">
      <c r="L1405" s="64">
        <v>351131</v>
      </c>
      <c r="M1405" t="s">
        <v>1255</v>
      </c>
    </row>
    <row r="1406" spans="12:13" x14ac:dyDescent="0.25">
      <c r="L1406" s="64">
        <v>351140</v>
      </c>
      <c r="M1406" t="s">
        <v>1256</v>
      </c>
    </row>
    <row r="1407" spans="12:13" x14ac:dyDescent="0.25">
      <c r="L1407" s="64">
        <v>351141</v>
      </c>
      <c r="M1407" t="s">
        <v>1256</v>
      </c>
    </row>
    <row r="1408" spans="12:13" x14ac:dyDescent="0.25">
      <c r="L1408" s="64">
        <v>351150</v>
      </c>
      <c r="M1408" t="s">
        <v>1257</v>
      </c>
    </row>
    <row r="1409" spans="12:13" x14ac:dyDescent="0.25">
      <c r="L1409" s="64">
        <v>351151</v>
      </c>
      <c r="M1409" t="s">
        <v>1257</v>
      </c>
    </row>
    <row r="1410" spans="12:13" x14ac:dyDescent="0.25">
      <c r="L1410" s="64">
        <v>352000</v>
      </c>
      <c r="M1410" t="s">
        <v>1258</v>
      </c>
    </row>
    <row r="1411" spans="12:13" x14ac:dyDescent="0.25">
      <c r="L1411" s="64">
        <v>352100</v>
      </c>
      <c r="M1411" t="s">
        <v>1258</v>
      </c>
    </row>
    <row r="1412" spans="12:13" x14ac:dyDescent="0.25">
      <c r="L1412" s="64">
        <v>352110</v>
      </c>
      <c r="M1412" t="s">
        <v>1259</v>
      </c>
    </row>
    <row r="1413" spans="12:13" x14ac:dyDescent="0.25">
      <c r="L1413" s="64">
        <v>352111</v>
      </c>
      <c r="M1413" t="s">
        <v>1259</v>
      </c>
    </row>
    <row r="1414" spans="12:13" x14ac:dyDescent="0.25">
      <c r="L1414" s="64">
        <v>352120</v>
      </c>
      <c r="M1414" t="s">
        <v>1260</v>
      </c>
    </row>
    <row r="1415" spans="12:13" x14ac:dyDescent="0.25">
      <c r="L1415" s="64">
        <v>352121</v>
      </c>
      <c r="M1415" t="s">
        <v>1261</v>
      </c>
    </row>
    <row r="1416" spans="12:13" x14ac:dyDescent="0.25">
      <c r="L1416" s="64">
        <v>352122</v>
      </c>
      <c r="M1416" t="s">
        <v>1262</v>
      </c>
    </row>
    <row r="1417" spans="12:13" x14ac:dyDescent="0.25">
      <c r="L1417" s="64">
        <v>352123</v>
      </c>
      <c r="M1417" t="s">
        <v>1263</v>
      </c>
    </row>
    <row r="1418" spans="12:13" x14ac:dyDescent="0.25">
      <c r="L1418" s="64">
        <v>352130</v>
      </c>
      <c r="M1418" t="s">
        <v>1264</v>
      </c>
    </row>
    <row r="1419" spans="12:13" x14ac:dyDescent="0.25">
      <c r="L1419" s="64">
        <v>352131</v>
      </c>
      <c r="M1419" t="s">
        <v>1264</v>
      </c>
    </row>
    <row r="1420" spans="12:13" x14ac:dyDescent="0.25">
      <c r="L1420" s="64">
        <v>352140</v>
      </c>
      <c r="M1420" t="s">
        <v>1265</v>
      </c>
    </row>
    <row r="1421" spans="12:13" x14ac:dyDescent="0.25">
      <c r="L1421" s="64">
        <v>352141</v>
      </c>
      <c r="M1421" t="s">
        <v>1265</v>
      </c>
    </row>
    <row r="1422" spans="12:13" x14ac:dyDescent="0.25">
      <c r="L1422" s="64">
        <v>352150</v>
      </c>
      <c r="M1422" t="s">
        <v>1266</v>
      </c>
    </row>
    <row r="1423" spans="12:13" x14ac:dyDescent="0.25">
      <c r="L1423" s="64">
        <v>352151</v>
      </c>
      <c r="M1423" t="s">
        <v>1266</v>
      </c>
    </row>
    <row r="1424" spans="12:13" x14ac:dyDescent="0.25">
      <c r="L1424" s="64">
        <v>400000</v>
      </c>
      <c r="M1424" t="s">
        <v>1267</v>
      </c>
    </row>
    <row r="1425" spans="12:13" x14ac:dyDescent="0.25">
      <c r="L1425" s="64">
        <v>410000</v>
      </c>
      <c r="M1425" t="s">
        <v>1268</v>
      </c>
    </row>
    <row r="1426" spans="12:13" x14ac:dyDescent="0.25">
      <c r="L1426" s="64">
        <v>411000</v>
      </c>
      <c r="M1426" t="s">
        <v>1269</v>
      </c>
    </row>
    <row r="1427" spans="12:13" x14ac:dyDescent="0.25">
      <c r="L1427" s="64">
        <v>411100</v>
      </c>
      <c r="M1427" t="s">
        <v>1270</v>
      </c>
    </row>
    <row r="1428" spans="12:13" x14ac:dyDescent="0.25">
      <c r="L1428" s="64">
        <v>411110</v>
      </c>
      <c r="M1428" t="s">
        <v>1270</v>
      </c>
    </row>
    <row r="1429" spans="12:13" x14ac:dyDescent="0.25">
      <c r="L1429" s="64">
        <v>411111</v>
      </c>
      <c r="M1429" t="s">
        <v>1271</v>
      </c>
    </row>
    <row r="1430" spans="12:13" x14ac:dyDescent="0.25">
      <c r="L1430" s="64">
        <v>411112</v>
      </c>
      <c r="M1430" t="s">
        <v>1272</v>
      </c>
    </row>
    <row r="1431" spans="12:13" x14ac:dyDescent="0.25">
      <c r="L1431" s="64">
        <v>411113</v>
      </c>
      <c r="M1431" t="s">
        <v>1273</v>
      </c>
    </row>
    <row r="1432" spans="12:13" x14ac:dyDescent="0.25">
      <c r="L1432" s="64">
        <v>411114</v>
      </c>
      <c r="M1432" t="s">
        <v>1274</v>
      </c>
    </row>
    <row r="1433" spans="12:13" x14ac:dyDescent="0.25">
      <c r="L1433" s="64">
        <v>411115</v>
      </c>
      <c r="M1433" t="s">
        <v>1275</v>
      </c>
    </row>
    <row r="1434" spans="12:13" x14ac:dyDescent="0.25">
      <c r="L1434" s="64">
        <v>411116</v>
      </c>
      <c r="M1434" t="s">
        <v>1276</v>
      </c>
    </row>
    <row r="1435" spans="12:13" x14ac:dyDescent="0.25">
      <c r="L1435" s="64">
        <v>411117</v>
      </c>
      <c r="M1435" t="s">
        <v>1277</v>
      </c>
    </row>
    <row r="1436" spans="12:13" x14ac:dyDescent="0.25">
      <c r="L1436" s="64">
        <v>411118</v>
      </c>
      <c r="M1436" t="s">
        <v>1278</v>
      </c>
    </row>
    <row r="1437" spans="12:13" x14ac:dyDescent="0.25">
      <c r="L1437" s="65">
        <v>411119</v>
      </c>
      <c r="M1437" t="s">
        <v>1279</v>
      </c>
    </row>
    <row r="1438" spans="12:13" x14ac:dyDescent="0.25">
      <c r="L1438" s="64">
        <v>411120</v>
      </c>
      <c r="M1438" t="s">
        <v>1280</v>
      </c>
    </row>
    <row r="1439" spans="12:13" x14ac:dyDescent="0.25">
      <c r="L1439" s="64">
        <v>411121</v>
      </c>
      <c r="M1439" t="s">
        <v>1281</v>
      </c>
    </row>
    <row r="1440" spans="12:13" x14ac:dyDescent="0.25">
      <c r="L1440" s="64">
        <v>411122</v>
      </c>
      <c r="M1440" t="s">
        <v>1282</v>
      </c>
    </row>
    <row r="1441" spans="12:13" x14ac:dyDescent="0.25">
      <c r="L1441" s="64">
        <v>411130</v>
      </c>
      <c r="M1441" t="s">
        <v>1283</v>
      </c>
    </row>
    <row r="1442" spans="12:13" x14ac:dyDescent="0.25">
      <c r="L1442" s="64">
        <v>411131</v>
      </c>
      <c r="M1442" t="s">
        <v>1283</v>
      </c>
    </row>
    <row r="1443" spans="12:13" x14ac:dyDescent="0.25">
      <c r="L1443" s="64">
        <v>411140</v>
      </c>
      <c r="M1443" t="s">
        <v>1284</v>
      </c>
    </row>
    <row r="1444" spans="12:13" x14ac:dyDescent="0.25">
      <c r="L1444" s="64">
        <v>411141</v>
      </c>
      <c r="M1444" t="s">
        <v>1284</v>
      </c>
    </row>
    <row r="1445" spans="12:13" x14ac:dyDescent="0.25">
      <c r="L1445" s="64">
        <v>411150</v>
      </c>
      <c r="M1445" t="s">
        <v>1285</v>
      </c>
    </row>
    <row r="1446" spans="12:13" x14ac:dyDescent="0.25">
      <c r="L1446" s="64">
        <v>411151</v>
      </c>
      <c r="M1446" t="s">
        <v>1286</v>
      </c>
    </row>
    <row r="1447" spans="12:13" x14ac:dyDescent="0.25">
      <c r="L1447" s="64">
        <v>411159</v>
      </c>
      <c r="M1447" t="s">
        <v>1287</v>
      </c>
    </row>
    <row r="1448" spans="12:13" x14ac:dyDescent="0.25">
      <c r="L1448" s="64">
        <v>411190</v>
      </c>
      <c r="M1448" t="s">
        <v>1288</v>
      </c>
    </row>
    <row r="1449" spans="12:13" x14ac:dyDescent="0.25">
      <c r="L1449" s="64">
        <v>411191</v>
      </c>
      <c r="M1449" t="s">
        <v>1288</v>
      </c>
    </row>
    <row r="1450" spans="12:13" x14ac:dyDescent="0.25">
      <c r="L1450" s="64">
        <v>412000</v>
      </c>
      <c r="M1450" t="s">
        <v>1289</v>
      </c>
    </row>
    <row r="1451" spans="12:13" x14ac:dyDescent="0.25">
      <c r="L1451" s="64">
        <v>412100</v>
      </c>
      <c r="M1451" t="s">
        <v>1290</v>
      </c>
    </row>
    <row r="1452" spans="12:13" x14ac:dyDescent="0.25">
      <c r="L1452" s="64">
        <v>412110</v>
      </c>
      <c r="M1452" t="s">
        <v>1290</v>
      </c>
    </row>
    <row r="1453" spans="12:13" x14ac:dyDescent="0.25">
      <c r="L1453" s="64">
        <v>412111</v>
      </c>
      <c r="M1453" t="s">
        <v>1290</v>
      </c>
    </row>
    <row r="1454" spans="12:13" x14ac:dyDescent="0.25">
      <c r="L1454" s="64">
        <v>412112</v>
      </c>
      <c r="M1454" t="s">
        <v>1291</v>
      </c>
    </row>
    <row r="1455" spans="12:13" x14ac:dyDescent="0.25">
      <c r="L1455" s="64">
        <v>412113</v>
      </c>
      <c r="M1455" t="s">
        <v>1292</v>
      </c>
    </row>
    <row r="1456" spans="12:13" x14ac:dyDescent="0.25">
      <c r="L1456" s="64">
        <v>412200</v>
      </c>
      <c r="M1456" t="s">
        <v>1293</v>
      </c>
    </row>
    <row r="1457" spans="12:13" x14ac:dyDescent="0.25">
      <c r="L1457" s="64">
        <v>412210</v>
      </c>
      <c r="M1457" t="s">
        <v>1293</v>
      </c>
    </row>
    <row r="1458" spans="12:13" x14ac:dyDescent="0.25">
      <c r="L1458" s="64">
        <v>412211</v>
      </c>
      <c r="M1458" t="s">
        <v>1293</v>
      </c>
    </row>
    <row r="1459" spans="12:13" x14ac:dyDescent="0.25">
      <c r="L1459" s="64">
        <v>412221</v>
      </c>
      <c r="M1459" t="s">
        <v>1294</v>
      </c>
    </row>
    <row r="1460" spans="12:13" x14ac:dyDescent="0.25">
      <c r="L1460" s="64">
        <v>412300</v>
      </c>
      <c r="M1460" t="s">
        <v>1295</v>
      </c>
    </row>
    <row r="1461" spans="12:13" x14ac:dyDescent="0.25">
      <c r="L1461" s="64">
        <v>412310</v>
      </c>
      <c r="M1461" t="s">
        <v>1295</v>
      </c>
    </row>
    <row r="1462" spans="12:13" x14ac:dyDescent="0.25">
      <c r="L1462" s="64">
        <v>412311</v>
      </c>
      <c r="M1462" t="s">
        <v>1295</v>
      </c>
    </row>
    <row r="1463" spans="12:13" x14ac:dyDescent="0.25">
      <c r="L1463" s="64">
        <v>413000</v>
      </c>
      <c r="M1463" t="s">
        <v>1296</v>
      </c>
    </row>
    <row r="1464" spans="12:13" x14ac:dyDescent="0.25">
      <c r="L1464" s="64">
        <v>413100</v>
      </c>
      <c r="M1464" t="s">
        <v>1296</v>
      </c>
    </row>
    <row r="1465" spans="12:13" x14ac:dyDescent="0.25">
      <c r="L1465" s="64">
        <v>413110</v>
      </c>
      <c r="M1465" t="s">
        <v>1296</v>
      </c>
    </row>
    <row r="1466" spans="12:13" x14ac:dyDescent="0.25">
      <c r="L1466" s="64">
        <v>413111</v>
      </c>
      <c r="M1466" t="s">
        <v>1297</v>
      </c>
    </row>
    <row r="1467" spans="12:13" x14ac:dyDescent="0.25">
      <c r="L1467" s="64">
        <v>413112</v>
      </c>
      <c r="M1467" t="s">
        <v>1298</v>
      </c>
    </row>
    <row r="1468" spans="12:13" x14ac:dyDescent="0.25">
      <c r="L1468" s="64">
        <v>413119</v>
      </c>
      <c r="M1468" t="s">
        <v>1299</v>
      </c>
    </row>
    <row r="1469" spans="12:13" x14ac:dyDescent="0.25">
      <c r="L1469" s="64">
        <v>413120</v>
      </c>
      <c r="M1469" t="s">
        <v>1300</v>
      </c>
    </row>
    <row r="1470" spans="12:13" x14ac:dyDescent="0.25">
      <c r="L1470" s="64">
        <v>413121</v>
      </c>
      <c r="M1470" t="s">
        <v>1300</v>
      </c>
    </row>
    <row r="1471" spans="12:13" x14ac:dyDescent="0.25">
      <c r="L1471" s="64">
        <v>413130</v>
      </c>
      <c r="M1471" t="s">
        <v>1301</v>
      </c>
    </row>
    <row r="1472" spans="12:13" x14ac:dyDescent="0.25">
      <c r="L1472" s="64">
        <v>413131</v>
      </c>
      <c r="M1472" t="s">
        <v>1302</v>
      </c>
    </row>
    <row r="1473" spans="12:13" x14ac:dyDescent="0.25">
      <c r="L1473" s="64">
        <v>413139</v>
      </c>
      <c r="M1473" t="s">
        <v>1303</v>
      </c>
    </row>
    <row r="1474" spans="12:13" x14ac:dyDescent="0.25">
      <c r="L1474" s="64">
        <v>413140</v>
      </c>
      <c r="M1474" t="s">
        <v>1304</v>
      </c>
    </row>
    <row r="1475" spans="12:13" x14ac:dyDescent="0.25">
      <c r="L1475" s="64">
        <v>413141</v>
      </c>
      <c r="M1475" t="s">
        <v>1305</v>
      </c>
    </row>
    <row r="1476" spans="12:13" x14ac:dyDescent="0.25">
      <c r="L1476" s="64">
        <v>413142</v>
      </c>
      <c r="M1476" t="s">
        <v>1306</v>
      </c>
    </row>
    <row r="1477" spans="12:13" x14ac:dyDescent="0.25">
      <c r="L1477" s="64">
        <v>413150</v>
      </c>
      <c r="M1477" t="s">
        <v>1307</v>
      </c>
    </row>
    <row r="1478" spans="12:13" x14ac:dyDescent="0.25">
      <c r="L1478" s="64">
        <v>413151</v>
      </c>
      <c r="M1478" t="s">
        <v>1307</v>
      </c>
    </row>
    <row r="1479" spans="12:13" x14ac:dyDescent="0.25">
      <c r="L1479" s="64">
        <v>413160</v>
      </c>
      <c r="M1479" t="s">
        <v>1308</v>
      </c>
    </row>
    <row r="1480" spans="12:13" x14ac:dyDescent="0.25">
      <c r="L1480" s="64">
        <v>413161</v>
      </c>
      <c r="M1480" t="s">
        <v>1308</v>
      </c>
    </row>
    <row r="1481" spans="12:13" x14ac:dyDescent="0.25">
      <c r="L1481" s="64">
        <v>413170</v>
      </c>
      <c r="M1481" t="s">
        <v>1309</v>
      </c>
    </row>
    <row r="1482" spans="12:13" x14ac:dyDescent="0.25">
      <c r="L1482" s="64">
        <v>413171</v>
      </c>
      <c r="M1482" t="s">
        <v>1309</v>
      </c>
    </row>
    <row r="1483" spans="12:13" x14ac:dyDescent="0.25">
      <c r="L1483" s="64">
        <v>413180</v>
      </c>
      <c r="M1483" t="s">
        <v>1310</v>
      </c>
    </row>
    <row r="1484" spans="12:13" x14ac:dyDescent="0.25">
      <c r="L1484" s="64">
        <v>413181</v>
      </c>
      <c r="M1484" t="s">
        <v>1310</v>
      </c>
    </row>
    <row r="1485" spans="12:13" x14ac:dyDescent="0.25">
      <c r="L1485" s="64">
        <v>414000</v>
      </c>
      <c r="M1485" t="s">
        <v>1311</v>
      </c>
    </row>
    <row r="1486" spans="12:13" x14ac:dyDescent="0.25">
      <c r="L1486" s="64">
        <v>414100</v>
      </c>
      <c r="M1486" t="s">
        <v>1312</v>
      </c>
    </row>
    <row r="1487" spans="12:13" x14ac:dyDescent="0.25">
      <c r="L1487" s="64">
        <v>414110</v>
      </c>
      <c r="M1487" t="s">
        <v>1313</v>
      </c>
    </row>
    <row r="1488" spans="12:13" x14ac:dyDescent="0.25">
      <c r="L1488" s="64">
        <v>414111</v>
      </c>
      <c r="M1488" t="s">
        <v>1313</v>
      </c>
    </row>
    <row r="1489" spans="12:13" x14ac:dyDescent="0.25">
      <c r="L1489" s="64">
        <v>414120</v>
      </c>
      <c r="M1489" t="s">
        <v>1314</v>
      </c>
    </row>
    <row r="1490" spans="12:13" x14ac:dyDescent="0.25">
      <c r="L1490" s="64">
        <v>414121</v>
      </c>
      <c r="M1490" t="s">
        <v>1314</v>
      </c>
    </row>
    <row r="1491" spans="12:13" x14ac:dyDescent="0.25">
      <c r="L1491" s="64">
        <v>414130</v>
      </c>
      <c r="M1491" t="s">
        <v>1315</v>
      </c>
    </row>
    <row r="1492" spans="12:13" x14ac:dyDescent="0.25">
      <c r="L1492" s="64">
        <v>414131</v>
      </c>
      <c r="M1492" t="s">
        <v>1315</v>
      </c>
    </row>
    <row r="1493" spans="12:13" x14ac:dyDescent="0.25">
      <c r="L1493" s="64">
        <v>414200</v>
      </c>
      <c r="M1493" t="s">
        <v>1316</v>
      </c>
    </row>
    <row r="1494" spans="12:13" x14ac:dyDescent="0.25">
      <c r="L1494" s="64">
        <v>414210</v>
      </c>
      <c r="M1494" t="s">
        <v>1316</v>
      </c>
    </row>
    <row r="1495" spans="12:13" x14ac:dyDescent="0.25">
      <c r="L1495" s="64">
        <v>414211</v>
      </c>
      <c r="M1495" t="s">
        <v>1316</v>
      </c>
    </row>
    <row r="1496" spans="12:13" x14ac:dyDescent="0.25">
      <c r="L1496" s="64">
        <v>414300</v>
      </c>
      <c r="M1496" t="s">
        <v>1317</v>
      </c>
    </row>
    <row r="1497" spans="12:13" x14ac:dyDescent="0.25">
      <c r="L1497" s="64">
        <v>414310</v>
      </c>
      <c r="M1497" t="s">
        <v>1317</v>
      </c>
    </row>
    <row r="1498" spans="12:13" x14ac:dyDescent="0.25">
      <c r="L1498" s="64">
        <v>414311</v>
      </c>
      <c r="M1498" t="s">
        <v>1318</v>
      </c>
    </row>
    <row r="1499" spans="12:13" x14ac:dyDescent="0.25">
      <c r="L1499" s="64">
        <v>414312</v>
      </c>
      <c r="M1499" t="s">
        <v>1319</v>
      </c>
    </row>
    <row r="1500" spans="12:13" x14ac:dyDescent="0.25">
      <c r="L1500" s="64">
        <v>414314</v>
      </c>
      <c r="M1500" t="s">
        <v>1320</v>
      </c>
    </row>
    <row r="1501" spans="12:13" x14ac:dyDescent="0.25">
      <c r="L1501" s="64">
        <v>414400</v>
      </c>
      <c r="M1501" t="s">
        <v>1321</v>
      </c>
    </row>
    <row r="1502" spans="12:13" x14ac:dyDescent="0.25">
      <c r="L1502" s="64">
        <v>414410</v>
      </c>
      <c r="M1502" t="s">
        <v>1321</v>
      </c>
    </row>
    <row r="1503" spans="12:13" x14ac:dyDescent="0.25">
      <c r="L1503" s="64">
        <v>414411</v>
      </c>
      <c r="M1503" t="s">
        <v>1322</v>
      </c>
    </row>
    <row r="1504" spans="12:13" x14ac:dyDescent="0.25">
      <c r="L1504" s="64">
        <v>414412</v>
      </c>
      <c r="M1504" t="s">
        <v>1323</v>
      </c>
    </row>
    <row r="1505" spans="12:13" x14ac:dyDescent="0.25">
      <c r="L1505" s="64">
        <v>414419</v>
      </c>
      <c r="M1505" t="s">
        <v>1324</v>
      </c>
    </row>
    <row r="1506" spans="12:13" x14ac:dyDescent="0.25">
      <c r="L1506" s="64">
        <v>415000</v>
      </c>
      <c r="M1506" t="s">
        <v>1325</v>
      </c>
    </row>
    <row r="1507" spans="12:13" x14ac:dyDescent="0.25">
      <c r="L1507" s="64">
        <v>415100</v>
      </c>
      <c r="M1507" t="s">
        <v>1325</v>
      </c>
    </row>
    <row r="1508" spans="12:13" x14ac:dyDescent="0.25">
      <c r="L1508" s="64">
        <v>415110</v>
      </c>
      <c r="M1508" t="s">
        <v>1325</v>
      </c>
    </row>
    <row r="1509" spans="12:13" x14ac:dyDescent="0.25">
      <c r="L1509" s="64">
        <v>415111</v>
      </c>
      <c r="M1509" t="s">
        <v>1326</v>
      </c>
    </row>
    <row r="1510" spans="12:13" x14ac:dyDescent="0.25">
      <c r="L1510" s="64">
        <v>415112</v>
      </c>
      <c r="M1510" t="s">
        <v>1327</v>
      </c>
    </row>
    <row r="1511" spans="12:13" x14ac:dyDescent="0.25">
      <c r="L1511" s="64">
        <v>415113</v>
      </c>
      <c r="M1511" t="s">
        <v>1328</v>
      </c>
    </row>
    <row r="1512" spans="12:13" x14ac:dyDescent="0.25">
      <c r="L1512" s="64">
        <v>415114</v>
      </c>
      <c r="M1512" t="s">
        <v>1329</v>
      </c>
    </row>
    <row r="1513" spans="12:13" x14ac:dyDescent="0.25">
      <c r="L1513" s="64">
        <v>415119</v>
      </c>
      <c r="M1513" t="s">
        <v>1330</v>
      </c>
    </row>
    <row r="1514" spans="12:13" x14ac:dyDescent="0.25">
      <c r="L1514" s="64">
        <v>416000</v>
      </c>
      <c r="M1514" t="s">
        <v>1331</v>
      </c>
    </row>
    <row r="1515" spans="12:13" x14ac:dyDescent="0.25">
      <c r="L1515" s="64">
        <v>416100</v>
      </c>
      <c r="M1515" t="s">
        <v>1331</v>
      </c>
    </row>
    <row r="1516" spans="12:13" x14ac:dyDescent="0.25">
      <c r="L1516" s="64">
        <v>416110</v>
      </c>
      <c r="M1516" t="s">
        <v>1332</v>
      </c>
    </row>
    <row r="1517" spans="12:13" x14ac:dyDescent="0.25">
      <c r="L1517" s="64">
        <v>416111</v>
      </c>
      <c r="M1517" t="s">
        <v>1333</v>
      </c>
    </row>
    <row r="1518" spans="12:13" x14ac:dyDescent="0.25">
      <c r="L1518" s="64">
        <v>416112</v>
      </c>
      <c r="M1518" t="s">
        <v>1334</v>
      </c>
    </row>
    <row r="1519" spans="12:13" x14ac:dyDescent="0.25">
      <c r="L1519" s="64">
        <v>416119</v>
      </c>
      <c r="M1519" t="s">
        <v>1335</v>
      </c>
    </row>
    <row r="1520" spans="12:13" x14ac:dyDescent="0.25">
      <c r="L1520" s="64">
        <v>416120</v>
      </c>
      <c r="M1520" t="s">
        <v>1336</v>
      </c>
    </row>
    <row r="1521" spans="12:13" x14ac:dyDescent="0.25">
      <c r="L1521" s="64">
        <v>416121</v>
      </c>
      <c r="M1521" t="s">
        <v>1337</v>
      </c>
    </row>
    <row r="1522" spans="12:13" x14ac:dyDescent="0.25">
      <c r="L1522" s="64">
        <v>416130</v>
      </c>
      <c r="M1522" t="s">
        <v>1338</v>
      </c>
    </row>
    <row r="1523" spans="12:13" x14ac:dyDescent="0.25">
      <c r="L1523" s="64">
        <v>416131</v>
      </c>
      <c r="M1523" t="s">
        <v>1339</v>
      </c>
    </row>
    <row r="1524" spans="12:13" x14ac:dyDescent="0.25">
      <c r="L1524" s="64">
        <v>416132</v>
      </c>
      <c r="M1524" t="s">
        <v>1340</v>
      </c>
    </row>
    <row r="1525" spans="12:13" x14ac:dyDescent="0.25">
      <c r="L1525" s="64">
        <v>417000</v>
      </c>
      <c r="M1525" t="s">
        <v>1341</v>
      </c>
    </row>
    <row r="1526" spans="12:13" x14ac:dyDescent="0.25">
      <c r="L1526" s="64">
        <v>417100</v>
      </c>
      <c r="M1526" t="s">
        <v>1341</v>
      </c>
    </row>
    <row r="1527" spans="12:13" x14ac:dyDescent="0.25">
      <c r="L1527" s="64">
        <v>417110</v>
      </c>
      <c r="M1527" t="s">
        <v>1341</v>
      </c>
    </row>
    <row r="1528" spans="12:13" x14ac:dyDescent="0.25">
      <c r="L1528" s="64">
        <v>417111</v>
      </c>
      <c r="M1528" t="s">
        <v>1341</v>
      </c>
    </row>
    <row r="1529" spans="12:13" x14ac:dyDescent="0.25">
      <c r="L1529" s="64">
        <v>418000</v>
      </c>
      <c r="M1529" t="s">
        <v>1342</v>
      </c>
    </row>
    <row r="1530" spans="12:13" x14ac:dyDescent="0.25">
      <c r="L1530" s="64">
        <v>418100</v>
      </c>
      <c r="M1530" t="s">
        <v>1342</v>
      </c>
    </row>
    <row r="1531" spans="12:13" x14ac:dyDescent="0.25">
      <c r="L1531" s="64">
        <v>418110</v>
      </c>
      <c r="M1531" t="s">
        <v>1342</v>
      </c>
    </row>
    <row r="1532" spans="12:13" x14ac:dyDescent="0.25">
      <c r="L1532" s="64">
        <v>418111</v>
      </c>
      <c r="M1532" t="s">
        <v>1342</v>
      </c>
    </row>
    <row r="1533" spans="12:13" x14ac:dyDescent="0.25">
      <c r="L1533" s="64">
        <v>420000</v>
      </c>
      <c r="M1533" t="s">
        <v>1343</v>
      </c>
    </row>
    <row r="1534" spans="12:13" x14ac:dyDescent="0.25">
      <c r="L1534" s="64">
        <v>421000</v>
      </c>
      <c r="M1534" t="s">
        <v>1344</v>
      </c>
    </row>
    <row r="1535" spans="12:13" x14ac:dyDescent="0.25">
      <c r="L1535" s="64">
        <v>421100</v>
      </c>
      <c r="M1535" t="s">
        <v>1345</v>
      </c>
    </row>
    <row r="1536" spans="12:13" x14ac:dyDescent="0.25">
      <c r="L1536" s="64">
        <v>421110</v>
      </c>
      <c r="M1536" t="s">
        <v>1346</v>
      </c>
    </row>
    <row r="1537" spans="12:13" x14ac:dyDescent="0.25">
      <c r="L1537" s="64">
        <v>421111</v>
      </c>
      <c r="M1537" t="s">
        <v>1346</v>
      </c>
    </row>
    <row r="1538" spans="12:13" x14ac:dyDescent="0.25">
      <c r="L1538" s="64">
        <v>421120</v>
      </c>
      <c r="M1538" t="s">
        <v>1347</v>
      </c>
    </row>
    <row r="1539" spans="12:13" x14ac:dyDescent="0.25">
      <c r="L1539" s="64">
        <v>421121</v>
      </c>
      <c r="M1539" t="s">
        <v>1347</v>
      </c>
    </row>
    <row r="1540" spans="12:13" x14ac:dyDescent="0.25">
      <c r="L1540" s="64">
        <v>421200</v>
      </c>
      <c r="M1540" t="s">
        <v>1348</v>
      </c>
    </row>
    <row r="1541" spans="12:13" x14ac:dyDescent="0.25">
      <c r="L1541" s="64">
        <v>421210</v>
      </c>
      <c r="M1541" t="s">
        <v>1349</v>
      </c>
    </row>
    <row r="1542" spans="12:13" x14ac:dyDescent="0.25">
      <c r="L1542" s="64">
        <v>421211</v>
      </c>
      <c r="M1542" t="s">
        <v>1349</v>
      </c>
    </row>
    <row r="1543" spans="12:13" x14ac:dyDescent="0.25">
      <c r="L1543" s="64">
        <v>421220</v>
      </c>
      <c r="M1543" t="s">
        <v>1350</v>
      </c>
    </row>
    <row r="1544" spans="12:13" x14ac:dyDescent="0.25">
      <c r="L1544" s="64">
        <v>421221</v>
      </c>
      <c r="M1544" t="s">
        <v>1351</v>
      </c>
    </row>
    <row r="1545" spans="12:13" x14ac:dyDescent="0.25">
      <c r="L1545" s="64">
        <v>421222</v>
      </c>
      <c r="M1545" t="s">
        <v>1352</v>
      </c>
    </row>
    <row r="1546" spans="12:13" x14ac:dyDescent="0.25">
      <c r="L1546" s="64">
        <v>421223</v>
      </c>
      <c r="M1546" t="s">
        <v>1353</v>
      </c>
    </row>
    <row r="1547" spans="12:13" x14ac:dyDescent="0.25">
      <c r="L1547" s="64">
        <v>421224</v>
      </c>
      <c r="M1547" t="s">
        <v>1354</v>
      </c>
    </row>
    <row r="1548" spans="12:13" x14ac:dyDescent="0.25">
      <c r="L1548" s="64">
        <v>421225</v>
      </c>
      <c r="M1548" t="s">
        <v>1355</v>
      </c>
    </row>
    <row r="1549" spans="12:13" x14ac:dyDescent="0.25">
      <c r="L1549" s="64">
        <v>421300</v>
      </c>
      <c r="M1549" t="s">
        <v>1356</v>
      </c>
    </row>
    <row r="1550" spans="12:13" x14ac:dyDescent="0.25">
      <c r="L1550" s="64">
        <v>421310</v>
      </c>
      <c r="M1550" t="s">
        <v>1357</v>
      </c>
    </row>
    <row r="1551" spans="12:13" x14ac:dyDescent="0.25">
      <c r="L1551" s="64">
        <v>421311</v>
      </c>
      <c r="M1551" t="s">
        <v>1357</v>
      </c>
    </row>
    <row r="1552" spans="12:13" x14ac:dyDescent="0.25">
      <c r="L1552" s="64">
        <v>421320</v>
      </c>
      <c r="M1552" t="s">
        <v>1358</v>
      </c>
    </row>
    <row r="1553" spans="12:13" x14ac:dyDescent="0.25">
      <c r="L1553" s="64">
        <v>421321</v>
      </c>
      <c r="M1553" t="s">
        <v>1359</v>
      </c>
    </row>
    <row r="1554" spans="12:13" x14ac:dyDescent="0.25">
      <c r="L1554" s="64">
        <v>421322</v>
      </c>
      <c r="M1554" t="s">
        <v>1360</v>
      </c>
    </row>
    <row r="1555" spans="12:13" x14ac:dyDescent="0.25">
      <c r="L1555" s="64">
        <v>421323</v>
      </c>
      <c r="M1555" t="s">
        <v>1361</v>
      </c>
    </row>
    <row r="1556" spans="12:13" x14ac:dyDescent="0.25">
      <c r="L1556" s="64">
        <v>421324</v>
      </c>
      <c r="M1556" t="s">
        <v>1362</v>
      </c>
    </row>
    <row r="1557" spans="12:13" x14ac:dyDescent="0.25">
      <c r="L1557" s="64">
        <v>421325</v>
      </c>
      <c r="M1557" t="s">
        <v>1363</v>
      </c>
    </row>
    <row r="1558" spans="12:13" x14ac:dyDescent="0.25">
      <c r="L1558" s="64">
        <v>421390</v>
      </c>
      <c r="M1558" t="s">
        <v>1364</v>
      </c>
    </row>
    <row r="1559" spans="12:13" x14ac:dyDescent="0.25">
      <c r="L1559" s="64">
        <v>421391</v>
      </c>
      <c r="M1559" t="s">
        <v>1365</v>
      </c>
    </row>
    <row r="1560" spans="12:13" x14ac:dyDescent="0.25">
      <c r="L1560" s="64">
        <v>421392</v>
      </c>
      <c r="M1560" t="s">
        <v>1366</v>
      </c>
    </row>
    <row r="1561" spans="12:13" x14ac:dyDescent="0.25">
      <c r="L1561" s="64">
        <v>421400</v>
      </c>
      <c r="M1561" t="s">
        <v>1367</v>
      </c>
    </row>
    <row r="1562" spans="12:13" x14ac:dyDescent="0.25">
      <c r="L1562" s="64">
        <v>421410</v>
      </c>
      <c r="M1562" t="s">
        <v>1368</v>
      </c>
    </row>
    <row r="1563" spans="12:13" x14ac:dyDescent="0.25">
      <c r="L1563" s="64">
        <v>421411</v>
      </c>
      <c r="M1563" t="s">
        <v>1369</v>
      </c>
    </row>
    <row r="1564" spans="12:13" x14ac:dyDescent="0.25">
      <c r="L1564" s="64">
        <v>421412</v>
      </c>
      <c r="M1564" t="s">
        <v>1370</v>
      </c>
    </row>
    <row r="1565" spans="12:13" x14ac:dyDescent="0.25">
      <c r="L1565" s="64">
        <v>421413</v>
      </c>
      <c r="M1565" t="s">
        <v>1371</v>
      </c>
    </row>
    <row r="1566" spans="12:13" x14ac:dyDescent="0.25">
      <c r="L1566" s="64">
        <v>421414</v>
      </c>
      <c r="M1566" t="s">
        <v>1372</v>
      </c>
    </row>
    <row r="1567" spans="12:13" x14ac:dyDescent="0.25">
      <c r="L1567" s="64">
        <v>421419</v>
      </c>
      <c r="M1567" t="s">
        <v>1373</v>
      </c>
    </row>
    <row r="1568" spans="12:13" x14ac:dyDescent="0.25">
      <c r="L1568" s="64">
        <v>421420</v>
      </c>
      <c r="M1568" t="s">
        <v>1374</v>
      </c>
    </row>
    <row r="1569" spans="12:13" x14ac:dyDescent="0.25">
      <c r="L1569" s="64">
        <v>421421</v>
      </c>
      <c r="M1569" t="s">
        <v>1375</v>
      </c>
    </row>
    <row r="1570" spans="12:13" x14ac:dyDescent="0.25">
      <c r="L1570" s="64">
        <v>421422</v>
      </c>
      <c r="M1570" t="s">
        <v>1376</v>
      </c>
    </row>
    <row r="1571" spans="12:13" x14ac:dyDescent="0.25">
      <c r="L1571" s="64">
        <v>421429</v>
      </c>
      <c r="M1571" t="s">
        <v>1377</v>
      </c>
    </row>
    <row r="1572" spans="12:13" x14ac:dyDescent="0.25">
      <c r="L1572" s="64">
        <v>421500</v>
      </c>
      <c r="M1572" t="s">
        <v>1378</v>
      </c>
    </row>
    <row r="1573" spans="12:13" x14ac:dyDescent="0.25">
      <c r="L1573" s="64">
        <v>421510</v>
      </c>
      <c r="M1573" t="s">
        <v>1379</v>
      </c>
    </row>
    <row r="1574" spans="12:13" x14ac:dyDescent="0.25">
      <c r="L1574" s="64">
        <v>421511</v>
      </c>
      <c r="M1574" t="s">
        <v>1380</v>
      </c>
    </row>
    <row r="1575" spans="12:13" x14ac:dyDescent="0.25">
      <c r="L1575" s="64">
        <v>421512</v>
      </c>
      <c r="M1575" t="s">
        <v>1381</v>
      </c>
    </row>
    <row r="1576" spans="12:13" x14ac:dyDescent="0.25">
      <c r="L1576" s="64">
        <v>421513</v>
      </c>
      <c r="M1576" t="s">
        <v>1382</v>
      </c>
    </row>
    <row r="1577" spans="12:13" x14ac:dyDescent="0.25">
      <c r="L1577" s="64">
        <v>421519</v>
      </c>
      <c r="M1577" t="s">
        <v>1383</v>
      </c>
    </row>
    <row r="1578" spans="12:13" x14ac:dyDescent="0.25">
      <c r="L1578" s="64">
        <v>421520</v>
      </c>
      <c r="M1578" t="s">
        <v>1384</v>
      </c>
    </row>
    <row r="1579" spans="12:13" x14ac:dyDescent="0.25">
      <c r="L1579" s="64">
        <v>421521</v>
      </c>
      <c r="M1579" t="s">
        <v>1385</v>
      </c>
    </row>
    <row r="1580" spans="12:13" x14ac:dyDescent="0.25">
      <c r="L1580" s="64">
        <v>421522</v>
      </c>
      <c r="M1580" t="s">
        <v>1386</v>
      </c>
    </row>
    <row r="1581" spans="12:13" x14ac:dyDescent="0.25">
      <c r="L1581" s="64">
        <v>421523</v>
      </c>
      <c r="M1581" t="s">
        <v>1387</v>
      </c>
    </row>
    <row r="1582" spans="12:13" x14ac:dyDescent="0.25">
      <c r="L1582" s="64">
        <v>421600</v>
      </c>
      <c r="M1582" t="s">
        <v>1388</v>
      </c>
    </row>
    <row r="1583" spans="12:13" x14ac:dyDescent="0.25">
      <c r="L1583" s="64">
        <v>421610</v>
      </c>
      <c r="M1583" t="s">
        <v>1389</v>
      </c>
    </row>
    <row r="1584" spans="12:13" x14ac:dyDescent="0.25">
      <c r="L1584" s="64">
        <v>421611</v>
      </c>
      <c r="M1584" t="s">
        <v>1390</v>
      </c>
    </row>
    <row r="1585" spans="12:13" x14ac:dyDescent="0.25">
      <c r="L1585" s="64">
        <v>421612</v>
      </c>
      <c r="M1585" t="s">
        <v>1391</v>
      </c>
    </row>
    <row r="1586" spans="12:13" x14ac:dyDescent="0.25">
      <c r="L1586" s="64">
        <v>421619</v>
      </c>
      <c r="M1586" t="s">
        <v>1392</v>
      </c>
    </row>
    <row r="1587" spans="12:13" x14ac:dyDescent="0.25">
      <c r="L1587" s="64">
        <v>421620</v>
      </c>
      <c r="M1587" t="s">
        <v>1393</v>
      </c>
    </row>
    <row r="1588" spans="12:13" x14ac:dyDescent="0.25">
      <c r="L1588" s="64">
        <v>421621</v>
      </c>
      <c r="M1588" t="s">
        <v>1394</v>
      </c>
    </row>
    <row r="1589" spans="12:13" x14ac:dyDescent="0.25">
      <c r="L1589" s="64">
        <v>421622</v>
      </c>
      <c r="M1589" t="s">
        <v>1395</v>
      </c>
    </row>
    <row r="1590" spans="12:13" x14ac:dyDescent="0.25">
      <c r="L1590" s="64">
        <v>421623</v>
      </c>
      <c r="M1590" t="s">
        <v>1396</v>
      </c>
    </row>
    <row r="1591" spans="12:13" x14ac:dyDescent="0.25">
      <c r="L1591" s="64">
        <v>421624</v>
      </c>
      <c r="M1591" t="s">
        <v>1397</v>
      </c>
    </row>
    <row r="1592" spans="12:13" x14ac:dyDescent="0.25">
      <c r="L1592" s="64">
        <v>421625</v>
      </c>
      <c r="M1592" t="s">
        <v>1398</v>
      </c>
    </row>
    <row r="1593" spans="12:13" x14ac:dyDescent="0.25">
      <c r="L1593" s="64">
        <v>421626</v>
      </c>
      <c r="M1593" t="s">
        <v>1399</v>
      </c>
    </row>
    <row r="1594" spans="12:13" x14ac:dyDescent="0.25">
      <c r="L1594" s="64">
        <v>421627</v>
      </c>
      <c r="M1594" t="s">
        <v>1400</v>
      </c>
    </row>
    <row r="1595" spans="12:13" x14ac:dyDescent="0.25">
      <c r="L1595" s="64">
        <v>421628</v>
      </c>
      <c r="M1595" t="s">
        <v>1401</v>
      </c>
    </row>
    <row r="1596" spans="12:13" x14ac:dyDescent="0.25">
      <c r="L1596" s="64">
        <v>421629</v>
      </c>
      <c r="M1596" t="s">
        <v>1402</v>
      </c>
    </row>
    <row r="1597" spans="12:13" x14ac:dyDescent="0.25">
      <c r="L1597" s="64">
        <v>421900</v>
      </c>
      <c r="M1597" t="s">
        <v>1403</v>
      </c>
    </row>
    <row r="1598" spans="12:13" x14ac:dyDescent="0.25">
      <c r="L1598" s="64">
        <v>421910</v>
      </c>
      <c r="M1598" t="s">
        <v>1403</v>
      </c>
    </row>
    <row r="1599" spans="12:13" x14ac:dyDescent="0.25">
      <c r="L1599" s="64">
        <v>421911</v>
      </c>
      <c r="M1599" t="s">
        <v>1404</v>
      </c>
    </row>
    <row r="1600" spans="12:13" x14ac:dyDescent="0.25">
      <c r="L1600" s="64">
        <v>421919</v>
      </c>
      <c r="M1600" t="s">
        <v>1405</v>
      </c>
    </row>
    <row r="1601" spans="12:13" x14ac:dyDescent="0.25">
      <c r="L1601" s="64">
        <v>422000</v>
      </c>
      <c r="M1601" t="s">
        <v>1406</v>
      </c>
    </row>
    <row r="1602" spans="12:13" x14ac:dyDescent="0.25">
      <c r="L1602" s="64">
        <v>422100</v>
      </c>
      <c r="M1602" t="s">
        <v>1407</v>
      </c>
    </row>
    <row r="1603" spans="12:13" x14ac:dyDescent="0.25">
      <c r="L1603" s="64">
        <v>422110</v>
      </c>
      <c r="M1603" t="s">
        <v>1408</v>
      </c>
    </row>
    <row r="1604" spans="12:13" x14ac:dyDescent="0.25">
      <c r="L1604" s="64">
        <v>422111</v>
      </c>
      <c r="M1604" t="s">
        <v>1408</v>
      </c>
    </row>
    <row r="1605" spans="12:13" x14ac:dyDescent="0.25">
      <c r="L1605" s="64">
        <v>422120</v>
      </c>
      <c r="M1605" t="s">
        <v>1409</v>
      </c>
    </row>
    <row r="1606" spans="12:13" x14ac:dyDescent="0.25">
      <c r="L1606" s="64">
        <v>422121</v>
      </c>
      <c r="M1606" t="s">
        <v>1409</v>
      </c>
    </row>
    <row r="1607" spans="12:13" x14ac:dyDescent="0.25">
      <c r="L1607" s="64">
        <v>422130</v>
      </c>
      <c r="M1607" t="s">
        <v>1410</v>
      </c>
    </row>
    <row r="1608" spans="12:13" x14ac:dyDescent="0.25">
      <c r="L1608" s="64">
        <v>422131</v>
      </c>
      <c r="M1608" t="s">
        <v>1410</v>
      </c>
    </row>
    <row r="1609" spans="12:13" x14ac:dyDescent="0.25">
      <c r="L1609" s="64">
        <v>422190</v>
      </c>
      <c r="M1609" t="s">
        <v>1411</v>
      </c>
    </row>
    <row r="1610" spans="12:13" x14ac:dyDescent="0.25">
      <c r="L1610" s="64">
        <v>422191</v>
      </c>
      <c r="M1610" t="s">
        <v>1412</v>
      </c>
    </row>
    <row r="1611" spans="12:13" x14ac:dyDescent="0.25">
      <c r="L1611" s="64">
        <v>422192</v>
      </c>
      <c r="M1611" t="s">
        <v>1413</v>
      </c>
    </row>
    <row r="1612" spans="12:13" x14ac:dyDescent="0.25">
      <c r="L1612" s="64">
        <v>422193</v>
      </c>
      <c r="M1612" t="s">
        <v>1414</v>
      </c>
    </row>
    <row r="1613" spans="12:13" x14ac:dyDescent="0.25">
      <c r="L1613" s="64">
        <v>422194</v>
      </c>
      <c r="M1613" t="s">
        <v>1415</v>
      </c>
    </row>
    <row r="1614" spans="12:13" x14ac:dyDescent="0.25">
      <c r="L1614" s="64">
        <v>422199</v>
      </c>
      <c r="M1614" t="s">
        <v>1416</v>
      </c>
    </row>
    <row r="1615" spans="12:13" x14ac:dyDescent="0.25">
      <c r="L1615" s="64">
        <v>422200</v>
      </c>
      <c r="M1615" t="s">
        <v>1417</v>
      </c>
    </row>
    <row r="1616" spans="12:13" x14ac:dyDescent="0.25">
      <c r="L1616" s="64">
        <v>422210</v>
      </c>
      <c r="M1616" t="s">
        <v>1418</v>
      </c>
    </row>
    <row r="1617" spans="12:13" x14ac:dyDescent="0.25">
      <c r="L1617" s="64">
        <v>422211</v>
      </c>
      <c r="M1617" t="s">
        <v>1418</v>
      </c>
    </row>
    <row r="1618" spans="12:13" x14ac:dyDescent="0.25">
      <c r="L1618" s="64">
        <v>422220</v>
      </c>
      <c r="M1618" t="s">
        <v>1419</v>
      </c>
    </row>
    <row r="1619" spans="12:13" x14ac:dyDescent="0.25">
      <c r="L1619" s="64">
        <v>422221</v>
      </c>
      <c r="M1619" t="s">
        <v>1419</v>
      </c>
    </row>
    <row r="1620" spans="12:13" x14ac:dyDescent="0.25">
      <c r="L1620" s="64">
        <v>422230</v>
      </c>
      <c r="M1620" t="s">
        <v>1420</v>
      </c>
    </row>
    <row r="1621" spans="12:13" x14ac:dyDescent="0.25">
      <c r="L1621" s="64">
        <v>422231</v>
      </c>
      <c r="M1621" t="s">
        <v>1420</v>
      </c>
    </row>
    <row r="1622" spans="12:13" x14ac:dyDescent="0.25">
      <c r="L1622" s="64">
        <v>422290</v>
      </c>
      <c r="M1622" t="s">
        <v>1411</v>
      </c>
    </row>
    <row r="1623" spans="12:13" x14ac:dyDescent="0.25">
      <c r="L1623" s="64">
        <v>422291</v>
      </c>
      <c r="M1623" t="s">
        <v>1421</v>
      </c>
    </row>
    <row r="1624" spans="12:13" x14ac:dyDescent="0.25">
      <c r="L1624" s="64">
        <v>422292</v>
      </c>
      <c r="M1624" t="s">
        <v>1413</v>
      </c>
    </row>
    <row r="1625" spans="12:13" x14ac:dyDescent="0.25">
      <c r="L1625" s="64">
        <v>422293</v>
      </c>
      <c r="M1625" t="s">
        <v>1415</v>
      </c>
    </row>
    <row r="1626" spans="12:13" x14ac:dyDescent="0.25">
      <c r="L1626" s="64">
        <v>422299</v>
      </c>
      <c r="M1626" t="s">
        <v>1422</v>
      </c>
    </row>
    <row r="1627" spans="12:13" x14ac:dyDescent="0.25">
      <c r="L1627" s="64">
        <v>422300</v>
      </c>
      <c r="M1627" t="s">
        <v>1423</v>
      </c>
    </row>
    <row r="1628" spans="12:13" x14ac:dyDescent="0.25">
      <c r="L1628" s="64">
        <v>422310</v>
      </c>
      <c r="M1628" t="s">
        <v>1424</v>
      </c>
    </row>
    <row r="1629" spans="12:13" x14ac:dyDescent="0.25">
      <c r="L1629" s="64">
        <v>422311</v>
      </c>
      <c r="M1629" t="s">
        <v>1424</v>
      </c>
    </row>
    <row r="1630" spans="12:13" x14ac:dyDescent="0.25">
      <c r="L1630" s="64">
        <v>422320</v>
      </c>
      <c r="M1630" t="s">
        <v>1425</v>
      </c>
    </row>
    <row r="1631" spans="12:13" x14ac:dyDescent="0.25">
      <c r="L1631" s="64">
        <v>422321</v>
      </c>
      <c r="M1631" t="s">
        <v>1425</v>
      </c>
    </row>
    <row r="1632" spans="12:13" x14ac:dyDescent="0.25">
      <c r="L1632" s="64">
        <v>422330</v>
      </c>
      <c r="M1632" t="s">
        <v>1426</v>
      </c>
    </row>
    <row r="1633" spans="12:13" x14ac:dyDescent="0.25">
      <c r="L1633" s="64">
        <v>422331</v>
      </c>
      <c r="M1633" t="s">
        <v>1426</v>
      </c>
    </row>
    <row r="1634" spans="12:13" x14ac:dyDescent="0.25">
      <c r="L1634" s="64">
        <v>422390</v>
      </c>
      <c r="M1634" t="s">
        <v>1427</v>
      </c>
    </row>
    <row r="1635" spans="12:13" x14ac:dyDescent="0.25">
      <c r="L1635" s="64">
        <v>422391</v>
      </c>
      <c r="M1635" t="s">
        <v>1428</v>
      </c>
    </row>
    <row r="1636" spans="12:13" x14ac:dyDescent="0.25">
      <c r="L1636" s="64">
        <v>422392</v>
      </c>
      <c r="M1636" t="s">
        <v>1413</v>
      </c>
    </row>
    <row r="1637" spans="12:13" x14ac:dyDescent="0.25">
      <c r="L1637" s="64">
        <v>422393</v>
      </c>
      <c r="M1637" t="s">
        <v>1429</v>
      </c>
    </row>
    <row r="1638" spans="12:13" x14ac:dyDescent="0.25">
      <c r="L1638" s="64">
        <v>422394</v>
      </c>
      <c r="M1638" t="s">
        <v>1430</v>
      </c>
    </row>
    <row r="1639" spans="12:13" x14ac:dyDescent="0.25">
      <c r="L1639" s="64">
        <v>422399</v>
      </c>
      <c r="M1639" t="s">
        <v>1431</v>
      </c>
    </row>
    <row r="1640" spans="12:13" x14ac:dyDescent="0.25">
      <c r="L1640" s="64">
        <v>422400</v>
      </c>
      <c r="M1640" t="s">
        <v>1432</v>
      </c>
    </row>
    <row r="1641" spans="12:13" x14ac:dyDescent="0.25">
      <c r="L1641" s="64">
        <v>422410</v>
      </c>
      <c r="M1641" t="s">
        <v>1432</v>
      </c>
    </row>
    <row r="1642" spans="12:13" x14ac:dyDescent="0.25">
      <c r="L1642" s="64">
        <v>422411</v>
      </c>
      <c r="M1642" t="s">
        <v>1433</v>
      </c>
    </row>
    <row r="1643" spans="12:13" x14ac:dyDescent="0.25">
      <c r="L1643" s="64">
        <v>422412</v>
      </c>
      <c r="M1643" t="s">
        <v>1434</v>
      </c>
    </row>
    <row r="1644" spans="12:13" x14ac:dyDescent="0.25">
      <c r="L1644" s="64">
        <v>422900</v>
      </c>
      <c r="M1644" t="s">
        <v>1435</v>
      </c>
    </row>
    <row r="1645" spans="12:13" x14ac:dyDescent="0.25">
      <c r="L1645" s="64">
        <v>422910</v>
      </c>
      <c r="M1645" t="s">
        <v>1435</v>
      </c>
    </row>
    <row r="1646" spans="12:13" x14ac:dyDescent="0.25">
      <c r="L1646" s="64">
        <v>422911</v>
      </c>
      <c r="M1646" t="s">
        <v>1436</v>
      </c>
    </row>
    <row r="1647" spans="12:13" x14ac:dyDescent="0.25">
      <c r="L1647" s="64">
        <v>423000</v>
      </c>
      <c r="M1647" t="s">
        <v>1437</v>
      </c>
    </row>
    <row r="1648" spans="12:13" x14ac:dyDescent="0.25">
      <c r="L1648" s="64">
        <v>423100</v>
      </c>
      <c r="M1648" t="s">
        <v>1438</v>
      </c>
    </row>
    <row r="1649" spans="12:13" x14ac:dyDescent="0.25">
      <c r="L1649" s="64">
        <v>423110</v>
      </c>
      <c r="M1649" t="s">
        <v>1439</v>
      </c>
    </row>
    <row r="1650" spans="12:13" x14ac:dyDescent="0.25">
      <c r="L1650" s="64">
        <v>423111</v>
      </c>
      <c r="M1650" t="s">
        <v>1439</v>
      </c>
    </row>
    <row r="1651" spans="12:13" x14ac:dyDescent="0.25">
      <c r="L1651" s="64">
        <v>423120</v>
      </c>
      <c r="M1651" t="s">
        <v>1440</v>
      </c>
    </row>
    <row r="1652" spans="12:13" x14ac:dyDescent="0.25">
      <c r="L1652" s="64">
        <v>423121</v>
      </c>
      <c r="M1652" t="s">
        <v>1440</v>
      </c>
    </row>
    <row r="1653" spans="12:13" x14ac:dyDescent="0.25">
      <c r="L1653" s="64">
        <v>423130</v>
      </c>
      <c r="M1653" t="s">
        <v>1441</v>
      </c>
    </row>
    <row r="1654" spans="12:13" x14ac:dyDescent="0.25">
      <c r="L1654" s="64">
        <v>423131</v>
      </c>
      <c r="M1654" t="s">
        <v>1441</v>
      </c>
    </row>
    <row r="1655" spans="12:13" x14ac:dyDescent="0.25">
      <c r="L1655" s="64">
        <v>423190</v>
      </c>
      <c r="M1655" t="s">
        <v>1442</v>
      </c>
    </row>
    <row r="1656" spans="12:13" x14ac:dyDescent="0.25">
      <c r="L1656" s="64">
        <v>423191</v>
      </c>
      <c r="M1656" t="s">
        <v>1442</v>
      </c>
    </row>
    <row r="1657" spans="12:13" x14ac:dyDescent="0.25">
      <c r="L1657" s="64">
        <v>423200</v>
      </c>
      <c r="M1657" t="s">
        <v>1443</v>
      </c>
    </row>
    <row r="1658" spans="12:13" x14ac:dyDescent="0.25">
      <c r="L1658" s="64">
        <v>423210</v>
      </c>
      <c r="M1658" t="s">
        <v>1444</v>
      </c>
    </row>
    <row r="1659" spans="12:13" x14ac:dyDescent="0.25">
      <c r="L1659" s="64">
        <v>423211</v>
      </c>
      <c r="M1659" t="s">
        <v>1445</v>
      </c>
    </row>
    <row r="1660" spans="12:13" x14ac:dyDescent="0.25">
      <c r="L1660" s="64">
        <v>423212</v>
      </c>
      <c r="M1660" t="s">
        <v>1446</v>
      </c>
    </row>
    <row r="1661" spans="12:13" x14ac:dyDescent="0.25">
      <c r="L1661" s="64">
        <v>423220</v>
      </c>
      <c r="M1661" t="s">
        <v>1447</v>
      </c>
    </row>
    <row r="1662" spans="12:13" x14ac:dyDescent="0.25">
      <c r="L1662" s="64">
        <v>423221</v>
      </c>
      <c r="M1662" t="s">
        <v>1447</v>
      </c>
    </row>
    <row r="1663" spans="12:13" x14ac:dyDescent="0.25">
      <c r="L1663" s="64">
        <v>423290</v>
      </c>
      <c r="M1663" t="s">
        <v>1448</v>
      </c>
    </row>
    <row r="1664" spans="12:13" x14ac:dyDescent="0.25">
      <c r="L1664" s="64">
        <v>423291</v>
      </c>
      <c r="M1664" t="s">
        <v>1448</v>
      </c>
    </row>
    <row r="1665" spans="12:13" x14ac:dyDescent="0.25">
      <c r="L1665" s="64">
        <v>423300</v>
      </c>
      <c r="M1665" t="s">
        <v>1449</v>
      </c>
    </row>
    <row r="1666" spans="12:13" x14ac:dyDescent="0.25">
      <c r="L1666" s="64">
        <v>423310</v>
      </c>
      <c r="M1666" t="s">
        <v>1449</v>
      </c>
    </row>
    <row r="1667" spans="12:13" x14ac:dyDescent="0.25">
      <c r="L1667" s="64">
        <v>423311</v>
      </c>
      <c r="M1667" t="s">
        <v>1449</v>
      </c>
    </row>
    <row r="1668" spans="12:13" x14ac:dyDescent="0.25">
      <c r="L1668" s="64">
        <v>423320</v>
      </c>
      <c r="M1668" t="s">
        <v>1450</v>
      </c>
    </row>
    <row r="1669" spans="12:13" x14ac:dyDescent="0.25">
      <c r="L1669" s="64">
        <v>423321</v>
      </c>
      <c r="M1669" t="s">
        <v>1451</v>
      </c>
    </row>
    <row r="1670" spans="12:13" x14ac:dyDescent="0.25">
      <c r="L1670" s="64">
        <v>423322</v>
      </c>
      <c r="M1670" t="s">
        <v>1452</v>
      </c>
    </row>
    <row r="1671" spans="12:13" x14ac:dyDescent="0.25">
      <c r="L1671" s="64">
        <v>423323</v>
      </c>
      <c r="M1671" t="s">
        <v>1453</v>
      </c>
    </row>
    <row r="1672" spans="12:13" x14ac:dyDescent="0.25">
      <c r="L1672" s="64">
        <v>423390</v>
      </c>
      <c r="M1672" t="s">
        <v>1454</v>
      </c>
    </row>
    <row r="1673" spans="12:13" x14ac:dyDescent="0.25">
      <c r="L1673" s="64">
        <v>423391</v>
      </c>
      <c r="M1673" t="s">
        <v>1455</v>
      </c>
    </row>
    <row r="1674" spans="12:13" x14ac:dyDescent="0.25">
      <c r="L1674" s="64">
        <v>423399</v>
      </c>
      <c r="M1674" t="s">
        <v>1456</v>
      </c>
    </row>
    <row r="1675" spans="12:13" x14ac:dyDescent="0.25">
      <c r="L1675" s="64">
        <v>423400</v>
      </c>
      <c r="M1675" t="s">
        <v>1457</v>
      </c>
    </row>
    <row r="1676" spans="12:13" x14ac:dyDescent="0.25">
      <c r="L1676" s="64">
        <v>423410</v>
      </c>
      <c r="M1676" t="s">
        <v>1458</v>
      </c>
    </row>
    <row r="1677" spans="12:13" x14ac:dyDescent="0.25">
      <c r="L1677" s="64">
        <v>423411</v>
      </c>
      <c r="M1677" t="s">
        <v>1459</v>
      </c>
    </row>
    <row r="1678" spans="12:13" x14ac:dyDescent="0.25">
      <c r="L1678" s="64">
        <v>423412</v>
      </c>
      <c r="M1678" t="s">
        <v>1460</v>
      </c>
    </row>
    <row r="1679" spans="12:13" x14ac:dyDescent="0.25">
      <c r="L1679" s="64">
        <v>423413</v>
      </c>
      <c r="M1679" t="s">
        <v>1461</v>
      </c>
    </row>
    <row r="1680" spans="12:13" x14ac:dyDescent="0.25">
      <c r="L1680" s="64">
        <v>423419</v>
      </c>
      <c r="M1680" t="s">
        <v>1462</v>
      </c>
    </row>
    <row r="1681" spans="12:13" x14ac:dyDescent="0.25">
      <c r="L1681" s="64">
        <v>423420</v>
      </c>
      <c r="M1681" t="s">
        <v>1463</v>
      </c>
    </row>
    <row r="1682" spans="12:13" x14ac:dyDescent="0.25">
      <c r="L1682" s="64">
        <v>423421</v>
      </c>
      <c r="M1682" t="s">
        <v>1464</v>
      </c>
    </row>
    <row r="1683" spans="12:13" x14ac:dyDescent="0.25">
      <c r="L1683" s="64">
        <v>423422</v>
      </c>
      <c r="M1683" t="s">
        <v>1465</v>
      </c>
    </row>
    <row r="1684" spans="12:13" x14ac:dyDescent="0.25">
      <c r="L1684" s="64">
        <v>423430</v>
      </c>
      <c r="M1684" t="s">
        <v>1466</v>
      </c>
    </row>
    <row r="1685" spans="12:13" x14ac:dyDescent="0.25">
      <c r="L1685" s="64">
        <v>423431</v>
      </c>
      <c r="M1685" t="s">
        <v>1466</v>
      </c>
    </row>
    <row r="1686" spans="12:13" x14ac:dyDescent="0.25">
      <c r="L1686" s="64">
        <v>423432</v>
      </c>
      <c r="M1686" t="s">
        <v>1467</v>
      </c>
    </row>
    <row r="1687" spans="12:13" x14ac:dyDescent="0.25">
      <c r="L1687" s="64">
        <v>423439</v>
      </c>
      <c r="M1687" t="s">
        <v>1468</v>
      </c>
    </row>
    <row r="1688" spans="12:13" x14ac:dyDescent="0.25">
      <c r="L1688" s="64">
        <v>423440</v>
      </c>
      <c r="M1688" t="s">
        <v>1469</v>
      </c>
    </row>
    <row r="1689" spans="12:13" x14ac:dyDescent="0.25">
      <c r="L1689" s="64">
        <v>423441</v>
      </c>
      <c r="M1689" t="s">
        <v>1470</v>
      </c>
    </row>
    <row r="1690" spans="12:13" x14ac:dyDescent="0.25">
      <c r="L1690" s="64">
        <v>423449</v>
      </c>
      <c r="M1690" t="s">
        <v>1471</v>
      </c>
    </row>
    <row r="1691" spans="12:13" x14ac:dyDescent="0.25">
      <c r="L1691" s="64">
        <v>423500</v>
      </c>
      <c r="M1691" t="s">
        <v>1472</v>
      </c>
    </row>
    <row r="1692" spans="12:13" x14ac:dyDescent="0.25">
      <c r="L1692" s="64">
        <v>423510</v>
      </c>
      <c r="M1692" t="s">
        <v>1473</v>
      </c>
    </row>
    <row r="1693" spans="12:13" x14ac:dyDescent="0.25">
      <c r="L1693" s="64">
        <v>423511</v>
      </c>
      <c r="M1693" t="s">
        <v>1473</v>
      </c>
    </row>
    <row r="1694" spans="12:13" x14ac:dyDescent="0.25">
      <c r="L1694" s="64">
        <v>423520</v>
      </c>
      <c r="M1694" t="s">
        <v>1474</v>
      </c>
    </row>
    <row r="1695" spans="12:13" x14ac:dyDescent="0.25">
      <c r="L1695" s="64">
        <v>423521</v>
      </c>
      <c r="M1695" t="s">
        <v>1475</v>
      </c>
    </row>
    <row r="1696" spans="12:13" x14ac:dyDescent="0.25">
      <c r="L1696" s="64">
        <v>423522</v>
      </c>
      <c r="M1696" t="s">
        <v>1476</v>
      </c>
    </row>
    <row r="1697" spans="12:13" x14ac:dyDescent="0.25">
      <c r="L1697" s="64">
        <v>423530</v>
      </c>
      <c r="M1697" t="s">
        <v>1477</v>
      </c>
    </row>
    <row r="1698" spans="12:13" x14ac:dyDescent="0.25">
      <c r="L1698" s="64">
        <v>423531</v>
      </c>
      <c r="M1698" t="s">
        <v>1478</v>
      </c>
    </row>
    <row r="1699" spans="12:13" x14ac:dyDescent="0.25">
      <c r="L1699" s="64">
        <v>423532</v>
      </c>
      <c r="M1699" t="s">
        <v>1479</v>
      </c>
    </row>
    <row r="1700" spans="12:13" x14ac:dyDescent="0.25">
      <c r="L1700" s="64">
        <v>423539</v>
      </c>
      <c r="M1700" t="s">
        <v>1480</v>
      </c>
    </row>
    <row r="1701" spans="12:13" x14ac:dyDescent="0.25">
      <c r="L1701" s="64">
        <v>423540</v>
      </c>
      <c r="M1701" t="s">
        <v>1481</v>
      </c>
    </row>
    <row r="1702" spans="12:13" x14ac:dyDescent="0.25">
      <c r="L1702" s="64">
        <v>423541</v>
      </c>
      <c r="M1702" t="s">
        <v>1482</v>
      </c>
    </row>
    <row r="1703" spans="12:13" x14ac:dyDescent="0.25">
      <c r="L1703" s="64">
        <v>423542</v>
      </c>
      <c r="M1703" t="s">
        <v>1483</v>
      </c>
    </row>
    <row r="1704" spans="12:13" x14ac:dyDescent="0.25">
      <c r="L1704" s="64">
        <v>423590</v>
      </c>
      <c r="M1704" t="s">
        <v>1484</v>
      </c>
    </row>
    <row r="1705" spans="12:13" x14ac:dyDescent="0.25">
      <c r="L1705" s="64">
        <v>423591</v>
      </c>
      <c r="M1705" t="s">
        <v>1338</v>
      </c>
    </row>
    <row r="1706" spans="12:13" x14ac:dyDescent="0.25">
      <c r="L1706" s="64">
        <v>423599</v>
      </c>
      <c r="M1706" t="s">
        <v>1484</v>
      </c>
    </row>
    <row r="1707" spans="12:13" x14ac:dyDescent="0.25">
      <c r="L1707" s="64">
        <v>423600</v>
      </c>
      <c r="M1707" t="s">
        <v>1485</v>
      </c>
    </row>
    <row r="1708" spans="12:13" x14ac:dyDescent="0.25">
      <c r="L1708" s="64">
        <v>423610</v>
      </c>
      <c r="M1708" t="s">
        <v>1486</v>
      </c>
    </row>
    <row r="1709" spans="12:13" x14ac:dyDescent="0.25">
      <c r="L1709" s="64">
        <v>423611</v>
      </c>
      <c r="M1709" t="s">
        <v>1487</v>
      </c>
    </row>
    <row r="1710" spans="12:13" x14ac:dyDescent="0.25">
      <c r="L1710" s="64">
        <v>423612</v>
      </c>
      <c r="M1710" t="s">
        <v>1488</v>
      </c>
    </row>
    <row r="1711" spans="12:13" x14ac:dyDescent="0.25">
      <c r="L1711" s="64">
        <v>423620</v>
      </c>
      <c r="M1711" t="s">
        <v>1489</v>
      </c>
    </row>
    <row r="1712" spans="12:13" x14ac:dyDescent="0.25">
      <c r="L1712" s="64">
        <v>423621</v>
      </c>
      <c r="M1712" t="s">
        <v>1489</v>
      </c>
    </row>
    <row r="1713" spans="12:13" x14ac:dyDescent="0.25">
      <c r="L1713" s="64">
        <v>423700</v>
      </c>
      <c r="M1713" t="s">
        <v>1490</v>
      </c>
    </row>
    <row r="1714" spans="12:13" x14ac:dyDescent="0.25">
      <c r="L1714" s="64">
        <v>423710</v>
      </c>
      <c r="M1714" t="s">
        <v>1490</v>
      </c>
    </row>
    <row r="1715" spans="12:13" x14ac:dyDescent="0.25">
      <c r="L1715" s="64">
        <v>423711</v>
      </c>
      <c r="M1715" t="s">
        <v>1490</v>
      </c>
    </row>
    <row r="1716" spans="12:13" x14ac:dyDescent="0.25">
      <c r="L1716" s="64">
        <v>423712</v>
      </c>
      <c r="M1716" t="s">
        <v>1491</v>
      </c>
    </row>
    <row r="1717" spans="12:13" x14ac:dyDescent="0.25">
      <c r="L1717" s="64">
        <v>423900</v>
      </c>
      <c r="M1717" t="s">
        <v>1492</v>
      </c>
    </row>
    <row r="1718" spans="12:13" x14ac:dyDescent="0.25">
      <c r="L1718" s="64">
        <v>423910</v>
      </c>
      <c r="M1718" t="s">
        <v>1492</v>
      </c>
    </row>
    <row r="1719" spans="12:13" x14ac:dyDescent="0.25">
      <c r="L1719" s="64">
        <v>423911</v>
      </c>
      <c r="M1719" t="s">
        <v>1492</v>
      </c>
    </row>
    <row r="1720" spans="12:13" x14ac:dyDescent="0.25">
      <c r="L1720" s="64">
        <v>424000</v>
      </c>
      <c r="M1720" t="s">
        <v>1493</v>
      </c>
    </row>
    <row r="1721" spans="12:13" x14ac:dyDescent="0.25">
      <c r="L1721" s="64">
        <v>424100</v>
      </c>
      <c r="M1721" t="s">
        <v>1494</v>
      </c>
    </row>
    <row r="1722" spans="12:13" x14ac:dyDescent="0.25">
      <c r="L1722" s="64">
        <v>424110</v>
      </c>
      <c r="M1722" t="s">
        <v>1495</v>
      </c>
    </row>
    <row r="1723" spans="12:13" x14ac:dyDescent="0.25">
      <c r="L1723" s="64">
        <v>424111</v>
      </c>
      <c r="M1723" t="s">
        <v>1496</v>
      </c>
    </row>
    <row r="1724" spans="12:13" x14ac:dyDescent="0.25">
      <c r="L1724" s="64">
        <v>424112</v>
      </c>
      <c r="M1724" t="s">
        <v>1497</v>
      </c>
    </row>
    <row r="1725" spans="12:13" x14ac:dyDescent="0.25">
      <c r="L1725" s="64">
        <v>424113</v>
      </c>
      <c r="M1725" t="s">
        <v>1498</v>
      </c>
    </row>
    <row r="1726" spans="12:13" x14ac:dyDescent="0.25">
      <c r="L1726" s="64">
        <v>424119</v>
      </c>
      <c r="M1726" t="s">
        <v>1499</v>
      </c>
    </row>
    <row r="1727" spans="12:13" x14ac:dyDescent="0.25">
      <c r="L1727" s="64">
        <v>424200</v>
      </c>
      <c r="M1727" t="s">
        <v>1500</v>
      </c>
    </row>
    <row r="1728" spans="12:13" x14ac:dyDescent="0.25">
      <c r="L1728" s="64">
        <v>424210</v>
      </c>
      <c r="M1728" t="s">
        <v>1501</v>
      </c>
    </row>
    <row r="1729" spans="12:13" x14ac:dyDescent="0.25">
      <c r="L1729" s="64">
        <v>424211</v>
      </c>
      <c r="M1729" t="s">
        <v>1501</v>
      </c>
    </row>
    <row r="1730" spans="12:13" x14ac:dyDescent="0.25">
      <c r="L1730" s="64">
        <v>424212</v>
      </c>
      <c r="M1730" t="s">
        <v>1502</v>
      </c>
    </row>
    <row r="1731" spans="12:13" x14ac:dyDescent="0.25">
      <c r="L1731" s="64">
        <v>424213</v>
      </c>
      <c r="M1731" t="s">
        <v>1503</v>
      </c>
    </row>
    <row r="1732" spans="12:13" x14ac:dyDescent="0.25">
      <c r="L1732" s="64">
        <v>424220</v>
      </c>
      <c r="M1732" t="s">
        <v>1504</v>
      </c>
    </row>
    <row r="1733" spans="12:13" x14ac:dyDescent="0.25">
      <c r="L1733" s="64">
        <v>424221</v>
      </c>
      <c r="M1733" t="s">
        <v>1504</v>
      </c>
    </row>
    <row r="1734" spans="12:13" x14ac:dyDescent="0.25">
      <c r="L1734" s="64">
        <v>424230</v>
      </c>
      <c r="M1734" t="s">
        <v>1505</v>
      </c>
    </row>
    <row r="1735" spans="12:13" x14ac:dyDescent="0.25">
      <c r="L1735" s="64">
        <v>424231</v>
      </c>
      <c r="M1735" t="s">
        <v>1505</v>
      </c>
    </row>
    <row r="1736" spans="12:13" x14ac:dyDescent="0.25">
      <c r="L1736" s="64">
        <v>424300</v>
      </c>
      <c r="M1736" t="s">
        <v>1506</v>
      </c>
    </row>
    <row r="1737" spans="12:13" x14ac:dyDescent="0.25">
      <c r="L1737" s="64">
        <v>424310</v>
      </c>
      <c r="M1737" t="s">
        <v>1507</v>
      </c>
    </row>
    <row r="1738" spans="12:13" x14ac:dyDescent="0.25">
      <c r="L1738" s="64">
        <v>424311</v>
      </c>
      <c r="M1738" t="s">
        <v>1507</v>
      </c>
    </row>
    <row r="1739" spans="12:13" x14ac:dyDescent="0.25">
      <c r="L1739" s="64">
        <v>424320</v>
      </c>
      <c r="M1739" t="s">
        <v>1508</v>
      </c>
    </row>
    <row r="1740" spans="12:13" x14ac:dyDescent="0.25">
      <c r="L1740" s="64">
        <v>424321</v>
      </c>
      <c r="M1740" t="s">
        <v>1508</v>
      </c>
    </row>
    <row r="1741" spans="12:13" x14ac:dyDescent="0.25">
      <c r="L1741" s="64">
        <v>424330</v>
      </c>
      <c r="M1741" t="s">
        <v>1509</v>
      </c>
    </row>
    <row r="1742" spans="12:13" x14ac:dyDescent="0.25">
      <c r="L1742" s="64">
        <v>424331</v>
      </c>
      <c r="M1742" t="s">
        <v>1509</v>
      </c>
    </row>
    <row r="1743" spans="12:13" x14ac:dyDescent="0.25">
      <c r="L1743" s="64">
        <v>424340</v>
      </c>
      <c r="M1743" t="s">
        <v>1510</v>
      </c>
    </row>
    <row r="1744" spans="12:13" x14ac:dyDescent="0.25">
      <c r="L1744" s="64">
        <v>424341</v>
      </c>
      <c r="M1744" t="s">
        <v>1510</v>
      </c>
    </row>
    <row r="1745" spans="12:13" x14ac:dyDescent="0.25">
      <c r="L1745" s="64">
        <v>424350</v>
      </c>
      <c r="M1745" t="s">
        <v>1511</v>
      </c>
    </row>
    <row r="1746" spans="12:13" x14ac:dyDescent="0.25">
      <c r="L1746" s="64">
        <v>424351</v>
      </c>
      <c r="M1746" t="s">
        <v>1511</v>
      </c>
    </row>
    <row r="1747" spans="12:13" x14ac:dyDescent="0.25">
      <c r="L1747" s="64">
        <v>424400</v>
      </c>
      <c r="M1747" t="s">
        <v>1512</v>
      </c>
    </row>
    <row r="1748" spans="12:13" x14ac:dyDescent="0.25">
      <c r="L1748" s="64">
        <v>424410</v>
      </c>
      <c r="M1748" t="s">
        <v>1512</v>
      </c>
    </row>
    <row r="1749" spans="12:13" x14ac:dyDescent="0.25">
      <c r="L1749" s="64">
        <v>424411</v>
      </c>
      <c r="M1749" t="s">
        <v>1512</v>
      </c>
    </row>
    <row r="1750" spans="12:13" x14ac:dyDescent="0.25">
      <c r="L1750" s="64">
        <v>424500</v>
      </c>
      <c r="M1750" t="s">
        <v>1513</v>
      </c>
    </row>
    <row r="1751" spans="12:13" x14ac:dyDescent="0.25">
      <c r="L1751" s="64">
        <v>424510</v>
      </c>
      <c r="M1751" t="s">
        <v>1513</v>
      </c>
    </row>
    <row r="1752" spans="12:13" x14ac:dyDescent="0.25">
      <c r="L1752" s="64">
        <v>424511</v>
      </c>
      <c r="M1752" t="s">
        <v>1513</v>
      </c>
    </row>
    <row r="1753" spans="12:13" x14ac:dyDescent="0.25">
      <c r="L1753" s="64">
        <v>424600</v>
      </c>
      <c r="M1753" t="s">
        <v>1514</v>
      </c>
    </row>
    <row r="1754" spans="12:13" x14ac:dyDescent="0.25">
      <c r="L1754" s="64">
        <v>424610</v>
      </c>
      <c r="M1754" t="s">
        <v>1515</v>
      </c>
    </row>
    <row r="1755" spans="12:13" x14ac:dyDescent="0.25">
      <c r="L1755" s="64">
        <v>424611</v>
      </c>
      <c r="M1755" t="s">
        <v>1515</v>
      </c>
    </row>
    <row r="1756" spans="12:13" x14ac:dyDescent="0.25">
      <c r="L1756" s="64">
        <v>424620</v>
      </c>
      <c r="M1756" t="s">
        <v>1516</v>
      </c>
    </row>
    <row r="1757" spans="12:13" x14ac:dyDescent="0.25">
      <c r="L1757" s="64">
        <v>424621</v>
      </c>
      <c r="M1757" t="s">
        <v>1516</v>
      </c>
    </row>
    <row r="1758" spans="12:13" x14ac:dyDescent="0.25">
      <c r="L1758" s="64">
        <v>424630</v>
      </c>
      <c r="M1758" t="s">
        <v>1517</v>
      </c>
    </row>
    <row r="1759" spans="12:13" x14ac:dyDescent="0.25">
      <c r="L1759" s="64">
        <v>424631</v>
      </c>
      <c r="M1759" t="s">
        <v>1517</v>
      </c>
    </row>
    <row r="1760" spans="12:13" x14ac:dyDescent="0.25">
      <c r="L1760" s="64">
        <v>424900</v>
      </c>
      <c r="M1760" t="s">
        <v>1518</v>
      </c>
    </row>
    <row r="1761" spans="12:13" x14ac:dyDescent="0.25">
      <c r="L1761" s="64">
        <v>424910</v>
      </c>
      <c r="M1761" t="s">
        <v>1518</v>
      </c>
    </row>
    <row r="1762" spans="12:13" x14ac:dyDescent="0.25">
      <c r="L1762" s="64">
        <v>424911</v>
      </c>
      <c r="M1762" t="s">
        <v>1518</v>
      </c>
    </row>
    <row r="1763" spans="12:13" x14ac:dyDescent="0.25">
      <c r="L1763" s="64">
        <v>425000</v>
      </c>
      <c r="M1763" t="s">
        <v>1519</v>
      </c>
    </row>
    <row r="1764" spans="12:13" x14ac:dyDescent="0.25">
      <c r="L1764" s="64">
        <v>425100</v>
      </c>
      <c r="M1764" t="s">
        <v>1520</v>
      </c>
    </row>
    <row r="1765" spans="12:13" x14ac:dyDescent="0.25">
      <c r="L1765" s="64">
        <v>425110</v>
      </c>
      <c r="M1765" t="s">
        <v>1521</v>
      </c>
    </row>
    <row r="1766" spans="12:13" x14ac:dyDescent="0.25">
      <c r="L1766" s="64">
        <v>425111</v>
      </c>
      <c r="M1766" t="s">
        <v>1522</v>
      </c>
    </row>
    <row r="1767" spans="12:13" x14ac:dyDescent="0.25">
      <c r="L1767" s="64">
        <v>425112</v>
      </c>
      <c r="M1767" t="s">
        <v>1523</v>
      </c>
    </row>
    <row r="1768" spans="12:13" x14ac:dyDescent="0.25">
      <c r="L1768" s="64">
        <v>425113</v>
      </c>
      <c r="M1768" t="s">
        <v>1524</v>
      </c>
    </row>
    <row r="1769" spans="12:13" x14ac:dyDescent="0.25">
      <c r="L1769" s="64">
        <v>425114</v>
      </c>
      <c r="M1769" t="s">
        <v>1525</v>
      </c>
    </row>
    <row r="1770" spans="12:13" x14ac:dyDescent="0.25">
      <c r="L1770" s="64">
        <v>425115</v>
      </c>
      <c r="M1770" t="s">
        <v>1526</v>
      </c>
    </row>
    <row r="1771" spans="12:13" x14ac:dyDescent="0.25">
      <c r="L1771" s="64">
        <v>425116</v>
      </c>
      <c r="M1771" t="s">
        <v>1355</v>
      </c>
    </row>
    <row r="1772" spans="12:13" x14ac:dyDescent="0.25">
      <c r="L1772" s="64">
        <v>425117</v>
      </c>
      <c r="M1772" t="s">
        <v>1527</v>
      </c>
    </row>
    <row r="1773" spans="12:13" x14ac:dyDescent="0.25">
      <c r="L1773" s="64">
        <v>425118</v>
      </c>
      <c r="M1773" t="s">
        <v>1528</v>
      </c>
    </row>
    <row r="1774" spans="12:13" x14ac:dyDescent="0.25">
      <c r="L1774" s="64">
        <v>425119</v>
      </c>
      <c r="M1774" t="s">
        <v>1529</v>
      </c>
    </row>
    <row r="1775" spans="12:13" x14ac:dyDescent="0.25">
      <c r="L1775" s="64">
        <v>425190</v>
      </c>
      <c r="M1775" t="s">
        <v>1530</v>
      </c>
    </row>
    <row r="1776" spans="12:13" x14ac:dyDescent="0.25">
      <c r="L1776" s="64">
        <v>425191</v>
      </c>
      <c r="M1776" t="s">
        <v>1530</v>
      </c>
    </row>
    <row r="1777" spans="12:13" x14ac:dyDescent="0.25">
      <c r="L1777" s="64">
        <v>425200</v>
      </c>
      <c r="M1777" t="s">
        <v>1531</v>
      </c>
    </row>
    <row r="1778" spans="12:13" x14ac:dyDescent="0.25">
      <c r="L1778" s="64">
        <v>425210</v>
      </c>
      <c r="M1778" t="s">
        <v>1532</v>
      </c>
    </row>
    <row r="1779" spans="12:13" x14ac:dyDescent="0.25">
      <c r="L1779" s="64">
        <v>425211</v>
      </c>
      <c r="M1779" t="s">
        <v>1533</v>
      </c>
    </row>
    <row r="1780" spans="12:13" x14ac:dyDescent="0.25">
      <c r="L1780" s="64">
        <v>425212</v>
      </c>
      <c r="M1780" t="s">
        <v>1534</v>
      </c>
    </row>
    <row r="1781" spans="12:13" x14ac:dyDescent="0.25">
      <c r="L1781" s="64">
        <v>425213</v>
      </c>
      <c r="M1781" t="s">
        <v>1535</v>
      </c>
    </row>
    <row r="1782" spans="12:13" x14ac:dyDescent="0.25">
      <c r="L1782" s="64">
        <v>425219</v>
      </c>
      <c r="M1782" t="s">
        <v>1536</v>
      </c>
    </row>
    <row r="1783" spans="12:13" x14ac:dyDescent="0.25">
      <c r="L1783" s="64">
        <v>425220</v>
      </c>
      <c r="M1783" t="s">
        <v>1537</v>
      </c>
    </row>
    <row r="1784" spans="12:13" x14ac:dyDescent="0.25">
      <c r="L1784" s="64">
        <v>425221</v>
      </c>
      <c r="M1784" t="s">
        <v>1538</v>
      </c>
    </row>
    <row r="1785" spans="12:13" x14ac:dyDescent="0.25">
      <c r="L1785" s="64">
        <v>425222</v>
      </c>
      <c r="M1785" t="s">
        <v>338</v>
      </c>
    </row>
    <row r="1786" spans="12:13" x14ac:dyDescent="0.25">
      <c r="L1786" s="64">
        <v>425223</v>
      </c>
      <c r="M1786" t="s">
        <v>1539</v>
      </c>
    </row>
    <row r="1787" spans="12:13" x14ac:dyDescent="0.25">
      <c r="L1787" s="64">
        <v>425224</v>
      </c>
      <c r="M1787" t="s">
        <v>340</v>
      </c>
    </row>
    <row r="1788" spans="12:13" x14ac:dyDescent="0.25">
      <c r="L1788" s="64">
        <v>425225</v>
      </c>
      <c r="M1788" t="s">
        <v>341</v>
      </c>
    </row>
    <row r="1789" spans="12:13" x14ac:dyDescent="0.25">
      <c r="L1789" s="64">
        <v>425226</v>
      </c>
      <c r="M1789" t="s">
        <v>1540</v>
      </c>
    </row>
    <row r="1790" spans="12:13" x14ac:dyDescent="0.25">
      <c r="L1790" s="64">
        <v>425227</v>
      </c>
      <c r="M1790" t="s">
        <v>1541</v>
      </c>
    </row>
    <row r="1791" spans="12:13" x14ac:dyDescent="0.25">
      <c r="L1791" s="64">
        <v>425229</v>
      </c>
      <c r="M1791" t="s">
        <v>1542</v>
      </c>
    </row>
    <row r="1792" spans="12:13" x14ac:dyDescent="0.25">
      <c r="L1792" s="64">
        <v>425230</v>
      </c>
      <c r="M1792" t="s">
        <v>1543</v>
      </c>
    </row>
    <row r="1793" spans="12:13" x14ac:dyDescent="0.25">
      <c r="L1793" s="64">
        <v>425231</v>
      </c>
      <c r="M1793" t="s">
        <v>1543</v>
      </c>
    </row>
    <row r="1794" spans="12:13" x14ac:dyDescent="0.25">
      <c r="L1794" s="64">
        <v>425240</v>
      </c>
      <c r="M1794" t="s">
        <v>1544</v>
      </c>
    </row>
    <row r="1795" spans="12:13" x14ac:dyDescent="0.25">
      <c r="L1795" s="64">
        <v>425241</v>
      </c>
      <c r="M1795" t="s">
        <v>1545</v>
      </c>
    </row>
    <row r="1796" spans="12:13" x14ac:dyDescent="0.25">
      <c r="L1796" s="64">
        <v>425242</v>
      </c>
      <c r="M1796" t="s">
        <v>1546</v>
      </c>
    </row>
    <row r="1797" spans="12:13" x14ac:dyDescent="0.25">
      <c r="L1797" s="64">
        <v>425250</v>
      </c>
      <c r="M1797" t="s">
        <v>1547</v>
      </c>
    </row>
    <row r="1798" spans="12:13" x14ac:dyDescent="0.25">
      <c r="L1798" s="64">
        <v>425251</v>
      </c>
      <c r="M1798" t="s">
        <v>1548</v>
      </c>
    </row>
    <row r="1799" spans="12:13" x14ac:dyDescent="0.25">
      <c r="L1799" s="64">
        <v>425252</v>
      </c>
      <c r="M1799" t="s">
        <v>1549</v>
      </c>
    </row>
    <row r="1800" spans="12:13" x14ac:dyDescent="0.25">
      <c r="L1800" s="64">
        <v>425253</v>
      </c>
      <c r="M1800" t="s">
        <v>1550</v>
      </c>
    </row>
    <row r="1801" spans="12:13" x14ac:dyDescent="0.25">
      <c r="L1801" s="64">
        <v>425260</v>
      </c>
      <c r="M1801" t="s">
        <v>1551</v>
      </c>
    </row>
    <row r="1802" spans="12:13" x14ac:dyDescent="0.25">
      <c r="L1802" s="64">
        <v>425261</v>
      </c>
      <c r="M1802" t="s">
        <v>1552</v>
      </c>
    </row>
    <row r="1803" spans="12:13" x14ac:dyDescent="0.25">
      <c r="L1803" s="64">
        <v>425262</v>
      </c>
      <c r="M1803" t="s">
        <v>1553</v>
      </c>
    </row>
    <row r="1804" spans="12:13" x14ac:dyDescent="0.25">
      <c r="L1804" s="64">
        <v>425263</v>
      </c>
      <c r="M1804" t="s">
        <v>1554</v>
      </c>
    </row>
    <row r="1805" spans="12:13" x14ac:dyDescent="0.25">
      <c r="L1805" s="64">
        <v>425270</v>
      </c>
      <c r="M1805" t="s">
        <v>1555</v>
      </c>
    </row>
    <row r="1806" spans="12:13" x14ac:dyDescent="0.25">
      <c r="L1806" s="64">
        <v>425271</v>
      </c>
      <c r="M1806" t="s">
        <v>1555</v>
      </c>
    </row>
    <row r="1807" spans="12:13" x14ac:dyDescent="0.25">
      <c r="L1807" s="64">
        <v>425280</v>
      </c>
      <c r="M1807" t="s">
        <v>1556</v>
      </c>
    </row>
    <row r="1808" spans="12:13" x14ac:dyDescent="0.25">
      <c r="L1808" s="64">
        <v>425281</v>
      </c>
      <c r="M1808" t="s">
        <v>1556</v>
      </c>
    </row>
    <row r="1809" spans="12:13" x14ac:dyDescent="0.25">
      <c r="L1809" s="64">
        <v>425290</v>
      </c>
      <c r="M1809" t="s">
        <v>1557</v>
      </c>
    </row>
    <row r="1810" spans="12:13" x14ac:dyDescent="0.25">
      <c r="L1810" s="64">
        <v>425291</v>
      </c>
      <c r="M1810" t="s">
        <v>1557</v>
      </c>
    </row>
    <row r="1811" spans="12:13" x14ac:dyDescent="0.25">
      <c r="L1811" s="64">
        <v>426000</v>
      </c>
      <c r="M1811" t="s">
        <v>1558</v>
      </c>
    </row>
    <row r="1812" spans="12:13" x14ac:dyDescent="0.25">
      <c r="L1812" s="64">
        <v>426100</v>
      </c>
      <c r="M1812" t="s">
        <v>1559</v>
      </c>
    </row>
    <row r="1813" spans="12:13" x14ac:dyDescent="0.25">
      <c r="L1813" s="64">
        <v>426110</v>
      </c>
      <c r="M1813" t="s">
        <v>1560</v>
      </c>
    </row>
    <row r="1814" spans="12:13" x14ac:dyDescent="0.25">
      <c r="L1814" s="64">
        <v>426111</v>
      </c>
      <c r="M1814" t="s">
        <v>1560</v>
      </c>
    </row>
    <row r="1815" spans="12:13" x14ac:dyDescent="0.25">
      <c r="L1815" s="64">
        <v>426120</v>
      </c>
      <c r="M1815" t="s">
        <v>1561</v>
      </c>
    </row>
    <row r="1816" spans="12:13" x14ac:dyDescent="0.25">
      <c r="L1816" s="64">
        <v>426121</v>
      </c>
      <c r="M1816" t="s">
        <v>1562</v>
      </c>
    </row>
    <row r="1817" spans="12:13" x14ac:dyDescent="0.25">
      <c r="L1817" s="64">
        <v>426122</v>
      </c>
      <c r="M1817" t="s">
        <v>1563</v>
      </c>
    </row>
    <row r="1818" spans="12:13" x14ac:dyDescent="0.25">
      <c r="L1818" s="64">
        <v>426123</v>
      </c>
      <c r="M1818" t="s">
        <v>1564</v>
      </c>
    </row>
    <row r="1819" spans="12:13" x14ac:dyDescent="0.25">
      <c r="L1819" s="64">
        <v>426124</v>
      </c>
      <c r="M1819" t="s">
        <v>1565</v>
      </c>
    </row>
    <row r="1820" spans="12:13" x14ac:dyDescent="0.25">
      <c r="L1820" s="64">
        <v>426129</v>
      </c>
      <c r="M1820" t="s">
        <v>1566</v>
      </c>
    </row>
    <row r="1821" spans="12:13" x14ac:dyDescent="0.25">
      <c r="L1821" s="64">
        <v>426130</v>
      </c>
      <c r="M1821" t="s">
        <v>1567</v>
      </c>
    </row>
    <row r="1822" spans="12:13" x14ac:dyDescent="0.25">
      <c r="L1822" s="64">
        <v>426131</v>
      </c>
      <c r="M1822" t="s">
        <v>1568</v>
      </c>
    </row>
    <row r="1823" spans="12:13" x14ac:dyDescent="0.25">
      <c r="L1823" s="64">
        <v>426190</v>
      </c>
      <c r="M1823" t="s">
        <v>1569</v>
      </c>
    </row>
    <row r="1824" spans="12:13" x14ac:dyDescent="0.25">
      <c r="L1824" s="64">
        <v>426191</v>
      </c>
      <c r="M1824" t="s">
        <v>1569</v>
      </c>
    </row>
    <row r="1825" spans="12:13" x14ac:dyDescent="0.25">
      <c r="L1825" s="64">
        <v>426200</v>
      </c>
      <c r="M1825" t="s">
        <v>1570</v>
      </c>
    </row>
    <row r="1826" spans="12:13" x14ac:dyDescent="0.25">
      <c r="L1826" s="64">
        <v>426210</v>
      </c>
      <c r="M1826" t="s">
        <v>1571</v>
      </c>
    </row>
    <row r="1827" spans="12:13" x14ac:dyDescent="0.25">
      <c r="L1827" s="64">
        <v>426211</v>
      </c>
      <c r="M1827" t="s">
        <v>1571</v>
      </c>
    </row>
    <row r="1828" spans="12:13" x14ac:dyDescent="0.25">
      <c r="L1828" s="64">
        <v>426220</v>
      </c>
      <c r="M1828" t="s">
        <v>1572</v>
      </c>
    </row>
    <row r="1829" spans="12:13" x14ac:dyDescent="0.25">
      <c r="L1829" s="64">
        <v>426221</v>
      </c>
      <c r="M1829" t="s">
        <v>1572</v>
      </c>
    </row>
    <row r="1830" spans="12:13" x14ac:dyDescent="0.25">
      <c r="L1830" s="64">
        <v>426230</v>
      </c>
      <c r="M1830" t="s">
        <v>1573</v>
      </c>
    </row>
    <row r="1831" spans="12:13" x14ac:dyDescent="0.25">
      <c r="L1831" s="64">
        <v>426231</v>
      </c>
      <c r="M1831" t="s">
        <v>1573</v>
      </c>
    </row>
    <row r="1832" spans="12:13" x14ac:dyDescent="0.25">
      <c r="L1832" s="64">
        <v>426240</v>
      </c>
      <c r="M1832" t="s">
        <v>1574</v>
      </c>
    </row>
    <row r="1833" spans="12:13" x14ac:dyDescent="0.25">
      <c r="L1833" s="64">
        <v>426241</v>
      </c>
      <c r="M1833" t="s">
        <v>1574</v>
      </c>
    </row>
    <row r="1834" spans="12:13" x14ac:dyDescent="0.25">
      <c r="L1834" s="64">
        <v>426250</v>
      </c>
      <c r="M1834" t="s">
        <v>1575</v>
      </c>
    </row>
    <row r="1835" spans="12:13" x14ac:dyDescent="0.25">
      <c r="L1835" s="64">
        <v>426251</v>
      </c>
      <c r="M1835" t="s">
        <v>1575</v>
      </c>
    </row>
    <row r="1836" spans="12:13" x14ac:dyDescent="0.25">
      <c r="L1836" s="64">
        <v>426290</v>
      </c>
      <c r="M1836" t="s">
        <v>1576</v>
      </c>
    </row>
    <row r="1837" spans="12:13" x14ac:dyDescent="0.25">
      <c r="L1837" s="64">
        <v>426291</v>
      </c>
      <c r="M1837" t="s">
        <v>1576</v>
      </c>
    </row>
    <row r="1838" spans="12:13" x14ac:dyDescent="0.25">
      <c r="L1838" s="64">
        <v>426300</v>
      </c>
      <c r="M1838" t="s">
        <v>1577</v>
      </c>
    </row>
    <row r="1839" spans="12:13" x14ac:dyDescent="0.25">
      <c r="L1839" s="64">
        <v>426310</v>
      </c>
      <c r="M1839" t="s">
        <v>1578</v>
      </c>
    </row>
    <row r="1840" spans="12:13" x14ac:dyDescent="0.25">
      <c r="L1840" s="64">
        <v>426311</v>
      </c>
      <c r="M1840" t="s">
        <v>1579</v>
      </c>
    </row>
    <row r="1841" spans="12:13" x14ac:dyDescent="0.25">
      <c r="L1841" s="64">
        <v>426312</v>
      </c>
      <c r="M1841" t="s">
        <v>1580</v>
      </c>
    </row>
    <row r="1842" spans="12:13" x14ac:dyDescent="0.25">
      <c r="L1842" s="64">
        <v>426320</v>
      </c>
      <c r="M1842" t="s">
        <v>1581</v>
      </c>
    </row>
    <row r="1843" spans="12:13" x14ac:dyDescent="0.25">
      <c r="L1843" s="64">
        <v>426321</v>
      </c>
      <c r="M1843" t="s">
        <v>1581</v>
      </c>
    </row>
    <row r="1844" spans="12:13" x14ac:dyDescent="0.25">
      <c r="L1844" s="64">
        <v>426400</v>
      </c>
      <c r="M1844" t="s">
        <v>1582</v>
      </c>
    </row>
    <row r="1845" spans="12:13" x14ac:dyDescent="0.25">
      <c r="L1845" s="64">
        <v>426410</v>
      </c>
      <c r="M1845" t="s">
        <v>1583</v>
      </c>
    </row>
    <row r="1846" spans="12:13" x14ac:dyDescent="0.25">
      <c r="L1846" s="64">
        <v>426411</v>
      </c>
      <c r="M1846" t="s">
        <v>1584</v>
      </c>
    </row>
    <row r="1847" spans="12:13" x14ac:dyDescent="0.25">
      <c r="L1847" s="64">
        <v>426412</v>
      </c>
      <c r="M1847" t="s">
        <v>1585</v>
      </c>
    </row>
    <row r="1848" spans="12:13" x14ac:dyDescent="0.25">
      <c r="L1848" s="64">
        <v>426413</v>
      </c>
      <c r="M1848" t="s">
        <v>1586</v>
      </c>
    </row>
    <row r="1849" spans="12:13" x14ac:dyDescent="0.25">
      <c r="L1849" s="64">
        <v>426490</v>
      </c>
      <c r="M1849" t="s">
        <v>1587</v>
      </c>
    </row>
    <row r="1850" spans="12:13" x14ac:dyDescent="0.25">
      <c r="L1850" s="64">
        <v>426491</v>
      </c>
      <c r="M1850" t="s">
        <v>1587</v>
      </c>
    </row>
    <row r="1851" spans="12:13" x14ac:dyDescent="0.25">
      <c r="L1851" s="64">
        <v>426500</v>
      </c>
      <c r="M1851" t="s">
        <v>1588</v>
      </c>
    </row>
    <row r="1852" spans="12:13" x14ac:dyDescent="0.25">
      <c r="L1852" s="64">
        <v>426510</v>
      </c>
      <c r="M1852" t="s">
        <v>1589</v>
      </c>
    </row>
    <row r="1853" spans="12:13" x14ac:dyDescent="0.25">
      <c r="L1853" s="64">
        <v>426511</v>
      </c>
      <c r="M1853" t="s">
        <v>1589</v>
      </c>
    </row>
    <row r="1854" spans="12:13" x14ac:dyDescent="0.25">
      <c r="L1854" s="64">
        <v>426520</v>
      </c>
      <c r="M1854" t="s">
        <v>1590</v>
      </c>
    </row>
    <row r="1855" spans="12:13" x14ac:dyDescent="0.25">
      <c r="L1855" s="64">
        <v>426521</v>
      </c>
      <c r="M1855" t="s">
        <v>1590</v>
      </c>
    </row>
    <row r="1856" spans="12:13" x14ac:dyDescent="0.25">
      <c r="L1856" s="64">
        <v>426530</v>
      </c>
      <c r="M1856" t="s">
        <v>1591</v>
      </c>
    </row>
    <row r="1857" spans="12:13" x14ac:dyDescent="0.25">
      <c r="L1857" s="64">
        <v>426531</v>
      </c>
      <c r="M1857" t="s">
        <v>1591</v>
      </c>
    </row>
    <row r="1858" spans="12:13" x14ac:dyDescent="0.25">
      <c r="L1858" s="64">
        <v>426540</v>
      </c>
      <c r="M1858" t="s">
        <v>1592</v>
      </c>
    </row>
    <row r="1859" spans="12:13" x14ac:dyDescent="0.25">
      <c r="L1859" s="64">
        <v>426541</v>
      </c>
      <c r="M1859" t="s">
        <v>1592</v>
      </c>
    </row>
    <row r="1860" spans="12:13" x14ac:dyDescent="0.25">
      <c r="L1860" s="64">
        <v>426550</v>
      </c>
      <c r="M1860" t="s">
        <v>1593</v>
      </c>
    </row>
    <row r="1861" spans="12:13" x14ac:dyDescent="0.25">
      <c r="L1861" s="64">
        <v>426551</v>
      </c>
      <c r="M1861" t="s">
        <v>1593</v>
      </c>
    </row>
    <row r="1862" spans="12:13" x14ac:dyDescent="0.25">
      <c r="L1862" s="64">
        <v>426590</v>
      </c>
      <c r="M1862" t="s">
        <v>1594</v>
      </c>
    </row>
    <row r="1863" spans="12:13" x14ac:dyDescent="0.25">
      <c r="L1863" s="64">
        <v>426591</v>
      </c>
      <c r="M1863" t="s">
        <v>1594</v>
      </c>
    </row>
    <row r="1864" spans="12:13" x14ac:dyDescent="0.25">
      <c r="L1864" s="64">
        <v>426600</v>
      </c>
      <c r="M1864" t="s">
        <v>1595</v>
      </c>
    </row>
    <row r="1865" spans="12:13" x14ac:dyDescent="0.25">
      <c r="L1865" s="64">
        <v>426610</v>
      </c>
      <c r="M1865" t="s">
        <v>1581</v>
      </c>
    </row>
    <row r="1866" spans="12:13" x14ac:dyDescent="0.25">
      <c r="L1866" s="64">
        <v>426611</v>
      </c>
      <c r="M1866" t="s">
        <v>1581</v>
      </c>
    </row>
    <row r="1867" spans="12:13" x14ac:dyDescent="0.25">
      <c r="L1867" s="64">
        <v>426620</v>
      </c>
      <c r="M1867" t="s">
        <v>1596</v>
      </c>
    </row>
    <row r="1868" spans="12:13" x14ac:dyDescent="0.25">
      <c r="L1868" s="64">
        <v>426621</v>
      </c>
      <c r="M1868" t="s">
        <v>1596</v>
      </c>
    </row>
    <row r="1869" spans="12:13" x14ac:dyDescent="0.25">
      <c r="L1869" s="64">
        <v>426630</v>
      </c>
      <c r="M1869" t="s">
        <v>1597</v>
      </c>
    </row>
    <row r="1870" spans="12:13" x14ac:dyDescent="0.25">
      <c r="L1870" s="64">
        <v>426631</v>
      </c>
      <c r="M1870" t="s">
        <v>1597</v>
      </c>
    </row>
    <row r="1871" spans="12:13" x14ac:dyDescent="0.25">
      <c r="L1871" s="64">
        <v>426700</v>
      </c>
      <c r="M1871" t="s">
        <v>1598</v>
      </c>
    </row>
    <row r="1872" spans="12:13" x14ac:dyDescent="0.25">
      <c r="L1872" s="64">
        <v>426710</v>
      </c>
      <c r="M1872" t="s">
        <v>1599</v>
      </c>
    </row>
    <row r="1873" spans="12:13" x14ac:dyDescent="0.25">
      <c r="L1873" s="64">
        <v>426711</v>
      </c>
      <c r="M1873" t="s">
        <v>1599</v>
      </c>
    </row>
    <row r="1874" spans="12:13" x14ac:dyDescent="0.25">
      <c r="L1874" s="64">
        <v>426720</v>
      </c>
      <c r="M1874" t="s">
        <v>1600</v>
      </c>
    </row>
    <row r="1875" spans="12:13" x14ac:dyDescent="0.25">
      <c r="L1875" s="64">
        <v>426721</v>
      </c>
      <c r="M1875" t="s">
        <v>1600</v>
      </c>
    </row>
    <row r="1876" spans="12:13" x14ac:dyDescent="0.25">
      <c r="L1876" s="64">
        <v>426730</v>
      </c>
      <c r="M1876" t="s">
        <v>1601</v>
      </c>
    </row>
    <row r="1877" spans="12:13" x14ac:dyDescent="0.25">
      <c r="L1877" s="64">
        <v>426731</v>
      </c>
      <c r="M1877" t="s">
        <v>1601</v>
      </c>
    </row>
    <row r="1878" spans="12:13" x14ac:dyDescent="0.25">
      <c r="L1878" s="64">
        <v>426740</v>
      </c>
      <c r="M1878" t="s">
        <v>1602</v>
      </c>
    </row>
    <row r="1879" spans="12:13" x14ac:dyDescent="0.25">
      <c r="L1879" s="64">
        <v>426741</v>
      </c>
      <c r="M1879" t="s">
        <v>1602</v>
      </c>
    </row>
    <row r="1880" spans="12:13" x14ac:dyDescent="0.25">
      <c r="L1880" s="64">
        <v>426750</v>
      </c>
      <c r="M1880" t="s">
        <v>1603</v>
      </c>
    </row>
    <row r="1881" spans="12:13" x14ac:dyDescent="0.25">
      <c r="L1881" s="64">
        <v>426751</v>
      </c>
      <c r="M1881" t="s">
        <v>1603</v>
      </c>
    </row>
    <row r="1882" spans="12:13" x14ac:dyDescent="0.25">
      <c r="L1882" s="64">
        <v>426760</v>
      </c>
      <c r="M1882" t="s">
        <v>1604</v>
      </c>
    </row>
    <row r="1883" spans="12:13" x14ac:dyDescent="0.25">
      <c r="L1883" s="64">
        <v>426761</v>
      </c>
      <c r="M1883" t="s">
        <v>1604</v>
      </c>
    </row>
    <row r="1884" spans="12:13" x14ac:dyDescent="0.25">
      <c r="L1884" s="64">
        <v>426790</v>
      </c>
      <c r="M1884" t="s">
        <v>1605</v>
      </c>
    </row>
    <row r="1885" spans="12:13" x14ac:dyDescent="0.25">
      <c r="L1885" s="64">
        <v>426791</v>
      </c>
      <c r="M1885" t="s">
        <v>1605</v>
      </c>
    </row>
    <row r="1886" spans="12:13" x14ac:dyDescent="0.25">
      <c r="L1886" s="64">
        <v>426800</v>
      </c>
      <c r="M1886" t="s">
        <v>1606</v>
      </c>
    </row>
    <row r="1887" spans="12:13" x14ac:dyDescent="0.25">
      <c r="L1887" s="64">
        <v>426810</v>
      </c>
      <c r="M1887" t="s">
        <v>1607</v>
      </c>
    </row>
    <row r="1888" spans="12:13" x14ac:dyDescent="0.25">
      <c r="L1888" s="64">
        <v>426811</v>
      </c>
      <c r="M1888" t="s">
        <v>1608</v>
      </c>
    </row>
    <row r="1889" spans="12:13" x14ac:dyDescent="0.25">
      <c r="L1889" s="64">
        <v>426812</v>
      </c>
      <c r="M1889" t="s">
        <v>1609</v>
      </c>
    </row>
    <row r="1890" spans="12:13" x14ac:dyDescent="0.25">
      <c r="L1890" s="64">
        <v>426819</v>
      </c>
      <c r="M1890" t="s">
        <v>1610</v>
      </c>
    </row>
    <row r="1891" spans="12:13" x14ac:dyDescent="0.25">
      <c r="L1891" s="64">
        <v>426820</v>
      </c>
      <c r="M1891" t="s">
        <v>1611</v>
      </c>
    </row>
    <row r="1892" spans="12:13" x14ac:dyDescent="0.25">
      <c r="L1892" s="64">
        <v>426821</v>
      </c>
      <c r="M1892" t="s">
        <v>1612</v>
      </c>
    </row>
    <row r="1893" spans="12:13" x14ac:dyDescent="0.25">
      <c r="L1893" s="64">
        <v>426822</v>
      </c>
      <c r="M1893" t="s">
        <v>1613</v>
      </c>
    </row>
    <row r="1894" spans="12:13" x14ac:dyDescent="0.25">
      <c r="L1894" s="64">
        <v>426823</v>
      </c>
      <c r="M1894" t="s">
        <v>1614</v>
      </c>
    </row>
    <row r="1895" spans="12:13" x14ac:dyDescent="0.25">
      <c r="L1895" s="64">
        <v>426829</v>
      </c>
      <c r="M1895" t="s">
        <v>1615</v>
      </c>
    </row>
    <row r="1896" spans="12:13" x14ac:dyDescent="0.25">
      <c r="L1896" s="64">
        <v>426900</v>
      </c>
      <c r="M1896" t="s">
        <v>1616</v>
      </c>
    </row>
    <row r="1897" spans="12:13" x14ac:dyDescent="0.25">
      <c r="L1897" s="64">
        <v>426910</v>
      </c>
      <c r="M1897" t="s">
        <v>1616</v>
      </c>
    </row>
    <row r="1898" spans="12:13" x14ac:dyDescent="0.25">
      <c r="L1898" s="64">
        <v>426911</v>
      </c>
      <c r="M1898" t="s">
        <v>1617</v>
      </c>
    </row>
    <row r="1899" spans="12:13" x14ac:dyDescent="0.25">
      <c r="L1899" s="64">
        <v>426912</v>
      </c>
      <c r="M1899" t="s">
        <v>1618</v>
      </c>
    </row>
    <row r="1900" spans="12:13" x14ac:dyDescent="0.25">
      <c r="L1900" s="64">
        <v>426913</v>
      </c>
      <c r="M1900" t="s">
        <v>1619</v>
      </c>
    </row>
    <row r="1901" spans="12:13" x14ac:dyDescent="0.25">
      <c r="L1901" s="64">
        <v>426914</v>
      </c>
      <c r="M1901" t="s">
        <v>1620</v>
      </c>
    </row>
    <row r="1902" spans="12:13" x14ac:dyDescent="0.25">
      <c r="L1902" s="64">
        <v>426919</v>
      </c>
      <c r="M1902" t="s">
        <v>1621</v>
      </c>
    </row>
    <row r="1903" spans="12:13" x14ac:dyDescent="0.25">
      <c r="L1903" s="64">
        <v>430000</v>
      </c>
      <c r="M1903" t="s">
        <v>1622</v>
      </c>
    </row>
    <row r="1904" spans="12:13" x14ac:dyDescent="0.25">
      <c r="L1904" s="64">
        <v>431000</v>
      </c>
      <c r="M1904" t="s">
        <v>1623</v>
      </c>
    </row>
    <row r="1905" spans="12:13" x14ac:dyDescent="0.25">
      <c r="L1905" s="64">
        <v>431100</v>
      </c>
      <c r="M1905" t="s">
        <v>1624</v>
      </c>
    </row>
    <row r="1906" spans="12:13" x14ac:dyDescent="0.25">
      <c r="L1906" s="64">
        <v>431110</v>
      </c>
      <c r="M1906" t="s">
        <v>1624</v>
      </c>
    </row>
    <row r="1907" spans="12:13" x14ac:dyDescent="0.25">
      <c r="L1907" s="64">
        <v>431111</v>
      </c>
      <c r="M1907" t="s">
        <v>1624</v>
      </c>
    </row>
    <row r="1908" spans="12:13" x14ac:dyDescent="0.25">
      <c r="L1908" s="64">
        <v>431200</v>
      </c>
      <c r="M1908" t="s">
        <v>1625</v>
      </c>
    </row>
    <row r="1909" spans="12:13" x14ac:dyDescent="0.25">
      <c r="L1909" s="64">
        <v>431210</v>
      </c>
      <c r="M1909" t="s">
        <v>1625</v>
      </c>
    </row>
    <row r="1910" spans="12:13" x14ac:dyDescent="0.25">
      <c r="L1910" s="64">
        <v>431211</v>
      </c>
      <c r="M1910" t="s">
        <v>1625</v>
      </c>
    </row>
    <row r="1911" spans="12:13" x14ac:dyDescent="0.25">
      <c r="L1911" s="64">
        <v>431300</v>
      </c>
      <c r="M1911" t="s">
        <v>1626</v>
      </c>
    </row>
    <row r="1912" spans="12:13" x14ac:dyDescent="0.25">
      <c r="L1912" s="64">
        <v>431310</v>
      </c>
      <c r="M1912" t="s">
        <v>1626</v>
      </c>
    </row>
    <row r="1913" spans="12:13" x14ac:dyDescent="0.25">
      <c r="L1913" s="64">
        <v>431311</v>
      </c>
      <c r="M1913" t="s">
        <v>1626</v>
      </c>
    </row>
    <row r="1914" spans="12:13" x14ac:dyDescent="0.25">
      <c r="L1914" s="64">
        <v>432000</v>
      </c>
      <c r="M1914" t="s">
        <v>1627</v>
      </c>
    </row>
    <row r="1915" spans="12:13" x14ac:dyDescent="0.25">
      <c r="L1915" s="64">
        <v>432100</v>
      </c>
      <c r="M1915" t="s">
        <v>1627</v>
      </c>
    </row>
    <row r="1916" spans="12:13" x14ac:dyDescent="0.25">
      <c r="L1916" s="64">
        <v>432110</v>
      </c>
      <c r="M1916" t="s">
        <v>1627</v>
      </c>
    </row>
    <row r="1917" spans="12:13" x14ac:dyDescent="0.25">
      <c r="L1917" s="64">
        <v>432111</v>
      </c>
      <c r="M1917" t="s">
        <v>1627</v>
      </c>
    </row>
    <row r="1918" spans="12:13" x14ac:dyDescent="0.25">
      <c r="L1918" t="s">
        <v>1628</v>
      </c>
      <c r="M1918" t="s">
        <v>1629</v>
      </c>
    </row>
    <row r="1919" spans="12:13" x14ac:dyDescent="0.25">
      <c r="L1919" s="64">
        <v>433100</v>
      </c>
      <c r="M1919" t="s">
        <v>1630</v>
      </c>
    </row>
    <row r="1920" spans="12:13" x14ac:dyDescent="0.25">
      <c r="L1920" s="64">
        <v>433110</v>
      </c>
      <c r="M1920" t="s">
        <v>1630</v>
      </c>
    </row>
    <row r="1921" spans="12:13" x14ac:dyDescent="0.25">
      <c r="L1921" s="64">
        <v>433111</v>
      </c>
      <c r="M1921" t="s">
        <v>1630</v>
      </c>
    </row>
    <row r="1922" spans="12:13" x14ac:dyDescent="0.25">
      <c r="L1922" s="64">
        <v>434000</v>
      </c>
      <c r="M1922" t="s">
        <v>1631</v>
      </c>
    </row>
    <row r="1923" spans="12:13" x14ac:dyDescent="0.25">
      <c r="L1923" s="64">
        <v>434100</v>
      </c>
      <c r="M1923" t="s">
        <v>1632</v>
      </c>
    </row>
    <row r="1924" spans="12:13" x14ac:dyDescent="0.25">
      <c r="L1924" s="64">
        <v>434110</v>
      </c>
      <c r="M1924" t="s">
        <v>1632</v>
      </c>
    </row>
    <row r="1925" spans="12:13" x14ac:dyDescent="0.25">
      <c r="L1925" s="64">
        <v>434111</v>
      </c>
      <c r="M1925" t="s">
        <v>1632</v>
      </c>
    </row>
    <row r="1926" spans="12:13" x14ac:dyDescent="0.25">
      <c r="L1926" s="64">
        <v>434200</v>
      </c>
      <c r="M1926" t="s">
        <v>1633</v>
      </c>
    </row>
    <row r="1927" spans="12:13" x14ac:dyDescent="0.25">
      <c r="L1927" s="64">
        <v>434210</v>
      </c>
      <c r="M1927" t="s">
        <v>1633</v>
      </c>
    </row>
    <row r="1928" spans="12:13" x14ac:dyDescent="0.25">
      <c r="L1928" s="64">
        <v>434211</v>
      </c>
      <c r="M1928" t="s">
        <v>1633</v>
      </c>
    </row>
    <row r="1929" spans="12:13" x14ac:dyDescent="0.25">
      <c r="L1929" s="64">
        <v>434300</v>
      </c>
      <c r="M1929" t="s">
        <v>1634</v>
      </c>
    </row>
    <row r="1930" spans="12:13" x14ac:dyDescent="0.25">
      <c r="L1930" s="64">
        <v>434310</v>
      </c>
      <c r="M1930" t="s">
        <v>1635</v>
      </c>
    </row>
    <row r="1931" spans="12:13" x14ac:dyDescent="0.25">
      <c r="L1931" s="64">
        <v>434311</v>
      </c>
      <c r="M1931" t="s">
        <v>1635</v>
      </c>
    </row>
    <row r="1932" spans="12:13" x14ac:dyDescent="0.25">
      <c r="L1932" s="64">
        <v>434320</v>
      </c>
      <c r="M1932" t="s">
        <v>1636</v>
      </c>
    </row>
    <row r="1933" spans="12:13" x14ac:dyDescent="0.25">
      <c r="L1933" s="64">
        <v>434321</v>
      </c>
      <c r="M1933" t="s">
        <v>1636</v>
      </c>
    </row>
    <row r="1934" spans="12:13" x14ac:dyDescent="0.25">
      <c r="L1934" s="64">
        <v>435000</v>
      </c>
      <c r="M1934" t="s">
        <v>1637</v>
      </c>
    </row>
    <row r="1935" spans="12:13" x14ac:dyDescent="0.25">
      <c r="L1935" s="64">
        <v>435100</v>
      </c>
      <c r="M1935" t="s">
        <v>1637</v>
      </c>
    </row>
    <row r="1936" spans="12:13" x14ac:dyDescent="0.25">
      <c r="L1936" s="64">
        <v>435110</v>
      </c>
      <c r="M1936" t="s">
        <v>1637</v>
      </c>
    </row>
    <row r="1937" spans="12:13" x14ac:dyDescent="0.25">
      <c r="L1937" s="64">
        <v>435111</v>
      </c>
      <c r="M1937" t="s">
        <v>1637</v>
      </c>
    </row>
    <row r="1938" spans="12:13" x14ac:dyDescent="0.25">
      <c r="L1938" s="64">
        <v>440000</v>
      </c>
      <c r="M1938" t="s">
        <v>1638</v>
      </c>
    </row>
    <row r="1939" spans="12:13" x14ac:dyDescent="0.25">
      <c r="L1939" s="64">
        <v>441000</v>
      </c>
      <c r="M1939" t="s">
        <v>1639</v>
      </c>
    </row>
    <row r="1940" spans="12:13" x14ac:dyDescent="0.25">
      <c r="L1940" s="64">
        <v>441100</v>
      </c>
      <c r="M1940" t="s">
        <v>1640</v>
      </c>
    </row>
    <row r="1941" spans="12:13" x14ac:dyDescent="0.25">
      <c r="L1941" s="64">
        <v>441110</v>
      </c>
      <c r="M1941" t="s">
        <v>1641</v>
      </c>
    </row>
    <row r="1942" spans="12:13" x14ac:dyDescent="0.25">
      <c r="L1942" s="64">
        <v>441111</v>
      </c>
      <c r="M1942" t="s">
        <v>1641</v>
      </c>
    </row>
    <row r="1943" spans="12:13" x14ac:dyDescent="0.25">
      <c r="L1943" s="64">
        <v>441120</v>
      </c>
      <c r="M1943" t="s">
        <v>1642</v>
      </c>
    </row>
    <row r="1944" spans="12:13" x14ac:dyDescent="0.25">
      <c r="L1944" s="64">
        <v>441121</v>
      </c>
      <c r="M1944" t="s">
        <v>1642</v>
      </c>
    </row>
    <row r="1945" spans="12:13" x14ac:dyDescent="0.25">
      <c r="L1945" s="64">
        <v>441200</v>
      </c>
      <c r="M1945" t="s">
        <v>1643</v>
      </c>
    </row>
    <row r="1946" spans="12:13" x14ac:dyDescent="0.25">
      <c r="L1946" s="64">
        <v>441210</v>
      </c>
      <c r="M1946" t="s">
        <v>1644</v>
      </c>
    </row>
    <row r="1947" spans="12:13" x14ac:dyDescent="0.25">
      <c r="L1947" s="64">
        <v>441211</v>
      </c>
      <c r="M1947" t="s">
        <v>1644</v>
      </c>
    </row>
    <row r="1948" spans="12:13" x14ac:dyDescent="0.25">
      <c r="L1948" s="64">
        <v>441220</v>
      </c>
      <c r="M1948" t="s">
        <v>1645</v>
      </c>
    </row>
    <row r="1949" spans="12:13" x14ac:dyDescent="0.25">
      <c r="L1949" s="64">
        <v>441221</v>
      </c>
      <c r="M1949" t="s">
        <v>1645</v>
      </c>
    </row>
    <row r="1950" spans="12:13" x14ac:dyDescent="0.25">
      <c r="L1950" s="64">
        <v>441230</v>
      </c>
      <c r="M1950" t="s">
        <v>1646</v>
      </c>
    </row>
    <row r="1951" spans="12:13" x14ac:dyDescent="0.25">
      <c r="L1951" s="64">
        <v>441231</v>
      </c>
      <c r="M1951" t="s">
        <v>1646</v>
      </c>
    </row>
    <row r="1952" spans="12:13" x14ac:dyDescent="0.25">
      <c r="L1952" s="64">
        <v>441240</v>
      </c>
      <c r="M1952" t="s">
        <v>1647</v>
      </c>
    </row>
    <row r="1953" spans="12:13" x14ac:dyDescent="0.25">
      <c r="L1953" s="64">
        <v>441241</v>
      </c>
      <c r="M1953" t="s">
        <v>1647</v>
      </c>
    </row>
    <row r="1954" spans="12:13" x14ac:dyDescent="0.25">
      <c r="L1954" s="64">
        <v>441250</v>
      </c>
      <c r="M1954" t="s">
        <v>1648</v>
      </c>
    </row>
    <row r="1955" spans="12:13" x14ac:dyDescent="0.25">
      <c r="L1955" s="64">
        <v>441251</v>
      </c>
      <c r="M1955" t="s">
        <v>1649</v>
      </c>
    </row>
    <row r="1956" spans="12:13" x14ac:dyDescent="0.25">
      <c r="L1956" s="64">
        <v>441252</v>
      </c>
      <c r="M1956" t="s">
        <v>1650</v>
      </c>
    </row>
    <row r="1957" spans="12:13" x14ac:dyDescent="0.25">
      <c r="L1957" s="64">
        <v>441255</v>
      </c>
      <c r="M1957" t="s">
        <v>1651</v>
      </c>
    </row>
    <row r="1958" spans="12:13" x14ac:dyDescent="0.25">
      <c r="L1958" s="64">
        <v>441300</v>
      </c>
      <c r="M1958" t="s">
        <v>1652</v>
      </c>
    </row>
    <row r="1959" spans="12:13" x14ac:dyDescent="0.25">
      <c r="L1959" s="64">
        <v>441310</v>
      </c>
      <c r="M1959" t="s">
        <v>1653</v>
      </c>
    </row>
    <row r="1960" spans="12:13" x14ac:dyDescent="0.25">
      <c r="L1960" s="64">
        <v>441311</v>
      </c>
      <c r="M1960" t="s">
        <v>1653</v>
      </c>
    </row>
    <row r="1961" spans="12:13" x14ac:dyDescent="0.25">
      <c r="L1961" s="64">
        <v>441390</v>
      </c>
      <c r="M1961" t="s">
        <v>1654</v>
      </c>
    </row>
    <row r="1962" spans="12:13" x14ac:dyDescent="0.25">
      <c r="L1962" s="64">
        <v>441391</v>
      </c>
      <c r="M1962" t="s">
        <v>1654</v>
      </c>
    </row>
    <row r="1963" spans="12:13" x14ac:dyDescent="0.25">
      <c r="L1963" s="64">
        <v>441400</v>
      </c>
      <c r="M1963" t="s">
        <v>1655</v>
      </c>
    </row>
    <row r="1964" spans="12:13" x14ac:dyDescent="0.25">
      <c r="L1964" s="64">
        <v>441410</v>
      </c>
      <c r="M1964" t="s">
        <v>1655</v>
      </c>
    </row>
    <row r="1965" spans="12:13" x14ac:dyDescent="0.25">
      <c r="L1965" s="64">
        <v>441411</v>
      </c>
      <c r="M1965" t="s">
        <v>1655</v>
      </c>
    </row>
    <row r="1966" spans="12:13" x14ac:dyDescent="0.25">
      <c r="L1966" s="64">
        <v>441500</v>
      </c>
      <c r="M1966" t="s">
        <v>1656</v>
      </c>
    </row>
    <row r="1967" spans="12:13" x14ac:dyDescent="0.25">
      <c r="L1967" s="64">
        <v>441510</v>
      </c>
      <c r="M1967" t="s">
        <v>1656</v>
      </c>
    </row>
    <row r="1968" spans="12:13" x14ac:dyDescent="0.25">
      <c r="L1968" s="64">
        <v>441511</v>
      </c>
      <c r="M1968" t="s">
        <v>1656</v>
      </c>
    </row>
    <row r="1969" spans="12:13" x14ac:dyDescent="0.25">
      <c r="L1969" s="64">
        <v>441600</v>
      </c>
      <c r="M1969" t="s">
        <v>1657</v>
      </c>
    </row>
    <row r="1970" spans="12:13" x14ac:dyDescent="0.25">
      <c r="L1970" s="64">
        <v>441610</v>
      </c>
      <c r="M1970" t="s">
        <v>1657</v>
      </c>
    </row>
    <row r="1971" spans="12:13" x14ac:dyDescent="0.25">
      <c r="L1971" s="64">
        <v>441611</v>
      </c>
      <c r="M1971" t="s">
        <v>1657</v>
      </c>
    </row>
    <row r="1972" spans="12:13" x14ac:dyDescent="0.25">
      <c r="L1972" s="64">
        <v>441700</v>
      </c>
      <c r="M1972" t="s">
        <v>1658</v>
      </c>
    </row>
    <row r="1973" spans="12:13" x14ac:dyDescent="0.25">
      <c r="L1973" s="64">
        <v>441710</v>
      </c>
      <c r="M1973" t="s">
        <v>1658</v>
      </c>
    </row>
    <row r="1974" spans="12:13" x14ac:dyDescent="0.25">
      <c r="L1974" s="64">
        <v>441711</v>
      </c>
      <c r="M1974" t="s">
        <v>1658</v>
      </c>
    </row>
    <row r="1975" spans="12:13" x14ac:dyDescent="0.25">
      <c r="L1975" s="64">
        <v>441800</v>
      </c>
      <c r="M1975" t="s">
        <v>1659</v>
      </c>
    </row>
    <row r="1976" spans="12:13" x14ac:dyDescent="0.25">
      <c r="L1976" s="64">
        <v>441810</v>
      </c>
      <c r="M1976" t="s">
        <v>1659</v>
      </c>
    </row>
    <row r="1977" spans="12:13" x14ac:dyDescent="0.25">
      <c r="L1977" s="64">
        <v>441811</v>
      </c>
      <c r="M1977" t="s">
        <v>1659</v>
      </c>
    </row>
    <row r="1978" spans="12:13" x14ac:dyDescent="0.25">
      <c r="L1978" s="64">
        <v>441900</v>
      </c>
      <c r="M1978" t="s">
        <v>1660</v>
      </c>
    </row>
    <row r="1979" spans="12:13" x14ac:dyDescent="0.25">
      <c r="L1979" s="64">
        <v>441910</v>
      </c>
      <c r="M1979" t="s">
        <v>1660</v>
      </c>
    </row>
    <row r="1980" spans="12:13" x14ac:dyDescent="0.25">
      <c r="L1980" s="64">
        <v>441911</v>
      </c>
      <c r="M1980" t="s">
        <v>1661</v>
      </c>
    </row>
    <row r="1981" spans="12:13" x14ac:dyDescent="0.25">
      <c r="L1981" s="64">
        <v>442000</v>
      </c>
      <c r="M1981" t="s">
        <v>1662</v>
      </c>
    </row>
    <row r="1982" spans="12:13" x14ac:dyDescent="0.25">
      <c r="L1982" s="64">
        <v>442100</v>
      </c>
      <c r="M1982" t="s">
        <v>1663</v>
      </c>
    </row>
    <row r="1983" spans="12:13" x14ac:dyDescent="0.25">
      <c r="L1983" s="64">
        <v>442110</v>
      </c>
      <c r="M1983" t="s">
        <v>1664</v>
      </c>
    </row>
    <row r="1984" spans="12:13" x14ac:dyDescent="0.25">
      <c r="L1984" s="64">
        <v>442111</v>
      </c>
      <c r="M1984" t="s">
        <v>1664</v>
      </c>
    </row>
    <row r="1985" spans="12:13" x14ac:dyDescent="0.25">
      <c r="L1985" s="64">
        <v>442120</v>
      </c>
      <c r="M1985" t="s">
        <v>1665</v>
      </c>
    </row>
    <row r="1986" spans="12:13" x14ac:dyDescent="0.25">
      <c r="L1986" s="64">
        <v>442121</v>
      </c>
      <c r="M1986" t="s">
        <v>1666</v>
      </c>
    </row>
    <row r="1987" spans="12:13" x14ac:dyDescent="0.25">
      <c r="L1987" s="64">
        <v>442200</v>
      </c>
      <c r="M1987" t="s">
        <v>1667</v>
      </c>
    </row>
    <row r="1988" spans="12:13" x14ac:dyDescent="0.25">
      <c r="L1988" s="64">
        <v>442210</v>
      </c>
      <c r="M1988" t="s">
        <v>1668</v>
      </c>
    </row>
    <row r="1989" spans="12:13" x14ac:dyDescent="0.25">
      <c r="L1989" s="64">
        <v>442211</v>
      </c>
      <c r="M1989" t="s">
        <v>1668</v>
      </c>
    </row>
    <row r="1990" spans="12:13" x14ac:dyDescent="0.25">
      <c r="L1990" s="64">
        <v>442220</v>
      </c>
      <c r="M1990" t="s">
        <v>1669</v>
      </c>
    </row>
    <row r="1991" spans="12:13" x14ac:dyDescent="0.25">
      <c r="L1991" s="64">
        <v>442221</v>
      </c>
      <c r="M1991" t="s">
        <v>1669</v>
      </c>
    </row>
    <row r="1992" spans="12:13" x14ac:dyDescent="0.25">
      <c r="L1992" s="64">
        <v>442290</v>
      </c>
      <c r="M1992" t="s">
        <v>1670</v>
      </c>
    </row>
    <row r="1993" spans="12:13" x14ac:dyDescent="0.25">
      <c r="L1993" s="64">
        <v>442291</v>
      </c>
      <c r="M1993" t="s">
        <v>1670</v>
      </c>
    </row>
    <row r="1994" spans="12:13" x14ac:dyDescent="0.25">
      <c r="L1994" s="64">
        <v>442300</v>
      </c>
      <c r="M1994" t="s">
        <v>1671</v>
      </c>
    </row>
    <row r="1995" spans="12:13" x14ac:dyDescent="0.25">
      <c r="L1995" s="64">
        <v>442310</v>
      </c>
      <c r="M1995" t="s">
        <v>1672</v>
      </c>
    </row>
    <row r="1996" spans="12:13" x14ac:dyDescent="0.25">
      <c r="L1996" s="64">
        <v>442311</v>
      </c>
      <c r="M1996" t="s">
        <v>1672</v>
      </c>
    </row>
    <row r="1997" spans="12:13" x14ac:dyDescent="0.25">
      <c r="L1997" s="64">
        <v>442320</v>
      </c>
      <c r="M1997" t="s">
        <v>1673</v>
      </c>
    </row>
    <row r="1998" spans="12:13" x14ac:dyDescent="0.25">
      <c r="L1998" s="64">
        <v>442321</v>
      </c>
      <c r="M1998" t="s">
        <v>1673</v>
      </c>
    </row>
    <row r="1999" spans="12:13" x14ac:dyDescent="0.25">
      <c r="L1999" s="64">
        <v>442330</v>
      </c>
      <c r="M1999" t="s">
        <v>1674</v>
      </c>
    </row>
    <row r="2000" spans="12:13" x14ac:dyDescent="0.25">
      <c r="L2000" s="64">
        <v>442331</v>
      </c>
      <c r="M2000" t="s">
        <v>1674</v>
      </c>
    </row>
    <row r="2001" spans="12:13" x14ac:dyDescent="0.25">
      <c r="L2001" s="64">
        <v>442340</v>
      </c>
      <c r="M2001" t="s">
        <v>1675</v>
      </c>
    </row>
    <row r="2002" spans="12:13" x14ac:dyDescent="0.25">
      <c r="L2002" s="64">
        <v>442341</v>
      </c>
      <c r="M2002" t="s">
        <v>1675</v>
      </c>
    </row>
    <row r="2003" spans="12:13" x14ac:dyDescent="0.25">
      <c r="L2003" s="64">
        <v>442350</v>
      </c>
      <c r="M2003" t="s">
        <v>1676</v>
      </c>
    </row>
    <row r="2004" spans="12:13" x14ac:dyDescent="0.25">
      <c r="L2004" s="64">
        <v>442351</v>
      </c>
      <c r="M2004" t="s">
        <v>1676</v>
      </c>
    </row>
    <row r="2005" spans="12:13" x14ac:dyDescent="0.25">
      <c r="L2005" s="64">
        <v>442390</v>
      </c>
      <c r="M2005" t="s">
        <v>1677</v>
      </c>
    </row>
    <row r="2006" spans="12:13" x14ac:dyDescent="0.25">
      <c r="L2006" s="64">
        <v>442391</v>
      </c>
      <c r="M2006" t="s">
        <v>1677</v>
      </c>
    </row>
    <row r="2007" spans="12:13" x14ac:dyDescent="0.25">
      <c r="L2007" s="64">
        <v>442400</v>
      </c>
      <c r="M2007" t="s">
        <v>1678</v>
      </c>
    </row>
    <row r="2008" spans="12:13" x14ac:dyDescent="0.25">
      <c r="L2008" s="64">
        <v>442410</v>
      </c>
      <c r="M2008" t="s">
        <v>1679</v>
      </c>
    </row>
    <row r="2009" spans="12:13" x14ac:dyDescent="0.25">
      <c r="L2009" s="64">
        <v>442411</v>
      </c>
      <c r="M2009" t="s">
        <v>1679</v>
      </c>
    </row>
    <row r="2010" spans="12:13" x14ac:dyDescent="0.25">
      <c r="L2010" s="64">
        <v>442490</v>
      </c>
      <c r="M2010" t="s">
        <v>1680</v>
      </c>
    </row>
    <row r="2011" spans="12:13" x14ac:dyDescent="0.25">
      <c r="L2011" s="64">
        <v>442491</v>
      </c>
      <c r="M2011" t="s">
        <v>1680</v>
      </c>
    </row>
    <row r="2012" spans="12:13" x14ac:dyDescent="0.25">
      <c r="L2012" s="64">
        <v>442500</v>
      </c>
      <c r="M2012" t="s">
        <v>1681</v>
      </c>
    </row>
    <row r="2013" spans="12:13" x14ac:dyDescent="0.25">
      <c r="L2013" s="64">
        <v>442510</v>
      </c>
      <c r="M2013" t="s">
        <v>1681</v>
      </c>
    </row>
    <row r="2014" spans="12:13" x14ac:dyDescent="0.25">
      <c r="L2014" s="64">
        <v>442511</v>
      </c>
      <c r="M2014" t="s">
        <v>1681</v>
      </c>
    </row>
    <row r="2015" spans="12:13" x14ac:dyDescent="0.25">
      <c r="L2015" s="64">
        <v>442600</v>
      </c>
      <c r="M2015" t="s">
        <v>1682</v>
      </c>
    </row>
    <row r="2016" spans="12:13" x14ac:dyDescent="0.25">
      <c r="L2016" s="64">
        <v>442610</v>
      </c>
      <c r="M2016" t="s">
        <v>1682</v>
      </c>
    </row>
    <row r="2017" spans="12:13" x14ac:dyDescent="0.25">
      <c r="L2017" s="64">
        <v>442611</v>
      </c>
      <c r="M2017" t="s">
        <v>1682</v>
      </c>
    </row>
    <row r="2018" spans="12:13" x14ac:dyDescent="0.25">
      <c r="L2018" s="64">
        <v>443000</v>
      </c>
      <c r="M2018" t="s">
        <v>1683</v>
      </c>
    </row>
    <row r="2019" spans="12:13" x14ac:dyDescent="0.25">
      <c r="L2019" s="64">
        <v>443100</v>
      </c>
      <c r="M2019" t="s">
        <v>1683</v>
      </c>
    </row>
    <row r="2020" spans="12:13" x14ac:dyDescent="0.25">
      <c r="L2020" s="64">
        <v>443110</v>
      </c>
      <c r="M2020" t="s">
        <v>1683</v>
      </c>
    </row>
    <row r="2021" spans="12:13" x14ac:dyDescent="0.25">
      <c r="L2021" s="64">
        <v>443111</v>
      </c>
      <c r="M2021" t="s">
        <v>1683</v>
      </c>
    </row>
    <row r="2022" spans="12:13" x14ac:dyDescent="0.25">
      <c r="L2022" s="64">
        <v>444000</v>
      </c>
      <c r="M2022" t="s">
        <v>1684</v>
      </c>
    </row>
    <row r="2023" spans="12:13" x14ac:dyDescent="0.25">
      <c r="L2023" s="64">
        <v>444100</v>
      </c>
      <c r="M2023" t="s">
        <v>1685</v>
      </c>
    </row>
    <row r="2024" spans="12:13" x14ac:dyDescent="0.25">
      <c r="L2024" s="64">
        <v>444110</v>
      </c>
      <c r="M2024" t="s">
        <v>1685</v>
      </c>
    </row>
    <row r="2025" spans="12:13" x14ac:dyDescent="0.25">
      <c r="L2025" s="64">
        <v>444111</v>
      </c>
      <c r="M2025" t="s">
        <v>1685</v>
      </c>
    </row>
    <row r="2026" spans="12:13" x14ac:dyDescent="0.25">
      <c r="L2026" s="64">
        <v>444200</v>
      </c>
      <c r="M2026" t="s">
        <v>1686</v>
      </c>
    </row>
    <row r="2027" spans="12:13" x14ac:dyDescent="0.25">
      <c r="L2027" s="64">
        <v>444210</v>
      </c>
      <c r="M2027" t="s">
        <v>1686</v>
      </c>
    </row>
    <row r="2028" spans="12:13" x14ac:dyDescent="0.25">
      <c r="L2028" s="64">
        <v>444211</v>
      </c>
      <c r="M2028" t="s">
        <v>1686</v>
      </c>
    </row>
    <row r="2029" spans="12:13" x14ac:dyDescent="0.25">
      <c r="L2029" s="64">
        <v>444212</v>
      </c>
      <c r="M2029" t="s">
        <v>1687</v>
      </c>
    </row>
    <row r="2030" spans="12:13" x14ac:dyDescent="0.25">
      <c r="L2030" s="64">
        <v>444219</v>
      </c>
      <c r="M2030" t="s">
        <v>1688</v>
      </c>
    </row>
    <row r="2031" spans="12:13" x14ac:dyDescent="0.25">
      <c r="L2031" s="64">
        <v>444300</v>
      </c>
      <c r="M2031" t="s">
        <v>1689</v>
      </c>
    </row>
    <row r="2032" spans="12:13" x14ac:dyDescent="0.25">
      <c r="L2032" s="64">
        <v>444310</v>
      </c>
      <c r="M2032" t="s">
        <v>1689</v>
      </c>
    </row>
    <row r="2033" spans="12:13" x14ac:dyDescent="0.25">
      <c r="L2033" s="64">
        <v>444311</v>
      </c>
      <c r="M2033" t="s">
        <v>1689</v>
      </c>
    </row>
    <row r="2034" spans="12:13" x14ac:dyDescent="0.25">
      <c r="L2034" s="64">
        <v>450000</v>
      </c>
      <c r="M2034" t="s">
        <v>1690</v>
      </c>
    </row>
    <row r="2035" spans="12:13" x14ac:dyDescent="0.25">
      <c r="L2035" s="64">
        <v>451000</v>
      </c>
      <c r="M2035" t="s">
        <v>1691</v>
      </c>
    </row>
    <row r="2036" spans="12:13" x14ac:dyDescent="0.25">
      <c r="L2036" s="64">
        <v>451100</v>
      </c>
      <c r="M2036" t="s">
        <v>1692</v>
      </c>
    </row>
    <row r="2037" spans="12:13" x14ac:dyDescent="0.25">
      <c r="L2037" s="64">
        <v>451110</v>
      </c>
      <c r="M2037" t="s">
        <v>1693</v>
      </c>
    </row>
    <row r="2038" spans="12:13" x14ac:dyDescent="0.25">
      <c r="L2038" s="64">
        <v>451111</v>
      </c>
      <c r="M2038" t="s">
        <v>1693</v>
      </c>
    </row>
    <row r="2039" spans="12:13" x14ac:dyDescent="0.25">
      <c r="L2039" s="64">
        <v>451120</v>
      </c>
      <c r="M2039" t="s">
        <v>1694</v>
      </c>
    </row>
    <row r="2040" spans="12:13" x14ac:dyDescent="0.25">
      <c r="L2040" s="64">
        <v>451121</v>
      </c>
      <c r="M2040" t="s">
        <v>1695</v>
      </c>
    </row>
    <row r="2041" spans="12:13" x14ac:dyDescent="0.25">
      <c r="L2041" s="64">
        <v>451122</v>
      </c>
      <c r="M2041" t="s">
        <v>1696</v>
      </c>
    </row>
    <row r="2042" spans="12:13" x14ac:dyDescent="0.25">
      <c r="L2042" s="64">
        <v>451129</v>
      </c>
      <c r="M2042" t="s">
        <v>1697</v>
      </c>
    </row>
    <row r="2043" spans="12:13" x14ac:dyDescent="0.25">
      <c r="L2043" s="64">
        <v>451130</v>
      </c>
      <c r="M2043" t="s">
        <v>1698</v>
      </c>
    </row>
    <row r="2044" spans="12:13" x14ac:dyDescent="0.25">
      <c r="L2044" s="64">
        <v>451131</v>
      </c>
      <c r="M2044" t="s">
        <v>1698</v>
      </c>
    </row>
    <row r="2045" spans="12:13" x14ac:dyDescent="0.25">
      <c r="L2045" s="64">
        <v>451140</v>
      </c>
      <c r="M2045" t="s">
        <v>1699</v>
      </c>
    </row>
    <row r="2046" spans="12:13" x14ac:dyDescent="0.25">
      <c r="L2046" s="64">
        <v>451141</v>
      </c>
      <c r="M2046" t="s">
        <v>1699</v>
      </c>
    </row>
    <row r="2047" spans="12:13" x14ac:dyDescent="0.25">
      <c r="L2047" s="64">
        <v>451190</v>
      </c>
      <c r="M2047" t="s">
        <v>1700</v>
      </c>
    </row>
    <row r="2048" spans="12:13" x14ac:dyDescent="0.25">
      <c r="L2048" s="64">
        <v>451191</v>
      </c>
      <c r="M2048" t="s">
        <v>1700</v>
      </c>
    </row>
    <row r="2049" spans="12:13" x14ac:dyDescent="0.25">
      <c r="L2049" s="64">
        <v>451200</v>
      </c>
      <c r="M2049" t="s">
        <v>1701</v>
      </c>
    </row>
    <row r="2050" spans="12:13" x14ac:dyDescent="0.25">
      <c r="L2050" s="64">
        <v>451210</v>
      </c>
      <c r="M2050" t="s">
        <v>1702</v>
      </c>
    </row>
    <row r="2051" spans="12:13" x14ac:dyDescent="0.25">
      <c r="L2051" s="64">
        <v>451211</v>
      </c>
      <c r="M2051" t="s">
        <v>1702</v>
      </c>
    </row>
    <row r="2052" spans="12:13" x14ac:dyDescent="0.25">
      <c r="L2052" s="64">
        <v>451220</v>
      </c>
      <c r="M2052" t="s">
        <v>1703</v>
      </c>
    </row>
    <row r="2053" spans="12:13" x14ac:dyDescent="0.25">
      <c r="L2053" s="64">
        <v>451221</v>
      </c>
      <c r="M2053" t="s">
        <v>1704</v>
      </c>
    </row>
    <row r="2054" spans="12:13" x14ac:dyDescent="0.25">
      <c r="L2054" s="64">
        <v>451230</v>
      </c>
      <c r="M2054" t="s">
        <v>1705</v>
      </c>
    </row>
    <row r="2055" spans="12:13" x14ac:dyDescent="0.25">
      <c r="L2055" s="64">
        <v>451231</v>
      </c>
      <c r="M2055" t="s">
        <v>1705</v>
      </c>
    </row>
    <row r="2056" spans="12:13" x14ac:dyDescent="0.25">
      <c r="L2056" s="64">
        <v>451240</v>
      </c>
      <c r="M2056" t="s">
        <v>1706</v>
      </c>
    </row>
    <row r="2057" spans="12:13" x14ac:dyDescent="0.25">
      <c r="L2057" s="64">
        <v>451241</v>
      </c>
      <c r="M2057" t="s">
        <v>1706</v>
      </c>
    </row>
    <row r="2058" spans="12:13" x14ac:dyDescent="0.25">
      <c r="L2058" s="64">
        <v>451290</v>
      </c>
      <c r="M2058" t="s">
        <v>1707</v>
      </c>
    </row>
    <row r="2059" spans="12:13" x14ac:dyDescent="0.25">
      <c r="L2059" s="64">
        <v>451291</v>
      </c>
      <c r="M2059" t="s">
        <v>1707</v>
      </c>
    </row>
    <row r="2060" spans="12:13" x14ac:dyDescent="0.25">
      <c r="L2060" s="64">
        <v>452000</v>
      </c>
      <c r="M2060" t="s">
        <v>1708</v>
      </c>
    </row>
    <row r="2061" spans="12:13" x14ac:dyDescent="0.25">
      <c r="L2061" s="64">
        <v>452100</v>
      </c>
      <c r="M2061" t="s">
        <v>1709</v>
      </c>
    </row>
    <row r="2062" spans="12:13" x14ac:dyDescent="0.25">
      <c r="L2062" s="64">
        <v>452110</v>
      </c>
      <c r="M2062" t="s">
        <v>1710</v>
      </c>
    </row>
    <row r="2063" spans="12:13" x14ac:dyDescent="0.25">
      <c r="L2063" s="64">
        <v>452111</v>
      </c>
      <c r="M2063" t="s">
        <v>1710</v>
      </c>
    </row>
    <row r="2064" spans="12:13" x14ac:dyDescent="0.25">
      <c r="L2064" s="64">
        <v>452190</v>
      </c>
      <c r="M2064" t="s">
        <v>1711</v>
      </c>
    </row>
    <row r="2065" spans="12:13" x14ac:dyDescent="0.25">
      <c r="L2065" s="64">
        <v>452191</v>
      </c>
      <c r="M2065" t="s">
        <v>1711</v>
      </c>
    </row>
    <row r="2066" spans="12:13" x14ac:dyDescent="0.25">
      <c r="L2066" s="64">
        <v>452200</v>
      </c>
      <c r="M2066" t="s">
        <v>1712</v>
      </c>
    </row>
    <row r="2067" spans="12:13" x14ac:dyDescent="0.25">
      <c r="L2067" s="64">
        <v>452210</v>
      </c>
      <c r="M2067" t="s">
        <v>1713</v>
      </c>
    </row>
    <row r="2068" spans="12:13" x14ac:dyDescent="0.25">
      <c r="L2068" s="64">
        <v>452211</v>
      </c>
      <c r="M2068" t="s">
        <v>1713</v>
      </c>
    </row>
    <row r="2069" spans="12:13" x14ac:dyDescent="0.25">
      <c r="L2069" s="64">
        <v>452290</v>
      </c>
      <c r="M2069" t="s">
        <v>1714</v>
      </c>
    </row>
    <row r="2070" spans="12:13" x14ac:dyDescent="0.25">
      <c r="L2070" s="64">
        <v>452291</v>
      </c>
      <c r="M2070" t="s">
        <v>1714</v>
      </c>
    </row>
    <row r="2071" spans="12:13" x14ac:dyDescent="0.25">
      <c r="L2071" s="64">
        <v>453000</v>
      </c>
      <c r="M2071" t="s">
        <v>1715</v>
      </c>
    </row>
    <row r="2072" spans="12:13" x14ac:dyDescent="0.25">
      <c r="L2072" s="64">
        <v>453100</v>
      </c>
      <c r="M2072" t="s">
        <v>1716</v>
      </c>
    </row>
    <row r="2073" spans="12:13" x14ac:dyDescent="0.25">
      <c r="L2073" s="64">
        <v>453110</v>
      </c>
      <c r="M2073" t="s">
        <v>1717</v>
      </c>
    </row>
    <row r="2074" spans="12:13" x14ac:dyDescent="0.25">
      <c r="L2074" s="64">
        <v>453111</v>
      </c>
      <c r="M2074" t="s">
        <v>1718</v>
      </c>
    </row>
    <row r="2075" spans="12:13" x14ac:dyDescent="0.25">
      <c r="L2075" s="64">
        <v>453190</v>
      </c>
      <c r="M2075" t="s">
        <v>1719</v>
      </c>
    </row>
    <row r="2076" spans="12:13" x14ac:dyDescent="0.25">
      <c r="L2076" s="64">
        <v>453191</v>
      </c>
      <c r="M2076" t="s">
        <v>1719</v>
      </c>
    </row>
    <row r="2077" spans="12:13" x14ac:dyDescent="0.25">
      <c r="L2077" s="64">
        <v>453200</v>
      </c>
      <c r="M2077" t="s">
        <v>1720</v>
      </c>
    </row>
    <row r="2078" spans="12:13" x14ac:dyDescent="0.25">
      <c r="L2078" s="64">
        <v>453210</v>
      </c>
      <c r="M2078" t="s">
        <v>1721</v>
      </c>
    </row>
    <row r="2079" spans="12:13" x14ac:dyDescent="0.25">
      <c r="L2079" s="64">
        <v>453211</v>
      </c>
      <c r="M2079" t="s">
        <v>1721</v>
      </c>
    </row>
    <row r="2080" spans="12:13" x14ac:dyDescent="0.25">
      <c r="L2080" s="64">
        <v>453290</v>
      </c>
      <c r="M2080" t="s">
        <v>1722</v>
      </c>
    </row>
    <row r="2081" spans="12:13" x14ac:dyDescent="0.25">
      <c r="L2081" s="64">
        <v>453291</v>
      </c>
      <c r="M2081" t="s">
        <v>1722</v>
      </c>
    </row>
    <row r="2082" spans="12:13" x14ac:dyDescent="0.25">
      <c r="L2082" s="64">
        <v>454000</v>
      </c>
      <c r="M2082" t="s">
        <v>1723</v>
      </c>
    </row>
    <row r="2083" spans="12:13" x14ac:dyDescent="0.25">
      <c r="L2083" s="64">
        <v>454100</v>
      </c>
      <c r="M2083" t="s">
        <v>1724</v>
      </c>
    </row>
    <row r="2084" spans="12:13" x14ac:dyDescent="0.25">
      <c r="L2084" s="64">
        <v>454110</v>
      </c>
      <c r="M2084" t="s">
        <v>1724</v>
      </c>
    </row>
    <row r="2085" spans="12:13" x14ac:dyDescent="0.25">
      <c r="L2085" s="64">
        <v>454111</v>
      </c>
      <c r="M2085" t="s">
        <v>1724</v>
      </c>
    </row>
    <row r="2086" spans="12:13" x14ac:dyDescent="0.25">
      <c r="L2086" s="64">
        <v>454200</v>
      </c>
      <c r="M2086" t="s">
        <v>1725</v>
      </c>
    </row>
    <row r="2087" spans="12:13" x14ac:dyDescent="0.25">
      <c r="L2087" s="64">
        <v>454210</v>
      </c>
      <c r="M2087" t="s">
        <v>1725</v>
      </c>
    </row>
    <row r="2088" spans="12:13" x14ac:dyDescent="0.25">
      <c r="L2088" s="64">
        <v>454211</v>
      </c>
      <c r="M2088" t="s">
        <v>1725</v>
      </c>
    </row>
    <row r="2089" spans="12:13" x14ac:dyDescent="0.25">
      <c r="L2089" s="64">
        <v>460000</v>
      </c>
      <c r="M2089" t="s">
        <v>1726</v>
      </c>
    </row>
    <row r="2090" spans="12:13" x14ac:dyDescent="0.25">
      <c r="L2090" s="64">
        <v>461000</v>
      </c>
      <c r="M2090" t="s">
        <v>1727</v>
      </c>
    </row>
    <row r="2091" spans="12:13" x14ac:dyDescent="0.25">
      <c r="L2091" s="64">
        <v>461100</v>
      </c>
      <c r="M2091" t="s">
        <v>1728</v>
      </c>
    </row>
    <row r="2092" spans="12:13" x14ac:dyDescent="0.25">
      <c r="L2092" s="64">
        <v>461110</v>
      </c>
      <c r="M2092" t="s">
        <v>1728</v>
      </c>
    </row>
    <row r="2093" spans="12:13" x14ac:dyDescent="0.25">
      <c r="L2093" s="64">
        <v>461111</v>
      </c>
      <c r="M2093" t="s">
        <v>1728</v>
      </c>
    </row>
    <row r="2094" spans="12:13" x14ac:dyDescent="0.25">
      <c r="L2094" s="64">
        <v>461200</v>
      </c>
      <c r="M2094" t="s">
        <v>1729</v>
      </c>
    </row>
    <row r="2095" spans="12:13" x14ac:dyDescent="0.25">
      <c r="L2095" s="64">
        <v>461210</v>
      </c>
      <c r="M2095" t="s">
        <v>1729</v>
      </c>
    </row>
    <row r="2096" spans="12:13" x14ac:dyDescent="0.25">
      <c r="L2096" s="64">
        <v>461211</v>
      </c>
      <c r="M2096" t="s">
        <v>1729</v>
      </c>
    </row>
    <row r="2097" spans="12:13" x14ac:dyDescent="0.25">
      <c r="L2097" s="64">
        <v>462000</v>
      </c>
      <c r="M2097" t="s">
        <v>1730</v>
      </c>
    </row>
    <row r="2098" spans="12:13" x14ac:dyDescent="0.25">
      <c r="L2098" s="64">
        <v>462100</v>
      </c>
      <c r="M2098" t="s">
        <v>1731</v>
      </c>
    </row>
    <row r="2099" spans="12:13" x14ac:dyDescent="0.25">
      <c r="L2099" s="64">
        <v>462110</v>
      </c>
      <c r="M2099" t="s">
        <v>1732</v>
      </c>
    </row>
    <row r="2100" spans="12:13" x14ac:dyDescent="0.25">
      <c r="L2100" s="64">
        <v>462111</v>
      </c>
      <c r="M2100" t="s">
        <v>1732</v>
      </c>
    </row>
    <row r="2101" spans="12:13" x14ac:dyDescent="0.25">
      <c r="L2101" s="64">
        <v>462120</v>
      </c>
      <c r="M2101" t="s">
        <v>1733</v>
      </c>
    </row>
    <row r="2102" spans="12:13" x14ac:dyDescent="0.25">
      <c r="L2102" s="64">
        <v>462121</v>
      </c>
      <c r="M2102" t="s">
        <v>1733</v>
      </c>
    </row>
    <row r="2103" spans="12:13" x14ac:dyDescent="0.25">
      <c r="L2103" s="64">
        <v>462190</v>
      </c>
      <c r="M2103" t="s">
        <v>1734</v>
      </c>
    </row>
    <row r="2104" spans="12:13" x14ac:dyDescent="0.25">
      <c r="L2104" s="64">
        <v>462191</v>
      </c>
      <c r="M2104" t="s">
        <v>1735</v>
      </c>
    </row>
    <row r="2105" spans="12:13" x14ac:dyDescent="0.25">
      <c r="L2105" s="64">
        <v>462200</v>
      </c>
      <c r="M2105" t="s">
        <v>1736</v>
      </c>
    </row>
    <row r="2106" spans="12:13" x14ac:dyDescent="0.25">
      <c r="L2106" s="64">
        <v>462210</v>
      </c>
      <c r="M2106" t="s">
        <v>1737</v>
      </c>
    </row>
    <row r="2107" spans="12:13" x14ac:dyDescent="0.25">
      <c r="L2107" s="64">
        <v>462211</v>
      </c>
      <c r="M2107" t="s">
        <v>1737</v>
      </c>
    </row>
    <row r="2108" spans="12:13" x14ac:dyDescent="0.25">
      <c r="L2108" s="64">
        <v>462290</v>
      </c>
      <c r="M2108" t="s">
        <v>1738</v>
      </c>
    </row>
    <row r="2109" spans="12:13" x14ac:dyDescent="0.25">
      <c r="L2109" s="64">
        <v>462291</v>
      </c>
      <c r="M2109" t="s">
        <v>1738</v>
      </c>
    </row>
    <row r="2110" spans="12:13" x14ac:dyDescent="0.25">
      <c r="L2110" s="64">
        <v>463000</v>
      </c>
      <c r="M2110" t="s">
        <v>1739</v>
      </c>
    </row>
    <row r="2111" spans="12:13" x14ac:dyDescent="0.25">
      <c r="L2111" s="64">
        <v>463100</v>
      </c>
      <c r="M2111" t="s">
        <v>1740</v>
      </c>
    </row>
    <row r="2112" spans="12:13" x14ac:dyDescent="0.25">
      <c r="L2112" s="64">
        <v>463110</v>
      </c>
      <c r="M2112" t="s">
        <v>1741</v>
      </c>
    </row>
    <row r="2113" spans="12:13" x14ac:dyDescent="0.25">
      <c r="L2113" s="64">
        <v>463111</v>
      </c>
      <c r="M2113" t="s">
        <v>1741</v>
      </c>
    </row>
    <row r="2114" spans="12:13" x14ac:dyDescent="0.25">
      <c r="L2114" s="64">
        <v>463120</v>
      </c>
      <c r="M2114" t="s">
        <v>1742</v>
      </c>
    </row>
    <row r="2115" spans="12:13" x14ac:dyDescent="0.25">
      <c r="L2115" s="64">
        <v>463121</v>
      </c>
      <c r="M2115" t="s">
        <v>1743</v>
      </c>
    </row>
    <row r="2116" spans="12:13" x14ac:dyDescent="0.25">
      <c r="L2116" s="64">
        <v>463122</v>
      </c>
      <c r="M2116" t="s">
        <v>1744</v>
      </c>
    </row>
    <row r="2117" spans="12:13" x14ac:dyDescent="0.25">
      <c r="L2117" s="64">
        <v>463130</v>
      </c>
      <c r="M2117" t="s">
        <v>1745</v>
      </c>
    </row>
    <row r="2118" spans="12:13" x14ac:dyDescent="0.25">
      <c r="L2118" s="64">
        <v>463131</v>
      </c>
      <c r="M2118" t="s">
        <v>1745</v>
      </c>
    </row>
    <row r="2119" spans="12:13" x14ac:dyDescent="0.25">
      <c r="L2119" s="64">
        <v>463132</v>
      </c>
      <c r="M2119" t="s">
        <v>1746</v>
      </c>
    </row>
    <row r="2120" spans="12:13" x14ac:dyDescent="0.25">
      <c r="L2120" s="64">
        <v>463133</v>
      </c>
      <c r="M2120" t="s">
        <v>1747</v>
      </c>
    </row>
    <row r="2121" spans="12:13" x14ac:dyDescent="0.25">
      <c r="L2121" s="64">
        <v>463140</v>
      </c>
      <c r="M2121" t="s">
        <v>1748</v>
      </c>
    </row>
    <row r="2122" spans="12:13" x14ac:dyDescent="0.25">
      <c r="L2122" s="64">
        <v>463141</v>
      </c>
      <c r="M2122" t="s">
        <v>1748</v>
      </c>
    </row>
    <row r="2123" spans="12:13" x14ac:dyDescent="0.25">
      <c r="L2123" s="64">
        <v>463142</v>
      </c>
      <c r="M2123" t="s">
        <v>1749</v>
      </c>
    </row>
    <row r="2124" spans="12:13" x14ac:dyDescent="0.25">
      <c r="L2124" s="64">
        <v>463143</v>
      </c>
      <c r="M2124" t="s">
        <v>1750</v>
      </c>
    </row>
    <row r="2125" spans="12:13" x14ac:dyDescent="0.25">
      <c r="L2125" s="64">
        <v>463200</v>
      </c>
      <c r="M2125" t="s">
        <v>1751</v>
      </c>
    </row>
    <row r="2126" spans="12:13" x14ac:dyDescent="0.25">
      <c r="L2126" s="64">
        <v>463210</v>
      </c>
      <c r="M2126" t="s">
        <v>1752</v>
      </c>
    </row>
    <row r="2127" spans="12:13" x14ac:dyDescent="0.25">
      <c r="L2127" s="64">
        <v>463211</v>
      </c>
      <c r="M2127" t="s">
        <v>1752</v>
      </c>
    </row>
    <row r="2128" spans="12:13" x14ac:dyDescent="0.25">
      <c r="L2128" s="64">
        <v>463220</v>
      </c>
      <c r="M2128" t="s">
        <v>1753</v>
      </c>
    </row>
    <row r="2129" spans="12:13" x14ac:dyDescent="0.25">
      <c r="L2129" s="64">
        <v>463221</v>
      </c>
      <c r="M2129" t="s">
        <v>1754</v>
      </c>
    </row>
    <row r="2130" spans="12:13" x14ac:dyDescent="0.25">
      <c r="L2130" s="64">
        <v>463222</v>
      </c>
      <c r="M2130" t="s">
        <v>1755</v>
      </c>
    </row>
    <row r="2131" spans="12:13" x14ac:dyDescent="0.25">
      <c r="L2131" s="64">
        <v>463230</v>
      </c>
      <c r="M2131" t="s">
        <v>1756</v>
      </c>
    </row>
    <row r="2132" spans="12:13" x14ac:dyDescent="0.25">
      <c r="L2132" s="64">
        <v>463231</v>
      </c>
      <c r="M2132" t="s">
        <v>1756</v>
      </c>
    </row>
    <row r="2133" spans="12:13" x14ac:dyDescent="0.25">
      <c r="L2133" s="64">
        <v>463240</v>
      </c>
      <c r="M2133" t="s">
        <v>1757</v>
      </c>
    </row>
    <row r="2134" spans="12:13" x14ac:dyDescent="0.25">
      <c r="L2134" s="64">
        <v>463241</v>
      </c>
      <c r="M2134" t="s">
        <v>1757</v>
      </c>
    </row>
    <row r="2135" spans="12:13" x14ac:dyDescent="0.25">
      <c r="L2135" s="64">
        <v>464000</v>
      </c>
      <c r="M2135" t="s">
        <v>1758</v>
      </c>
    </row>
    <row r="2136" spans="12:13" x14ac:dyDescent="0.25">
      <c r="L2136" s="64">
        <v>464100</v>
      </c>
      <c r="M2136" t="s">
        <v>1759</v>
      </c>
    </row>
    <row r="2137" spans="12:13" x14ac:dyDescent="0.25">
      <c r="L2137" s="64">
        <v>464110</v>
      </c>
      <c r="M2137" t="s">
        <v>1760</v>
      </c>
    </row>
    <row r="2138" spans="12:13" x14ac:dyDescent="0.25">
      <c r="L2138" s="64">
        <v>464111</v>
      </c>
      <c r="M2138" t="s">
        <v>1760</v>
      </c>
    </row>
    <row r="2139" spans="12:13" x14ac:dyDescent="0.25">
      <c r="L2139" s="64">
        <v>464112</v>
      </c>
      <c r="M2139" t="s">
        <v>1761</v>
      </c>
    </row>
    <row r="2140" spans="12:13" x14ac:dyDescent="0.25">
      <c r="L2140" s="64">
        <v>464113</v>
      </c>
      <c r="M2140" t="s">
        <v>1762</v>
      </c>
    </row>
    <row r="2141" spans="12:13" x14ac:dyDescent="0.25">
      <c r="L2141" s="64">
        <v>464120</v>
      </c>
      <c r="M2141" t="s">
        <v>1763</v>
      </c>
    </row>
    <row r="2142" spans="12:13" x14ac:dyDescent="0.25">
      <c r="L2142" s="64">
        <v>464121</v>
      </c>
      <c r="M2142" t="s">
        <v>1764</v>
      </c>
    </row>
    <row r="2143" spans="12:13" x14ac:dyDescent="0.25">
      <c r="L2143" s="64">
        <v>464130</v>
      </c>
      <c r="M2143" t="s">
        <v>1765</v>
      </c>
    </row>
    <row r="2144" spans="12:13" x14ac:dyDescent="0.25">
      <c r="L2144" s="64">
        <v>464131</v>
      </c>
      <c r="M2144" t="s">
        <v>1766</v>
      </c>
    </row>
    <row r="2145" spans="12:13" x14ac:dyDescent="0.25">
      <c r="L2145" s="64">
        <v>464140</v>
      </c>
      <c r="M2145" t="s">
        <v>1767</v>
      </c>
    </row>
    <row r="2146" spans="12:13" x14ac:dyDescent="0.25">
      <c r="L2146" s="64">
        <v>464141</v>
      </c>
      <c r="M2146" t="s">
        <v>1768</v>
      </c>
    </row>
    <row r="2147" spans="12:13" x14ac:dyDescent="0.25">
      <c r="L2147" s="64">
        <v>464150</v>
      </c>
      <c r="M2147" t="s">
        <v>1769</v>
      </c>
    </row>
    <row r="2148" spans="12:13" x14ac:dyDescent="0.25">
      <c r="L2148" s="64">
        <v>464151</v>
      </c>
      <c r="M2148" t="s">
        <v>1769</v>
      </c>
    </row>
    <row r="2149" spans="12:13" x14ac:dyDescent="0.25">
      <c r="L2149" s="64">
        <v>464200</v>
      </c>
      <c r="M2149" t="s">
        <v>1770</v>
      </c>
    </row>
    <row r="2150" spans="12:13" x14ac:dyDescent="0.25">
      <c r="L2150" s="64">
        <v>464210</v>
      </c>
      <c r="M2150" t="s">
        <v>1771</v>
      </c>
    </row>
    <row r="2151" spans="12:13" x14ac:dyDescent="0.25">
      <c r="L2151" s="64">
        <v>464211</v>
      </c>
      <c r="M2151" t="s">
        <v>1771</v>
      </c>
    </row>
    <row r="2152" spans="12:13" x14ac:dyDescent="0.25">
      <c r="L2152" s="64">
        <v>464212</v>
      </c>
      <c r="M2152" t="s">
        <v>1772</v>
      </c>
    </row>
    <row r="2153" spans="12:13" x14ac:dyDescent="0.25">
      <c r="L2153" s="64">
        <v>464213</v>
      </c>
      <c r="M2153" t="s">
        <v>1773</v>
      </c>
    </row>
    <row r="2154" spans="12:13" x14ac:dyDescent="0.25">
      <c r="L2154" s="64">
        <v>464220</v>
      </c>
      <c r="M2154" t="s">
        <v>1774</v>
      </c>
    </row>
    <row r="2155" spans="12:13" x14ac:dyDescent="0.25">
      <c r="L2155" s="64">
        <v>464221</v>
      </c>
      <c r="M2155" t="s">
        <v>1774</v>
      </c>
    </row>
    <row r="2156" spans="12:13" x14ac:dyDescent="0.25">
      <c r="L2156" s="64">
        <v>464250</v>
      </c>
      <c r="M2156" t="s">
        <v>1775</v>
      </c>
    </row>
    <row r="2157" spans="12:13" x14ac:dyDescent="0.25">
      <c r="L2157" s="64">
        <v>464251</v>
      </c>
      <c r="M2157" t="s">
        <v>1775</v>
      </c>
    </row>
    <row r="2158" spans="12:13" x14ac:dyDescent="0.25">
      <c r="L2158" s="64">
        <v>465000</v>
      </c>
      <c r="M2158" t="s">
        <v>1776</v>
      </c>
    </row>
    <row r="2159" spans="12:13" x14ac:dyDescent="0.25">
      <c r="L2159" s="64">
        <v>465100</v>
      </c>
      <c r="M2159" t="s">
        <v>1777</v>
      </c>
    </row>
    <row r="2160" spans="12:13" x14ac:dyDescent="0.25">
      <c r="L2160" s="64">
        <v>465110</v>
      </c>
      <c r="M2160" t="s">
        <v>1777</v>
      </c>
    </row>
    <row r="2161" spans="12:13" x14ac:dyDescent="0.25">
      <c r="L2161" s="64">
        <v>465111</v>
      </c>
      <c r="M2161" t="s">
        <v>1777</v>
      </c>
    </row>
    <row r="2162" spans="12:13" x14ac:dyDescent="0.25">
      <c r="L2162" s="64">
        <v>465112</v>
      </c>
      <c r="M2162" t="s">
        <v>1778</v>
      </c>
    </row>
    <row r="2163" spans="12:13" x14ac:dyDescent="0.25">
      <c r="L2163" s="64">
        <v>465200</v>
      </c>
      <c r="M2163" t="s">
        <v>1779</v>
      </c>
    </row>
    <row r="2164" spans="12:13" x14ac:dyDescent="0.25">
      <c r="L2164" s="64">
        <v>465210</v>
      </c>
      <c r="M2164" t="s">
        <v>1779</v>
      </c>
    </row>
    <row r="2165" spans="12:13" x14ac:dyDescent="0.25">
      <c r="L2165" s="64">
        <v>465211</v>
      </c>
      <c r="M2165" t="s">
        <v>1779</v>
      </c>
    </row>
    <row r="2166" spans="12:13" x14ac:dyDescent="0.25">
      <c r="L2166" s="64">
        <v>470000</v>
      </c>
      <c r="M2166" t="s">
        <v>1780</v>
      </c>
    </row>
    <row r="2167" spans="12:13" x14ac:dyDescent="0.25">
      <c r="L2167" s="64">
        <v>471000</v>
      </c>
      <c r="M2167" t="s">
        <v>1781</v>
      </c>
    </row>
    <row r="2168" spans="12:13" x14ac:dyDescent="0.25">
      <c r="L2168" s="64">
        <v>471100</v>
      </c>
      <c r="M2168" t="s">
        <v>1782</v>
      </c>
    </row>
    <row r="2169" spans="12:13" x14ac:dyDescent="0.25">
      <c r="L2169" s="64">
        <v>471110</v>
      </c>
      <c r="M2169" t="s">
        <v>1783</v>
      </c>
    </row>
    <row r="2170" spans="12:13" x14ac:dyDescent="0.25">
      <c r="L2170" s="64">
        <v>471111</v>
      </c>
      <c r="M2170" t="s">
        <v>1784</v>
      </c>
    </row>
    <row r="2171" spans="12:13" x14ac:dyDescent="0.25">
      <c r="L2171" s="64">
        <v>471112</v>
      </c>
      <c r="M2171" t="s">
        <v>1785</v>
      </c>
    </row>
    <row r="2172" spans="12:13" x14ac:dyDescent="0.25">
      <c r="L2172" s="64">
        <v>471113</v>
      </c>
      <c r="M2172" t="s">
        <v>1786</v>
      </c>
    </row>
    <row r="2173" spans="12:13" x14ac:dyDescent="0.25">
      <c r="L2173" s="64">
        <v>471114</v>
      </c>
      <c r="M2173" t="s">
        <v>1787</v>
      </c>
    </row>
    <row r="2174" spans="12:13" x14ac:dyDescent="0.25">
      <c r="L2174" s="64">
        <v>471120</v>
      </c>
      <c r="M2174" t="s">
        <v>1788</v>
      </c>
    </row>
    <row r="2175" spans="12:13" x14ac:dyDescent="0.25">
      <c r="L2175" s="64">
        <v>471121</v>
      </c>
      <c r="M2175" t="s">
        <v>1789</v>
      </c>
    </row>
    <row r="2176" spans="12:13" x14ac:dyDescent="0.25">
      <c r="L2176" s="64">
        <v>471122</v>
      </c>
      <c r="M2176" t="s">
        <v>1790</v>
      </c>
    </row>
    <row r="2177" spans="12:13" x14ac:dyDescent="0.25">
      <c r="L2177" s="64">
        <v>471123</v>
      </c>
      <c r="M2177" t="s">
        <v>1791</v>
      </c>
    </row>
    <row r="2178" spans="12:13" x14ac:dyDescent="0.25">
      <c r="L2178" s="64">
        <v>471124</v>
      </c>
      <c r="M2178" t="s">
        <v>1792</v>
      </c>
    </row>
    <row r="2179" spans="12:13" x14ac:dyDescent="0.25">
      <c r="L2179" s="64">
        <v>471125</v>
      </c>
      <c r="M2179" t="s">
        <v>1793</v>
      </c>
    </row>
    <row r="2180" spans="12:13" x14ac:dyDescent="0.25">
      <c r="L2180" s="64">
        <v>471129</v>
      </c>
      <c r="M2180" t="s">
        <v>1794</v>
      </c>
    </row>
    <row r="2181" spans="12:13" x14ac:dyDescent="0.25">
      <c r="L2181" s="64">
        <v>471130</v>
      </c>
      <c r="M2181" t="s">
        <v>1795</v>
      </c>
    </row>
    <row r="2182" spans="12:13" x14ac:dyDescent="0.25">
      <c r="L2182" s="64">
        <v>471131</v>
      </c>
      <c r="M2182" t="s">
        <v>1796</v>
      </c>
    </row>
    <row r="2183" spans="12:13" x14ac:dyDescent="0.25">
      <c r="L2183" s="64">
        <v>471132</v>
      </c>
      <c r="M2183" t="s">
        <v>1797</v>
      </c>
    </row>
    <row r="2184" spans="12:13" x14ac:dyDescent="0.25">
      <c r="L2184" s="64">
        <v>471133</v>
      </c>
      <c r="M2184" t="s">
        <v>1798</v>
      </c>
    </row>
    <row r="2185" spans="12:13" x14ac:dyDescent="0.25">
      <c r="L2185" s="64">
        <v>471134</v>
      </c>
      <c r="M2185" t="s">
        <v>1799</v>
      </c>
    </row>
    <row r="2186" spans="12:13" x14ac:dyDescent="0.25">
      <c r="L2186" s="64">
        <v>471135</v>
      </c>
      <c r="M2186" t="s">
        <v>1800</v>
      </c>
    </row>
    <row r="2187" spans="12:13" x14ac:dyDescent="0.25">
      <c r="L2187" s="64">
        <v>471136</v>
      </c>
      <c r="M2187" t="s">
        <v>1801</v>
      </c>
    </row>
    <row r="2188" spans="12:13" x14ac:dyDescent="0.25">
      <c r="L2188" s="64">
        <v>471137</v>
      </c>
      <c r="M2188" t="s">
        <v>1802</v>
      </c>
    </row>
    <row r="2189" spans="12:13" x14ac:dyDescent="0.25">
      <c r="L2189" s="64">
        <v>471139</v>
      </c>
      <c r="M2189" t="s">
        <v>1803</v>
      </c>
    </row>
    <row r="2190" spans="12:13" x14ac:dyDescent="0.25">
      <c r="L2190" s="64">
        <v>471140</v>
      </c>
      <c r="M2190" t="s">
        <v>1804</v>
      </c>
    </row>
    <row r="2191" spans="12:13" x14ac:dyDescent="0.25">
      <c r="L2191" s="64">
        <v>471141</v>
      </c>
      <c r="M2191" t="s">
        <v>1805</v>
      </c>
    </row>
    <row r="2192" spans="12:13" x14ac:dyDescent="0.25">
      <c r="L2192" s="64">
        <v>471142</v>
      </c>
      <c r="M2192" t="s">
        <v>1806</v>
      </c>
    </row>
    <row r="2193" spans="12:13" x14ac:dyDescent="0.25">
      <c r="L2193" s="64">
        <v>471143</v>
      </c>
      <c r="M2193" t="s">
        <v>1807</v>
      </c>
    </row>
    <row r="2194" spans="12:13" x14ac:dyDescent="0.25">
      <c r="L2194" s="64">
        <v>471144</v>
      </c>
      <c r="M2194" t="s">
        <v>1808</v>
      </c>
    </row>
    <row r="2195" spans="12:13" x14ac:dyDescent="0.25">
      <c r="L2195" s="64">
        <v>471149</v>
      </c>
      <c r="M2195" t="s">
        <v>1809</v>
      </c>
    </row>
    <row r="2196" spans="12:13" x14ac:dyDescent="0.25">
      <c r="L2196" s="64">
        <v>471190</v>
      </c>
      <c r="M2196" t="s">
        <v>1810</v>
      </c>
    </row>
    <row r="2197" spans="12:13" x14ac:dyDescent="0.25">
      <c r="L2197" s="64">
        <v>471191</v>
      </c>
      <c r="M2197" t="s">
        <v>1811</v>
      </c>
    </row>
    <row r="2198" spans="12:13" x14ac:dyDescent="0.25">
      <c r="L2198" s="64">
        <v>471192</v>
      </c>
      <c r="M2198" t="s">
        <v>1812</v>
      </c>
    </row>
    <row r="2199" spans="12:13" x14ac:dyDescent="0.25">
      <c r="L2199" s="64">
        <v>471193</v>
      </c>
      <c r="M2199" t="s">
        <v>1813</v>
      </c>
    </row>
    <row r="2200" spans="12:13" x14ac:dyDescent="0.25">
      <c r="L2200" s="64">
        <v>471194</v>
      </c>
      <c r="M2200" t="s">
        <v>1814</v>
      </c>
    </row>
    <row r="2201" spans="12:13" x14ac:dyDescent="0.25">
      <c r="L2201" s="64">
        <v>471195</v>
      </c>
      <c r="M2201" t="s">
        <v>1815</v>
      </c>
    </row>
    <row r="2202" spans="12:13" x14ac:dyDescent="0.25">
      <c r="L2202" s="64">
        <v>471199</v>
      </c>
      <c r="M2202" t="s">
        <v>1816</v>
      </c>
    </row>
    <row r="2203" spans="12:13" x14ac:dyDescent="0.25">
      <c r="L2203" s="64">
        <v>471200</v>
      </c>
      <c r="M2203" t="s">
        <v>1817</v>
      </c>
    </row>
    <row r="2204" spans="12:13" x14ac:dyDescent="0.25">
      <c r="L2204" s="64">
        <v>471210</v>
      </c>
      <c r="M2204" t="s">
        <v>1818</v>
      </c>
    </row>
    <row r="2205" spans="12:13" x14ac:dyDescent="0.25">
      <c r="L2205" s="64">
        <v>471211</v>
      </c>
      <c r="M2205" t="s">
        <v>1819</v>
      </c>
    </row>
    <row r="2206" spans="12:13" x14ac:dyDescent="0.25">
      <c r="L2206" s="64">
        <v>471212</v>
      </c>
      <c r="M2206" t="s">
        <v>1820</v>
      </c>
    </row>
    <row r="2207" spans="12:13" x14ac:dyDescent="0.25">
      <c r="L2207" s="64">
        <v>471213</v>
      </c>
      <c r="M2207" t="s">
        <v>1821</v>
      </c>
    </row>
    <row r="2208" spans="12:13" x14ac:dyDescent="0.25">
      <c r="L2208" s="64">
        <v>471214</v>
      </c>
      <c r="M2208" t="s">
        <v>1822</v>
      </c>
    </row>
    <row r="2209" spans="12:13" x14ac:dyDescent="0.25">
      <c r="L2209" s="64">
        <v>471215</v>
      </c>
      <c r="M2209" t="s">
        <v>1823</v>
      </c>
    </row>
    <row r="2210" spans="12:13" x14ac:dyDescent="0.25">
      <c r="L2210" s="64">
        <v>471216</v>
      </c>
      <c r="M2210" t="s">
        <v>1824</v>
      </c>
    </row>
    <row r="2211" spans="12:13" x14ac:dyDescent="0.25">
      <c r="L2211" s="64">
        <v>471217</v>
      </c>
      <c r="M2211" t="s">
        <v>1825</v>
      </c>
    </row>
    <row r="2212" spans="12:13" x14ac:dyDescent="0.25">
      <c r="L2212" s="64">
        <v>471219</v>
      </c>
      <c r="M2212" t="s">
        <v>1826</v>
      </c>
    </row>
    <row r="2213" spans="12:13" x14ac:dyDescent="0.25">
      <c r="L2213" s="64">
        <v>471220</v>
      </c>
      <c r="M2213" t="s">
        <v>1827</v>
      </c>
    </row>
    <row r="2214" spans="12:13" x14ac:dyDescent="0.25">
      <c r="L2214" s="64">
        <v>471221</v>
      </c>
      <c r="M2214" t="s">
        <v>1508</v>
      </c>
    </row>
    <row r="2215" spans="12:13" x14ac:dyDescent="0.25">
      <c r="L2215" s="64">
        <v>471222</v>
      </c>
      <c r="M2215" t="s">
        <v>1828</v>
      </c>
    </row>
    <row r="2216" spans="12:13" x14ac:dyDescent="0.25">
      <c r="L2216" s="64">
        <v>471223</v>
      </c>
      <c r="M2216" t="s">
        <v>1829</v>
      </c>
    </row>
    <row r="2217" spans="12:13" x14ac:dyDescent="0.25">
      <c r="L2217" s="64">
        <v>471224</v>
      </c>
      <c r="M2217" t="s">
        <v>1830</v>
      </c>
    </row>
    <row r="2218" spans="12:13" x14ac:dyDescent="0.25">
      <c r="L2218" s="64">
        <v>471229</v>
      </c>
      <c r="M2218" t="s">
        <v>1831</v>
      </c>
    </row>
    <row r="2219" spans="12:13" x14ac:dyDescent="0.25">
      <c r="L2219" s="64">
        <v>471230</v>
      </c>
      <c r="M2219" t="s">
        <v>1832</v>
      </c>
    </row>
    <row r="2220" spans="12:13" x14ac:dyDescent="0.25">
      <c r="L2220" s="64">
        <v>471231</v>
      </c>
      <c r="M2220" t="s">
        <v>1833</v>
      </c>
    </row>
    <row r="2221" spans="12:13" x14ac:dyDescent="0.25">
      <c r="L2221" s="64">
        <v>471232</v>
      </c>
      <c r="M2221" t="s">
        <v>1834</v>
      </c>
    </row>
    <row r="2222" spans="12:13" x14ac:dyDescent="0.25">
      <c r="L2222" s="64">
        <v>471240</v>
      </c>
      <c r="M2222" t="s">
        <v>1835</v>
      </c>
    </row>
    <row r="2223" spans="12:13" x14ac:dyDescent="0.25">
      <c r="L2223" s="64">
        <v>471241</v>
      </c>
      <c r="M2223" t="s">
        <v>1836</v>
      </c>
    </row>
    <row r="2224" spans="12:13" x14ac:dyDescent="0.25">
      <c r="L2224" s="64">
        <v>471242</v>
      </c>
      <c r="M2224" t="s">
        <v>1837</v>
      </c>
    </row>
    <row r="2225" spans="12:13" x14ac:dyDescent="0.25">
      <c r="L2225" s="64">
        <v>471243</v>
      </c>
      <c r="M2225" t="s">
        <v>1838</v>
      </c>
    </row>
    <row r="2226" spans="12:13" x14ac:dyDescent="0.25">
      <c r="L2226" s="64">
        <v>471250</v>
      </c>
      <c r="M2226" t="s">
        <v>1839</v>
      </c>
    </row>
    <row r="2227" spans="12:13" x14ac:dyDescent="0.25">
      <c r="L2227" s="64">
        <v>471251</v>
      </c>
      <c r="M2227" t="s">
        <v>1840</v>
      </c>
    </row>
    <row r="2228" spans="12:13" x14ac:dyDescent="0.25">
      <c r="L2228" s="64">
        <v>471252</v>
      </c>
      <c r="M2228" t="s">
        <v>1841</v>
      </c>
    </row>
    <row r="2229" spans="12:13" x14ac:dyDescent="0.25">
      <c r="L2229" s="64">
        <v>471253</v>
      </c>
      <c r="M2229" t="s">
        <v>1842</v>
      </c>
    </row>
    <row r="2230" spans="12:13" x14ac:dyDescent="0.25">
      <c r="L2230" s="64">
        <v>471260</v>
      </c>
      <c r="M2230" t="s">
        <v>1843</v>
      </c>
    </row>
    <row r="2231" spans="12:13" x14ac:dyDescent="0.25">
      <c r="L2231" s="64">
        <v>471261</v>
      </c>
      <c r="M2231" t="s">
        <v>1844</v>
      </c>
    </row>
    <row r="2232" spans="12:13" x14ac:dyDescent="0.25">
      <c r="L2232" s="64">
        <v>471262</v>
      </c>
      <c r="M2232" t="s">
        <v>1845</v>
      </c>
    </row>
    <row r="2233" spans="12:13" x14ac:dyDescent="0.25">
      <c r="L2233" s="64">
        <v>471263</v>
      </c>
      <c r="M2233" t="s">
        <v>1846</v>
      </c>
    </row>
    <row r="2234" spans="12:13" x14ac:dyDescent="0.25">
      <c r="L2234" s="64">
        <v>471290</v>
      </c>
      <c r="M2234" t="s">
        <v>1847</v>
      </c>
    </row>
    <row r="2235" spans="12:13" x14ac:dyDescent="0.25">
      <c r="L2235" s="64">
        <v>471291</v>
      </c>
      <c r="M2235" t="s">
        <v>1848</v>
      </c>
    </row>
    <row r="2236" spans="12:13" x14ac:dyDescent="0.25">
      <c r="L2236" s="64">
        <v>471292</v>
      </c>
      <c r="M2236" t="s">
        <v>1815</v>
      </c>
    </row>
    <row r="2237" spans="12:13" x14ac:dyDescent="0.25">
      <c r="L2237" s="64">
        <v>471299</v>
      </c>
      <c r="M2237" t="s">
        <v>1849</v>
      </c>
    </row>
    <row r="2238" spans="12:13" x14ac:dyDescent="0.25">
      <c r="L2238" s="64">
        <v>471900</v>
      </c>
      <c r="M2238" t="s">
        <v>1850</v>
      </c>
    </row>
    <row r="2239" spans="12:13" x14ac:dyDescent="0.25">
      <c r="L2239" s="64">
        <v>471910</v>
      </c>
      <c r="M2239" t="s">
        <v>1851</v>
      </c>
    </row>
    <row r="2240" spans="12:13" x14ac:dyDescent="0.25">
      <c r="L2240" s="64">
        <v>471911</v>
      </c>
      <c r="M2240" t="s">
        <v>1851</v>
      </c>
    </row>
    <row r="2241" spans="12:13" x14ac:dyDescent="0.25">
      <c r="L2241" s="64">
        <v>471912</v>
      </c>
      <c r="M2241" t="s">
        <v>1852</v>
      </c>
    </row>
    <row r="2242" spans="12:13" x14ac:dyDescent="0.25">
      <c r="L2242" s="64">
        <v>471913</v>
      </c>
      <c r="M2242" t="s">
        <v>1853</v>
      </c>
    </row>
    <row r="2243" spans="12:13" x14ac:dyDescent="0.25">
      <c r="L2243" s="64">
        <v>471914</v>
      </c>
      <c r="M2243" t="s">
        <v>1854</v>
      </c>
    </row>
    <row r="2244" spans="12:13" x14ac:dyDescent="0.25">
      <c r="L2244" s="64">
        <v>471915</v>
      </c>
      <c r="M2244" t="s">
        <v>1855</v>
      </c>
    </row>
    <row r="2245" spans="12:13" x14ac:dyDescent="0.25">
      <c r="L2245" s="64">
        <v>471920</v>
      </c>
      <c r="M2245" t="s">
        <v>1856</v>
      </c>
    </row>
    <row r="2246" spans="12:13" x14ac:dyDescent="0.25">
      <c r="L2246" s="64">
        <v>471921</v>
      </c>
      <c r="M2246" t="s">
        <v>1856</v>
      </c>
    </row>
    <row r="2247" spans="12:13" x14ac:dyDescent="0.25">
      <c r="L2247" s="64">
        <v>471922</v>
      </c>
      <c r="M2247" t="s">
        <v>1857</v>
      </c>
    </row>
    <row r="2248" spans="12:13" x14ac:dyDescent="0.25">
      <c r="L2248" s="64">
        <v>471923</v>
      </c>
      <c r="M2248" t="s">
        <v>1858</v>
      </c>
    </row>
    <row r="2249" spans="12:13" x14ac:dyDescent="0.25">
      <c r="L2249" s="64">
        <v>471930</v>
      </c>
      <c r="M2249" t="s">
        <v>1859</v>
      </c>
    </row>
    <row r="2250" spans="12:13" x14ac:dyDescent="0.25">
      <c r="L2250" s="64">
        <v>471931</v>
      </c>
      <c r="M2250" t="s">
        <v>1860</v>
      </c>
    </row>
    <row r="2251" spans="12:13" x14ac:dyDescent="0.25">
      <c r="L2251" s="64">
        <v>471940</v>
      </c>
      <c r="M2251" t="s">
        <v>1861</v>
      </c>
    </row>
    <row r="2252" spans="12:13" x14ac:dyDescent="0.25">
      <c r="L2252" s="64">
        <v>471941</v>
      </c>
      <c r="M2252" t="s">
        <v>1862</v>
      </c>
    </row>
    <row r="2253" spans="12:13" x14ac:dyDescent="0.25">
      <c r="L2253" s="64">
        <v>471942</v>
      </c>
      <c r="M2253" t="s">
        <v>1863</v>
      </c>
    </row>
    <row r="2254" spans="12:13" x14ac:dyDescent="0.25">
      <c r="L2254" s="64">
        <v>471943</v>
      </c>
      <c r="M2254" t="s">
        <v>1864</v>
      </c>
    </row>
    <row r="2255" spans="12:13" x14ac:dyDescent="0.25">
      <c r="L2255" s="64">
        <v>471950</v>
      </c>
      <c r="M2255" t="s">
        <v>1865</v>
      </c>
    </row>
    <row r="2256" spans="12:13" x14ac:dyDescent="0.25">
      <c r="L2256" s="64">
        <v>471951</v>
      </c>
      <c r="M2256" t="s">
        <v>1865</v>
      </c>
    </row>
    <row r="2257" spans="12:13" x14ac:dyDescent="0.25">
      <c r="L2257" s="64">
        <v>472000</v>
      </c>
      <c r="M2257" t="s">
        <v>1866</v>
      </c>
    </row>
    <row r="2258" spans="12:13" x14ac:dyDescent="0.25">
      <c r="L2258" s="64">
        <v>472100</v>
      </c>
      <c r="M2258" t="s">
        <v>1867</v>
      </c>
    </row>
    <row r="2259" spans="12:13" x14ac:dyDescent="0.25">
      <c r="L2259" s="64">
        <v>472110</v>
      </c>
      <c r="M2259" t="s">
        <v>1868</v>
      </c>
    </row>
    <row r="2260" spans="12:13" x14ac:dyDescent="0.25">
      <c r="L2260" s="64">
        <v>472111</v>
      </c>
      <c r="M2260" t="s">
        <v>1868</v>
      </c>
    </row>
    <row r="2261" spans="12:13" x14ac:dyDescent="0.25">
      <c r="L2261" s="64">
        <v>472120</v>
      </c>
      <c r="M2261" t="s">
        <v>1869</v>
      </c>
    </row>
    <row r="2262" spans="12:13" x14ac:dyDescent="0.25">
      <c r="L2262" s="64">
        <v>472121</v>
      </c>
      <c r="M2262" t="s">
        <v>1869</v>
      </c>
    </row>
    <row r="2263" spans="12:13" x14ac:dyDescent="0.25">
      <c r="L2263" s="64">
        <v>472130</v>
      </c>
      <c r="M2263" t="s">
        <v>1870</v>
      </c>
    </row>
    <row r="2264" spans="12:13" x14ac:dyDescent="0.25">
      <c r="L2264" s="64">
        <v>472131</v>
      </c>
      <c r="M2264" t="s">
        <v>1871</v>
      </c>
    </row>
    <row r="2265" spans="12:13" x14ac:dyDescent="0.25">
      <c r="L2265" s="64">
        <v>472132</v>
      </c>
      <c r="M2265" t="s">
        <v>1872</v>
      </c>
    </row>
    <row r="2266" spans="12:13" x14ac:dyDescent="0.25">
      <c r="L2266" s="64">
        <v>472200</v>
      </c>
      <c r="M2266" t="s">
        <v>1873</v>
      </c>
    </row>
    <row r="2267" spans="12:13" x14ac:dyDescent="0.25">
      <c r="L2267" s="64">
        <v>472210</v>
      </c>
      <c r="M2267" t="s">
        <v>1873</v>
      </c>
    </row>
    <row r="2268" spans="12:13" x14ac:dyDescent="0.25">
      <c r="L2268" s="64">
        <v>472211</v>
      </c>
      <c r="M2268" t="s">
        <v>1873</v>
      </c>
    </row>
    <row r="2269" spans="12:13" x14ac:dyDescent="0.25">
      <c r="L2269" s="64">
        <v>472300</v>
      </c>
      <c r="M2269" t="s">
        <v>1874</v>
      </c>
    </row>
    <row r="2270" spans="12:13" x14ac:dyDescent="0.25">
      <c r="L2270" s="64">
        <v>472310</v>
      </c>
      <c r="M2270" t="s">
        <v>1874</v>
      </c>
    </row>
    <row r="2271" spans="12:13" x14ac:dyDescent="0.25">
      <c r="L2271" s="64">
        <v>472311</v>
      </c>
      <c r="M2271" t="s">
        <v>1874</v>
      </c>
    </row>
    <row r="2272" spans="12:13" x14ac:dyDescent="0.25">
      <c r="L2272" s="64">
        <v>472400</v>
      </c>
      <c r="M2272" t="s">
        <v>1875</v>
      </c>
    </row>
    <row r="2273" spans="12:13" x14ac:dyDescent="0.25">
      <c r="L2273" s="64">
        <v>472410</v>
      </c>
      <c r="M2273" t="s">
        <v>1875</v>
      </c>
    </row>
    <row r="2274" spans="12:13" x14ac:dyDescent="0.25">
      <c r="L2274" s="64">
        <v>472411</v>
      </c>
      <c r="M2274" t="s">
        <v>1875</v>
      </c>
    </row>
    <row r="2275" spans="12:13" x14ac:dyDescent="0.25">
      <c r="L2275" s="64">
        <v>472500</v>
      </c>
      <c r="M2275" t="s">
        <v>1876</v>
      </c>
    </row>
    <row r="2276" spans="12:13" x14ac:dyDescent="0.25">
      <c r="L2276" s="64">
        <v>472510</v>
      </c>
      <c r="M2276" t="s">
        <v>1877</v>
      </c>
    </row>
    <row r="2277" spans="12:13" x14ac:dyDescent="0.25">
      <c r="L2277" s="64">
        <v>472511</v>
      </c>
      <c r="M2277" t="s">
        <v>1877</v>
      </c>
    </row>
    <row r="2278" spans="12:13" x14ac:dyDescent="0.25">
      <c r="L2278" s="64">
        <v>472520</v>
      </c>
      <c r="M2278" t="s">
        <v>1878</v>
      </c>
    </row>
    <row r="2279" spans="12:13" x14ac:dyDescent="0.25">
      <c r="L2279" s="64">
        <v>472521</v>
      </c>
      <c r="M2279" t="s">
        <v>1878</v>
      </c>
    </row>
    <row r="2280" spans="12:13" x14ac:dyDescent="0.25">
      <c r="L2280" s="64">
        <v>472600</v>
      </c>
      <c r="M2280" t="s">
        <v>1879</v>
      </c>
    </row>
    <row r="2281" spans="12:13" x14ac:dyDescent="0.25">
      <c r="L2281" s="64">
        <v>472610</v>
      </c>
      <c r="M2281" t="s">
        <v>1879</v>
      </c>
    </row>
    <row r="2282" spans="12:13" x14ac:dyDescent="0.25">
      <c r="L2282" s="64">
        <v>472611</v>
      </c>
      <c r="M2282" t="s">
        <v>1879</v>
      </c>
    </row>
    <row r="2283" spans="12:13" x14ac:dyDescent="0.25">
      <c r="L2283" s="64">
        <v>472700</v>
      </c>
      <c r="M2283" t="s">
        <v>1880</v>
      </c>
    </row>
    <row r="2284" spans="12:13" x14ac:dyDescent="0.25">
      <c r="L2284" s="64">
        <v>472710</v>
      </c>
      <c r="M2284" t="s">
        <v>1881</v>
      </c>
    </row>
    <row r="2285" spans="12:13" x14ac:dyDescent="0.25">
      <c r="L2285" s="64">
        <v>472711</v>
      </c>
      <c r="M2285" t="s">
        <v>1882</v>
      </c>
    </row>
    <row r="2286" spans="12:13" x14ac:dyDescent="0.25">
      <c r="L2286" s="64">
        <v>472712</v>
      </c>
      <c r="M2286" t="s">
        <v>1883</v>
      </c>
    </row>
    <row r="2287" spans="12:13" x14ac:dyDescent="0.25">
      <c r="L2287" s="64">
        <v>472713</v>
      </c>
      <c r="M2287" t="s">
        <v>1884</v>
      </c>
    </row>
    <row r="2288" spans="12:13" x14ac:dyDescent="0.25">
      <c r="L2288" s="64">
        <v>472714</v>
      </c>
      <c r="M2288" t="s">
        <v>1885</v>
      </c>
    </row>
    <row r="2289" spans="12:13" x14ac:dyDescent="0.25">
      <c r="L2289" s="64">
        <v>472715</v>
      </c>
      <c r="M2289" t="s">
        <v>1886</v>
      </c>
    </row>
    <row r="2290" spans="12:13" x14ac:dyDescent="0.25">
      <c r="L2290" s="64">
        <v>472716</v>
      </c>
      <c r="M2290" t="s">
        <v>1887</v>
      </c>
    </row>
    <row r="2291" spans="12:13" x14ac:dyDescent="0.25">
      <c r="L2291" s="64">
        <v>472717</v>
      </c>
      <c r="M2291" t="s">
        <v>1888</v>
      </c>
    </row>
    <row r="2292" spans="12:13" x14ac:dyDescent="0.25">
      <c r="L2292" s="64">
        <v>472718</v>
      </c>
      <c r="M2292" t="s">
        <v>1433</v>
      </c>
    </row>
    <row r="2293" spans="12:13" x14ac:dyDescent="0.25">
      <c r="L2293" s="64">
        <v>472719</v>
      </c>
      <c r="M2293" t="s">
        <v>1889</v>
      </c>
    </row>
    <row r="2294" spans="12:13" x14ac:dyDescent="0.25">
      <c r="L2294" s="64">
        <v>472720</v>
      </c>
      <c r="M2294" t="s">
        <v>1890</v>
      </c>
    </row>
    <row r="2295" spans="12:13" x14ac:dyDescent="0.25">
      <c r="L2295" s="64">
        <v>472721</v>
      </c>
      <c r="M2295" t="s">
        <v>1890</v>
      </c>
    </row>
    <row r="2296" spans="12:13" x14ac:dyDescent="0.25">
      <c r="L2296" s="64">
        <v>472730</v>
      </c>
      <c r="M2296" t="s">
        <v>1891</v>
      </c>
    </row>
    <row r="2297" spans="12:13" x14ac:dyDescent="0.25">
      <c r="L2297" s="64">
        <v>472731</v>
      </c>
      <c r="M2297" t="s">
        <v>1892</v>
      </c>
    </row>
    <row r="2298" spans="12:13" x14ac:dyDescent="0.25">
      <c r="L2298" s="64">
        <v>472732</v>
      </c>
      <c r="M2298" t="s">
        <v>1893</v>
      </c>
    </row>
    <row r="2299" spans="12:13" x14ac:dyDescent="0.25">
      <c r="L2299" s="64">
        <v>472740</v>
      </c>
      <c r="M2299" t="s">
        <v>1894</v>
      </c>
    </row>
    <row r="2300" spans="12:13" x14ac:dyDescent="0.25">
      <c r="L2300" s="64">
        <v>472741</v>
      </c>
      <c r="M2300" t="s">
        <v>1894</v>
      </c>
    </row>
    <row r="2301" spans="12:13" x14ac:dyDescent="0.25">
      <c r="L2301" s="64">
        <v>472742</v>
      </c>
      <c r="M2301" t="s">
        <v>1895</v>
      </c>
    </row>
    <row r="2302" spans="12:13" x14ac:dyDescent="0.25">
      <c r="L2302" s="64">
        <v>472800</v>
      </c>
      <c r="M2302" t="s">
        <v>1896</v>
      </c>
    </row>
    <row r="2303" spans="12:13" x14ac:dyDescent="0.25">
      <c r="L2303" s="64">
        <v>472810</v>
      </c>
      <c r="M2303" t="s">
        <v>1896</v>
      </c>
    </row>
    <row r="2304" spans="12:13" x14ac:dyDescent="0.25">
      <c r="L2304" s="64">
        <v>472811</v>
      </c>
      <c r="M2304" t="s">
        <v>1896</v>
      </c>
    </row>
    <row r="2305" spans="12:13" x14ac:dyDescent="0.25">
      <c r="L2305" s="64">
        <v>472900</v>
      </c>
      <c r="M2305" t="s">
        <v>1897</v>
      </c>
    </row>
    <row r="2306" spans="12:13" x14ac:dyDescent="0.25">
      <c r="L2306" s="64">
        <v>472910</v>
      </c>
      <c r="M2306" t="s">
        <v>1898</v>
      </c>
    </row>
    <row r="2307" spans="12:13" x14ac:dyDescent="0.25">
      <c r="L2307" s="64">
        <v>472911</v>
      </c>
      <c r="M2307" t="s">
        <v>1898</v>
      </c>
    </row>
    <row r="2308" spans="12:13" x14ac:dyDescent="0.25">
      <c r="L2308" s="64">
        <v>472920</v>
      </c>
      <c r="M2308" t="s">
        <v>1899</v>
      </c>
    </row>
    <row r="2309" spans="12:13" x14ac:dyDescent="0.25">
      <c r="L2309" s="64">
        <v>472921</v>
      </c>
      <c r="M2309" t="s">
        <v>1900</v>
      </c>
    </row>
    <row r="2310" spans="12:13" x14ac:dyDescent="0.25">
      <c r="L2310" s="64">
        <v>472922</v>
      </c>
      <c r="M2310" t="s">
        <v>1901</v>
      </c>
    </row>
    <row r="2311" spans="12:13" x14ac:dyDescent="0.25">
      <c r="L2311" s="64">
        <v>472930</v>
      </c>
      <c r="M2311" t="s">
        <v>1808</v>
      </c>
    </row>
    <row r="2312" spans="12:13" x14ac:dyDescent="0.25">
      <c r="L2312" s="64">
        <v>472931</v>
      </c>
      <c r="M2312" t="s">
        <v>1808</v>
      </c>
    </row>
    <row r="2313" spans="12:13" x14ac:dyDescent="0.25">
      <c r="L2313" s="64">
        <v>480000</v>
      </c>
      <c r="M2313" t="s">
        <v>1902</v>
      </c>
    </row>
    <row r="2314" spans="12:13" x14ac:dyDescent="0.25">
      <c r="L2314" s="64">
        <v>481000</v>
      </c>
      <c r="M2314" t="s">
        <v>1903</v>
      </c>
    </row>
    <row r="2315" spans="12:13" x14ac:dyDescent="0.25">
      <c r="L2315" s="64">
        <v>481100</v>
      </c>
      <c r="M2315" t="s">
        <v>1904</v>
      </c>
    </row>
    <row r="2316" spans="12:13" x14ac:dyDescent="0.25">
      <c r="L2316" s="64">
        <v>481110</v>
      </c>
      <c r="M2316" t="s">
        <v>1904</v>
      </c>
    </row>
    <row r="2317" spans="12:13" x14ac:dyDescent="0.25">
      <c r="L2317" s="64">
        <v>481111</v>
      </c>
      <c r="M2317" t="s">
        <v>1905</v>
      </c>
    </row>
    <row r="2318" spans="12:13" x14ac:dyDescent="0.25">
      <c r="L2318" s="64">
        <v>481112</v>
      </c>
      <c r="M2318" t="s">
        <v>1906</v>
      </c>
    </row>
    <row r="2319" spans="12:13" x14ac:dyDescent="0.25">
      <c r="L2319" s="64">
        <v>481113</v>
      </c>
      <c r="M2319" t="s">
        <v>1907</v>
      </c>
    </row>
    <row r="2320" spans="12:13" x14ac:dyDescent="0.25">
      <c r="L2320" s="64">
        <v>481120</v>
      </c>
      <c r="M2320" t="s">
        <v>1908</v>
      </c>
    </row>
    <row r="2321" spans="12:13" x14ac:dyDescent="0.25">
      <c r="L2321" s="64">
        <v>481121</v>
      </c>
      <c r="M2321" t="s">
        <v>1909</v>
      </c>
    </row>
    <row r="2322" spans="12:13" x14ac:dyDescent="0.25">
      <c r="L2322" s="64">
        <v>481130</v>
      </c>
      <c r="M2322" t="s">
        <v>1910</v>
      </c>
    </row>
    <row r="2323" spans="12:13" x14ac:dyDescent="0.25">
      <c r="L2323" s="64">
        <v>481131</v>
      </c>
      <c r="M2323" t="s">
        <v>1910</v>
      </c>
    </row>
    <row r="2324" spans="12:13" x14ac:dyDescent="0.25">
      <c r="L2324" s="64">
        <v>481900</v>
      </c>
      <c r="M2324" t="s">
        <v>1911</v>
      </c>
    </row>
    <row r="2325" spans="12:13" x14ac:dyDescent="0.25">
      <c r="L2325" s="64">
        <v>481910</v>
      </c>
      <c r="M2325" t="s">
        <v>1912</v>
      </c>
    </row>
    <row r="2326" spans="12:13" x14ac:dyDescent="0.25">
      <c r="L2326" s="64">
        <v>481911</v>
      </c>
      <c r="M2326" t="s">
        <v>1912</v>
      </c>
    </row>
    <row r="2327" spans="12:13" x14ac:dyDescent="0.25">
      <c r="L2327" s="64">
        <v>481920</v>
      </c>
      <c r="M2327" t="s">
        <v>1913</v>
      </c>
    </row>
    <row r="2328" spans="12:13" x14ac:dyDescent="0.25">
      <c r="L2328" s="64">
        <v>481921</v>
      </c>
      <c r="M2328" t="s">
        <v>1913</v>
      </c>
    </row>
    <row r="2329" spans="12:13" x14ac:dyDescent="0.25">
      <c r="L2329" s="64">
        <v>481930</v>
      </c>
      <c r="M2329" t="s">
        <v>1914</v>
      </c>
    </row>
    <row r="2330" spans="12:13" x14ac:dyDescent="0.25">
      <c r="L2330" s="64">
        <v>481931</v>
      </c>
      <c r="M2330" t="s">
        <v>1914</v>
      </c>
    </row>
    <row r="2331" spans="12:13" x14ac:dyDescent="0.25">
      <c r="L2331" s="64">
        <v>481940</v>
      </c>
      <c r="M2331" t="s">
        <v>1915</v>
      </c>
    </row>
    <row r="2332" spans="12:13" x14ac:dyDescent="0.25">
      <c r="L2332" s="64">
        <v>481941</v>
      </c>
      <c r="M2332" t="s">
        <v>1916</v>
      </c>
    </row>
    <row r="2333" spans="12:13" x14ac:dyDescent="0.25">
      <c r="L2333" s="64">
        <v>481942</v>
      </c>
      <c r="M2333" t="s">
        <v>1917</v>
      </c>
    </row>
    <row r="2334" spans="12:13" x14ac:dyDescent="0.25">
      <c r="L2334" s="64">
        <v>481950</v>
      </c>
      <c r="M2334" t="s">
        <v>1918</v>
      </c>
    </row>
    <row r="2335" spans="12:13" x14ac:dyDescent="0.25">
      <c r="L2335" s="64">
        <v>481951</v>
      </c>
      <c r="M2335" t="s">
        <v>1918</v>
      </c>
    </row>
    <row r="2336" spans="12:13" x14ac:dyDescent="0.25">
      <c r="L2336" s="64">
        <v>481960</v>
      </c>
      <c r="M2336" t="s">
        <v>1919</v>
      </c>
    </row>
    <row r="2337" spans="12:13" x14ac:dyDescent="0.25">
      <c r="L2337" s="64">
        <v>481961</v>
      </c>
      <c r="M2337" t="s">
        <v>1920</v>
      </c>
    </row>
    <row r="2338" spans="12:13" x14ac:dyDescent="0.25">
      <c r="L2338" s="64">
        <v>481962</v>
      </c>
      <c r="M2338" t="s">
        <v>1921</v>
      </c>
    </row>
    <row r="2339" spans="12:13" x14ac:dyDescent="0.25">
      <c r="L2339" s="64">
        <v>481969</v>
      </c>
      <c r="M2339" t="s">
        <v>1922</v>
      </c>
    </row>
    <row r="2340" spans="12:13" x14ac:dyDescent="0.25">
      <c r="L2340" s="64">
        <v>481990</v>
      </c>
      <c r="M2340" t="s">
        <v>1911</v>
      </c>
    </row>
    <row r="2341" spans="12:13" x14ac:dyDescent="0.25">
      <c r="L2341" s="64">
        <v>481991</v>
      </c>
      <c r="M2341" t="s">
        <v>1911</v>
      </c>
    </row>
    <row r="2342" spans="12:13" x14ac:dyDescent="0.25">
      <c r="L2342" s="64">
        <v>482000</v>
      </c>
      <c r="M2342" t="s">
        <v>1923</v>
      </c>
    </row>
    <row r="2343" spans="12:13" x14ac:dyDescent="0.25">
      <c r="L2343" s="64">
        <v>482100</v>
      </c>
      <c r="M2343" t="s">
        <v>1924</v>
      </c>
    </row>
    <row r="2344" spans="12:13" x14ac:dyDescent="0.25">
      <c r="L2344" s="64">
        <v>482110</v>
      </c>
      <c r="M2344" t="s">
        <v>1925</v>
      </c>
    </row>
    <row r="2345" spans="12:13" x14ac:dyDescent="0.25">
      <c r="L2345" s="64">
        <v>482111</v>
      </c>
      <c r="M2345" t="s">
        <v>1926</v>
      </c>
    </row>
    <row r="2346" spans="12:13" x14ac:dyDescent="0.25">
      <c r="L2346" s="64">
        <v>482112</v>
      </c>
      <c r="M2346" t="s">
        <v>1927</v>
      </c>
    </row>
    <row r="2347" spans="12:13" x14ac:dyDescent="0.25">
      <c r="L2347" s="64">
        <v>482120</v>
      </c>
      <c r="M2347" t="s">
        <v>1928</v>
      </c>
    </row>
    <row r="2348" spans="12:13" x14ac:dyDescent="0.25">
      <c r="L2348" s="64">
        <v>482121</v>
      </c>
      <c r="M2348" t="s">
        <v>1929</v>
      </c>
    </row>
    <row r="2349" spans="12:13" x14ac:dyDescent="0.25">
      <c r="L2349" s="64">
        <v>482122</v>
      </c>
      <c r="M2349" t="s">
        <v>1930</v>
      </c>
    </row>
    <row r="2350" spans="12:13" x14ac:dyDescent="0.25">
      <c r="L2350" s="64">
        <v>482123</v>
      </c>
      <c r="M2350" t="s">
        <v>1931</v>
      </c>
    </row>
    <row r="2351" spans="12:13" x14ac:dyDescent="0.25">
      <c r="L2351" s="64">
        <v>482130</v>
      </c>
      <c r="M2351" t="s">
        <v>1932</v>
      </c>
    </row>
    <row r="2352" spans="12:13" x14ac:dyDescent="0.25">
      <c r="L2352" s="64">
        <v>482131</v>
      </c>
      <c r="M2352" t="s">
        <v>1933</v>
      </c>
    </row>
    <row r="2353" spans="12:13" x14ac:dyDescent="0.25">
      <c r="L2353" s="64">
        <v>482132</v>
      </c>
      <c r="M2353" t="s">
        <v>1934</v>
      </c>
    </row>
    <row r="2354" spans="12:13" x14ac:dyDescent="0.25">
      <c r="L2354" s="64">
        <v>482140</v>
      </c>
      <c r="M2354" t="s">
        <v>1935</v>
      </c>
    </row>
    <row r="2355" spans="12:13" x14ac:dyDescent="0.25">
      <c r="L2355" s="64">
        <v>482141</v>
      </c>
      <c r="M2355" t="s">
        <v>1936</v>
      </c>
    </row>
    <row r="2356" spans="12:13" x14ac:dyDescent="0.25">
      <c r="L2356" s="64">
        <v>482190</v>
      </c>
      <c r="M2356" t="s">
        <v>1924</v>
      </c>
    </row>
    <row r="2357" spans="12:13" x14ac:dyDescent="0.25">
      <c r="L2357" s="64">
        <v>482191</v>
      </c>
      <c r="M2357" t="s">
        <v>1924</v>
      </c>
    </row>
    <row r="2358" spans="12:13" x14ac:dyDescent="0.25">
      <c r="L2358" s="64">
        <v>482200</v>
      </c>
      <c r="M2358" t="s">
        <v>1937</v>
      </c>
    </row>
    <row r="2359" spans="12:13" x14ac:dyDescent="0.25">
      <c r="L2359" s="64">
        <v>482210</v>
      </c>
      <c r="M2359" t="s">
        <v>1131</v>
      </c>
    </row>
    <row r="2360" spans="12:13" x14ac:dyDescent="0.25">
      <c r="L2360" s="64">
        <v>482211</v>
      </c>
      <c r="M2360" t="s">
        <v>1131</v>
      </c>
    </row>
    <row r="2361" spans="12:13" x14ac:dyDescent="0.25">
      <c r="L2361" s="64">
        <v>482220</v>
      </c>
      <c r="M2361" t="s">
        <v>1132</v>
      </c>
    </row>
    <row r="2362" spans="12:13" x14ac:dyDescent="0.25">
      <c r="L2362" s="64">
        <v>482221</v>
      </c>
      <c r="M2362" t="s">
        <v>1132</v>
      </c>
    </row>
    <row r="2363" spans="12:13" x14ac:dyDescent="0.25">
      <c r="L2363" s="64">
        <v>482230</v>
      </c>
      <c r="M2363" t="s">
        <v>1133</v>
      </c>
    </row>
    <row r="2364" spans="12:13" x14ac:dyDescent="0.25">
      <c r="L2364" s="64">
        <v>482231</v>
      </c>
      <c r="M2364" t="s">
        <v>1133</v>
      </c>
    </row>
    <row r="2365" spans="12:13" x14ac:dyDescent="0.25">
      <c r="L2365" s="64">
        <v>482240</v>
      </c>
      <c r="M2365" t="s">
        <v>1134</v>
      </c>
    </row>
    <row r="2366" spans="12:13" x14ac:dyDescent="0.25">
      <c r="L2366" s="64">
        <v>482241</v>
      </c>
      <c r="M2366" t="s">
        <v>1134</v>
      </c>
    </row>
    <row r="2367" spans="12:13" x14ac:dyDescent="0.25">
      <c r="L2367" s="64">
        <v>482250</v>
      </c>
      <c r="M2367" t="s">
        <v>1135</v>
      </c>
    </row>
    <row r="2368" spans="12:13" x14ac:dyDescent="0.25">
      <c r="L2368" s="64">
        <v>482251</v>
      </c>
      <c r="M2368" t="s">
        <v>1135</v>
      </c>
    </row>
    <row r="2369" spans="12:13" x14ac:dyDescent="0.25">
      <c r="L2369" s="64">
        <v>482300</v>
      </c>
      <c r="M2369" t="s">
        <v>1938</v>
      </c>
    </row>
    <row r="2370" spans="12:13" x14ac:dyDescent="0.25">
      <c r="L2370" s="64">
        <v>482310</v>
      </c>
      <c r="M2370" t="s">
        <v>1939</v>
      </c>
    </row>
    <row r="2371" spans="12:13" x14ac:dyDescent="0.25">
      <c r="L2371" s="64">
        <v>482311</v>
      </c>
      <c r="M2371" t="s">
        <v>1137</v>
      </c>
    </row>
    <row r="2372" spans="12:13" x14ac:dyDescent="0.25">
      <c r="L2372" s="64">
        <v>482312</v>
      </c>
      <c r="M2372" t="s">
        <v>1940</v>
      </c>
    </row>
    <row r="2373" spans="12:13" x14ac:dyDescent="0.25">
      <c r="L2373" s="64">
        <v>482320</v>
      </c>
      <c r="M2373" t="s">
        <v>1138</v>
      </c>
    </row>
    <row r="2374" spans="12:13" x14ac:dyDescent="0.25">
      <c r="L2374" s="64">
        <v>482321</v>
      </c>
      <c r="M2374" t="s">
        <v>1138</v>
      </c>
    </row>
    <row r="2375" spans="12:13" x14ac:dyDescent="0.25">
      <c r="L2375" s="64">
        <v>482330</v>
      </c>
      <c r="M2375" t="s">
        <v>1139</v>
      </c>
    </row>
    <row r="2376" spans="12:13" x14ac:dyDescent="0.25">
      <c r="L2376" s="64">
        <v>482331</v>
      </c>
      <c r="M2376" t="s">
        <v>1139</v>
      </c>
    </row>
    <row r="2377" spans="12:13" x14ac:dyDescent="0.25">
      <c r="L2377" s="64">
        <v>482340</v>
      </c>
      <c r="M2377" t="s">
        <v>1140</v>
      </c>
    </row>
    <row r="2378" spans="12:13" x14ac:dyDescent="0.25">
      <c r="L2378" s="64">
        <v>482341</v>
      </c>
      <c r="M2378" t="s">
        <v>1140</v>
      </c>
    </row>
    <row r="2379" spans="12:13" x14ac:dyDescent="0.25">
      <c r="L2379" s="64">
        <v>483000</v>
      </c>
      <c r="M2379" t="s">
        <v>1941</v>
      </c>
    </row>
    <row r="2380" spans="12:13" x14ac:dyDescent="0.25">
      <c r="L2380" s="64">
        <v>483100</v>
      </c>
      <c r="M2380" t="s">
        <v>1941</v>
      </c>
    </row>
    <row r="2381" spans="12:13" x14ac:dyDescent="0.25">
      <c r="L2381" s="64">
        <v>483110</v>
      </c>
      <c r="M2381" t="s">
        <v>1941</v>
      </c>
    </row>
    <row r="2382" spans="12:13" x14ac:dyDescent="0.25">
      <c r="L2382" s="64">
        <v>483111</v>
      </c>
      <c r="M2382" t="s">
        <v>1941</v>
      </c>
    </row>
    <row r="2383" spans="12:13" x14ac:dyDescent="0.25">
      <c r="L2383" s="64">
        <v>484000</v>
      </c>
      <c r="M2383" t="s">
        <v>1942</v>
      </c>
    </row>
    <row r="2384" spans="12:13" x14ac:dyDescent="0.25">
      <c r="L2384" s="64">
        <v>484100</v>
      </c>
      <c r="M2384" t="s">
        <v>1943</v>
      </c>
    </row>
    <row r="2385" spans="12:13" x14ac:dyDescent="0.25">
      <c r="L2385" s="64">
        <v>484110</v>
      </c>
      <c r="M2385" t="s">
        <v>1943</v>
      </c>
    </row>
    <row r="2386" spans="12:13" x14ac:dyDescent="0.25">
      <c r="L2386" s="64">
        <v>484111</v>
      </c>
      <c r="M2386" t="s">
        <v>1943</v>
      </c>
    </row>
    <row r="2387" spans="12:13" x14ac:dyDescent="0.25">
      <c r="L2387" s="64">
        <v>484200</v>
      </c>
      <c r="M2387" t="s">
        <v>1944</v>
      </c>
    </row>
    <row r="2388" spans="12:13" x14ac:dyDescent="0.25">
      <c r="L2388" s="64">
        <v>484210</v>
      </c>
      <c r="M2388" t="s">
        <v>1944</v>
      </c>
    </row>
    <row r="2389" spans="12:13" x14ac:dyDescent="0.25">
      <c r="L2389" s="64">
        <v>484211</v>
      </c>
      <c r="M2389" t="s">
        <v>1944</v>
      </c>
    </row>
    <row r="2390" spans="12:13" x14ac:dyDescent="0.25">
      <c r="L2390" s="64">
        <v>485000</v>
      </c>
      <c r="M2390" t="s">
        <v>1945</v>
      </c>
    </row>
    <row r="2391" spans="12:13" x14ac:dyDescent="0.25">
      <c r="L2391" s="64">
        <v>485100</v>
      </c>
      <c r="M2391" t="s">
        <v>1945</v>
      </c>
    </row>
    <row r="2392" spans="12:13" x14ac:dyDescent="0.25">
      <c r="L2392" s="64">
        <v>485110</v>
      </c>
      <c r="M2392" t="s">
        <v>1945</v>
      </c>
    </row>
    <row r="2393" spans="12:13" x14ac:dyDescent="0.25">
      <c r="L2393" s="64">
        <v>485111</v>
      </c>
      <c r="M2393" t="s">
        <v>1946</v>
      </c>
    </row>
    <row r="2394" spans="12:13" x14ac:dyDescent="0.25">
      <c r="L2394" s="64">
        <v>485119</v>
      </c>
      <c r="M2394" t="s">
        <v>1947</v>
      </c>
    </row>
    <row r="2395" spans="12:13" x14ac:dyDescent="0.25">
      <c r="L2395" s="64">
        <v>489000</v>
      </c>
      <c r="M2395" t="s">
        <v>1948</v>
      </c>
    </row>
    <row r="2396" spans="12:13" x14ac:dyDescent="0.25">
      <c r="L2396" s="64">
        <v>489100</v>
      </c>
      <c r="M2396" t="s">
        <v>1948</v>
      </c>
    </row>
    <row r="2397" spans="12:13" x14ac:dyDescent="0.25">
      <c r="L2397" s="64">
        <v>489110</v>
      </c>
      <c r="M2397" t="s">
        <v>1948</v>
      </c>
    </row>
    <row r="2398" spans="12:13" x14ac:dyDescent="0.25">
      <c r="L2398" s="64">
        <v>489111</v>
      </c>
      <c r="M2398" t="s">
        <v>1948</v>
      </c>
    </row>
    <row r="2399" spans="12:13" x14ac:dyDescent="0.25">
      <c r="L2399" s="64">
        <v>490000</v>
      </c>
      <c r="M2399" t="s">
        <v>1949</v>
      </c>
    </row>
    <row r="2400" spans="12:13" x14ac:dyDescent="0.25">
      <c r="L2400" s="64">
        <v>494000</v>
      </c>
      <c r="M2400" t="s">
        <v>1267</v>
      </c>
    </row>
    <row r="2401" spans="12:13" x14ac:dyDescent="0.25">
      <c r="L2401" s="64">
        <v>494100</v>
      </c>
      <c r="M2401" t="s">
        <v>1268</v>
      </c>
    </row>
    <row r="2402" spans="12:13" x14ac:dyDescent="0.25">
      <c r="L2402" s="64">
        <v>494110</v>
      </c>
      <c r="M2402" t="s">
        <v>1270</v>
      </c>
    </row>
    <row r="2403" spans="12:13" x14ac:dyDescent="0.25">
      <c r="L2403" s="64">
        <v>494111</v>
      </c>
      <c r="M2403" t="s">
        <v>1270</v>
      </c>
    </row>
    <row r="2404" spans="12:13" x14ac:dyDescent="0.25">
      <c r="L2404" s="64">
        <v>494120</v>
      </c>
      <c r="M2404" t="s">
        <v>1289</v>
      </c>
    </row>
    <row r="2405" spans="12:13" x14ac:dyDescent="0.25">
      <c r="L2405" s="64">
        <v>494121</v>
      </c>
      <c r="M2405" t="s">
        <v>1290</v>
      </c>
    </row>
    <row r="2406" spans="12:13" x14ac:dyDescent="0.25">
      <c r="L2406" s="64">
        <v>494122</v>
      </c>
      <c r="M2406" t="s">
        <v>1293</v>
      </c>
    </row>
    <row r="2407" spans="12:13" x14ac:dyDescent="0.25">
      <c r="L2407" s="64">
        <v>494123</v>
      </c>
      <c r="M2407" t="s">
        <v>1950</v>
      </c>
    </row>
    <row r="2408" spans="12:13" x14ac:dyDescent="0.25">
      <c r="L2408" s="64">
        <v>494130</v>
      </c>
      <c r="M2408" t="s">
        <v>1296</v>
      </c>
    </row>
    <row r="2409" spans="12:13" x14ac:dyDescent="0.25">
      <c r="L2409" s="64">
        <v>494131</v>
      </c>
      <c r="M2409" t="s">
        <v>1296</v>
      </c>
    </row>
    <row r="2410" spans="12:13" x14ac:dyDescent="0.25">
      <c r="L2410" s="64">
        <v>494140</v>
      </c>
      <c r="M2410" t="s">
        <v>1311</v>
      </c>
    </row>
    <row r="2411" spans="12:13" x14ac:dyDescent="0.25">
      <c r="L2411" s="64">
        <v>494141</v>
      </c>
      <c r="M2411" t="s">
        <v>1951</v>
      </c>
    </row>
    <row r="2412" spans="12:13" x14ac:dyDescent="0.25">
      <c r="L2412" s="64">
        <v>494142</v>
      </c>
      <c r="M2412" t="s">
        <v>1316</v>
      </c>
    </row>
    <row r="2413" spans="12:13" x14ac:dyDescent="0.25">
      <c r="L2413" s="64">
        <v>494143</v>
      </c>
      <c r="M2413" t="s">
        <v>1317</v>
      </c>
    </row>
    <row r="2414" spans="12:13" x14ac:dyDescent="0.25">
      <c r="L2414" s="64">
        <v>494144</v>
      </c>
      <c r="M2414" t="s">
        <v>1321</v>
      </c>
    </row>
    <row r="2415" spans="12:13" x14ac:dyDescent="0.25">
      <c r="L2415" s="64">
        <v>494150</v>
      </c>
      <c r="M2415" t="s">
        <v>1325</v>
      </c>
    </row>
    <row r="2416" spans="12:13" x14ac:dyDescent="0.25">
      <c r="L2416" s="64">
        <v>494151</v>
      </c>
      <c r="M2416" t="s">
        <v>1325</v>
      </c>
    </row>
    <row r="2417" spans="12:13" x14ac:dyDescent="0.25">
      <c r="L2417" s="64">
        <v>494160</v>
      </c>
      <c r="M2417" t="s">
        <v>1331</v>
      </c>
    </row>
    <row r="2418" spans="12:13" x14ac:dyDescent="0.25">
      <c r="L2418" s="64">
        <v>494161</v>
      </c>
      <c r="M2418" t="s">
        <v>1331</v>
      </c>
    </row>
    <row r="2419" spans="12:13" x14ac:dyDescent="0.25">
      <c r="L2419" s="64">
        <v>494170</v>
      </c>
      <c r="M2419" t="s">
        <v>1341</v>
      </c>
    </row>
    <row r="2420" spans="12:13" x14ac:dyDescent="0.25">
      <c r="L2420" s="64">
        <v>494171</v>
      </c>
      <c r="M2420" t="s">
        <v>1341</v>
      </c>
    </row>
    <row r="2421" spans="12:13" x14ac:dyDescent="0.25">
      <c r="L2421" s="64">
        <v>494180</v>
      </c>
      <c r="M2421" t="s">
        <v>1342</v>
      </c>
    </row>
    <row r="2422" spans="12:13" x14ac:dyDescent="0.25">
      <c r="L2422" s="64">
        <v>494181</v>
      </c>
      <c r="M2422" t="s">
        <v>1342</v>
      </c>
    </row>
    <row r="2423" spans="12:13" x14ac:dyDescent="0.25">
      <c r="L2423" s="64">
        <v>494200</v>
      </c>
      <c r="M2423" t="s">
        <v>1343</v>
      </c>
    </row>
    <row r="2424" spans="12:13" x14ac:dyDescent="0.25">
      <c r="L2424" s="64">
        <v>494210</v>
      </c>
      <c r="M2424" t="s">
        <v>1344</v>
      </c>
    </row>
    <row r="2425" spans="12:13" x14ac:dyDescent="0.25">
      <c r="L2425" s="64">
        <v>494211</v>
      </c>
      <c r="M2425" t="s">
        <v>1345</v>
      </c>
    </row>
    <row r="2426" spans="12:13" x14ac:dyDescent="0.25">
      <c r="L2426" s="64">
        <v>494212</v>
      </c>
      <c r="M2426" t="s">
        <v>1348</v>
      </c>
    </row>
    <row r="2427" spans="12:13" x14ac:dyDescent="0.25">
      <c r="L2427" s="64">
        <v>494213</v>
      </c>
      <c r="M2427" t="s">
        <v>1356</v>
      </c>
    </row>
    <row r="2428" spans="12:13" x14ac:dyDescent="0.25">
      <c r="L2428" s="64">
        <v>494214</v>
      </c>
      <c r="M2428" t="s">
        <v>1367</v>
      </c>
    </row>
    <row r="2429" spans="12:13" x14ac:dyDescent="0.25">
      <c r="L2429" s="64">
        <v>494215</v>
      </c>
      <c r="M2429" t="s">
        <v>1378</v>
      </c>
    </row>
    <row r="2430" spans="12:13" x14ac:dyDescent="0.25">
      <c r="L2430" s="64">
        <v>494216</v>
      </c>
      <c r="M2430" t="s">
        <v>1388</v>
      </c>
    </row>
    <row r="2431" spans="12:13" x14ac:dyDescent="0.25">
      <c r="L2431" s="64">
        <v>494219</v>
      </c>
      <c r="M2431" t="s">
        <v>1403</v>
      </c>
    </row>
    <row r="2432" spans="12:13" x14ac:dyDescent="0.25">
      <c r="L2432" s="64">
        <v>494220</v>
      </c>
      <c r="M2432" t="s">
        <v>1406</v>
      </c>
    </row>
    <row r="2433" spans="12:13" x14ac:dyDescent="0.25">
      <c r="L2433" s="64">
        <v>494221</v>
      </c>
      <c r="M2433" t="s">
        <v>1407</v>
      </c>
    </row>
    <row r="2434" spans="12:13" x14ac:dyDescent="0.25">
      <c r="L2434" s="64">
        <v>494222</v>
      </c>
      <c r="M2434" t="s">
        <v>1417</v>
      </c>
    </row>
    <row r="2435" spans="12:13" x14ac:dyDescent="0.25">
      <c r="L2435" s="64">
        <v>494223</v>
      </c>
      <c r="M2435" t="s">
        <v>1423</v>
      </c>
    </row>
    <row r="2436" spans="12:13" x14ac:dyDescent="0.25">
      <c r="L2436" s="64">
        <v>494224</v>
      </c>
      <c r="M2436" t="s">
        <v>1432</v>
      </c>
    </row>
    <row r="2437" spans="12:13" x14ac:dyDescent="0.25">
      <c r="L2437" s="64">
        <v>494229</v>
      </c>
      <c r="M2437" t="s">
        <v>1435</v>
      </c>
    </row>
    <row r="2438" spans="12:13" x14ac:dyDescent="0.25">
      <c r="L2438" s="64">
        <v>494230</v>
      </c>
      <c r="M2438" t="s">
        <v>1437</v>
      </c>
    </row>
    <row r="2439" spans="12:13" x14ac:dyDescent="0.25">
      <c r="L2439" s="64">
        <v>494231</v>
      </c>
      <c r="M2439" t="s">
        <v>1438</v>
      </c>
    </row>
    <row r="2440" spans="12:13" x14ac:dyDescent="0.25">
      <c r="L2440" s="64">
        <v>494232</v>
      </c>
      <c r="M2440" t="s">
        <v>1443</v>
      </c>
    </row>
    <row r="2441" spans="12:13" x14ac:dyDescent="0.25">
      <c r="L2441" s="64">
        <v>494233</v>
      </c>
      <c r="M2441" t="s">
        <v>1449</v>
      </c>
    </row>
    <row r="2442" spans="12:13" x14ac:dyDescent="0.25">
      <c r="L2442" s="64">
        <v>494234</v>
      </c>
      <c r="M2442" t="s">
        <v>1457</v>
      </c>
    </row>
    <row r="2443" spans="12:13" x14ac:dyDescent="0.25">
      <c r="L2443" s="64">
        <v>494235</v>
      </c>
      <c r="M2443" t="s">
        <v>1472</v>
      </c>
    </row>
    <row r="2444" spans="12:13" x14ac:dyDescent="0.25">
      <c r="L2444" s="64">
        <v>494236</v>
      </c>
      <c r="M2444" t="s">
        <v>1485</v>
      </c>
    </row>
    <row r="2445" spans="12:13" x14ac:dyDescent="0.25">
      <c r="L2445" s="64">
        <v>494237</v>
      </c>
      <c r="M2445" t="s">
        <v>1490</v>
      </c>
    </row>
    <row r="2446" spans="12:13" x14ac:dyDescent="0.25">
      <c r="L2446" s="64">
        <v>494239</v>
      </c>
      <c r="M2446" t="s">
        <v>1492</v>
      </c>
    </row>
    <row r="2447" spans="12:13" x14ac:dyDescent="0.25">
      <c r="L2447" s="64">
        <v>494240</v>
      </c>
      <c r="M2447" t="s">
        <v>1493</v>
      </c>
    </row>
    <row r="2448" spans="12:13" x14ac:dyDescent="0.25">
      <c r="L2448" s="64">
        <v>494241</v>
      </c>
      <c r="M2448" t="s">
        <v>1494</v>
      </c>
    </row>
    <row r="2449" spans="12:13" x14ac:dyDescent="0.25">
      <c r="L2449" s="64">
        <v>494242</v>
      </c>
      <c r="M2449" t="s">
        <v>1500</v>
      </c>
    </row>
    <row r="2450" spans="12:13" x14ac:dyDescent="0.25">
      <c r="L2450" s="64">
        <v>494243</v>
      </c>
      <c r="M2450" t="s">
        <v>1506</v>
      </c>
    </row>
    <row r="2451" spans="12:13" x14ac:dyDescent="0.25">
      <c r="L2451" s="64">
        <v>494244</v>
      </c>
      <c r="M2451" t="s">
        <v>1512</v>
      </c>
    </row>
    <row r="2452" spans="12:13" x14ac:dyDescent="0.25">
      <c r="L2452" s="64">
        <v>494245</v>
      </c>
      <c r="M2452" t="s">
        <v>1513</v>
      </c>
    </row>
    <row r="2453" spans="12:13" x14ac:dyDescent="0.25">
      <c r="L2453" s="64">
        <v>494246</v>
      </c>
      <c r="M2453" t="s">
        <v>1514</v>
      </c>
    </row>
    <row r="2454" spans="12:13" x14ac:dyDescent="0.25">
      <c r="L2454" s="64">
        <v>494249</v>
      </c>
      <c r="M2454" t="s">
        <v>1518</v>
      </c>
    </row>
    <row r="2455" spans="12:13" x14ac:dyDescent="0.25">
      <c r="L2455" s="64">
        <v>494250</v>
      </c>
      <c r="M2455" t="s">
        <v>1519</v>
      </c>
    </row>
    <row r="2456" spans="12:13" x14ac:dyDescent="0.25">
      <c r="L2456" s="64">
        <v>494251</v>
      </c>
      <c r="M2456" t="s">
        <v>1520</v>
      </c>
    </row>
    <row r="2457" spans="12:13" x14ac:dyDescent="0.25">
      <c r="L2457" s="64">
        <v>494252</v>
      </c>
      <c r="M2457" t="s">
        <v>1531</v>
      </c>
    </row>
    <row r="2458" spans="12:13" x14ac:dyDescent="0.25">
      <c r="L2458" s="64">
        <v>494260</v>
      </c>
      <c r="M2458" t="s">
        <v>1558</v>
      </c>
    </row>
    <row r="2459" spans="12:13" x14ac:dyDescent="0.25">
      <c r="L2459" s="64">
        <v>494261</v>
      </c>
      <c r="M2459" t="s">
        <v>1559</v>
      </c>
    </row>
    <row r="2460" spans="12:13" x14ac:dyDescent="0.25">
      <c r="L2460" s="64">
        <v>494262</v>
      </c>
      <c r="M2460" t="s">
        <v>1952</v>
      </c>
    </row>
    <row r="2461" spans="12:13" x14ac:dyDescent="0.25">
      <c r="L2461" s="64">
        <v>494263</v>
      </c>
      <c r="M2461" t="s">
        <v>1953</v>
      </c>
    </row>
    <row r="2462" spans="12:13" x14ac:dyDescent="0.25">
      <c r="L2462" s="64">
        <v>494264</v>
      </c>
      <c r="M2462" t="s">
        <v>1954</v>
      </c>
    </row>
    <row r="2463" spans="12:13" x14ac:dyDescent="0.25">
      <c r="L2463" s="64">
        <v>494265</v>
      </c>
      <c r="M2463" t="s">
        <v>1955</v>
      </c>
    </row>
    <row r="2464" spans="12:13" x14ac:dyDescent="0.25">
      <c r="L2464" s="64">
        <v>494266</v>
      </c>
      <c r="M2464" t="s">
        <v>1956</v>
      </c>
    </row>
    <row r="2465" spans="12:13" x14ac:dyDescent="0.25">
      <c r="L2465" s="64">
        <v>494267</v>
      </c>
      <c r="M2465" t="s">
        <v>1598</v>
      </c>
    </row>
    <row r="2466" spans="12:13" x14ac:dyDescent="0.25">
      <c r="L2466" s="64">
        <v>494268</v>
      </c>
      <c r="M2466" t="s">
        <v>1957</v>
      </c>
    </row>
    <row r="2467" spans="12:13" x14ac:dyDescent="0.25">
      <c r="L2467" s="64">
        <v>494269</v>
      </c>
      <c r="M2467" t="s">
        <v>1958</v>
      </c>
    </row>
    <row r="2468" spans="12:13" x14ac:dyDescent="0.25">
      <c r="L2468" s="64">
        <v>494300</v>
      </c>
      <c r="M2468" t="s">
        <v>1622</v>
      </c>
    </row>
    <row r="2469" spans="12:13" x14ac:dyDescent="0.25">
      <c r="L2469" s="64">
        <v>494310</v>
      </c>
      <c r="M2469" t="s">
        <v>1623</v>
      </c>
    </row>
    <row r="2470" spans="12:13" x14ac:dyDescent="0.25">
      <c r="L2470" s="64">
        <v>494311</v>
      </c>
      <c r="M2470" t="s">
        <v>1624</v>
      </c>
    </row>
    <row r="2471" spans="12:13" x14ac:dyDescent="0.25">
      <c r="L2471" s="64">
        <v>494312</v>
      </c>
      <c r="M2471" t="s">
        <v>1625</v>
      </c>
    </row>
    <row r="2472" spans="12:13" x14ac:dyDescent="0.25">
      <c r="L2472" s="64">
        <v>494313</v>
      </c>
      <c r="M2472" t="s">
        <v>1626</v>
      </c>
    </row>
    <row r="2473" spans="12:13" x14ac:dyDescent="0.25">
      <c r="L2473" s="64">
        <v>494320</v>
      </c>
      <c r="M2473" t="s">
        <v>1627</v>
      </c>
    </row>
    <row r="2474" spans="12:13" x14ac:dyDescent="0.25">
      <c r="L2474" s="64">
        <v>494321</v>
      </c>
      <c r="M2474" t="s">
        <v>1627</v>
      </c>
    </row>
    <row r="2475" spans="12:13" x14ac:dyDescent="0.25">
      <c r="L2475" s="64">
        <v>494330</v>
      </c>
      <c r="M2475" t="s">
        <v>1629</v>
      </c>
    </row>
    <row r="2476" spans="12:13" x14ac:dyDescent="0.25">
      <c r="L2476" s="64">
        <v>494331</v>
      </c>
      <c r="M2476" t="s">
        <v>1630</v>
      </c>
    </row>
    <row r="2477" spans="12:13" x14ac:dyDescent="0.25">
      <c r="L2477" s="64">
        <v>494340</v>
      </c>
      <c r="M2477" t="s">
        <v>1631</v>
      </c>
    </row>
    <row r="2478" spans="12:13" x14ac:dyDescent="0.25">
      <c r="L2478" s="64">
        <v>494341</v>
      </c>
      <c r="M2478" t="s">
        <v>1632</v>
      </c>
    </row>
    <row r="2479" spans="12:13" x14ac:dyDescent="0.25">
      <c r="L2479" s="64">
        <v>494342</v>
      </c>
      <c r="M2479" t="s">
        <v>1633</v>
      </c>
    </row>
    <row r="2480" spans="12:13" x14ac:dyDescent="0.25">
      <c r="L2480" s="64">
        <v>494343</v>
      </c>
      <c r="M2480" t="s">
        <v>1634</v>
      </c>
    </row>
    <row r="2481" spans="12:13" x14ac:dyDescent="0.25">
      <c r="L2481" s="64">
        <v>494350</v>
      </c>
      <c r="M2481" t="s">
        <v>1637</v>
      </c>
    </row>
    <row r="2482" spans="12:13" x14ac:dyDescent="0.25">
      <c r="L2482" s="64">
        <v>494351</v>
      </c>
      <c r="M2482" t="s">
        <v>1637</v>
      </c>
    </row>
    <row r="2483" spans="12:13" x14ac:dyDescent="0.25">
      <c r="L2483" s="64">
        <v>494400</v>
      </c>
      <c r="M2483" t="s">
        <v>1638</v>
      </c>
    </row>
    <row r="2484" spans="12:13" x14ac:dyDescent="0.25">
      <c r="L2484" s="64">
        <v>494410</v>
      </c>
      <c r="M2484" t="s">
        <v>1959</v>
      </c>
    </row>
    <row r="2485" spans="12:13" x14ac:dyDescent="0.25">
      <c r="L2485" s="64">
        <v>494411</v>
      </c>
      <c r="M2485" t="s">
        <v>1640</v>
      </c>
    </row>
    <row r="2486" spans="12:13" x14ac:dyDescent="0.25">
      <c r="L2486" s="64">
        <v>494412</v>
      </c>
      <c r="M2486" t="s">
        <v>1643</v>
      </c>
    </row>
    <row r="2487" spans="12:13" x14ac:dyDescent="0.25">
      <c r="L2487" s="64">
        <v>494413</v>
      </c>
      <c r="M2487" t="s">
        <v>1652</v>
      </c>
    </row>
    <row r="2488" spans="12:13" x14ac:dyDescent="0.25">
      <c r="L2488" s="64">
        <v>494414</v>
      </c>
      <c r="M2488" t="s">
        <v>1960</v>
      </c>
    </row>
    <row r="2489" spans="12:13" x14ac:dyDescent="0.25">
      <c r="L2489" s="64">
        <v>494415</v>
      </c>
      <c r="M2489" t="s">
        <v>1961</v>
      </c>
    </row>
    <row r="2490" spans="12:13" x14ac:dyDescent="0.25">
      <c r="L2490" s="64">
        <v>494416</v>
      </c>
      <c r="M2490" t="s">
        <v>1962</v>
      </c>
    </row>
    <row r="2491" spans="12:13" x14ac:dyDescent="0.25">
      <c r="L2491" s="64">
        <v>494417</v>
      </c>
      <c r="M2491" t="s">
        <v>1658</v>
      </c>
    </row>
    <row r="2492" spans="12:13" x14ac:dyDescent="0.25">
      <c r="L2492" s="64">
        <v>494418</v>
      </c>
      <c r="M2492" t="s">
        <v>1963</v>
      </c>
    </row>
    <row r="2493" spans="12:13" x14ac:dyDescent="0.25">
      <c r="L2493" s="64">
        <v>494420</v>
      </c>
      <c r="M2493" t="s">
        <v>1662</v>
      </c>
    </row>
    <row r="2494" spans="12:13" x14ac:dyDescent="0.25">
      <c r="L2494" s="64">
        <v>494421</v>
      </c>
      <c r="M2494" t="s">
        <v>1663</v>
      </c>
    </row>
    <row r="2495" spans="12:13" x14ac:dyDescent="0.25">
      <c r="L2495" s="64">
        <v>494422</v>
      </c>
      <c r="M2495" t="s">
        <v>1667</v>
      </c>
    </row>
    <row r="2496" spans="12:13" x14ac:dyDescent="0.25">
      <c r="L2496" s="64">
        <v>494423</v>
      </c>
      <c r="M2496" t="s">
        <v>1671</v>
      </c>
    </row>
    <row r="2497" spans="12:13" x14ac:dyDescent="0.25">
      <c r="L2497" s="64">
        <v>494424</v>
      </c>
      <c r="M2497" t="s">
        <v>1678</v>
      </c>
    </row>
    <row r="2498" spans="12:13" x14ac:dyDescent="0.25">
      <c r="L2498" s="64">
        <v>494425</v>
      </c>
      <c r="M2498" t="s">
        <v>1681</v>
      </c>
    </row>
    <row r="2499" spans="12:13" x14ac:dyDescent="0.25">
      <c r="L2499" s="64">
        <v>494426</v>
      </c>
      <c r="M2499" t="s">
        <v>1682</v>
      </c>
    </row>
    <row r="2500" spans="12:13" x14ac:dyDescent="0.25">
      <c r="L2500" s="64">
        <v>494430</v>
      </c>
      <c r="M2500" t="s">
        <v>1683</v>
      </c>
    </row>
    <row r="2501" spans="12:13" x14ac:dyDescent="0.25">
      <c r="L2501" s="64">
        <v>494431</v>
      </c>
      <c r="M2501" t="s">
        <v>1683</v>
      </c>
    </row>
    <row r="2502" spans="12:13" x14ac:dyDescent="0.25">
      <c r="L2502" s="64">
        <v>494440</v>
      </c>
      <c r="M2502" t="s">
        <v>1684</v>
      </c>
    </row>
    <row r="2503" spans="12:13" x14ac:dyDescent="0.25">
      <c r="L2503" s="64">
        <v>494441</v>
      </c>
      <c r="M2503" t="s">
        <v>1685</v>
      </c>
    </row>
    <row r="2504" spans="12:13" x14ac:dyDescent="0.25">
      <c r="L2504" s="64">
        <v>494442</v>
      </c>
      <c r="M2504" t="s">
        <v>1686</v>
      </c>
    </row>
    <row r="2505" spans="12:13" x14ac:dyDescent="0.25">
      <c r="L2505" s="64">
        <v>494443</v>
      </c>
      <c r="M2505" t="s">
        <v>1689</v>
      </c>
    </row>
    <row r="2506" spans="12:13" x14ac:dyDescent="0.25">
      <c r="L2506" s="64">
        <v>494500</v>
      </c>
      <c r="M2506" t="s">
        <v>1690</v>
      </c>
    </row>
    <row r="2507" spans="12:13" x14ac:dyDescent="0.25">
      <c r="L2507" s="64">
        <v>494510</v>
      </c>
      <c r="M2507" t="s">
        <v>1691</v>
      </c>
    </row>
    <row r="2508" spans="12:13" x14ac:dyDescent="0.25">
      <c r="L2508" s="64">
        <v>494511</v>
      </c>
      <c r="M2508" t="s">
        <v>1692</v>
      </c>
    </row>
    <row r="2509" spans="12:13" x14ac:dyDescent="0.25">
      <c r="L2509" s="64">
        <v>494512</v>
      </c>
      <c r="M2509" t="s">
        <v>1701</v>
      </c>
    </row>
    <row r="2510" spans="12:13" x14ac:dyDescent="0.25">
      <c r="L2510" s="64">
        <v>494520</v>
      </c>
      <c r="M2510" t="s">
        <v>1708</v>
      </c>
    </row>
    <row r="2511" spans="12:13" x14ac:dyDescent="0.25">
      <c r="L2511" s="64">
        <v>494521</v>
      </c>
      <c r="M2511" t="s">
        <v>1709</v>
      </c>
    </row>
    <row r="2512" spans="12:13" x14ac:dyDescent="0.25">
      <c r="L2512" s="64">
        <v>494522</v>
      </c>
      <c r="M2512" t="s">
        <v>1712</v>
      </c>
    </row>
    <row r="2513" spans="12:13" x14ac:dyDescent="0.25">
      <c r="L2513" s="64">
        <v>494530</v>
      </c>
      <c r="M2513" t="s">
        <v>1715</v>
      </c>
    </row>
    <row r="2514" spans="12:13" x14ac:dyDescent="0.25">
      <c r="L2514" s="64">
        <v>494531</v>
      </c>
      <c r="M2514" t="s">
        <v>1716</v>
      </c>
    </row>
    <row r="2515" spans="12:13" x14ac:dyDescent="0.25">
      <c r="L2515" s="64">
        <v>494532</v>
      </c>
      <c r="M2515" t="s">
        <v>1720</v>
      </c>
    </row>
    <row r="2516" spans="12:13" x14ac:dyDescent="0.25">
      <c r="L2516" s="64">
        <v>494540</v>
      </c>
      <c r="M2516" t="s">
        <v>1723</v>
      </c>
    </row>
    <row r="2517" spans="12:13" x14ac:dyDescent="0.25">
      <c r="L2517" s="64">
        <v>494541</v>
      </c>
      <c r="M2517" t="s">
        <v>1724</v>
      </c>
    </row>
    <row r="2518" spans="12:13" x14ac:dyDescent="0.25">
      <c r="L2518" s="64">
        <v>494542</v>
      </c>
      <c r="M2518" t="s">
        <v>1725</v>
      </c>
    </row>
    <row r="2519" spans="12:13" x14ac:dyDescent="0.25">
      <c r="L2519" s="64">
        <v>494700</v>
      </c>
      <c r="M2519" t="s">
        <v>1964</v>
      </c>
    </row>
    <row r="2520" spans="12:13" x14ac:dyDescent="0.25">
      <c r="L2520" s="64">
        <v>494710</v>
      </c>
      <c r="M2520" t="s">
        <v>1781</v>
      </c>
    </row>
    <row r="2521" spans="12:13" x14ac:dyDescent="0.25">
      <c r="L2521" s="64">
        <v>494711</v>
      </c>
      <c r="M2521" t="s">
        <v>1782</v>
      </c>
    </row>
    <row r="2522" spans="12:13" x14ac:dyDescent="0.25">
      <c r="L2522" s="64">
        <v>494712</v>
      </c>
      <c r="M2522" t="s">
        <v>1817</v>
      </c>
    </row>
    <row r="2523" spans="12:13" x14ac:dyDescent="0.25">
      <c r="L2523" s="64">
        <v>494719</v>
      </c>
      <c r="M2523" t="s">
        <v>1850</v>
      </c>
    </row>
    <row r="2524" spans="12:13" x14ac:dyDescent="0.25">
      <c r="L2524" s="64">
        <v>494720</v>
      </c>
      <c r="M2524" t="s">
        <v>1866</v>
      </c>
    </row>
    <row r="2525" spans="12:13" x14ac:dyDescent="0.25">
      <c r="L2525" s="64">
        <v>494721</v>
      </c>
      <c r="M2525" t="s">
        <v>1867</v>
      </c>
    </row>
    <row r="2526" spans="12:13" x14ac:dyDescent="0.25">
      <c r="L2526" s="64">
        <v>494722</v>
      </c>
      <c r="M2526" t="s">
        <v>1873</v>
      </c>
    </row>
    <row r="2527" spans="12:13" x14ac:dyDescent="0.25">
      <c r="L2527" s="64">
        <v>494723</v>
      </c>
      <c r="M2527" t="s">
        <v>1874</v>
      </c>
    </row>
    <row r="2528" spans="12:13" x14ac:dyDescent="0.25">
      <c r="L2528" s="64">
        <v>494724</v>
      </c>
      <c r="M2528" t="s">
        <v>1965</v>
      </c>
    </row>
    <row r="2529" spans="12:13" x14ac:dyDescent="0.25">
      <c r="L2529" s="64">
        <v>494725</v>
      </c>
      <c r="M2529" t="s">
        <v>1876</v>
      </c>
    </row>
    <row r="2530" spans="12:13" x14ac:dyDescent="0.25">
      <c r="L2530" s="64">
        <v>494726</v>
      </c>
      <c r="M2530" t="s">
        <v>1879</v>
      </c>
    </row>
    <row r="2531" spans="12:13" x14ac:dyDescent="0.25">
      <c r="L2531" s="64">
        <v>494727</v>
      </c>
      <c r="M2531" t="s">
        <v>1880</v>
      </c>
    </row>
    <row r="2532" spans="12:13" x14ac:dyDescent="0.25">
      <c r="L2532" s="64">
        <v>494728</v>
      </c>
      <c r="M2532" t="s">
        <v>1896</v>
      </c>
    </row>
    <row r="2533" spans="12:13" x14ac:dyDescent="0.25">
      <c r="L2533" s="64">
        <v>494729</v>
      </c>
      <c r="M2533" t="s">
        <v>1966</v>
      </c>
    </row>
    <row r="2534" spans="12:13" x14ac:dyDescent="0.25">
      <c r="L2534" s="64">
        <v>494800</v>
      </c>
      <c r="M2534" t="s">
        <v>1902</v>
      </c>
    </row>
    <row r="2535" spans="12:13" x14ac:dyDescent="0.25">
      <c r="L2535" s="64">
        <v>494810</v>
      </c>
      <c r="M2535" t="s">
        <v>1903</v>
      </c>
    </row>
    <row r="2536" spans="12:13" x14ac:dyDescent="0.25">
      <c r="L2536" s="64">
        <v>494811</v>
      </c>
      <c r="M2536" t="s">
        <v>1904</v>
      </c>
    </row>
    <row r="2537" spans="12:13" x14ac:dyDescent="0.25">
      <c r="L2537" s="64">
        <v>494819</v>
      </c>
      <c r="M2537" t="s">
        <v>1911</v>
      </c>
    </row>
    <row r="2538" spans="12:13" x14ac:dyDescent="0.25">
      <c r="L2538" s="64">
        <v>494820</v>
      </c>
      <c r="M2538" t="s">
        <v>1967</v>
      </c>
    </row>
    <row r="2539" spans="12:13" x14ac:dyDescent="0.25">
      <c r="L2539" s="64">
        <v>494821</v>
      </c>
      <c r="M2539" t="s">
        <v>1924</v>
      </c>
    </row>
    <row r="2540" spans="12:13" x14ac:dyDescent="0.25">
      <c r="L2540" s="64">
        <v>494822</v>
      </c>
      <c r="M2540" t="s">
        <v>1937</v>
      </c>
    </row>
    <row r="2541" spans="12:13" x14ac:dyDescent="0.25">
      <c r="L2541" s="64">
        <v>494823</v>
      </c>
      <c r="M2541" t="s">
        <v>1938</v>
      </c>
    </row>
    <row r="2542" spans="12:13" x14ac:dyDescent="0.25">
      <c r="L2542" s="64">
        <v>494830</v>
      </c>
      <c r="M2542" t="s">
        <v>1941</v>
      </c>
    </row>
    <row r="2543" spans="12:13" x14ac:dyDescent="0.25">
      <c r="L2543" s="64">
        <v>494831</v>
      </c>
      <c r="M2543" t="s">
        <v>1941</v>
      </c>
    </row>
    <row r="2544" spans="12:13" x14ac:dyDescent="0.25">
      <c r="L2544" s="64">
        <v>494840</v>
      </c>
      <c r="M2544" t="s">
        <v>1942</v>
      </c>
    </row>
    <row r="2545" spans="12:13" x14ac:dyDescent="0.25">
      <c r="L2545" s="64">
        <v>494841</v>
      </c>
      <c r="M2545" t="s">
        <v>1943</v>
      </c>
    </row>
    <row r="2546" spans="12:13" x14ac:dyDescent="0.25">
      <c r="L2546" s="64">
        <v>494842</v>
      </c>
      <c r="M2546" t="s">
        <v>1944</v>
      </c>
    </row>
    <row r="2547" spans="12:13" x14ac:dyDescent="0.25">
      <c r="L2547" s="64">
        <v>494850</v>
      </c>
      <c r="M2547" t="s">
        <v>1945</v>
      </c>
    </row>
    <row r="2548" spans="12:13" x14ac:dyDescent="0.25">
      <c r="L2548" s="64">
        <v>494851</v>
      </c>
      <c r="M2548" t="s">
        <v>1945</v>
      </c>
    </row>
    <row r="2549" spans="12:13" x14ac:dyDescent="0.25">
      <c r="L2549" s="64">
        <v>495000</v>
      </c>
      <c r="M2549" t="s">
        <v>1968</v>
      </c>
    </row>
    <row r="2550" spans="12:13" x14ac:dyDescent="0.25">
      <c r="L2550" s="64">
        <v>495100</v>
      </c>
      <c r="M2550" t="s">
        <v>1202</v>
      </c>
    </row>
    <row r="2551" spans="12:13" x14ac:dyDescent="0.25">
      <c r="L2551" s="64">
        <v>495110</v>
      </c>
      <c r="M2551" t="s">
        <v>270</v>
      </c>
    </row>
    <row r="2552" spans="12:13" x14ac:dyDescent="0.25">
      <c r="L2552" s="64">
        <v>495111</v>
      </c>
      <c r="M2552" t="s">
        <v>1969</v>
      </c>
    </row>
    <row r="2553" spans="12:13" x14ac:dyDescent="0.25">
      <c r="L2553" s="64">
        <v>495112</v>
      </c>
      <c r="M2553" t="s">
        <v>1970</v>
      </c>
    </row>
    <row r="2554" spans="12:13" x14ac:dyDescent="0.25">
      <c r="L2554" s="64">
        <v>495113</v>
      </c>
      <c r="M2554" t="s">
        <v>1971</v>
      </c>
    </row>
    <row r="2555" spans="12:13" x14ac:dyDescent="0.25">
      <c r="L2555" s="64">
        <v>495114</v>
      </c>
      <c r="M2555" t="s">
        <v>1972</v>
      </c>
    </row>
    <row r="2556" spans="12:13" x14ac:dyDescent="0.25">
      <c r="L2556" s="64">
        <v>495120</v>
      </c>
      <c r="M2556" t="s">
        <v>1973</v>
      </c>
    </row>
    <row r="2557" spans="12:13" x14ac:dyDescent="0.25">
      <c r="L2557" s="64">
        <v>495121</v>
      </c>
      <c r="M2557" t="s">
        <v>327</v>
      </c>
    </row>
    <row r="2558" spans="12:13" x14ac:dyDescent="0.25">
      <c r="L2558" s="64">
        <v>495122</v>
      </c>
      <c r="M2558" t="s">
        <v>336</v>
      </c>
    </row>
    <row r="2559" spans="12:13" x14ac:dyDescent="0.25">
      <c r="L2559" s="64">
        <v>495123</v>
      </c>
      <c r="M2559" t="s">
        <v>346</v>
      </c>
    </row>
    <row r="2560" spans="12:13" x14ac:dyDescent="0.25">
      <c r="L2560" s="64">
        <v>495124</v>
      </c>
      <c r="M2560" t="s">
        <v>351</v>
      </c>
    </row>
    <row r="2561" spans="12:13" x14ac:dyDescent="0.25">
      <c r="L2561" s="64">
        <v>495125</v>
      </c>
      <c r="M2561" t="s">
        <v>356</v>
      </c>
    </row>
    <row r="2562" spans="12:13" x14ac:dyDescent="0.25">
      <c r="L2562" s="64">
        <v>495126</v>
      </c>
      <c r="M2562" t="s">
        <v>365</v>
      </c>
    </row>
    <row r="2563" spans="12:13" x14ac:dyDescent="0.25">
      <c r="L2563" s="64">
        <v>495127</v>
      </c>
      <c r="M2563" t="s">
        <v>374</v>
      </c>
    </row>
    <row r="2564" spans="12:13" x14ac:dyDescent="0.25">
      <c r="L2564" s="64">
        <v>495128</v>
      </c>
      <c r="M2564" t="s">
        <v>379</v>
      </c>
    </row>
    <row r="2565" spans="12:13" x14ac:dyDescent="0.25">
      <c r="L2565" s="64">
        <v>495129</v>
      </c>
      <c r="M2565" t="s">
        <v>384</v>
      </c>
    </row>
    <row r="2566" spans="12:13" x14ac:dyDescent="0.25">
      <c r="L2566" s="64">
        <v>495130</v>
      </c>
      <c r="M2566" t="s">
        <v>393</v>
      </c>
    </row>
    <row r="2567" spans="12:13" x14ac:dyDescent="0.25">
      <c r="L2567" s="64">
        <v>495131</v>
      </c>
      <c r="M2567" t="s">
        <v>393</v>
      </c>
    </row>
    <row r="2568" spans="12:13" x14ac:dyDescent="0.25">
      <c r="L2568" s="64">
        <v>495140</v>
      </c>
      <c r="M2568" t="s">
        <v>398</v>
      </c>
    </row>
    <row r="2569" spans="12:13" x14ac:dyDescent="0.25">
      <c r="L2569" s="64">
        <v>495141</v>
      </c>
      <c r="M2569" t="s">
        <v>398</v>
      </c>
    </row>
    <row r="2570" spans="12:13" x14ac:dyDescent="0.25">
      <c r="L2570" s="64">
        <v>495150</v>
      </c>
      <c r="M2570" t="s">
        <v>490</v>
      </c>
    </row>
    <row r="2571" spans="12:13" x14ac:dyDescent="0.25">
      <c r="L2571" s="64">
        <v>495151</v>
      </c>
      <c r="M2571" t="s">
        <v>490</v>
      </c>
    </row>
    <row r="2572" spans="12:13" x14ac:dyDescent="0.25">
      <c r="L2572" s="64">
        <v>495200</v>
      </c>
      <c r="M2572" t="s">
        <v>522</v>
      </c>
    </row>
    <row r="2573" spans="12:13" x14ac:dyDescent="0.25">
      <c r="L2573" s="64">
        <v>495210</v>
      </c>
      <c r="M2573" t="s">
        <v>523</v>
      </c>
    </row>
    <row r="2574" spans="12:13" x14ac:dyDescent="0.25">
      <c r="L2574" s="64">
        <v>495211</v>
      </c>
      <c r="M2574" t="s">
        <v>523</v>
      </c>
    </row>
    <row r="2575" spans="12:13" x14ac:dyDescent="0.25">
      <c r="L2575" s="64">
        <v>495220</v>
      </c>
      <c r="M2575" t="s">
        <v>527</v>
      </c>
    </row>
    <row r="2576" spans="12:13" x14ac:dyDescent="0.25">
      <c r="L2576" s="64">
        <v>495221</v>
      </c>
      <c r="M2576" t="s">
        <v>1974</v>
      </c>
    </row>
    <row r="2577" spans="12:13" x14ac:dyDescent="0.25">
      <c r="L2577" s="64">
        <v>495222</v>
      </c>
      <c r="M2577" t="s">
        <v>1206</v>
      </c>
    </row>
    <row r="2578" spans="12:13" x14ac:dyDescent="0.25">
      <c r="L2578" s="64">
        <v>495223</v>
      </c>
      <c r="M2578" t="s">
        <v>1207</v>
      </c>
    </row>
    <row r="2579" spans="12:13" x14ac:dyDescent="0.25">
      <c r="L2579" s="64">
        <v>495230</v>
      </c>
      <c r="M2579" t="s">
        <v>1208</v>
      </c>
    </row>
    <row r="2580" spans="12:13" x14ac:dyDescent="0.25">
      <c r="L2580" s="64">
        <v>495231</v>
      </c>
      <c r="M2580" t="s">
        <v>1208</v>
      </c>
    </row>
    <row r="2581" spans="12:13" x14ac:dyDescent="0.25">
      <c r="L2581" s="64">
        <v>495300</v>
      </c>
      <c r="M2581" t="s">
        <v>404</v>
      </c>
    </row>
    <row r="2582" spans="12:13" x14ac:dyDescent="0.25">
      <c r="L2582" s="64">
        <v>495310</v>
      </c>
      <c r="M2582" t="s">
        <v>404</v>
      </c>
    </row>
    <row r="2583" spans="12:13" x14ac:dyDescent="0.25">
      <c r="L2583" s="64">
        <v>495311</v>
      </c>
      <c r="M2583" t="s">
        <v>404</v>
      </c>
    </row>
    <row r="2584" spans="12:13" x14ac:dyDescent="0.25">
      <c r="L2584" s="64">
        <v>495400</v>
      </c>
      <c r="M2584" t="s">
        <v>413</v>
      </c>
    </row>
    <row r="2585" spans="12:13" x14ac:dyDescent="0.25">
      <c r="L2585" s="64">
        <v>495410</v>
      </c>
      <c r="M2585" t="s">
        <v>414</v>
      </c>
    </row>
    <row r="2586" spans="12:13" x14ac:dyDescent="0.25">
      <c r="L2586" s="64">
        <v>495411</v>
      </c>
      <c r="M2586" t="s">
        <v>414</v>
      </c>
    </row>
    <row r="2587" spans="12:13" x14ac:dyDescent="0.25">
      <c r="L2587" s="64">
        <v>495420</v>
      </c>
      <c r="M2587" t="s">
        <v>1975</v>
      </c>
    </row>
    <row r="2588" spans="12:13" x14ac:dyDescent="0.25">
      <c r="L2588" s="64">
        <v>495421</v>
      </c>
      <c r="M2588" t="s">
        <v>424</v>
      </c>
    </row>
    <row r="2589" spans="12:13" x14ac:dyDescent="0.25">
      <c r="L2589" s="64">
        <v>495430</v>
      </c>
      <c r="M2589" t="s">
        <v>430</v>
      </c>
    </row>
    <row r="2590" spans="12:13" x14ac:dyDescent="0.25">
      <c r="L2590" s="64">
        <v>495431</v>
      </c>
      <c r="M2590" t="s">
        <v>431</v>
      </c>
    </row>
    <row r="2591" spans="12:13" x14ac:dyDescent="0.25">
      <c r="L2591" s="64">
        <v>495432</v>
      </c>
      <c r="M2591" t="s">
        <v>435</v>
      </c>
    </row>
    <row r="2592" spans="12:13" x14ac:dyDescent="0.25">
      <c r="L2592" s="64">
        <v>496000</v>
      </c>
      <c r="M2592" t="s">
        <v>1976</v>
      </c>
    </row>
    <row r="2593" spans="12:13" x14ac:dyDescent="0.25">
      <c r="L2593" s="64">
        <v>496100</v>
      </c>
      <c r="M2593" t="s">
        <v>1977</v>
      </c>
    </row>
    <row r="2594" spans="12:13" x14ac:dyDescent="0.25">
      <c r="L2594" s="64">
        <v>496110</v>
      </c>
      <c r="M2594" t="s">
        <v>1978</v>
      </c>
    </row>
    <row r="2595" spans="12:13" x14ac:dyDescent="0.25">
      <c r="L2595" s="64">
        <v>496111</v>
      </c>
      <c r="M2595" t="s">
        <v>1979</v>
      </c>
    </row>
    <row r="2596" spans="12:13" x14ac:dyDescent="0.25">
      <c r="L2596" s="64">
        <v>496112</v>
      </c>
      <c r="M2596" t="s">
        <v>1980</v>
      </c>
    </row>
    <row r="2597" spans="12:13" x14ac:dyDescent="0.25">
      <c r="L2597" s="64">
        <v>496113</v>
      </c>
      <c r="M2597" t="s">
        <v>1981</v>
      </c>
    </row>
    <row r="2598" spans="12:13" x14ac:dyDescent="0.25">
      <c r="L2598" s="64">
        <v>496114</v>
      </c>
      <c r="M2598" t="s">
        <v>1982</v>
      </c>
    </row>
    <row r="2599" spans="12:13" x14ac:dyDescent="0.25">
      <c r="L2599" s="64">
        <v>496115</v>
      </c>
      <c r="M2599" t="s">
        <v>1983</v>
      </c>
    </row>
    <row r="2600" spans="12:13" x14ac:dyDescent="0.25">
      <c r="L2600" s="64">
        <v>496116</v>
      </c>
      <c r="M2600" t="s">
        <v>1984</v>
      </c>
    </row>
    <row r="2601" spans="12:13" x14ac:dyDescent="0.25">
      <c r="L2601" s="64">
        <v>496117</v>
      </c>
      <c r="M2601" t="s">
        <v>1985</v>
      </c>
    </row>
    <row r="2602" spans="12:13" x14ac:dyDescent="0.25">
      <c r="L2602" s="64">
        <v>496118</v>
      </c>
      <c r="M2602" t="s">
        <v>1986</v>
      </c>
    </row>
    <row r="2603" spans="12:13" x14ac:dyDescent="0.25">
      <c r="L2603" s="64">
        <v>496119</v>
      </c>
      <c r="M2603" t="s">
        <v>1987</v>
      </c>
    </row>
    <row r="2604" spans="12:13" x14ac:dyDescent="0.25">
      <c r="L2604" s="64">
        <v>496120</v>
      </c>
      <c r="M2604" t="s">
        <v>1988</v>
      </c>
    </row>
    <row r="2605" spans="12:13" x14ac:dyDescent="0.25">
      <c r="L2605" s="64">
        <v>496121</v>
      </c>
      <c r="M2605" t="s">
        <v>1989</v>
      </c>
    </row>
    <row r="2606" spans="12:13" x14ac:dyDescent="0.25">
      <c r="L2606" s="64">
        <v>496122</v>
      </c>
      <c r="M2606" t="s">
        <v>1990</v>
      </c>
    </row>
    <row r="2607" spans="12:13" x14ac:dyDescent="0.25">
      <c r="L2607" s="64">
        <v>496123</v>
      </c>
      <c r="M2607" t="s">
        <v>1991</v>
      </c>
    </row>
    <row r="2608" spans="12:13" x14ac:dyDescent="0.25">
      <c r="L2608" s="64">
        <v>496124</v>
      </c>
      <c r="M2608" t="s">
        <v>1992</v>
      </c>
    </row>
    <row r="2609" spans="12:13" x14ac:dyDescent="0.25">
      <c r="L2609" s="64">
        <v>496125</v>
      </c>
      <c r="M2609" t="s">
        <v>1993</v>
      </c>
    </row>
    <row r="2610" spans="12:13" x14ac:dyDescent="0.25">
      <c r="L2610" s="64">
        <v>496126</v>
      </c>
      <c r="M2610" t="s">
        <v>1994</v>
      </c>
    </row>
    <row r="2611" spans="12:13" x14ac:dyDescent="0.25">
      <c r="L2611" s="64">
        <v>496129</v>
      </c>
      <c r="M2611" t="s">
        <v>1995</v>
      </c>
    </row>
    <row r="2612" spans="12:13" x14ac:dyDescent="0.25">
      <c r="L2612" s="64">
        <v>496130</v>
      </c>
      <c r="M2612" t="s">
        <v>1996</v>
      </c>
    </row>
    <row r="2613" spans="12:13" x14ac:dyDescent="0.25">
      <c r="L2613" s="64">
        <v>496131</v>
      </c>
      <c r="M2613" t="s">
        <v>1996</v>
      </c>
    </row>
    <row r="2614" spans="12:13" x14ac:dyDescent="0.25">
      <c r="L2614" s="64">
        <v>496140</v>
      </c>
      <c r="M2614" t="s">
        <v>1997</v>
      </c>
    </row>
    <row r="2615" spans="12:13" x14ac:dyDescent="0.25">
      <c r="L2615" s="64">
        <v>496141</v>
      </c>
      <c r="M2615" t="s">
        <v>1997</v>
      </c>
    </row>
    <row r="2616" spans="12:13" x14ac:dyDescent="0.25">
      <c r="L2616" s="64">
        <v>496200</v>
      </c>
      <c r="M2616" t="s">
        <v>1998</v>
      </c>
    </row>
    <row r="2617" spans="12:13" x14ac:dyDescent="0.25">
      <c r="L2617" s="64">
        <v>496210</v>
      </c>
      <c r="M2617" t="s">
        <v>1999</v>
      </c>
    </row>
    <row r="2618" spans="12:13" x14ac:dyDescent="0.25">
      <c r="L2618" s="64">
        <v>496211</v>
      </c>
      <c r="M2618" t="s">
        <v>2000</v>
      </c>
    </row>
    <row r="2619" spans="12:13" x14ac:dyDescent="0.25">
      <c r="L2619" s="64">
        <v>496212</v>
      </c>
      <c r="M2619" t="s">
        <v>567</v>
      </c>
    </row>
    <row r="2620" spans="12:13" x14ac:dyDescent="0.25">
      <c r="L2620" s="64">
        <v>496213</v>
      </c>
      <c r="M2620" t="s">
        <v>582</v>
      </c>
    </row>
    <row r="2621" spans="12:13" x14ac:dyDescent="0.25">
      <c r="L2621" s="64">
        <v>496214</v>
      </c>
      <c r="M2621" t="s">
        <v>589</v>
      </c>
    </row>
    <row r="2622" spans="12:13" x14ac:dyDescent="0.25">
      <c r="L2622" s="64">
        <v>496215</v>
      </c>
      <c r="M2622" t="s">
        <v>591</v>
      </c>
    </row>
    <row r="2623" spans="12:13" x14ac:dyDescent="0.25">
      <c r="L2623" s="64">
        <v>496216</v>
      </c>
      <c r="M2623" t="s">
        <v>593</v>
      </c>
    </row>
    <row r="2624" spans="12:13" x14ac:dyDescent="0.25">
      <c r="L2624" s="64">
        <v>496217</v>
      </c>
      <c r="M2624" t="s">
        <v>2001</v>
      </c>
    </row>
    <row r="2625" spans="12:13" x14ac:dyDescent="0.25">
      <c r="L2625" s="64">
        <v>496218</v>
      </c>
      <c r="M2625" t="s">
        <v>602</v>
      </c>
    </row>
    <row r="2626" spans="12:13" x14ac:dyDescent="0.25">
      <c r="L2626" s="64">
        <v>496219</v>
      </c>
      <c r="M2626" t="s">
        <v>2002</v>
      </c>
    </row>
    <row r="2627" spans="12:13" x14ac:dyDescent="0.25">
      <c r="L2627" s="64">
        <v>496220</v>
      </c>
      <c r="M2627" t="s">
        <v>2003</v>
      </c>
    </row>
    <row r="2628" spans="12:13" x14ac:dyDescent="0.25">
      <c r="L2628" s="64">
        <v>496221</v>
      </c>
      <c r="M2628" t="s">
        <v>2004</v>
      </c>
    </row>
    <row r="2629" spans="12:13" x14ac:dyDescent="0.25">
      <c r="L2629" s="64">
        <v>496222</v>
      </c>
      <c r="M2629" t="s">
        <v>619</v>
      </c>
    </row>
    <row r="2630" spans="12:13" x14ac:dyDescent="0.25">
      <c r="L2630" s="64">
        <v>496223</v>
      </c>
      <c r="M2630" t="s">
        <v>621</v>
      </c>
    </row>
    <row r="2631" spans="12:13" x14ac:dyDescent="0.25">
      <c r="L2631" s="64">
        <v>496224</v>
      </c>
      <c r="M2631" t="s">
        <v>623</v>
      </c>
    </row>
    <row r="2632" spans="12:13" x14ac:dyDescent="0.25">
      <c r="L2632" s="64">
        <v>496225</v>
      </c>
      <c r="M2632" t="s">
        <v>625</v>
      </c>
    </row>
    <row r="2633" spans="12:13" x14ac:dyDescent="0.25">
      <c r="L2633" s="64">
        <v>496226</v>
      </c>
      <c r="M2633" t="s">
        <v>627</v>
      </c>
    </row>
    <row r="2634" spans="12:13" x14ac:dyDescent="0.25">
      <c r="L2634" s="64">
        <v>496227</v>
      </c>
      <c r="M2634" t="s">
        <v>2005</v>
      </c>
    </row>
    <row r="2635" spans="12:13" x14ac:dyDescent="0.25">
      <c r="L2635" s="64">
        <v>496228</v>
      </c>
      <c r="M2635" t="s">
        <v>2006</v>
      </c>
    </row>
    <row r="2636" spans="12:13" x14ac:dyDescent="0.25">
      <c r="L2636" s="64">
        <v>499000</v>
      </c>
      <c r="M2636" t="s">
        <v>2007</v>
      </c>
    </row>
    <row r="2637" spans="12:13" x14ac:dyDescent="0.25">
      <c r="L2637" s="64">
        <v>499100</v>
      </c>
      <c r="M2637" t="s">
        <v>2007</v>
      </c>
    </row>
    <row r="2638" spans="12:13" x14ac:dyDescent="0.25">
      <c r="L2638" s="64">
        <v>499110</v>
      </c>
      <c r="M2638" t="s">
        <v>2008</v>
      </c>
    </row>
    <row r="2639" spans="12:13" x14ac:dyDescent="0.25">
      <c r="L2639" s="64">
        <v>499111</v>
      </c>
      <c r="M2639" t="s">
        <v>2008</v>
      </c>
    </row>
    <row r="2640" spans="12:13" x14ac:dyDescent="0.25">
      <c r="L2640" s="64">
        <v>499120</v>
      </c>
      <c r="M2640" t="s">
        <v>2009</v>
      </c>
    </row>
    <row r="2641" spans="12:13" x14ac:dyDescent="0.25">
      <c r="L2641" s="64">
        <v>499121</v>
      </c>
      <c r="M2641" t="s">
        <v>2009</v>
      </c>
    </row>
    <row r="2642" spans="12:13" x14ac:dyDescent="0.25">
      <c r="L2642" s="64">
        <v>500000</v>
      </c>
      <c r="M2642" t="s">
        <v>1968</v>
      </c>
    </row>
    <row r="2643" spans="12:13" x14ac:dyDescent="0.25">
      <c r="L2643" s="64">
        <v>510000</v>
      </c>
      <c r="M2643" t="s">
        <v>1202</v>
      </c>
    </row>
    <row r="2644" spans="12:13" x14ac:dyDescent="0.25">
      <c r="L2644" s="64">
        <v>511000</v>
      </c>
      <c r="M2644" t="s">
        <v>270</v>
      </c>
    </row>
    <row r="2645" spans="12:13" x14ac:dyDescent="0.25">
      <c r="L2645" s="64">
        <v>511100</v>
      </c>
      <c r="M2645" t="s">
        <v>1969</v>
      </c>
    </row>
    <row r="2646" spans="12:13" x14ac:dyDescent="0.25">
      <c r="L2646" s="64">
        <v>511110</v>
      </c>
      <c r="M2646" t="s">
        <v>2010</v>
      </c>
    </row>
    <row r="2647" spans="12:13" x14ac:dyDescent="0.25">
      <c r="L2647" s="64">
        <v>511111</v>
      </c>
      <c r="M2647" t="s">
        <v>2011</v>
      </c>
    </row>
    <row r="2648" spans="12:13" x14ac:dyDescent="0.25">
      <c r="L2648" s="64">
        <v>511112</v>
      </c>
      <c r="M2648" t="s">
        <v>2012</v>
      </c>
    </row>
    <row r="2649" spans="12:13" x14ac:dyDescent="0.25">
      <c r="L2649" s="64">
        <v>511113</v>
      </c>
      <c r="M2649" t="s">
        <v>2013</v>
      </c>
    </row>
    <row r="2650" spans="12:13" x14ac:dyDescent="0.25">
      <c r="L2650" s="64">
        <v>511118</v>
      </c>
      <c r="M2650" t="s">
        <v>2014</v>
      </c>
    </row>
    <row r="2651" spans="12:13" x14ac:dyDescent="0.25">
      <c r="L2651" s="64">
        <v>511119</v>
      </c>
      <c r="M2651" t="s">
        <v>2015</v>
      </c>
    </row>
    <row r="2652" spans="12:13" x14ac:dyDescent="0.25">
      <c r="L2652" s="64">
        <v>511120</v>
      </c>
      <c r="M2652" t="s">
        <v>2016</v>
      </c>
    </row>
    <row r="2653" spans="12:13" x14ac:dyDescent="0.25">
      <c r="L2653" s="64">
        <v>511121</v>
      </c>
      <c r="M2653" t="s">
        <v>2017</v>
      </c>
    </row>
    <row r="2654" spans="12:13" x14ac:dyDescent="0.25">
      <c r="L2654" s="64">
        <v>511122</v>
      </c>
      <c r="M2654" t="s">
        <v>2018</v>
      </c>
    </row>
    <row r="2655" spans="12:13" x14ac:dyDescent="0.25">
      <c r="L2655" s="64">
        <v>511123</v>
      </c>
      <c r="M2655" t="s">
        <v>2019</v>
      </c>
    </row>
    <row r="2656" spans="12:13" x14ac:dyDescent="0.25">
      <c r="L2656" s="64">
        <v>511124</v>
      </c>
      <c r="M2656" t="s">
        <v>2020</v>
      </c>
    </row>
    <row r="2657" spans="12:13" x14ac:dyDescent="0.25">
      <c r="L2657" s="64">
        <v>511125</v>
      </c>
      <c r="M2657" t="s">
        <v>2021</v>
      </c>
    </row>
    <row r="2658" spans="12:13" x14ac:dyDescent="0.25">
      <c r="L2658" s="64">
        <v>511126</v>
      </c>
      <c r="M2658" t="s">
        <v>2022</v>
      </c>
    </row>
    <row r="2659" spans="12:13" x14ac:dyDescent="0.25">
      <c r="L2659" s="64">
        <v>511127</v>
      </c>
      <c r="M2659" t="s">
        <v>2023</v>
      </c>
    </row>
    <row r="2660" spans="12:13" x14ac:dyDescent="0.25">
      <c r="L2660" s="64">
        <v>511129</v>
      </c>
      <c r="M2660" t="s">
        <v>2024</v>
      </c>
    </row>
    <row r="2661" spans="12:13" x14ac:dyDescent="0.25">
      <c r="L2661" s="64">
        <v>511190</v>
      </c>
      <c r="M2661" t="s">
        <v>2025</v>
      </c>
    </row>
    <row r="2662" spans="12:13" x14ac:dyDescent="0.25">
      <c r="L2662" s="64">
        <v>511191</v>
      </c>
      <c r="M2662" t="s">
        <v>2026</v>
      </c>
    </row>
    <row r="2663" spans="12:13" x14ac:dyDescent="0.25">
      <c r="L2663" s="64">
        <v>511192</v>
      </c>
      <c r="M2663" t="s">
        <v>2027</v>
      </c>
    </row>
    <row r="2664" spans="12:13" x14ac:dyDescent="0.25">
      <c r="L2664" s="64">
        <v>511193</v>
      </c>
      <c r="M2664" t="s">
        <v>2028</v>
      </c>
    </row>
    <row r="2665" spans="12:13" x14ac:dyDescent="0.25">
      <c r="L2665" s="64">
        <v>511199</v>
      </c>
      <c r="M2665" t="s">
        <v>322</v>
      </c>
    </row>
    <row r="2666" spans="12:13" x14ac:dyDescent="0.25">
      <c r="L2666" s="64">
        <v>511200</v>
      </c>
      <c r="M2666" t="s">
        <v>1970</v>
      </c>
    </row>
    <row r="2667" spans="12:13" x14ac:dyDescent="0.25">
      <c r="L2667" s="64">
        <v>511210</v>
      </c>
      <c r="M2667" t="s">
        <v>2029</v>
      </c>
    </row>
    <row r="2668" spans="12:13" x14ac:dyDescent="0.25">
      <c r="L2668" s="64">
        <v>511211</v>
      </c>
      <c r="M2668" t="s">
        <v>2030</v>
      </c>
    </row>
    <row r="2669" spans="12:13" x14ac:dyDescent="0.25">
      <c r="L2669" s="64">
        <v>511212</v>
      </c>
      <c r="M2669" t="s">
        <v>2031</v>
      </c>
    </row>
    <row r="2670" spans="12:13" x14ac:dyDescent="0.25">
      <c r="L2670" s="64">
        <v>511213</v>
      </c>
      <c r="M2670" t="s">
        <v>2032</v>
      </c>
    </row>
    <row r="2671" spans="12:13" x14ac:dyDescent="0.25">
      <c r="L2671" s="64">
        <v>511219</v>
      </c>
      <c r="M2671" t="s">
        <v>2033</v>
      </c>
    </row>
    <row r="2672" spans="12:13" x14ac:dyDescent="0.25">
      <c r="L2672" s="64">
        <v>511220</v>
      </c>
      <c r="M2672" t="s">
        <v>2034</v>
      </c>
    </row>
    <row r="2673" spans="12:13" x14ac:dyDescent="0.25">
      <c r="L2673" s="64">
        <v>511221</v>
      </c>
      <c r="M2673" t="s">
        <v>2035</v>
      </c>
    </row>
    <row r="2674" spans="12:13" x14ac:dyDescent="0.25">
      <c r="L2674" s="64">
        <v>511222</v>
      </c>
      <c r="M2674" t="s">
        <v>281</v>
      </c>
    </row>
    <row r="2675" spans="12:13" x14ac:dyDescent="0.25">
      <c r="L2675" s="64">
        <v>511223</v>
      </c>
      <c r="M2675" t="s">
        <v>288</v>
      </c>
    </row>
    <row r="2676" spans="12:13" x14ac:dyDescent="0.25">
      <c r="L2676" s="64">
        <v>511224</v>
      </c>
      <c r="M2676" t="s">
        <v>2036</v>
      </c>
    </row>
    <row r="2677" spans="12:13" x14ac:dyDescent="0.25">
      <c r="L2677" s="64">
        <v>511225</v>
      </c>
      <c r="M2677" t="s">
        <v>2037</v>
      </c>
    </row>
    <row r="2678" spans="12:13" x14ac:dyDescent="0.25">
      <c r="L2678" s="64">
        <v>511226</v>
      </c>
      <c r="M2678" t="s">
        <v>2038</v>
      </c>
    </row>
    <row r="2679" spans="12:13" x14ac:dyDescent="0.25">
      <c r="L2679" s="64">
        <v>511227</v>
      </c>
      <c r="M2679" t="s">
        <v>291</v>
      </c>
    </row>
    <row r="2680" spans="12:13" x14ac:dyDescent="0.25">
      <c r="L2680" s="64">
        <v>511228</v>
      </c>
      <c r="M2680" t="s">
        <v>292</v>
      </c>
    </row>
    <row r="2681" spans="12:13" x14ac:dyDescent="0.25">
      <c r="L2681" s="64">
        <v>511230</v>
      </c>
      <c r="M2681" t="s">
        <v>2039</v>
      </c>
    </row>
    <row r="2682" spans="12:13" x14ac:dyDescent="0.25">
      <c r="L2682" s="64">
        <v>511231</v>
      </c>
      <c r="M2682" t="s">
        <v>2040</v>
      </c>
    </row>
    <row r="2683" spans="12:13" x14ac:dyDescent="0.25">
      <c r="L2683" s="64">
        <v>511232</v>
      </c>
      <c r="M2683" t="s">
        <v>299</v>
      </c>
    </row>
    <row r="2684" spans="12:13" x14ac:dyDescent="0.25">
      <c r="L2684" s="64">
        <v>511233</v>
      </c>
      <c r="M2684" t="s">
        <v>300</v>
      </c>
    </row>
    <row r="2685" spans="12:13" x14ac:dyDescent="0.25">
      <c r="L2685" s="64">
        <v>511240</v>
      </c>
      <c r="M2685" t="s">
        <v>2041</v>
      </c>
    </row>
    <row r="2686" spans="12:13" x14ac:dyDescent="0.25">
      <c r="L2686" s="64">
        <v>511241</v>
      </c>
      <c r="M2686" t="s">
        <v>307</v>
      </c>
    </row>
    <row r="2687" spans="12:13" x14ac:dyDescent="0.25">
      <c r="L2687" s="64">
        <v>511242</v>
      </c>
      <c r="M2687" t="s">
        <v>308</v>
      </c>
    </row>
    <row r="2688" spans="12:13" x14ac:dyDescent="0.25">
      <c r="L2688" s="64">
        <v>511243</v>
      </c>
      <c r="M2688" t="s">
        <v>309</v>
      </c>
    </row>
    <row r="2689" spans="12:13" x14ac:dyDescent="0.25">
      <c r="L2689" s="64">
        <v>511244</v>
      </c>
      <c r="M2689" t="s">
        <v>310</v>
      </c>
    </row>
    <row r="2690" spans="12:13" x14ac:dyDescent="0.25">
      <c r="L2690" s="64">
        <v>511290</v>
      </c>
      <c r="M2690" t="s">
        <v>2042</v>
      </c>
    </row>
    <row r="2691" spans="12:13" x14ac:dyDescent="0.25">
      <c r="L2691" s="64">
        <v>511291</v>
      </c>
      <c r="M2691" t="s">
        <v>2043</v>
      </c>
    </row>
    <row r="2692" spans="12:13" x14ac:dyDescent="0.25">
      <c r="L2692" s="64">
        <v>511292</v>
      </c>
      <c r="M2692" t="s">
        <v>318</v>
      </c>
    </row>
    <row r="2693" spans="12:13" x14ac:dyDescent="0.25">
      <c r="L2693" s="64">
        <v>511293</v>
      </c>
      <c r="M2693" t="s">
        <v>2044</v>
      </c>
    </row>
    <row r="2694" spans="12:13" x14ac:dyDescent="0.25">
      <c r="L2694" s="64">
        <v>511294</v>
      </c>
      <c r="M2694" t="s">
        <v>320</v>
      </c>
    </row>
    <row r="2695" spans="12:13" x14ac:dyDescent="0.25">
      <c r="L2695" s="64">
        <v>511295</v>
      </c>
      <c r="M2695" t="s">
        <v>321</v>
      </c>
    </row>
    <row r="2696" spans="12:13" x14ac:dyDescent="0.25">
      <c r="L2696" s="64">
        <v>511296</v>
      </c>
      <c r="M2696" t="s">
        <v>2045</v>
      </c>
    </row>
    <row r="2697" spans="12:13" x14ac:dyDescent="0.25">
      <c r="L2697" s="64">
        <v>511299</v>
      </c>
      <c r="M2697" t="s">
        <v>2042</v>
      </c>
    </row>
    <row r="2698" spans="12:13" x14ac:dyDescent="0.25">
      <c r="L2698" s="64">
        <v>511300</v>
      </c>
      <c r="M2698" t="s">
        <v>1971</v>
      </c>
    </row>
    <row r="2699" spans="12:13" x14ac:dyDescent="0.25">
      <c r="L2699" s="64">
        <v>511310</v>
      </c>
      <c r="M2699" t="s">
        <v>2046</v>
      </c>
    </row>
    <row r="2700" spans="12:13" x14ac:dyDescent="0.25">
      <c r="L2700" s="64">
        <v>511311</v>
      </c>
      <c r="M2700" t="s">
        <v>2047</v>
      </c>
    </row>
    <row r="2701" spans="12:13" x14ac:dyDescent="0.25">
      <c r="L2701" s="64">
        <v>511312</v>
      </c>
      <c r="M2701" t="s">
        <v>2048</v>
      </c>
    </row>
    <row r="2702" spans="12:13" x14ac:dyDescent="0.25">
      <c r="L2702" s="64">
        <v>511313</v>
      </c>
      <c r="M2702" t="s">
        <v>2049</v>
      </c>
    </row>
    <row r="2703" spans="12:13" x14ac:dyDescent="0.25">
      <c r="L2703" s="64">
        <v>511319</v>
      </c>
      <c r="M2703" t="s">
        <v>2050</v>
      </c>
    </row>
    <row r="2704" spans="12:13" x14ac:dyDescent="0.25">
      <c r="L2704" s="64">
        <v>511320</v>
      </c>
      <c r="M2704" t="s">
        <v>2051</v>
      </c>
    </row>
    <row r="2705" spans="12:13" x14ac:dyDescent="0.25">
      <c r="L2705" s="64">
        <v>511321</v>
      </c>
      <c r="M2705" t="s">
        <v>2051</v>
      </c>
    </row>
    <row r="2706" spans="12:13" x14ac:dyDescent="0.25">
      <c r="L2706" s="64">
        <v>511322</v>
      </c>
      <c r="M2706" t="s">
        <v>2052</v>
      </c>
    </row>
    <row r="2707" spans="12:13" x14ac:dyDescent="0.25">
      <c r="L2707" s="64">
        <v>511323</v>
      </c>
      <c r="M2707" t="s">
        <v>2053</v>
      </c>
    </row>
    <row r="2708" spans="12:13" x14ac:dyDescent="0.25">
      <c r="L2708" s="64">
        <v>511324</v>
      </c>
      <c r="M2708" t="s">
        <v>2054</v>
      </c>
    </row>
    <row r="2709" spans="12:13" x14ac:dyDescent="0.25">
      <c r="L2709" s="64">
        <v>511325</v>
      </c>
      <c r="M2709" t="s">
        <v>2055</v>
      </c>
    </row>
    <row r="2710" spans="12:13" x14ac:dyDescent="0.25">
      <c r="L2710" s="64">
        <v>511326</v>
      </c>
      <c r="M2710" t="s">
        <v>2056</v>
      </c>
    </row>
    <row r="2711" spans="12:13" x14ac:dyDescent="0.25">
      <c r="L2711" s="64">
        <v>511327</v>
      </c>
      <c r="M2711" t="s">
        <v>2057</v>
      </c>
    </row>
    <row r="2712" spans="12:13" x14ac:dyDescent="0.25">
      <c r="L2712" s="64">
        <v>511328</v>
      </c>
      <c r="M2712" t="s">
        <v>2058</v>
      </c>
    </row>
    <row r="2713" spans="12:13" x14ac:dyDescent="0.25">
      <c r="L2713" s="64">
        <v>511330</v>
      </c>
      <c r="M2713" t="s">
        <v>2059</v>
      </c>
    </row>
    <row r="2714" spans="12:13" x14ac:dyDescent="0.25">
      <c r="L2714" s="64">
        <v>511331</v>
      </c>
      <c r="M2714" t="s">
        <v>2060</v>
      </c>
    </row>
    <row r="2715" spans="12:13" x14ac:dyDescent="0.25">
      <c r="L2715" s="64">
        <v>511332</v>
      </c>
      <c r="M2715" t="s">
        <v>2061</v>
      </c>
    </row>
    <row r="2716" spans="12:13" x14ac:dyDescent="0.25">
      <c r="L2716" s="64">
        <v>511333</v>
      </c>
      <c r="M2716" t="s">
        <v>2062</v>
      </c>
    </row>
    <row r="2717" spans="12:13" x14ac:dyDescent="0.25">
      <c r="L2717" s="64">
        <v>511340</v>
      </c>
      <c r="M2717" t="s">
        <v>2063</v>
      </c>
    </row>
    <row r="2718" spans="12:13" x14ac:dyDescent="0.25">
      <c r="L2718" s="64">
        <v>511341</v>
      </c>
      <c r="M2718" t="s">
        <v>2064</v>
      </c>
    </row>
    <row r="2719" spans="12:13" x14ac:dyDescent="0.25">
      <c r="L2719" s="64">
        <v>511342</v>
      </c>
      <c r="M2719" t="s">
        <v>2065</v>
      </c>
    </row>
    <row r="2720" spans="12:13" x14ac:dyDescent="0.25">
      <c r="L2720" s="64">
        <v>511343</v>
      </c>
      <c r="M2720" t="s">
        <v>2066</v>
      </c>
    </row>
    <row r="2721" spans="12:13" x14ac:dyDescent="0.25">
      <c r="L2721" s="64">
        <v>511344</v>
      </c>
      <c r="M2721" t="s">
        <v>2067</v>
      </c>
    </row>
    <row r="2722" spans="12:13" x14ac:dyDescent="0.25">
      <c r="L2722" s="64">
        <v>511390</v>
      </c>
      <c r="M2722" t="s">
        <v>2068</v>
      </c>
    </row>
    <row r="2723" spans="12:13" x14ac:dyDescent="0.25">
      <c r="L2723" s="64">
        <v>511391</v>
      </c>
      <c r="M2723" t="s">
        <v>2069</v>
      </c>
    </row>
    <row r="2724" spans="12:13" x14ac:dyDescent="0.25">
      <c r="L2724" s="64">
        <v>511392</v>
      </c>
      <c r="M2724" t="s">
        <v>2070</v>
      </c>
    </row>
    <row r="2725" spans="12:13" x14ac:dyDescent="0.25">
      <c r="L2725" s="64">
        <v>511393</v>
      </c>
      <c r="M2725" t="s">
        <v>2071</v>
      </c>
    </row>
    <row r="2726" spans="12:13" x14ac:dyDescent="0.25">
      <c r="L2726" s="64">
        <v>511394</v>
      </c>
      <c r="M2726" t="s">
        <v>2072</v>
      </c>
    </row>
    <row r="2727" spans="12:13" x14ac:dyDescent="0.25">
      <c r="L2727" s="64">
        <v>511395</v>
      </c>
      <c r="M2727" t="s">
        <v>2073</v>
      </c>
    </row>
    <row r="2728" spans="12:13" x14ac:dyDescent="0.25">
      <c r="L2728" s="64">
        <v>511396</v>
      </c>
      <c r="M2728" t="s">
        <v>2074</v>
      </c>
    </row>
    <row r="2729" spans="12:13" x14ac:dyDescent="0.25">
      <c r="L2729" s="64">
        <v>511399</v>
      </c>
      <c r="M2729" t="s">
        <v>2068</v>
      </c>
    </row>
    <row r="2730" spans="12:13" x14ac:dyDescent="0.25">
      <c r="L2730" s="64">
        <v>511400</v>
      </c>
      <c r="M2730" t="s">
        <v>1972</v>
      </c>
    </row>
    <row r="2731" spans="12:13" x14ac:dyDescent="0.25">
      <c r="L2731" s="64">
        <v>511410</v>
      </c>
      <c r="M2731" t="s">
        <v>2075</v>
      </c>
    </row>
    <row r="2732" spans="12:13" x14ac:dyDescent="0.25">
      <c r="L2732" s="64">
        <v>511411</v>
      </c>
      <c r="M2732" t="s">
        <v>2075</v>
      </c>
    </row>
    <row r="2733" spans="12:13" x14ac:dyDescent="0.25">
      <c r="L2733" s="64">
        <v>511420</v>
      </c>
      <c r="M2733" t="s">
        <v>2076</v>
      </c>
    </row>
    <row r="2734" spans="12:13" x14ac:dyDescent="0.25">
      <c r="L2734" s="64">
        <v>511421</v>
      </c>
      <c r="M2734" t="s">
        <v>2076</v>
      </c>
    </row>
    <row r="2735" spans="12:13" x14ac:dyDescent="0.25">
      <c r="L2735" s="64">
        <v>511430</v>
      </c>
      <c r="M2735" t="s">
        <v>2077</v>
      </c>
    </row>
    <row r="2736" spans="12:13" x14ac:dyDescent="0.25">
      <c r="L2736" s="64">
        <v>511431</v>
      </c>
      <c r="M2736" t="s">
        <v>2077</v>
      </c>
    </row>
    <row r="2737" spans="12:13" x14ac:dyDescent="0.25">
      <c r="L2737" s="64">
        <v>511440</v>
      </c>
      <c r="M2737" t="s">
        <v>2078</v>
      </c>
    </row>
    <row r="2738" spans="12:13" x14ac:dyDescent="0.25">
      <c r="L2738" s="64">
        <v>511441</v>
      </c>
      <c r="M2738" t="s">
        <v>2078</v>
      </c>
    </row>
    <row r="2739" spans="12:13" x14ac:dyDescent="0.25">
      <c r="L2739" s="64">
        <v>511450</v>
      </c>
      <c r="M2739" t="s">
        <v>2079</v>
      </c>
    </row>
    <row r="2740" spans="12:13" x14ac:dyDescent="0.25">
      <c r="L2740" s="64">
        <v>511451</v>
      </c>
      <c r="M2740" t="s">
        <v>2079</v>
      </c>
    </row>
    <row r="2741" spans="12:13" x14ac:dyDescent="0.25">
      <c r="L2741" s="64">
        <v>512000</v>
      </c>
      <c r="M2741" t="s">
        <v>1973</v>
      </c>
    </row>
    <row r="2742" spans="12:13" x14ac:dyDescent="0.25">
      <c r="L2742" s="64">
        <v>512100</v>
      </c>
      <c r="M2742" t="s">
        <v>327</v>
      </c>
    </row>
    <row r="2743" spans="12:13" x14ac:dyDescent="0.25">
      <c r="L2743" s="64">
        <v>512110</v>
      </c>
      <c r="M2743" t="s">
        <v>328</v>
      </c>
    </row>
    <row r="2744" spans="12:13" x14ac:dyDescent="0.25">
      <c r="L2744" s="64">
        <v>512111</v>
      </c>
      <c r="M2744" t="s">
        <v>2080</v>
      </c>
    </row>
    <row r="2745" spans="12:13" x14ac:dyDescent="0.25">
      <c r="L2745" s="64">
        <v>512112</v>
      </c>
      <c r="M2745" t="s">
        <v>2081</v>
      </c>
    </row>
    <row r="2746" spans="12:13" x14ac:dyDescent="0.25">
      <c r="L2746" s="64">
        <v>512113</v>
      </c>
      <c r="M2746" t="s">
        <v>2082</v>
      </c>
    </row>
    <row r="2747" spans="12:13" x14ac:dyDescent="0.25">
      <c r="L2747" s="64">
        <v>512114</v>
      </c>
      <c r="M2747" t="s">
        <v>2083</v>
      </c>
    </row>
    <row r="2748" spans="12:13" x14ac:dyDescent="0.25">
      <c r="L2748" s="64">
        <v>512115</v>
      </c>
      <c r="M2748" t="s">
        <v>2084</v>
      </c>
    </row>
    <row r="2749" spans="12:13" x14ac:dyDescent="0.25">
      <c r="L2749" s="64">
        <v>512116</v>
      </c>
      <c r="M2749" t="s">
        <v>2085</v>
      </c>
    </row>
    <row r="2750" spans="12:13" x14ac:dyDescent="0.25">
      <c r="L2750" s="64">
        <v>512117</v>
      </c>
      <c r="M2750" t="s">
        <v>2086</v>
      </c>
    </row>
    <row r="2751" spans="12:13" x14ac:dyDescent="0.25">
      <c r="L2751" s="64">
        <v>512120</v>
      </c>
      <c r="M2751" t="s">
        <v>329</v>
      </c>
    </row>
    <row r="2752" spans="12:13" x14ac:dyDescent="0.25">
      <c r="L2752" s="64">
        <v>512121</v>
      </c>
      <c r="M2752" t="s">
        <v>2087</v>
      </c>
    </row>
    <row r="2753" spans="12:13" x14ac:dyDescent="0.25">
      <c r="L2753" s="64">
        <v>512122</v>
      </c>
      <c r="M2753" t="s">
        <v>2088</v>
      </c>
    </row>
    <row r="2754" spans="12:13" x14ac:dyDescent="0.25">
      <c r="L2754" s="64">
        <v>512130</v>
      </c>
      <c r="M2754" t="s">
        <v>330</v>
      </c>
    </row>
    <row r="2755" spans="12:13" x14ac:dyDescent="0.25">
      <c r="L2755" s="64">
        <v>512131</v>
      </c>
      <c r="M2755" t="s">
        <v>2089</v>
      </c>
    </row>
    <row r="2756" spans="12:13" x14ac:dyDescent="0.25">
      <c r="L2756" s="64">
        <v>512132</v>
      </c>
      <c r="M2756" t="s">
        <v>2090</v>
      </c>
    </row>
    <row r="2757" spans="12:13" x14ac:dyDescent="0.25">
      <c r="L2757" s="64">
        <v>512140</v>
      </c>
      <c r="M2757" t="s">
        <v>332</v>
      </c>
    </row>
    <row r="2758" spans="12:13" x14ac:dyDescent="0.25">
      <c r="L2758" s="64">
        <v>512141</v>
      </c>
      <c r="M2758" t="s">
        <v>332</v>
      </c>
    </row>
    <row r="2759" spans="12:13" x14ac:dyDescent="0.25">
      <c r="L2759" s="64">
        <v>512200</v>
      </c>
      <c r="M2759" t="s">
        <v>336</v>
      </c>
    </row>
    <row r="2760" spans="12:13" x14ac:dyDescent="0.25">
      <c r="L2760" s="64">
        <v>512210</v>
      </c>
      <c r="M2760" t="s">
        <v>337</v>
      </c>
    </row>
    <row r="2761" spans="12:13" x14ac:dyDescent="0.25">
      <c r="L2761" s="64">
        <v>512211</v>
      </c>
      <c r="M2761" t="s">
        <v>1538</v>
      </c>
    </row>
    <row r="2762" spans="12:13" x14ac:dyDescent="0.25">
      <c r="L2762" s="64">
        <v>512212</v>
      </c>
      <c r="M2762" t="s">
        <v>1541</v>
      </c>
    </row>
    <row r="2763" spans="12:13" x14ac:dyDescent="0.25">
      <c r="L2763" s="64">
        <v>512213</v>
      </c>
      <c r="M2763" t="s">
        <v>2091</v>
      </c>
    </row>
    <row r="2764" spans="12:13" x14ac:dyDescent="0.25">
      <c r="L2764" s="64">
        <v>512220</v>
      </c>
      <c r="M2764" t="s">
        <v>338</v>
      </c>
    </row>
    <row r="2765" spans="12:13" x14ac:dyDescent="0.25">
      <c r="L2765" s="64">
        <v>512221</v>
      </c>
      <c r="M2765" t="s">
        <v>338</v>
      </c>
    </row>
    <row r="2766" spans="12:13" x14ac:dyDescent="0.25">
      <c r="L2766" s="64">
        <v>512222</v>
      </c>
      <c r="M2766" t="s">
        <v>2092</v>
      </c>
    </row>
    <row r="2767" spans="12:13" x14ac:dyDescent="0.25">
      <c r="L2767" s="64">
        <v>512223</v>
      </c>
      <c r="M2767" t="s">
        <v>2093</v>
      </c>
    </row>
    <row r="2768" spans="12:13" x14ac:dyDescent="0.25">
      <c r="L2768" s="64">
        <v>512230</v>
      </c>
      <c r="M2768" t="s">
        <v>339</v>
      </c>
    </row>
    <row r="2769" spans="12:13" x14ac:dyDescent="0.25">
      <c r="L2769" s="64">
        <v>512231</v>
      </c>
      <c r="M2769" t="s">
        <v>2094</v>
      </c>
    </row>
    <row r="2770" spans="12:13" x14ac:dyDescent="0.25">
      <c r="L2770" s="64">
        <v>512232</v>
      </c>
      <c r="M2770" t="s">
        <v>1368</v>
      </c>
    </row>
    <row r="2771" spans="12:13" x14ac:dyDescent="0.25">
      <c r="L2771" s="64">
        <v>512233</v>
      </c>
      <c r="M2771" t="s">
        <v>2095</v>
      </c>
    </row>
    <row r="2772" spans="12:13" x14ac:dyDescent="0.25">
      <c r="L2772" s="64">
        <v>512240</v>
      </c>
      <c r="M2772" t="s">
        <v>340</v>
      </c>
    </row>
    <row r="2773" spans="12:13" x14ac:dyDescent="0.25">
      <c r="L2773" s="64">
        <v>512241</v>
      </c>
      <c r="M2773" t="s">
        <v>2096</v>
      </c>
    </row>
    <row r="2774" spans="12:13" x14ac:dyDescent="0.25">
      <c r="L2774" s="64">
        <v>512242</v>
      </c>
      <c r="M2774" t="s">
        <v>2097</v>
      </c>
    </row>
    <row r="2775" spans="12:13" x14ac:dyDescent="0.25">
      <c r="L2775" s="64">
        <v>512250</v>
      </c>
      <c r="M2775" t="s">
        <v>341</v>
      </c>
    </row>
    <row r="2776" spans="12:13" x14ac:dyDescent="0.25">
      <c r="L2776" s="64">
        <v>512251</v>
      </c>
      <c r="M2776" t="s">
        <v>2098</v>
      </c>
    </row>
    <row r="2777" spans="12:13" x14ac:dyDescent="0.25">
      <c r="L2777" s="64">
        <v>512252</v>
      </c>
      <c r="M2777" t="s">
        <v>2099</v>
      </c>
    </row>
    <row r="2778" spans="12:13" x14ac:dyDescent="0.25">
      <c r="L2778" s="64">
        <v>512260</v>
      </c>
      <c r="M2778" t="s">
        <v>342</v>
      </c>
    </row>
    <row r="2779" spans="12:13" x14ac:dyDescent="0.25">
      <c r="L2779" s="64">
        <v>512261</v>
      </c>
      <c r="M2779" t="s">
        <v>342</v>
      </c>
    </row>
    <row r="2780" spans="12:13" x14ac:dyDescent="0.25">
      <c r="L2780" s="64">
        <v>512300</v>
      </c>
      <c r="M2780" t="s">
        <v>346</v>
      </c>
    </row>
    <row r="2781" spans="12:13" x14ac:dyDescent="0.25">
      <c r="L2781" s="64">
        <v>512310</v>
      </c>
      <c r="M2781" t="s">
        <v>2100</v>
      </c>
    </row>
    <row r="2782" spans="12:13" x14ac:dyDescent="0.25">
      <c r="L2782" s="64">
        <v>512311</v>
      </c>
      <c r="M2782" t="s">
        <v>2100</v>
      </c>
    </row>
    <row r="2783" spans="12:13" x14ac:dyDescent="0.25">
      <c r="L2783" s="64">
        <v>512320</v>
      </c>
      <c r="M2783" t="s">
        <v>2101</v>
      </c>
    </row>
    <row r="2784" spans="12:13" x14ac:dyDescent="0.25">
      <c r="L2784" s="64">
        <v>512321</v>
      </c>
      <c r="M2784" t="s">
        <v>2101</v>
      </c>
    </row>
    <row r="2785" spans="12:13" x14ac:dyDescent="0.25">
      <c r="L2785" s="64">
        <v>512400</v>
      </c>
      <c r="M2785" t="s">
        <v>351</v>
      </c>
    </row>
    <row r="2786" spans="12:13" x14ac:dyDescent="0.25">
      <c r="L2786" s="64">
        <v>512410</v>
      </c>
      <c r="M2786" t="s">
        <v>351</v>
      </c>
    </row>
    <row r="2787" spans="12:13" x14ac:dyDescent="0.25">
      <c r="L2787" s="64">
        <v>512411</v>
      </c>
      <c r="M2787" t="s">
        <v>351</v>
      </c>
    </row>
    <row r="2788" spans="12:13" x14ac:dyDescent="0.25">
      <c r="L2788" s="64">
        <v>512420</v>
      </c>
      <c r="M2788" t="s">
        <v>352</v>
      </c>
    </row>
    <row r="2789" spans="12:13" x14ac:dyDescent="0.25">
      <c r="L2789" s="64">
        <v>512421</v>
      </c>
      <c r="M2789" t="s">
        <v>352</v>
      </c>
    </row>
    <row r="2790" spans="12:13" x14ac:dyDescent="0.25">
      <c r="L2790" s="64">
        <v>512500</v>
      </c>
      <c r="M2790" t="s">
        <v>356</v>
      </c>
    </row>
    <row r="2791" spans="12:13" x14ac:dyDescent="0.25">
      <c r="L2791" s="64">
        <v>512510</v>
      </c>
      <c r="M2791" t="s">
        <v>357</v>
      </c>
    </row>
    <row r="2792" spans="12:13" x14ac:dyDescent="0.25">
      <c r="L2792" s="64">
        <v>512511</v>
      </c>
      <c r="M2792" t="s">
        <v>357</v>
      </c>
    </row>
    <row r="2793" spans="12:13" x14ac:dyDescent="0.25">
      <c r="L2793" s="64">
        <v>512520</v>
      </c>
      <c r="M2793" t="s">
        <v>358</v>
      </c>
    </row>
    <row r="2794" spans="12:13" x14ac:dyDescent="0.25">
      <c r="L2794" s="64">
        <v>512521</v>
      </c>
      <c r="M2794" t="s">
        <v>358</v>
      </c>
    </row>
    <row r="2795" spans="12:13" x14ac:dyDescent="0.25">
      <c r="L2795" s="64">
        <v>512530</v>
      </c>
      <c r="M2795" t="s">
        <v>359</v>
      </c>
    </row>
    <row r="2796" spans="12:13" x14ac:dyDescent="0.25">
      <c r="L2796" s="64">
        <v>512531</v>
      </c>
      <c r="M2796" t="s">
        <v>359</v>
      </c>
    </row>
    <row r="2797" spans="12:13" x14ac:dyDescent="0.25">
      <c r="L2797" s="64">
        <v>512540</v>
      </c>
      <c r="M2797" t="s">
        <v>361</v>
      </c>
    </row>
    <row r="2798" spans="12:13" x14ac:dyDescent="0.25">
      <c r="L2798" s="64">
        <v>512541</v>
      </c>
      <c r="M2798" t="s">
        <v>361</v>
      </c>
    </row>
    <row r="2799" spans="12:13" x14ac:dyDescent="0.25">
      <c r="L2799" s="64">
        <v>512600</v>
      </c>
      <c r="M2799" t="s">
        <v>365</v>
      </c>
    </row>
    <row r="2800" spans="12:13" x14ac:dyDescent="0.25">
      <c r="L2800" s="64">
        <v>512610</v>
      </c>
      <c r="M2800" t="s">
        <v>366</v>
      </c>
    </row>
    <row r="2801" spans="12:13" x14ac:dyDescent="0.25">
      <c r="L2801" s="64">
        <v>512611</v>
      </c>
      <c r="M2801" t="s">
        <v>366</v>
      </c>
    </row>
    <row r="2802" spans="12:13" x14ac:dyDescent="0.25">
      <c r="L2802" s="64">
        <v>512620</v>
      </c>
      <c r="M2802" t="s">
        <v>367</v>
      </c>
    </row>
    <row r="2803" spans="12:13" x14ac:dyDescent="0.25">
      <c r="L2803" s="64">
        <v>512621</v>
      </c>
      <c r="M2803" t="s">
        <v>367</v>
      </c>
    </row>
    <row r="2804" spans="12:13" x14ac:dyDescent="0.25">
      <c r="L2804" s="64">
        <v>512630</v>
      </c>
      <c r="M2804" t="s">
        <v>368</v>
      </c>
    </row>
    <row r="2805" spans="12:13" x14ac:dyDescent="0.25">
      <c r="L2805" s="64">
        <v>512631</v>
      </c>
      <c r="M2805" t="s">
        <v>368</v>
      </c>
    </row>
    <row r="2806" spans="12:13" x14ac:dyDescent="0.25">
      <c r="L2806" s="64">
        <v>512640</v>
      </c>
      <c r="M2806" t="s">
        <v>369</v>
      </c>
    </row>
    <row r="2807" spans="12:13" x14ac:dyDescent="0.25">
      <c r="L2807" s="64">
        <v>512641</v>
      </c>
      <c r="M2807" t="s">
        <v>369</v>
      </c>
    </row>
    <row r="2808" spans="12:13" x14ac:dyDescent="0.25">
      <c r="L2808" s="64">
        <v>512650</v>
      </c>
      <c r="M2808" t="s">
        <v>370</v>
      </c>
    </row>
    <row r="2809" spans="12:13" x14ac:dyDescent="0.25">
      <c r="L2809" s="64">
        <v>512651</v>
      </c>
      <c r="M2809" t="s">
        <v>370</v>
      </c>
    </row>
    <row r="2810" spans="12:13" x14ac:dyDescent="0.25">
      <c r="L2810" s="64">
        <v>512700</v>
      </c>
      <c r="M2810" t="s">
        <v>374</v>
      </c>
    </row>
    <row r="2811" spans="12:13" x14ac:dyDescent="0.25">
      <c r="L2811" s="64">
        <v>512710</v>
      </c>
      <c r="M2811" t="s">
        <v>374</v>
      </c>
    </row>
    <row r="2812" spans="12:13" x14ac:dyDescent="0.25">
      <c r="L2812" s="64">
        <v>512711</v>
      </c>
      <c r="M2812" t="s">
        <v>374</v>
      </c>
    </row>
    <row r="2813" spans="12:13" x14ac:dyDescent="0.25">
      <c r="L2813" s="64">
        <v>512720</v>
      </c>
      <c r="M2813" t="s">
        <v>2102</v>
      </c>
    </row>
    <row r="2814" spans="12:13" x14ac:dyDescent="0.25">
      <c r="L2814" s="64">
        <v>512721</v>
      </c>
      <c r="M2814" t="s">
        <v>2102</v>
      </c>
    </row>
    <row r="2815" spans="12:13" x14ac:dyDescent="0.25">
      <c r="L2815" s="64">
        <v>512800</v>
      </c>
      <c r="M2815" t="s">
        <v>379</v>
      </c>
    </row>
    <row r="2816" spans="12:13" x14ac:dyDescent="0.25">
      <c r="L2816" s="64">
        <v>512810</v>
      </c>
      <c r="M2816" t="s">
        <v>379</v>
      </c>
    </row>
    <row r="2817" spans="12:13" x14ac:dyDescent="0.25">
      <c r="L2817" s="64">
        <v>512811</v>
      </c>
      <c r="M2817" t="s">
        <v>379</v>
      </c>
    </row>
    <row r="2818" spans="12:13" x14ac:dyDescent="0.25">
      <c r="L2818" s="64">
        <v>512820</v>
      </c>
      <c r="M2818" t="s">
        <v>2103</v>
      </c>
    </row>
    <row r="2819" spans="12:13" x14ac:dyDescent="0.25">
      <c r="L2819" s="64">
        <v>512821</v>
      </c>
      <c r="M2819" t="s">
        <v>2103</v>
      </c>
    </row>
    <row r="2820" spans="12:13" x14ac:dyDescent="0.25">
      <c r="L2820" s="64">
        <v>512900</v>
      </c>
      <c r="M2820" t="s">
        <v>384</v>
      </c>
    </row>
    <row r="2821" spans="12:13" x14ac:dyDescent="0.25">
      <c r="L2821" s="64">
        <v>512910</v>
      </c>
      <c r="M2821" t="s">
        <v>2104</v>
      </c>
    </row>
    <row r="2822" spans="12:13" x14ac:dyDescent="0.25">
      <c r="L2822" s="64">
        <v>512911</v>
      </c>
      <c r="M2822" t="s">
        <v>2104</v>
      </c>
    </row>
    <row r="2823" spans="12:13" x14ac:dyDescent="0.25">
      <c r="L2823" s="64">
        <v>512920</v>
      </c>
      <c r="M2823" t="s">
        <v>386</v>
      </c>
    </row>
    <row r="2824" spans="12:13" x14ac:dyDescent="0.25">
      <c r="L2824" s="64">
        <v>512921</v>
      </c>
      <c r="M2824" t="s">
        <v>386</v>
      </c>
    </row>
    <row r="2825" spans="12:13" x14ac:dyDescent="0.25">
      <c r="L2825" s="64">
        <v>512930</v>
      </c>
      <c r="M2825" t="s">
        <v>387</v>
      </c>
    </row>
    <row r="2826" spans="12:13" x14ac:dyDescent="0.25">
      <c r="L2826" s="64">
        <v>512931</v>
      </c>
      <c r="M2826" t="s">
        <v>2105</v>
      </c>
    </row>
    <row r="2827" spans="12:13" x14ac:dyDescent="0.25">
      <c r="L2827" s="64">
        <v>512932</v>
      </c>
      <c r="M2827" t="s">
        <v>2106</v>
      </c>
    </row>
    <row r="2828" spans="12:13" x14ac:dyDescent="0.25">
      <c r="L2828" s="64">
        <v>512933</v>
      </c>
      <c r="M2828" t="s">
        <v>2107</v>
      </c>
    </row>
    <row r="2829" spans="12:13" x14ac:dyDescent="0.25">
      <c r="L2829" s="64">
        <v>512940</v>
      </c>
      <c r="M2829" t="s">
        <v>2108</v>
      </c>
    </row>
    <row r="2830" spans="12:13" x14ac:dyDescent="0.25">
      <c r="L2830" s="64">
        <v>512941</v>
      </c>
      <c r="M2830" t="s">
        <v>2108</v>
      </c>
    </row>
    <row r="2831" spans="12:13" x14ac:dyDescent="0.25">
      <c r="L2831" s="64">
        <v>512950</v>
      </c>
      <c r="M2831" t="s">
        <v>2109</v>
      </c>
    </row>
    <row r="2832" spans="12:13" x14ac:dyDescent="0.25">
      <c r="L2832" s="64">
        <v>512951</v>
      </c>
      <c r="M2832" t="s">
        <v>2109</v>
      </c>
    </row>
    <row r="2833" spans="12:13" x14ac:dyDescent="0.25">
      <c r="L2833" s="64">
        <v>513000</v>
      </c>
      <c r="M2833" t="s">
        <v>393</v>
      </c>
    </row>
    <row r="2834" spans="12:13" x14ac:dyDescent="0.25">
      <c r="L2834" s="64">
        <v>513100</v>
      </c>
      <c r="M2834" t="s">
        <v>393</v>
      </c>
    </row>
    <row r="2835" spans="12:13" x14ac:dyDescent="0.25">
      <c r="L2835" s="64">
        <v>513110</v>
      </c>
      <c r="M2835" t="s">
        <v>393</v>
      </c>
    </row>
    <row r="2836" spans="12:13" x14ac:dyDescent="0.25">
      <c r="L2836" s="64">
        <v>513111</v>
      </c>
      <c r="M2836" t="s">
        <v>393</v>
      </c>
    </row>
    <row r="2837" spans="12:13" x14ac:dyDescent="0.25">
      <c r="L2837" s="64">
        <v>513119</v>
      </c>
      <c r="M2837" t="s">
        <v>2110</v>
      </c>
    </row>
    <row r="2838" spans="12:13" x14ac:dyDescent="0.25">
      <c r="L2838" s="64">
        <v>514000</v>
      </c>
      <c r="M2838" t="s">
        <v>398</v>
      </c>
    </row>
    <row r="2839" spans="12:13" x14ac:dyDescent="0.25">
      <c r="L2839" s="64">
        <v>514100</v>
      </c>
      <c r="M2839" t="s">
        <v>398</v>
      </c>
    </row>
    <row r="2840" spans="12:13" x14ac:dyDescent="0.25">
      <c r="L2840" s="64">
        <v>514110</v>
      </c>
      <c r="M2840" t="s">
        <v>2111</v>
      </c>
    </row>
    <row r="2841" spans="12:13" x14ac:dyDescent="0.25">
      <c r="L2841" s="64">
        <v>514111</v>
      </c>
      <c r="M2841" t="s">
        <v>2112</v>
      </c>
    </row>
    <row r="2842" spans="12:13" x14ac:dyDescent="0.25">
      <c r="L2842" s="64">
        <v>514112</v>
      </c>
      <c r="M2842" t="s">
        <v>2113</v>
      </c>
    </row>
    <row r="2843" spans="12:13" x14ac:dyDescent="0.25">
      <c r="L2843" s="64">
        <v>514113</v>
      </c>
      <c r="M2843" t="s">
        <v>2114</v>
      </c>
    </row>
    <row r="2844" spans="12:13" x14ac:dyDescent="0.25">
      <c r="L2844" s="64">
        <v>514114</v>
      </c>
      <c r="M2844" t="s">
        <v>2115</v>
      </c>
    </row>
    <row r="2845" spans="12:13" x14ac:dyDescent="0.25">
      <c r="L2845" s="64">
        <v>514115</v>
      </c>
      <c r="M2845" t="s">
        <v>2116</v>
      </c>
    </row>
    <row r="2846" spans="12:13" x14ac:dyDescent="0.25">
      <c r="L2846" s="64">
        <v>514116</v>
      </c>
      <c r="M2846" t="s">
        <v>2117</v>
      </c>
    </row>
    <row r="2847" spans="12:13" x14ac:dyDescent="0.25">
      <c r="L2847" s="64">
        <v>514117</v>
      </c>
      <c r="M2847" t="s">
        <v>2118</v>
      </c>
    </row>
    <row r="2848" spans="12:13" x14ac:dyDescent="0.25">
      <c r="L2848" s="64">
        <v>514118</v>
      </c>
      <c r="M2848" t="s">
        <v>2119</v>
      </c>
    </row>
    <row r="2849" spans="12:13" x14ac:dyDescent="0.25">
      <c r="L2849" s="64">
        <v>514119</v>
      </c>
      <c r="M2849" t="s">
        <v>2120</v>
      </c>
    </row>
    <row r="2850" spans="12:13" x14ac:dyDescent="0.25">
      <c r="L2850" s="64">
        <v>514120</v>
      </c>
      <c r="M2850" t="s">
        <v>400</v>
      </c>
    </row>
    <row r="2851" spans="12:13" x14ac:dyDescent="0.25">
      <c r="L2851" s="64">
        <v>514121</v>
      </c>
      <c r="M2851" t="s">
        <v>400</v>
      </c>
    </row>
    <row r="2852" spans="12:13" x14ac:dyDescent="0.25">
      <c r="L2852" s="64">
        <v>515000</v>
      </c>
      <c r="M2852" t="s">
        <v>490</v>
      </c>
    </row>
    <row r="2853" spans="12:13" x14ac:dyDescent="0.25">
      <c r="L2853" s="64">
        <v>515100</v>
      </c>
      <c r="M2853" t="s">
        <v>490</v>
      </c>
    </row>
    <row r="2854" spans="12:13" x14ac:dyDescent="0.25">
      <c r="L2854" s="64">
        <v>515110</v>
      </c>
      <c r="M2854" t="s">
        <v>491</v>
      </c>
    </row>
    <row r="2855" spans="12:13" x14ac:dyDescent="0.25">
      <c r="L2855" s="64">
        <v>515111</v>
      </c>
      <c r="M2855" t="s">
        <v>491</v>
      </c>
    </row>
    <row r="2856" spans="12:13" x14ac:dyDescent="0.25">
      <c r="L2856" s="64">
        <v>515120</v>
      </c>
      <c r="M2856" t="s">
        <v>495</v>
      </c>
    </row>
    <row r="2857" spans="12:13" x14ac:dyDescent="0.25">
      <c r="L2857" s="64">
        <v>515121</v>
      </c>
      <c r="M2857" t="s">
        <v>2121</v>
      </c>
    </row>
    <row r="2858" spans="12:13" x14ac:dyDescent="0.25">
      <c r="L2858" s="64">
        <v>515122</v>
      </c>
      <c r="M2858" t="s">
        <v>2122</v>
      </c>
    </row>
    <row r="2859" spans="12:13" x14ac:dyDescent="0.25">
      <c r="L2859" s="64">
        <v>515123</v>
      </c>
      <c r="M2859" t="s">
        <v>2123</v>
      </c>
    </row>
    <row r="2860" spans="12:13" x14ac:dyDescent="0.25">
      <c r="L2860" s="64">
        <v>515124</v>
      </c>
      <c r="M2860" t="s">
        <v>2124</v>
      </c>
    </row>
    <row r="2861" spans="12:13" x14ac:dyDescent="0.25">
      <c r="L2861" s="64">
        <v>515125</v>
      </c>
      <c r="M2861" t="s">
        <v>2125</v>
      </c>
    </row>
    <row r="2862" spans="12:13" x14ac:dyDescent="0.25">
      <c r="L2862" s="64">
        <v>515126</v>
      </c>
      <c r="M2862" t="s">
        <v>2126</v>
      </c>
    </row>
    <row r="2863" spans="12:13" x14ac:dyDescent="0.25">
      <c r="L2863" s="64">
        <v>515129</v>
      </c>
      <c r="M2863" t="s">
        <v>2127</v>
      </c>
    </row>
    <row r="2864" spans="12:13" x14ac:dyDescent="0.25">
      <c r="L2864" s="64">
        <v>515190</v>
      </c>
      <c r="M2864" t="s">
        <v>511</v>
      </c>
    </row>
    <row r="2865" spans="12:13" x14ac:dyDescent="0.25">
      <c r="L2865" s="64">
        <v>515191</v>
      </c>
      <c r="M2865" t="s">
        <v>2128</v>
      </c>
    </row>
    <row r="2866" spans="12:13" x14ac:dyDescent="0.25">
      <c r="L2866" s="64">
        <v>515192</v>
      </c>
      <c r="M2866" t="s">
        <v>2129</v>
      </c>
    </row>
    <row r="2867" spans="12:13" x14ac:dyDescent="0.25">
      <c r="L2867" s="64">
        <v>515193</v>
      </c>
      <c r="M2867" t="s">
        <v>2130</v>
      </c>
    </row>
    <row r="2868" spans="12:13" x14ac:dyDescent="0.25">
      <c r="L2868" s="64">
        <v>515194</v>
      </c>
      <c r="M2868" t="s">
        <v>2131</v>
      </c>
    </row>
    <row r="2869" spans="12:13" x14ac:dyDescent="0.25">
      <c r="L2869" s="64">
        <v>515195</v>
      </c>
      <c r="M2869" t="s">
        <v>2132</v>
      </c>
    </row>
    <row r="2870" spans="12:13" x14ac:dyDescent="0.25">
      <c r="L2870" s="64">
        <v>515196</v>
      </c>
      <c r="M2870" t="s">
        <v>2133</v>
      </c>
    </row>
    <row r="2871" spans="12:13" x14ac:dyDescent="0.25">
      <c r="L2871" s="64">
        <v>515197</v>
      </c>
      <c r="M2871" t="s">
        <v>2134</v>
      </c>
    </row>
    <row r="2872" spans="12:13" x14ac:dyDescent="0.25">
      <c r="L2872" s="64">
        <v>515199</v>
      </c>
      <c r="M2872" t="s">
        <v>511</v>
      </c>
    </row>
    <row r="2873" spans="12:13" x14ac:dyDescent="0.25">
      <c r="L2873" s="64">
        <v>520000</v>
      </c>
      <c r="M2873" t="s">
        <v>522</v>
      </c>
    </row>
    <row r="2874" spans="12:13" x14ac:dyDescent="0.25">
      <c r="L2874" s="64">
        <v>521000</v>
      </c>
      <c r="M2874" t="s">
        <v>523</v>
      </c>
    </row>
    <row r="2875" spans="12:13" x14ac:dyDescent="0.25">
      <c r="L2875" s="64">
        <v>521100</v>
      </c>
      <c r="M2875" t="s">
        <v>523</v>
      </c>
    </row>
    <row r="2876" spans="12:13" x14ac:dyDescent="0.25">
      <c r="L2876" s="64">
        <v>521110</v>
      </c>
      <c r="M2876" t="s">
        <v>523</v>
      </c>
    </row>
    <row r="2877" spans="12:13" x14ac:dyDescent="0.25">
      <c r="L2877" s="64">
        <v>521111</v>
      </c>
      <c r="M2877" t="s">
        <v>523</v>
      </c>
    </row>
    <row r="2878" spans="12:13" x14ac:dyDescent="0.25">
      <c r="L2878" s="64">
        <v>522000</v>
      </c>
      <c r="M2878" t="s">
        <v>527</v>
      </c>
    </row>
    <row r="2879" spans="12:13" x14ac:dyDescent="0.25">
      <c r="L2879" s="64">
        <v>522100</v>
      </c>
      <c r="M2879" t="s">
        <v>1974</v>
      </c>
    </row>
    <row r="2880" spans="12:13" x14ac:dyDescent="0.25">
      <c r="L2880" s="64">
        <v>522110</v>
      </c>
      <c r="M2880" t="s">
        <v>1974</v>
      </c>
    </row>
    <row r="2881" spans="12:13" x14ac:dyDescent="0.25">
      <c r="L2881" s="64">
        <v>522111</v>
      </c>
      <c r="M2881" t="s">
        <v>1974</v>
      </c>
    </row>
    <row r="2882" spans="12:13" x14ac:dyDescent="0.25">
      <c r="L2882" s="64">
        <v>522200</v>
      </c>
      <c r="M2882" t="s">
        <v>1206</v>
      </c>
    </row>
    <row r="2883" spans="12:13" x14ac:dyDescent="0.25">
      <c r="L2883" s="64">
        <v>522210</v>
      </c>
      <c r="M2883" t="s">
        <v>1206</v>
      </c>
    </row>
    <row r="2884" spans="12:13" x14ac:dyDescent="0.25">
      <c r="L2884" s="64">
        <v>522211</v>
      </c>
      <c r="M2884" t="s">
        <v>1206</v>
      </c>
    </row>
    <row r="2885" spans="12:13" x14ac:dyDescent="0.25">
      <c r="L2885" s="64">
        <v>522300</v>
      </c>
      <c r="M2885" t="s">
        <v>1207</v>
      </c>
    </row>
    <row r="2886" spans="12:13" x14ac:dyDescent="0.25">
      <c r="L2886" s="64">
        <v>522310</v>
      </c>
      <c r="M2886" t="s">
        <v>1207</v>
      </c>
    </row>
    <row r="2887" spans="12:13" x14ac:dyDescent="0.25">
      <c r="L2887" s="64">
        <v>522311</v>
      </c>
      <c r="M2887" t="s">
        <v>1207</v>
      </c>
    </row>
    <row r="2888" spans="12:13" x14ac:dyDescent="0.25">
      <c r="L2888" s="64">
        <v>523000</v>
      </c>
      <c r="M2888" t="s">
        <v>1208</v>
      </c>
    </row>
    <row r="2889" spans="12:13" x14ac:dyDescent="0.25">
      <c r="L2889" s="64">
        <v>523100</v>
      </c>
      <c r="M2889" t="s">
        <v>1208</v>
      </c>
    </row>
    <row r="2890" spans="12:13" x14ac:dyDescent="0.25">
      <c r="L2890" s="64">
        <v>523110</v>
      </c>
      <c r="M2890" t="s">
        <v>1208</v>
      </c>
    </row>
    <row r="2891" spans="12:13" x14ac:dyDescent="0.25">
      <c r="L2891" s="64">
        <v>523111</v>
      </c>
      <c r="M2891" t="s">
        <v>1208</v>
      </c>
    </row>
    <row r="2892" spans="12:13" x14ac:dyDescent="0.25">
      <c r="L2892" s="64">
        <v>530000</v>
      </c>
      <c r="M2892" t="s">
        <v>404</v>
      </c>
    </row>
    <row r="2893" spans="12:13" x14ac:dyDescent="0.25">
      <c r="L2893" s="64">
        <v>531000</v>
      </c>
      <c r="M2893" t="s">
        <v>404</v>
      </c>
    </row>
    <row r="2894" spans="12:13" x14ac:dyDescent="0.25">
      <c r="L2894" s="64">
        <v>531100</v>
      </c>
      <c r="M2894" t="s">
        <v>404</v>
      </c>
    </row>
    <row r="2895" spans="12:13" x14ac:dyDescent="0.25">
      <c r="L2895" s="64">
        <v>531110</v>
      </c>
      <c r="M2895" t="s">
        <v>404</v>
      </c>
    </row>
    <row r="2896" spans="12:13" x14ac:dyDescent="0.25">
      <c r="L2896" s="64">
        <v>531111</v>
      </c>
      <c r="M2896" t="s">
        <v>404</v>
      </c>
    </row>
    <row r="2897" spans="12:13" x14ac:dyDescent="0.25">
      <c r="L2897" s="64">
        <v>540000</v>
      </c>
      <c r="M2897" t="s">
        <v>413</v>
      </c>
    </row>
    <row r="2898" spans="12:13" x14ac:dyDescent="0.25">
      <c r="L2898" s="64">
        <v>541000</v>
      </c>
      <c r="M2898" t="s">
        <v>414</v>
      </c>
    </row>
    <row r="2899" spans="12:13" x14ac:dyDescent="0.25">
      <c r="L2899" s="64">
        <v>541100</v>
      </c>
      <c r="M2899" t="s">
        <v>414</v>
      </c>
    </row>
    <row r="2900" spans="12:13" x14ac:dyDescent="0.25">
      <c r="L2900" s="64">
        <v>541110</v>
      </c>
      <c r="M2900" t="s">
        <v>2135</v>
      </c>
    </row>
    <row r="2901" spans="12:13" x14ac:dyDescent="0.25">
      <c r="L2901" s="64">
        <v>541111</v>
      </c>
      <c r="M2901" t="s">
        <v>2136</v>
      </c>
    </row>
    <row r="2902" spans="12:13" x14ac:dyDescent="0.25">
      <c r="L2902" s="64">
        <v>541112</v>
      </c>
      <c r="M2902" t="s">
        <v>2137</v>
      </c>
    </row>
    <row r="2903" spans="12:13" x14ac:dyDescent="0.25">
      <c r="L2903" s="64">
        <v>541113</v>
      </c>
      <c r="M2903" t="s">
        <v>2138</v>
      </c>
    </row>
    <row r="2904" spans="12:13" x14ac:dyDescent="0.25">
      <c r="L2904" s="64">
        <v>541114</v>
      </c>
      <c r="M2904" t="s">
        <v>2139</v>
      </c>
    </row>
    <row r="2905" spans="12:13" x14ac:dyDescent="0.25">
      <c r="L2905" s="64">
        <v>541115</v>
      </c>
      <c r="M2905" t="s">
        <v>2140</v>
      </c>
    </row>
    <row r="2906" spans="12:13" x14ac:dyDescent="0.25">
      <c r="L2906" s="64">
        <v>541120</v>
      </c>
      <c r="M2906" t="s">
        <v>2141</v>
      </c>
    </row>
    <row r="2907" spans="12:13" x14ac:dyDescent="0.25">
      <c r="L2907" s="64">
        <v>541121</v>
      </c>
      <c r="M2907" t="s">
        <v>2142</v>
      </c>
    </row>
    <row r="2908" spans="12:13" x14ac:dyDescent="0.25">
      <c r="L2908" s="64">
        <v>541122</v>
      </c>
      <c r="M2908" t="s">
        <v>2143</v>
      </c>
    </row>
    <row r="2909" spans="12:13" x14ac:dyDescent="0.25">
      <c r="L2909" s="64">
        <v>541123</v>
      </c>
      <c r="M2909" t="s">
        <v>2144</v>
      </c>
    </row>
    <row r="2910" spans="12:13" x14ac:dyDescent="0.25">
      <c r="L2910" s="64">
        <v>541124</v>
      </c>
      <c r="M2910" t="s">
        <v>2145</v>
      </c>
    </row>
    <row r="2911" spans="12:13" x14ac:dyDescent="0.25">
      <c r="L2911" s="64">
        <v>541125</v>
      </c>
      <c r="M2911" t="s">
        <v>2146</v>
      </c>
    </row>
    <row r="2912" spans="12:13" x14ac:dyDescent="0.25">
      <c r="L2912" s="64">
        <v>542000</v>
      </c>
      <c r="M2912" t="s">
        <v>1975</v>
      </c>
    </row>
    <row r="2913" spans="12:13" x14ac:dyDescent="0.25">
      <c r="L2913" s="64">
        <v>542100</v>
      </c>
      <c r="M2913" t="s">
        <v>424</v>
      </c>
    </row>
    <row r="2914" spans="12:13" x14ac:dyDescent="0.25">
      <c r="L2914" s="64">
        <v>542110</v>
      </c>
      <c r="M2914" t="s">
        <v>424</v>
      </c>
    </row>
    <row r="2915" spans="12:13" x14ac:dyDescent="0.25">
      <c r="L2915" s="64">
        <v>542111</v>
      </c>
      <c r="M2915" t="s">
        <v>424</v>
      </c>
    </row>
    <row r="2916" spans="12:13" x14ac:dyDescent="0.25">
      <c r="L2916" s="64">
        <v>542112</v>
      </c>
      <c r="M2916" t="s">
        <v>2147</v>
      </c>
    </row>
    <row r="2917" spans="12:13" x14ac:dyDescent="0.25">
      <c r="L2917" s="64">
        <v>542113</v>
      </c>
      <c r="M2917" t="s">
        <v>2148</v>
      </c>
    </row>
    <row r="2918" spans="12:13" x14ac:dyDescent="0.25">
      <c r="L2918" s="64">
        <v>542120</v>
      </c>
      <c r="M2918" t="s">
        <v>2149</v>
      </c>
    </row>
    <row r="2919" spans="12:13" x14ac:dyDescent="0.25">
      <c r="L2919" s="64">
        <v>542121</v>
      </c>
      <c r="M2919" t="s">
        <v>2150</v>
      </c>
    </row>
    <row r="2920" spans="12:13" x14ac:dyDescent="0.25">
      <c r="L2920" s="64">
        <v>542122</v>
      </c>
      <c r="M2920" t="s">
        <v>2151</v>
      </c>
    </row>
    <row r="2921" spans="12:13" x14ac:dyDescent="0.25">
      <c r="L2921" s="64">
        <v>542123</v>
      </c>
      <c r="M2921" t="s">
        <v>2152</v>
      </c>
    </row>
    <row r="2922" spans="12:13" x14ac:dyDescent="0.25">
      <c r="L2922" s="64">
        <v>543000</v>
      </c>
      <c r="M2922" t="s">
        <v>430</v>
      </c>
    </row>
    <row r="2923" spans="12:13" x14ac:dyDescent="0.25">
      <c r="L2923" s="64">
        <v>543100</v>
      </c>
      <c r="M2923" t="s">
        <v>431</v>
      </c>
    </row>
    <row r="2924" spans="12:13" x14ac:dyDescent="0.25">
      <c r="L2924" s="64">
        <v>543110</v>
      </c>
      <c r="M2924" t="s">
        <v>431</v>
      </c>
    </row>
    <row r="2925" spans="12:13" x14ac:dyDescent="0.25">
      <c r="L2925" s="64">
        <v>543111</v>
      </c>
      <c r="M2925" t="s">
        <v>2153</v>
      </c>
    </row>
    <row r="2926" spans="12:13" x14ac:dyDescent="0.25">
      <c r="L2926" s="64">
        <v>543120</v>
      </c>
      <c r="M2926" t="s">
        <v>2154</v>
      </c>
    </row>
    <row r="2927" spans="12:13" x14ac:dyDescent="0.25">
      <c r="L2927" s="64">
        <v>543121</v>
      </c>
      <c r="M2927" t="s">
        <v>2155</v>
      </c>
    </row>
    <row r="2928" spans="12:13" x14ac:dyDescent="0.25">
      <c r="L2928" s="64">
        <v>543200</v>
      </c>
      <c r="M2928" t="s">
        <v>435</v>
      </c>
    </row>
    <row r="2929" spans="12:13" x14ac:dyDescent="0.25">
      <c r="L2929" s="64">
        <v>543210</v>
      </c>
      <c r="M2929" t="s">
        <v>435</v>
      </c>
    </row>
    <row r="2930" spans="12:13" x14ac:dyDescent="0.25">
      <c r="L2930" s="64">
        <v>543211</v>
      </c>
      <c r="M2930" t="s">
        <v>2156</v>
      </c>
    </row>
    <row r="2931" spans="12:13" x14ac:dyDescent="0.25">
      <c r="L2931" s="64">
        <v>543220</v>
      </c>
      <c r="M2931" t="s">
        <v>2157</v>
      </c>
    </row>
    <row r="2932" spans="12:13" x14ac:dyDescent="0.25">
      <c r="L2932" s="64">
        <v>543221</v>
      </c>
      <c r="M2932" t="s">
        <v>2157</v>
      </c>
    </row>
    <row r="2933" spans="12:13" x14ac:dyDescent="0.25">
      <c r="L2933" s="64">
        <v>550000</v>
      </c>
      <c r="M2933" t="s">
        <v>2158</v>
      </c>
    </row>
    <row r="2934" spans="12:13" x14ac:dyDescent="0.25">
      <c r="L2934" s="64">
        <v>551000</v>
      </c>
      <c r="M2934" t="s">
        <v>2158</v>
      </c>
    </row>
    <row r="2935" spans="12:13" x14ac:dyDescent="0.25">
      <c r="L2935" s="64">
        <v>551100</v>
      </c>
      <c r="M2935" t="s">
        <v>2158</v>
      </c>
    </row>
    <row r="2936" spans="12:13" x14ac:dyDescent="0.25">
      <c r="L2936" s="64">
        <v>551110</v>
      </c>
      <c r="M2936" t="s">
        <v>2158</v>
      </c>
    </row>
    <row r="2937" spans="12:13" x14ac:dyDescent="0.25">
      <c r="L2937" s="64">
        <v>551111</v>
      </c>
      <c r="M2937" t="s">
        <v>2158</v>
      </c>
    </row>
    <row r="2938" spans="12:13" x14ac:dyDescent="0.25">
      <c r="L2938" s="64">
        <v>551120</v>
      </c>
      <c r="M2938" t="s">
        <v>2159</v>
      </c>
    </row>
    <row r="2939" spans="12:13" x14ac:dyDescent="0.25">
      <c r="L2939" s="64">
        <v>551121</v>
      </c>
      <c r="M2939" t="s">
        <v>2159</v>
      </c>
    </row>
    <row r="2940" spans="12:13" x14ac:dyDescent="0.25">
      <c r="L2940" s="64">
        <v>600000</v>
      </c>
      <c r="M2940" t="s">
        <v>1976</v>
      </c>
    </row>
    <row r="2941" spans="12:13" x14ac:dyDescent="0.25">
      <c r="L2941" s="64">
        <v>610000</v>
      </c>
      <c r="M2941" t="s">
        <v>1977</v>
      </c>
    </row>
    <row r="2942" spans="12:13" x14ac:dyDescent="0.25">
      <c r="L2942" s="64">
        <v>611000</v>
      </c>
      <c r="M2942" t="s">
        <v>2160</v>
      </c>
    </row>
    <row r="2943" spans="12:13" x14ac:dyDescent="0.25">
      <c r="L2943" s="64">
        <v>611100</v>
      </c>
      <c r="M2943" t="s">
        <v>1979</v>
      </c>
    </row>
    <row r="2944" spans="12:13" x14ac:dyDescent="0.25">
      <c r="L2944" s="64">
        <v>611110</v>
      </c>
      <c r="M2944" t="s">
        <v>2161</v>
      </c>
    </row>
    <row r="2945" spans="12:13" x14ac:dyDescent="0.25">
      <c r="L2945" s="64">
        <v>611111</v>
      </c>
      <c r="M2945" t="s">
        <v>2161</v>
      </c>
    </row>
    <row r="2946" spans="12:13" x14ac:dyDescent="0.25">
      <c r="L2946" s="64">
        <v>611120</v>
      </c>
      <c r="M2946" t="s">
        <v>2162</v>
      </c>
    </row>
    <row r="2947" spans="12:13" x14ac:dyDescent="0.25">
      <c r="L2947" s="64">
        <v>611121</v>
      </c>
      <c r="M2947" t="s">
        <v>2162</v>
      </c>
    </row>
    <row r="2948" spans="12:13" x14ac:dyDescent="0.25">
      <c r="L2948" s="64">
        <v>611122</v>
      </c>
      <c r="M2948" t="s">
        <v>2163</v>
      </c>
    </row>
    <row r="2949" spans="12:13" x14ac:dyDescent="0.25">
      <c r="L2949" s="64">
        <v>611200</v>
      </c>
      <c r="M2949" t="s">
        <v>1980</v>
      </c>
    </row>
    <row r="2950" spans="12:13" x14ac:dyDescent="0.25">
      <c r="L2950" s="64">
        <v>611210</v>
      </c>
      <c r="M2950" t="s">
        <v>2164</v>
      </c>
    </row>
    <row r="2951" spans="12:13" x14ac:dyDescent="0.25">
      <c r="L2951" s="64">
        <v>611211</v>
      </c>
      <c r="M2951" t="s">
        <v>2164</v>
      </c>
    </row>
    <row r="2952" spans="12:13" x14ac:dyDescent="0.25">
      <c r="L2952" s="64">
        <v>611220</v>
      </c>
      <c r="M2952" t="s">
        <v>2165</v>
      </c>
    </row>
    <row r="2953" spans="12:13" x14ac:dyDescent="0.25">
      <c r="L2953" s="64">
        <v>611221</v>
      </c>
      <c r="M2953" t="s">
        <v>2165</v>
      </c>
    </row>
    <row r="2954" spans="12:13" x14ac:dyDescent="0.25">
      <c r="L2954" s="64">
        <v>611230</v>
      </c>
      <c r="M2954" t="s">
        <v>2166</v>
      </c>
    </row>
    <row r="2955" spans="12:13" x14ac:dyDescent="0.25">
      <c r="L2955" s="64">
        <v>611231</v>
      </c>
      <c r="M2955" t="s">
        <v>2166</v>
      </c>
    </row>
    <row r="2956" spans="12:13" x14ac:dyDescent="0.25">
      <c r="L2956" s="64">
        <v>611240</v>
      </c>
      <c r="M2956" t="s">
        <v>2167</v>
      </c>
    </row>
    <row r="2957" spans="12:13" x14ac:dyDescent="0.25">
      <c r="L2957" s="64">
        <v>611241</v>
      </c>
      <c r="M2957" t="s">
        <v>2167</v>
      </c>
    </row>
    <row r="2958" spans="12:13" x14ac:dyDescent="0.25">
      <c r="L2958" s="64">
        <v>611250</v>
      </c>
      <c r="M2958" t="s">
        <v>2168</v>
      </c>
    </row>
    <row r="2959" spans="12:13" x14ac:dyDescent="0.25">
      <c r="L2959" s="64">
        <v>611251</v>
      </c>
      <c r="M2959" t="s">
        <v>2169</v>
      </c>
    </row>
    <row r="2960" spans="12:13" x14ac:dyDescent="0.25">
      <c r="L2960" s="64">
        <v>611252</v>
      </c>
      <c r="M2960" t="s">
        <v>2170</v>
      </c>
    </row>
    <row r="2961" spans="12:13" x14ac:dyDescent="0.25">
      <c r="L2961" s="64">
        <v>611255</v>
      </c>
      <c r="M2961" t="s">
        <v>2171</v>
      </c>
    </row>
    <row r="2962" spans="12:13" x14ac:dyDescent="0.25">
      <c r="L2962" s="64">
        <v>611300</v>
      </c>
      <c r="M2962" t="s">
        <v>1981</v>
      </c>
    </row>
    <row r="2963" spans="12:13" x14ac:dyDescent="0.25">
      <c r="L2963" s="64">
        <v>611310</v>
      </c>
      <c r="M2963" t="s">
        <v>2172</v>
      </c>
    </row>
    <row r="2964" spans="12:13" x14ac:dyDescent="0.25">
      <c r="L2964" s="64">
        <v>611311</v>
      </c>
      <c r="M2964" t="s">
        <v>2172</v>
      </c>
    </row>
    <row r="2965" spans="12:13" x14ac:dyDescent="0.25">
      <c r="L2965" s="64">
        <v>611390</v>
      </c>
      <c r="M2965" t="s">
        <v>2173</v>
      </c>
    </row>
    <row r="2966" spans="12:13" x14ac:dyDescent="0.25">
      <c r="L2966" s="64">
        <v>611391</v>
      </c>
      <c r="M2966" t="s">
        <v>2173</v>
      </c>
    </row>
    <row r="2967" spans="12:13" x14ac:dyDescent="0.25">
      <c r="L2967" s="64">
        <v>611400</v>
      </c>
      <c r="M2967" t="s">
        <v>1982</v>
      </c>
    </row>
    <row r="2968" spans="12:13" x14ac:dyDescent="0.25">
      <c r="L2968" s="64">
        <v>611410</v>
      </c>
      <c r="M2968" t="s">
        <v>1982</v>
      </c>
    </row>
    <row r="2969" spans="12:13" x14ac:dyDescent="0.25">
      <c r="L2969" s="64">
        <v>611411</v>
      </c>
      <c r="M2969" t="s">
        <v>1982</v>
      </c>
    </row>
    <row r="2970" spans="12:13" x14ac:dyDescent="0.25">
      <c r="L2970" s="64">
        <v>611500</v>
      </c>
      <c r="M2970" t="s">
        <v>1983</v>
      </c>
    </row>
    <row r="2971" spans="12:13" x14ac:dyDescent="0.25">
      <c r="L2971" s="64">
        <v>611510</v>
      </c>
      <c r="M2971" t="s">
        <v>1983</v>
      </c>
    </row>
    <row r="2972" spans="12:13" x14ac:dyDescent="0.25">
      <c r="L2972" s="64">
        <v>611511</v>
      </c>
      <c r="M2972" t="s">
        <v>1983</v>
      </c>
    </row>
    <row r="2973" spans="12:13" x14ac:dyDescent="0.25">
      <c r="L2973" s="64">
        <v>611600</v>
      </c>
      <c r="M2973" t="s">
        <v>1984</v>
      </c>
    </row>
    <row r="2974" spans="12:13" x14ac:dyDescent="0.25">
      <c r="L2974" s="64">
        <v>611610</v>
      </c>
      <c r="M2974" t="s">
        <v>1984</v>
      </c>
    </row>
    <row r="2975" spans="12:13" x14ac:dyDescent="0.25">
      <c r="L2975" s="64">
        <v>611611</v>
      </c>
      <c r="M2975" t="s">
        <v>1984</v>
      </c>
    </row>
    <row r="2976" spans="12:13" x14ac:dyDescent="0.25">
      <c r="L2976" s="64">
        <v>611700</v>
      </c>
      <c r="M2976" t="s">
        <v>1985</v>
      </c>
    </row>
    <row r="2977" spans="12:13" x14ac:dyDescent="0.25">
      <c r="L2977" s="64">
        <v>611710</v>
      </c>
      <c r="M2977" t="s">
        <v>1985</v>
      </c>
    </row>
    <row r="2978" spans="12:13" x14ac:dyDescent="0.25">
      <c r="L2978" s="64">
        <v>611711</v>
      </c>
      <c r="M2978" t="s">
        <v>1985</v>
      </c>
    </row>
    <row r="2979" spans="12:13" x14ac:dyDescent="0.25">
      <c r="L2979" s="64">
        <v>611800</v>
      </c>
      <c r="M2979" t="s">
        <v>1986</v>
      </c>
    </row>
    <row r="2980" spans="12:13" x14ac:dyDescent="0.25">
      <c r="L2980" s="64">
        <v>611810</v>
      </c>
      <c r="M2980" t="s">
        <v>1986</v>
      </c>
    </row>
    <row r="2981" spans="12:13" x14ac:dyDescent="0.25">
      <c r="L2981" s="64">
        <v>611811</v>
      </c>
      <c r="M2981" t="s">
        <v>1986</v>
      </c>
    </row>
    <row r="2982" spans="12:13" x14ac:dyDescent="0.25">
      <c r="L2982" s="64">
        <v>611900</v>
      </c>
      <c r="M2982" t="s">
        <v>1987</v>
      </c>
    </row>
    <row r="2983" spans="12:13" x14ac:dyDescent="0.25">
      <c r="L2983" s="64">
        <v>611910</v>
      </c>
      <c r="M2983" t="s">
        <v>2174</v>
      </c>
    </row>
    <row r="2984" spans="12:13" x14ac:dyDescent="0.25">
      <c r="L2984" s="64">
        <v>611911</v>
      </c>
      <c r="M2984" t="s">
        <v>2174</v>
      </c>
    </row>
    <row r="2985" spans="12:13" x14ac:dyDescent="0.25">
      <c r="L2985" s="64">
        <v>611920</v>
      </c>
      <c r="M2985" t="s">
        <v>2175</v>
      </c>
    </row>
    <row r="2986" spans="12:13" x14ac:dyDescent="0.25">
      <c r="L2986" s="64">
        <v>611921</v>
      </c>
      <c r="M2986" t="s">
        <v>2175</v>
      </c>
    </row>
    <row r="2987" spans="12:13" x14ac:dyDescent="0.25">
      <c r="L2987" s="64">
        <v>612000</v>
      </c>
      <c r="M2987" t="s">
        <v>1988</v>
      </c>
    </row>
    <row r="2988" spans="12:13" x14ac:dyDescent="0.25">
      <c r="L2988" s="64">
        <v>612100</v>
      </c>
      <c r="M2988" t="s">
        <v>1989</v>
      </c>
    </row>
    <row r="2989" spans="12:13" x14ac:dyDescent="0.25">
      <c r="L2989" s="64">
        <v>612110</v>
      </c>
      <c r="M2989" t="s">
        <v>2176</v>
      </c>
    </row>
    <row r="2990" spans="12:13" x14ac:dyDescent="0.25">
      <c r="L2990" s="64">
        <v>612111</v>
      </c>
      <c r="M2990" t="s">
        <v>2176</v>
      </c>
    </row>
    <row r="2991" spans="12:13" x14ac:dyDescent="0.25">
      <c r="L2991" s="64">
        <v>612120</v>
      </c>
      <c r="M2991" t="s">
        <v>2177</v>
      </c>
    </row>
    <row r="2992" spans="12:13" x14ac:dyDescent="0.25">
      <c r="L2992" s="64">
        <v>612121</v>
      </c>
      <c r="M2992" t="s">
        <v>2178</v>
      </c>
    </row>
    <row r="2993" spans="12:13" x14ac:dyDescent="0.25">
      <c r="L2993" s="64">
        <v>612122</v>
      </c>
      <c r="M2993" t="s">
        <v>2179</v>
      </c>
    </row>
    <row r="2994" spans="12:13" x14ac:dyDescent="0.25">
      <c r="L2994" s="64">
        <v>612200</v>
      </c>
      <c r="M2994" t="s">
        <v>1990</v>
      </c>
    </row>
    <row r="2995" spans="12:13" x14ac:dyDescent="0.25">
      <c r="L2995" s="64">
        <v>612210</v>
      </c>
      <c r="M2995" t="s">
        <v>2180</v>
      </c>
    </row>
    <row r="2996" spans="12:13" x14ac:dyDescent="0.25">
      <c r="L2996" s="64">
        <v>612211</v>
      </c>
      <c r="M2996" t="s">
        <v>2180</v>
      </c>
    </row>
    <row r="2997" spans="12:13" x14ac:dyDescent="0.25">
      <c r="L2997" s="64">
        <v>612220</v>
      </c>
      <c r="M2997" t="s">
        <v>2181</v>
      </c>
    </row>
    <row r="2998" spans="12:13" x14ac:dyDescent="0.25">
      <c r="L2998" s="64">
        <v>612221</v>
      </c>
      <c r="M2998" t="s">
        <v>2181</v>
      </c>
    </row>
    <row r="2999" spans="12:13" x14ac:dyDescent="0.25">
      <c r="L2999" s="64">
        <v>612290</v>
      </c>
      <c r="M2999" t="s">
        <v>2182</v>
      </c>
    </row>
    <row r="3000" spans="12:13" x14ac:dyDescent="0.25">
      <c r="L3000" s="64">
        <v>612291</v>
      </c>
      <c r="M3000" t="s">
        <v>2182</v>
      </c>
    </row>
    <row r="3001" spans="12:13" x14ac:dyDescent="0.25">
      <c r="L3001" s="64">
        <v>612300</v>
      </c>
      <c r="M3001" t="s">
        <v>1991</v>
      </c>
    </row>
    <row r="3002" spans="12:13" x14ac:dyDescent="0.25">
      <c r="L3002" s="64">
        <v>612310</v>
      </c>
      <c r="M3002" t="s">
        <v>2183</v>
      </c>
    </row>
    <row r="3003" spans="12:13" x14ac:dyDescent="0.25">
      <c r="L3003" s="64">
        <v>612311</v>
      </c>
      <c r="M3003" t="s">
        <v>2183</v>
      </c>
    </row>
    <row r="3004" spans="12:13" x14ac:dyDescent="0.25">
      <c r="L3004" s="64">
        <v>612320</v>
      </c>
      <c r="M3004" t="s">
        <v>2184</v>
      </c>
    </row>
    <row r="3005" spans="12:13" x14ac:dyDescent="0.25">
      <c r="L3005" s="64">
        <v>612321</v>
      </c>
      <c r="M3005" t="s">
        <v>2184</v>
      </c>
    </row>
    <row r="3006" spans="12:13" x14ac:dyDescent="0.25">
      <c r="L3006" s="64">
        <v>612330</v>
      </c>
      <c r="M3006" t="s">
        <v>2185</v>
      </c>
    </row>
    <row r="3007" spans="12:13" x14ac:dyDescent="0.25">
      <c r="L3007" s="64">
        <v>612331</v>
      </c>
      <c r="M3007" t="s">
        <v>2185</v>
      </c>
    </row>
    <row r="3008" spans="12:13" x14ac:dyDescent="0.25">
      <c r="L3008" s="64">
        <v>612340</v>
      </c>
      <c r="M3008" t="s">
        <v>2186</v>
      </c>
    </row>
    <row r="3009" spans="12:13" x14ac:dyDescent="0.25">
      <c r="L3009" s="64">
        <v>612341</v>
      </c>
      <c r="M3009" t="s">
        <v>2186</v>
      </c>
    </row>
    <row r="3010" spans="12:13" x14ac:dyDescent="0.25">
      <c r="L3010" s="64">
        <v>612350</v>
      </c>
      <c r="M3010" t="s">
        <v>2187</v>
      </c>
    </row>
    <row r="3011" spans="12:13" x14ac:dyDescent="0.25">
      <c r="L3011" s="64">
        <v>612351</v>
      </c>
      <c r="M3011" t="s">
        <v>2187</v>
      </c>
    </row>
    <row r="3012" spans="12:13" x14ac:dyDescent="0.25">
      <c r="L3012" s="64">
        <v>612390</v>
      </c>
      <c r="M3012" t="s">
        <v>2188</v>
      </c>
    </row>
    <row r="3013" spans="12:13" x14ac:dyDescent="0.25">
      <c r="L3013" s="64">
        <v>612391</v>
      </c>
      <c r="M3013" t="s">
        <v>2188</v>
      </c>
    </row>
    <row r="3014" spans="12:13" x14ac:dyDescent="0.25">
      <c r="L3014" s="64">
        <v>612400</v>
      </c>
      <c r="M3014" t="s">
        <v>2189</v>
      </c>
    </row>
    <row r="3015" spans="12:13" x14ac:dyDescent="0.25">
      <c r="L3015" s="64">
        <v>612410</v>
      </c>
      <c r="M3015" t="s">
        <v>2190</v>
      </c>
    </row>
    <row r="3016" spans="12:13" x14ac:dyDescent="0.25">
      <c r="L3016" s="64">
        <v>612411</v>
      </c>
      <c r="M3016" t="s">
        <v>2190</v>
      </c>
    </row>
    <row r="3017" spans="12:13" x14ac:dyDescent="0.25">
      <c r="L3017" s="64">
        <v>612490</v>
      </c>
      <c r="M3017" t="s">
        <v>2191</v>
      </c>
    </row>
    <row r="3018" spans="12:13" x14ac:dyDescent="0.25">
      <c r="L3018" s="64">
        <v>612491</v>
      </c>
      <c r="M3018" t="s">
        <v>2191</v>
      </c>
    </row>
    <row r="3019" spans="12:13" x14ac:dyDescent="0.25">
      <c r="L3019" s="64">
        <v>612500</v>
      </c>
      <c r="M3019" t="s">
        <v>2192</v>
      </c>
    </row>
    <row r="3020" spans="12:13" x14ac:dyDescent="0.25">
      <c r="L3020" s="64">
        <v>612510</v>
      </c>
      <c r="M3020" t="s">
        <v>2192</v>
      </c>
    </row>
    <row r="3021" spans="12:13" x14ac:dyDescent="0.25">
      <c r="L3021" s="64">
        <v>612511</v>
      </c>
      <c r="M3021" t="s">
        <v>2192</v>
      </c>
    </row>
    <row r="3022" spans="12:13" x14ac:dyDescent="0.25">
      <c r="L3022" s="64">
        <v>612600</v>
      </c>
      <c r="M3022" t="s">
        <v>1994</v>
      </c>
    </row>
    <row r="3023" spans="12:13" x14ac:dyDescent="0.25">
      <c r="L3023" s="64">
        <v>612610</v>
      </c>
      <c r="M3023" t="s">
        <v>1994</v>
      </c>
    </row>
    <row r="3024" spans="12:13" x14ac:dyDescent="0.25">
      <c r="L3024" s="64">
        <v>612611</v>
      </c>
      <c r="M3024" t="s">
        <v>1994</v>
      </c>
    </row>
    <row r="3025" spans="12:13" x14ac:dyDescent="0.25">
      <c r="L3025" s="64">
        <v>612900</v>
      </c>
      <c r="M3025" t="s">
        <v>1995</v>
      </c>
    </row>
    <row r="3026" spans="12:13" x14ac:dyDescent="0.25">
      <c r="L3026" s="64">
        <v>612910</v>
      </c>
      <c r="M3026" t="s">
        <v>2193</v>
      </c>
    </row>
    <row r="3027" spans="12:13" x14ac:dyDescent="0.25">
      <c r="L3027" s="64">
        <v>612911</v>
      </c>
      <c r="M3027" t="s">
        <v>2193</v>
      </c>
    </row>
    <row r="3028" spans="12:13" x14ac:dyDescent="0.25">
      <c r="L3028" s="64">
        <v>613000</v>
      </c>
      <c r="M3028" t="s">
        <v>1996</v>
      </c>
    </row>
    <row r="3029" spans="12:13" x14ac:dyDescent="0.25">
      <c r="L3029" s="64">
        <v>613100</v>
      </c>
      <c r="M3029" t="s">
        <v>1996</v>
      </c>
    </row>
    <row r="3030" spans="12:13" x14ac:dyDescent="0.25">
      <c r="L3030" s="64">
        <v>613110</v>
      </c>
      <c r="M3030" t="s">
        <v>1996</v>
      </c>
    </row>
    <row r="3031" spans="12:13" x14ac:dyDescent="0.25">
      <c r="L3031" s="64">
        <v>613111</v>
      </c>
      <c r="M3031" t="s">
        <v>1996</v>
      </c>
    </row>
    <row r="3032" spans="12:13" x14ac:dyDescent="0.25">
      <c r="L3032" s="64">
        <v>614000</v>
      </c>
      <c r="M3032" t="s">
        <v>1997</v>
      </c>
    </row>
    <row r="3033" spans="12:13" x14ac:dyDescent="0.25">
      <c r="L3033" s="64">
        <v>614100</v>
      </c>
      <c r="M3033" t="s">
        <v>1997</v>
      </c>
    </row>
    <row r="3034" spans="12:13" x14ac:dyDescent="0.25">
      <c r="L3034" s="64">
        <v>614110</v>
      </c>
      <c r="M3034" t="s">
        <v>1997</v>
      </c>
    </row>
    <row r="3035" spans="12:13" x14ac:dyDescent="0.25">
      <c r="L3035" s="64">
        <v>614111</v>
      </c>
      <c r="M3035" t="s">
        <v>2194</v>
      </c>
    </row>
    <row r="3036" spans="12:13" x14ac:dyDescent="0.25">
      <c r="L3036" s="64">
        <v>620000</v>
      </c>
      <c r="M3036" t="s">
        <v>1998</v>
      </c>
    </row>
    <row r="3037" spans="12:13" x14ac:dyDescent="0.25">
      <c r="L3037" s="64">
        <v>621000</v>
      </c>
      <c r="M3037" t="s">
        <v>1999</v>
      </c>
    </row>
    <row r="3038" spans="12:13" x14ac:dyDescent="0.25">
      <c r="L3038" s="64">
        <v>621100</v>
      </c>
      <c r="M3038" t="s">
        <v>2000</v>
      </c>
    </row>
    <row r="3039" spans="12:13" x14ac:dyDescent="0.25">
      <c r="L3039" s="64">
        <v>621110</v>
      </c>
      <c r="M3039" t="s">
        <v>2195</v>
      </c>
    </row>
    <row r="3040" spans="12:13" x14ac:dyDescent="0.25">
      <c r="L3040" s="64">
        <v>621111</v>
      </c>
      <c r="M3040" t="s">
        <v>2195</v>
      </c>
    </row>
    <row r="3041" spans="12:13" x14ac:dyDescent="0.25">
      <c r="L3041" s="64">
        <v>621120</v>
      </c>
      <c r="M3041" t="s">
        <v>565</v>
      </c>
    </row>
    <row r="3042" spans="12:13" x14ac:dyDescent="0.25">
      <c r="L3042" s="64">
        <v>621121</v>
      </c>
      <c r="M3042" t="s">
        <v>565</v>
      </c>
    </row>
    <row r="3043" spans="12:13" x14ac:dyDescent="0.25">
      <c r="L3043" s="64">
        <v>621200</v>
      </c>
      <c r="M3043" t="s">
        <v>567</v>
      </c>
    </row>
    <row r="3044" spans="12:13" x14ac:dyDescent="0.25">
      <c r="L3044" s="64">
        <v>621210</v>
      </c>
      <c r="M3044" t="s">
        <v>568</v>
      </c>
    </row>
    <row r="3045" spans="12:13" x14ac:dyDescent="0.25">
      <c r="L3045" s="64">
        <v>621211</v>
      </c>
      <c r="M3045" t="s">
        <v>568</v>
      </c>
    </row>
    <row r="3046" spans="12:13" x14ac:dyDescent="0.25">
      <c r="L3046" s="64">
        <v>621220</v>
      </c>
      <c r="M3046" t="s">
        <v>569</v>
      </c>
    </row>
    <row r="3047" spans="12:13" x14ac:dyDescent="0.25">
      <c r="L3047" s="64">
        <v>621221</v>
      </c>
      <c r="M3047" t="s">
        <v>569</v>
      </c>
    </row>
    <row r="3048" spans="12:13" x14ac:dyDescent="0.25">
      <c r="L3048" s="64">
        <v>621230</v>
      </c>
      <c r="M3048" t="s">
        <v>570</v>
      </c>
    </row>
    <row r="3049" spans="12:13" x14ac:dyDescent="0.25">
      <c r="L3049" s="64">
        <v>621231</v>
      </c>
      <c r="M3049" t="s">
        <v>570</v>
      </c>
    </row>
    <row r="3050" spans="12:13" x14ac:dyDescent="0.25">
      <c r="L3050" s="64">
        <v>621240</v>
      </c>
      <c r="M3050" t="s">
        <v>571</v>
      </c>
    </row>
    <row r="3051" spans="12:13" x14ac:dyDescent="0.25">
      <c r="L3051" s="64">
        <v>621241</v>
      </c>
      <c r="M3051" t="s">
        <v>571</v>
      </c>
    </row>
    <row r="3052" spans="12:13" x14ac:dyDescent="0.25">
      <c r="L3052" s="64">
        <v>621250</v>
      </c>
      <c r="M3052" t="s">
        <v>572</v>
      </c>
    </row>
    <row r="3053" spans="12:13" x14ac:dyDescent="0.25">
      <c r="L3053" s="64">
        <v>621251</v>
      </c>
      <c r="M3053" t="s">
        <v>573</v>
      </c>
    </row>
    <row r="3054" spans="12:13" x14ac:dyDescent="0.25">
      <c r="L3054" s="64">
        <v>621252</v>
      </c>
      <c r="M3054" t="s">
        <v>574</v>
      </c>
    </row>
    <row r="3055" spans="12:13" x14ac:dyDescent="0.25">
      <c r="L3055" s="64">
        <v>621255</v>
      </c>
      <c r="M3055" t="s">
        <v>575</v>
      </c>
    </row>
    <row r="3056" spans="12:13" x14ac:dyDescent="0.25">
      <c r="L3056" s="64">
        <v>621300</v>
      </c>
      <c r="M3056" t="s">
        <v>582</v>
      </c>
    </row>
    <row r="3057" spans="12:13" x14ac:dyDescent="0.25">
      <c r="L3057" s="64">
        <v>621310</v>
      </c>
      <c r="M3057" t="s">
        <v>583</v>
      </c>
    </row>
    <row r="3058" spans="12:13" x14ac:dyDescent="0.25">
      <c r="L3058" s="64">
        <v>621311</v>
      </c>
      <c r="M3058" t="s">
        <v>583</v>
      </c>
    </row>
    <row r="3059" spans="12:13" x14ac:dyDescent="0.25">
      <c r="L3059" s="64">
        <v>621390</v>
      </c>
      <c r="M3059" t="s">
        <v>584</v>
      </c>
    </row>
    <row r="3060" spans="12:13" x14ac:dyDescent="0.25">
      <c r="L3060" s="64">
        <v>621391</v>
      </c>
      <c r="M3060" t="s">
        <v>584</v>
      </c>
    </row>
    <row r="3061" spans="12:13" x14ac:dyDescent="0.25">
      <c r="L3061" s="64">
        <v>621400</v>
      </c>
      <c r="M3061" t="s">
        <v>589</v>
      </c>
    </row>
    <row r="3062" spans="12:13" x14ac:dyDescent="0.25">
      <c r="L3062" s="64">
        <v>621410</v>
      </c>
      <c r="M3062" t="s">
        <v>589</v>
      </c>
    </row>
    <row r="3063" spans="12:13" x14ac:dyDescent="0.25">
      <c r="L3063" s="64">
        <v>621411</v>
      </c>
      <c r="M3063" t="s">
        <v>589</v>
      </c>
    </row>
    <row r="3064" spans="12:13" x14ac:dyDescent="0.25">
      <c r="L3064" s="64">
        <v>621500</v>
      </c>
      <c r="M3064" t="s">
        <v>2196</v>
      </c>
    </row>
    <row r="3065" spans="12:13" x14ac:dyDescent="0.25">
      <c r="L3065" s="64">
        <v>621510</v>
      </c>
      <c r="M3065" t="s">
        <v>2196</v>
      </c>
    </row>
    <row r="3066" spans="12:13" x14ac:dyDescent="0.25">
      <c r="L3066" s="64">
        <v>621511</v>
      </c>
      <c r="M3066" t="s">
        <v>2196</v>
      </c>
    </row>
    <row r="3067" spans="12:13" x14ac:dyDescent="0.25">
      <c r="L3067" s="64">
        <v>621600</v>
      </c>
      <c r="M3067" t="s">
        <v>593</v>
      </c>
    </row>
    <row r="3068" spans="12:13" x14ac:dyDescent="0.25">
      <c r="L3068" s="64">
        <v>621610</v>
      </c>
      <c r="M3068" t="s">
        <v>593</v>
      </c>
    </row>
    <row r="3069" spans="12:13" x14ac:dyDescent="0.25">
      <c r="L3069" s="64">
        <v>621611</v>
      </c>
      <c r="M3069" t="s">
        <v>2197</v>
      </c>
    </row>
    <row r="3070" spans="12:13" x14ac:dyDescent="0.25">
      <c r="L3070" s="64">
        <v>621612</v>
      </c>
      <c r="M3070" t="s">
        <v>2198</v>
      </c>
    </row>
    <row r="3071" spans="12:13" x14ac:dyDescent="0.25">
      <c r="L3071" s="64">
        <v>621613</v>
      </c>
      <c r="M3071" t="s">
        <v>596</v>
      </c>
    </row>
    <row r="3072" spans="12:13" x14ac:dyDescent="0.25">
      <c r="L3072" s="64">
        <v>621700</v>
      </c>
      <c r="M3072" t="s">
        <v>2199</v>
      </c>
    </row>
    <row r="3073" spans="12:13" x14ac:dyDescent="0.25">
      <c r="L3073" s="64">
        <v>621710</v>
      </c>
      <c r="M3073" t="s">
        <v>2199</v>
      </c>
    </row>
    <row r="3074" spans="12:13" x14ac:dyDescent="0.25">
      <c r="L3074" s="64">
        <v>621711</v>
      </c>
      <c r="M3074" t="s">
        <v>599</v>
      </c>
    </row>
    <row r="3075" spans="12:13" x14ac:dyDescent="0.25">
      <c r="L3075" s="64">
        <v>621712</v>
      </c>
      <c r="M3075" t="s">
        <v>600</v>
      </c>
    </row>
    <row r="3076" spans="12:13" x14ac:dyDescent="0.25">
      <c r="L3076" s="64">
        <v>621800</v>
      </c>
      <c r="M3076" t="s">
        <v>602</v>
      </c>
    </row>
    <row r="3077" spans="12:13" x14ac:dyDescent="0.25">
      <c r="L3077" s="64">
        <v>621810</v>
      </c>
      <c r="M3077" t="s">
        <v>602</v>
      </c>
    </row>
    <row r="3078" spans="12:13" x14ac:dyDescent="0.25">
      <c r="L3078" s="64">
        <v>621811</v>
      </c>
      <c r="M3078" t="s">
        <v>602</v>
      </c>
    </row>
    <row r="3079" spans="12:13" x14ac:dyDescent="0.25">
      <c r="L3079" s="64">
        <v>621900</v>
      </c>
      <c r="M3079" t="s">
        <v>2002</v>
      </c>
    </row>
    <row r="3080" spans="12:13" x14ac:dyDescent="0.25">
      <c r="L3080" s="64">
        <v>621910</v>
      </c>
      <c r="M3080" t="s">
        <v>2200</v>
      </c>
    </row>
    <row r="3081" spans="12:13" x14ac:dyDescent="0.25">
      <c r="L3081" s="64">
        <v>621911</v>
      </c>
      <c r="M3081" t="s">
        <v>2200</v>
      </c>
    </row>
    <row r="3082" spans="12:13" x14ac:dyDescent="0.25">
      <c r="L3082" s="64">
        <v>621920</v>
      </c>
      <c r="M3082" t="s">
        <v>606</v>
      </c>
    </row>
    <row r="3083" spans="12:13" x14ac:dyDescent="0.25">
      <c r="L3083" s="64">
        <v>621921</v>
      </c>
      <c r="M3083" t="s">
        <v>607</v>
      </c>
    </row>
    <row r="3084" spans="12:13" x14ac:dyDescent="0.25">
      <c r="L3084" s="64">
        <v>621922</v>
      </c>
      <c r="M3084" t="s">
        <v>2201</v>
      </c>
    </row>
    <row r="3085" spans="12:13" x14ac:dyDescent="0.25">
      <c r="L3085" s="64">
        <v>621930</v>
      </c>
      <c r="M3085" t="s">
        <v>609</v>
      </c>
    </row>
    <row r="3086" spans="12:13" x14ac:dyDescent="0.25">
      <c r="L3086" s="64">
        <v>621931</v>
      </c>
      <c r="M3086" t="s">
        <v>609</v>
      </c>
    </row>
    <row r="3087" spans="12:13" x14ac:dyDescent="0.25">
      <c r="L3087" s="64">
        <v>621940</v>
      </c>
      <c r="M3087" t="s">
        <v>610</v>
      </c>
    </row>
    <row r="3088" spans="12:13" x14ac:dyDescent="0.25">
      <c r="L3088" s="64">
        <v>621941</v>
      </c>
      <c r="M3088" t="s">
        <v>610</v>
      </c>
    </row>
    <row r="3089" spans="12:13" x14ac:dyDescent="0.25">
      <c r="L3089" s="64">
        <v>622000</v>
      </c>
      <c r="M3089" t="s">
        <v>2003</v>
      </c>
    </row>
    <row r="3090" spans="12:13" x14ac:dyDescent="0.25">
      <c r="L3090" s="64">
        <v>622100</v>
      </c>
      <c r="M3090" t="s">
        <v>2004</v>
      </c>
    </row>
    <row r="3091" spans="12:13" x14ac:dyDescent="0.25">
      <c r="L3091" s="64">
        <v>622110</v>
      </c>
      <c r="M3091" t="s">
        <v>2202</v>
      </c>
    </row>
    <row r="3092" spans="12:13" x14ac:dyDescent="0.25">
      <c r="L3092" s="64">
        <v>622111</v>
      </c>
      <c r="M3092" t="s">
        <v>2202</v>
      </c>
    </row>
    <row r="3093" spans="12:13" x14ac:dyDescent="0.25">
      <c r="L3093" s="64">
        <v>622120</v>
      </c>
      <c r="M3093" t="s">
        <v>2203</v>
      </c>
    </row>
    <row r="3094" spans="12:13" x14ac:dyDescent="0.25">
      <c r="L3094" s="64">
        <v>622121</v>
      </c>
      <c r="M3094" t="s">
        <v>2203</v>
      </c>
    </row>
    <row r="3095" spans="12:13" x14ac:dyDescent="0.25">
      <c r="L3095" s="64">
        <v>622200</v>
      </c>
      <c r="M3095" t="s">
        <v>619</v>
      </c>
    </row>
    <row r="3096" spans="12:13" x14ac:dyDescent="0.25">
      <c r="L3096" s="64">
        <v>622210</v>
      </c>
      <c r="M3096" t="s">
        <v>619</v>
      </c>
    </row>
    <row r="3097" spans="12:13" x14ac:dyDescent="0.25">
      <c r="L3097" s="64">
        <v>622211</v>
      </c>
      <c r="M3097" t="s">
        <v>619</v>
      </c>
    </row>
    <row r="3098" spans="12:13" x14ac:dyDescent="0.25">
      <c r="L3098" s="64">
        <v>622300</v>
      </c>
      <c r="M3098" t="s">
        <v>621</v>
      </c>
    </row>
    <row r="3099" spans="12:13" x14ac:dyDescent="0.25">
      <c r="L3099" s="64">
        <v>622310</v>
      </c>
      <c r="M3099" t="s">
        <v>621</v>
      </c>
    </row>
    <row r="3100" spans="12:13" x14ac:dyDescent="0.25">
      <c r="L3100" s="64">
        <v>622311</v>
      </c>
      <c r="M3100" t="s">
        <v>621</v>
      </c>
    </row>
    <row r="3101" spans="12:13" x14ac:dyDescent="0.25">
      <c r="L3101" s="64">
        <v>622400</v>
      </c>
      <c r="M3101" t="s">
        <v>623</v>
      </c>
    </row>
    <row r="3102" spans="12:13" x14ac:dyDescent="0.25">
      <c r="L3102" s="64">
        <v>622410</v>
      </c>
      <c r="M3102" t="s">
        <v>623</v>
      </c>
    </row>
    <row r="3103" spans="12:13" x14ac:dyDescent="0.25">
      <c r="L3103" s="64">
        <v>622411</v>
      </c>
      <c r="M3103" t="s">
        <v>623</v>
      </c>
    </row>
    <row r="3104" spans="12:13" x14ac:dyDescent="0.25">
      <c r="L3104" s="64">
        <v>622500</v>
      </c>
      <c r="M3104" t="s">
        <v>625</v>
      </c>
    </row>
    <row r="3105" spans="12:13" x14ac:dyDescent="0.25">
      <c r="L3105" s="64">
        <v>622510</v>
      </c>
      <c r="M3105" t="s">
        <v>625</v>
      </c>
    </row>
    <row r="3106" spans="12:13" x14ac:dyDescent="0.25">
      <c r="L3106" s="64">
        <v>622511</v>
      </c>
      <c r="M3106" t="s">
        <v>625</v>
      </c>
    </row>
    <row r="3107" spans="12:13" x14ac:dyDescent="0.25">
      <c r="L3107" s="64">
        <v>622600</v>
      </c>
      <c r="M3107" t="s">
        <v>627</v>
      </c>
    </row>
    <row r="3108" spans="12:13" x14ac:dyDescent="0.25">
      <c r="L3108" s="64">
        <v>622610</v>
      </c>
      <c r="M3108" t="s">
        <v>627</v>
      </c>
    </row>
    <row r="3109" spans="12:13" x14ac:dyDescent="0.25">
      <c r="L3109" s="64">
        <v>622611</v>
      </c>
      <c r="M3109" t="s">
        <v>628</v>
      </c>
    </row>
    <row r="3110" spans="12:13" x14ac:dyDescent="0.25">
      <c r="L3110" s="64">
        <v>622612</v>
      </c>
      <c r="M3110" t="s">
        <v>629</v>
      </c>
    </row>
    <row r="3111" spans="12:13" x14ac:dyDescent="0.25">
      <c r="L3111" s="64">
        <v>622700</v>
      </c>
      <c r="M3111" t="s">
        <v>2005</v>
      </c>
    </row>
    <row r="3112" spans="12:13" x14ac:dyDescent="0.25">
      <c r="L3112" s="64">
        <v>622710</v>
      </c>
      <c r="M3112" t="s">
        <v>632</v>
      </c>
    </row>
    <row r="3113" spans="12:13" x14ac:dyDescent="0.25">
      <c r="L3113" s="64">
        <v>622711</v>
      </c>
      <c r="M3113" t="s">
        <v>632</v>
      </c>
    </row>
    <row r="3114" spans="12:13" x14ac:dyDescent="0.25">
      <c r="L3114" s="64">
        <v>622720</v>
      </c>
      <c r="M3114" t="s">
        <v>633</v>
      </c>
    </row>
    <row r="3115" spans="12:13" x14ac:dyDescent="0.25">
      <c r="L3115" s="64">
        <v>622721</v>
      </c>
      <c r="M3115" t="s">
        <v>633</v>
      </c>
    </row>
    <row r="3116" spans="12:13" x14ac:dyDescent="0.25">
      <c r="L3116" s="64">
        <v>622800</v>
      </c>
      <c r="M3116" t="s">
        <v>2006</v>
      </c>
    </row>
    <row r="3117" spans="12:13" x14ac:dyDescent="0.25">
      <c r="L3117" s="64">
        <v>622810</v>
      </c>
      <c r="M3117" t="s">
        <v>2006</v>
      </c>
    </row>
    <row r="3118" spans="12:13" x14ac:dyDescent="0.25">
      <c r="L3118" s="64">
        <v>622811</v>
      </c>
      <c r="M3118" t="s">
        <v>2006</v>
      </c>
    </row>
    <row r="3119" spans="12:13" x14ac:dyDescent="0.25">
      <c r="L3119" s="64">
        <v>623000</v>
      </c>
      <c r="M3119" t="s">
        <v>2204</v>
      </c>
    </row>
    <row r="3120" spans="12:13" x14ac:dyDescent="0.25">
      <c r="L3120" s="64">
        <v>623100</v>
      </c>
      <c r="M3120" t="s">
        <v>2205</v>
      </c>
    </row>
    <row r="3121" spans="12:13" x14ac:dyDescent="0.25">
      <c r="L3121" s="64">
        <v>623110</v>
      </c>
      <c r="M3121" t="s">
        <v>2205</v>
      </c>
    </row>
    <row r="3122" spans="12:13" x14ac:dyDescent="0.25">
      <c r="L3122" s="64">
        <v>623111</v>
      </c>
      <c r="M3122" t="s">
        <v>2205</v>
      </c>
    </row>
    <row r="3123" spans="12:13" x14ac:dyDescent="0.25">
      <c r="L3123" s="64">
        <v>690000</v>
      </c>
      <c r="M3123" t="s">
        <v>2206</v>
      </c>
    </row>
    <row r="3124" spans="12:13" x14ac:dyDescent="0.25">
      <c r="L3124" s="64">
        <v>699000</v>
      </c>
      <c r="M3124" t="s">
        <v>2206</v>
      </c>
    </row>
    <row r="3125" spans="12:13" x14ac:dyDescent="0.25">
      <c r="L3125" s="64">
        <v>699900</v>
      </c>
      <c r="M3125" t="s">
        <v>2206</v>
      </c>
    </row>
    <row r="3126" spans="12:13" x14ac:dyDescent="0.25">
      <c r="L3126" s="64">
        <v>699990</v>
      </c>
      <c r="M3126" t="s">
        <v>2206</v>
      </c>
    </row>
    <row r="3127" spans="12:13" x14ac:dyDescent="0.25">
      <c r="L3127" s="64">
        <v>699999</v>
      </c>
      <c r="M3127" t="s">
        <v>2206</v>
      </c>
    </row>
    <row r="3128" spans="12:13" x14ac:dyDescent="0.25">
      <c r="L3128" s="64">
        <v>700000</v>
      </c>
      <c r="M3128" t="s">
        <v>2208</v>
      </c>
    </row>
    <row r="3129" spans="12:13" x14ac:dyDescent="0.25">
      <c r="L3129" s="64">
        <v>710000</v>
      </c>
      <c r="M3129" t="s">
        <v>2209</v>
      </c>
    </row>
    <row r="3130" spans="12:13" x14ac:dyDescent="0.25">
      <c r="L3130" s="64">
        <v>711000</v>
      </c>
      <c r="M3130" t="s">
        <v>2210</v>
      </c>
    </row>
    <row r="3131" spans="12:13" x14ac:dyDescent="0.25">
      <c r="L3131" s="64">
        <v>711100</v>
      </c>
      <c r="M3131" t="s">
        <v>2211</v>
      </c>
    </row>
    <row r="3132" spans="12:13" x14ac:dyDescent="0.25">
      <c r="L3132" s="64">
        <v>711110</v>
      </c>
      <c r="M3132" t="s">
        <v>2212</v>
      </c>
    </row>
    <row r="3133" spans="12:13" x14ac:dyDescent="0.25">
      <c r="L3133" s="64">
        <v>711111</v>
      </c>
      <c r="M3133" t="s">
        <v>2212</v>
      </c>
    </row>
    <row r="3134" spans="12:13" x14ac:dyDescent="0.25">
      <c r="L3134" s="64">
        <v>711120</v>
      </c>
      <c r="M3134" t="s">
        <v>2213</v>
      </c>
    </row>
    <row r="3135" spans="12:13" x14ac:dyDescent="0.25">
      <c r="L3135" s="64">
        <v>711121</v>
      </c>
      <c r="M3135" t="s">
        <v>2214</v>
      </c>
    </row>
    <row r="3136" spans="12:13" x14ac:dyDescent="0.25">
      <c r="L3136" s="64">
        <v>711122</v>
      </c>
      <c r="M3136" t="s">
        <v>2215</v>
      </c>
    </row>
    <row r="3137" spans="12:13" x14ac:dyDescent="0.25">
      <c r="L3137" s="64">
        <v>711130</v>
      </c>
      <c r="M3137" t="s">
        <v>2216</v>
      </c>
    </row>
    <row r="3138" spans="12:13" x14ac:dyDescent="0.25">
      <c r="L3138" s="64">
        <v>711131</v>
      </c>
      <c r="M3138" t="s">
        <v>2217</v>
      </c>
    </row>
    <row r="3139" spans="12:13" x14ac:dyDescent="0.25">
      <c r="L3139" s="64">
        <v>711140</v>
      </c>
      <c r="M3139" t="s">
        <v>2218</v>
      </c>
    </row>
    <row r="3140" spans="12:13" x14ac:dyDescent="0.25">
      <c r="L3140" s="64">
        <v>711141</v>
      </c>
      <c r="M3140" t="s">
        <v>2219</v>
      </c>
    </row>
    <row r="3141" spans="12:13" x14ac:dyDescent="0.25">
      <c r="L3141" s="64">
        <v>711142</v>
      </c>
      <c r="M3141" t="s">
        <v>2220</v>
      </c>
    </row>
    <row r="3142" spans="12:13" x14ac:dyDescent="0.25">
      <c r="L3142" s="64">
        <v>711143</v>
      </c>
      <c r="M3142" t="s">
        <v>2221</v>
      </c>
    </row>
    <row r="3143" spans="12:13" x14ac:dyDescent="0.25">
      <c r="L3143" s="64">
        <v>711144</v>
      </c>
      <c r="M3143" t="s">
        <v>2222</v>
      </c>
    </row>
    <row r="3144" spans="12:13" x14ac:dyDescent="0.25">
      <c r="L3144" s="64">
        <v>711145</v>
      </c>
      <c r="M3144" t="s">
        <v>2223</v>
      </c>
    </row>
    <row r="3145" spans="12:13" x14ac:dyDescent="0.25">
      <c r="L3145" s="64">
        <v>711146</v>
      </c>
      <c r="M3145" t="s">
        <v>2224</v>
      </c>
    </row>
    <row r="3146" spans="12:13" x14ac:dyDescent="0.25">
      <c r="L3146" s="64">
        <v>711147</v>
      </c>
      <c r="M3146" t="s">
        <v>2225</v>
      </c>
    </row>
    <row r="3147" spans="12:13" x14ac:dyDescent="0.25">
      <c r="L3147" s="64">
        <v>711148</v>
      </c>
      <c r="M3147" t="s">
        <v>2226</v>
      </c>
    </row>
    <row r="3148" spans="12:13" x14ac:dyDescent="0.25">
      <c r="L3148" s="64">
        <v>711149</v>
      </c>
      <c r="M3148" t="s">
        <v>2227</v>
      </c>
    </row>
    <row r="3149" spans="12:13" x14ac:dyDescent="0.25">
      <c r="L3149" s="64">
        <v>711150</v>
      </c>
      <c r="M3149" t="s">
        <v>2228</v>
      </c>
    </row>
    <row r="3150" spans="12:13" x14ac:dyDescent="0.25">
      <c r="L3150" s="64">
        <v>711151</v>
      </c>
      <c r="M3150" t="s">
        <v>2228</v>
      </c>
    </row>
    <row r="3151" spans="12:13" x14ac:dyDescent="0.25">
      <c r="L3151" s="64">
        <v>711160</v>
      </c>
      <c r="M3151" t="s">
        <v>2229</v>
      </c>
    </row>
    <row r="3152" spans="12:13" x14ac:dyDescent="0.25">
      <c r="L3152" s="64">
        <v>711161</v>
      </c>
      <c r="M3152" t="s">
        <v>2229</v>
      </c>
    </row>
    <row r="3153" spans="12:13" x14ac:dyDescent="0.25">
      <c r="L3153" s="64">
        <v>711170</v>
      </c>
      <c r="M3153" t="s">
        <v>2230</v>
      </c>
    </row>
    <row r="3154" spans="12:13" x14ac:dyDescent="0.25">
      <c r="L3154" s="64">
        <v>711171</v>
      </c>
      <c r="M3154" t="s">
        <v>2230</v>
      </c>
    </row>
    <row r="3155" spans="12:13" x14ac:dyDescent="0.25">
      <c r="L3155" s="64">
        <v>711180</v>
      </c>
      <c r="M3155" t="s">
        <v>2231</v>
      </c>
    </row>
    <row r="3156" spans="12:13" x14ac:dyDescent="0.25">
      <c r="L3156" s="64">
        <v>711181</v>
      </c>
      <c r="M3156" t="s">
        <v>2232</v>
      </c>
    </row>
    <row r="3157" spans="12:13" x14ac:dyDescent="0.25">
      <c r="L3157" s="64">
        <v>711182</v>
      </c>
      <c r="M3157" t="s">
        <v>2233</v>
      </c>
    </row>
    <row r="3158" spans="12:13" x14ac:dyDescent="0.25">
      <c r="L3158" s="64">
        <v>711183</v>
      </c>
      <c r="M3158" t="s">
        <v>2234</v>
      </c>
    </row>
    <row r="3159" spans="12:13" x14ac:dyDescent="0.25">
      <c r="L3159" s="64">
        <v>711184</v>
      </c>
      <c r="M3159" t="s">
        <v>2235</v>
      </c>
    </row>
    <row r="3160" spans="12:13" x14ac:dyDescent="0.25">
      <c r="L3160" s="64">
        <v>711185</v>
      </c>
      <c r="M3160" t="s">
        <v>2236</v>
      </c>
    </row>
    <row r="3161" spans="12:13" x14ac:dyDescent="0.25">
      <c r="L3161" s="64">
        <v>711190</v>
      </c>
      <c r="M3161" t="s">
        <v>2237</v>
      </c>
    </row>
    <row r="3162" spans="12:13" x14ac:dyDescent="0.25">
      <c r="L3162" s="64">
        <v>711191</v>
      </c>
      <c r="M3162" t="s">
        <v>2238</v>
      </c>
    </row>
    <row r="3163" spans="12:13" x14ac:dyDescent="0.25">
      <c r="L3163" s="64">
        <v>711192</v>
      </c>
      <c r="M3163" t="s">
        <v>2239</v>
      </c>
    </row>
    <row r="3164" spans="12:13" x14ac:dyDescent="0.25">
      <c r="L3164" s="64">
        <v>711193</v>
      </c>
      <c r="M3164" t="s">
        <v>2240</v>
      </c>
    </row>
    <row r="3165" spans="12:13" x14ac:dyDescent="0.25">
      <c r="L3165" s="64">
        <v>711194</v>
      </c>
      <c r="M3165" t="s">
        <v>2241</v>
      </c>
    </row>
    <row r="3166" spans="12:13" x14ac:dyDescent="0.25">
      <c r="L3166" s="64">
        <v>711195</v>
      </c>
      <c r="M3166" t="s">
        <v>2242</v>
      </c>
    </row>
    <row r="3167" spans="12:13" x14ac:dyDescent="0.25">
      <c r="L3167" s="64">
        <v>711200</v>
      </c>
      <c r="M3167" t="s">
        <v>2243</v>
      </c>
    </row>
    <row r="3168" spans="12:13" x14ac:dyDescent="0.25">
      <c r="L3168" s="64">
        <v>711210</v>
      </c>
      <c r="M3168" t="s">
        <v>2244</v>
      </c>
    </row>
    <row r="3169" spans="12:13" x14ac:dyDescent="0.25">
      <c r="L3169" s="64">
        <v>711211</v>
      </c>
      <c r="M3169" t="s">
        <v>2245</v>
      </c>
    </row>
    <row r="3170" spans="12:13" x14ac:dyDescent="0.25">
      <c r="L3170" s="64">
        <v>711212</v>
      </c>
      <c r="M3170" t="s">
        <v>2246</v>
      </c>
    </row>
    <row r="3171" spans="12:13" x14ac:dyDescent="0.25">
      <c r="L3171" s="64">
        <v>711213</v>
      </c>
      <c r="M3171" t="s">
        <v>2247</v>
      </c>
    </row>
    <row r="3172" spans="12:13" x14ac:dyDescent="0.25">
      <c r="L3172" s="64">
        <v>711214</v>
      </c>
      <c r="M3172" t="s">
        <v>2248</v>
      </c>
    </row>
    <row r="3173" spans="12:13" x14ac:dyDescent="0.25">
      <c r="L3173" s="64">
        <v>711215</v>
      </c>
      <c r="M3173" t="s">
        <v>2249</v>
      </c>
    </row>
    <row r="3174" spans="12:13" x14ac:dyDescent="0.25">
      <c r="L3174" s="64">
        <v>711216</v>
      </c>
      <c r="M3174" t="s">
        <v>2250</v>
      </c>
    </row>
    <row r="3175" spans="12:13" x14ac:dyDescent="0.25">
      <c r="L3175" s="64">
        <v>711217</v>
      </c>
      <c r="M3175" t="s">
        <v>2251</v>
      </c>
    </row>
    <row r="3176" spans="12:13" x14ac:dyDescent="0.25">
      <c r="L3176" s="64">
        <v>711218</v>
      </c>
      <c r="M3176" t="s">
        <v>2252</v>
      </c>
    </row>
    <row r="3177" spans="12:13" x14ac:dyDescent="0.25">
      <c r="L3177" s="64">
        <v>711300</v>
      </c>
      <c r="M3177" t="s">
        <v>2253</v>
      </c>
    </row>
    <row r="3178" spans="12:13" x14ac:dyDescent="0.25">
      <c r="L3178">
        <v>711310</v>
      </c>
      <c r="M3178" t="s">
        <v>2253</v>
      </c>
    </row>
    <row r="3179" spans="12:13" x14ac:dyDescent="0.25">
      <c r="L3179" s="64">
        <v>711311</v>
      </c>
      <c r="M3179" t="s">
        <v>2253</v>
      </c>
    </row>
    <row r="3180" spans="12:13" x14ac:dyDescent="0.25">
      <c r="L3180" s="64">
        <v>712000</v>
      </c>
      <c r="M3180" t="s">
        <v>2254</v>
      </c>
    </row>
    <row r="3181" spans="12:13" x14ac:dyDescent="0.25">
      <c r="L3181" s="64">
        <v>712100</v>
      </c>
      <c r="M3181" t="s">
        <v>2254</v>
      </c>
    </row>
    <row r="3182" spans="12:13" x14ac:dyDescent="0.25">
      <c r="L3182" s="64">
        <v>712110</v>
      </c>
      <c r="M3182" t="s">
        <v>2254</v>
      </c>
    </row>
    <row r="3183" spans="12:13" x14ac:dyDescent="0.25">
      <c r="L3183" s="64">
        <v>712111</v>
      </c>
      <c r="M3183" t="s">
        <v>2255</v>
      </c>
    </row>
    <row r="3184" spans="12:13" x14ac:dyDescent="0.25">
      <c r="L3184" s="64">
        <v>712112</v>
      </c>
      <c r="M3184" t="s">
        <v>2256</v>
      </c>
    </row>
    <row r="3185" spans="12:13" x14ac:dyDescent="0.25">
      <c r="L3185" s="64">
        <v>712113</v>
      </c>
      <c r="M3185" t="s">
        <v>2257</v>
      </c>
    </row>
    <row r="3186" spans="12:13" x14ac:dyDescent="0.25">
      <c r="L3186" s="64">
        <v>713000</v>
      </c>
      <c r="M3186" t="s">
        <v>2258</v>
      </c>
    </row>
    <row r="3187" spans="12:13" x14ac:dyDescent="0.25">
      <c r="L3187" s="64">
        <v>713100</v>
      </c>
      <c r="M3187" t="s">
        <v>2259</v>
      </c>
    </row>
    <row r="3188" spans="12:13" x14ac:dyDescent="0.25">
      <c r="L3188" s="64">
        <v>713110</v>
      </c>
      <c r="M3188" t="s">
        <v>2260</v>
      </c>
    </row>
    <row r="3189" spans="12:13" x14ac:dyDescent="0.25">
      <c r="L3189" s="64">
        <v>713111</v>
      </c>
      <c r="M3189" t="s">
        <v>2261</v>
      </c>
    </row>
    <row r="3190" spans="12:13" x14ac:dyDescent="0.25">
      <c r="L3190" s="64">
        <v>713120</v>
      </c>
      <c r="M3190" t="s">
        <v>2258</v>
      </c>
    </row>
    <row r="3191" spans="12:13" x14ac:dyDescent="0.25">
      <c r="L3191" s="64">
        <v>713121</v>
      </c>
      <c r="M3191" t="s">
        <v>2262</v>
      </c>
    </row>
    <row r="3192" spans="12:13" x14ac:dyDescent="0.25">
      <c r="L3192" s="64">
        <v>713122</v>
      </c>
      <c r="M3192" t="s">
        <v>2263</v>
      </c>
    </row>
    <row r="3193" spans="12:13" x14ac:dyDescent="0.25">
      <c r="L3193" s="64">
        <v>713200</v>
      </c>
      <c r="M3193" t="s">
        <v>2264</v>
      </c>
    </row>
    <row r="3194" spans="12:13" x14ac:dyDescent="0.25">
      <c r="L3194" s="64">
        <v>713210</v>
      </c>
      <c r="M3194" t="s">
        <v>2264</v>
      </c>
    </row>
    <row r="3195" spans="12:13" x14ac:dyDescent="0.25">
      <c r="L3195" s="64">
        <v>713211</v>
      </c>
      <c r="M3195" t="s">
        <v>2264</v>
      </c>
    </row>
    <row r="3196" spans="12:13" x14ac:dyDescent="0.25">
      <c r="L3196" s="64">
        <v>713300</v>
      </c>
      <c r="M3196" t="s">
        <v>2265</v>
      </c>
    </row>
    <row r="3197" spans="12:13" x14ac:dyDescent="0.25">
      <c r="L3197" s="64">
        <v>713310</v>
      </c>
      <c r="M3197" t="s">
        <v>2266</v>
      </c>
    </row>
    <row r="3198" spans="12:13" x14ac:dyDescent="0.25">
      <c r="L3198" s="64">
        <v>713311</v>
      </c>
      <c r="M3198" t="s">
        <v>2267</v>
      </c>
    </row>
    <row r="3199" spans="12:13" x14ac:dyDescent="0.25">
      <c r="L3199" s="64">
        <v>713400</v>
      </c>
      <c r="M3199" t="s">
        <v>2268</v>
      </c>
    </row>
    <row r="3200" spans="12:13" x14ac:dyDescent="0.25">
      <c r="L3200" s="64">
        <v>713410</v>
      </c>
      <c r="M3200" t="s">
        <v>1927</v>
      </c>
    </row>
    <row r="3201" spans="12:13" x14ac:dyDescent="0.25">
      <c r="L3201" s="64">
        <v>713411</v>
      </c>
      <c r="M3201" t="s">
        <v>1927</v>
      </c>
    </row>
    <row r="3202" spans="12:13" x14ac:dyDescent="0.25">
      <c r="L3202" s="64">
        <v>713420</v>
      </c>
      <c r="M3202" t="s">
        <v>2269</v>
      </c>
    </row>
    <row r="3203" spans="12:13" x14ac:dyDescent="0.25">
      <c r="L3203" s="64">
        <v>713421</v>
      </c>
      <c r="M3203" t="s">
        <v>2270</v>
      </c>
    </row>
    <row r="3204" spans="12:13" x14ac:dyDescent="0.25">
      <c r="L3204" s="64">
        <v>713422</v>
      </c>
      <c r="M3204" t="s">
        <v>2271</v>
      </c>
    </row>
    <row r="3205" spans="12:13" x14ac:dyDescent="0.25">
      <c r="L3205" s="64">
        <v>713423</v>
      </c>
      <c r="M3205" t="s">
        <v>2272</v>
      </c>
    </row>
    <row r="3206" spans="12:13" x14ac:dyDescent="0.25">
      <c r="L3206" s="64">
        <v>713424</v>
      </c>
      <c r="M3206" t="s">
        <v>2273</v>
      </c>
    </row>
    <row r="3207" spans="12:13" x14ac:dyDescent="0.25">
      <c r="L3207" s="64">
        <v>713500</v>
      </c>
      <c r="M3207" t="s">
        <v>2274</v>
      </c>
    </row>
    <row r="3208" spans="12:13" x14ac:dyDescent="0.25">
      <c r="L3208" s="64">
        <v>713510</v>
      </c>
      <c r="M3208" t="s">
        <v>2274</v>
      </c>
    </row>
    <row r="3209" spans="12:13" x14ac:dyDescent="0.25">
      <c r="L3209" s="64">
        <v>713511</v>
      </c>
      <c r="M3209" t="s">
        <v>2274</v>
      </c>
    </row>
    <row r="3210" spans="12:13" x14ac:dyDescent="0.25">
      <c r="L3210" s="64">
        <v>713600</v>
      </c>
      <c r="M3210" t="s">
        <v>2275</v>
      </c>
    </row>
    <row r="3211" spans="12:13" x14ac:dyDescent="0.25">
      <c r="L3211" s="64">
        <v>713610</v>
      </c>
      <c r="M3211" t="s">
        <v>2276</v>
      </c>
    </row>
    <row r="3212" spans="12:13" x14ac:dyDescent="0.25">
      <c r="L3212" s="64">
        <v>713611</v>
      </c>
      <c r="M3212" t="s">
        <v>2276</v>
      </c>
    </row>
    <row r="3213" spans="12:13" x14ac:dyDescent="0.25">
      <c r="L3213" s="64">
        <v>714000</v>
      </c>
      <c r="M3213" t="s">
        <v>2277</v>
      </c>
    </row>
    <row r="3214" spans="12:13" x14ac:dyDescent="0.25">
      <c r="L3214" s="64">
        <v>714100</v>
      </c>
      <c r="M3214" t="s">
        <v>2278</v>
      </c>
    </row>
    <row r="3215" spans="12:13" x14ac:dyDescent="0.25">
      <c r="L3215" s="64">
        <v>714110</v>
      </c>
      <c r="M3215" t="s">
        <v>2279</v>
      </c>
    </row>
    <row r="3216" spans="12:13" x14ac:dyDescent="0.25">
      <c r="L3216" s="64">
        <v>714111</v>
      </c>
      <c r="M3216" t="s">
        <v>2280</v>
      </c>
    </row>
    <row r="3217" spans="12:13" x14ac:dyDescent="0.25">
      <c r="L3217" s="64">
        <v>714112</v>
      </c>
      <c r="M3217" t="s">
        <v>789</v>
      </c>
    </row>
    <row r="3218" spans="12:13" x14ac:dyDescent="0.25">
      <c r="L3218" s="64">
        <v>714113</v>
      </c>
      <c r="M3218" t="s">
        <v>2281</v>
      </c>
    </row>
    <row r="3219" spans="12:13" x14ac:dyDescent="0.25">
      <c r="L3219" s="64">
        <v>714114</v>
      </c>
      <c r="M3219" t="s">
        <v>2282</v>
      </c>
    </row>
    <row r="3220" spans="12:13" x14ac:dyDescent="0.25">
      <c r="L3220" s="64">
        <v>714120</v>
      </c>
      <c r="M3220" t="s">
        <v>2283</v>
      </c>
    </row>
    <row r="3221" spans="12:13" x14ac:dyDescent="0.25">
      <c r="L3221" s="64">
        <v>714121</v>
      </c>
      <c r="M3221" t="s">
        <v>2284</v>
      </c>
    </row>
    <row r="3222" spans="12:13" x14ac:dyDescent="0.25">
      <c r="L3222" s="64">
        <v>714122</v>
      </c>
      <c r="M3222" t="s">
        <v>2285</v>
      </c>
    </row>
    <row r="3223" spans="12:13" x14ac:dyDescent="0.25">
      <c r="L3223" s="64">
        <v>714123</v>
      </c>
      <c r="M3223" t="s">
        <v>2286</v>
      </c>
    </row>
    <row r="3224" spans="12:13" x14ac:dyDescent="0.25">
      <c r="L3224" s="64">
        <v>714124</v>
      </c>
      <c r="M3224" t="s">
        <v>2287</v>
      </c>
    </row>
    <row r="3225" spans="12:13" x14ac:dyDescent="0.25">
      <c r="L3225" s="64">
        <v>714125</v>
      </c>
      <c r="M3225" t="s">
        <v>2288</v>
      </c>
    </row>
    <row r="3226" spans="12:13" x14ac:dyDescent="0.25">
      <c r="L3226" s="64">
        <v>714126</v>
      </c>
      <c r="M3226" t="s">
        <v>2289</v>
      </c>
    </row>
    <row r="3227" spans="12:13" x14ac:dyDescent="0.25">
      <c r="L3227" s="64">
        <v>714127</v>
      </c>
      <c r="M3227" t="s">
        <v>2290</v>
      </c>
    </row>
    <row r="3228" spans="12:13" x14ac:dyDescent="0.25">
      <c r="L3228" s="64">
        <v>714128</v>
      </c>
      <c r="M3228" t="s">
        <v>2291</v>
      </c>
    </row>
    <row r="3229" spans="12:13" x14ac:dyDescent="0.25">
      <c r="L3229" s="64">
        <v>714129</v>
      </c>
      <c r="M3229" t="s">
        <v>2292</v>
      </c>
    </row>
    <row r="3230" spans="12:13" x14ac:dyDescent="0.25">
      <c r="L3230" s="64">
        <v>714130</v>
      </c>
      <c r="M3230" t="s">
        <v>2293</v>
      </c>
    </row>
    <row r="3231" spans="12:13" x14ac:dyDescent="0.25">
      <c r="L3231" s="64">
        <v>714131</v>
      </c>
      <c r="M3231" t="s">
        <v>2294</v>
      </c>
    </row>
    <row r="3232" spans="12:13" x14ac:dyDescent="0.25">
      <c r="L3232" s="64">
        <v>714132</v>
      </c>
      <c r="M3232" t="s">
        <v>2295</v>
      </c>
    </row>
    <row r="3233" spans="12:13" x14ac:dyDescent="0.25">
      <c r="L3233" s="64">
        <v>714133</v>
      </c>
      <c r="M3233" t="s">
        <v>2296</v>
      </c>
    </row>
    <row r="3234" spans="12:13" x14ac:dyDescent="0.25">
      <c r="L3234" s="64">
        <v>714134</v>
      </c>
      <c r="M3234" t="s">
        <v>2297</v>
      </c>
    </row>
    <row r="3235" spans="12:13" x14ac:dyDescent="0.25">
      <c r="L3235" s="64">
        <v>714135</v>
      </c>
      <c r="M3235" t="s">
        <v>2298</v>
      </c>
    </row>
    <row r="3236" spans="12:13" x14ac:dyDescent="0.25">
      <c r="L3236" s="64">
        <v>714136</v>
      </c>
      <c r="M3236" t="s">
        <v>2299</v>
      </c>
    </row>
    <row r="3237" spans="12:13" x14ac:dyDescent="0.25">
      <c r="L3237" s="64">
        <v>714137</v>
      </c>
      <c r="M3237" t="s">
        <v>2300</v>
      </c>
    </row>
    <row r="3238" spans="12:13" x14ac:dyDescent="0.25">
      <c r="L3238" s="64">
        <v>714138</v>
      </c>
      <c r="M3238" t="s">
        <v>2301</v>
      </c>
    </row>
    <row r="3239" spans="12:13" x14ac:dyDescent="0.25">
      <c r="L3239" s="64">
        <v>714139</v>
      </c>
      <c r="M3239" t="s">
        <v>2302</v>
      </c>
    </row>
    <row r="3240" spans="12:13" x14ac:dyDescent="0.25">
      <c r="L3240" s="64">
        <v>714140</v>
      </c>
      <c r="M3240" t="s">
        <v>2303</v>
      </c>
    </row>
    <row r="3241" spans="12:13" x14ac:dyDescent="0.25">
      <c r="L3241" s="64">
        <v>714141</v>
      </c>
      <c r="M3241" t="s">
        <v>2303</v>
      </c>
    </row>
    <row r="3242" spans="12:13" x14ac:dyDescent="0.25">
      <c r="L3242" s="64">
        <v>714300</v>
      </c>
      <c r="M3242" t="s">
        <v>2304</v>
      </c>
    </row>
    <row r="3243" spans="12:13" x14ac:dyDescent="0.25">
      <c r="L3243" s="64">
        <v>714310</v>
      </c>
      <c r="M3243" t="s">
        <v>2304</v>
      </c>
    </row>
    <row r="3244" spans="12:13" x14ac:dyDescent="0.25">
      <c r="L3244" s="64">
        <v>714311</v>
      </c>
      <c r="M3244" t="s">
        <v>2304</v>
      </c>
    </row>
    <row r="3245" spans="12:13" x14ac:dyDescent="0.25">
      <c r="L3245" s="64">
        <v>714400</v>
      </c>
      <c r="M3245" t="s">
        <v>2305</v>
      </c>
    </row>
    <row r="3246" spans="12:13" x14ac:dyDescent="0.25">
      <c r="L3246" s="64">
        <v>714420</v>
      </c>
      <c r="M3246" t="s">
        <v>2306</v>
      </c>
    </row>
    <row r="3247" spans="12:13" x14ac:dyDescent="0.25">
      <c r="L3247" s="64">
        <v>714421</v>
      </c>
      <c r="M3247" t="s">
        <v>2307</v>
      </c>
    </row>
    <row r="3248" spans="12:13" x14ac:dyDescent="0.25">
      <c r="L3248" s="64">
        <v>714430</v>
      </c>
      <c r="M3248" t="s">
        <v>2308</v>
      </c>
    </row>
    <row r="3249" spans="12:13" x14ac:dyDescent="0.25">
      <c r="L3249" s="64">
        <v>714431</v>
      </c>
      <c r="M3249" t="s">
        <v>2308</v>
      </c>
    </row>
    <row r="3250" spans="12:13" x14ac:dyDescent="0.25">
      <c r="L3250" s="64">
        <v>714440</v>
      </c>
      <c r="M3250" t="s">
        <v>2309</v>
      </c>
    </row>
    <row r="3251" spans="12:13" x14ac:dyDescent="0.25">
      <c r="L3251" s="64">
        <v>714442</v>
      </c>
      <c r="M3251" t="s">
        <v>2310</v>
      </c>
    </row>
    <row r="3252" spans="12:13" x14ac:dyDescent="0.25">
      <c r="L3252" s="64">
        <v>714443</v>
      </c>
      <c r="M3252" t="s">
        <v>2311</v>
      </c>
    </row>
    <row r="3253" spans="12:13" x14ac:dyDescent="0.25">
      <c r="L3253" s="64">
        <v>714444</v>
      </c>
      <c r="M3253" t="s">
        <v>2312</v>
      </c>
    </row>
    <row r="3254" spans="12:13" x14ac:dyDescent="0.25">
      <c r="L3254" s="64">
        <v>714445</v>
      </c>
      <c r="M3254" t="s">
        <v>2313</v>
      </c>
    </row>
    <row r="3255" spans="12:13" x14ac:dyDescent="0.25">
      <c r="L3255" s="64">
        <v>714446</v>
      </c>
      <c r="M3255" t="s">
        <v>2314</v>
      </c>
    </row>
    <row r="3256" spans="12:13" x14ac:dyDescent="0.25">
      <c r="L3256" s="64">
        <v>714447</v>
      </c>
      <c r="M3256" t="s">
        <v>2315</v>
      </c>
    </row>
    <row r="3257" spans="12:13" x14ac:dyDescent="0.25">
      <c r="L3257" s="64">
        <v>714500</v>
      </c>
      <c r="M3257" t="s">
        <v>2316</v>
      </c>
    </row>
    <row r="3258" spans="12:13" x14ac:dyDescent="0.25">
      <c r="L3258" s="64">
        <v>714510</v>
      </c>
      <c r="M3258" t="s">
        <v>2317</v>
      </c>
    </row>
    <row r="3259" spans="12:13" x14ac:dyDescent="0.25">
      <c r="L3259" s="64">
        <v>714511</v>
      </c>
      <c r="M3259" t="s">
        <v>2318</v>
      </c>
    </row>
    <row r="3260" spans="12:13" x14ac:dyDescent="0.25">
      <c r="L3260" s="64">
        <v>714512</v>
      </c>
      <c r="M3260" t="s">
        <v>2319</v>
      </c>
    </row>
    <row r="3261" spans="12:13" x14ac:dyDescent="0.25">
      <c r="L3261" s="64">
        <v>714513</v>
      </c>
      <c r="M3261" t="s">
        <v>2320</v>
      </c>
    </row>
    <row r="3262" spans="12:13" x14ac:dyDescent="0.25">
      <c r="L3262" s="64">
        <v>714514</v>
      </c>
      <c r="M3262" t="s">
        <v>2321</v>
      </c>
    </row>
    <row r="3263" spans="12:13" x14ac:dyDescent="0.25">
      <c r="L3263" s="64">
        <v>714516</v>
      </c>
      <c r="M3263" t="s">
        <v>2322</v>
      </c>
    </row>
    <row r="3264" spans="12:13" x14ac:dyDescent="0.25">
      <c r="L3264" s="64">
        <v>714517</v>
      </c>
      <c r="M3264" t="s">
        <v>2323</v>
      </c>
    </row>
    <row r="3265" spans="12:13" x14ac:dyDescent="0.25">
      <c r="L3265" s="64">
        <v>714520</v>
      </c>
      <c r="M3265" t="s">
        <v>2324</v>
      </c>
    </row>
    <row r="3266" spans="12:13" x14ac:dyDescent="0.25">
      <c r="L3266" s="64">
        <v>714521</v>
      </c>
      <c r="M3266" t="s">
        <v>2325</v>
      </c>
    </row>
    <row r="3267" spans="12:13" x14ac:dyDescent="0.25">
      <c r="L3267" s="64">
        <v>714522</v>
      </c>
      <c r="M3267" t="s">
        <v>2326</v>
      </c>
    </row>
    <row r="3268" spans="12:13" x14ac:dyDescent="0.25">
      <c r="L3268" s="64">
        <v>714523</v>
      </c>
      <c r="M3268" t="s">
        <v>2327</v>
      </c>
    </row>
    <row r="3269" spans="12:13" x14ac:dyDescent="0.25">
      <c r="L3269" s="64">
        <v>714524</v>
      </c>
      <c r="M3269" t="s">
        <v>2328</v>
      </c>
    </row>
    <row r="3270" spans="12:13" x14ac:dyDescent="0.25">
      <c r="L3270" s="64">
        <v>714525</v>
      </c>
      <c r="M3270" t="s">
        <v>2329</v>
      </c>
    </row>
    <row r="3271" spans="12:13" x14ac:dyDescent="0.25">
      <c r="L3271" s="64">
        <v>714530</v>
      </c>
      <c r="M3271" t="s">
        <v>2330</v>
      </c>
    </row>
    <row r="3272" spans="12:13" x14ac:dyDescent="0.25">
      <c r="L3272" s="64">
        <v>714531</v>
      </c>
      <c r="M3272" t="s">
        <v>2331</v>
      </c>
    </row>
    <row r="3273" spans="12:13" x14ac:dyDescent="0.25">
      <c r="L3273" s="64">
        <v>714532</v>
      </c>
      <c r="M3273" t="s">
        <v>2332</v>
      </c>
    </row>
    <row r="3274" spans="12:13" x14ac:dyDescent="0.25">
      <c r="L3274" s="64">
        <v>714533</v>
      </c>
      <c r="M3274" t="s">
        <v>2333</v>
      </c>
    </row>
    <row r="3275" spans="12:13" x14ac:dyDescent="0.25">
      <c r="L3275" s="64">
        <v>714536</v>
      </c>
      <c r="M3275" t="s">
        <v>2334</v>
      </c>
    </row>
    <row r="3276" spans="12:13" x14ac:dyDescent="0.25">
      <c r="L3276" s="64">
        <v>714540</v>
      </c>
      <c r="M3276" t="s">
        <v>2335</v>
      </c>
    </row>
    <row r="3277" spans="12:13" x14ac:dyDescent="0.25">
      <c r="L3277" s="64">
        <v>714541</v>
      </c>
      <c r="M3277" t="s">
        <v>2336</v>
      </c>
    </row>
    <row r="3278" spans="12:13" x14ac:dyDescent="0.25">
      <c r="L3278" s="64">
        <v>714542</v>
      </c>
      <c r="M3278" t="s">
        <v>2337</v>
      </c>
    </row>
    <row r="3279" spans="12:13" x14ac:dyDescent="0.25">
      <c r="L3279" s="64">
        <v>714543</v>
      </c>
      <c r="M3279" t="s">
        <v>2338</v>
      </c>
    </row>
    <row r="3280" spans="12:13" x14ac:dyDescent="0.25">
      <c r="L3280" s="64">
        <v>714544</v>
      </c>
      <c r="M3280" t="s">
        <v>2339</v>
      </c>
    </row>
    <row r="3281" spans="12:13" x14ac:dyDescent="0.25">
      <c r="L3281" s="64">
        <v>714545</v>
      </c>
      <c r="M3281" t="s">
        <v>2340</v>
      </c>
    </row>
    <row r="3282" spans="12:13" x14ac:dyDescent="0.25">
      <c r="L3282" s="64">
        <v>714546</v>
      </c>
      <c r="M3282" t="s">
        <v>2341</v>
      </c>
    </row>
    <row r="3283" spans="12:13" x14ac:dyDescent="0.25">
      <c r="L3283" s="64">
        <v>714547</v>
      </c>
      <c r="M3283" t="s">
        <v>2342</v>
      </c>
    </row>
    <row r="3284" spans="12:13" x14ac:dyDescent="0.25">
      <c r="L3284" s="64">
        <v>714548</v>
      </c>
      <c r="M3284" t="s">
        <v>2343</v>
      </c>
    </row>
    <row r="3285" spans="12:13" x14ac:dyDescent="0.25">
      <c r="L3285" s="64">
        <v>714549</v>
      </c>
      <c r="M3285" t="s">
        <v>2344</v>
      </c>
    </row>
    <row r="3286" spans="12:13" x14ac:dyDescent="0.25">
      <c r="L3286" s="64">
        <v>714550</v>
      </c>
      <c r="M3286" t="s">
        <v>2345</v>
      </c>
    </row>
    <row r="3287" spans="12:13" x14ac:dyDescent="0.25">
      <c r="L3287" s="64">
        <v>714551</v>
      </c>
      <c r="M3287" t="s">
        <v>2346</v>
      </c>
    </row>
    <row r="3288" spans="12:13" x14ac:dyDescent="0.25">
      <c r="L3288" s="64">
        <v>714552</v>
      </c>
      <c r="M3288" t="s">
        <v>2347</v>
      </c>
    </row>
    <row r="3289" spans="12:13" x14ac:dyDescent="0.25">
      <c r="L3289" s="64">
        <v>714560</v>
      </c>
      <c r="M3289" t="s">
        <v>2348</v>
      </c>
    </row>
    <row r="3290" spans="12:13" x14ac:dyDescent="0.25">
      <c r="L3290" s="64">
        <v>714562</v>
      </c>
      <c r="M3290" t="s">
        <v>2349</v>
      </c>
    </row>
    <row r="3291" spans="12:13" x14ac:dyDescent="0.25">
      <c r="L3291" s="64">
        <v>714563</v>
      </c>
      <c r="M3291" t="s">
        <v>2350</v>
      </c>
    </row>
    <row r="3292" spans="12:13" x14ac:dyDescent="0.25">
      <c r="L3292" s="64">
        <v>714564</v>
      </c>
      <c r="M3292" t="s">
        <v>2351</v>
      </c>
    </row>
    <row r="3293" spans="12:13" x14ac:dyDescent="0.25">
      <c r="L3293" s="64">
        <v>714570</v>
      </c>
      <c r="M3293" t="s">
        <v>2352</v>
      </c>
    </row>
    <row r="3294" spans="12:13" x14ac:dyDescent="0.25">
      <c r="L3294" s="64">
        <v>714571</v>
      </c>
      <c r="M3294" t="s">
        <v>2353</v>
      </c>
    </row>
    <row r="3295" spans="12:13" x14ac:dyDescent="0.25">
      <c r="L3295" s="64">
        <v>714572</v>
      </c>
      <c r="M3295" t="s">
        <v>2354</v>
      </c>
    </row>
    <row r="3296" spans="12:13" x14ac:dyDescent="0.25">
      <c r="L3296" s="64">
        <v>714573</v>
      </c>
      <c r="M3296" t="s">
        <v>2355</v>
      </c>
    </row>
    <row r="3297" spans="12:13" x14ac:dyDescent="0.25">
      <c r="L3297" s="64">
        <v>714574</v>
      </c>
      <c r="M3297" t="s">
        <v>2356</v>
      </c>
    </row>
    <row r="3298" spans="12:13" x14ac:dyDescent="0.25">
      <c r="L3298" s="64">
        <v>714575</v>
      </c>
      <c r="M3298" t="s">
        <v>2357</v>
      </c>
    </row>
    <row r="3299" spans="12:13" x14ac:dyDescent="0.25">
      <c r="L3299" s="64">
        <v>714576</v>
      </c>
      <c r="M3299" t="s">
        <v>2358</v>
      </c>
    </row>
    <row r="3300" spans="12:13" x14ac:dyDescent="0.25">
      <c r="L3300" s="64">
        <v>714580</v>
      </c>
      <c r="M3300" t="s">
        <v>2359</v>
      </c>
    </row>
    <row r="3301" spans="12:13" x14ac:dyDescent="0.25">
      <c r="L3301" s="64">
        <v>714581</v>
      </c>
      <c r="M3301" t="s">
        <v>2360</v>
      </c>
    </row>
    <row r="3302" spans="12:13" x14ac:dyDescent="0.25">
      <c r="L3302" s="64">
        <v>714582</v>
      </c>
      <c r="M3302" t="s">
        <v>2361</v>
      </c>
    </row>
    <row r="3303" spans="12:13" x14ac:dyDescent="0.25">
      <c r="L3303" s="64">
        <v>714583</v>
      </c>
      <c r="M3303" t="s">
        <v>2362</v>
      </c>
    </row>
    <row r="3304" spans="12:13" x14ac:dyDescent="0.25">
      <c r="L3304" s="64">
        <v>714584</v>
      </c>
      <c r="M3304" t="s">
        <v>2363</v>
      </c>
    </row>
    <row r="3305" spans="12:13" x14ac:dyDescent="0.25">
      <c r="L3305" s="64">
        <v>714585</v>
      </c>
      <c r="M3305" t="s">
        <v>2364</v>
      </c>
    </row>
    <row r="3306" spans="12:13" x14ac:dyDescent="0.25">
      <c r="L3306" s="64">
        <v>714586</v>
      </c>
      <c r="M3306" t="s">
        <v>2365</v>
      </c>
    </row>
    <row r="3307" spans="12:13" x14ac:dyDescent="0.25">
      <c r="L3307" s="64">
        <v>714587</v>
      </c>
      <c r="M3307" t="s">
        <v>2366</v>
      </c>
    </row>
    <row r="3308" spans="12:13" x14ac:dyDescent="0.25">
      <c r="L3308" s="64">
        <v>714590</v>
      </c>
      <c r="M3308" t="s">
        <v>2367</v>
      </c>
    </row>
    <row r="3309" spans="12:13" x14ac:dyDescent="0.25">
      <c r="L3309" s="64">
        <v>714591</v>
      </c>
      <c r="M3309" t="s">
        <v>2368</v>
      </c>
    </row>
    <row r="3310" spans="12:13" x14ac:dyDescent="0.25">
      <c r="L3310" s="64">
        <v>714592</v>
      </c>
      <c r="M3310" t="s">
        <v>2369</v>
      </c>
    </row>
    <row r="3311" spans="12:13" x14ac:dyDescent="0.25">
      <c r="L3311" s="64">
        <v>714593</v>
      </c>
      <c r="M3311" t="s">
        <v>2370</v>
      </c>
    </row>
    <row r="3312" spans="12:13" x14ac:dyDescent="0.25">
      <c r="L3312" s="64">
        <v>714594</v>
      </c>
      <c r="M3312" t="s">
        <v>2371</v>
      </c>
    </row>
    <row r="3313" spans="12:13" x14ac:dyDescent="0.25">
      <c r="L3313" s="64">
        <v>714595</v>
      </c>
      <c r="M3313" t="s">
        <v>2372</v>
      </c>
    </row>
    <row r="3314" spans="12:13" x14ac:dyDescent="0.25">
      <c r="L3314" s="64">
        <v>714596</v>
      </c>
      <c r="M3314" t="s">
        <v>2373</v>
      </c>
    </row>
    <row r="3315" spans="12:13" x14ac:dyDescent="0.25">
      <c r="L3315" s="64">
        <v>714597</v>
      </c>
      <c r="M3315" t="s">
        <v>2374</v>
      </c>
    </row>
    <row r="3316" spans="12:13" x14ac:dyDescent="0.25">
      <c r="L3316" s="64">
        <v>714598</v>
      </c>
      <c r="M3316" t="s">
        <v>2375</v>
      </c>
    </row>
    <row r="3317" spans="12:13" x14ac:dyDescent="0.25">
      <c r="L3317" s="64">
        <v>714599</v>
      </c>
      <c r="M3317" t="s">
        <v>2376</v>
      </c>
    </row>
    <row r="3318" spans="12:13" x14ac:dyDescent="0.25">
      <c r="L3318" s="64">
        <v>714600</v>
      </c>
      <c r="M3318" t="s">
        <v>2377</v>
      </c>
    </row>
    <row r="3319" spans="12:13" x14ac:dyDescent="0.25">
      <c r="L3319" s="64">
        <v>714610</v>
      </c>
      <c r="M3319" t="s">
        <v>2377</v>
      </c>
    </row>
    <row r="3320" spans="12:13" x14ac:dyDescent="0.25">
      <c r="L3320" s="64">
        <v>714611</v>
      </c>
      <c r="M3320" t="s">
        <v>2377</v>
      </c>
    </row>
    <row r="3321" spans="12:13" x14ac:dyDescent="0.25">
      <c r="L3321" s="64">
        <v>715000</v>
      </c>
      <c r="M3321" t="s">
        <v>2378</v>
      </c>
    </row>
    <row r="3322" spans="12:13" x14ac:dyDescent="0.25">
      <c r="L3322" s="64">
        <v>715100</v>
      </c>
      <c r="M3322" t="s">
        <v>2379</v>
      </c>
    </row>
    <row r="3323" spans="12:13" x14ac:dyDescent="0.25">
      <c r="L3323" s="64">
        <v>715110</v>
      </c>
      <c r="M3323" t="s">
        <v>2380</v>
      </c>
    </row>
    <row r="3324" spans="12:13" x14ac:dyDescent="0.25">
      <c r="L3324" s="64">
        <v>715111</v>
      </c>
      <c r="M3324" t="s">
        <v>2380</v>
      </c>
    </row>
    <row r="3325" spans="12:13" x14ac:dyDescent="0.25">
      <c r="L3325" s="64">
        <v>715120</v>
      </c>
      <c r="M3325" t="s">
        <v>2381</v>
      </c>
    </row>
    <row r="3326" spans="12:13" x14ac:dyDescent="0.25">
      <c r="L3326" s="64">
        <v>715121</v>
      </c>
      <c r="M3326" t="s">
        <v>2381</v>
      </c>
    </row>
    <row r="3327" spans="12:13" x14ac:dyDescent="0.25">
      <c r="L3327" s="64">
        <v>715190</v>
      </c>
      <c r="M3327" t="s">
        <v>2382</v>
      </c>
    </row>
    <row r="3328" spans="12:13" x14ac:dyDescent="0.25">
      <c r="L3328" s="64">
        <v>715191</v>
      </c>
      <c r="M3328" t="s">
        <v>2383</v>
      </c>
    </row>
    <row r="3329" spans="12:13" x14ac:dyDescent="0.25">
      <c r="L3329" s="64">
        <v>715192</v>
      </c>
      <c r="M3329" t="s">
        <v>2384</v>
      </c>
    </row>
    <row r="3330" spans="12:13" x14ac:dyDescent="0.25">
      <c r="L3330" s="64">
        <v>715193</v>
      </c>
      <c r="M3330" t="s">
        <v>2385</v>
      </c>
    </row>
    <row r="3331" spans="12:13" x14ac:dyDescent="0.25">
      <c r="L3331" s="64">
        <v>715200</v>
      </c>
      <c r="M3331" t="s">
        <v>2386</v>
      </c>
    </row>
    <row r="3332" spans="12:13" x14ac:dyDescent="0.25">
      <c r="L3332" s="64">
        <v>715210</v>
      </c>
      <c r="M3332" t="s">
        <v>2386</v>
      </c>
    </row>
    <row r="3333" spans="12:13" x14ac:dyDescent="0.25">
      <c r="L3333" s="64">
        <v>715211</v>
      </c>
      <c r="M3333" t="s">
        <v>2386</v>
      </c>
    </row>
    <row r="3334" spans="12:13" x14ac:dyDescent="0.25">
      <c r="L3334" s="64">
        <v>715300</v>
      </c>
      <c r="M3334" t="s">
        <v>2387</v>
      </c>
    </row>
    <row r="3335" spans="12:13" x14ac:dyDescent="0.25">
      <c r="L3335" s="64">
        <v>715310</v>
      </c>
      <c r="M3335" t="s">
        <v>2387</v>
      </c>
    </row>
    <row r="3336" spans="12:13" x14ac:dyDescent="0.25">
      <c r="L3336" s="64">
        <v>715311</v>
      </c>
      <c r="M3336" t="s">
        <v>2387</v>
      </c>
    </row>
    <row r="3337" spans="12:13" x14ac:dyDescent="0.25">
      <c r="L3337" s="64">
        <v>715400</v>
      </c>
      <c r="M3337" t="s">
        <v>2388</v>
      </c>
    </row>
    <row r="3338" spans="12:13" x14ac:dyDescent="0.25">
      <c r="L3338" s="64">
        <v>715410</v>
      </c>
      <c r="M3338" t="s">
        <v>2388</v>
      </c>
    </row>
    <row r="3339" spans="12:13" x14ac:dyDescent="0.25">
      <c r="L3339" s="64">
        <v>715411</v>
      </c>
      <c r="M3339" t="s">
        <v>2388</v>
      </c>
    </row>
    <row r="3340" spans="12:13" x14ac:dyDescent="0.25">
      <c r="L3340" s="64">
        <v>715500</v>
      </c>
      <c r="M3340" t="s">
        <v>2389</v>
      </c>
    </row>
    <row r="3341" spans="12:13" x14ac:dyDescent="0.25">
      <c r="L3341" s="64">
        <v>715510</v>
      </c>
      <c r="M3341" t="s">
        <v>2389</v>
      </c>
    </row>
    <row r="3342" spans="12:13" x14ac:dyDescent="0.25">
      <c r="L3342" s="64">
        <v>715511</v>
      </c>
      <c r="M3342" t="s">
        <v>2389</v>
      </c>
    </row>
    <row r="3343" spans="12:13" x14ac:dyDescent="0.25">
      <c r="L3343" s="64">
        <v>715600</v>
      </c>
      <c r="M3343" t="s">
        <v>2390</v>
      </c>
    </row>
    <row r="3344" spans="12:13" x14ac:dyDescent="0.25">
      <c r="L3344" s="64">
        <v>715610</v>
      </c>
      <c r="M3344" t="s">
        <v>2390</v>
      </c>
    </row>
    <row r="3345" spans="12:13" x14ac:dyDescent="0.25">
      <c r="L3345" s="64">
        <v>715611</v>
      </c>
      <c r="M3345" t="s">
        <v>2390</v>
      </c>
    </row>
    <row r="3346" spans="12:13" x14ac:dyDescent="0.25">
      <c r="L3346" s="64">
        <v>716000</v>
      </c>
      <c r="M3346" t="s">
        <v>2392</v>
      </c>
    </row>
    <row r="3347" spans="12:13" x14ac:dyDescent="0.25">
      <c r="L3347" s="64">
        <v>716100</v>
      </c>
      <c r="M3347" t="s">
        <v>2393</v>
      </c>
    </row>
    <row r="3348" spans="12:13" x14ac:dyDescent="0.25">
      <c r="L3348" s="64">
        <v>716110</v>
      </c>
      <c r="M3348" t="s">
        <v>2394</v>
      </c>
    </row>
    <row r="3349" spans="12:13" x14ac:dyDescent="0.25">
      <c r="L3349" s="64">
        <v>716111</v>
      </c>
      <c r="M3349" t="s">
        <v>2396</v>
      </c>
    </row>
    <row r="3350" spans="12:13" x14ac:dyDescent="0.25">
      <c r="L3350" s="64">
        <v>716112</v>
      </c>
      <c r="M3350" t="s">
        <v>2397</v>
      </c>
    </row>
    <row r="3351" spans="12:13" x14ac:dyDescent="0.25">
      <c r="L3351" s="64">
        <v>716200</v>
      </c>
      <c r="M3351" t="s">
        <v>2398</v>
      </c>
    </row>
    <row r="3352" spans="12:13" x14ac:dyDescent="0.25">
      <c r="L3352" s="64">
        <v>716210</v>
      </c>
      <c r="M3352" t="s">
        <v>2399</v>
      </c>
    </row>
    <row r="3353" spans="12:13" x14ac:dyDescent="0.25">
      <c r="L3353" s="64">
        <v>716211</v>
      </c>
      <c r="M3353" t="s">
        <v>2399</v>
      </c>
    </row>
    <row r="3354" spans="12:13" x14ac:dyDescent="0.25">
      <c r="L3354" s="64">
        <v>716220</v>
      </c>
      <c r="M3354" t="s">
        <v>2400</v>
      </c>
    </row>
    <row r="3355" spans="12:13" x14ac:dyDescent="0.25">
      <c r="L3355" s="64">
        <v>716221</v>
      </c>
      <c r="M3355" t="s">
        <v>2401</v>
      </c>
    </row>
    <row r="3356" spans="12:13" x14ac:dyDescent="0.25">
      <c r="L3356" s="64">
        <v>716222</v>
      </c>
      <c r="M3356" t="s">
        <v>2402</v>
      </c>
    </row>
    <row r="3357" spans="12:13" x14ac:dyDescent="0.25">
      <c r="L3357" s="64">
        <v>716223</v>
      </c>
      <c r="M3357" t="s">
        <v>2403</v>
      </c>
    </row>
    <row r="3358" spans="12:13" x14ac:dyDescent="0.25">
      <c r="L3358" s="64">
        <v>716224</v>
      </c>
      <c r="M3358" t="s">
        <v>2404</v>
      </c>
    </row>
    <row r="3359" spans="12:13" x14ac:dyDescent="0.25">
      <c r="L3359" s="64">
        <v>716225</v>
      </c>
      <c r="M3359" t="s">
        <v>2405</v>
      </c>
    </row>
    <row r="3360" spans="12:13" x14ac:dyDescent="0.25">
      <c r="L3360" s="64">
        <v>716226</v>
      </c>
      <c r="M3360" t="s">
        <v>2406</v>
      </c>
    </row>
    <row r="3361" spans="12:13" x14ac:dyDescent="0.25">
      <c r="L3361" s="64">
        <v>716227</v>
      </c>
      <c r="M3361" t="s">
        <v>2407</v>
      </c>
    </row>
    <row r="3362" spans="12:13" x14ac:dyDescent="0.25">
      <c r="L3362" s="64">
        <v>716228</v>
      </c>
      <c r="M3362" t="s">
        <v>2408</v>
      </c>
    </row>
    <row r="3363" spans="12:13" x14ac:dyDescent="0.25">
      <c r="L3363" s="64">
        <v>716229</v>
      </c>
      <c r="M3363" t="s">
        <v>2409</v>
      </c>
    </row>
    <row r="3364" spans="12:13" x14ac:dyDescent="0.25">
      <c r="L3364" s="64">
        <v>717000</v>
      </c>
      <c r="M3364" t="s">
        <v>2410</v>
      </c>
    </row>
    <row r="3365" spans="12:13" x14ac:dyDescent="0.25">
      <c r="L3365" s="64">
        <v>717100</v>
      </c>
      <c r="M3365" t="s">
        <v>2411</v>
      </c>
    </row>
    <row r="3366" spans="12:13" x14ac:dyDescent="0.25">
      <c r="L3366" s="64">
        <v>717110</v>
      </c>
      <c r="M3366" t="s">
        <v>2412</v>
      </c>
    </row>
    <row r="3367" spans="12:13" x14ac:dyDescent="0.25">
      <c r="L3367" s="64">
        <v>717111</v>
      </c>
      <c r="M3367" t="s">
        <v>2413</v>
      </c>
    </row>
    <row r="3368" spans="12:13" x14ac:dyDescent="0.25">
      <c r="L3368" s="64">
        <v>717112</v>
      </c>
      <c r="M3368" t="s">
        <v>2414</v>
      </c>
    </row>
    <row r="3369" spans="12:13" x14ac:dyDescent="0.25">
      <c r="L3369" s="64">
        <v>717113</v>
      </c>
      <c r="M3369" t="s">
        <v>2415</v>
      </c>
    </row>
    <row r="3370" spans="12:13" x14ac:dyDescent="0.25">
      <c r="L3370" s="64">
        <v>717114</v>
      </c>
      <c r="M3370" t="s">
        <v>2416</v>
      </c>
    </row>
    <row r="3371" spans="12:13" x14ac:dyDescent="0.25">
      <c r="L3371" s="64">
        <v>717115</v>
      </c>
      <c r="M3371" t="s">
        <v>2417</v>
      </c>
    </row>
    <row r="3372" spans="12:13" x14ac:dyDescent="0.25">
      <c r="L3372" s="64">
        <v>717116</v>
      </c>
      <c r="M3372" t="s">
        <v>2418</v>
      </c>
    </row>
    <row r="3373" spans="12:13" x14ac:dyDescent="0.25">
      <c r="L3373" s="64">
        <v>717117</v>
      </c>
      <c r="M3373" t="s">
        <v>2419</v>
      </c>
    </row>
    <row r="3374" spans="12:13" x14ac:dyDescent="0.25">
      <c r="L3374" s="64">
        <v>717118</v>
      </c>
      <c r="M3374" t="s">
        <v>2420</v>
      </c>
    </row>
    <row r="3375" spans="12:13" x14ac:dyDescent="0.25">
      <c r="L3375" s="64">
        <v>717119</v>
      </c>
      <c r="M3375" t="s">
        <v>2421</v>
      </c>
    </row>
    <row r="3376" spans="12:13" x14ac:dyDescent="0.25">
      <c r="L3376" s="64">
        <v>717120</v>
      </c>
      <c r="M3376" t="s">
        <v>2422</v>
      </c>
    </row>
    <row r="3377" spans="12:13" x14ac:dyDescent="0.25">
      <c r="L3377" s="64">
        <v>717121</v>
      </c>
      <c r="M3377" t="s">
        <v>2423</v>
      </c>
    </row>
    <row r="3378" spans="12:13" x14ac:dyDescent="0.25">
      <c r="L3378" s="64">
        <v>717122</v>
      </c>
      <c r="M3378" t="s">
        <v>2424</v>
      </c>
    </row>
    <row r="3379" spans="12:13" x14ac:dyDescent="0.25">
      <c r="L3379" s="64">
        <v>717123</v>
      </c>
      <c r="M3379" t="s">
        <v>2425</v>
      </c>
    </row>
    <row r="3380" spans="12:13" x14ac:dyDescent="0.25">
      <c r="L3380" s="64">
        <v>717124</v>
      </c>
      <c r="M3380" t="s">
        <v>2426</v>
      </c>
    </row>
    <row r="3381" spans="12:13" x14ac:dyDescent="0.25">
      <c r="L3381" s="64">
        <v>717125</v>
      </c>
      <c r="M3381" t="s">
        <v>2427</v>
      </c>
    </row>
    <row r="3382" spans="12:13" x14ac:dyDescent="0.25">
      <c r="L3382" s="64">
        <v>717126</v>
      </c>
      <c r="M3382" t="s">
        <v>2428</v>
      </c>
    </row>
    <row r="3383" spans="12:13" x14ac:dyDescent="0.25">
      <c r="L3383" s="64">
        <v>717127</v>
      </c>
      <c r="M3383" t="s">
        <v>2429</v>
      </c>
    </row>
    <row r="3384" spans="12:13" x14ac:dyDescent="0.25">
      <c r="L3384" s="64">
        <v>717128</v>
      </c>
      <c r="M3384" t="s">
        <v>2430</v>
      </c>
    </row>
    <row r="3385" spans="12:13" x14ac:dyDescent="0.25">
      <c r="L3385" s="64">
        <v>717129</v>
      </c>
      <c r="M3385" t="s">
        <v>2431</v>
      </c>
    </row>
    <row r="3386" spans="12:13" x14ac:dyDescent="0.25">
      <c r="L3386" s="64">
        <v>717130</v>
      </c>
      <c r="M3386" t="s">
        <v>2432</v>
      </c>
    </row>
    <row r="3387" spans="12:13" x14ac:dyDescent="0.25">
      <c r="L3387" s="64">
        <v>717131</v>
      </c>
      <c r="M3387" t="s">
        <v>2433</v>
      </c>
    </row>
    <row r="3388" spans="12:13" x14ac:dyDescent="0.25">
      <c r="L3388" s="64">
        <v>717132</v>
      </c>
      <c r="M3388" t="s">
        <v>2434</v>
      </c>
    </row>
    <row r="3389" spans="12:13" x14ac:dyDescent="0.25">
      <c r="L3389" s="64">
        <v>717133</v>
      </c>
      <c r="M3389" t="s">
        <v>2435</v>
      </c>
    </row>
    <row r="3390" spans="12:13" x14ac:dyDescent="0.25">
      <c r="L3390" s="64">
        <v>717134</v>
      </c>
      <c r="M3390" t="s">
        <v>2436</v>
      </c>
    </row>
    <row r="3391" spans="12:13" x14ac:dyDescent="0.25">
      <c r="L3391" s="64">
        <v>717140</v>
      </c>
      <c r="M3391" t="s">
        <v>2437</v>
      </c>
    </row>
    <row r="3392" spans="12:13" x14ac:dyDescent="0.25">
      <c r="L3392" s="64">
        <v>717141</v>
      </c>
      <c r="M3392" t="s">
        <v>2438</v>
      </c>
    </row>
    <row r="3393" spans="12:13" x14ac:dyDescent="0.25">
      <c r="L3393" s="64">
        <v>717142</v>
      </c>
      <c r="M3393" t="s">
        <v>2439</v>
      </c>
    </row>
    <row r="3394" spans="12:13" x14ac:dyDescent="0.25">
      <c r="L3394" s="64">
        <v>717143</v>
      </c>
      <c r="M3394" t="s">
        <v>2440</v>
      </c>
    </row>
    <row r="3395" spans="12:13" x14ac:dyDescent="0.25">
      <c r="L3395" s="64">
        <v>717144</v>
      </c>
      <c r="M3395" t="s">
        <v>2441</v>
      </c>
    </row>
    <row r="3396" spans="12:13" x14ac:dyDescent="0.25">
      <c r="L3396" s="64">
        <v>717150</v>
      </c>
      <c r="M3396" t="s">
        <v>2442</v>
      </c>
    </row>
    <row r="3397" spans="12:13" x14ac:dyDescent="0.25">
      <c r="L3397" s="64">
        <v>717151</v>
      </c>
      <c r="M3397" t="s">
        <v>2443</v>
      </c>
    </row>
    <row r="3398" spans="12:13" x14ac:dyDescent="0.25">
      <c r="L3398" s="64">
        <v>717152</v>
      </c>
      <c r="M3398" t="s">
        <v>2444</v>
      </c>
    </row>
    <row r="3399" spans="12:13" x14ac:dyDescent="0.25">
      <c r="L3399" s="64">
        <v>717200</v>
      </c>
      <c r="M3399" t="s">
        <v>2445</v>
      </c>
    </row>
    <row r="3400" spans="12:13" x14ac:dyDescent="0.25">
      <c r="L3400" s="64">
        <v>717210</v>
      </c>
      <c r="M3400" t="s">
        <v>2446</v>
      </c>
    </row>
    <row r="3401" spans="12:13" x14ac:dyDescent="0.25">
      <c r="L3401" s="64">
        <v>717211</v>
      </c>
      <c r="M3401" t="s">
        <v>2447</v>
      </c>
    </row>
    <row r="3402" spans="12:13" x14ac:dyDescent="0.25">
      <c r="L3402" s="64">
        <v>717212</v>
      </c>
      <c r="M3402" t="s">
        <v>2448</v>
      </c>
    </row>
    <row r="3403" spans="12:13" x14ac:dyDescent="0.25">
      <c r="L3403" s="64">
        <v>717213</v>
      </c>
      <c r="M3403" t="s">
        <v>2449</v>
      </c>
    </row>
    <row r="3404" spans="12:13" x14ac:dyDescent="0.25">
      <c r="L3404" s="64">
        <v>717214</v>
      </c>
      <c r="M3404" t="s">
        <v>2450</v>
      </c>
    </row>
    <row r="3405" spans="12:13" x14ac:dyDescent="0.25">
      <c r="L3405" s="64">
        <v>717215</v>
      </c>
      <c r="M3405" t="s">
        <v>2451</v>
      </c>
    </row>
    <row r="3406" spans="12:13" x14ac:dyDescent="0.25">
      <c r="L3406" s="64">
        <v>717220</v>
      </c>
      <c r="M3406" t="s">
        <v>2452</v>
      </c>
    </row>
    <row r="3407" spans="12:13" x14ac:dyDescent="0.25">
      <c r="L3407" s="64">
        <v>717221</v>
      </c>
      <c r="M3407" t="s">
        <v>2453</v>
      </c>
    </row>
    <row r="3408" spans="12:13" x14ac:dyDescent="0.25">
      <c r="L3408" s="64">
        <v>717222</v>
      </c>
      <c r="M3408" t="s">
        <v>2454</v>
      </c>
    </row>
    <row r="3409" spans="12:13" x14ac:dyDescent="0.25">
      <c r="L3409" s="64">
        <v>717223</v>
      </c>
      <c r="M3409" t="s">
        <v>2455</v>
      </c>
    </row>
    <row r="3410" spans="12:13" x14ac:dyDescent="0.25">
      <c r="L3410" s="64">
        <v>717300</v>
      </c>
      <c r="M3410" t="s">
        <v>2456</v>
      </c>
    </row>
    <row r="3411" spans="12:13" x14ac:dyDescent="0.25">
      <c r="L3411" s="64">
        <v>717310</v>
      </c>
      <c r="M3411" t="s">
        <v>2457</v>
      </c>
    </row>
    <row r="3412" spans="12:13" x14ac:dyDescent="0.25">
      <c r="L3412" s="64">
        <v>717311</v>
      </c>
      <c r="M3412" t="s">
        <v>2458</v>
      </c>
    </row>
    <row r="3413" spans="12:13" x14ac:dyDescent="0.25">
      <c r="L3413" s="64">
        <v>717312</v>
      </c>
      <c r="M3413" t="s">
        <v>2459</v>
      </c>
    </row>
    <row r="3414" spans="12:13" x14ac:dyDescent="0.25">
      <c r="L3414" s="64">
        <v>717313</v>
      </c>
      <c r="M3414" t="s">
        <v>2460</v>
      </c>
    </row>
    <row r="3415" spans="12:13" x14ac:dyDescent="0.25">
      <c r="L3415" s="64">
        <v>717314</v>
      </c>
      <c r="M3415" t="s">
        <v>2461</v>
      </c>
    </row>
    <row r="3416" spans="12:13" x14ac:dyDescent="0.25">
      <c r="L3416" s="64">
        <v>717315</v>
      </c>
      <c r="M3416" t="s">
        <v>2462</v>
      </c>
    </row>
    <row r="3417" spans="12:13" x14ac:dyDescent="0.25">
      <c r="L3417" s="64">
        <v>717316</v>
      </c>
      <c r="M3417" t="s">
        <v>2463</v>
      </c>
    </row>
    <row r="3418" spans="12:13" x14ac:dyDescent="0.25">
      <c r="L3418" s="64">
        <v>717317</v>
      </c>
      <c r="M3418" t="s">
        <v>2464</v>
      </c>
    </row>
    <row r="3419" spans="12:13" x14ac:dyDescent="0.25">
      <c r="L3419" s="64">
        <v>717320</v>
      </c>
      <c r="M3419" t="s">
        <v>2465</v>
      </c>
    </row>
    <row r="3420" spans="12:13" x14ac:dyDescent="0.25">
      <c r="L3420" s="64">
        <v>717321</v>
      </c>
      <c r="M3420" t="s">
        <v>2466</v>
      </c>
    </row>
    <row r="3421" spans="12:13" x14ac:dyDescent="0.25">
      <c r="L3421" s="64">
        <v>717322</v>
      </c>
      <c r="M3421" t="s">
        <v>2467</v>
      </c>
    </row>
    <row r="3422" spans="12:13" x14ac:dyDescent="0.25">
      <c r="L3422" s="64">
        <v>717323</v>
      </c>
      <c r="M3422" t="s">
        <v>2468</v>
      </c>
    </row>
    <row r="3423" spans="12:13" x14ac:dyDescent="0.25">
      <c r="L3423" s="64">
        <v>717324</v>
      </c>
      <c r="M3423" t="s">
        <v>2469</v>
      </c>
    </row>
    <row r="3424" spans="12:13" x14ac:dyDescent="0.25">
      <c r="L3424" s="64">
        <v>717325</v>
      </c>
      <c r="M3424" t="s">
        <v>2470</v>
      </c>
    </row>
    <row r="3425" spans="12:13" x14ac:dyDescent="0.25">
      <c r="L3425" s="64">
        <v>717326</v>
      </c>
      <c r="M3425" t="s">
        <v>2471</v>
      </c>
    </row>
    <row r="3426" spans="12:13" x14ac:dyDescent="0.25">
      <c r="L3426" s="64">
        <v>717327</v>
      </c>
      <c r="M3426" t="s">
        <v>2472</v>
      </c>
    </row>
    <row r="3427" spans="12:13" x14ac:dyDescent="0.25">
      <c r="L3427" s="64">
        <v>717400</v>
      </c>
      <c r="M3427" t="s">
        <v>2473</v>
      </c>
    </row>
    <row r="3428" spans="12:13" x14ac:dyDescent="0.25">
      <c r="L3428" s="64">
        <v>717410</v>
      </c>
      <c r="M3428" t="s">
        <v>2474</v>
      </c>
    </row>
    <row r="3429" spans="12:13" x14ac:dyDescent="0.25">
      <c r="L3429" s="64">
        <v>717411</v>
      </c>
      <c r="M3429" t="s">
        <v>2474</v>
      </c>
    </row>
    <row r="3430" spans="12:13" x14ac:dyDescent="0.25">
      <c r="L3430" s="64">
        <v>717500</v>
      </c>
      <c r="M3430" t="s">
        <v>2475</v>
      </c>
    </row>
    <row r="3431" spans="12:13" x14ac:dyDescent="0.25">
      <c r="L3431" s="64">
        <v>717510</v>
      </c>
      <c r="M3431" t="s">
        <v>2476</v>
      </c>
    </row>
    <row r="3432" spans="12:13" x14ac:dyDescent="0.25">
      <c r="L3432" s="64">
        <v>717511</v>
      </c>
      <c r="M3432" t="s">
        <v>2477</v>
      </c>
    </row>
    <row r="3433" spans="12:13" x14ac:dyDescent="0.25">
      <c r="L3433" s="64">
        <v>717512</v>
      </c>
      <c r="M3433" t="s">
        <v>2478</v>
      </c>
    </row>
    <row r="3434" spans="12:13" x14ac:dyDescent="0.25">
      <c r="L3434" s="64">
        <v>717513</v>
      </c>
      <c r="M3434" t="s">
        <v>2479</v>
      </c>
    </row>
    <row r="3435" spans="12:13" x14ac:dyDescent="0.25">
      <c r="L3435" s="64">
        <v>717514</v>
      </c>
      <c r="M3435" t="s">
        <v>2480</v>
      </c>
    </row>
    <row r="3436" spans="12:13" x14ac:dyDescent="0.25">
      <c r="L3436" s="64">
        <v>717515</v>
      </c>
      <c r="M3436" t="s">
        <v>2481</v>
      </c>
    </row>
    <row r="3437" spans="12:13" x14ac:dyDescent="0.25">
      <c r="L3437" s="64">
        <v>717516</v>
      </c>
      <c r="M3437" t="s">
        <v>2482</v>
      </c>
    </row>
    <row r="3438" spans="12:13" x14ac:dyDescent="0.25">
      <c r="L3438" s="64">
        <v>717600</v>
      </c>
      <c r="M3438" t="s">
        <v>2483</v>
      </c>
    </row>
    <row r="3439" spans="12:13" x14ac:dyDescent="0.25">
      <c r="L3439" s="64">
        <v>717610</v>
      </c>
      <c r="M3439" t="s">
        <v>2483</v>
      </c>
    </row>
    <row r="3440" spans="12:13" x14ac:dyDescent="0.25">
      <c r="L3440" s="64">
        <v>717611</v>
      </c>
      <c r="M3440" t="s">
        <v>2484</v>
      </c>
    </row>
    <row r="3441" spans="12:13" x14ac:dyDescent="0.25">
      <c r="L3441" s="64">
        <v>717612</v>
      </c>
      <c r="M3441" t="s">
        <v>2485</v>
      </c>
    </row>
    <row r="3442" spans="12:13" x14ac:dyDescent="0.25">
      <c r="L3442" s="64">
        <v>719000</v>
      </c>
      <c r="M3442" t="s">
        <v>2486</v>
      </c>
    </row>
    <row r="3443" spans="12:13" x14ac:dyDescent="0.25">
      <c r="L3443" s="64">
        <v>719100</v>
      </c>
      <c r="M3443" t="s">
        <v>2487</v>
      </c>
    </row>
    <row r="3444" spans="12:13" x14ac:dyDescent="0.25">
      <c r="L3444" s="64">
        <v>719110</v>
      </c>
      <c r="M3444" t="s">
        <v>2488</v>
      </c>
    </row>
    <row r="3445" spans="12:13" x14ac:dyDescent="0.25">
      <c r="L3445" s="64">
        <v>719111</v>
      </c>
      <c r="M3445" t="s">
        <v>2489</v>
      </c>
    </row>
    <row r="3446" spans="12:13" x14ac:dyDescent="0.25">
      <c r="L3446" s="64">
        <v>719200</v>
      </c>
      <c r="M3446" t="s">
        <v>2490</v>
      </c>
    </row>
    <row r="3447" spans="12:13" x14ac:dyDescent="0.25">
      <c r="L3447" s="64">
        <v>719210</v>
      </c>
      <c r="M3447" t="s">
        <v>2491</v>
      </c>
    </row>
    <row r="3448" spans="12:13" x14ac:dyDescent="0.25">
      <c r="L3448" s="64">
        <v>719211</v>
      </c>
      <c r="M3448" t="s">
        <v>2492</v>
      </c>
    </row>
    <row r="3449" spans="12:13" x14ac:dyDescent="0.25">
      <c r="L3449" s="64">
        <v>719220</v>
      </c>
      <c r="M3449" t="s">
        <v>2493</v>
      </c>
    </row>
    <row r="3450" spans="12:13" x14ac:dyDescent="0.25">
      <c r="L3450" s="64">
        <v>719221</v>
      </c>
      <c r="M3450" t="s">
        <v>2494</v>
      </c>
    </row>
    <row r="3451" spans="12:13" x14ac:dyDescent="0.25">
      <c r="L3451" s="64">
        <v>719230</v>
      </c>
      <c r="M3451" t="s">
        <v>2495</v>
      </c>
    </row>
    <row r="3452" spans="12:13" x14ac:dyDescent="0.25">
      <c r="L3452" s="64">
        <v>719231</v>
      </c>
      <c r="M3452" t="s">
        <v>2496</v>
      </c>
    </row>
    <row r="3453" spans="12:13" x14ac:dyDescent="0.25">
      <c r="L3453" s="64">
        <v>719240</v>
      </c>
      <c r="M3453" t="s">
        <v>2497</v>
      </c>
    </row>
    <row r="3454" spans="12:13" x14ac:dyDescent="0.25">
      <c r="L3454" s="64">
        <v>719241</v>
      </c>
      <c r="M3454" t="s">
        <v>2498</v>
      </c>
    </row>
    <row r="3455" spans="12:13" x14ac:dyDescent="0.25">
      <c r="L3455" s="64">
        <v>719250</v>
      </c>
      <c r="M3455" t="s">
        <v>2499</v>
      </c>
    </row>
    <row r="3456" spans="12:13" x14ac:dyDescent="0.25">
      <c r="L3456" s="64">
        <v>719251</v>
      </c>
      <c r="M3456" t="s">
        <v>2500</v>
      </c>
    </row>
    <row r="3457" spans="12:13" x14ac:dyDescent="0.25">
      <c r="L3457" s="64">
        <v>719260</v>
      </c>
      <c r="M3457" t="s">
        <v>2501</v>
      </c>
    </row>
    <row r="3458" spans="12:13" x14ac:dyDescent="0.25">
      <c r="L3458" s="64">
        <v>719261</v>
      </c>
      <c r="M3458" t="s">
        <v>2502</v>
      </c>
    </row>
    <row r="3459" spans="12:13" x14ac:dyDescent="0.25">
      <c r="L3459" s="64">
        <v>719262</v>
      </c>
      <c r="M3459" t="s">
        <v>2503</v>
      </c>
    </row>
    <row r="3460" spans="12:13" x14ac:dyDescent="0.25">
      <c r="L3460" s="64">
        <v>719263</v>
      </c>
      <c r="M3460" t="s">
        <v>2504</v>
      </c>
    </row>
    <row r="3461" spans="12:13" x14ac:dyDescent="0.25">
      <c r="L3461" s="64">
        <v>719264</v>
      </c>
      <c r="M3461" t="s">
        <v>2505</v>
      </c>
    </row>
    <row r="3462" spans="12:13" x14ac:dyDescent="0.25">
      <c r="L3462" s="64">
        <v>719265</v>
      </c>
      <c r="M3462" t="s">
        <v>2506</v>
      </c>
    </row>
    <row r="3463" spans="12:13" x14ac:dyDescent="0.25">
      <c r="L3463" s="64">
        <v>719300</v>
      </c>
      <c r="M3463" t="s">
        <v>2507</v>
      </c>
    </row>
    <row r="3464" spans="12:13" x14ac:dyDescent="0.25">
      <c r="L3464" s="64">
        <v>719310</v>
      </c>
      <c r="M3464" t="s">
        <v>2508</v>
      </c>
    </row>
    <row r="3465" spans="12:13" x14ac:dyDescent="0.25">
      <c r="L3465" s="64">
        <v>719311</v>
      </c>
      <c r="M3465" t="s">
        <v>2509</v>
      </c>
    </row>
    <row r="3466" spans="12:13" x14ac:dyDescent="0.25">
      <c r="L3466" s="64">
        <v>719320</v>
      </c>
      <c r="M3466" t="s">
        <v>2510</v>
      </c>
    </row>
    <row r="3467" spans="12:13" x14ac:dyDescent="0.25">
      <c r="L3467" s="64">
        <v>719321</v>
      </c>
      <c r="M3467" t="s">
        <v>2511</v>
      </c>
    </row>
    <row r="3468" spans="12:13" x14ac:dyDescent="0.25">
      <c r="L3468" s="64">
        <v>719330</v>
      </c>
      <c r="M3468" t="s">
        <v>2512</v>
      </c>
    </row>
    <row r="3469" spans="12:13" x14ac:dyDescent="0.25">
      <c r="L3469" s="64">
        <v>719331</v>
      </c>
      <c r="M3469" t="s">
        <v>2513</v>
      </c>
    </row>
    <row r="3470" spans="12:13" x14ac:dyDescent="0.25">
      <c r="L3470" s="64">
        <v>719400</v>
      </c>
      <c r="M3470" t="s">
        <v>2514</v>
      </c>
    </row>
    <row r="3471" spans="12:13" x14ac:dyDescent="0.25">
      <c r="L3471" s="64">
        <v>719410</v>
      </c>
      <c r="M3471" t="s">
        <v>2515</v>
      </c>
    </row>
    <row r="3472" spans="12:13" x14ac:dyDescent="0.25">
      <c r="L3472" s="64">
        <v>719411</v>
      </c>
      <c r="M3472" t="s">
        <v>2516</v>
      </c>
    </row>
    <row r="3473" spans="12:13" x14ac:dyDescent="0.25">
      <c r="L3473" s="64">
        <v>719412</v>
      </c>
      <c r="M3473" t="s">
        <v>2517</v>
      </c>
    </row>
    <row r="3474" spans="12:13" x14ac:dyDescent="0.25">
      <c r="L3474" s="64">
        <v>719413</v>
      </c>
      <c r="M3474" t="s">
        <v>2518</v>
      </c>
    </row>
    <row r="3475" spans="12:13" x14ac:dyDescent="0.25">
      <c r="L3475" s="64">
        <v>719414</v>
      </c>
      <c r="M3475" t="s">
        <v>2519</v>
      </c>
    </row>
    <row r="3476" spans="12:13" x14ac:dyDescent="0.25">
      <c r="L3476" s="64">
        <v>719415</v>
      </c>
      <c r="M3476" t="s">
        <v>2520</v>
      </c>
    </row>
    <row r="3477" spans="12:13" x14ac:dyDescent="0.25">
      <c r="L3477" s="64">
        <v>719500</v>
      </c>
      <c r="M3477" t="s">
        <v>2521</v>
      </c>
    </row>
    <row r="3478" spans="12:13" x14ac:dyDescent="0.25">
      <c r="L3478" s="64">
        <v>719510</v>
      </c>
      <c r="M3478" t="s">
        <v>2522</v>
      </c>
    </row>
    <row r="3479" spans="12:13" x14ac:dyDescent="0.25">
      <c r="L3479" s="64">
        <v>719511</v>
      </c>
      <c r="M3479" t="s">
        <v>2523</v>
      </c>
    </row>
    <row r="3480" spans="12:13" x14ac:dyDescent="0.25">
      <c r="L3480" s="64">
        <v>719600</v>
      </c>
      <c r="M3480" t="s">
        <v>2524</v>
      </c>
    </row>
    <row r="3481" spans="12:13" x14ac:dyDescent="0.25">
      <c r="L3481" s="64">
        <v>719610</v>
      </c>
      <c r="M3481" t="s">
        <v>2525</v>
      </c>
    </row>
    <row r="3482" spans="12:13" x14ac:dyDescent="0.25">
      <c r="L3482" s="64">
        <v>719611</v>
      </c>
      <c r="M3482" t="s">
        <v>2526</v>
      </c>
    </row>
    <row r="3483" spans="12:13" x14ac:dyDescent="0.25">
      <c r="L3483" s="64">
        <v>720000</v>
      </c>
      <c r="M3483" t="s">
        <v>2527</v>
      </c>
    </row>
    <row r="3484" spans="12:13" x14ac:dyDescent="0.25">
      <c r="L3484" s="64">
        <v>721000</v>
      </c>
      <c r="M3484" t="s">
        <v>2528</v>
      </c>
    </row>
    <row r="3485" spans="12:13" x14ac:dyDescent="0.25">
      <c r="L3485" s="64">
        <v>721100</v>
      </c>
      <c r="M3485" t="s">
        <v>2529</v>
      </c>
    </row>
    <row r="3486" spans="12:13" x14ac:dyDescent="0.25">
      <c r="L3486" s="64">
        <v>721110</v>
      </c>
      <c r="M3486" t="s">
        <v>2530</v>
      </c>
    </row>
    <row r="3487" spans="12:13" x14ac:dyDescent="0.25">
      <c r="L3487" s="64">
        <v>721111</v>
      </c>
      <c r="M3487" t="s">
        <v>2531</v>
      </c>
    </row>
    <row r="3488" spans="12:13" x14ac:dyDescent="0.25">
      <c r="L3488" s="64">
        <v>721112</v>
      </c>
      <c r="M3488" t="s">
        <v>2532</v>
      </c>
    </row>
    <row r="3489" spans="12:13" x14ac:dyDescent="0.25">
      <c r="L3489" s="64">
        <v>721113</v>
      </c>
      <c r="M3489" t="s">
        <v>2533</v>
      </c>
    </row>
    <row r="3490" spans="12:13" x14ac:dyDescent="0.25">
      <c r="L3490" s="64">
        <v>721114</v>
      </c>
      <c r="M3490" t="s">
        <v>2534</v>
      </c>
    </row>
    <row r="3491" spans="12:13" x14ac:dyDescent="0.25">
      <c r="L3491" s="64">
        <v>721115</v>
      </c>
      <c r="M3491" t="s">
        <v>2535</v>
      </c>
    </row>
    <row r="3492" spans="12:13" x14ac:dyDescent="0.25">
      <c r="L3492" s="64">
        <v>721116</v>
      </c>
      <c r="M3492" t="s">
        <v>2536</v>
      </c>
    </row>
    <row r="3493" spans="12:13" x14ac:dyDescent="0.25">
      <c r="L3493" s="64">
        <v>721117</v>
      </c>
      <c r="M3493" t="s">
        <v>2537</v>
      </c>
    </row>
    <row r="3494" spans="12:13" x14ac:dyDescent="0.25">
      <c r="L3494" s="64">
        <v>721118</v>
      </c>
      <c r="M3494" t="s">
        <v>2538</v>
      </c>
    </row>
    <row r="3495" spans="12:13" x14ac:dyDescent="0.25">
      <c r="L3495" s="64">
        <v>721119</v>
      </c>
      <c r="M3495" t="s">
        <v>2539</v>
      </c>
    </row>
    <row r="3496" spans="12:13" x14ac:dyDescent="0.25">
      <c r="L3496" s="64">
        <v>721120</v>
      </c>
      <c r="M3496" t="s">
        <v>2540</v>
      </c>
    </row>
    <row r="3497" spans="12:13" x14ac:dyDescent="0.25">
      <c r="L3497" s="64">
        <v>721121</v>
      </c>
      <c r="M3497" t="s">
        <v>2541</v>
      </c>
    </row>
    <row r="3498" spans="12:13" x14ac:dyDescent="0.25">
      <c r="L3498" s="64">
        <v>721122</v>
      </c>
      <c r="M3498" t="s">
        <v>2542</v>
      </c>
    </row>
    <row r="3499" spans="12:13" x14ac:dyDescent="0.25">
      <c r="L3499" s="64">
        <v>721130</v>
      </c>
      <c r="M3499" t="s">
        <v>2543</v>
      </c>
    </row>
    <row r="3500" spans="12:13" x14ac:dyDescent="0.25">
      <c r="L3500" s="64">
        <v>721131</v>
      </c>
      <c r="M3500" t="s">
        <v>2544</v>
      </c>
    </row>
    <row r="3501" spans="12:13" x14ac:dyDescent="0.25">
      <c r="L3501" s="64">
        <v>721200</v>
      </c>
      <c r="M3501" t="s">
        <v>2545</v>
      </c>
    </row>
    <row r="3502" spans="12:13" x14ac:dyDescent="0.25">
      <c r="L3502" s="64">
        <v>721210</v>
      </c>
      <c r="M3502" t="s">
        <v>2530</v>
      </c>
    </row>
    <row r="3503" spans="12:13" x14ac:dyDescent="0.25">
      <c r="L3503" s="64">
        <v>721211</v>
      </c>
      <c r="M3503" t="s">
        <v>2546</v>
      </c>
    </row>
    <row r="3504" spans="12:13" x14ac:dyDescent="0.25">
      <c r="L3504" s="64">
        <v>721212</v>
      </c>
      <c r="M3504" t="s">
        <v>2547</v>
      </c>
    </row>
    <row r="3505" spans="12:13" x14ac:dyDescent="0.25">
      <c r="L3505" s="64">
        <v>721213</v>
      </c>
      <c r="M3505" t="s">
        <v>2548</v>
      </c>
    </row>
    <row r="3506" spans="12:13" x14ac:dyDescent="0.25">
      <c r="L3506" s="64">
        <v>721214</v>
      </c>
      <c r="M3506" t="s">
        <v>2549</v>
      </c>
    </row>
    <row r="3507" spans="12:13" x14ac:dyDescent="0.25">
      <c r="L3507" s="64">
        <v>721215</v>
      </c>
      <c r="M3507" t="s">
        <v>2550</v>
      </c>
    </row>
    <row r="3508" spans="12:13" x14ac:dyDescent="0.25">
      <c r="L3508" s="64">
        <v>721216</v>
      </c>
      <c r="M3508" t="s">
        <v>2551</v>
      </c>
    </row>
    <row r="3509" spans="12:13" x14ac:dyDescent="0.25">
      <c r="L3509" s="64">
        <v>721217</v>
      </c>
      <c r="M3509" t="s">
        <v>2552</v>
      </c>
    </row>
    <row r="3510" spans="12:13" x14ac:dyDescent="0.25">
      <c r="L3510" s="64">
        <v>721218</v>
      </c>
      <c r="M3510" t="s">
        <v>2553</v>
      </c>
    </row>
    <row r="3511" spans="12:13" x14ac:dyDescent="0.25">
      <c r="L3511" s="64">
        <v>721219</v>
      </c>
      <c r="M3511" t="s">
        <v>2554</v>
      </c>
    </row>
    <row r="3512" spans="12:13" x14ac:dyDescent="0.25">
      <c r="L3512" s="64">
        <v>721220</v>
      </c>
      <c r="M3512" t="s">
        <v>2540</v>
      </c>
    </row>
    <row r="3513" spans="12:13" x14ac:dyDescent="0.25">
      <c r="L3513" s="64">
        <v>721221</v>
      </c>
      <c r="M3513" t="s">
        <v>2555</v>
      </c>
    </row>
    <row r="3514" spans="12:13" x14ac:dyDescent="0.25">
      <c r="L3514" s="64">
        <v>721222</v>
      </c>
      <c r="M3514" t="s">
        <v>2556</v>
      </c>
    </row>
    <row r="3515" spans="12:13" x14ac:dyDescent="0.25">
      <c r="L3515" s="64">
        <v>721223</v>
      </c>
      <c r="M3515" t="s">
        <v>2557</v>
      </c>
    </row>
    <row r="3516" spans="12:13" x14ac:dyDescent="0.25">
      <c r="L3516" s="64">
        <v>721224</v>
      </c>
      <c r="M3516" t="s">
        <v>2558</v>
      </c>
    </row>
    <row r="3517" spans="12:13" x14ac:dyDescent="0.25">
      <c r="L3517" s="64">
        <v>721225</v>
      </c>
      <c r="M3517" t="s">
        <v>2559</v>
      </c>
    </row>
    <row r="3518" spans="12:13" x14ac:dyDescent="0.25">
      <c r="L3518" s="64">
        <v>721226</v>
      </c>
      <c r="M3518" t="s">
        <v>2560</v>
      </c>
    </row>
    <row r="3519" spans="12:13" x14ac:dyDescent="0.25">
      <c r="L3519" s="64">
        <v>721230</v>
      </c>
      <c r="M3519" t="s">
        <v>2543</v>
      </c>
    </row>
    <row r="3520" spans="12:13" x14ac:dyDescent="0.25">
      <c r="L3520" s="64">
        <v>721231</v>
      </c>
      <c r="M3520" t="s">
        <v>2561</v>
      </c>
    </row>
    <row r="3521" spans="12:13" x14ac:dyDescent="0.25">
      <c r="L3521" s="64">
        <v>721232</v>
      </c>
      <c r="M3521" t="s">
        <v>2562</v>
      </c>
    </row>
    <row r="3522" spans="12:13" x14ac:dyDescent="0.25">
      <c r="L3522" s="64">
        <v>721233</v>
      </c>
      <c r="M3522" t="s">
        <v>2563</v>
      </c>
    </row>
    <row r="3523" spans="12:13" x14ac:dyDescent="0.25">
      <c r="L3523" s="64">
        <v>721300</v>
      </c>
      <c r="M3523" t="s">
        <v>2564</v>
      </c>
    </row>
    <row r="3524" spans="12:13" x14ac:dyDescent="0.25">
      <c r="L3524" s="64">
        <v>721310</v>
      </c>
      <c r="M3524" t="s">
        <v>2530</v>
      </c>
    </row>
    <row r="3525" spans="12:13" x14ac:dyDescent="0.25">
      <c r="L3525" s="64">
        <v>721311</v>
      </c>
      <c r="M3525" t="s">
        <v>2565</v>
      </c>
    </row>
    <row r="3526" spans="12:13" x14ac:dyDescent="0.25">
      <c r="L3526" s="64">
        <v>721312</v>
      </c>
      <c r="M3526" t="s">
        <v>2566</v>
      </c>
    </row>
    <row r="3527" spans="12:13" x14ac:dyDescent="0.25">
      <c r="L3527" s="64">
        <v>721313</v>
      </c>
      <c r="M3527" t="s">
        <v>2567</v>
      </c>
    </row>
    <row r="3528" spans="12:13" x14ac:dyDescent="0.25">
      <c r="L3528" s="64">
        <v>721314</v>
      </c>
      <c r="M3528" t="s">
        <v>2568</v>
      </c>
    </row>
    <row r="3529" spans="12:13" x14ac:dyDescent="0.25">
      <c r="L3529" s="64">
        <v>721315</v>
      </c>
      <c r="M3529" t="s">
        <v>2569</v>
      </c>
    </row>
    <row r="3530" spans="12:13" x14ac:dyDescent="0.25">
      <c r="L3530" s="64">
        <v>721316</v>
      </c>
      <c r="M3530" t="s">
        <v>2570</v>
      </c>
    </row>
    <row r="3531" spans="12:13" x14ac:dyDescent="0.25">
      <c r="L3531" s="64">
        <v>721317</v>
      </c>
      <c r="M3531" t="s">
        <v>2571</v>
      </c>
    </row>
    <row r="3532" spans="12:13" x14ac:dyDescent="0.25">
      <c r="L3532" s="64">
        <v>721318</v>
      </c>
      <c r="M3532" t="s">
        <v>2572</v>
      </c>
    </row>
    <row r="3533" spans="12:13" x14ac:dyDescent="0.25">
      <c r="L3533" s="64">
        <v>721319</v>
      </c>
      <c r="M3533" t="s">
        <v>2573</v>
      </c>
    </row>
    <row r="3534" spans="12:13" x14ac:dyDescent="0.25">
      <c r="L3534" s="64">
        <v>721320</v>
      </c>
      <c r="M3534" t="s">
        <v>2540</v>
      </c>
    </row>
    <row r="3535" spans="12:13" x14ac:dyDescent="0.25">
      <c r="L3535" s="64">
        <v>721321</v>
      </c>
      <c r="M3535" t="s">
        <v>2574</v>
      </c>
    </row>
    <row r="3536" spans="12:13" x14ac:dyDescent="0.25">
      <c r="L3536" s="64">
        <v>721322</v>
      </c>
      <c r="M3536" t="s">
        <v>2575</v>
      </c>
    </row>
    <row r="3537" spans="12:13" x14ac:dyDescent="0.25">
      <c r="L3537" s="64">
        <v>721323</v>
      </c>
      <c r="M3537" t="s">
        <v>2576</v>
      </c>
    </row>
    <row r="3538" spans="12:13" x14ac:dyDescent="0.25">
      <c r="L3538" s="64">
        <v>721324</v>
      </c>
      <c r="M3538" t="s">
        <v>2577</v>
      </c>
    </row>
    <row r="3539" spans="12:13" x14ac:dyDescent="0.25">
      <c r="L3539" s="64">
        <v>721325</v>
      </c>
      <c r="M3539" t="s">
        <v>2578</v>
      </c>
    </row>
    <row r="3540" spans="12:13" x14ac:dyDescent="0.25">
      <c r="L3540" s="64">
        <v>721330</v>
      </c>
      <c r="M3540" t="s">
        <v>2543</v>
      </c>
    </row>
    <row r="3541" spans="12:13" x14ac:dyDescent="0.25">
      <c r="L3541" s="64">
        <v>721331</v>
      </c>
      <c r="M3541" t="s">
        <v>2579</v>
      </c>
    </row>
    <row r="3542" spans="12:13" x14ac:dyDescent="0.25">
      <c r="L3542" s="64">
        <v>721332</v>
      </c>
      <c r="M3542" t="s">
        <v>2580</v>
      </c>
    </row>
    <row r="3543" spans="12:13" x14ac:dyDescent="0.25">
      <c r="L3543" s="64">
        <v>721400</v>
      </c>
      <c r="M3543" t="s">
        <v>2581</v>
      </c>
    </row>
    <row r="3544" spans="12:13" x14ac:dyDescent="0.25">
      <c r="L3544" s="64">
        <v>721410</v>
      </c>
      <c r="M3544" t="s">
        <v>2530</v>
      </c>
    </row>
    <row r="3545" spans="12:13" x14ac:dyDescent="0.25">
      <c r="L3545" s="64">
        <v>721411</v>
      </c>
      <c r="M3545" t="s">
        <v>2582</v>
      </c>
    </row>
    <row r="3546" spans="12:13" x14ac:dyDescent="0.25">
      <c r="L3546" s="64">
        <v>721412</v>
      </c>
      <c r="M3546" t="s">
        <v>2583</v>
      </c>
    </row>
    <row r="3547" spans="12:13" x14ac:dyDescent="0.25">
      <c r="L3547" s="64">
        <v>721413</v>
      </c>
      <c r="M3547" t="s">
        <v>2584</v>
      </c>
    </row>
    <row r="3548" spans="12:13" x14ac:dyDescent="0.25">
      <c r="L3548" s="64">
        <v>721414</v>
      </c>
      <c r="M3548" t="s">
        <v>2585</v>
      </c>
    </row>
    <row r="3549" spans="12:13" x14ac:dyDescent="0.25">
      <c r="L3549" s="64">
        <v>721415</v>
      </c>
      <c r="M3549" t="s">
        <v>2586</v>
      </c>
    </row>
    <row r="3550" spans="12:13" x14ac:dyDescent="0.25">
      <c r="L3550" s="64">
        <v>721416</v>
      </c>
      <c r="M3550" t="s">
        <v>2587</v>
      </c>
    </row>
    <row r="3551" spans="12:13" x14ac:dyDescent="0.25">
      <c r="L3551" s="64">
        <v>721417</v>
      </c>
      <c r="M3551" t="s">
        <v>2588</v>
      </c>
    </row>
    <row r="3552" spans="12:13" x14ac:dyDescent="0.25">
      <c r="L3552" s="64">
        <v>721418</v>
      </c>
      <c r="M3552" t="s">
        <v>2589</v>
      </c>
    </row>
    <row r="3553" spans="12:13" x14ac:dyDescent="0.25">
      <c r="L3553" s="64">
        <v>721419</v>
      </c>
      <c r="M3553" t="s">
        <v>2590</v>
      </c>
    </row>
    <row r="3554" spans="12:13" x14ac:dyDescent="0.25">
      <c r="L3554" s="64">
        <v>721420</v>
      </c>
      <c r="M3554" t="s">
        <v>2591</v>
      </c>
    </row>
    <row r="3555" spans="12:13" x14ac:dyDescent="0.25">
      <c r="L3555" s="64">
        <v>721421</v>
      </c>
      <c r="M3555" t="s">
        <v>2591</v>
      </c>
    </row>
    <row r="3556" spans="12:13" x14ac:dyDescent="0.25">
      <c r="L3556" s="64">
        <v>721430</v>
      </c>
      <c r="M3556" t="s">
        <v>2592</v>
      </c>
    </row>
    <row r="3557" spans="12:13" x14ac:dyDescent="0.25">
      <c r="L3557" s="64">
        <v>721431</v>
      </c>
      <c r="M3557" t="s">
        <v>2592</v>
      </c>
    </row>
    <row r="3558" spans="12:13" x14ac:dyDescent="0.25">
      <c r="L3558" s="64">
        <v>721432</v>
      </c>
      <c r="M3558" t="s">
        <v>2593</v>
      </c>
    </row>
    <row r="3559" spans="12:13" x14ac:dyDescent="0.25">
      <c r="L3559" s="64">
        <v>722000</v>
      </c>
      <c r="M3559" t="s">
        <v>2594</v>
      </c>
    </row>
    <row r="3560" spans="12:13" x14ac:dyDescent="0.25">
      <c r="L3560" s="64">
        <v>722100</v>
      </c>
      <c r="M3560" t="s">
        <v>2595</v>
      </c>
    </row>
    <row r="3561" spans="12:13" x14ac:dyDescent="0.25">
      <c r="L3561" s="64">
        <v>722110</v>
      </c>
      <c r="M3561" t="s">
        <v>2595</v>
      </c>
    </row>
    <row r="3562" spans="12:13" x14ac:dyDescent="0.25">
      <c r="L3562" s="64">
        <v>722111</v>
      </c>
      <c r="M3562" t="s">
        <v>2595</v>
      </c>
    </row>
    <row r="3563" spans="12:13" x14ac:dyDescent="0.25">
      <c r="L3563" s="64">
        <v>722200</v>
      </c>
      <c r="M3563" t="s">
        <v>2596</v>
      </c>
    </row>
    <row r="3564" spans="12:13" x14ac:dyDescent="0.25">
      <c r="L3564" s="64">
        <v>722210</v>
      </c>
      <c r="M3564" t="s">
        <v>2596</v>
      </c>
    </row>
    <row r="3565" spans="12:13" x14ac:dyDescent="0.25">
      <c r="L3565" s="64">
        <v>722211</v>
      </c>
      <c r="M3565" t="s">
        <v>2596</v>
      </c>
    </row>
    <row r="3566" spans="12:13" x14ac:dyDescent="0.25">
      <c r="L3566" s="64">
        <v>722300</v>
      </c>
      <c r="M3566" t="s">
        <v>2597</v>
      </c>
    </row>
    <row r="3567" spans="12:13" x14ac:dyDescent="0.25">
      <c r="L3567" s="64">
        <v>722310</v>
      </c>
      <c r="M3567" t="s">
        <v>2597</v>
      </c>
    </row>
    <row r="3568" spans="12:13" x14ac:dyDescent="0.25">
      <c r="L3568" s="64">
        <v>722311</v>
      </c>
      <c r="M3568" t="s">
        <v>2597</v>
      </c>
    </row>
    <row r="3569" spans="12:13" x14ac:dyDescent="0.25">
      <c r="L3569" s="64">
        <v>730000</v>
      </c>
      <c r="M3569" t="s">
        <v>2599</v>
      </c>
    </row>
    <row r="3570" spans="12:13" x14ac:dyDescent="0.25">
      <c r="L3570" s="64">
        <v>731000</v>
      </c>
      <c r="M3570" t="s">
        <v>2600</v>
      </c>
    </row>
    <row r="3571" spans="12:13" x14ac:dyDescent="0.25">
      <c r="L3571" s="64">
        <v>731100</v>
      </c>
      <c r="M3571" t="s">
        <v>2601</v>
      </c>
    </row>
    <row r="3572" spans="12:13" x14ac:dyDescent="0.25">
      <c r="L3572" s="64">
        <v>731120</v>
      </c>
      <c r="M3572" t="s">
        <v>2602</v>
      </c>
    </row>
    <row r="3573" spans="12:13" x14ac:dyDescent="0.25">
      <c r="L3573" s="64">
        <v>731121</v>
      </c>
      <c r="M3573" t="s">
        <v>2602</v>
      </c>
    </row>
    <row r="3574" spans="12:13" x14ac:dyDescent="0.25">
      <c r="L3574" s="64">
        <v>731130</v>
      </c>
      <c r="M3574" t="s">
        <v>2603</v>
      </c>
    </row>
    <row r="3575" spans="12:13" x14ac:dyDescent="0.25">
      <c r="L3575" s="64">
        <v>731131</v>
      </c>
      <c r="M3575" t="s">
        <v>2604</v>
      </c>
    </row>
    <row r="3576" spans="12:13" x14ac:dyDescent="0.25">
      <c r="L3576" s="64">
        <v>731132</v>
      </c>
      <c r="M3576" t="s">
        <v>2605</v>
      </c>
    </row>
    <row r="3577" spans="12:13" x14ac:dyDescent="0.25">
      <c r="L3577" s="64">
        <v>731140</v>
      </c>
      <c r="M3577" t="s">
        <v>2606</v>
      </c>
    </row>
    <row r="3578" spans="12:13" x14ac:dyDescent="0.25">
      <c r="L3578" s="64">
        <v>731141</v>
      </c>
      <c r="M3578" t="s">
        <v>2606</v>
      </c>
    </row>
    <row r="3579" spans="12:13" x14ac:dyDescent="0.25">
      <c r="L3579" s="64">
        <v>731150</v>
      </c>
      <c r="M3579" t="s">
        <v>2607</v>
      </c>
    </row>
    <row r="3580" spans="12:13" x14ac:dyDescent="0.25">
      <c r="L3580" s="64">
        <v>731151</v>
      </c>
      <c r="M3580" t="s">
        <v>2607</v>
      </c>
    </row>
    <row r="3581" spans="12:13" x14ac:dyDescent="0.25">
      <c r="L3581" s="64">
        <v>731160</v>
      </c>
      <c r="M3581" t="s">
        <v>2608</v>
      </c>
    </row>
    <row r="3582" spans="12:13" x14ac:dyDescent="0.25">
      <c r="L3582" s="64">
        <v>731161</v>
      </c>
      <c r="M3582" t="s">
        <v>2609</v>
      </c>
    </row>
    <row r="3583" spans="12:13" x14ac:dyDescent="0.25">
      <c r="L3583" s="64">
        <v>731162</v>
      </c>
      <c r="M3583" t="s">
        <v>2610</v>
      </c>
    </row>
    <row r="3584" spans="12:13" x14ac:dyDescent="0.25">
      <c r="L3584" s="64">
        <v>731165</v>
      </c>
      <c r="M3584" t="s">
        <v>2611</v>
      </c>
    </row>
    <row r="3585" spans="12:13" x14ac:dyDescent="0.25">
      <c r="L3585" s="64">
        <v>731200</v>
      </c>
      <c r="M3585" t="s">
        <v>2612</v>
      </c>
    </row>
    <row r="3586" spans="12:13" x14ac:dyDescent="0.25">
      <c r="L3586" s="64">
        <v>731220</v>
      </c>
      <c r="M3586" t="s">
        <v>2613</v>
      </c>
    </row>
    <row r="3587" spans="12:13" x14ac:dyDescent="0.25">
      <c r="L3587" s="64">
        <v>731221</v>
      </c>
      <c r="M3587" t="s">
        <v>2613</v>
      </c>
    </row>
    <row r="3588" spans="12:13" x14ac:dyDescent="0.25">
      <c r="L3588" s="64">
        <v>731230</v>
      </c>
      <c r="M3588" t="s">
        <v>2614</v>
      </c>
    </row>
    <row r="3589" spans="12:13" x14ac:dyDescent="0.25">
      <c r="L3589" s="64">
        <v>731231</v>
      </c>
      <c r="M3589" t="s">
        <v>2615</v>
      </c>
    </row>
    <row r="3590" spans="12:13" x14ac:dyDescent="0.25">
      <c r="L3590" s="64">
        <v>731232</v>
      </c>
      <c r="M3590" t="s">
        <v>2616</v>
      </c>
    </row>
    <row r="3591" spans="12:13" x14ac:dyDescent="0.25">
      <c r="L3591" s="64">
        <v>731240</v>
      </c>
      <c r="M3591" t="s">
        <v>2617</v>
      </c>
    </row>
    <row r="3592" spans="12:13" x14ac:dyDescent="0.25">
      <c r="L3592" s="64">
        <v>731241</v>
      </c>
      <c r="M3592" t="s">
        <v>2617</v>
      </c>
    </row>
    <row r="3593" spans="12:13" x14ac:dyDescent="0.25">
      <c r="L3593" s="64">
        <v>731250</v>
      </c>
      <c r="M3593" t="s">
        <v>2618</v>
      </c>
    </row>
    <row r="3594" spans="12:13" x14ac:dyDescent="0.25">
      <c r="L3594" s="64">
        <v>731251</v>
      </c>
      <c r="M3594" t="s">
        <v>2618</v>
      </c>
    </row>
    <row r="3595" spans="12:13" x14ac:dyDescent="0.25">
      <c r="L3595" s="64">
        <v>731260</v>
      </c>
      <c r="M3595" t="s">
        <v>2619</v>
      </c>
    </row>
    <row r="3596" spans="12:13" x14ac:dyDescent="0.25">
      <c r="L3596" s="64">
        <v>731261</v>
      </c>
      <c r="M3596" t="s">
        <v>2620</v>
      </c>
    </row>
    <row r="3597" spans="12:13" x14ac:dyDescent="0.25">
      <c r="L3597" s="64">
        <v>731262</v>
      </c>
      <c r="M3597" t="s">
        <v>2621</v>
      </c>
    </row>
    <row r="3598" spans="12:13" x14ac:dyDescent="0.25">
      <c r="L3598" s="64">
        <v>731265</v>
      </c>
      <c r="M3598" t="s">
        <v>2622</v>
      </c>
    </row>
    <row r="3599" spans="12:13" x14ac:dyDescent="0.25">
      <c r="L3599" s="64">
        <v>732000</v>
      </c>
      <c r="M3599" t="s">
        <v>2623</v>
      </c>
    </row>
    <row r="3600" spans="12:13" x14ac:dyDescent="0.25">
      <c r="L3600" s="64">
        <v>732100</v>
      </c>
      <c r="M3600" t="s">
        <v>2624</v>
      </c>
    </row>
    <row r="3601" spans="12:13" x14ac:dyDescent="0.25">
      <c r="L3601" s="64">
        <v>732120</v>
      </c>
      <c r="M3601" t="s">
        <v>2625</v>
      </c>
    </row>
    <row r="3602" spans="12:13" x14ac:dyDescent="0.25">
      <c r="L3602" s="64">
        <v>732121</v>
      </c>
      <c r="M3602" t="s">
        <v>2625</v>
      </c>
    </row>
    <row r="3603" spans="12:13" x14ac:dyDescent="0.25">
      <c r="L3603" s="64">
        <v>732130</v>
      </c>
      <c r="M3603" t="s">
        <v>2626</v>
      </c>
    </row>
    <row r="3604" spans="12:13" x14ac:dyDescent="0.25">
      <c r="L3604" s="64">
        <v>732131</v>
      </c>
      <c r="M3604" t="s">
        <v>2627</v>
      </c>
    </row>
    <row r="3605" spans="12:13" x14ac:dyDescent="0.25">
      <c r="L3605" s="64">
        <v>732132</v>
      </c>
      <c r="M3605" t="s">
        <v>2628</v>
      </c>
    </row>
    <row r="3606" spans="12:13" x14ac:dyDescent="0.25">
      <c r="L3606" s="64">
        <v>732140</v>
      </c>
      <c r="M3606" t="s">
        <v>2629</v>
      </c>
    </row>
    <row r="3607" spans="12:13" x14ac:dyDescent="0.25">
      <c r="L3607" s="64">
        <v>732141</v>
      </c>
      <c r="M3607" t="s">
        <v>2629</v>
      </c>
    </row>
    <row r="3608" spans="12:13" x14ac:dyDescent="0.25">
      <c r="L3608" s="64">
        <v>732150</v>
      </c>
      <c r="M3608" t="s">
        <v>2630</v>
      </c>
    </row>
    <row r="3609" spans="12:13" x14ac:dyDescent="0.25">
      <c r="L3609" s="64">
        <v>732151</v>
      </c>
      <c r="M3609" t="s">
        <v>2630</v>
      </c>
    </row>
    <row r="3610" spans="12:13" x14ac:dyDescent="0.25">
      <c r="L3610" s="64">
        <v>732160</v>
      </c>
      <c r="M3610" t="s">
        <v>2631</v>
      </c>
    </row>
    <row r="3611" spans="12:13" x14ac:dyDescent="0.25">
      <c r="L3611" s="64">
        <v>732161</v>
      </c>
      <c r="M3611" t="s">
        <v>2632</v>
      </c>
    </row>
    <row r="3612" spans="12:13" x14ac:dyDescent="0.25">
      <c r="L3612" s="64">
        <v>732162</v>
      </c>
      <c r="M3612" t="s">
        <v>2633</v>
      </c>
    </row>
    <row r="3613" spans="12:13" x14ac:dyDescent="0.25">
      <c r="L3613" s="64">
        <v>732165</v>
      </c>
      <c r="M3613" t="s">
        <v>2634</v>
      </c>
    </row>
    <row r="3614" spans="12:13" x14ac:dyDescent="0.25">
      <c r="L3614" s="64">
        <v>732200</v>
      </c>
      <c r="M3614" t="s">
        <v>2635</v>
      </c>
    </row>
    <row r="3615" spans="12:13" x14ac:dyDescent="0.25">
      <c r="L3615" s="64">
        <v>732220</v>
      </c>
      <c r="M3615" t="s">
        <v>2636</v>
      </c>
    </row>
    <row r="3616" spans="12:13" x14ac:dyDescent="0.25">
      <c r="L3616" s="64">
        <v>732221</v>
      </c>
      <c r="M3616" t="s">
        <v>2636</v>
      </c>
    </row>
    <row r="3617" spans="12:13" x14ac:dyDescent="0.25">
      <c r="L3617" s="64">
        <v>732230</v>
      </c>
      <c r="M3617" t="s">
        <v>2637</v>
      </c>
    </row>
    <row r="3618" spans="12:13" x14ac:dyDescent="0.25">
      <c r="L3618" s="64">
        <v>732231</v>
      </c>
      <c r="M3618" t="s">
        <v>2638</v>
      </c>
    </row>
    <row r="3619" spans="12:13" x14ac:dyDescent="0.25">
      <c r="L3619" s="64">
        <v>732232</v>
      </c>
      <c r="M3619" t="s">
        <v>2639</v>
      </c>
    </row>
    <row r="3620" spans="12:13" x14ac:dyDescent="0.25">
      <c r="L3620" s="64">
        <v>732240</v>
      </c>
      <c r="M3620" t="s">
        <v>2640</v>
      </c>
    </row>
    <row r="3621" spans="12:13" x14ac:dyDescent="0.25">
      <c r="L3621" s="64">
        <v>732241</v>
      </c>
      <c r="M3621" t="s">
        <v>2640</v>
      </c>
    </row>
    <row r="3622" spans="12:13" x14ac:dyDescent="0.25">
      <c r="L3622" s="64">
        <v>732250</v>
      </c>
      <c r="M3622" t="s">
        <v>2641</v>
      </c>
    </row>
    <row r="3623" spans="12:13" x14ac:dyDescent="0.25">
      <c r="L3623" s="64">
        <v>732251</v>
      </c>
      <c r="M3623" t="s">
        <v>2641</v>
      </c>
    </row>
    <row r="3624" spans="12:13" x14ac:dyDescent="0.25">
      <c r="L3624" s="64">
        <v>732260</v>
      </c>
      <c r="M3624" t="s">
        <v>2642</v>
      </c>
    </row>
    <row r="3625" spans="12:13" x14ac:dyDescent="0.25">
      <c r="L3625" s="64">
        <v>732261</v>
      </c>
      <c r="M3625" t="s">
        <v>2643</v>
      </c>
    </row>
    <row r="3626" spans="12:13" x14ac:dyDescent="0.25">
      <c r="L3626" s="64">
        <v>732262</v>
      </c>
      <c r="M3626" t="s">
        <v>2644</v>
      </c>
    </row>
    <row r="3627" spans="12:13" x14ac:dyDescent="0.25">
      <c r="L3627" s="64">
        <v>732265</v>
      </c>
      <c r="M3627" t="s">
        <v>2645</v>
      </c>
    </row>
    <row r="3628" spans="12:13" x14ac:dyDescent="0.25">
      <c r="L3628" s="64">
        <v>733000</v>
      </c>
      <c r="M3628" t="s">
        <v>2647</v>
      </c>
    </row>
    <row r="3629" spans="12:13" x14ac:dyDescent="0.25">
      <c r="L3629" s="64">
        <v>733100</v>
      </c>
      <c r="M3629" t="s">
        <v>2648</v>
      </c>
    </row>
    <row r="3630" spans="12:13" x14ac:dyDescent="0.25">
      <c r="L3630" s="64">
        <v>733120</v>
      </c>
      <c r="M3630" t="s">
        <v>2649</v>
      </c>
    </row>
    <row r="3631" spans="12:13" x14ac:dyDescent="0.25">
      <c r="L3631" s="64">
        <v>733121</v>
      </c>
      <c r="M3631" t="s">
        <v>2649</v>
      </c>
    </row>
    <row r="3632" spans="12:13" x14ac:dyDescent="0.25">
      <c r="L3632" s="64">
        <v>733130</v>
      </c>
      <c r="M3632" t="s">
        <v>2650</v>
      </c>
    </row>
    <row r="3633" spans="12:13" x14ac:dyDescent="0.25">
      <c r="L3633" s="64">
        <v>733131</v>
      </c>
      <c r="M3633" t="s">
        <v>2651</v>
      </c>
    </row>
    <row r="3634" spans="12:13" x14ac:dyDescent="0.25">
      <c r="L3634" s="64">
        <v>733132</v>
      </c>
      <c r="M3634" t="s">
        <v>2652</v>
      </c>
    </row>
    <row r="3635" spans="12:13" x14ac:dyDescent="0.25">
      <c r="L3635" s="64">
        <v>733133</v>
      </c>
      <c r="M3635" t="s">
        <v>2653</v>
      </c>
    </row>
    <row r="3636" spans="12:13" x14ac:dyDescent="0.25">
      <c r="L3636" s="64">
        <v>733134</v>
      </c>
      <c r="M3636" t="s">
        <v>2654</v>
      </c>
    </row>
    <row r="3637" spans="12:13" x14ac:dyDescent="0.25">
      <c r="L3637" s="64">
        <v>733135</v>
      </c>
      <c r="M3637" t="s">
        <v>2655</v>
      </c>
    </row>
    <row r="3638" spans="12:13" x14ac:dyDescent="0.25">
      <c r="L3638" s="64">
        <v>733136</v>
      </c>
      <c r="M3638" t="s">
        <v>2656</v>
      </c>
    </row>
    <row r="3639" spans="12:13" x14ac:dyDescent="0.25">
      <c r="L3639" s="64">
        <v>733140</v>
      </c>
      <c r="M3639" t="s">
        <v>2657</v>
      </c>
    </row>
    <row r="3640" spans="12:13" x14ac:dyDescent="0.25">
      <c r="L3640" s="64">
        <v>733141</v>
      </c>
      <c r="M3640" t="s">
        <v>2658</v>
      </c>
    </row>
    <row r="3641" spans="12:13" x14ac:dyDescent="0.25">
      <c r="L3641" s="64">
        <v>733142</v>
      </c>
      <c r="M3641" t="s">
        <v>2659</v>
      </c>
    </row>
    <row r="3642" spans="12:13" x14ac:dyDescent="0.25">
      <c r="L3642" s="64">
        <v>733143</v>
      </c>
      <c r="M3642" t="s">
        <v>2660</v>
      </c>
    </row>
    <row r="3643" spans="12:13" x14ac:dyDescent="0.25">
      <c r="L3643" s="64">
        <v>733144</v>
      </c>
      <c r="M3643" t="s">
        <v>2661</v>
      </c>
    </row>
    <row r="3644" spans="12:13" x14ac:dyDescent="0.25">
      <c r="L3644" s="64">
        <v>733145</v>
      </c>
      <c r="M3644" t="s">
        <v>2662</v>
      </c>
    </row>
    <row r="3645" spans="12:13" x14ac:dyDescent="0.25">
      <c r="L3645" s="64">
        <v>733146</v>
      </c>
      <c r="M3645" t="s">
        <v>2663</v>
      </c>
    </row>
    <row r="3646" spans="12:13" x14ac:dyDescent="0.25">
      <c r="L3646" s="64">
        <v>733147</v>
      </c>
      <c r="M3646" t="s">
        <v>2664</v>
      </c>
    </row>
    <row r="3647" spans="12:13" x14ac:dyDescent="0.25">
      <c r="L3647" s="64">
        <v>733148</v>
      </c>
      <c r="M3647" t="s">
        <v>2665</v>
      </c>
    </row>
    <row r="3648" spans="12:13" x14ac:dyDescent="0.25">
      <c r="L3648" s="64">
        <v>733150</v>
      </c>
      <c r="M3648" t="s">
        <v>2666</v>
      </c>
    </row>
    <row r="3649" spans="12:13" x14ac:dyDescent="0.25">
      <c r="L3649" s="64">
        <v>733151</v>
      </c>
      <c r="M3649" t="s">
        <v>2667</v>
      </c>
    </row>
    <row r="3650" spans="12:13" x14ac:dyDescent="0.25">
      <c r="L3650" s="64">
        <v>733152</v>
      </c>
      <c r="M3650" t="s">
        <v>2668</v>
      </c>
    </row>
    <row r="3651" spans="12:13" x14ac:dyDescent="0.25">
      <c r="L3651" s="64">
        <v>733153</v>
      </c>
      <c r="M3651" t="s">
        <v>2669</v>
      </c>
    </row>
    <row r="3652" spans="12:13" x14ac:dyDescent="0.25">
      <c r="L3652" s="64">
        <v>733154</v>
      </c>
      <c r="M3652" t="s">
        <v>2670</v>
      </c>
    </row>
    <row r="3653" spans="12:13" x14ac:dyDescent="0.25">
      <c r="L3653" s="64">
        <v>733155</v>
      </c>
      <c r="M3653" t="s">
        <v>2671</v>
      </c>
    </row>
    <row r="3654" spans="12:13" x14ac:dyDescent="0.25">
      <c r="L3654" s="64">
        <v>733156</v>
      </c>
      <c r="M3654" t="s">
        <v>2672</v>
      </c>
    </row>
    <row r="3655" spans="12:13" x14ac:dyDescent="0.25">
      <c r="L3655" s="64">
        <v>733157</v>
      </c>
      <c r="M3655" t="s">
        <v>2673</v>
      </c>
    </row>
    <row r="3656" spans="12:13" x14ac:dyDescent="0.25">
      <c r="L3656" s="64">
        <v>733158</v>
      </c>
      <c r="M3656" t="s">
        <v>2665</v>
      </c>
    </row>
    <row r="3657" spans="12:13" x14ac:dyDescent="0.25">
      <c r="L3657" s="64">
        <v>733160</v>
      </c>
      <c r="M3657" t="s">
        <v>2674</v>
      </c>
    </row>
    <row r="3658" spans="12:13" x14ac:dyDescent="0.25">
      <c r="L3658" s="64">
        <v>733161</v>
      </c>
      <c r="M3658" t="s">
        <v>2675</v>
      </c>
    </row>
    <row r="3659" spans="12:13" x14ac:dyDescent="0.25">
      <c r="L3659" s="64">
        <v>733162</v>
      </c>
      <c r="M3659" t="s">
        <v>2676</v>
      </c>
    </row>
    <row r="3660" spans="12:13" x14ac:dyDescent="0.25">
      <c r="L3660" s="64">
        <v>733163</v>
      </c>
      <c r="M3660" t="s">
        <v>2677</v>
      </c>
    </row>
    <row r="3661" spans="12:13" x14ac:dyDescent="0.25">
      <c r="L3661" s="64">
        <v>733164</v>
      </c>
      <c r="M3661" t="s">
        <v>2678</v>
      </c>
    </row>
    <row r="3662" spans="12:13" x14ac:dyDescent="0.25">
      <c r="L3662" s="64">
        <v>733165</v>
      </c>
      <c r="M3662" t="s">
        <v>2679</v>
      </c>
    </row>
    <row r="3663" spans="12:13" x14ac:dyDescent="0.25">
      <c r="L3663" s="64">
        <v>733166</v>
      </c>
      <c r="M3663" t="s">
        <v>2680</v>
      </c>
    </row>
    <row r="3664" spans="12:13" x14ac:dyDescent="0.25">
      <c r="L3664" s="64">
        <v>733167</v>
      </c>
      <c r="M3664" t="s">
        <v>2681</v>
      </c>
    </row>
    <row r="3665" spans="12:13" x14ac:dyDescent="0.25">
      <c r="L3665" s="64">
        <v>733168</v>
      </c>
      <c r="M3665" t="s">
        <v>2682</v>
      </c>
    </row>
    <row r="3666" spans="12:13" x14ac:dyDescent="0.25">
      <c r="L3666" s="64">
        <v>733200</v>
      </c>
      <c r="M3666" t="s">
        <v>2683</v>
      </c>
    </row>
    <row r="3667" spans="12:13" x14ac:dyDescent="0.25">
      <c r="L3667" s="64">
        <v>733220</v>
      </c>
      <c r="M3667" t="s">
        <v>2684</v>
      </c>
    </row>
    <row r="3668" spans="12:13" x14ac:dyDescent="0.25">
      <c r="L3668" s="64">
        <v>733221</v>
      </c>
      <c r="M3668" t="s">
        <v>2684</v>
      </c>
    </row>
    <row r="3669" spans="12:13" x14ac:dyDescent="0.25">
      <c r="L3669" s="64">
        <v>733230</v>
      </c>
      <c r="M3669" t="s">
        <v>2685</v>
      </c>
    </row>
    <row r="3670" spans="12:13" x14ac:dyDescent="0.25">
      <c r="L3670" s="64">
        <v>733231</v>
      </c>
      <c r="M3670" t="s">
        <v>2686</v>
      </c>
    </row>
    <row r="3671" spans="12:13" x14ac:dyDescent="0.25">
      <c r="L3671" s="64">
        <v>733232</v>
      </c>
      <c r="M3671" t="s">
        <v>2687</v>
      </c>
    </row>
    <row r="3672" spans="12:13" x14ac:dyDescent="0.25">
      <c r="L3672" s="64">
        <v>733233</v>
      </c>
      <c r="M3672" t="s">
        <v>2688</v>
      </c>
    </row>
    <row r="3673" spans="12:13" x14ac:dyDescent="0.25">
      <c r="L3673" s="64">
        <v>733234</v>
      </c>
      <c r="M3673" t="s">
        <v>2689</v>
      </c>
    </row>
    <row r="3674" spans="12:13" x14ac:dyDescent="0.25">
      <c r="L3674" s="64">
        <v>733235</v>
      </c>
      <c r="M3674" t="s">
        <v>2690</v>
      </c>
    </row>
    <row r="3675" spans="12:13" x14ac:dyDescent="0.25">
      <c r="L3675" s="64">
        <v>733236</v>
      </c>
      <c r="M3675" t="s">
        <v>2691</v>
      </c>
    </row>
    <row r="3676" spans="12:13" x14ac:dyDescent="0.25">
      <c r="L3676" s="64">
        <v>733240</v>
      </c>
      <c r="M3676" t="s">
        <v>2692</v>
      </c>
    </row>
    <row r="3677" spans="12:13" x14ac:dyDescent="0.25">
      <c r="L3677" s="64">
        <v>733241</v>
      </c>
      <c r="M3677" t="s">
        <v>2693</v>
      </c>
    </row>
    <row r="3678" spans="12:13" x14ac:dyDescent="0.25">
      <c r="L3678" s="64">
        <v>733242</v>
      </c>
      <c r="M3678" t="s">
        <v>2694</v>
      </c>
    </row>
    <row r="3679" spans="12:13" x14ac:dyDescent="0.25">
      <c r="L3679" s="64">
        <v>733243</v>
      </c>
      <c r="M3679" t="s">
        <v>2695</v>
      </c>
    </row>
    <row r="3680" spans="12:13" x14ac:dyDescent="0.25">
      <c r="L3680" s="64">
        <v>733250</v>
      </c>
      <c r="M3680" t="s">
        <v>2696</v>
      </c>
    </row>
    <row r="3681" spans="12:13" x14ac:dyDescent="0.25">
      <c r="L3681" s="64">
        <v>733251</v>
      </c>
      <c r="M3681" t="s">
        <v>2697</v>
      </c>
    </row>
    <row r="3682" spans="12:13" x14ac:dyDescent="0.25">
      <c r="L3682" s="64">
        <v>733252</v>
      </c>
      <c r="M3682" t="s">
        <v>2698</v>
      </c>
    </row>
    <row r="3683" spans="12:13" x14ac:dyDescent="0.25">
      <c r="L3683" s="64">
        <v>733253</v>
      </c>
      <c r="M3683" t="s">
        <v>2699</v>
      </c>
    </row>
    <row r="3684" spans="12:13" x14ac:dyDescent="0.25">
      <c r="L3684" s="64">
        <v>733260</v>
      </c>
      <c r="M3684" t="s">
        <v>2700</v>
      </c>
    </row>
    <row r="3685" spans="12:13" x14ac:dyDescent="0.25">
      <c r="L3685" s="64">
        <v>733261</v>
      </c>
      <c r="M3685" t="s">
        <v>2701</v>
      </c>
    </row>
    <row r="3686" spans="12:13" x14ac:dyDescent="0.25">
      <c r="L3686" s="64">
        <v>733262</v>
      </c>
      <c r="M3686" t="s">
        <v>2702</v>
      </c>
    </row>
    <row r="3687" spans="12:13" x14ac:dyDescent="0.25">
      <c r="L3687" s="64">
        <v>733265</v>
      </c>
      <c r="M3687" t="s">
        <v>2703</v>
      </c>
    </row>
    <row r="3688" spans="12:13" x14ac:dyDescent="0.25">
      <c r="L3688" s="64">
        <v>740000</v>
      </c>
      <c r="M3688" t="s">
        <v>2705</v>
      </c>
    </row>
    <row r="3689" spans="12:13" x14ac:dyDescent="0.25">
      <c r="L3689" s="64">
        <v>741000</v>
      </c>
      <c r="M3689" t="s">
        <v>2707</v>
      </c>
    </row>
    <row r="3690" spans="12:13" x14ac:dyDescent="0.25">
      <c r="L3690" s="64">
        <v>741100</v>
      </c>
      <c r="M3690" t="s">
        <v>2708</v>
      </c>
    </row>
    <row r="3691" spans="12:13" x14ac:dyDescent="0.25">
      <c r="L3691" s="64">
        <v>741120</v>
      </c>
      <c r="M3691" t="s">
        <v>2709</v>
      </c>
    </row>
    <row r="3692" spans="12:13" x14ac:dyDescent="0.25">
      <c r="L3692" s="64">
        <v>741121</v>
      </c>
      <c r="M3692" t="s">
        <v>2710</v>
      </c>
    </row>
    <row r="3693" spans="12:13" x14ac:dyDescent="0.25">
      <c r="L3693" s="64">
        <v>741122</v>
      </c>
      <c r="M3693" t="s">
        <v>2711</v>
      </c>
    </row>
    <row r="3694" spans="12:13" x14ac:dyDescent="0.25">
      <c r="L3694" s="64">
        <v>741130</v>
      </c>
      <c r="M3694" t="s">
        <v>2712</v>
      </c>
    </row>
    <row r="3695" spans="12:13" x14ac:dyDescent="0.25">
      <c r="L3695" s="64">
        <v>741131</v>
      </c>
      <c r="M3695" t="s">
        <v>2713</v>
      </c>
    </row>
    <row r="3696" spans="12:13" x14ac:dyDescent="0.25">
      <c r="L3696" s="64">
        <v>741132</v>
      </c>
      <c r="M3696" t="s">
        <v>2714</v>
      </c>
    </row>
    <row r="3697" spans="12:13" x14ac:dyDescent="0.25">
      <c r="L3697" s="64">
        <v>741140</v>
      </c>
      <c r="M3697" t="s">
        <v>2715</v>
      </c>
    </row>
    <row r="3698" spans="12:13" x14ac:dyDescent="0.25">
      <c r="L3698" s="64">
        <v>741141</v>
      </c>
      <c r="M3698" t="s">
        <v>2717</v>
      </c>
    </row>
    <row r="3699" spans="12:13" x14ac:dyDescent="0.25">
      <c r="L3699" s="64">
        <v>741142</v>
      </c>
      <c r="M3699" t="s">
        <v>2718</v>
      </c>
    </row>
    <row r="3700" spans="12:13" x14ac:dyDescent="0.25">
      <c r="L3700" s="64">
        <v>741150</v>
      </c>
      <c r="M3700" t="s">
        <v>2719</v>
      </c>
    </row>
    <row r="3701" spans="12:13" x14ac:dyDescent="0.25">
      <c r="L3701" s="64">
        <v>741151</v>
      </c>
      <c r="M3701" t="s">
        <v>2720</v>
      </c>
    </row>
    <row r="3702" spans="12:13" x14ac:dyDescent="0.25">
      <c r="L3702" s="64">
        <v>741152</v>
      </c>
      <c r="M3702" t="s">
        <v>2721</v>
      </c>
    </row>
    <row r="3703" spans="12:13" x14ac:dyDescent="0.25">
      <c r="L3703" s="64">
        <v>741160</v>
      </c>
      <c r="M3703" t="s">
        <v>2722</v>
      </c>
    </row>
    <row r="3704" spans="12:13" x14ac:dyDescent="0.25">
      <c r="L3704" s="64">
        <v>741161</v>
      </c>
      <c r="M3704" t="s">
        <v>2723</v>
      </c>
    </row>
    <row r="3705" spans="12:13" x14ac:dyDescent="0.25">
      <c r="L3705" s="64">
        <v>741162</v>
      </c>
      <c r="M3705" t="s">
        <v>2724</v>
      </c>
    </row>
    <row r="3706" spans="12:13" x14ac:dyDescent="0.25">
      <c r="L3706" s="64">
        <v>741165</v>
      </c>
      <c r="M3706" t="s">
        <v>2725</v>
      </c>
    </row>
    <row r="3707" spans="12:13" x14ac:dyDescent="0.25">
      <c r="L3707" s="64">
        <v>741200</v>
      </c>
      <c r="M3707" t="s">
        <v>2726</v>
      </c>
    </row>
    <row r="3708" spans="12:13" x14ac:dyDescent="0.25">
      <c r="L3708" s="64">
        <v>741210</v>
      </c>
      <c r="M3708" t="s">
        <v>2727</v>
      </c>
    </row>
    <row r="3709" spans="12:13" x14ac:dyDescent="0.25">
      <c r="L3709" s="64">
        <v>741211</v>
      </c>
      <c r="M3709" t="s">
        <v>2728</v>
      </c>
    </row>
    <row r="3710" spans="12:13" x14ac:dyDescent="0.25">
      <c r="L3710" s="64">
        <v>741212</v>
      </c>
      <c r="M3710" t="s">
        <v>2729</v>
      </c>
    </row>
    <row r="3711" spans="12:13" x14ac:dyDescent="0.25">
      <c r="L3711" s="64">
        <v>741220</v>
      </c>
      <c r="M3711" t="s">
        <v>2730</v>
      </c>
    </row>
    <row r="3712" spans="12:13" x14ac:dyDescent="0.25">
      <c r="L3712" s="64">
        <v>741221</v>
      </c>
      <c r="M3712" t="s">
        <v>2730</v>
      </c>
    </row>
    <row r="3713" spans="12:13" x14ac:dyDescent="0.25">
      <c r="L3713" s="64">
        <v>741222</v>
      </c>
      <c r="M3713" t="s">
        <v>2731</v>
      </c>
    </row>
    <row r="3714" spans="12:13" x14ac:dyDescent="0.25">
      <c r="L3714" s="64">
        <v>741223</v>
      </c>
      <c r="M3714" t="s">
        <v>2732</v>
      </c>
    </row>
    <row r="3715" spans="12:13" x14ac:dyDescent="0.25">
      <c r="L3715" s="64">
        <v>741224</v>
      </c>
      <c r="M3715" t="s">
        <v>2733</v>
      </c>
    </row>
    <row r="3716" spans="12:13" x14ac:dyDescent="0.25">
      <c r="L3716" s="64">
        <v>741230</v>
      </c>
      <c r="M3716" t="s">
        <v>2734</v>
      </c>
    </row>
    <row r="3717" spans="12:13" x14ac:dyDescent="0.25">
      <c r="L3717" s="64">
        <v>741231</v>
      </c>
      <c r="M3717" t="s">
        <v>2735</v>
      </c>
    </row>
    <row r="3718" spans="12:13" x14ac:dyDescent="0.25">
      <c r="L3718" s="64">
        <v>741232</v>
      </c>
      <c r="M3718" t="s">
        <v>2736</v>
      </c>
    </row>
    <row r="3719" spans="12:13" x14ac:dyDescent="0.25">
      <c r="L3719" s="64">
        <v>741240</v>
      </c>
      <c r="M3719" t="s">
        <v>2737</v>
      </c>
    </row>
    <row r="3720" spans="12:13" x14ac:dyDescent="0.25">
      <c r="L3720" s="64">
        <v>741241</v>
      </c>
      <c r="M3720" t="s">
        <v>2737</v>
      </c>
    </row>
    <row r="3721" spans="12:13" x14ac:dyDescent="0.25">
      <c r="L3721" s="64">
        <v>741250</v>
      </c>
      <c r="M3721" t="s">
        <v>2738</v>
      </c>
    </row>
    <row r="3722" spans="12:13" x14ac:dyDescent="0.25">
      <c r="L3722" s="64">
        <v>741251</v>
      </c>
      <c r="M3722" t="s">
        <v>2738</v>
      </c>
    </row>
    <row r="3723" spans="12:13" x14ac:dyDescent="0.25">
      <c r="L3723" s="64">
        <v>741260</v>
      </c>
      <c r="M3723" t="s">
        <v>2739</v>
      </c>
    </row>
    <row r="3724" spans="12:13" x14ac:dyDescent="0.25">
      <c r="L3724" s="64">
        <v>741261</v>
      </c>
      <c r="M3724" t="s">
        <v>2740</v>
      </c>
    </row>
    <row r="3725" spans="12:13" x14ac:dyDescent="0.25">
      <c r="L3725" s="64">
        <v>741262</v>
      </c>
      <c r="M3725" t="s">
        <v>2741</v>
      </c>
    </row>
    <row r="3726" spans="12:13" x14ac:dyDescent="0.25">
      <c r="L3726" s="64">
        <v>741265</v>
      </c>
      <c r="M3726" t="s">
        <v>2742</v>
      </c>
    </row>
    <row r="3727" spans="12:13" x14ac:dyDescent="0.25">
      <c r="L3727" s="64">
        <v>741300</v>
      </c>
      <c r="M3727" t="s">
        <v>2743</v>
      </c>
    </row>
    <row r="3728" spans="12:13" x14ac:dyDescent="0.25">
      <c r="L3728" s="64">
        <v>741310</v>
      </c>
      <c r="M3728" t="s">
        <v>2743</v>
      </c>
    </row>
    <row r="3729" spans="12:13" x14ac:dyDescent="0.25">
      <c r="L3729" s="64">
        <v>741311</v>
      </c>
      <c r="M3729" t="s">
        <v>2743</v>
      </c>
    </row>
    <row r="3730" spans="12:13" x14ac:dyDescent="0.25">
      <c r="L3730" s="64">
        <v>741400</v>
      </c>
      <c r="M3730" t="s">
        <v>2744</v>
      </c>
    </row>
    <row r="3731" spans="12:13" x14ac:dyDescent="0.25">
      <c r="L3731" s="64">
        <v>741410</v>
      </c>
      <c r="M3731" t="s">
        <v>2744</v>
      </c>
    </row>
    <row r="3732" spans="12:13" x14ac:dyDescent="0.25">
      <c r="L3732" s="64">
        <v>741411</v>
      </c>
      <c r="M3732" t="s">
        <v>2746</v>
      </c>
    </row>
    <row r="3733" spans="12:13" x14ac:dyDescent="0.25">
      <c r="L3733" s="64">
        <v>741412</v>
      </c>
      <c r="M3733" t="s">
        <v>2747</v>
      </c>
    </row>
    <row r="3734" spans="12:13" x14ac:dyDescent="0.25">
      <c r="L3734" s="64">
        <v>741413</v>
      </c>
      <c r="M3734" t="s">
        <v>2748</v>
      </c>
    </row>
    <row r="3735" spans="12:13" x14ac:dyDescent="0.25">
      <c r="L3735" s="64">
        <v>741414</v>
      </c>
      <c r="M3735" t="s">
        <v>2749</v>
      </c>
    </row>
    <row r="3736" spans="12:13" x14ac:dyDescent="0.25">
      <c r="L3736" s="64">
        <v>741500</v>
      </c>
      <c r="M3736" t="s">
        <v>2750</v>
      </c>
    </row>
    <row r="3737" spans="12:13" x14ac:dyDescent="0.25">
      <c r="L3737" s="64">
        <v>741510</v>
      </c>
      <c r="M3737" t="s">
        <v>2752</v>
      </c>
    </row>
    <row r="3738" spans="12:13" x14ac:dyDescent="0.25">
      <c r="L3738" s="64">
        <v>741511</v>
      </c>
      <c r="M3738" t="s">
        <v>2753</v>
      </c>
    </row>
    <row r="3739" spans="12:13" x14ac:dyDescent="0.25">
      <c r="L3739" s="64">
        <v>741512</v>
      </c>
      <c r="M3739" t="s">
        <v>2754</v>
      </c>
    </row>
    <row r="3740" spans="12:13" x14ac:dyDescent="0.25">
      <c r="L3740" s="64">
        <v>741513</v>
      </c>
      <c r="M3740" t="s">
        <v>2755</v>
      </c>
    </row>
    <row r="3741" spans="12:13" x14ac:dyDescent="0.25">
      <c r="L3741" s="64">
        <v>741514</v>
      </c>
      <c r="M3741" t="s">
        <v>2756</v>
      </c>
    </row>
    <row r="3742" spans="12:13" x14ac:dyDescent="0.25">
      <c r="L3742" s="64">
        <v>741515</v>
      </c>
      <c r="M3742" t="s">
        <v>2757</v>
      </c>
    </row>
    <row r="3743" spans="12:13" x14ac:dyDescent="0.25">
      <c r="L3743" s="64">
        <v>741516</v>
      </c>
      <c r="M3743" t="s">
        <v>2758</v>
      </c>
    </row>
    <row r="3744" spans="12:13" x14ac:dyDescent="0.25">
      <c r="L3744" s="64">
        <v>741517</v>
      </c>
      <c r="M3744" t="s">
        <v>2759</v>
      </c>
    </row>
    <row r="3745" spans="12:13" x14ac:dyDescent="0.25">
      <c r="L3745" s="64">
        <v>741520</v>
      </c>
      <c r="M3745" t="s">
        <v>2761</v>
      </c>
    </row>
    <row r="3746" spans="12:13" x14ac:dyDescent="0.25">
      <c r="L3746" s="64">
        <v>741521</v>
      </c>
      <c r="M3746" t="s">
        <v>2762</v>
      </c>
    </row>
    <row r="3747" spans="12:13" x14ac:dyDescent="0.25">
      <c r="L3747" s="64">
        <v>741522</v>
      </c>
      <c r="M3747" t="s">
        <v>2763</v>
      </c>
    </row>
    <row r="3748" spans="12:13" x14ac:dyDescent="0.25">
      <c r="L3748" s="64">
        <v>741523</v>
      </c>
      <c r="M3748" t="s">
        <v>2764</v>
      </c>
    </row>
    <row r="3749" spans="12:13" x14ac:dyDescent="0.25">
      <c r="L3749" s="64">
        <v>741524</v>
      </c>
      <c r="M3749" t="s">
        <v>2765</v>
      </c>
    </row>
    <row r="3750" spans="12:13" x14ac:dyDescent="0.25">
      <c r="L3750" s="64">
        <v>741525</v>
      </c>
      <c r="M3750" t="s">
        <v>2766</v>
      </c>
    </row>
    <row r="3751" spans="12:13" x14ac:dyDescent="0.25">
      <c r="L3751" s="64">
        <v>741526</v>
      </c>
      <c r="M3751" t="s">
        <v>2767</v>
      </c>
    </row>
    <row r="3752" spans="12:13" x14ac:dyDescent="0.25">
      <c r="L3752" s="64">
        <v>741527</v>
      </c>
      <c r="M3752" t="s">
        <v>2768</v>
      </c>
    </row>
    <row r="3753" spans="12:13" x14ac:dyDescent="0.25">
      <c r="L3753" s="64">
        <v>741528</v>
      </c>
      <c r="M3753" t="s">
        <v>2769</v>
      </c>
    </row>
    <row r="3754" spans="12:13" x14ac:dyDescent="0.25">
      <c r="L3754" s="64">
        <v>741529</v>
      </c>
      <c r="M3754" t="s">
        <v>2770</v>
      </c>
    </row>
    <row r="3755" spans="12:13" x14ac:dyDescent="0.25">
      <c r="L3755" s="64">
        <v>741530</v>
      </c>
      <c r="M3755" t="s">
        <v>2771</v>
      </c>
    </row>
    <row r="3756" spans="12:13" x14ac:dyDescent="0.25">
      <c r="L3756" s="64">
        <v>741531</v>
      </c>
      <c r="M3756" t="s">
        <v>2773</v>
      </c>
    </row>
    <row r="3757" spans="12:13" x14ac:dyDescent="0.25">
      <c r="L3757" s="64">
        <v>741532</v>
      </c>
      <c r="M3757" t="s">
        <v>2775</v>
      </c>
    </row>
    <row r="3758" spans="12:13" x14ac:dyDescent="0.25">
      <c r="L3758" s="64">
        <v>741533</v>
      </c>
      <c r="M3758" t="s">
        <v>2777</v>
      </c>
    </row>
    <row r="3759" spans="12:13" x14ac:dyDescent="0.25">
      <c r="L3759" s="64">
        <v>741534</v>
      </c>
      <c r="M3759" t="s">
        <v>2779</v>
      </c>
    </row>
    <row r="3760" spans="12:13" x14ac:dyDescent="0.25">
      <c r="L3760" s="64">
        <v>741535</v>
      </c>
      <c r="M3760" t="s">
        <v>2781</v>
      </c>
    </row>
    <row r="3761" spans="12:13" x14ac:dyDescent="0.25">
      <c r="L3761" s="64">
        <v>741536</v>
      </c>
      <c r="M3761" t="s">
        <v>2782</v>
      </c>
    </row>
    <row r="3762" spans="12:13" x14ac:dyDescent="0.25">
      <c r="L3762" s="64">
        <v>741537</v>
      </c>
      <c r="M3762" t="s">
        <v>2783</v>
      </c>
    </row>
    <row r="3763" spans="12:13" x14ac:dyDescent="0.25">
      <c r="L3763" s="64">
        <v>741540</v>
      </c>
      <c r="M3763" t="s">
        <v>2784</v>
      </c>
    </row>
    <row r="3764" spans="12:13" x14ac:dyDescent="0.25">
      <c r="L3764" s="64">
        <v>741541</v>
      </c>
      <c r="M3764" t="s">
        <v>2785</v>
      </c>
    </row>
    <row r="3765" spans="12:13" x14ac:dyDescent="0.25">
      <c r="L3765" s="64">
        <v>741542</v>
      </c>
      <c r="M3765" t="s">
        <v>2787</v>
      </c>
    </row>
    <row r="3766" spans="12:13" x14ac:dyDescent="0.25">
      <c r="L3766" s="64">
        <v>741543</v>
      </c>
      <c r="M3766" t="s">
        <v>2788</v>
      </c>
    </row>
    <row r="3767" spans="12:13" x14ac:dyDescent="0.25">
      <c r="L3767" s="64">
        <v>741550</v>
      </c>
      <c r="M3767" t="s">
        <v>2789</v>
      </c>
    </row>
    <row r="3768" spans="12:13" x14ac:dyDescent="0.25">
      <c r="L3768" s="64">
        <v>741551</v>
      </c>
      <c r="M3768" t="s">
        <v>2789</v>
      </c>
    </row>
    <row r="3769" spans="12:13" x14ac:dyDescent="0.25">
      <c r="L3769" s="64">
        <v>741560</v>
      </c>
      <c r="M3769" t="s">
        <v>2791</v>
      </c>
    </row>
    <row r="3770" spans="12:13" x14ac:dyDescent="0.25">
      <c r="L3770" s="64">
        <v>741561</v>
      </c>
      <c r="M3770" t="s">
        <v>2792</v>
      </c>
    </row>
    <row r="3771" spans="12:13" x14ac:dyDescent="0.25">
      <c r="L3771" s="64">
        <v>741562</v>
      </c>
      <c r="M3771" t="s">
        <v>2793</v>
      </c>
    </row>
    <row r="3772" spans="12:13" x14ac:dyDescent="0.25">
      <c r="L3772" s="64">
        <v>741563</v>
      </c>
      <c r="M3772" t="s">
        <v>2794</v>
      </c>
    </row>
    <row r="3773" spans="12:13" x14ac:dyDescent="0.25">
      <c r="L3773" s="64">
        <v>741564</v>
      </c>
      <c r="M3773" t="s">
        <v>2795</v>
      </c>
    </row>
    <row r="3774" spans="12:13" x14ac:dyDescent="0.25">
      <c r="L3774" s="64">
        <v>741565</v>
      </c>
      <c r="M3774" t="s">
        <v>2796</v>
      </c>
    </row>
    <row r="3775" spans="12:13" x14ac:dyDescent="0.25">
      <c r="L3775" s="64">
        <v>741566</v>
      </c>
      <c r="M3775" t="s">
        <v>2797</v>
      </c>
    </row>
    <row r="3776" spans="12:13" x14ac:dyDescent="0.25">
      <c r="L3776" s="64">
        <v>741567</v>
      </c>
      <c r="M3776" t="s">
        <v>2798</v>
      </c>
    </row>
    <row r="3777" spans="12:13" x14ac:dyDescent="0.25">
      <c r="L3777" s="64">
        <v>741568</v>
      </c>
      <c r="M3777" t="s">
        <v>2799</v>
      </c>
    </row>
    <row r="3778" spans="12:13" x14ac:dyDescent="0.25">
      <c r="L3778" s="64">
        <v>741569</v>
      </c>
      <c r="M3778" t="s">
        <v>2800</v>
      </c>
    </row>
    <row r="3779" spans="12:13" x14ac:dyDescent="0.25">
      <c r="L3779" s="64">
        <v>741570</v>
      </c>
      <c r="M3779" t="s">
        <v>2801</v>
      </c>
    </row>
    <row r="3780" spans="12:13" x14ac:dyDescent="0.25">
      <c r="L3780" s="64">
        <v>741571</v>
      </c>
      <c r="M3780" t="s">
        <v>2801</v>
      </c>
    </row>
    <row r="3781" spans="12:13" x14ac:dyDescent="0.25">
      <c r="L3781" s="64">
        <v>741572</v>
      </c>
      <c r="M3781" t="s">
        <v>2802</v>
      </c>
    </row>
    <row r="3782" spans="12:13" x14ac:dyDescent="0.25">
      <c r="L3782" s="64">
        <v>741580</v>
      </c>
      <c r="M3782" t="s">
        <v>2803</v>
      </c>
    </row>
    <row r="3783" spans="12:13" x14ac:dyDescent="0.25">
      <c r="L3783" s="64">
        <v>741581</v>
      </c>
      <c r="M3783" t="s">
        <v>2804</v>
      </c>
    </row>
    <row r="3784" spans="12:13" x14ac:dyDescent="0.25">
      <c r="L3784" s="64">
        <v>741582</v>
      </c>
      <c r="M3784" t="s">
        <v>2805</v>
      </c>
    </row>
    <row r="3785" spans="12:13" x14ac:dyDescent="0.25">
      <c r="L3785" s="64">
        <v>741583</v>
      </c>
      <c r="M3785" t="s">
        <v>2806</v>
      </c>
    </row>
    <row r="3786" spans="12:13" x14ac:dyDescent="0.25">
      <c r="L3786" s="64">
        <v>741590</v>
      </c>
      <c r="M3786" t="s">
        <v>2807</v>
      </c>
    </row>
    <row r="3787" spans="12:13" x14ac:dyDescent="0.25">
      <c r="L3787" s="64">
        <v>741591</v>
      </c>
      <c r="M3787" t="s">
        <v>2808</v>
      </c>
    </row>
    <row r="3788" spans="12:13" x14ac:dyDescent="0.25">
      <c r="L3788" s="64">
        <v>741592</v>
      </c>
      <c r="M3788" t="s">
        <v>2809</v>
      </c>
    </row>
    <row r="3789" spans="12:13" x14ac:dyDescent="0.25">
      <c r="L3789" s="64">
        <v>741593</v>
      </c>
      <c r="M3789" t="s">
        <v>2810</v>
      </c>
    </row>
    <row r="3790" spans="12:13" x14ac:dyDescent="0.25">
      <c r="L3790" s="64">
        <v>741594</v>
      </c>
      <c r="M3790" t="s">
        <v>2811</v>
      </c>
    </row>
    <row r="3791" spans="12:13" x14ac:dyDescent="0.25">
      <c r="L3791" s="64">
        <v>741595</v>
      </c>
      <c r="M3791" t="s">
        <v>2812</v>
      </c>
    </row>
    <row r="3792" spans="12:13" x14ac:dyDescent="0.25">
      <c r="L3792" s="64">
        <v>741600</v>
      </c>
      <c r="M3792" t="s">
        <v>1660</v>
      </c>
    </row>
    <row r="3793" spans="12:13" x14ac:dyDescent="0.25">
      <c r="L3793" s="64">
        <v>741610</v>
      </c>
      <c r="M3793" t="s">
        <v>1660</v>
      </c>
    </row>
    <row r="3794" spans="12:13" x14ac:dyDescent="0.25">
      <c r="L3794" s="64">
        <v>741611</v>
      </c>
      <c r="M3794" t="s">
        <v>1660</v>
      </c>
    </row>
    <row r="3795" spans="12:13" x14ac:dyDescent="0.25">
      <c r="L3795" s="64">
        <v>742000</v>
      </c>
      <c r="M3795" t="s">
        <v>2814</v>
      </c>
    </row>
    <row r="3796" spans="12:13" x14ac:dyDescent="0.25">
      <c r="L3796" s="64">
        <v>742100</v>
      </c>
      <c r="M3796" t="s">
        <v>2815</v>
      </c>
    </row>
    <row r="3797" spans="12:13" x14ac:dyDescent="0.25">
      <c r="L3797" s="64">
        <v>742120</v>
      </c>
      <c r="M3797" t="s">
        <v>2816</v>
      </c>
    </row>
    <row r="3798" spans="12:13" x14ac:dyDescent="0.25">
      <c r="L3798" s="64">
        <v>742121</v>
      </c>
      <c r="M3798" t="s">
        <v>2817</v>
      </c>
    </row>
    <row r="3799" spans="12:13" x14ac:dyDescent="0.25">
      <c r="L3799" s="64">
        <v>742122</v>
      </c>
      <c r="M3799" t="s">
        <v>2818</v>
      </c>
    </row>
    <row r="3800" spans="12:13" x14ac:dyDescent="0.25">
      <c r="L3800" s="64">
        <v>742123</v>
      </c>
      <c r="M3800" t="s">
        <v>2819</v>
      </c>
    </row>
    <row r="3801" spans="12:13" x14ac:dyDescent="0.25">
      <c r="L3801" s="64">
        <v>742124</v>
      </c>
      <c r="M3801" t="s">
        <v>2820</v>
      </c>
    </row>
    <row r="3802" spans="12:13" x14ac:dyDescent="0.25">
      <c r="L3802" s="64">
        <v>742125</v>
      </c>
      <c r="M3802" t="s">
        <v>2821</v>
      </c>
    </row>
    <row r="3803" spans="12:13" x14ac:dyDescent="0.25">
      <c r="L3803" s="64">
        <v>742126</v>
      </c>
      <c r="M3803" t="s">
        <v>2822</v>
      </c>
    </row>
    <row r="3804" spans="12:13" x14ac:dyDescent="0.25">
      <c r="L3804" s="64">
        <v>742127</v>
      </c>
      <c r="M3804" t="s">
        <v>2823</v>
      </c>
    </row>
    <row r="3805" spans="12:13" x14ac:dyDescent="0.25">
      <c r="L3805" s="64">
        <v>742128</v>
      </c>
      <c r="M3805" t="s">
        <v>2824</v>
      </c>
    </row>
    <row r="3806" spans="12:13" x14ac:dyDescent="0.25">
      <c r="L3806" s="64">
        <v>742129</v>
      </c>
      <c r="M3806" t="s">
        <v>2825</v>
      </c>
    </row>
    <row r="3807" spans="12:13" x14ac:dyDescent="0.25">
      <c r="L3807" s="64">
        <v>742130</v>
      </c>
      <c r="M3807" t="s">
        <v>2826</v>
      </c>
    </row>
    <row r="3808" spans="12:13" x14ac:dyDescent="0.25">
      <c r="L3808" s="64">
        <v>742131</v>
      </c>
      <c r="M3808" t="s">
        <v>2827</v>
      </c>
    </row>
    <row r="3809" spans="12:13" x14ac:dyDescent="0.25">
      <c r="L3809" s="64">
        <v>742132</v>
      </c>
      <c r="M3809" t="s">
        <v>2828</v>
      </c>
    </row>
    <row r="3810" spans="12:13" x14ac:dyDescent="0.25">
      <c r="L3810" s="64">
        <v>742133</v>
      </c>
      <c r="M3810" t="s">
        <v>2829</v>
      </c>
    </row>
    <row r="3811" spans="12:13" x14ac:dyDescent="0.25">
      <c r="L3811" s="64">
        <v>742134</v>
      </c>
      <c r="M3811" t="s">
        <v>2830</v>
      </c>
    </row>
    <row r="3812" spans="12:13" x14ac:dyDescent="0.25">
      <c r="L3812" s="64">
        <v>742135</v>
      </c>
      <c r="M3812" t="s">
        <v>2831</v>
      </c>
    </row>
    <row r="3813" spans="12:13" x14ac:dyDescent="0.25">
      <c r="L3813" s="64">
        <v>742136</v>
      </c>
      <c r="M3813" t="s">
        <v>2832</v>
      </c>
    </row>
    <row r="3814" spans="12:13" x14ac:dyDescent="0.25">
      <c r="L3814" s="64">
        <v>742140</v>
      </c>
      <c r="M3814" t="s">
        <v>2833</v>
      </c>
    </row>
    <row r="3815" spans="12:13" x14ac:dyDescent="0.25">
      <c r="L3815" s="64">
        <v>742141</v>
      </c>
      <c r="M3815" t="s">
        <v>2833</v>
      </c>
    </row>
    <row r="3816" spans="12:13" x14ac:dyDescent="0.25">
      <c r="L3816" s="64">
        <v>742142</v>
      </c>
      <c r="M3816" t="s">
        <v>2834</v>
      </c>
    </row>
    <row r="3817" spans="12:13" x14ac:dyDescent="0.25">
      <c r="L3817" s="64">
        <v>742143</v>
      </c>
      <c r="M3817" t="s">
        <v>2835</v>
      </c>
    </row>
    <row r="3818" spans="12:13" x14ac:dyDescent="0.25">
      <c r="L3818" s="64">
        <v>742144</v>
      </c>
      <c r="M3818" t="s">
        <v>2836</v>
      </c>
    </row>
    <row r="3819" spans="12:13" x14ac:dyDescent="0.25">
      <c r="L3819" s="64">
        <v>742145</v>
      </c>
      <c r="M3819" t="s">
        <v>2837</v>
      </c>
    </row>
    <row r="3820" spans="12:13" x14ac:dyDescent="0.25">
      <c r="L3820" s="64">
        <v>742150</v>
      </c>
      <c r="M3820" t="s">
        <v>2838</v>
      </c>
    </row>
    <row r="3821" spans="12:13" x14ac:dyDescent="0.25">
      <c r="L3821" s="64">
        <v>742151</v>
      </c>
      <c r="M3821" t="s">
        <v>2839</v>
      </c>
    </row>
    <row r="3822" spans="12:13" x14ac:dyDescent="0.25">
      <c r="L3822" s="64">
        <v>742152</v>
      </c>
      <c r="M3822" t="s">
        <v>2840</v>
      </c>
    </row>
    <row r="3823" spans="12:13" x14ac:dyDescent="0.25">
      <c r="L3823" s="64">
        <v>742153</v>
      </c>
      <c r="M3823" t="s">
        <v>2841</v>
      </c>
    </row>
    <row r="3824" spans="12:13" x14ac:dyDescent="0.25">
      <c r="L3824" s="64">
        <v>742154</v>
      </c>
      <c r="M3824" t="s">
        <v>2842</v>
      </c>
    </row>
    <row r="3825" spans="12:13" x14ac:dyDescent="0.25">
      <c r="L3825" s="64">
        <v>742155</v>
      </c>
      <c r="M3825" t="s">
        <v>2843</v>
      </c>
    </row>
    <row r="3826" spans="12:13" x14ac:dyDescent="0.25">
      <c r="L3826" s="64">
        <v>742160</v>
      </c>
      <c r="M3826" t="s">
        <v>2844</v>
      </c>
    </row>
    <row r="3827" spans="12:13" x14ac:dyDescent="0.25">
      <c r="L3827" s="64">
        <v>742161</v>
      </c>
      <c r="M3827" t="s">
        <v>2845</v>
      </c>
    </row>
    <row r="3828" spans="12:13" x14ac:dyDescent="0.25">
      <c r="L3828" s="64">
        <v>742162</v>
      </c>
      <c r="M3828" t="s">
        <v>2846</v>
      </c>
    </row>
    <row r="3829" spans="12:13" x14ac:dyDescent="0.25">
      <c r="L3829" s="64">
        <v>742165</v>
      </c>
      <c r="M3829" t="s">
        <v>2847</v>
      </c>
    </row>
    <row r="3830" spans="12:13" x14ac:dyDescent="0.25">
      <c r="L3830" s="64">
        <v>742200</v>
      </c>
      <c r="M3830" t="s">
        <v>2848</v>
      </c>
    </row>
    <row r="3831" spans="12:13" x14ac:dyDescent="0.25">
      <c r="L3831" s="64">
        <v>742210</v>
      </c>
      <c r="M3831" t="s">
        <v>2849</v>
      </c>
    </row>
    <row r="3832" spans="12:13" x14ac:dyDescent="0.25">
      <c r="L3832" s="64">
        <v>742213</v>
      </c>
      <c r="M3832" t="s">
        <v>2849</v>
      </c>
    </row>
    <row r="3833" spans="12:13" x14ac:dyDescent="0.25">
      <c r="L3833" s="64">
        <v>742220</v>
      </c>
      <c r="M3833" t="s">
        <v>2850</v>
      </c>
    </row>
    <row r="3834" spans="12:13" x14ac:dyDescent="0.25">
      <c r="L3834" s="64">
        <v>742221</v>
      </c>
      <c r="M3834" t="s">
        <v>2851</v>
      </c>
    </row>
    <row r="3835" spans="12:13" x14ac:dyDescent="0.25">
      <c r="L3835" s="64">
        <v>742222</v>
      </c>
      <c r="M3835" t="s">
        <v>2852</v>
      </c>
    </row>
    <row r="3836" spans="12:13" x14ac:dyDescent="0.25">
      <c r="L3836" s="64">
        <v>742223</v>
      </c>
      <c r="M3836" t="s">
        <v>2853</v>
      </c>
    </row>
    <row r="3837" spans="12:13" x14ac:dyDescent="0.25">
      <c r="L3837" s="64">
        <v>742224</v>
      </c>
      <c r="M3837" t="s">
        <v>2854</v>
      </c>
    </row>
    <row r="3838" spans="12:13" x14ac:dyDescent="0.25">
      <c r="L3838" s="64">
        <v>742225</v>
      </c>
      <c r="M3838" t="s">
        <v>2855</v>
      </c>
    </row>
    <row r="3839" spans="12:13" x14ac:dyDescent="0.25">
      <c r="L3839" s="64">
        <v>742226</v>
      </c>
      <c r="M3839" t="s">
        <v>2856</v>
      </c>
    </row>
    <row r="3840" spans="12:13" x14ac:dyDescent="0.25">
      <c r="L3840" s="64">
        <v>742227</v>
      </c>
      <c r="M3840" t="s">
        <v>2857</v>
      </c>
    </row>
    <row r="3841" spans="12:13" x14ac:dyDescent="0.25">
      <c r="L3841" s="64">
        <v>742228</v>
      </c>
      <c r="M3841" t="s">
        <v>2858</v>
      </c>
    </row>
    <row r="3842" spans="12:13" x14ac:dyDescent="0.25">
      <c r="L3842" s="64">
        <v>742229</v>
      </c>
      <c r="M3842" t="s">
        <v>2859</v>
      </c>
    </row>
    <row r="3843" spans="12:13" x14ac:dyDescent="0.25">
      <c r="L3843" s="64">
        <v>742230</v>
      </c>
      <c r="M3843" t="s">
        <v>2860</v>
      </c>
    </row>
    <row r="3844" spans="12:13" x14ac:dyDescent="0.25">
      <c r="L3844" s="64">
        <v>742231</v>
      </c>
      <c r="M3844" t="s">
        <v>2861</v>
      </c>
    </row>
    <row r="3845" spans="12:13" x14ac:dyDescent="0.25">
      <c r="L3845" s="64">
        <v>742232</v>
      </c>
      <c r="M3845" t="s">
        <v>2862</v>
      </c>
    </row>
    <row r="3846" spans="12:13" x14ac:dyDescent="0.25">
      <c r="L3846" s="64">
        <v>742240</v>
      </c>
      <c r="M3846" t="s">
        <v>2863</v>
      </c>
    </row>
    <row r="3847" spans="12:13" x14ac:dyDescent="0.25">
      <c r="L3847" s="64">
        <v>742241</v>
      </c>
      <c r="M3847" t="s">
        <v>2864</v>
      </c>
    </row>
    <row r="3848" spans="12:13" x14ac:dyDescent="0.25">
      <c r="L3848" s="64">
        <v>742250</v>
      </c>
      <c r="M3848" t="s">
        <v>2865</v>
      </c>
    </row>
    <row r="3849" spans="12:13" x14ac:dyDescent="0.25">
      <c r="L3849" s="64">
        <v>742251</v>
      </c>
      <c r="M3849" t="s">
        <v>2866</v>
      </c>
    </row>
    <row r="3850" spans="12:13" x14ac:dyDescent="0.25">
      <c r="L3850" s="64">
        <v>742252</v>
      </c>
      <c r="M3850" t="s">
        <v>2867</v>
      </c>
    </row>
    <row r="3851" spans="12:13" x14ac:dyDescent="0.25">
      <c r="L3851" s="64">
        <v>742253</v>
      </c>
      <c r="M3851" t="s">
        <v>2868</v>
      </c>
    </row>
    <row r="3852" spans="12:13" x14ac:dyDescent="0.25">
      <c r="L3852" s="64">
        <v>742254</v>
      </c>
      <c r="M3852" t="s">
        <v>2869</v>
      </c>
    </row>
    <row r="3853" spans="12:13" x14ac:dyDescent="0.25">
      <c r="L3853" s="64">
        <v>742260</v>
      </c>
      <c r="M3853" t="s">
        <v>2870</v>
      </c>
    </row>
    <row r="3854" spans="12:13" x14ac:dyDescent="0.25">
      <c r="L3854" s="64">
        <v>742261</v>
      </c>
      <c r="M3854" t="s">
        <v>2871</v>
      </c>
    </row>
    <row r="3855" spans="12:13" x14ac:dyDescent="0.25">
      <c r="L3855" s="64">
        <v>742262</v>
      </c>
      <c r="M3855" t="s">
        <v>2872</v>
      </c>
    </row>
    <row r="3856" spans="12:13" x14ac:dyDescent="0.25">
      <c r="L3856" s="64">
        <v>742265</v>
      </c>
      <c r="M3856" t="s">
        <v>2873</v>
      </c>
    </row>
    <row r="3857" spans="12:13" x14ac:dyDescent="0.25">
      <c r="L3857" s="64">
        <v>742270</v>
      </c>
      <c r="M3857" t="s">
        <v>2874</v>
      </c>
    </row>
    <row r="3858" spans="12:13" x14ac:dyDescent="0.25">
      <c r="L3858" s="64">
        <v>742271</v>
      </c>
      <c r="M3858" t="s">
        <v>2875</v>
      </c>
    </row>
    <row r="3859" spans="12:13" x14ac:dyDescent="0.25">
      <c r="L3859" s="64">
        <v>742272</v>
      </c>
      <c r="M3859" t="s">
        <v>2876</v>
      </c>
    </row>
    <row r="3860" spans="12:13" x14ac:dyDescent="0.25">
      <c r="L3860" s="64">
        <v>742280</v>
      </c>
      <c r="M3860" t="s">
        <v>2877</v>
      </c>
    </row>
    <row r="3861" spans="12:13" x14ac:dyDescent="0.25">
      <c r="L3861" s="64">
        <v>742281</v>
      </c>
      <c r="M3861" t="s">
        <v>2878</v>
      </c>
    </row>
    <row r="3862" spans="12:13" x14ac:dyDescent="0.25">
      <c r="L3862" s="64">
        <v>742282</v>
      </c>
      <c r="M3862" t="s">
        <v>2879</v>
      </c>
    </row>
    <row r="3863" spans="12:13" x14ac:dyDescent="0.25">
      <c r="L3863" s="64">
        <v>742283</v>
      </c>
      <c r="M3863" t="s">
        <v>2880</v>
      </c>
    </row>
    <row r="3864" spans="12:13" x14ac:dyDescent="0.25">
      <c r="L3864" s="64">
        <v>742284</v>
      </c>
      <c r="M3864" t="s">
        <v>2881</v>
      </c>
    </row>
    <row r="3865" spans="12:13" x14ac:dyDescent="0.25">
      <c r="L3865" s="64">
        <v>742285</v>
      </c>
      <c r="M3865" t="s">
        <v>2882</v>
      </c>
    </row>
    <row r="3866" spans="12:13" x14ac:dyDescent="0.25">
      <c r="L3866" s="64">
        <v>742286</v>
      </c>
      <c r="M3866" t="s">
        <v>2883</v>
      </c>
    </row>
    <row r="3867" spans="12:13" x14ac:dyDescent="0.25">
      <c r="L3867" s="64">
        <v>742287</v>
      </c>
      <c r="M3867" t="s">
        <v>2884</v>
      </c>
    </row>
    <row r="3868" spans="12:13" x14ac:dyDescent="0.25">
      <c r="L3868" s="64">
        <v>742288</v>
      </c>
      <c r="M3868" t="s">
        <v>2885</v>
      </c>
    </row>
    <row r="3869" spans="12:13" x14ac:dyDescent="0.25">
      <c r="L3869" s="64">
        <v>742289</v>
      </c>
      <c r="M3869" t="s">
        <v>2886</v>
      </c>
    </row>
    <row r="3870" spans="12:13" x14ac:dyDescent="0.25">
      <c r="L3870" s="64">
        <v>742290</v>
      </c>
      <c r="M3870" t="s">
        <v>2887</v>
      </c>
    </row>
    <row r="3871" spans="12:13" x14ac:dyDescent="0.25">
      <c r="L3871" s="64">
        <v>742291</v>
      </c>
      <c r="M3871" t="s">
        <v>2888</v>
      </c>
    </row>
    <row r="3872" spans="12:13" x14ac:dyDescent="0.25">
      <c r="L3872" s="64">
        <v>742292</v>
      </c>
      <c r="M3872" t="s">
        <v>2889</v>
      </c>
    </row>
    <row r="3873" spans="12:13" x14ac:dyDescent="0.25">
      <c r="L3873" s="64">
        <v>742300</v>
      </c>
      <c r="M3873" t="s">
        <v>2890</v>
      </c>
    </row>
    <row r="3874" spans="12:13" x14ac:dyDescent="0.25">
      <c r="L3874" s="64">
        <v>742310</v>
      </c>
      <c r="M3874" t="s">
        <v>2891</v>
      </c>
    </row>
    <row r="3875" spans="12:13" x14ac:dyDescent="0.25">
      <c r="L3875" s="64">
        <v>742312</v>
      </c>
      <c r="M3875" t="s">
        <v>2892</v>
      </c>
    </row>
    <row r="3876" spans="12:13" x14ac:dyDescent="0.25">
      <c r="L3876" s="64">
        <v>742320</v>
      </c>
      <c r="M3876" t="s">
        <v>2893</v>
      </c>
    </row>
    <row r="3877" spans="12:13" x14ac:dyDescent="0.25">
      <c r="L3877" s="64">
        <v>742321</v>
      </c>
      <c r="M3877" t="s">
        <v>2894</v>
      </c>
    </row>
    <row r="3878" spans="12:13" x14ac:dyDescent="0.25">
      <c r="L3878" s="64">
        <v>742322</v>
      </c>
      <c r="M3878" t="s">
        <v>2895</v>
      </c>
    </row>
    <row r="3879" spans="12:13" x14ac:dyDescent="0.25">
      <c r="L3879" s="64">
        <v>742323</v>
      </c>
      <c r="M3879" t="s">
        <v>2896</v>
      </c>
    </row>
    <row r="3880" spans="12:13" x14ac:dyDescent="0.25">
      <c r="L3880" s="64">
        <v>742324</v>
      </c>
      <c r="M3880" t="s">
        <v>2897</v>
      </c>
    </row>
    <row r="3881" spans="12:13" x14ac:dyDescent="0.25">
      <c r="L3881" s="64">
        <v>742325</v>
      </c>
      <c r="M3881" t="s">
        <v>2898</v>
      </c>
    </row>
    <row r="3882" spans="12:13" x14ac:dyDescent="0.25">
      <c r="L3882" s="64">
        <v>742326</v>
      </c>
      <c r="M3882" t="s">
        <v>2899</v>
      </c>
    </row>
    <row r="3883" spans="12:13" x14ac:dyDescent="0.25">
      <c r="L3883" s="64">
        <v>742327</v>
      </c>
      <c r="M3883" t="s">
        <v>2900</v>
      </c>
    </row>
    <row r="3884" spans="12:13" x14ac:dyDescent="0.25">
      <c r="L3884" s="64">
        <v>742328</v>
      </c>
      <c r="M3884" t="s">
        <v>2901</v>
      </c>
    </row>
    <row r="3885" spans="12:13" x14ac:dyDescent="0.25">
      <c r="L3885" s="64">
        <v>742329</v>
      </c>
      <c r="M3885" t="s">
        <v>2902</v>
      </c>
    </row>
    <row r="3886" spans="12:13" x14ac:dyDescent="0.25">
      <c r="L3886" s="64">
        <v>742330</v>
      </c>
      <c r="M3886" t="s">
        <v>2903</v>
      </c>
    </row>
    <row r="3887" spans="12:13" x14ac:dyDescent="0.25">
      <c r="L3887" s="64">
        <v>742331</v>
      </c>
      <c r="M3887" t="s">
        <v>2904</v>
      </c>
    </row>
    <row r="3888" spans="12:13" x14ac:dyDescent="0.25">
      <c r="L3888" s="64">
        <v>742332</v>
      </c>
      <c r="M3888" t="s">
        <v>2905</v>
      </c>
    </row>
    <row r="3889" spans="12:13" x14ac:dyDescent="0.25">
      <c r="L3889" s="64">
        <v>742340</v>
      </c>
      <c r="M3889" t="s">
        <v>2906</v>
      </c>
    </row>
    <row r="3890" spans="12:13" x14ac:dyDescent="0.25">
      <c r="L3890" s="64">
        <v>742341</v>
      </c>
      <c r="M3890" t="s">
        <v>2907</v>
      </c>
    </row>
    <row r="3891" spans="12:13" x14ac:dyDescent="0.25">
      <c r="L3891" s="64">
        <v>742350</v>
      </c>
      <c r="M3891" t="s">
        <v>2908</v>
      </c>
    </row>
    <row r="3892" spans="12:13" x14ac:dyDescent="0.25">
      <c r="L3892" s="64">
        <v>742351</v>
      </c>
      <c r="M3892" t="s">
        <v>2909</v>
      </c>
    </row>
    <row r="3893" spans="12:13" x14ac:dyDescent="0.25">
      <c r="L3893" s="64">
        <v>742360</v>
      </c>
      <c r="M3893" t="s">
        <v>2910</v>
      </c>
    </row>
    <row r="3894" spans="12:13" x14ac:dyDescent="0.25">
      <c r="L3894" s="64">
        <v>742361</v>
      </c>
      <c r="M3894" t="s">
        <v>2910</v>
      </c>
    </row>
    <row r="3895" spans="12:13" x14ac:dyDescent="0.25">
      <c r="L3895" s="64">
        <v>742370</v>
      </c>
      <c r="M3895" t="s">
        <v>2911</v>
      </c>
    </row>
    <row r="3896" spans="12:13" x14ac:dyDescent="0.25">
      <c r="L3896" s="64">
        <v>742371</v>
      </c>
      <c r="M3896" t="s">
        <v>2912</v>
      </c>
    </row>
    <row r="3897" spans="12:13" x14ac:dyDescent="0.25">
      <c r="L3897" s="64">
        <v>742372</v>
      </c>
      <c r="M3897" t="s">
        <v>2913</v>
      </c>
    </row>
    <row r="3898" spans="12:13" x14ac:dyDescent="0.25">
      <c r="L3898" s="64">
        <v>742373</v>
      </c>
      <c r="M3898" t="s">
        <v>2914</v>
      </c>
    </row>
    <row r="3899" spans="12:13" x14ac:dyDescent="0.25">
      <c r="L3899" s="64">
        <v>742378</v>
      </c>
      <c r="M3899" t="s">
        <v>2915</v>
      </c>
    </row>
    <row r="3900" spans="12:13" x14ac:dyDescent="0.25">
      <c r="L3900" s="64">
        <v>742400</v>
      </c>
      <c r="M3900" t="s">
        <v>2916</v>
      </c>
    </row>
    <row r="3901" spans="12:13" x14ac:dyDescent="0.25">
      <c r="L3901" s="64">
        <v>742410</v>
      </c>
      <c r="M3901" t="s">
        <v>2916</v>
      </c>
    </row>
    <row r="3902" spans="12:13" x14ac:dyDescent="0.25">
      <c r="L3902" s="64">
        <v>742411</v>
      </c>
      <c r="M3902" t="s">
        <v>2916</v>
      </c>
    </row>
    <row r="3903" spans="12:13" x14ac:dyDescent="0.25">
      <c r="L3903" s="64">
        <v>743000</v>
      </c>
      <c r="M3903" t="s">
        <v>2918</v>
      </c>
    </row>
    <row r="3904" spans="12:13" x14ac:dyDescent="0.25">
      <c r="L3904" s="64">
        <v>743100</v>
      </c>
      <c r="M3904" t="s">
        <v>2919</v>
      </c>
    </row>
    <row r="3905" spans="12:13" x14ac:dyDescent="0.25">
      <c r="L3905" s="64">
        <v>743120</v>
      </c>
      <c r="M3905" t="s">
        <v>2920</v>
      </c>
    </row>
    <row r="3906" spans="12:13" x14ac:dyDescent="0.25">
      <c r="L3906" s="64">
        <v>743121</v>
      </c>
      <c r="M3906" t="s">
        <v>2919</v>
      </c>
    </row>
    <row r="3907" spans="12:13" x14ac:dyDescent="0.25">
      <c r="L3907" s="64">
        <v>743122</v>
      </c>
      <c r="M3907" t="s">
        <v>2921</v>
      </c>
    </row>
    <row r="3908" spans="12:13" x14ac:dyDescent="0.25">
      <c r="L3908" s="64">
        <v>743123</v>
      </c>
      <c r="M3908" t="s">
        <v>2922</v>
      </c>
    </row>
    <row r="3909" spans="12:13" x14ac:dyDescent="0.25">
      <c r="L3909" s="64">
        <v>743124</v>
      </c>
      <c r="M3909" t="s">
        <v>2923</v>
      </c>
    </row>
    <row r="3910" spans="12:13" x14ac:dyDescent="0.25">
      <c r="L3910" s="64">
        <v>743130</v>
      </c>
      <c r="M3910" t="s">
        <v>2924</v>
      </c>
    </row>
    <row r="3911" spans="12:13" x14ac:dyDescent="0.25">
      <c r="L3911" s="64">
        <v>743131</v>
      </c>
      <c r="M3911" t="s">
        <v>2924</v>
      </c>
    </row>
    <row r="3912" spans="12:13" x14ac:dyDescent="0.25">
      <c r="L3912" s="64">
        <v>743140</v>
      </c>
      <c r="M3912" t="s">
        <v>2925</v>
      </c>
    </row>
    <row r="3913" spans="12:13" x14ac:dyDescent="0.25">
      <c r="L3913" s="64">
        <v>743141</v>
      </c>
      <c r="M3913" t="s">
        <v>2925</v>
      </c>
    </row>
    <row r="3914" spans="12:13" x14ac:dyDescent="0.25">
      <c r="L3914" s="64">
        <v>743150</v>
      </c>
      <c r="M3914" t="s">
        <v>2926</v>
      </c>
    </row>
    <row r="3915" spans="12:13" x14ac:dyDescent="0.25">
      <c r="L3915" s="64">
        <v>743151</v>
      </c>
      <c r="M3915" t="s">
        <v>2926</v>
      </c>
    </row>
    <row r="3916" spans="12:13" x14ac:dyDescent="0.25">
      <c r="L3916" s="64">
        <v>743160</v>
      </c>
      <c r="M3916" t="s">
        <v>2927</v>
      </c>
    </row>
    <row r="3917" spans="12:13" x14ac:dyDescent="0.25">
      <c r="L3917" s="64">
        <v>743161</v>
      </c>
      <c r="M3917" t="s">
        <v>2927</v>
      </c>
    </row>
    <row r="3918" spans="12:13" x14ac:dyDescent="0.25">
      <c r="L3918" s="64">
        <v>743200</v>
      </c>
      <c r="M3918" t="s">
        <v>2928</v>
      </c>
    </row>
    <row r="3919" spans="12:13" x14ac:dyDescent="0.25">
      <c r="L3919" s="64">
        <v>743220</v>
      </c>
      <c r="M3919" t="s">
        <v>2929</v>
      </c>
    </row>
    <row r="3920" spans="12:13" x14ac:dyDescent="0.25">
      <c r="L3920" s="64">
        <v>743221</v>
      </c>
      <c r="M3920" t="s">
        <v>2928</v>
      </c>
    </row>
    <row r="3921" spans="12:13" x14ac:dyDescent="0.25">
      <c r="L3921" s="64">
        <v>743222</v>
      </c>
      <c r="M3921" t="s">
        <v>2930</v>
      </c>
    </row>
    <row r="3922" spans="12:13" x14ac:dyDescent="0.25">
      <c r="L3922" s="64">
        <v>743223</v>
      </c>
      <c r="M3922" t="s">
        <v>2931</v>
      </c>
    </row>
    <row r="3923" spans="12:13" x14ac:dyDescent="0.25">
      <c r="L3923" s="64">
        <v>743224</v>
      </c>
      <c r="M3923" t="s">
        <v>2932</v>
      </c>
    </row>
    <row r="3924" spans="12:13" x14ac:dyDescent="0.25">
      <c r="L3924" s="64">
        <v>743230</v>
      </c>
      <c r="M3924" t="s">
        <v>2933</v>
      </c>
    </row>
    <row r="3925" spans="12:13" x14ac:dyDescent="0.25">
      <c r="L3925" s="64">
        <v>743231</v>
      </c>
      <c r="M3925" t="s">
        <v>2933</v>
      </c>
    </row>
    <row r="3926" spans="12:13" x14ac:dyDescent="0.25">
      <c r="L3926" s="64">
        <v>743240</v>
      </c>
      <c r="M3926" t="s">
        <v>2934</v>
      </c>
    </row>
    <row r="3927" spans="12:13" x14ac:dyDescent="0.25">
      <c r="L3927" s="64">
        <v>743241</v>
      </c>
      <c r="M3927" t="s">
        <v>2934</v>
      </c>
    </row>
    <row r="3928" spans="12:13" x14ac:dyDescent="0.25">
      <c r="L3928" s="64">
        <v>743250</v>
      </c>
      <c r="M3928" t="s">
        <v>2935</v>
      </c>
    </row>
    <row r="3929" spans="12:13" x14ac:dyDescent="0.25">
      <c r="L3929" s="64">
        <v>743251</v>
      </c>
      <c r="M3929" t="s">
        <v>2935</v>
      </c>
    </row>
    <row r="3930" spans="12:13" x14ac:dyDescent="0.25">
      <c r="L3930" s="64">
        <v>743260</v>
      </c>
      <c r="M3930" t="s">
        <v>2936</v>
      </c>
    </row>
    <row r="3931" spans="12:13" x14ac:dyDescent="0.25">
      <c r="L3931" s="64">
        <v>743261</v>
      </c>
      <c r="M3931" t="s">
        <v>2936</v>
      </c>
    </row>
    <row r="3932" spans="12:13" x14ac:dyDescent="0.25">
      <c r="L3932" s="64">
        <v>743300</v>
      </c>
      <c r="M3932" t="s">
        <v>2937</v>
      </c>
    </row>
    <row r="3933" spans="12:13" x14ac:dyDescent="0.25">
      <c r="L3933" s="64">
        <v>743320</v>
      </c>
      <c r="M3933" t="s">
        <v>2938</v>
      </c>
    </row>
    <row r="3934" spans="12:13" x14ac:dyDescent="0.25">
      <c r="L3934" s="64">
        <v>743321</v>
      </c>
      <c r="M3934" t="s">
        <v>2937</v>
      </c>
    </row>
    <row r="3935" spans="12:13" x14ac:dyDescent="0.25">
      <c r="L3935" s="64">
        <v>743322</v>
      </c>
      <c r="M3935" t="s">
        <v>2939</v>
      </c>
    </row>
    <row r="3936" spans="12:13" x14ac:dyDescent="0.25">
      <c r="L3936" s="64">
        <v>743323</v>
      </c>
      <c r="M3936" t="s">
        <v>2940</v>
      </c>
    </row>
    <row r="3937" spans="12:13" x14ac:dyDescent="0.25">
      <c r="L3937" s="64">
        <v>743324</v>
      </c>
      <c r="M3937" t="s">
        <v>2942</v>
      </c>
    </row>
    <row r="3938" spans="12:13" x14ac:dyDescent="0.25">
      <c r="L3938" s="64">
        <v>743325</v>
      </c>
      <c r="M3938" t="s">
        <v>2943</v>
      </c>
    </row>
    <row r="3939" spans="12:13" x14ac:dyDescent="0.25">
      <c r="L3939" s="64">
        <v>743326</v>
      </c>
      <c r="M3939" t="s">
        <v>2944</v>
      </c>
    </row>
    <row r="3940" spans="12:13" x14ac:dyDescent="0.25">
      <c r="L3940" s="64">
        <v>743327</v>
      </c>
      <c r="M3940" t="s">
        <v>2945</v>
      </c>
    </row>
    <row r="3941" spans="12:13" x14ac:dyDescent="0.25">
      <c r="L3941" s="64">
        <v>743328</v>
      </c>
      <c r="M3941" t="s">
        <v>2946</v>
      </c>
    </row>
    <row r="3942" spans="12:13" x14ac:dyDescent="0.25">
      <c r="L3942" s="64">
        <v>743329</v>
      </c>
      <c r="M3942" t="s">
        <v>2947</v>
      </c>
    </row>
    <row r="3943" spans="12:13" x14ac:dyDescent="0.25">
      <c r="L3943" s="64">
        <v>743330</v>
      </c>
      <c r="M3943" t="s">
        <v>2948</v>
      </c>
    </row>
    <row r="3944" spans="12:13" x14ac:dyDescent="0.25">
      <c r="L3944" s="64">
        <v>743331</v>
      </c>
      <c r="M3944" t="s">
        <v>2949</v>
      </c>
    </row>
    <row r="3945" spans="12:13" x14ac:dyDescent="0.25">
      <c r="L3945" s="64">
        <v>743332</v>
      </c>
      <c r="M3945" t="s">
        <v>2950</v>
      </c>
    </row>
    <row r="3946" spans="12:13" x14ac:dyDescent="0.25">
      <c r="L3946" s="64">
        <v>743340</v>
      </c>
      <c r="M3946" t="s">
        <v>2951</v>
      </c>
    </row>
    <row r="3947" spans="12:13" x14ac:dyDescent="0.25">
      <c r="L3947" s="64">
        <v>743341</v>
      </c>
      <c r="M3947" t="s">
        <v>2952</v>
      </c>
    </row>
    <row r="3948" spans="12:13" x14ac:dyDescent="0.25">
      <c r="L3948" s="64">
        <v>743342</v>
      </c>
      <c r="M3948" t="s">
        <v>2953</v>
      </c>
    </row>
    <row r="3949" spans="12:13" x14ac:dyDescent="0.25">
      <c r="L3949" s="64">
        <v>743343</v>
      </c>
      <c r="M3949" t="s">
        <v>2954</v>
      </c>
    </row>
    <row r="3950" spans="12:13" x14ac:dyDescent="0.25">
      <c r="L3950" s="64">
        <v>743350</v>
      </c>
      <c r="M3950" t="s">
        <v>2955</v>
      </c>
    </row>
    <row r="3951" spans="12:13" x14ac:dyDescent="0.25">
      <c r="L3951" s="64">
        <v>743351</v>
      </c>
      <c r="M3951" t="s">
        <v>2956</v>
      </c>
    </row>
    <row r="3952" spans="12:13" x14ac:dyDescent="0.25">
      <c r="L3952" s="64">
        <v>743353</v>
      </c>
      <c r="M3952" t="s">
        <v>2957</v>
      </c>
    </row>
    <row r="3953" spans="12:13" x14ac:dyDescent="0.25">
      <c r="L3953" s="64">
        <v>743354</v>
      </c>
      <c r="M3953" t="s">
        <v>2958</v>
      </c>
    </row>
    <row r="3954" spans="12:13" x14ac:dyDescent="0.25">
      <c r="L3954" s="64">
        <v>743360</v>
      </c>
      <c r="M3954" t="s">
        <v>2959</v>
      </c>
    </row>
    <row r="3955" spans="12:13" x14ac:dyDescent="0.25">
      <c r="L3955" s="64">
        <v>743361</v>
      </c>
      <c r="M3955" t="s">
        <v>2959</v>
      </c>
    </row>
    <row r="3956" spans="12:13" x14ac:dyDescent="0.25">
      <c r="L3956" s="64">
        <v>743400</v>
      </c>
      <c r="M3956" t="s">
        <v>2960</v>
      </c>
    </row>
    <row r="3957" spans="12:13" x14ac:dyDescent="0.25">
      <c r="L3957" s="64">
        <v>743420</v>
      </c>
      <c r="M3957" t="s">
        <v>2961</v>
      </c>
    </row>
    <row r="3958" spans="12:13" x14ac:dyDescent="0.25">
      <c r="L3958" s="64">
        <v>743421</v>
      </c>
      <c r="M3958" t="s">
        <v>2961</v>
      </c>
    </row>
    <row r="3959" spans="12:13" x14ac:dyDescent="0.25">
      <c r="L3959" s="64">
        <v>743422</v>
      </c>
      <c r="M3959" t="s">
        <v>2962</v>
      </c>
    </row>
    <row r="3960" spans="12:13" x14ac:dyDescent="0.25">
      <c r="L3960" s="64">
        <v>743423</v>
      </c>
      <c r="M3960" t="s">
        <v>2963</v>
      </c>
    </row>
    <row r="3961" spans="12:13" x14ac:dyDescent="0.25">
      <c r="L3961" s="64">
        <v>743430</v>
      </c>
      <c r="M3961" t="s">
        <v>2964</v>
      </c>
    </row>
    <row r="3962" spans="12:13" x14ac:dyDescent="0.25">
      <c r="L3962" s="64">
        <v>743431</v>
      </c>
      <c r="M3962" t="s">
        <v>2964</v>
      </c>
    </row>
    <row r="3963" spans="12:13" x14ac:dyDescent="0.25">
      <c r="L3963" s="64">
        <v>743440</v>
      </c>
      <c r="M3963" t="s">
        <v>2965</v>
      </c>
    </row>
    <row r="3964" spans="12:13" x14ac:dyDescent="0.25">
      <c r="L3964" s="64">
        <v>743441</v>
      </c>
      <c r="M3964" t="s">
        <v>2965</v>
      </c>
    </row>
    <row r="3965" spans="12:13" x14ac:dyDescent="0.25">
      <c r="L3965" s="64">
        <v>743450</v>
      </c>
      <c r="M3965" t="s">
        <v>2966</v>
      </c>
    </row>
    <row r="3966" spans="12:13" x14ac:dyDescent="0.25">
      <c r="L3966" s="64">
        <v>743451</v>
      </c>
      <c r="M3966" t="s">
        <v>2966</v>
      </c>
    </row>
    <row r="3967" spans="12:13" x14ac:dyDescent="0.25">
      <c r="L3967" s="64">
        <v>743460</v>
      </c>
      <c r="M3967" t="s">
        <v>2967</v>
      </c>
    </row>
    <row r="3968" spans="12:13" x14ac:dyDescent="0.25">
      <c r="L3968" s="64">
        <v>743461</v>
      </c>
      <c r="M3968" t="s">
        <v>2967</v>
      </c>
    </row>
    <row r="3969" spans="12:13" x14ac:dyDescent="0.25">
      <c r="L3969" s="64">
        <v>743500</v>
      </c>
      <c r="M3969" t="s">
        <v>2968</v>
      </c>
    </row>
    <row r="3970" spans="12:13" x14ac:dyDescent="0.25">
      <c r="L3970" s="64">
        <v>743520</v>
      </c>
      <c r="M3970" t="s">
        <v>2969</v>
      </c>
    </row>
    <row r="3971" spans="12:13" x14ac:dyDescent="0.25">
      <c r="L3971" s="64">
        <v>743521</v>
      </c>
      <c r="M3971" t="s">
        <v>2970</v>
      </c>
    </row>
    <row r="3972" spans="12:13" x14ac:dyDescent="0.25">
      <c r="L3972" s="64">
        <v>743522</v>
      </c>
      <c r="M3972" t="s">
        <v>2971</v>
      </c>
    </row>
    <row r="3973" spans="12:13" x14ac:dyDescent="0.25">
      <c r="L3973" s="64">
        <v>743523</v>
      </c>
      <c r="M3973" t="s">
        <v>2972</v>
      </c>
    </row>
    <row r="3974" spans="12:13" x14ac:dyDescent="0.25">
      <c r="L3974" s="64">
        <v>743524</v>
      </c>
      <c r="M3974" t="s">
        <v>2973</v>
      </c>
    </row>
    <row r="3975" spans="12:13" x14ac:dyDescent="0.25">
      <c r="L3975" s="64">
        <v>743525</v>
      </c>
      <c r="M3975" t="s">
        <v>2974</v>
      </c>
    </row>
    <row r="3976" spans="12:13" x14ac:dyDescent="0.25">
      <c r="L3976" s="64">
        <v>743526</v>
      </c>
      <c r="M3976" t="s">
        <v>2975</v>
      </c>
    </row>
    <row r="3977" spans="12:13" x14ac:dyDescent="0.25">
      <c r="L3977" s="64">
        <v>743530</v>
      </c>
      <c r="M3977" t="s">
        <v>2976</v>
      </c>
    </row>
    <row r="3978" spans="12:13" x14ac:dyDescent="0.25">
      <c r="L3978" s="64">
        <v>743531</v>
      </c>
      <c r="M3978" t="s">
        <v>2976</v>
      </c>
    </row>
    <row r="3979" spans="12:13" x14ac:dyDescent="0.25">
      <c r="L3979" s="64">
        <v>743540</v>
      </c>
      <c r="M3979" t="s">
        <v>2977</v>
      </c>
    </row>
    <row r="3980" spans="12:13" x14ac:dyDescent="0.25">
      <c r="L3980" s="64">
        <v>743541</v>
      </c>
      <c r="M3980" t="s">
        <v>2977</v>
      </c>
    </row>
    <row r="3981" spans="12:13" x14ac:dyDescent="0.25">
      <c r="L3981" s="64">
        <v>743550</v>
      </c>
      <c r="M3981" t="s">
        <v>2978</v>
      </c>
    </row>
    <row r="3982" spans="12:13" x14ac:dyDescent="0.25">
      <c r="L3982" s="64">
        <v>743551</v>
      </c>
      <c r="M3982" t="s">
        <v>2978</v>
      </c>
    </row>
    <row r="3983" spans="12:13" x14ac:dyDescent="0.25">
      <c r="L3983" s="64">
        <v>743560</v>
      </c>
      <c r="M3983" t="s">
        <v>2979</v>
      </c>
    </row>
    <row r="3984" spans="12:13" x14ac:dyDescent="0.25">
      <c r="L3984" s="64">
        <v>743561</v>
      </c>
      <c r="M3984" t="s">
        <v>2979</v>
      </c>
    </row>
    <row r="3985" spans="12:13" x14ac:dyDescent="0.25">
      <c r="L3985" s="64">
        <v>743900</v>
      </c>
      <c r="M3985" t="s">
        <v>2980</v>
      </c>
    </row>
    <row r="3986" spans="12:13" x14ac:dyDescent="0.25">
      <c r="L3986" s="64">
        <v>743920</v>
      </c>
      <c r="M3986" t="s">
        <v>2981</v>
      </c>
    </row>
    <row r="3987" spans="12:13" x14ac:dyDescent="0.25">
      <c r="L3987" s="64">
        <v>743921</v>
      </c>
      <c r="M3987" t="s">
        <v>2982</v>
      </c>
    </row>
    <row r="3988" spans="12:13" x14ac:dyDescent="0.25">
      <c r="L3988" s="64">
        <v>743922</v>
      </c>
      <c r="M3988" t="s">
        <v>2983</v>
      </c>
    </row>
    <row r="3989" spans="12:13" x14ac:dyDescent="0.25">
      <c r="L3989" s="64">
        <v>743923</v>
      </c>
      <c r="M3989" t="s">
        <v>2984</v>
      </c>
    </row>
    <row r="3990" spans="12:13" x14ac:dyDescent="0.25">
      <c r="L3990" s="64">
        <v>743929</v>
      </c>
      <c r="M3990" t="s">
        <v>2981</v>
      </c>
    </row>
    <row r="3991" spans="12:13" x14ac:dyDescent="0.25">
      <c r="L3991" s="64">
        <v>743930</v>
      </c>
      <c r="M3991" t="s">
        <v>2985</v>
      </c>
    </row>
    <row r="3992" spans="12:13" x14ac:dyDescent="0.25">
      <c r="L3992" s="64">
        <v>743931</v>
      </c>
      <c r="M3992" t="s">
        <v>2985</v>
      </c>
    </row>
    <row r="3993" spans="12:13" x14ac:dyDescent="0.25">
      <c r="L3993" s="64">
        <v>743940</v>
      </c>
      <c r="M3993" t="s">
        <v>2986</v>
      </c>
    </row>
    <row r="3994" spans="12:13" x14ac:dyDescent="0.25">
      <c r="L3994" s="64">
        <v>743941</v>
      </c>
      <c r="M3994" t="s">
        <v>2986</v>
      </c>
    </row>
    <row r="3995" spans="12:13" x14ac:dyDescent="0.25">
      <c r="L3995" s="64">
        <v>743950</v>
      </c>
      <c r="M3995" t="s">
        <v>2987</v>
      </c>
    </row>
    <row r="3996" spans="12:13" x14ac:dyDescent="0.25">
      <c r="L3996" s="64">
        <v>743951</v>
      </c>
      <c r="M3996" t="s">
        <v>2988</v>
      </c>
    </row>
    <row r="3997" spans="12:13" x14ac:dyDescent="0.25">
      <c r="L3997" s="64">
        <v>743960</v>
      </c>
      <c r="M3997" t="s">
        <v>2989</v>
      </c>
    </row>
    <row r="3998" spans="12:13" x14ac:dyDescent="0.25">
      <c r="L3998" s="64">
        <v>743961</v>
      </c>
      <c r="M3998" t="s">
        <v>2989</v>
      </c>
    </row>
    <row r="3999" spans="12:13" x14ac:dyDescent="0.25">
      <c r="L3999" s="64">
        <v>744000</v>
      </c>
      <c r="M3999" t="s">
        <v>2991</v>
      </c>
    </row>
    <row r="4000" spans="12:13" x14ac:dyDescent="0.25">
      <c r="L4000" s="64">
        <v>744100</v>
      </c>
      <c r="M4000" t="s">
        <v>2992</v>
      </c>
    </row>
    <row r="4001" spans="12:13" x14ac:dyDescent="0.25">
      <c r="L4001" s="64">
        <v>744120</v>
      </c>
      <c r="M4001" t="s">
        <v>2993</v>
      </c>
    </row>
    <row r="4002" spans="12:13" x14ac:dyDescent="0.25">
      <c r="L4002" s="64">
        <v>744121</v>
      </c>
      <c r="M4002" t="s">
        <v>2993</v>
      </c>
    </row>
    <row r="4003" spans="12:13" x14ac:dyDescent="0.25">
      <c r="L4003" s="64">
        <v>744122</v>
      </c>
      <c r="M4003" t="s">
        <v>2994</v>
      </c>
    </row>
    <row r="4004" spans="12:13" x14ac:dyDescent="0.25">
      <c r="L4004" s="64">
        <v>744130</v>
      </c>
      <c r="M4004" t="s">
        <v>2995</v>
      </c>
    </row>
    <row r="4005" spans="12:13" x14ac:dyDescent="0.25">
      <c r="L4005" s="64">
        <v>744131</v>
      </c>
      <c r="M4005" t="s">
        <v>2996</v>
      </c>
    </row>
    <row r="4006" spans="12:13" x14ac:dyDescent="0.25">
      <c r="L4006" s="64">
        <v>744132</v>
      </c>
      <c r="M4006" t="s">
        <v>2997</v>
      </c>
    </row>
    <row r="4007" spans="12:13" x14ac:dyDescent="0.25">
      <c r="L4007" s="64">
        <v>744140</v>
      </c>
      <c r="M4007" t="s">
        <v>2998</v>
      </c>
    </row>
    <row r="4008" spans="12:13" x14ac:dyDescent="0.25">
      <c r="L4008" s="64">
        <v>744141</v>
      </c>
      <c r="M4008" t="s">
        <v>2998</v>
      </c>
    </row>
    <row r="4009" spans="12:13" x14ac:dyDescent="0.25">
      <c r="L4009" s="64">
        <v>744142</v>
      </c>
      <c r="M4009" t="s">
        <v>2999</v>
      </c>
    </row>
    <row r="4010" spans="12:13" x14ac:dyDescent="0.25">
      <c r="L4010" s="64">
        <v>744150</v>
      </c>
      <c r="M4010" t="s">
        <v>3000</v>
      </c>
    </row>
    <row r="4011" spans="12:13" x14ac:dyDescent="0.25">
      <c r="L4011" s="64">
        <v>744151</v>
      </c>
      <c r="M4011" t="s">
        <v>3000</v>
      </c>
    </row>
    <row r="4012" spans="12:13" x14ac:dyDescent="0.25">
      <c r="L4012" s="64">
        <v>744160</v>
      </c>
      <c r="M4012" t="s">
        <v>3001</v>
      </c>
    </row>
    <row r="4013" spans="12:13" x14ac:dyDescent="0.25">
      <c r="L4013" s="64">
        <v>744161</v>
      </c>
      <c r="M4013" t="s">
        <v>3002</v>
      </c>
    </row>
    <row r="4014" spans="12:13" x14ac:dyDescent="0.25">
      <c r="L4014" s="64">
        <v>744162</v>
      </c>
      <c r="M4014" t="s">
        <v>3003</v>
      </c>
    </row>
    <row r="4015" spans="12:13" x14ac:dyDescent="0.25">
      <c r="L4015" s="64">
        <v>744165</v>
      </c>
      <c r="M4015" t="s">
        <v>3004</v>
      </c>
    </row>
    <row r="4016" spans="12:13" x14ac:dyDescent="0.25">
      <c r="L4016" s="64">
        <v>744200</v>
      </c>
      <c r="M4016" t="s">
        <v>3005</v>
      </c>
    </row>
    <row r="4017" spans="12:13" x14ac:dyDescent="0.25">
      <c r="L4017" s="64">
        <v>744220</v>
      </c>
      <c r="M4017" t="s">
        <v>3006</v>
      </c>
    </row>
    <row r="4018" spans="12:13" x14ac:dyDescent="0.25">
      <c r="L4018" s="64">
        <v>744221</v>
      </c>
      <c r="M4018" t="s">
        <v>3006</v>
      </c>
    </row>
    <row r="4019" spans="12:13" x14ac:dyDescent="0.25">
      <c r="L4019" s="64">
        <v>744230</v>
      </c>
      <c r="M4019" t="s">
        <v>3007</v>
      </c>
    </row>
    <row r="4020" spans="12:13" x14ac:dyDescent="0.25">
      <c r="L4020" s="64">
        <v>744231</v>
      </c>
      <c r="M4020" t="s">
        <v>3008</v>
      </c>
    </row>
    <row r="4021" spans="12:13" x14ac:dyDescent="0.25">
      <c r="L4021" s="64">
        <v>744232</v>
      </c>
      <c r="M4021" t="s">
        <v>3009</v>
      </c>
    </row>
    <row r="4022" spans="12:13" x14ac:dyDescent="0.25">
      <c r="L4022" s="64">
        <v>744240</v>
      </c>
      <c r="M4022" t="s">
        <v>3010</v>
      </c>
    </row>
    <row r="4023" spans="12:13" x14ac:dyDescent="0.25">
      <c r="L4023" s="64">
        <v>744241</v>
      </c>
      <c r="M4023" t="s">
        <v>3010</v>
      </c>
    </row>
    <row r="4024" spans="12:13" x14ac:dyDescent="0.25">
      <c r="L4024" s="64">
        <v>744250</v>
      </c>
      <c r="M4024" t="s">
        <v>3012</v>
      </c>
    </row>
    <row r="4025" spans="12:13" x14ac:dyDescent="0.25">
      <c r="L4025" s="64">
        <v>744251</v>
      </c>
      <c r="M4025" t="s">
        <v>3012</v>
      </c>
    </row>
    <row r="4026" spans="12:13" x14ac:dyDescent="0.25">
      <c r="L4026" s="64">
        <v>744260</v>
      </c>
      <c r="M4026" t="s">
        <v>3013</v>
      </c>
    </row>
    <row r="4027" spans="12:13" x14ac:dyDescent="0.25">
      <c r="L4027" s="64">
        <v>744261</v>
      </c>
      <c r="M4027" t="s">
        <v>3014</v>
      </c>
    </row>
    <row r="4028" spans="12:13" x14ac:dyDescent="0.25">
      <c r="L4028" s="64">
        <v>744262</v>
      </c>
      <c r="M4028" t="s">
        <v>3015</v>
      </c>
    </row>
    <row r="4029" spans="12:13" x14ac:dyDescent="0.25">
      <c r="L4029" s="64">
        <v>744265</v>
      </c>
      <c r="M4029" t="s">
        <v>3016</v>
      </c>
    </row>
    <row r="4030" spans="12:13" x14ac:dyDescent="0.25">
      <c r="L4030" s="64">
        <v>745000</v>
      </c>
      <c r="M4030" t="s">
        <v>3018</v>
      </c>
    </row>
    <row r="4031" spans="12:13" x14ac:dyDescent="0.25">
      <c r="L4031" s="64">
        <v>745100</v>
      </c>
      <c r="M4031" t="s">
        <v>3018</v>
      </c>
    </row>
    <row r="4032" spans="12:13" x14ac:dyDescent="0.25">
      <c r="L4032" s="64">
        <v>745120</v>
      </c>
      <c r="M4032" t="s">
        <v>3019</v>
      </c>
    </row>
    <row r="4033" spans="12:13" x14ac:dyDescent="0.25">
      <c r="L4033" s="64">
        <v>745121</v>
      </c>
      <c r="M4033" t="s">
        <v>3020</v>
      </c>
    </row>
    <row r="4034" spans="12:13" x14ac:dyDescent="0.25">
      <c r="L4034" s="64">
        <v>745122</v>
      </c>
      <c r="M4034" t="s">
        <v>3021</v>
      </c>
    </row>
    <row r="4035" spans="12:13" x14ac:dyDescent="0.25">
      <c r="L4035" s="64">
        <v>745123</v>
      </c>
      <c r="M4035" t="s">
        <v>3022</v>
      </c>
    </row>
    <row r="4036" spans="12:13" x14ac:dyDescent="0.25">
      <c r="L4036" s="64">
        <v>745124</v>
      </c>
      <c r="M4036" t="s">
        <v>3023</v>
      </c>
    </row>
    <row r="4037" spans="12:13" x14ac:dyDescent="0.25">
      <c r="L4037" s="64">
        <v>745125</v>
      </c>
      <c r="M4037" t="s">
        <v>3024</v>
      </c>
    </row>
    <row r="4038" spans="12:13" x14ac:dyDescent="0.25">
      <c r="L4038" s="64">
        <v>745126</v>
      </c>
      <c r="M4038" t="s">
        <v>3025</v>
      </c>
    </row>
    <row r="4039" spans="12:13" x14ac:dyDescent="0.25">
      <c r="L4039" s="64">
        <v>745127</v>
      </c>
      <c r="M4039" t="s">
        <v>3026</v>
      </c>
    </row>
    <row r="4040" spans="12:13" x14ac:dyDescent="0.25">
      <c r="L4040" s="64">
        <v>745128</v>
      </c>
      <c r="M4040" t="s">
        <v>3027</v>
      </c>
    </row>
    <row r="4041" spans="12:13" x14ac:dyDescent="0.25">
      <c r="L4041" s="64">
        <v>745130</v>
      </c>
      <c r="M4041" t="s">
        <v>3028</v>
      </c>
    </row>
    <row r="4042" spans="12:13" x14ac:dyDescent="0.25">
      <c r="L4042" s="64">
        <v>745131</v>
      </c>
      <c r="M4042" t="s">
        <v>3029</v>
      </c>
    </row>
    <row r="4043" spans="12:13" x14ac:dyDescent="0.25">
      <c r="L4043" s="64">
        <v>745132</v>
      </c>
      <c r="M4043" t="s">
        <v>3030</v>
      </c>
    </row>
    <row r="4044" spans="12:13" x14ac:dyDescent="0.25">
      <c r="L4044" s="64">
        <v>745133</v>
      </c>
      <c r="M4044" t="s">
        <v>3031</v>
      </c>
    </row>
    <row r="4045" spans="12:13" x14ac:dyDescent="0.25">
      <c r="L4045" s="64">
        <v>745134</v>
      </c>
      <c r="M4045" t="s">
        <v>3032</v>
      </c>
    </row>
    <row r="4046" spans="12:13" x14ac:dyDescent="0.25">
      <c r="L4046" s="64">
        <v>745135</v>
      </c>
      <c r="M4046" t="s">
        <v>3033</v>
      </c>
    </row>
    <row r="4047" spans="12:13" x14ac:dyDescent="0.25">
      <c r="L4047" s="64">
        <v>745136</v>
      </c>
      <c r="M4047" t="s">
        <v>3034</v>
      </c>
    </row>
    <row r="4048" spans="12:13" x14ac:dyDescent="0.25">
      <c r="L4048" s="64">
        <v>745137</v>
      </c>
      <c r="M4048" t="s">
        <v>3035</v>
      </c>
    </row>
    <row r="4049" spans="12:13" x14ac:dyDescent="0.25">
      <c r="L4049" s="64">
        <v>745138</v>
      </c>
      <c r="M4049" t="s">
        <v>3036</v>
      </c>
    </row>
    <row r="4050" spans="12:13" x14ac:dyDescent="0.25">
      <c r="L4050" s="64">
        <v>745139</v>
      </c>
      <c r="M4050" t="s">
        <v>3037</v>
      </c>
    </row>
    <row r="4051" spans="12:13" x14ac:dyDescent="0.25">
      <c r="L4051" s="64">
        <v>745140</v>
      </c>
      <c r="M4051" t="s">
        <v>3038</v>
      </c>
    </row>
    <row r="4052" spans="12:13" x14ac:dyDescent="0.25">
      <c r="L4052" s="64">
        <v>745141</v>
      </c>
      <c r="M4052" t="s">
        <v>3040</v>
      </c>
    </row>
    <row r="4053" spans="12:13" x14ac:dyDescent="0.25">
      <c r="L4053" s="64">
        <v>745142</v>
      </c>
      <c r="M4053" t="s">
        <v>3042</v>
      </c>
    </row>
    <row r="4054" spans="12:13" x14ac:dyDescent="0.25">
      <c r="L4054" s="64">
        <v>745143</v>
      </c>
      <c r="M4054" t="s">
        <v>3043</v>
      </c>
    </row>
    <row r="4055" spans="12:13" x14ac:dyDescent="0.25">
      <c r="L4055" s="64">
        <v>745144</v>
      </c>
      <c r="M4055" t="s">
        <v>3044</v>
      </c>
    </row>
    <row r="4056" spans="12:13" x14ac:dyDescent="0.25">
      <c r="L4056" s="64">
        <v>745145</v>
      </c>
      <c r="M4056" t="s">
        <v>3045</v>
      </c>
    </row>
    <row r="4057" spans="12:13" x14ac:dyDescent="0.25">
      <c r="L4057" s="64">
        <v>745150</v>
      </c>
      <c r="M4057" t="s">
        <v>3046</v>
      </c>
    </row>
    <row r="4058" spans="12:13" x14ac:dyDescent="0.25">
      <c r="L4058" s="64">
        <v>745151</v>
      </c>
      <c r="M4058" t="s">
        <v>3047</v>
      </c>
    </row>
    <row r="4059" spans="12:13" x14ac:dyDescent="0.25">
      <c r="L4059" s="64">
        <v>745152</v>
      </c>
      <c r="M4059" t="s">
        <v>3048</v>
      </c>
    </row>
    <row r="4060" spans="12:13" x14ac:dyDescent="0.25">
      <c r="L4060" s="64">
        <v>745153</v>
      </c>
      <c r="M4060" t="s">
        <v>3049</v>
      </c>
    </row>
    <row r="4061" spans="12:13" x14ac:dyDescent="0.25">
      <c r="L4061" s="64">
        <v>745154</v>
      </c>
      <c r="M4061" t="s">
        <v>3050</v>
      </c>
    </row>
    <row r="4062" spans="12:13" x14ac:dyDescent="0.25">
      <c r="L4062" s="64">
        <v>745155</v>
      </c>
      <c r="M4062" t="s">
        <v>3045</v>
      </c>
    </row>
    <row r="4063" spans="12:13" x14ac:dyDescent="0.25">
      <c r="L4063" s="64">
        <v>745160</v>
      </c>
      <c r="M4063" t="s">
        <v>3051</v>
      </c>
    </row>
    <row r="4064" spans="12:13" x14ac:dyDescent="0.25">
      <c r="L4064" s="64">
        <v>745161</v>
      </c>
      <c r="M4064" t="s">
        <v>3052</v>
      </c>
    </row>
    <row r="4065" spans="12:13" x14ac:dyDescent="0.25">
      <c r="L4065" s="64">
        <v>745162</v>
      </c>
      <c r="M4065" t="s">
        <v>3053</v>
      </c>
    </row>
    <row r="4066" spans="12:13" x14ac:dyDescent="0.25">
      <c r="L4066" s="64">
        <v>745165</v>
      </c>
      <c r="M4066" t="s">
        <v>3054</v>
      </c>
    </row>
    <row r="4067" spans="12:13" x14ac:dyDescent="0.25">
      <c r="L4067" s="64">
        <v>745166</v>
      </c>
      <c r="M4067" t="s">
        <v>3055</v>
      </c>
    </row>
    <row r="4068" spans="12:13" x14ac:dyDescent="0.25">
      <c r="L4068" s="64">
        <v>770000</v>
      </c>
      <c r="M4068" t="s">
        <v>3057</v>
      </c>
    </row>
    <row r="4069" spans="12:13" x14ac:dyDescent="0.25">
      <c r="L4069" s="64">
        <v>771000</v>
      </c>
      <c r="M4069" t="s">
        <v>3057</v>
      </c>
    </row>
    <row r="4070" spans="12:13" x14ac:dyDescent="0.25">
      <c r="L4070" s="64">
        <v>771100</v>
      </c>
      <c r="M4070" t="s">
        <v>3057</v>
      </c>
    </row>
    <row r="4071" spans="12:13" x14ac:dyDescent="0.25">
      <c r="L4071" s="64">
        <v>771110</v>
      </c>
      <c r="M4071" t="s">
        <v>3057</v>
      </c>
    </row>
    <row r="4072" spans="12:13" x14ac:dyDescent="0.25">
      <c r="L4072" s="64">
        <v>771111</v>
      </c>
      <c r="M4072" t="s">
        <v>3057</v>
      </c>
    </row>
    <row r="4073" spans="12:13" x14ac:dyDescent="0.25">
      <c r="L4073" s="64">
        <v>772000</v>
      </c>
      <c r="M4073" t="s">
        <v>3058</v>
      </c>
    </row>
    <row r="4074" spans="12:13" x14ac:dyDescent="0.25">
      <c r="L4074" s="64">
        <v>772100</v>
      </c>
      <c r="M4074" t="s">
        <v>3058</v>
      </c>
    </row>
    <row r="4075" spans="12:13" x14ac:dyDescent="0.25">
      <c r="L4075" s="64">
        <v>772110</v>
      </c>
      <c r="M4075" t="s">
        <v>3058</v>
      </c>
    </row>
    <row r="4076" spans="12:13" x14ac:dyDescent="0.25">
      <c r="L4076" s="64">
        <v>772111</v>
      </c>
      <c r="M4076" t="s">
        <v>3059</v>
      </c>
    </row>
    <row r="4077" spans="12:13" x14ac:dyDescent="0.25">
      <c r="L4077" s="64">
        <v>772112</v>
      </c>
      <c r="M4077" t="s">
        <v>3060</v>
      </c>
    </row>
    <row r="4078" spans="12:13" x14ac:dyDescent="0.25">
      <c r="L4078" s="64">
        <v>772113</v>
      </c>
      <c r="M4078" t="s">
        <v>3061</v>
      </c>
    </row>
    <row r="4079" spans="12:13" x14ac:dyDescent="0.25">
      <c r="L4079" s="64">
        <v>772114</v>
      </c>
      <c r="M4079" t="s">
        <v>3062</v>
      </c>
    </row>
    <row r="4080" spans="12:13" x14ac:dyDescent="0.25">
      <c r="L4080" s="64">
        <v>780000</v>
      </c>
      <c r="M4080" t="s">
        <v>3063</v>
      </c>
    </row>
    <row r="4081" spans="12:13" x14ac:dyDescent="0.25">
      <c r="L4081" s="64">
        <v>781000</v>
      </c>
      <c r="M4081" t="s">
        <v>3063</v>
      </c>
    </row>
    <row r="4082" spans="12:13" x14ac:dyDescent="0.25">
      <c r="L4082" s="64">
        <v>781100</v>
      </c>
      <c r="M4082" t="s">
        <v>3063</v>
      </c>
    </row>
    <row r="4083" spans="12:13" x14ac:dyDescent="0.25">
      <c r="L4083" s="64">
        <v>781110</v>
      </c>
      <c r="M4083" t="s">
        <v>3063</v>
      </c>
    </row>
    <row r="4084" spans="12:13" x14ac:dyDescent="0.25">
      <c r="L4084" s="64">
        <v>781111</v>
      </c>
      <c r="M4084" t="s">
        <v>3063</v>
      </c>
    </row>
    <row r="4085" spans="12:13" x14ac:dyDescent="0.25">
      <c r="L4085" s="64">
        <v>781112</v>
      </c>
      <c r="M4085" t="s">
        <v>3064</v>
      </c>
    </row>
    <row r="4086" spans="12:13" x14ac:dyDescent="0.25">
      <c r="L4086" s="64">
        <v>781300</v>
      </c>
      <c r="M4086" t="s">
        <v>3065</v>
      </c>
    </row>
    <row r="4087" spans="12:13" x14ac:dyDescent="0.25">
      <c r="L4087" s="64">
        <v>781310</v>
      </c>
      <c r="M4087" t="s">
        <v>3066</v>
      </c>
    </row>
    <row r="4088" spans="12:13" x14ac:dyDescent="0.25">
      <c r="L4088" s="64">
        <v>781311</v>
      </c>
      <c r="M4088" t="s">
        <v>3067</v>
      </c>
    </row>
    <row r="4089" spans="12:13" x14ac:dyDescent="0.25">
      <c r="L4089" s="64">
        <v>781312</v>
      </c>
      <c r="M4089" t="s">
        <v>3068</v>
      </c>
    </row>
    <row r="4090" spans="12:13" x14ac:dyDescent="0.25">
      <c r="L4090" s="64">
        <v>781313</v>
      </c>
      <c r="M4090" t="s">
        <v>3069</v>
      </c>
    </row>
    <row r="4091" spans="12:13" x14ac:dyDescent="0.25">
      <c r="L4091" s="64">
        <v>781314</v>
      </c>
      <c r="M4091" t="s">
        <v>3070</v>
      </c>
    </row>
    <row r="4092" spans="12:13" x14ac:dyDescent="0.25">
      <c r="L4092" s="64">
        <v>781315</v>
      </c>
      <c r="M4092" t="s">
        <v>3071</v>
      </c>
    </row>
    <row r="4093" spans="12:13" x14ac:dyDescent="0.25">
      <c r="L4093" s="64">
        <v>781316</v>
      </c>
      <c r="M4093" t="s">
        <v>3072</v>
      </c>
    </row>
    <row r="4094" spans="12:13" x14ac:dyDescent="0.25">
      <c r="L4094" s="64">
        <v>781317</v>
      </c>
      <c r="M4094" t="s">
        <v>3073</v>
      </c>
    </row>
    <row r="4095" spans="12:13" x14ac:dyDescent="0.25">
      <c r="L4095" s="64">
        <v>781318</v>
      </c>
      <c r="M4095" t="s">
        <v>3074</v>
      </c>
    </row>
    <row r="4096" spans="12:13" x14ac:dyDescent="0.25">
      <c r="L4096" s="64">
        <v>781320</v>
      </c>
      <c r="M4096" t="s">
        <v>3075</v>
      </c>
    </row>
    <row r="4097" spans="12:13" x14ac:dyDescent="0.25">
      <c r="L4097" s="64">
        <v>781321</v>
      </c>
      <c r="M4097" t="s">
        <v>3076</v>
      </c>
    </row>
    <row r="4098" spans="12:13" x14ac:dyDescent="0.25">
      <c r="L4098" s="64">
        <v>781322</v>
      </c>
      <c r="M4098" t="s">
        <v>3077</v>
      </c>
    </row>
    <row r="4099" spans="12:13" x14ac:dyDescent="0.25">
      <c r="L4099" s="64">
        <v>781323</v>
      </c>
      <c r="M4099" t="s">
        <v>3078</v>
      </c>
    </row>
    <row r="4100" spans="12:13" x14ac:dyDescent="0.25">
      <c r="L4100" s="64">
        <v>781324</v>
      </c>
      <c r="M4100" t="s">
        <v>3079</v>
      </c>
    </row>
    <row r="4101" spans="12:13" x14ac:dyDescent="0.25">
      <c r="L4101" s="64">
        <v>781330</v>
      </c>
      <c r="M4101" t="s">
        <v>3080</v>
      </c>
    </row>
    <row r="4102" spans="12:13" x14ac:dyDescent="0.25">
      <c r="L4102" s="64">
        <v>781331</v>
      </c>
      <c r="M4102" t="s">
        <v>3081</v>
      </c>
    </row>
    <row r="4103" spans="12:13" x14ac:dyDescent="0.25">
      <c r="L4103" s="64">
        <v>781340</v>
      </c>
      <c r="M4103" t="s">
        <v>3082</v>
      </c>
    </row>
    <row r="4104" spans="12:13" x14ac:dyDescent="0.25">
      <c r="L4104" s="64">
        <v>781341</v>
      </c>
      <c r="M4104" t="s">
        <v>3083</v>
      </c>
    </row>
    <row r="4105" spans="12:13" x14ac:dyDescent="0.25">
      <c r="L4105" s="64">
        <v>781342</v>
      </c>
      <c r="M4105" t="s">
        <v>3084</v>
      </c>
    </row>
    <row r="4106" spans="12:13" x14ac:dyDescent="0.25">
      <c r="L4106" s="64">
        <v>781350</v>
      </c>
      <c r="M4106" t="s">
        <v>3085</v>
      </c>
    </row>
    <row r="4107" spans="12:13" x14ac:dyDescent="0.25">
      <c r="L4107" s="64">
        <v>781351</v>
      </c>
      <c r="M4107" t="s">
        <v>3085</v>
      </c>
    </row>
    <row r="4108" spans="12:13" x14ac:dyDescent="0.25">
      <c r="L4108" s="64">
        <v>781352</v>
      </c>
      <c r="M4108" t="s">
        <v>3086</v>
      </c>
    </row>
    <row r="4109" spans="12:13" x14ac:dyDescent="0.25">
      <c r="L4109" s="64">
        <v>790000</v>
      </c>
      <c r="M4109" t="s">
        <v>3088</v>
      </c>
    </row>
    <row r="4110" spans="12:13" x14ac:dyDescent="0.25">
      <c r="L4110" s="64">
        <v>791000</v>
      </c>
      <c r="M4110" t="s">
        <v>3088</v>
      </c>
    </row>
    <row r="4111" spans="12:13" x14ac:dyDescent="0.25">
      <c r="L4111" s="64">
        <v>791100</v>
      </c>
      <c r="M4111" t="s">
        <v>3088</v>
      </c>
    </row>
    <row r="4112" spans="12:13" x14ac:dyDescent="0.25">
      <c r="L4112" s="64">
        <v>791110</v>
      </c>
      <c r="M4112" t="s">
        <v>3088</v>
      </c>
    </row>
    <row r="4113" spans="12:13" x14ac:dyDescent="0.25">
      <c r="L4113" s="64">
        <v>791111</v>
      </c>
      <c r="M4113" t="s">
        <v>3088</v>
      </c>
    </row>
    <row r="4114" spans="12:13" x14ac:dyDescent="0.25">
      <c r="L4114" s="64">
        <v>800000</v>
      </c>
      <c r="M4114" t="s">
        <v>3091</v>
      </c>
    </row>
    <row r="4115" spans="12:13" x14ac:dyDescent="0.25">
      <c r="L4115" s="64">
        <v>810000</v>
      </c>
      <c r="M4115" t="s">
        <v>3092</v>
      </c>
    </row>
    <row r="4116" spans="12:13" x14ac:dyDescent="0.25">
      <c r="L4116" s="64">
        <v>811000</v>
      </c>
      <c r="M4116" t="s">
        <v>3093</v>
      </c>
    </row>
    <row r="4117" spans="12:13" x14ac:dyDescent="0.25">
      <c r="L4117" s="64">
        <v>811100</v>
      </c>
      <c r="M4117" t="s">
        <v>3093</v>
      </c>
    </row>
    <row r="4118" spans="12:13" x14ac:dyDescent="0.25">
      <c r="L4118" s="64">
        <v>811120</v>
      </c>
      <c r="M4118" t="s">
        <v>3094</v>
      </c>
    </row>
    <row r="4119" spans="12:13" x14ac:dyDescent="0.25">
      <c r="L4119" s="64">
        <v>811121</v>
      </c>
      <c r="M4119" t="s">
        <v>3095</v>
      </c>
    </row>
    <row r="4120" spans="12:13" x14ac:dyDescent="0.25">
      <c r="L4120" s="64">
        <v>811122</v>
      </c>
      <c r="M4120" t="s">
        <v>3096</v>
      </c>
    </row>
    <row r="4121" spans="12:13" x14ac:dyDescent="0.25">
      <c r="L4121" s="64">
        <v>811123</v>
      </c>
      <c r="M4121" t="s">
        <v>3097</v>
      </c>
    </row>
    <row r="4122" spans="12:13" x14ac:dyDescent="0.25">
      <c r="L4122" s="64">
        <v>811124</v>
      </c>
      <c r="M4122" t="s">
        <v>3098</v>
      </c>
    </row>
    <row r="4123" spans="12:13" x14ac:dyDescent="0.25">
      <c r="L4123" s="64">
        <v>811125</v>
      </c>
      <c r="M4123" t="s">
        <v>3099</v>
      </c>
    </row>
    <row r="4124" spans="12:13" x14ac:dyDescent="0.25">
      <c r="L4124" s="64">
        <v>811130</v>
      </c>
      <c r="M4124" t="s">
        <v>3100</v>
      </c>
    </row>
    <row r="4125" spans="12:13" x14ac:dyDescent="0.25">
      <c r="L4125" s="64">
        <v>811131</v>
      </c>
      <c r="M4125" t="s">
        <v>3101</v>
      </c>
    </row>
    <row r="4126" spans="12:13" x14ac:dyDescent="0.25">
      <c r="L4126" s="64">
        <v>811132</v>
      </c>
      <c r="M4126" t="s">
        <v>3102</v>
      </c>
    </row>
    <row r="4127" spans="12:13" x14ac:dyDescent="0.25">
      <c r="L4127" s="64">
        <v>811133</v>
      </c>
      <c r="M4127" t="s">
        <v>3103</v>
      </c>
    </row>
    <row r="4128" spans="12:13" x14ac:dyDescent="0.25">
      <c r="L4128" s="64">
        <v>811134</v>
      </c>
      <c r="M4128" t="s">
        <v>3104</v>
      </c>
    </row>
    <row r="4129" spans="12:13" x14ac:dyDescent="0.25">
      <c r="L4129" s="64">
        <v>811135</v>
      </c>
      <c r="M4129" t="s">
        <v>3105</v>
      </c>
    </row>
    <row r="4130" spans="12:13" x14ac:dyDescent="0.25">
      <c r="L4130" s="64">
        <v>811140</v>
      </c>
      <c r="M4130" t="s">
        <v>3106</v>
      </c>
    </row>
    <row r="4131" spans="12:13" x14ac:dyDescent="0.25">
      <c r="L4131" s="64">
        <v>811141</v>
      </c>
      <c r="M4131" t="s">
        <v>3106</v>
      </c>
    </row>
    <row r="4132" spans="12:13" x14ac:dyDescent="0.25">
      <c r="L4132" s="64">
        <v>811142</v>
      </c>
      <c r="M4132" t="s">
        <v>3107</v>
      </c>
    </row>
    <row r="4133" spans="12:13" x14ac:dyDescent="0.25">
      <c r="L4133" s="64">
        <v>811143</v>
      </c>
      <c r="M4133" t="s">
        <v>3108</v>
      </c>
    </row>
    <row r="4134" spans="12:13" x14ac:dyDescent="0.25">
      <c r="L4134" s="64">
        <v>811144</v>
      </c>
      <c r="M4134" t="s">
        <v>3109</v>
      </c>
    </row>
    <row r="4135" spans="12:13" x14ac:dyDescent="0.25">
      <c r="L4135" s="64">
        <v>811150</v>
      </c>
      <c r="M4135" t="s">
        <v>3110</v>
      </c>
    </row>
    <row r="4136" spans="12:13" x14ac:dyDescent="0.25">
      <c r="L4136" s="64">
        <v>811151</v>
      </c>
      <c r="M4136" t="s">
        <v>3110</v>
      </c>
    </row>
    <row r="4137" spans="12:13" x14ac:dyDescent="0.25">
      <c r="L4137" s="64">
        <v>811152</v>
      </c>
      <c r="M4137" t="s">
        <v>3111</v>
      </c>
    </row>
    <row r="4138" spans="12:13" x14ac:dyDescent="0.25">
      <c r="L4138" s="64">
        <v>811153</v>
      </c>
      <c r="M4138" t="s">
        <v>3112</v>
      </c>
    </row>
    <row r="4139" spans="12:13" x14ac:dyDescent="0.25">
      <c r="L4139" s="64">
        <v>811154</v>
      </c>
      <c r="M4139" t="s">
        <v>3113</v>
      </c>
    </row>
    <row r="4140" spans="12:13" x14ac:dyDescent="0.25">
      <c r="L4140" s="64">
        <v>811160</v>
      </c>
      <c r="M4140" t="s">
        <v>3114</v>
      </c>
    </row>
    <row r="4141" spans="12:13" x14ac:dyDescent="0.25">
      <c r="L4141" s="64">
        <v>811161</v>
      </c>
      <c r="M4141" t="s">
        <v>3115</v>
      </c>
    </row>
    <row r="4142" spans="12:13" x14ac:dyDescent="0.25">
      <c r="L4142" s="64">
        <v>811162</v>
      </c>
      <c r="M4142" t="s">
        <v>3116</v>
      </c>
    </row>
    <row r="4143" spans="12:13" x14ac:dyDescent="0.25">
      <c r="L4143" s="64">
        <v>811165</v>
      </c>
      <c r="M4143" t="s">
        <v>3117</v>
      </c>
    </row>
    <row r="4144" spans="12:13" x14ac:dyDescent="0.25">
      <c r="L4144" s="64">
        <v>811170</v>
      </c>
      <c r="M4144" t="s">
        <v>3118</v>
      </c>
    </row>
    <row r="4145" spans="12:13" x14ac:dyDescent="0.25">
      <c r="L4145" s="64">
        <v>811171</v>
      </c>
      <c r="M4145" t="s">
        <v>3119</v>
      </c>
    </row>
    <row r="4146" spans="12:13" x14ac:dyDescent="0.25">
      <c r="L4146" s="64">
        <v>811172</v>
      </c>
      <c r="M4146" t="s">
        <v>3120</v>
      </c>
    </row>
    <row r="4147" spans="12:13" x14ac:dyDescent="0.25">
      <c r="L4147" s="64">
        <v>812000</v>
      </c>
      <c r="M4147" t="s">
        <v>3121</v>
      </c>
    </row>
    <row r="4148" spans="12:13" x14ac:dyDescent="0.25">
      <c r="L4148" s="64">
        <v>812100</v>
      </c>
      <c r="M4148" t="s">
        <v>3121</v>
      </c>
    </row>
    <row r="4149" spans="12:13" x14ac:dyDescent="0.25">
      <c r="L4149" s="64">
        <v>812120</v>
      </c>
      <c r="M4149" t="s">
        <v>3122</v>
      </c>
    </row>
    <row r="4150" spans="12:13" x14ac:dyDescent="0.25">
      <c r="L4150" s="64">
        <v>812121</v>
      </c>
      <c r="M4150" t="s">
        <v>3122</v>
      </c>
    </row>
    <row r="4151" spans="12:13" x14ac:dyDescent="0.25">
      <c r="L4151" s="64">
        <v>812130</v>
      </c>
      <c r="M4151" t="s">
        <v>3123</v>
      </c>
    </row>
    <row r="4152" spans="12:13" x14ac:dyDescent="0.25">
      <c r="L4152" s="64">
        <v>812131</v>
      </c>
      <c r="M4152" t="s">
        <v>3124</v>
      </c>
    </row>
    <row r="4153" spans="12:13" x14ac:dyDescent="0.25">
      <c r="L4153" s="64">
        <v>812132</v>
      </c>
      <c r="M4153" t="s">
        <v>3125</v>
      </c>
    </row>
    <row r="4154" spans="12:13" x14ac:dyDescent="0.25">
      <c r="L4154" s="64">
        <v>812140</v>
      </c>
      <c r="M4154" t="s">
        <v>3126</v>
      </c>
    </row>
    <row r="4155" spans="12:13" x14ac:dyDescent="0.25">
      <c r="L4155" s="64">
        <v>812141</v>
      </c>
      <c r="M4155" t="s">
        <v>3126</v>
      </c>
    </row>
    <row r="4156" spans="12:13" x14ac:dyDescent="0.25">
      <c r="L4156" s="64">
        <v>812150</v>
      </c>
      <c r="M4156" t="s">
        <v>3127</v>
      </c>
    </row>
    <row r="4157" spans="12:13" x14ac:dyDescent="0.25">
      <c r="L4157" s="64">
        <v>812151</v>
      </c>
      <c r="M4157" t="s">
        <v>3127</v>
      </c>
    </row>
    <row r="4158" spans="12:13" x14ac:dyDescent="0.25">
      <c r="L4158" s="64">
        <v>812160</v>
      </c>
      <c r="M4158" t="s">
        <v>3128</v>
      </c>
    </row>
    <row r="4159" spans="12:13" x14ac:dyDescent="0.25">
      <c r="L4159" s="64">
        <v>812161</v>
      </c>
      <c r="M4159" t="s">
        <v>3129</v>
      </c>
    </row>
    <row r="4160" spans="12:13" x14ac:dyDescent="0.25">
      <c r="L4160" s="64">
        <v>812162</v>
      </c>
      <c r="M4160" t="s">
        <v>3130</v>
      </c>
    </row>
    <row r="4161" spans="12:13" x14ac:dyDescent="0.25">
      <c r="L4161" s="64">
        <v>812165</v>
      </c>
      <c r="M4161" t="s">
        <v>3131</v>
      </c>
    </row>
    <row r="4162" spans="12:13" x14ac:dyDescent="0.25">
      <c r="L4162" s="64">
        <v>813000</v>
      </c>
      <c r="M4162" t="s">
        <v>3132</v>
      </c>
    </row>
    <row r="4163" spans="12:13" x14ac:dyDescent="0.25">
      <c r="L4163" s="64">
        <v>813100</v>
      </c>
      <c r="M4163" t="s">
        <v>3132</v>
      </c>
    </row>
    <row r="4164" spans="12:13" x14ac:dyDescent="0.25">
      <c r="L4164" s="64">
        <v>813120</v>
      </c>
      <c r="M4164" t="s">
        <v>3133</v>
      </c>
    </row>
    <row r="4165" spans="12:13" x14ac:dyDescent="0.25">
      <c r="L4165" s="64">
        <v>813121</v>
      </c>
      <c r="M4165" t="s">
        <v>3133</v>
      </c>
    </row>
    <row r="4166" spans="12:13" x14ac:dyDescent="0.25">
      <c r="L4166" s="64">
        <v>813130</v>
      </c>
      <c r="M4166" t="s">
        <v>3134</v>
      </c>
    </row>
    <row r="4167" spans="12:13" x14ac:dyDescent="0.25">
      <c r="L4167" s="64">
        <v>813131</v>
      </c>
      <c r="M4167" t="s">
        <v>3135</v>
      </c>
    </row>
    <row r="4168" spans="12:13" x14ac:dyDescent="0.25">
      <c r="L4168" s="64">
        <v>813132</v>
      </c>
      <c r="M4168" t="s">
        <v>3136</v>
      </c>
    </row>
    <row r="4169" spans="12:13" x14ac:dyDescent="0.25">
      <c r="L4169" s="64">
        <v>813140</v>
      </c>
      <c r="M4169" t="s">
        <v>3137</v>
      </c>
    </row>
    <row r="4170" spans="12:13" x14ac:dyDescent="0.25">
      <c r="L4170" s="64">
        <v>813141</v>
      </c>
      <c r="M4170" t="s">
        <v>3137</v>
      </c>
    </row>
    <row r="4171" spans="12:13" x14ac:dyDescent="0.25">
      <c r="L4171" s="64">
        <v>813150</v>
      </c>
      <c r="M4171" t="s">
        <v>3138</v>
      </c>
    </row>
    <row r="4172" spans="12:13" x14ac:dyDescent="0.25">
      <c r="L4172" s="64">
        <v>813151</v>
      </c>
      <c r="M4172" t="s">
        <v>3138</v>
      </c>
    </row>
    <row r="4173" spans="12:13" x14ac:dyDescent="0.25">
      <c r="L4173" s="64">
        <v>813160</v>
      </c>
      <c r="M4173" t="s">
        <v>3139</v>
      </c>
    </row>
    <row r="4174" spans="12:13" x14ac:dyDescent="0.25">
      <c r="L4174" s="64">
        <v>813161</v>
      </c>
      <c r="M4174" t="s">
        <v>3140</v>
      </c>
    </row>
    <row r="4175" spans="12:13" x14ac:dyDescent="0.25">
      <c r="L4175" s="64">
        <v>813162</v>
      </c>
      <c r="M4175" t="s">
        <v>3141</v>
      </c>
    </row>
    <row r="4176" spans="12:13" x14ac:dyDescent="0.25">
      <c r="L4176" s="64">
        <v>813165</v>
      </c>
      <c r="M4176" t="s">
        <v>3142</v>
      </c>
    </row>
    <row r="4177" spans="12:13" x14ac:dyDescent="0.25">
      <c r="L4177" s="64">
        <v>820000</v>
      </c>
      <c r="M4177" t="s">
        <v>3143</v>
      </c>
    </row>
    <row r="4178" spans="12:13" x14ac:dyDescent="0.25">
      <c r="L4178" s="64">
        <v>821000</v>
      </c>
      <c r="M4178" t="s">
        <v>3144</v>
      </c>
    </row>
    <row r="4179" spans="12:13" x14ac:dyDescent="0.25">
      <c r="L4179" s="64">
        <v>821100</v>
      </c>
      <c r="M4179" t="s">
        <v>3144</v>
      </c>
    </row>
    <row r="4180" spans="12:13" x14ac:dyDescent="0.25">
      <c r="L4180" s="64">
        <v>821120</v>
      </c>
      <c r="M4180" t="s">
        <v>3145</v>
      </c>
    </row>
    <row r="4181" spans="12:13" x14ac:dyDescent="0.25">
      <c r="L4181" s="64">
        <v>821121</v>
      </c>
      <c r="M4181" t="s">
        <v>3145</v>
      </c>
    </row>
    <row r="4182" spans="12:13" x14ac:dyDescent="0.25">
      <c r="L4182" s="64">
        <v>821130</v>
      </c>
      <c r="M4182" t="s">
        <v>3146</v>
      </c>
    </row>
    <row r="4183" spans="12:13" x14ac:dyDescent="0.25">
      <c r="L4183" s="64">
        <v>821131</v>
      </c>
      <c r="M4183" t="s">
        <v>3147</v>
      </c>
    </row>
    <row r="4184" spans="12:13" x14ac:dyDescent="0.25">
      <c r="L4184" s="64">
        <v>821132</v>
      </c>
      <c r="M4184" t="s">
        <v>3148</v>
      </c>
    </row>
    <row r="4185" spans="12:13" x14ac:dyDescent="0.25">
      <c r="L4185" s="64">
        <v>821140</v>
      </c>
      <c r="M4185" t="s">
        <v>3149</v>
      </c>
    </row>
    <row r="4186" spans="12:13" x14ac:dyDescent="0.25">
      <c r="L4186" s="64">
        <v>821141</v>
      </c>
      <c r="M4186" t="s">
        <v>3149</v>
      </c>
    </row>
    <row r="4187" spans="12:13" x14ac:dyDescent="0.25">
      <c r="L4187" s="64">
        <v>821150</v>
      </c>
      <c r="M4187" t="s">
        <v>3150</v>
      </c>
    </row>
    <row r="4188" spans="12:13" x14ac:dyDescent="0.25">
      <c r="L4188" s="64">
        <v>821151</v>
      </c>
      <c r="M4188" t="s">
        <v>3150</v>
      </c>
    </row>
    <row r="4189" spans="12:13" x14ac:dyDescent="0.25">
      <c r="L4189" s="64">
        <v>821160</v>
      </c>
      <c r="M4189" t="s">
        <v>3151</v>
      </c>
    </row>
    <row r="4190" spans="12:13" x14ac:dyDescent="0.25">
      <c r="L4190" s="64">
        <v>821161</v>
      </c>
      <c r="M4190" t="s">
        <v>3152</v>
      </c>
    </row>
    <row r="4191" spans="12:13" x14ac:dyDescent="0.25">
      <c r="L4191" s="64">
        <v>821162</v>
      </c>
      <c r="M4191" t="s">
        <v>3153</v>
      </c>
    </row>
    <row r="4192" spans="12:13" x14ac:dyDescent="0.25">
      <c r="L4192" s="64">
        <v>821165</v>
      </c>
      <c r="M4192" t="s">
        <v>3154</v>
      </c>
    </row>
    <row r="4193" spans="12:13" x14ac:dyDescent="0.25">
      <c r="L4193" s="64">
        <v>822000</v>
      </c>
      <c r="M4193" t="s">
        <v>3155</v>
      </c>
    </row>
    <row r="4194" spans="12:13" x14ac:dyDescent="0.25">
      <c r="L4194" s="64">
        <v>822100</v>
      </c>
      <c r="M4194" t="s">
        <v>3155</v>
      </c>
    </row>
    <row r="4195" spans="12:13" x14ac:dyDescent="0.25">
      <c r="L4195" s="64">
        <v>822120</v>
      </c>
      <c r="M4195" t="s">
        <v>3156</v>
      </c>
    </row>
    <row r="4196" spans="12:13" x14ac:dyDescent="0.25">
      <c r="L4196" s="64">
        <v>822121</v>
      </c>
      <c r="M4196" t="s">
        <v>3156</v>
      </c>
    </row>
    <row r="4197" spans="12:13" x14ac:dyDescent="0.25">
      <c r="L4197" s="64">
        <v>822130</v>
      </c>
      <c r="M4197" t="s">
        <v>3157</v>
      </c>
    </row>
    <row r="4198" spans="12:13" x14ac:dyDescent="0.25">
      <c r="L4198" s="64">
        <v>822131</v>
      </c>
      <c r="M4198" t="s">
        <v>3158</v>
      </c>
    </row>
    <row r="4199" spans="12:13" x14ac:dyDescent="0.25">
      <c r="L4199" s="64">
        <v>822132</v>
      </c>
      <c r="M4199" t="s">
        <v>3159</v>
      </c>
    </row>
    <row r="4200" spans="12:13" x14ac:dyDescent="0.25">
      <c r="L4200" s="64">
        <v>822140</v>
      </c>
      <c r="M4200" t="s">
        <v>3160</v>
      </c>
    </row>
    <row r="4201" spans="12:13" x14ac:dyDescent="0.25">
      <c r="L4201" s="64">
        <v>822141</v>
      </c>
      <c r="M4201" t="s">
        <v>3160</v>
      </c>
    </row>
    <row r="4202" spans="12:13" x14ac:dyDescent="0.25">
      <c r="L4202" s="64">
        <v>822150</v>
      </c>
      <c r="M4202" t="s">
        <v>3161</v>
      </c>
    </row>
    <row r="4203" spans="12:13" x14ac:dyDescent="0.25">
      <c r="L4203" s="64">
        <v>822151</v>
      </c>
      <c r="M4203" t="s">
        <v>3161</v>
      </c>
    </row>
    <row r="4204" spans="12:13" x14ac:dyDescent="0.25">
      <c r="L4204" s="64">
        <v>822160</v>
      </c>
      <c r="M4204" t="s">
        <v>3162</v>
      </c>
    </row>
    <row r="4205" spans="12:13" x14ac:dyDescent="0.25">
      <c r="L4205" s="64">
        <v>822161</v>
      </c>
      <c r="M4205" t="s">
        <v>3163</v>
      </c>
    </row>
    <row r="4206" spans="12:13" x14ac:dyDescent="0.25">
      <c r="L4206" s="64">
        <v>822162</v>
      </c>
      <c r="M4206" t="s">
        <v>3164</v>
      </c>
    </row>
    <row r="4207" spans="12:13" x14ac:dyDescent="0.25">
      <c r="L4207" s="64">
        <v>822165</v>
      </c>
      <c r="M4207" t="s">
        <v>3165</v>
      </c>
    </row>
    <row r="4208" spans="12:13" x14ac:dyDescent="0.25">
      <c r="L4208" s="64">
        <v>823000</v>
      </c>
      <c r="M4208" t="s">
        <v>3166</v>
      </c>
    </row>
    <row r="4209" spans="12:13" x14ac:dyDescent="0.25">
      <c r="L4209" s="64">
        <v>823100</v>
      </c>
      <c r="M4209" t="s">
        <v>3166</v>
      </c>
    </row>
    <row r="4210" spans="12:13" x14ac:dyDescent="0.25">
      <c r="L4210" s="64">
        <v>823120</v>
      </c>
      <c r="M4210" t="s">
        <v>3167</v>
      </c>
    </row>
    <row r="4211" spans="12:13" x14ac:dyDescent="0.25">
      <c r="L4211" s="64">
        <v>823121</v>
      </c>
      <c r="M4211" t="s">
        <v>3167</v>
      </c>
    </row>
    <row r="4212" spans="12:13" x14ac:dyDescent="0.25">
      <c r="L4212" s="64">
        <v>823130</v>
      </c>
      <c r="M4212" t="s">
        <v>3168</v>
      </c>
    </row>
    <row r="4213" spans="12:13" x14ac:dyDescent="0.25">
      <c r="L4213" s="64">
        <v>823131</v>
      </c>
      <c r="M4213" t="s">
        <v>3169</v>
      </c>
    </row>
    <row r="4214" spans="12:13" x14ac:dyDescent="0.25">
      <c r="L4214" s="64">
        <v>823132</v>
      </c>
      <c r="M4214" t="s">
        <v>3170</v>
      </c>
    </row>
    <row r="4215" spans="12:13" x14ac:dyDescent="0.25">
      <c r="L4215" s="64">
        <v>823140</v>
      </c>
      <c r="M4215" t="s">
        <v>3171</v>
      </c>
    </row>
    <row r="4216" spans="12:13" x14ac:dyDescent="0.25">
      <c r="L4216" s="64">
        <v>823141</v>
      </c>
      <c r="M4216" t="s">
        <v>3171</v>
      </c>
    </row>
    <row r="4217" spans="12:13" x14ac:dyDescent="0.25">
      <c r="L4217" s="64">
        <v>823150</v>
      </c>
      <c r="M4217" t="s">
        <v>3172</v>
      </c>
    </row>
    <row r="4218" spans="12:13" x14ac:dyDescent="0.25">
      <c r="L4218" s="64">
        <v>823151</v>
      </c>
      <c r="M4218" t="s">
        <v>3172</v>
      </c>
    </row>
    <row r="4219" spans="12:13" x14ac:dyDescent="0.25">
      <c r="L4219" s="64">
        <v>823160</v>
      </c>
      <c r="M4219" t="s">
        <v>3173</v>
      </c>
    </row>
    <row r="4220" spans="12:13" x14ac:dyDescent="0.25">
      <c r="L4220" s="64">
        <v>823161</v>
      </c>
      <c r="M4220" t="s">
        <v>3174</v>
      </c>
    </row>
    <row r="4221" spans="12:13" x14ac:dyDescent="0.25">
      <c r="L4221" s="64">
        <v>823162</v>
      </c>
      <c r="M4221" t="s">
        <v>3175</v>
      </c>
    </row>
    <row r="4222" spans="12:13" x14ac:dyDescent="0.25">
      <c r="L4222" s="64">
        <v>823165</v>
      </c>
      <c r="M4222" t="s">
        <v>3176</v>
      </c>
    </row>
    <row r="4223" spans="12:13" x14ac:dyDescent="0.25">
      <c r="L4223" s="64">
        <v>830000</v>
      </c>
      <c r="M4223" t="s">
        <v>3177</v>
      </c>
    </row>
    <row r="4224" spans="12:13" x14ac:dyDescent="0.25">
      <c r="L4224" s="64">
        <v>831000</v>
      </c>
      <c r="M4224" t="s">
        <v>3177</v>
      </c>
    </row>
    <row r="4225" spans="12:13" x14ac:dyDescent="0.25">
      <c r="L4225" s="64">
        <v>831100</v>
      </c>
      <c r="M4225" t="s">
        <v>3177</v>
      </c>
    </row>
    <row r="4226" spans="12:13" x14ac:dyDescent="0.25">
      <c r="L4226" s="64">
        <v>831120</v>
      </c>
      <c r="M4226" t="s">
        <v>3178</v>
      </c>
    </row>
    <row r="4227" spans="12:13" x14ac:dyDescent="0.25">
      <c r="L4227" s="64">
        <v>831121</v>
      </c>
      <c r="M4227" t="s">
        <v>3178</v>
      </c>
    </row>
    <row r="4228" spans="12:13" x14ac:dyDescent="0.25">
      <c r="L4228" s="64">
        <v>831130</v>
      </c>
      <c r="M4228" t="s">
        <v>3179</v>
      </c>
    </row>
    <row r="4229" spans="12:13" x14ac:dyDescent="0.25">
      <c r="L4229" s="64">
        <v>831131</v>
      </c>
      <c r="M4229" t="s">
        <v>3180</v>
      </c>
    </row>
    <row r="4230" spans="12:13" x14ac:dyDescent="0.25">
      <c r="L4230" s="64">
        <v>831132</v>
      </c>
      <c r="M4230" t="s">
        <v>3181</v>
      </c>
    </row>
    <row r="4231" spans="12:13" x14ac:dyDescent="0.25">
      <c r="L4231" s="64">
        <v>831140</v>
      </c>
      <c r="M4231" t="s">
        <v>3182</v>
      </c>
    </row>
    <row r="4232" spans="12:13" x14ac:dyDescent="0.25">
      <c r="L4232" s="64">
        <v>831141</v>
      </c>
      <c r="M4232" t="s">
        <v>3182</v>
      </c>
    </row>
    <row r="4233" spans="12:13" x14ac:dyDescent="0.25">
      <c r="L4233" s="64">
        <v>831150</v>
      </c>
      <c r="M4233" t="s">
        <v>3183</v>
      </c>
    </row>
    <row r="4234" spans="12:13" x14ac:dyDescent="0.25">
      <c r="L4234" s="64">
        <v>831151</v>
      </c>
      <c r="M4234" t="s">
        <v>3183</v>
      </c>
    </row>
    <row r="4235" spans="12:13" x14ac:dyDescent="0.25">
      <c r="L4235" s="64">
        <v>831160</v>
      </c>
      <c r="M4235" t="s">
        <v>3184</v>
      </c>
    </row>
    <row r="4236" spans="12:13" x14ac:dyDescent="0.25">
      <c r="L4236" s="64">
        <v>831161</v>
      </c>
      <c r="M4236" t="s">
        <v>3185</v>
      </c>
    </row>
    <row r="4237" spans="12:13" x14ac:dyDescent="0.25">
      <c r="L4237" s="64">
        <v>831162</v>
      </c>
      <c r="M4237" t="s">
        <v>3186</v>
      </c>
    </row>
    <row r="4238" spans="12:13" x14ac:dyDescent="0.25">
      <c r="L4238" s="64">
        <v>831165</v>
      </c>
      <c r="M4238" t="s">
        <v>3187</v>
      </c>
    </row>
    <row r="4239" spans="12:13" x14ac:dyDescent="0.25">
      <c r="L4239" s="64">
        <v>840000</v>
      </c>
      <c r="M4239" t="s">
        <v>3188</v>
      </c>
    </row>
    <row r="4240" spans="12:13" x14ac:dyDescent="0.25">
      <c r="L4240" s="64">
        <v>841000</v>
      </c>
      <c r="M4240" t="s">
        <v>3189</v>
      </c>
    </row>
    <row r="4241" spans="12:13" x14ac:dyDescent="0.25">
      <c r="L4241" s="64">
        <v>841100</v>
      </c>
      <c r="M4241" t="s">
        <v>3189</v>
      </c>
    </row>
    <row r="4242" spans="12:13" x14ac:dyDescent="0.25">
      <c r="L4242" s="64">
        <v>841120</v>
      </c>
      <c r="M4242" t="s">
        <v>3190</v>
      </c>
    </row>
    <row r="4243" spans="12:13" x14ac:dyDescent="0.25">
      <c r="L4243" s="64">
        <v>841121</v>
      </c>
      <c r="M4243" t="s">
        <v>3190</v>
      </c>
    </row>
    <row r="4244" spans="12:13" x14ac:dyDescent="0.25">
      <c r="L4244" s="64">
        <v>841130</v>
      </c>
      <c r="M4244" t="s">
        <v>3191</v>
      </c>
    </row>
    <row r="4245" spans="12:13" x14ac:dyDescent="0.25">
      <c r="L4245" s="64">
        <v>841131</v>
      </c>
      <c r="M4245" t="s">
        <v>3191</v>
      </c>
    </row>
    <row r="4246" spans="12:13" x14ac:dyDescent="0.25">
      <c r="L4246" s="64">
        <v>841140</v>
      </c>
      <c r="M4246" t="s">
        <v>3192</v>
      </c>
    </row>
    <row r="4247" spans="12:13" x14ac:dyDescent="0.25">
      <c r="L4247" s="64">
        <v>841141</v>
      </c>
      <c r="M4247" t="s">
        <v>3192</v>
      </c>
    </row>
    <row r="4248" spans="12:13" x14ac:dyDescent="0.25">
      <c r="L4248" s="64">
        <v>841150</v>
      </c>
      <c r="M4248" t="s">
        <v>3193</v>
      </c>
    </row>
    <row r="4249" spans="12:13" x14ac:dyDescent="0.25">
      <c r="L4249" s="64">
        <v>841151</v>
      </c>
      <c r="M4249" t="s">
        <v>3193</v>
      </c>
    </row>
    <row r="4250" spans="12:13" x14ac:dyDescent="0.25">
      <c r="L4250" s="64">
        <v>841160</v>
      </c>
      <c r="M4250" t="s">
        <v>3194</v>
      </c>
    </row>
    <row r="4251" spans="12:13" x14ac:dyDescent="0.25">
      <c r="L4251" s="64">
        <v>841161</v>
      </c>
      <c r="M4251" t="s">
        <v>3195</v>
      </c>
    </row>
    <row r="4252" spans="12:13" x14ac:dyDescent="0.25">
      <c r="L4252" s="64">
        <v>841162</v>
      </c>
      <c r="M4252" t="s">
        <v>3196</v>
      </c>
    </row>
    <row r="4253" spans="12:13" x14ac:dyDescent="0.25">
      <c r="L4253" s="64">
        <v>841165</v>
      </c>
      <c r="M4253" t="s">
        <v>3197</v>
      </c>
    </row>
    <row r="4254" spans="12:13" x14ac:dyDescent="0.25">
      <c r="L4254" s="64">
        <v>842000</v>
      </c>
      <c r="M4254" t="s">
        <v>3198</v>
      </c>
    </row>
    <row r="4255" spans="12:13" x14ac:dyDescent="0.25">
      <c r="L4255" s="64">
        <v>842100</v>
      </c>
      <c r="M4255" t="s">
        <v>3198</v>
      </c>
    </row>
    <row r="4256" spans="12:13" x14ac:dyDescent="0.25">
      <c r="L4256" s="64">
        <v>842120</v>
      </c>
      <c r="M4256" t="s">
        <v>3199</v>
      </c>
    </row>
    <row r="4257" spans="12:13" x14ac:dyDescent="0.25">
      <c r="L4257" s="64">
        <v>842121</v>
      </c>
      <c r="M4257" t="s">
        <v>3199</v>
      </c>
    </row>
    <row r="4258" spans="12:13" x14ac:dyDescent="0.25">
      <c r="L4258" s="64">
        <v>842130</v>
      </c>
      <c r="M4258" t="s">
        <v>3200</v>
      </c>
    </row>
    <row r="4259" spans="12:13" x14ac:dyDescent="0.25">
      <c r="L4259" s="64">
        <v>842131</v>
      </c>
      <c r="M4259" t="s">
        <v>3200</v>
      </c>
    </row>
    <row r="4260" spans="12:13" x14ac:dyDescent="0.25">
      <c r="L4260" s="64">
        <v>842140</v>
      </c>
      <c r="M4260" t="s">
        <v>3201</v>
      </c>
    </row>
    <row r="4261" spans="12:13" x14ac:dyDescent="0.25">
      <c r="L4261" s="64">
        <v>842141</v>
      </c>
      <c r="M4261" t="s">
        <v>3201</v>
      </c>
    </row>
    <row r="4262" spans="12:13" x14ac:dyDescent="0.25">
      <c r="L4262" s="64">
        <v>842150</v>
      </c>
      <c r="M4262" t="s">
        <v>3202</v>
      </c>
    </row>
    <row r="4263" spans="12:13" x14ac:dyDescent="0.25">
      <c r="L4263" s="64">
        <v>842151</v>
      </c>
      <c r="M4263" t="s">
        <v>3202</v>
      </c>
    </row>
    <row r="4264" spans="12:13" x14ac:dyDescent="0.25">
      <c r="L4264" s="64">
        <v>842160</v>
      </c>
      <c r="M4264" t="s">
        <v>3203</v>
      </c>
    </row>
    <row r="4265" spans="12:13" x14ac:dyDescent="0.25">
      <c r="L4265" s="64">
        <v>842161</v>
      </c>
      <c r="M4265" t="s">
        <v>3204</v>
      </c>
    </row>
    <row r="4266" spans="12:13" x14ac:dyDescent="0.25">
      <c r="L4266" s="64">
        <v>842162</v>
      </c>
      <c r="M4266" t="s">
        <v>3205</v>
      </c>
    </row>
    <row r="4267" spans="12:13" x14ac:dyDescent="0.25">
      <c r="L4267" s="64">
        <v>842165</v>
      </c>
      <c r="M4267" t="s">
        <v>3206</v>
      </c>
    </row>
    <row r="4268" spans="12:13" x14ac:dyDescent="0.25">
      <c r="L4268" s="64">
        <v>843000</v>
      </c>
      <c r="M4268" t="s">
        <v>3207</v>
      </c>
    </row>
    <row r="4269" spans="12:13" x14ac:dyDescent="0.25">
      <c r="L4269" s="64">
        <v>843100</v>
      </c>
      <c r="M4269" t="s">
        <v>3207</v>
      </c>
    </row>
    <row r="4270" spans="12:13" x14ac:dyDescent="0.25">
      <c r="L4270" s="64">
        <v>843120</v>
      </c>
      <c r="M4270" t="s">
        <v>3208</v>
      </c>
    </row>
    <row r="4271" spans="12:13" x14ac:dyDescent="0.25">
      <c r="L4271" s="64">
        <v>843121</v>
      </c>
      <c r="M4271" t="s">
        <v>3208</v>
      </c>
    </row>
    <row r="4272" spans="12:13" x14ac:dyDescent="0.25">
      <c r="L4272" s="64">
        <v>843130</v>
      </c>
      <c r="M4272" t="s">
        <v>3209</v>
      </c>
    </row>
    <row r="4273" spans="12:13" x14ac:dyDescent="0.25">
      <c r="L4273" s="64">
        <v>843131</v>
      </c>
      <c r="M4273" t="s">
        <v>3209</v>
      </c>
    </row>
    <row r="4274" spans="12:13" x14ac:dyDescent="0.25">
      <c r="L4274" s="64">
        <v>843140</v>
      </c>
      <c r="M4274" t="s">
        <v>3210</v>
      </c>
    </row>
    <row r="4275" spans="12:13" x14ac:dyDescent="0.25">
      <c r="L4275" s="64">
        <v>843141</v>
      </c>
      <c r="M4275" t="s">
        <v>3210</v>
      </c>
    </row>
    <row r="4276" spans="12:13" x14ac:dyDescent="0.25">
      <c r="L4276" s="64">
        <v>843150</v>
      </c>
      <c r="M4276" t="s">
        <v>3211</v>
      </c>
    </row>
    <row r="4277" spans="12:13" x14ac:dyDescent="0.25">
      <c r="L4277" s="64">
        <v>843151</v>
      </c>
      <c r="M4277" t="s">
        <v>3211</v>
      </c>
    </row>
    <row r="4278" spans="12:13" x14ac:dyDescent="0.25">
      <c r="L4278" s="64">
        <v>843160</v>
      </c>
      <c r="M4278" t="s">
        <v>3212</v>
      </c>
    </row>
    <row r="4279" spans="12:13" x14ac:dyDescent="0.25">
      <c r="L4279" s="64">
        <v>843161</v>
      </c>
      <c r="M4279" t="s">
        <v>3213</v>
      </c>
    </row>
    <row r="4280" spans="12:13" x14ac:dyDescent="0.25">
      <c r="L4280" s="64">
        <v>843162</v>
      </c>
      <c r="M4280" t="s">
        <v>3214</v>
      </c>
    </row>
    <row r="4281" spans="12:13" x14ac:dyDescent="0.25">
      <c r="L4281" s="64">
        <v>843165</v>
      </c>
      <c r="M4281" t="s">
        <v>3215</v>
      </c>
    </row>
    <row r="4282" spans="12:13" x14ac:dyDescent="0.25">
      <c r="L4282" s="64">
        <v>900000</v>
      </c>
      <c r="M4282" t="s">
        <v>3217</v>
      </c>
    </row>
    <row r="4283" spans="12:13" x14ac:dyDescent="0.25">
      <c r="L4283" s="64">
        <v>910000</v>
      </c>
      <c r="M4283" t="s">
        <v>3219</v>
      </c>
    </row>
    <row r="4284" spans="12:13" x14ac:dyDescent="0.25">
      <c r="L4284" s="64">
        <v>911000</v>
      </c>
      <c r="M4284" t="s">
        <v>3220</v>
      </c>
    </row>
    <row r="4285" spans="12:13" x14ac:dyDescent="0.25">
      <c r="L4285" s="64">
        <v>911100</v>
      </c>
      <c r="M4285" t="s">
        <v>3221</v>
      </c>
    </row>
    <row r="4286" spans="12:13" x14ac:dyDescent="0.25">
      <c r="L4286" s="64">
        <v>911120</v>
      </c>
      <c r="M4286" t="s">
        <v>3222</v>
      </c>
    </row>
    <row r="4287" spans="12:13" x14ac:dyDescent="0.25">
      <c r="L4287" s="64">
        <v>911121</v>
      </c>
      <c r="M4287" t="s">
        <v>3222</v>
      </c>
    </row>
    <row r="4288" spans="12:13" x14ac:dyDescent="0.25">
      <c r="L4288" s="64">
        <v>911130</v>
      </c>
      <c r="M4288" t="s">
        <v>3223</v>
      </c>
    </row>
    <row r="4289" spans="12:13" x14ac:dyDescent="0.25">
      <c r="L4289" s="64">
        <v>911131</v>
      </c>
      <c r="M4289" t="s">
        <v>3224</v>
      </c>
    </row>
    <row r="4290" spans="12:13" x14ac:dyDescent="0.25">
      <c r="L4290" s="64">
        <v>911132</v>
      </c>
      <c r="M4290" t="s">
        <v>3225</v>
      </c>
    </row>
    <row r="4291" spans="12:13" x14ac:dyDescent="0.25">
      <c r="L4291" s="64">
        <v>911140</v>
      </c>
      <c r="M4291" t="s">
        <v>3226</v>
      </c>
    </row>
    <row r="4292" spans="12:13" x14ac:dyDescent="0.25">
      <c r="L4292" s="64">
        <v>911141</v>
      </c>
      <c r="M4292" t="s">
        <v>3226</v>
      </c>
    </row>
    <row r="4293" spans="12:13" x14ac:dyDescent="0.25">
      <c r="L4293" s="64">
        <v>911150</v>
      </c>
      <c r="M4293" t="s">
        <v>3227</v>
      </c>
    </row>
    <row r="4294" spans="12:13" x14ac:dyDescent="0.25">
      <c r="L4294" s="64">
        <v>911151</v>
      </c>
      <c r="M4294" t="s">
        <v>3227</v>
      </c>
    </row>
    <row r="4295" spans="12:13" x14ac:dyDescent="0.25">
      <c r="L4295" s="64">
        <v>911160</v>
      </c>
      <c r="M4295" t="s">
        <v>3228</v>
      </c>
    </row>
    <row r="4296" spans="12:13" x14ac:dyDescent="0.25">
      <c r="L4296" s="64">
        <v>911161</v>
      </c>
      <c r="M4296" t="s">
        <v>3229</v>
      </c>
    </row>
    <row r="4297" spans="12:13" x14ac:dyDescent="0.25">
      <c r="L4297" s="64">
        <v>911162</v>
      </c>
      <c r="M4297" t="s">
        <v>3230</v>
      </c>
    </row>
    <row r="4298" spans="12:13" x14ac:dyDescent="0.25">
      <c r="L4298" s="64">
        <v>911165</v>
      </c>
      <c r="M4298" t="s">
        <v>3231</v>
      </c>
    </row>
    <row r="4299" spans="12:13" x14ac:dyDescent="0.25">
      <c r="L4299" s="64">
        <v>911200</v>
      </c>
      <c r="M4299" t="s">
        <v>3232</v>
      </c>
    </row>
    <row r="4300" spans="12:13" x14ac:dyDescent="0.25">
      <c r="L4300" s="64">
        <v>911220</v>
      </c>
      <c r="M4300" t="s">
        <v>3233</v>
      </c>
    </row>
    <row r="4301" spans="12:13" x14ac:dyDescent="0.25">
      <c r="L4301" s="64">
        <v>911221</v>
      </c>
      <c r="M4301" t="s">
        <v>3233</v>
      </c>
    </row>
    <row r="4302" spans="12:13" x14ac:dyDescent="0.25">
      <c r="L4302" s="64">
        <v>911230</v>
      </c>
      <c r="M4302" t="s">
        <v>3234</v>
      </c>
    </row>
    <row r="4303" spans="12:13" x14ac:dyDescent="0.25">
      <c r="L4303" s="64">
        <v>911231</v>
      </c>
      <c r="M4303" t="s">
        <v>3235</v>
      </c>
    </row>
    <row r="4304" spans="12:13" x14ac:dyDescent="0.25">
      <c r="L4304" s="64">
        <v>911232</v>
      </c>
      <c r="M4304" t="s">
        <v>3236</v>
      </c>
    </row>
    <row r="4305" spans="12:13" x14ac:dyDescent="0.25">
      <c r="L4305" s="64">
        <v>911240</v>
      </c>
      <c r="M4305" t="s">
        <v>3237</v>
      </c>
    </row>
    <row r="4306" spans="12:13" x14ac:dyDescent="0.25">
      <c r="L4306" s="64">
        <v>911241</v>
      </c>
      <c r="M4306" t="s">
        <v>3237</v>
      </c>
    </row>
    <row r="4307" spans="12:13" x14ac:dyDescent="0.25">
      <c r="L4307" s="64">
        <v>911250</v>
      </c>
      <c r="M4307" t="s">
        <v>3238</v>
      </c>
    </row>
    <row r="4308" spans="12:13" x14ac:dyDescent="0.25">
      <c r="L4308" s="64">
        <v>911251</v>
      </c>
      <c r="M4308" t="s">
        <v>3238</v>
      </c>
    </row>
    <row r="4309" spans="12:13" x14ac:dyDescent="0.25">
      <c r="L4309" s="64">
        <v>911260</v>
      </c>
      <c r="M4309" t="s">
        <v>3239</v>
      </c>
    </row>
    <row r="4310" spans="12:13" x14ac:dyDescent="0.25">
      <c r="L4310" s="64">
        <v>911261</v>
      </c>
      <c r="M4310" t="s">
        <v>3240</v>
      </c>
    </row>
    <row r="4311" spans="12:13" x14ac:dyDescent="0.25">
      <c r="L4311" s="64">
        <v>911262</v>
      </c>
      <c r="M4311" t="s">
        <v>3241</v>
      </c>
    </row>
    <row r="4312" spans="12:13" x14ac:dyDescent="0.25">
      <c r="L4312" s="64">
        <v>911265</v>
      </c>
      <c r="M4312" t="s">
        <v>3242</v>
      </c>
    </row>
    <row r="4313" spans="12:13" x14ac:dyDescent="0.25">
      <c r="L4313" s="64">
        <v>911300</v>
      </c>
      <c r="M4313" t="s">
        <v>3243</v>
      </c>
    </row>
    <row r="4314" spans="12:13" x14ac:dyDescent="0.25">
      <c r="L4314" s="64">
        <v>911320</v>
      </c>
      <c r="M4314" t="s">
        <v>3244</v>
      </c>
    </row>
    <row r="4315" spans="12:13" x14ac:dyDescent="0.25">
      <c r="L4315" s="64">
        <v>911321</v>
      </c>
      <c r="M4315" t="s">
        <v>3244</v>
      </c>
    </row>
    <row r="4316" spans="12:13" x14ac:dyDescent="0.25">
      <c r="L4316" s="64">
        <v>911330</v>
      </c>
      <c r="M4316" t="s">
        <v>3245</v>
      </c>
    </row>
    <row r="4317" spans="12:13" x14ac:dyDescent="0.25">
      <c r="L4317" s="64">
        <v>911331</v>
      </c>
      <c r="M4317" t="s">
        <v>3245</v>
      </c>
    </row>
    <row r="4318" spans="12:13" x14ac:dyDescent="0.25">
      <c r="L4318" s="64">
        <v>911340</v>
      </c>
      <c r="M4318" t="s">
        <v>3246</v>
      </c>
    </row>
    <row r="4319" spans="12:13" x14ac:dyDescent="0.25">
      <c r="L4319" s="64">
        <v>911341</v>
      </c>
      <c r="M4319" t="s">
        <v>3246</v>
      </c>
    </row>
    <row r="4320" spans="12:13" x14ac:dyDescent="0.25">
      <c r="L4320" s="64">
        <v>911350</v>
      </c>
      <c r="M4320" t="s">
        <v>3247</v>
      </c>
    </row>
    <row r="4321" spans="12:13" x14ac:dyDescent="0.25">
      <c r="L4321" s="64">
        <v>911351</v>
      </c>
      <c r="M4321" t="s">
        <v>3247</v>
      </c>
    </row>
    <row r="4322" spans="12:13" x14ac:dyDescent="0.25">
      <c r="L4322" s="64">
        <v>911360</v>
      </c>
      <c r="M4322" t="s">
        <v>3248</v>
      </c>
    </row>
    <row r="4323" spans="12:13" x14ac:dyDescent="0.25">
      <c r="L4323" s="64">
        <v>911361</v>
      </c>
      <c r="M4323" t="s">
        <v>3249</v>
      </c>
    </row>
    <row r="4324" spans="12:13" x14ac:dyDescent="0.25">
      <c r="L4324" s="64">
        <v>911362</v>
      </c>
      <c r="M4324" t="s">
        <v>3250</v>
      </c>
    </row>
    <row r="4325" spans="12:13" x14ac:dyDescent="0.25">
      <c r="L4325" s="64">
        <v>911365</v>
      </c>
      <c r="M4325" t="s">
        <v>3251</v>
      </c>
    </row>
    <row r="4326" spans="12:13" x14ac:dyDescent="0.25">
      <c r="L4326" s="64">
        <v>911400</v>
      </c>
      <c r="M4326" t="s">
        <v>3252</v>
      </c>
    </row>
    <row r="4327" spans="12:13" x14ac:dyDescent="0.25">
      <c r="L4327" s="64">
        <v>911420</v>
      </c>
      <c r="M4327" t="s">
        <v>3253</v>
      </c>
    </row>
    <row r="4328" spans="12:13" x14ac:dyDescent="0.25">
      <c r="L4328" s="64">
        <v>911421</v>
      </c>
      <c r="M4328" t="s">
        <v>3253</v>
      </c>
    </row>
    <row r="4329" spans="12:13" x14ac:dyDescent="0.25">
      <c r="L4329" s="64">
        <v>911430</v>
      </c>
      <c r="M4329" t="s">
        <v>3254</v>
      </c>
    </row>
    <row r="4330" spans="12:13" x14ac:dyDescent="0.25">
      <c r="L4330" s="64">
        <v>911431</v>
      </c>
      <c r="M4330" t="s">
        <v>3255</v>
      </c>
    </row>
    <row r="4331" spans="12:13" x14ac:dyDescent="0.25">
      <c r="L4331" s="64">
        <v>911432</v>
      </c>
      <c r="M4331" t="s">
        <v>3256</v>
      </c>
    </row>
    <row r="4332" spans="12:13" x14ac:dyDescent="0.25">
      <c r="L4332" s="64">
        <v>911440</v>
      </c>
      <c r="M4332" t="s">
        <v>3257</v>
      </c>
    </row>
    <row r="4333" spans="12:13" x14ac:dyDescent="0.25">
      <c r="L4333" s="64">
        <v>911441</v>
      </c>
      <c r="M4333" t="s">
        <v>3257</v>
      </c>
    </row>
    <row r="4334" spans="12:13" x14ac:dyDescent="0.25">
      <c r="L4334" s="64">
        <v>911450</v>
      </c>
      <c r="M4334" t="s">
        <v>3259</v>
      </c>
    </row>
    <row r="4335" spans="12:13" x14ac:dyDescent="0.25">
      <c r="L4335" s="64">
        <v>911451</v>
      </c>
      <c r="M4335" t="s">
        <v>3259</v>
      </c>
    </row>
    <row r="4336" spans="12:13" x14ac:dyDescent="0.25">
      <c r="L4336" s="64">
        <v>911460</v>
      </c>
      <c r="M4336" t="s">
        <v>3260</v>
      </c>
    </row>
    <row r="4337" spans="12:13" x14ac:dyDescent="0.25">
      <c r="L4337" s="64">
        <v>911461</v>
      </c>
      <c r="M4337" t="s">
        <v>3261</v>
      </c>
    </row>
    <row r="4338" spans="12:13" x14ac:dyDescent="0.25">
      <c r="L4338" s="64">
        <v>911462</v>
      </c>
      <c r="M4338" t="s">
        <v>3262</v>
      </c>
    </row>
    <row r="4339" spans="12:13" x14ac:dyDescent="0.25">
      <c r="L4339" s="64">
        <v>911465</v>
      </c>
      <c r="M4339" t="s">
        <v>3263</v>
      </c>
    </row>
    <row r="4340" spans="12:13" x14ac:dyDescent="0.25">
      <c r="L4340" s="64">
        <v>911500</v>
      </c>
      <c r="M4340" t="s">
        <v>3264</v>
      </c>
    </row>
    <row r="4341" spans="12:13" x14ac:dyDescent="0.25">
      <c r="L4341" s="64">
        <v>911520</v>
      </c>
      <c r="M4341" t="s">
        <v>3265</v>
      </c>
    </row>
    <row r="4342" spans="12:13" x14ac:dyDescent="0.25">
      <c r="L4342" s="64">
        <v>911521</v>
      </c>
      <c r="M4342" t="s">
        <v>3265</v>
      </c>
    </row>
    <row r="4343" spans="12:13" x14ac:dyDescent="0.25">
      <c r="L4343" s="64">
        <v>911530</v>
      </c>
      <c r="M4343" t="s">
        <v>3266</v>
      </c>
    </row>
    <row r="4344" spans="12:13" x14ac:dyDescent="0.25">
      <c r="L4344" s="64">
        <v>911531</v>
      </c>
      <c r="M4344" t="s">
        <v>3267</v>
      </c>
    </row>
    <row r="4345" spans="12:13" x14ac:dyDescent="0.25">
      <c r="L4345" s="64">
        <v>911532</v>
      </c>
      <c r="M4345" t="s">
        <v>3268</v>
      </c>
    </row>
    <row r="4346" spans="12:13" x14ac:dyDescent="0.25">
      <c r="L4346" s="64">
        <v>911540</v>
      </c>
      <c r="M4346" t="s">
        <v>3269</v>
      </c>
    </row>
    <row r="4347" spans="12:13" x14ac:dyDescent="0.25">
      <c r="L4347" s="64">
        <v>911541</v>
      </c>
      <c r="M4347" t="s">
        <v>3269</v>
      </c>
    </row>
    <row r="4348" spans="12:13" x14ac:dyDescent="0.25">
      <c r="L4348" s="64">
        <v>911550</v>
      </c>
      <c r="M4348" t="s">
        <v>3270</v>
      </c>
    </row>
    <row r="4349" spans="12:13" x14ac:dyDescent="0.25">
      <c r="L4349" s="64">
        <v>911551</v>
      </c>
      <c r="M4349" t="s">
        <v>3270</v>
      </c>
    </row>
    <row r="4350" spans="12:13" x14ac:dyDescent="0.25">
      <c r="L4350" s="64">
        <v>911560</v>
      </c>
      <c r="M4350" t="s">
        <v>3271</v>
      </c>
    </row>
    <row r="4351" spans="12:13" x14ac:dyDescent="0.25">
      <c r="L4351" s="64">
        <v>911561</v>
      </c>
      <c r="M4351" t="s">
        <v>3272</v>
      </c>
    </row>
    <row r="4352" spans="12:13" x14ac:dyDescent="0.25">
      <c r="L4352" s="64">
        <v>911562</v>
      </c>
      <c r="M4352" t="s">
        <v>3273</v>
      </c>
    </row>
    <row r="4353" spans="12:13" x14ac:dyDescent="0.25">
      <c r="L4353" s="64">
        <v>911565</v>
      </c>
      <c r="M4353" t="s">
        <v>3274</v>
      </c>
    </row>
    <row r="4354" spans="12:13" x14ac:dyDescent="0.25">
      <c r="L4354" s="64">
        <v>911600</v>
      </c>
      <c r="M4354" t="s">
        <v>3275</v>
      </c>
    </row>
    <row r="4355" spans="12:13" x14ac:dyDescent="0.25">
      <c r="L4355" s="64">
        <v>911620</v>
      </c>
      <c r="M4355" t="s">
        <v>3276</v>
      </c>
    </row>
    <row r="4356" spans="12:13" x14ac:dyDescent="0.25">
      <c r="L4356" s="64">
        <v>911621</v>
      </c>
      <c r="M4356" t="s">
        <v>3276</v>
      </c>
    </row>
    <row r="4357" spans="12:13" x14ac:dyDescent="0.25">
      <c r="L4357" s="64">
        <v>911630</v>
      </c>
      <c r="M4357" t="s">
        <v>3277</v>
      </c>
    </row>
    <row r="4358" spans="12:13" x14ac:dyDescent="0.25">
      <c r="L4358" s="64">
        <v>911631</v>
      </c>
      <c r="M4358" t="s">
        <v>3277</v>
      </c>
    </row>
    <row r="4359" spans="12:13" x14ac:dyDescent="0.25">
      <c r="L4359" s="64">
        <v>911640</v>
      </c>
      <c r="M4359" t="s">
        <v>3278</v>
      </c>
    </row>
    <row r="4360" spans="12:13" x14ac:dyDescent="0.25">
      <c r="L4360" s="64">
        <v>911641</v>
      </c>
      <c r="M4360" t="s">
        <v>3278</v>
      </c>
    </row>
    <row r="4361" spans="12:13" x14ac:dyDescent="0.25">
      <c r="L4361" s="64">
        <v>911650</v>
      </c>
      <c r="M4361" t="s">
        <v>3279</v>
      </c>
    </row>
    <row r="4362" spans="12:13" x14ac:dyDescent="0.25">
      <c r="L4362" s="64">
        <v>911651</v>
      </c>
      <c r="M4362" t="s">
        <v>3279</v>
      </c>
    </row>
    <row r="4363" spans="12:13" x14ac:dyDescent="0.25">
      <c r="L4363" s="64">
        <v>911660</v>
      </c>
      <c r="M4363" t="s">
        <v>3280</v>
      </c>
    </row>
    <row r="4364" spans="12:13" x14ac:dyDescent="0.25">
      <c r="L4364" s="64">
        <v>911661</v>
      </c>
      <c r="M4364" t="s">
        <v>3281</v>
      </c>
    </row>
    <row r="4365" spans="12:13" x14ac:dyDescent="0.25">
      <c r="L4365" s="64">
        <v>911662</v>
      </c>
      <c r="M4365" t="s">
        <v>3282</v>
      </c>
    </row>
    <row r="4366" spans="12:13" x14ac:dyDescent="0.25">
      <c r="L4366" s="64">
        <v>911665</v>
      </c>
      <c r="M4366" t="s">
        <v>3283</v>
      </c>
    </row>
    <row r="4367" spans="12:13" x14ac:dyDescent="0.25">
      <c r="L4367" s="64">
        <v>911700</v>
      </c>
      <c r="M4367" t="s">
        <v>3284</v>
      </c>
    </row>
    <row r="4368" spans="12:13" x14ac:dyDescent="0.25">
      <c r="L4368" s="64">
        <v>911720</v>
      </c>
      <c r="M4368" t="s">
        <v>3285</v>
      </c>
    </row>
    <row r="4369" spans="12:13" x14ac:dyDescent="0.25">
      <c r="L4369" s="64">
        <v>911721</v>
      </c>
      <c r="M4369" t="s">
        <v>3285</v>
      </c>
    </row>
    <row r="4370" spans="12:13" x14ac:dyDescent="0.25">
      <c r="L4370" s="64">
        <v>911730</v>
      </c>
      <c r="M4370" t="s">
        <v>3286</v>
      </c>
    </row>
    <row r="4371" spans="12:13" x14ac:dyDescent="0.25">
      <c r="L4371" s="64">
        <v>911731</v>
      </c>
      <c r="M4371" t="s">
        <v>3286</v>
      </c>
    </row>
    <row r="4372" spans="12:13" x14ac:dyDescent="0.25">
      <c r="L4372" s="64">
        <v>911740</v>
      </c>
      <c r="M4372" t="s">
        <v>3287</v>
      </c>
    </row>
    <row r="4373" spans="12:13" x14ac:dyDescent="0.25">
      <c r="L4373" s="64">
        <v>911741</v>
      </c>
      <c r="M4373" t="s">
        <v>3287</v>
      </c>
    </row>
    <row r="4374" spans="12:13" x14ac:dyDescent="0.25">
      <c r="L4374" s="64">
        <v>911750</v>
      </c>
      <c r="M4374" t="s">
        <v>3288</v>
      </c>
    </row>
    <row r="4375" spans="12:13" x14ac:dyDescent="0.25">
      <c r="L4375" s="64">
        <v>911751</v>
      </c>
      <c r="M4375" t="s">
        <v>3288</v>
      </c>
    </row>
    <row r="4376" spans="12:13" x14ac:dyDescent="0.25">
      <c r="L4376" s="64">
        <v>911760</v>
      </c>
      <c r="M4376" t="s">
        <v>3289</v>
      </c>
    </row>
    <row r="4377" spans="12:13" x14ac:dyDescent="0.25">
      <c r="L4377" s="64">
        <v>911761</v>
      </c>
      <c r="M4377" t="s">
        <v>3290</v>
      </c>
    </row>
    <row r="4378" spans="12:13" x14ac:dyDescent="0.25">
      <c r="L4378" s="64">
        <v>911762</v>
      </c>
      <c r="M4378" t="s">
        <v>3291</v>
      </c>
    </row>
    <row r="4379" spans="12:13" x14ac:dyDescent="0.25">
      <c r="L4379" s="64">
        <v>911765</v>
      </c>
      <c r="M4379" t="s">
        <v>3292</v>
      </c>
    </row>
    <row r="4380" spans="12:13" x14ac:dyDescent="0.25">
      <c r="L4380" s="64">
        <v>911800</v>
      </c>
      <c r="M4380" t="s">
        <v>3293</v>
      </c>
    </row>
    <row r="4381" spans="12:13" x14ac:dyDescent="0.25">
      <c r="L4381" s="64">
        <v>911820</v>
      </c>
      <c r="M4381" t="s">
        <v>3294</v>
      </c>
    </row>
    <row r="4382" spans="12:13" x14ac:dyDescent="0.25">
      <c r="L4382" s="64">
        <v>911821</v>
      </c>
      <c r="M4382" t="s">
        <v>3294</v>
      </c>
    </row>
    <row r="4383" spans="12:13" x14ac:dyDescent="0.25">
      <c r="L4383" s="64">
        <v>911830</v>
      </c>
      <c r="M4383" t="s">
        <v>3295</v>
      </c>
    </row>
    <row r="4384" spans="12:13" x14ac:dyDescent="0.25">
      <c r="L4384" s="64">
        <v>911831</v>
      </c>
      <c r="M4384" t="s">
        <v>3296</v>
      </c>
    </row>
    <row r="4385" spans="12:13" x14ac:dyDescent="0.25">
      <c r="L4385" s="64">
        <v>911832</v>
      </c>
      <c r="M4385" t="s">
        <v>3297</v>
      </c>
    </row>
    <row r="4386" spans="12:13" x14ac:dyDescent="0.25">
      <c r="L4386" s="64">
        <v>911840</v>
      </c>
      <c r="M4386" t="s">
        <v>3298</v>
      </c>
    </row>
    <row r="4387" spans="12:13" x14ac:dyDescent="0.25">
      <c r="L4387" s="64">
        <v>911841</v>
      </c>
      <c r="M4387" t="s">
        <v>3298</v>
      </c>
    </row>
    <row r="4388" spans="12:13" x14ac:dyDescent="0.25">
      <c r="L4388" s="64">
        <v>911850</v>
      </c>
      <c r="M4388" t="s">
        <v>3299</v>
      </c>
    </row>
    <row r="4389" spans="12:13" x14ac:dyDescent="0.25">
      <c r="L4389" s="64">
        <v>911851</v>
      </c>
      <c r="M4389" t="s">
        <v>3299</v>
      </c>
    </row>
    <row r="4390" spans="12:13" x14ac:dyDescent="0.25">
      <c r="L4390" s="64">
        <v>911860</v>
      </c>
      <c r="M4390" t="s">
        <v>3300</v>
      </c>
    </row>
    <row r="4391" spans="12:13" x14ac:dyDescent="0.25">
      <c r="L4391" s="64">
        <v>911861</v>
      </c>
      <c r="M4391" t="s">
        <v>3301</v>
      </c>
    </row>
    <row r="4392" spans="12:13" x14ac:dyDescent="0.25">
      <c r="L4392" s="64">
        <v>911862</v>
      </c>
      <c r="M4392" t="s">
        <v>3302</v>
      </c>
    </row>
    <row r="4393" spans="12:13" x14ac:dyDescent="0.25">
      <c r="L4393" s="64">
        <v>911865</v>
      </c>
      <c r="M4393" t="s">
        <v>3303</v>
      </c>
    </row>
    <row r="4394" spans="12:13" x14ac:dyDescent="0.25">
      <c r="L4394" s="64">
        <v>911900</v>
      </c>
      <c r="M4394" t="s">
        <v>1987</v>
      </c>
    </row>
    <row r="4395" spans="12:13" x14ac:dyDescent="0.25">
      <c r="L4395" s="64">
        <v>911920</v>
      </c>
      <c r="M4395" t="s">
        <v>3304</v>
      </c>
    </row>
    <row r="4396" spans="12:13" x14ac:dyDescent="0.25">
      <c r="L4396" s="64">
        <v>911921</v>
      </c>
      <c r="M4396" t="s">
        <v>3304</v>
      </c>
    </row>
    <row r="4397" spans="12:13" x14ac:dyDescent="0.25">
      <c r="L4397" s="64">
        <v>911930</v>
      </c>
      <c r="M4397" t="s">
        <v>3305</v>
      </c>
    </row>
    <row r="4398" spans="12:13" x14ac:dyDescent="0.25">
      <c r="L4398" s="64">
        <v>911931</v>
      </c>
      <c r="M4398" t="s">
        <v>3306</v>
      </c>
    </row>
    <row r="4399" spans="12:13" x14ac:dyDescent="0.25">
      <c r="L4399" s="64">
        <v>911932</v>
      </c>
      <c r="M4399" t="s">
        <v>3307</v>
      </c>
    </row>
    <row r="4400" spans="12:13" x14ac:dyDescent="0.25">
      <c r="L4400" s="64">
        <v>911940</v>
      </c>
      <c r="M4400" t="s">
        <v>3308</v>
      </c>
    </row>
    <row r="4401" spans="12:13" x14ac:dyDescent="0.25">
      <c r="L4401" s="64">
        <v>911941</v>
      </c>
      <c r="M4401" t="s">
        <v>3308</v>
      </c>
    </row>
    <row r="4402" spans="12:13" x14ac:dyDescent="0.25">
      <c r="L4402" s="64">
        <v>911950</v>
      </c>
      <c r="M4402" t="s">
        <v>3309</v>
      </c>
    </row>
    <row r="4403" spans="12:13" x14ac:dyDescent="0.25">
      <c r="L4403" s="64">
        <v>911951</v>
      </c>
      <c r="M4403" t="s">
        <v>3309</v>
      </c>
    </row>
    <row r="4404" spans="12:13" x14ac:dyDescent="0.25">
      <c r="L4404" s="64">
        <v>911960</v>
      </c>
      <c r="M4404" t="s">
        <v>3310</v>
      </c>
    </row>
    <row r="4405" spans="12:13" x14ac:dyDescent="0.25">
      <c r="L4405" s="64">
        <v>911961</v>
      </c>
      <c r="M4405" t="s">
        <v>3311</v>
      </c>
    </row>
    <row r="4406" spans="12:13" x14ac:dyDescent="0.25">
      <c r="L4406" s="64">
        <v>911962</v>
      </c>
      <c r="M4406" t="s">
        <v>3312</v>
      </c>
    </row>
    <row r="4407" spans="12:13" x14ac:dyDescent="0.25">
      <c r="L4407" s="64">
        <v>911965</v>
      </c>
      <c r="M4407" t="s">
        <v>3313</v>
      </c>
    </row>
    <row r="4408" spans="12:13" x14ac:dyDescent="0.25">
      <c r="L4408" s="64">
        <v>912000</v>
      </c>
      <c r="M4408" t="s">
        <v>3314</v>
      </c>
    </row>
    <row r="4409" spans="12:13" x14ac:dyDescent="0.25">
      <c r="L4409" s="64">
        <v>912100</v>
      </c>
      <c r="M4409" t="s">
        <v>3315</v>
      </c>
    </row>
    <row r="4410" spans="12:13" x14ac:dyDescent="0.25">
      <c r="L4410" s="64">
        <v>912120</v>
      </c>
      <c r="M4410" t="s">
        <v>3316</v>
      </c>
    </row>
    <row r="4411" spans="12:13" x14ac:dyDescent="0.25">
      <c r="L4411" s="64">
        <v>912121</v>
      </c>
      <c r="M4411" t="s">
        <v>3316</v>
      </c>
    </row>
    <row r="4412" spans="12:13" x14ac:dyDescent="0.25">
      <c r="L4412" s="64">
        <v>912130</v>
      </c>
      <c r="M4412" t="s">
        <v>3317</v>
      </c>
    </row>
    <row r="4413" spans="12:13" x14ac:dyDescent="0.25">
      <c r="L4413" s="64">
        <v>912131</v>
      </c>
      <c r="M4413" t="s">
        <v>3317</v>
      </c>
    </row>
    <row r="4414" spans="12:13" x14ac:dyDescent="0.25">
      <c r="L4414" s="64">
        <v>912140</v>
      </c>
      <c r="M4414" t="s">
        <v>3318</v>
      </c>
    </row>
    <row r="4415" spans="12:13" x14ac:dyDescent="0.25">
      <c r="L4415" s="64">
        <v>912141</v>
      </c>
      <c r="M4415" t="s">
        <v>3319</v>
      </c>
    </row>
    <row r="4416" spans="12:13" x14ac:dyDescent="0.25">
      <c r="L4416" s="64">
        <v>912150</v>
      </c>
      <c r="M4416" t="s">
        <v>3320</v>
      </c>
    </row>
    <row r="4417" spans="12:13" x14ac:dyDescent="0.25">
      <c r="L4417" s="64">
        <v>912151</v>
      </c>
      <c r="M4417" t="s">
        <v>3320</v>
      </c>
    </row>
    <row r="4418" spans="12:13" x14ac:dyDescent="0.25">
      <c r="L4418" s="64">
        <v>912160</v>
      </c>
      <c r="M4418" t="s">
        <v>3321</v>
      </c>
    </row>
    <row r="4419" spans="12:13" x14ac:dyDescent="0.25">
      <c r="L4419" s="64">
        <v>912161</v>
      </c>
      <c r="M4419" t="s">
        <v>3322</v>
      </c>
    </row>
    <row r="4420" spans="12:13" x14ac:dyDescent="0.25">
      <c r="L4420" s="64">
        <v>912162</v>
      </c>
      <c r="M4420" t="s">
        <v>3323</v>
      </c>
    </row>
    <row r="4421" spans="12:13" x14ac:dyDescent="0.25">
      <c r="L4421" s="64">
        <v>912165</v>
      </c>
      <c r="M4421" t="s">
        <v>3324</v>
      </c>
    </row>
    <row r="4422" spans="12:13" x14ac:dyDescent="0.25">
      <c r="L4422" s="64">
        <v>912200</v>
      </c>
      <c r="M4422" t="s">
        <v>3325</v>
      </c>
    </row>
    <row r="4423" spans="12:13" x14ac:dyDescent="0.25">
      <c r="L4423" s="64">
        <v>912220</v>
      </c>
      <c r="M4423" t="s">
        <v>3326</v>
      </c>
    </row>
    <row r="4424" spans="12:13" x14ac:dyDescent="0.25">
      <c r="L4424" s="64">
        <v>912221</v>
      </c>
      <c r="M4424" t="s">
        <v>3326</v>
      </c>
    </row>
    <row r="4425" spans="12:13" x14ac:dyDescent="0.25">
      <c r="L4425" s="64">
        <v>912230</v>
      </c>
      <c r="M4425" t="s">
        <v>3327</v>
      </c>
    </row>
    <row r="4426" spans="12:13" x14ac:dyDescent="0.25">
      <c r="L4426" s="64">
        <v>912231</v>
      </c>
      <c r="M4426" t="s">
        <v>3328</v>
      </c>
    </row>
    <row r="4427" spans="12:13" x14ac:dyDescent="0.25">
      <c r="L4427" s="64">
        <v>912232</v>
      </c>
      <c r="M4427" t="s">
        <v>3329</v>
      </c>
    </row>
    <row r="4428" spans="12:13" x14ac:dyDescent="0.25">
      <c r="L4428" s="64">
        <v>912240</v>
      </c>
      <c r="M4428" t="s">
        <v>3330</v>
      </c>
    </row>
    <row r="4429" spans="12:13" x14ac:dyDescent="0.25">
      <c r="L4429" s="64">
        <v>912241</v>
      </c>
      <c r="M4429" t="s">
        <v>3330</v>
      </c>
    </row>
    <row r="4430" spans="12:13" x14ac:dyDescent="0.25">
      <c r="L4430" s="64">
        <v>912250</v>
      </c>
      <c r="M4430" t="s">
        <v>3331</v>
      </c>
    </row>
    <row r="4431" spans="12:13" x14ac:dyDescent="0.25">
      <c r="L4431" s="64">
        <v>912251</v>
      </c>
      <c r="M4431" t="s">
        <v>3331</v>
      </c>
    </row>
    <row r="4432" spans="12:13" x14ac:dyDescent="0.25">
      <c r="L4432" s="64">
        <v>912260</v>
      </c>
      <c r="M4432" t="s">
        <v>3332</v>
      </c>
    </row>
    <row r="4433" spans="12:13" x14ac:dyDescent="0.25">
      <c r="L4433" s="64">
        <v>912261</v>
      </c>
      <c r="M4433" t="s">
        <v>3333</v>
      </c>
    </row>
    <row r="4434" spans="12:13" x14ac:dyDescent="0.25">
      <c r="L4434" s="64">
        <v>912262</v>
      </c>
      <c r="M4434" t="s">
        <v>3334</v>
      </c>
    </row>
    <row r="4435" spans="12:13" x14ac:dyDescent="0.25">
      <c r="L4435" s="64">
        <v>912265</v>
      </c>
      <c r="M4435" t="s">
        <v>3335</v>
      </c>
    </row>
    <row r="4436" spans="12:13" x14ac:dyDescent="0.25">
      <c r="L4436" s="64">
        <v>912300</v>
      </c>
      <c r="M4436" t="s">
        <v>3336</v>
      </c>
    </row>
    <row r="4437" spans="12:13" x14ac:dyDescent="0.25">
      <c r="L4437" s="64">
        <v>912320</v>
      </c>
      <c r="M4437" t="s">
        <v>3337</v>
      </c>
    </row>
    <row r="4438" spans="12:13" x14ac:dyDescent="0.25">
      <c r="L4438" s="64">
        <v>912321</v>
      </c>
      <c r="M4438" t="s">
        <v>3337</v>
      </c>
    </row>
    <row r="4439" spans="12:13" x14ac:dyDescent="0.25">
      <c r="L4439" s="64">
        <v>912330</v>
      </c>
      <c r="M4439" t="s">
        <v>3338</v>
      </c>
    </row>
    <row r="4440" spans="12:13" x14ac:dyDescent="0.25">
      <c r="L4440" s="64">
        <v>912331</v>
      </c>
      <c r="M4440" t="s">
        <v>3339</v>
      </c>
    </row>
    <row r="4441" spans="12:13" x14ac:dyDescent="0.25">
      <c r="L4441" s="64">
        <v>912332</v>
      </c>
      <c r="M4441" t="s">
        <v>3340</v>
      </c>
    </row>
    <row r="4442" spans="12:13" x14ac:dyDescent="0.25">
      <c r="L4442" s="64">
        <v>912340</v>
      </c>
      <c r="M4442" t="s">
        <v>3341</v>
      </c>
    </row>
    <row r="4443" spans="12:13" x14ac:dyDescent="0.25">
      <c r="L4443" s="64">
        <v>912341</v>
      </c>
      <c r="M4443" t="s">
        <v>3341</v>
      </c>
    </row>
    <row r="4444" spans="12:13" x14ac:dyDescent="0.25">
      <c r="L4444" s="64">
        <v>912350</v>
      </c>
      <c r="M4444" t="s">
        <v>3342</v>
      </c>
    </row>
    <row r="4445" spans="12:13" x14ac:dyDescent="0.25">
      <c r="L4445" s="64">
        <v>912351</v>
      </c>
      <c r="M4445" t="s">
        <v>3342</v>
      </c>
    </row>
    <row r="4446" spans="12:13" x14ac:dyDescent="0.25">
      <c r="L4446" s="64">
        <v>912360</v>
      </c>
      <c r="M4446" t="s">
        <v>3343</v>
      </c>
    </row>
    <row r="4447" spans="12:13" x14ac:dyDescent="0.25">
      <c r="L4447" s="64">
        <v>912361</v>
      </c>
      <c r="M4447" t="s">
        <v>3344</v>
      </c>
    </row>
    <row r="4448" spans="12:13" x14ac:dyDescent="0.25">
      <c r="L4448" s="64">
        <v>912362</v>
      </c>
      <c r="M4448" t="s">
        <v>3345</v>
      </c>
    </row>
    <row r="4449" spans="12:13" x14ac:dyDescent="0.25">
      <c r="L4449" s="64">
        <v>912365</v>
      </c>
      <c r="M4449" t="s">
        <v>3346</v>
      </c>
    </row>
    <row r="4450" spans="12:13" x14ac:dyDescent="0.25">
      <c r="L4450" s="64">
        <v>912400</v>
      </c>
      <c r="M4450" t="s">
        <v>3347</v>
      </c>
    </row>
    <row r="4451" spans="12:13" x14ac:dyDescent="0.25">
      <c r="L4451" s="64">
        <v>912420</v>
      </c>
      <c r="M4451" t="s">
        <v>3348</v>
      </c>
    </row>
    <row r="4452" spans="12:13" x14ac:dyDescent="0.25">
      <c r="L4452" s="64">
        <v>912421</v>
      </c>
      <c r="M4452" t="s">
        <v>3348</v>
      </c>
    </row>
    <row r="4453" spans="12:13" x14ac:dyDescent="0.25">
      <c r="L4453" s="64">
        <v>912430</v>
      </c>
      <c r="M4453" t="s">
        <v>3349</v>
      </c>
    </row>
    <row r="4454" spans="12:13" x14ac:dyDescent="0.25">
      <c r="L4454" s="64">
        <v>912431</v>
      </c>
      <c r="M4454" t="s">
        <v>3350</v>
      </c>
    </row>
    <row r="4455" spans="12:13" x14ac:dyDescent="0.25">
      <c r="L4455" s="64">
        <v>912432</v>
      </c>
      <c r="M4455" t="s">
        <v>3351</v>
      </c>
    </row>
    <row r="4456" spans="12:13" x14ac:dyDescent="0.25">
      <c r="L4456" s="64">
        <v>912440</v>
      </c>
      <c r="M4456" t="s">
        <v>3352</v>
      </c>
    </row>
    <row r="4457" spans="12:13" x14ac:dyDescent="0.25">
      <c r="L4457" s="64">
        <v>912441</v>
      </c>
      <c r="M4457" t="s">
        <v>3352</v>
      </c>
    </row>
    <row r="4458" spans="12:13" x14ac:dyDescent="0.25">
      <c r="L4458" s="64">
        <v>912450</v>
      </c>
      <c r="M4458" t="s">
        <v>3353</v>
      </c>
    </row>
    <row r="4459" spans="12:13" x14ac:dyDescent="0.25">
      <c r="L4459" s="64">
        <v>912451</v>
      </c>
      <c r="M4459" t="s">
        <v>3353</v>
      </c>
    </row>
    <row r="4460" spans="12:13" x14ac:dyDescent="0.25">
      <c r="L4460" s="64">
        <v>912460</v>
      </c>
      <c r="M4460" t="s">
        <v>3354</v>
      </c>
    </row>
    <row r="4461" spans="12:13" x14ac:dyDescent="0.25">
      <c r="L4461" s="64">
        <v>912461</v>
      </c>
      <c r="M4461" t="s">
        <v>3355</v>
      </c>
    </row>
    <row r="4462" spans="12:13" x14ac:dyDescent="0.25">
      <c r="L4462" s="64">
        <v>912462</v>
      </c>
      <c r="M4462" t="s">
        <v>3356</v>
      </c>
    </row>
    <row r="4463" spans="12:13" x14ac:dyDescent="0.25">
      <c r="L4463" s="64">
        <v>912465</v>
      </c>
      <c r="M4463" t="s">
        <v>3357</v>
      </c>
    </row>
    <row r="4464" spans="12:13" x14ac:dyDescent="0.25">
      <c r="L4464" s="64">
        <v>912500</v>
      </c>
      <c r="M4464" t="s">
        <v>3358</v>
      </c>
    </row>
    <row r="4465" spans="12:13" x14ac:dyDescent="0.25">
      <c r="L4465" s="64">
        <v>912520</v>
      </c>
      <c r="M4465" t="s">
        <v>3359</v>
      </c>
    </row>
    <row r="4466" spans="12:13" x14ac:dyDescent="0.25">
      <c r="L4466" s="64">
        <v>912521</v>
      </c>
      <c r="M4466" t="s">
        <v>3359</v>
      </c>
    </row>
    <row r="4467" spans="12:13" x14ac:dyDescent="0.25">
      <c r="L4467" s="64">
        <v>912530</v>
      </c>
      <c r="M4467" t="s">
        <v>3360</v>
      </c>
    </row>
    <row r="4468" spans="12:13" x14ac:dyDescent="0.25">
      <c r="L4468" s="64">
        <v>912531</v>
      </c>
      <c r="M4468" t="s">
        <v>3361</v>
      </c>
    </row>
    <row r="4469" spans="12:13" x14ac:dyDescent="0.25">
      <c r="L4469" s="64">
        <v>912532</v>
      </c>
      <c r="M4469" t="s">
        <v>3362</v>
      </c>
    </row>
    <row r="4470" spans="12:13" x14ac:dyDescent="0.25">
      <c r="L4470" s="64">
        <v>912540</v>
      </c>
      <c r="M4470" t="s">
        <v>3363</v>
      </c>
    </row>
    <row r="4471" spans="12:13" x14ac:dyDescent="0.25">
      <c r="L4471" s="64">
        <v>912541</v>
      </c>
      <c r="M4471" t="s">
        <v>3363</v>
      </c>
    </row>
    <row r="4472" spans="12:13" x14ac:dyDescent="0.25">
      <c r="L4472" s="64">
        <v>912550</v>
      </c>
      <c r="M4472" t="s">
        <v>3364</v>
      </c>
    </row>
    <row r="4473" spans="12:13" x14ac:dyDescent="0.25">
      <c r="L4473" s="64">
        <v>912551</v>
      </c>
      <c r="M4473" t="s">
        <v>3364</v>
      </c>
    </row>
    <row r="4474" spans="12:13" x14ac:dyDescent="0.25">
      <c r="L4474" s="64">
        <v>912560</v>
      </c>
      <c r="M4474" t="s">
        <v>3365</v>
      </c>
    </row>
    <row r="4475" spans="12:13" x14ac:dyDescent="0.25">
      <c r="L4475" s="64">
        <v>912561</v>
      </c>
      <c r="M4475" t="s">
        <v>3366</v>
      </c>
    </row>
    <row r="4476" spans="12:13" x14ac:dyDescent="0.25">
      <c r="L4476" s="64">
        <v>912562</v>
      </c>
      <c r="M4476" t="s">
        <v>3367</v>
      </c>
    </row>
    <row r="4477" spans="12:13" x14ac:dyDescent="0.25">
      <c r="L4477" s="64">
        <v>912565</v>
      </c>
      <c r="M4477" t="s">
        <v>3368</v>
      </c>
    </row>
    <row r="4478" spans="12:13" x14ac:dyDescent="0.25">
      <c r="L4478" s="64">
        <v>912600</v>
      </c>
      <c r="M4478" t="s">
        <v>3369</v>
      </c>
    </row>
    <row r="4479" spans="12:13" x14ac:dyDescent="0.25">
      <c r="L4479" s="64">
        <v>912620</v>
      </c>
      <c r="M4479" t="s">
        <v>3370</v>
      </c>
    </row>
    <row r="4480" spans="12:13" x14ac:dyDescent="0.25">
      <c r="L4480" s="64">
        <v>912621</v>
      </c>
      <c r="M4480" t="s">
        <v>3370</v>
      </c>
    </row>
    <row r="4481" spans="12:13" x14ac:dyDescent="0.25">
      <c r="L4481" s="64">
        <v>912630</v>
      </c>
      <c r="M4481" t="s">
        <v>3371</v>
      </c>
    </row>
    <row r="4482" spans="12:13" x14ac:dyDescent="0.25">
      <c r="L4482" s="64">
        <v>912631</v>
      </c>
      <c r="M4482" t="s">
        <v>3371</v>
      </c>
    </row>
    <row r="4483" spans="12:13" x14ac:dyDescent="0.25">
      <c r="L4483" s="64">
        <v>912640</v>
      </c>
      <c r="M4483" t="s">
        <v>3372</v>
      </c>
    </row>
    <row r="4484" spans="12:13" x14ac:dyDescent="0.25">
      <c r="L4484" s="64">
        <v>912641</v>
      </c>
      <c r="M4484" t="s">
        <v>3372</v>
      </c>
    </row>
    <row r="4485" spans="12:13" x14ac:dyDescent="0.25">
      <c r="L4485" s="64">
        <v>912650</v>
      </c>
      <c r="M4485" t="s">
        <v>3373</v>
      </c>
    </row>
    <row r="4486" spans="12:13" x14ac:dyDescent="0.25">
      <c r="L4486" s="64">
        <v>912651</v>
      </c>
      <c r="M4486" t="s">
        <v>3373</v>
      </c>
    </row>
    <row r="4487" spans="12:13" x14ac:dyDescent="0.25">
      <c r="L4487" s="64">
        <v>912660</v>
      </c>
      <c r="M4487" t="s">
        <v>3374</v>
      </c>
    </row>
    <row r="4488" spans="12:13" x14ac:dyDescent="0.25">
      <c r="L4488" s="64">
        <v>912661</v>
      </c>
      <c r="M4488" t="s">
        <v>3375</v>
      </c>
    </row>
    <row r="4489" spans="12:13" x14ac:dyDescent="0.25">
      <c r="L4489" s="64">
        <v>912662</v>
      </c>
      <c r="M4489" t="s">
        <v>3376</v>
      </c>
    </row>
    <row r="4490" spans="12:13" x14ac:dyDescent="0.25">
      <c r="L4490" s="64">
        <v>912665</v>
      </c>
      <c r="M4490" t="s">
        <v>3377</v>
      </c>
    </row>
    <row r="4491" spans="12:13" x14ac:dyDescent="0.25">
      <c r="L4491" s="64">
        <v>912900</v>
      </c>
      <c r="M4491" t="s">
        <v>1995</v>
      </c>
    </row>
    <row r="4492" spans="12:13" x14ac:dyDescent="0.25">
      <c r="L4492" s="64">
        <v>912920</v>
      </c>
      <c r="M4492" t="s">
        <v>3378</v>
      </c>
    </row>
    <row r="4493" spans="12:13" x14ac:dyDescent="0.25">
      <c r="L4493" s="64">
        <v>912921</v>
      </c>
      <c r="M4493" t="s">
        <v>3378</v>
      </c>
    </row>
    <row r="4494" spans="12:13" x14ac:dyDescent="0.25">
      <c r="L4494" s="64">
        <v>912930</v>
      </c>
      <c r="M4494" t="s">
        <v>3379</v>
      </c>
    </row>
    <row r="4495" spans="12:13" x14ac:dyDescent="0.25">
      <c r="L4495" s="64">
        <v>912931</v>
      </c>
      <c r="M4495" t="s">
        <v>3380</v>
      </c>
    </row>
    <row r="4496" spans="12:13" x14ac:dyDescent="0.25">
      <c r="L4496" s="64">
        <v>912932</v>
      </c>
      <c r="M4496" t="s">
        <v>3381</v>
      </c>
    </row>
    <row r="4497" spans="12:13" x14ac:dyDescent="0.25">
      <c r="L4497" s="64">
        <v>912940</v>
      </c>
      <c r="M4497" t="s">
        <v>3382</v>
      </c>
    </row>
    <row r="4498" spans="12:13" x14ac:dyDescent="0.25">
      <c r="L4498" s="64">
        <v>912941</v>
      </c>
      <c r="M4498" t="s">
        <v>3382</v>
      </c>
    </row>
    <row r="4499" spans="12:13" x14ac:dyDescent="0.25">
      <c r="L4499" s="64">
        <v>912950</v>
      </c>
      <c r="M4499" t="s">
        <v>3383</v>
      </c>
    </row>
    <row r="4500" spans="12:13" x14ac:dyDescent="0.25">
      <c r="L4500" s="64">
        <v>912951</v>
      </c>
      <c r="M4500" t="s">
        <v>3383</v>
      </c>
    </row>
    <row r="4501" spans="12:13" x14ac:dyDescent="0.25">
      <c r="L4501" s="64">
        <v>912960</v>
      </c>
      <c r="M4501" t="s">
        <v>3384</v>
      </c>
    </row>
    <row r="4502" spans="12:13" x14ac:dyDescent="0.25">
      <c r="L4502" s="64">
        <v>912961</v>
      </c>
      <c r="M4502" t="s">
        <v>3385</v>
      </c>
    </row>
    <row r="4503" spans="12:13" x14ac:dyDescent="0.25">
      <c r="L4503" s="64">
        <v>912962</v>
      </c>
      <c r="M4503" t="s">
        <v>3386</v>
      </c>
    </row>
    <row r="4504" spans="12:13" x14ac:dyDescent="0.25">
      <c r="L4504" s="64">
        <v>912965</v>
      </c>
      <c r="M4504" t="s">
        <v>3387</v>
      </c>
    </row>
    <row r="4505" spans="12:13" x14ac:dyDescent="0.25">
      <c r="L4505" s="64">
        <v>920000</v>
      </c>
      <c r="M4505" t="s">
        <v>1213</v>
      </c>
    </row>
    <row r="4506" spans="12:13" x14ac:dyDescent="0.25">
      <c r="L4506" s="64">
        <v>921000</v>
      </c>
      <c r="M4506" t="s">
        <v>3389</v>
      </c>
    </row>
    <row r="4507" spans="12:13" x14ac:dyDescent="0.25">
      <c r="L4507" s="64">
        <v>921100</v>
      </c>
      <c r="M4507" t="s">
        <v>3390</v>
      </c>
    </row>
    <row r="4508" spans="12:13" x14ac:dyDescent="0.25">
      <c r="L4508" s="64">
        <v>921120</v>
      </c>
      <c r="M4508" t="s">
        <v>3391</v>
      </c>
    </row>
    <row r="4509" spans="12:13" x14ac:dyDescent="0.25">
      <c r="L4509" s="64">
        <v>921121</v>
      </c>
      <c r="M4509" t="s">
        <v>3391</v>
      </c>
    </row>
    <row r="4510" spans="12:13" x14ac:dyDescent="0.25">
      <c r="L4510" s="64">
        <v>921130</v>
      </c>
      <c r="M4510" t="s">
        <v>3392</v>
      </c>
    </row>
    <row r="4511" spans="12:13" x14ac:dyDescent="0.25">
      <c r="L4511" s="64">
        <v>921131</v>
      </c>
      <c r="M4511" t="s">
        <v>3393</v>
      </c>
    </row>
    <row r="4512" spans="12:13" x14ac:dyDescent="0.25">
      <c r="L4512" s="64">
        <v>921132</v>
      </c>
      <c r="M4512" t="s">
        <v>3394</v>
      </c>
    </row>
    <row r="4513" spans="12:13" x14ac:dyDescent="0.25">
      <c r="L4513" s="64">
        <v>921140</v>
      </c>
      <c r="M4513" t="s">
        <v>3395</v>
      </c>
    </row>
    <row r="4514" spans="12:13" x14ac:dyDescent="0.25">
      <c r="L4514" s="64">
        <v>921141</v>
      </c>
      <c r="M4514" t="s">
        <v>3395</v>
      </c>
    </row>
    <row r="4515" spans="12:13" x14ac:dyDescent="0.25">
      <c r="L4515" s="64">
        <v>921150</v>
      </c>
      <c r="M4515" t="s">
        <v>3396</v>
      </c>
    </row>
    <row r="4516" spans="12:13" x14ac:dyDescent="0.25">
      <c r="L4516" s="64">
        <v>921151</v>
      </c>
      <c r="M4516" t="s">
        <v>3396</v>
      </c>
    </row>
    <row r="4517" spans="12:13" x14ac:dyDescent="0.25">
      <c r="L4517" s="64">
        <v>921160</v>
      </c>
      <c r="M4517" t="s">
        <v>3397</v>
      </c>
    </row>
    <row r="4518" spans="12:13" x14ac:dyDescent="0.25">
      <c r="L4518" s="64">
        <v>921161</v>
      </c>
      <c r="M4518" t="s">
        <v>3398</v>
      </c>
    </row>
    <row r="4519" spans="12:13" x14ac:dyDescent="0.25">
      <c r="L4519" s="64">
        <v>921162</v>
      </c>
      <c r="M4519" t="s">
        <v>3399</v>
      </c>
    </row>
    <row r="4520" spans="12:13" x14ac:dyDescent="0.25">
      <c r="L4520" s="64">
        <v>921165</v>
      </c>
      <c r="M4520" t="s">
        <v>3400</v>
      </c>
    </row>
    <row r="4521" spans="12:13" x14ac:dyDescent="0.25">
      <c r="L4521" s="64">
        <v>921220</v>
      </c>
      <c r="M4521" t="s">
        <v>3401</v>
      </c>
    </row>
    <row r="4522" spans="12:13" x14ac:dyDescent="0.25">
      <c r="L4522" s="64">
        <v>921221</v>
      </c>
      <c r="M4522" t="s">
        <v>3401</v>
      </c>
    </row>
    <row r="4523" spans="12:13" x14ac:dyDescent="0.25">
      <c r="L4523" s="64">
        <v>921230</v>
      </c>
      <c r="M4523" t="s">
        <v>3402</v>
      </c>
    </row>
    <row r="4524" spans="12:13" x14ac:dyDescent="0.25">
      <c r="L4524" s="64">
        <v>921231</v>
      </c>
      <c r="M4524" t="s">
        <v>3403</v>
      </c>
    </row>
    <row r="4525" spans="12:13" x14ac:dyDescent="0.25">
      <c r="L4525" s="64">
        <v>921232</v>
      </c>
      <c r="M4525" t="s">
        <v>3404</v>
      </c>
    </row>
    <row r="4526" spans="12:13" x14ac:dyDescent="0.25">
      <c r="L4526" s="64">
        <v>921240</v>
      </c>
      <c r="M4526" t="s">
        <v>3405</v>
      </c>
    </row>
    <row r="4527" spans="12:13" x14ac:dyDescent="0.25">
      <c r="L4527" s="64">
        <v>921241</v>
      </c>
      <c r="M4527" t="s">
        <v>3405</v>
      </c>
    </row>
    <row r="4528" spans="12:13" x14ac:dyDescent="0.25">
      <c r="L4528" s="64">
        <v>921250</v>
      </c>
      <c r="M4528" t="s">
        <v>3406</v>
      </c>
    </row>
    <row r="4529" spans="12:13" x14ac:dyDescent="0.25">
      <c r="L4529" s="64">
        <v>921251</v>
      </c>
      <c r="M4529" t="s">
        <v>3406</v>
      </c>
    </row>
    <row r="4530" spans="12:13" x14ac:dyDescent="0.25">
      <c r="L4530" s="64">
        <v>921260</v>
      </c>
      <c r="M4530" t="s">
        <v>3407</v>
      </c>
    </row>
    <row r="4531" spans="12:13" x14ac:dyDescent="0.25">
      <c r="L4531" s="64">
        <v>921261</v>
      </c>
      <c r="M4531" t="s">
        <v>3408</v>
      </c>
    </row>
    <row r="4532" spans="12:13" x14ac:dyDescent="0.25">
      <c r="L4532" s="64">
        <v>921262</v>
      </c>
      <c r="M4532" t="s">
        <v>3409</v>
      </c>
    </row>
    <row r="4533" spans="12:13" x14ac:dyDescent="0.25">
      <c r="L4533" s="64">
        <v>921265</v>
      </c>
      <c r="M4533" t="s">
        <v>3410</v>
      </c>
    </row>
    <row r="4534" spans="12:13" x14ac:dyDescent="0.25">
      <c r="L4534" s="64">
        <v>921300</v>
      </c>
      <c r="M4534" t="s">
        <v>3411</v>
      </c>
    </row>
    <row r="4535" spans="12:13" x14ac:dyDescent="0.25">
      <c r="L4535" s="64">
        <v>921320</v>
      </c>
      <c r="M4535" t="s">
        <v>3412</v>
      </c>
    </row>
    <row r="4536" spans="12:13" x14ac:dyDescent="0.25">
      <c r="L4536" s="64">
        <v>921321</v>
      </c>
      <c r="M4536" t="s">
        <v>3412</v>
      </c>
    </row>
    <row r="4537" spans="12:13" x14ac:dyDescent="0.25">
      <c r="L4537" s="64">
        <v>921330</v>
      </c>
      <c r="M4537" t="s">
        <v>3413</v>
      </c>
    </row>
    <row r="4538" spans="12:13" x14ac:dyDescent="0.25">
      <c r="L4538" s="64">
        <v>921331</v>
      </c>
      <c r="M4538" t="s">
        <v>3413</v>
      </c>
    </row>
    <row r="4539" spans="12:13" x14ac:dyDescent="0.25">
      <c r="L4539" s="64">
        <v>921340</v>
      </c>
      <c r="M4539" t="s">
        <v>3414</v>
      </c>
    </row>
    <row r="4540" spans="12:13" x14ac:dyDescent="0.25">
      <c r="L4540" s="64">
        <v>921341</v>
      </c>
      <c r="M4540" t="s">
        <v>3414</v>
      </c>
    </row>
    <row r="4541" spans="12:13" x14ac:dyDescent="0.25">
      <c r="L4541" s="64">
        <v>921350</v>
      </c>
      <c r="M4541" t="s">
        <v>3415</v>
      </c>
    </row>
    <row r="4542" spans="12:13" x14ac:dyDescent="0.25">
      <c r="L4542" s="64">
        <v>921351</v>
      </c>
      <c r="M4542" t="s">
        <v>3415</v>
      </c>
    </row>
    <row r="4543" spans="12:13" x14ac:dyDescent="0.25">
      <c r="L4543" s="64">
        <v>921360</v>
      </c>
      <c r="M4543" t="s">
        <v>3416</v>
      </c>
    </row>
    <row r="4544" spans="12:13" x14ac:dyDescent="0.25">
      <c r="L4544" s="64">
        <v>921361</v>
      </c>
      <c r="M4544" t="s">
        <v>3417</v>
      </c>
    </row>
    <row r="4545" spans="12:13" x14ac:dyDescent="0.25">
      <c r="L4545" s="64">
        <v>921362</v>
      </c>
      <c r="M4545" t="s">
        <v>3418</v>
      </c>
    </row>
    <row r="4546" spans="12:13" x14ac:dyDescent="0.25">
      <c r="L4546" s="64">
        <v>921365</v>
      </c>
      <c r="M4546" t="s">
        <v>3419</v>
      </c>
    </row>
    <row r="4547" spans="12:13" x14ac:dyDescent="0.25">
      <c r="L4547" s="64">
        <v>921400</v>
      </c>
      <c r="M4547" t="s">
        <v>3420</v>
      </c>
    </row>
    <row r="4548" spans="12:13" x14ac:dyDescent="0.25">
      <c r="L4548" s="64">
        <v>921420</v>
      </c>
      <c r="M4548" t="s">
        <v>3421</v>
      </c>
    </row>
    <row r="4549" spans="12:13" x14ac:dyDescent="0.25">
      <c r="L4549" s="64">
        <v>921421</v>
      </c>
      <c r="M4549" t="s">
        <v>3421</v>
      </c>
    </row>
    <row r="4550" spans="12:13" x14ac:dyDescent="0.25">
      <c r="L4550" s="64">
        <v>921430</v>
      </c>
      <c r="M4550" t="s">
        <v>3422</v>
      </c>
    </row>
    <row r="4551" spans="12:13" x14ac:dyDescent="0.25">
      <c r="L4551" s="64">
        <v>921431</v>
      </c>
      <c r="M4551" t="s">
        <v>3422</v>
      </c>
    </row>
    <row r="4552" spans="12:13" x14ac:dyDescent="0.25">
      <c r="L4552" s="64">
        <v>921440</v>
      </c>
      <c r="M4552" t="s">
        <v>3423</v>
      </c>
    </row>
    <row r="4553" spans="12:13" x14ac:dyDescent="0.25">
      <c r="L4553" s="64">
        <v>921441</v>
      </c>
      <c r="M4553" t="s">
        <v>3423</v>
      </c>
    </row>
    <row r="4554" spans="12:13" x14ac:dyDescent="0.25">
      <c r="L4554" s="64">
        <v>921450</v>
      </c>
      <c r="M4554" t="s">
        <v>3424</v>
      </c>
    </row>
    <row r="4555" spans="12:13" x14ac:dyDescent="0.25">
      <c r="L4555" s="64">
        <v>921451</v>
      </c>
      <c r="M4555" t="s">
        <v>3424</v>
      </c>
    </row>
    <row r="4556" spans="12:13" x14ac:dyDescent="0.25">
      <c r="L4556" s="64">
        <v>921460</v>
      </c>
      <c r="M4556" t="s">
        <v>3425</v>
      </c>
    </row>
    <row r="4557" spans="12:13" x14ac:dyDescent="0.25">
      <c r="L4557" s="64">
        <v>921461</v>
      </c>
      <c r="M4557" t="s">
        <v>3426</v>
      </c>
    </row>
    <row r="4558" spans="12:13" x14ac:dyDescent="0.25">
      <c r="L4558" s="64">
        <v>921462</v>
      </c>
      <c r="M4558" t="s">
        <v>3427</v>
      </c>
    </row>
    <row r="4559" spans="12:13" x14ac:dyDescent="0.25">
      <c r="L4559" s="64">
        <v>921465</v>
      </c>
      <c r="M4559" t="s">
        <v>3428</v>
      </c>
    </row>
    <row r="4560" spans="12:13" x14ac:dyDescent="0.25">
      <c r="L4560" s="64">
        <v>921500</v>
      </c>
      <c r="M4560" t="s">
        <v>3429</v>
      </c>
    </row>
    <row r="4561" spans="12:13" x14ac:dyDescent="0.25">
      <c r="L4561" s="64">
        <v>921520</v>
      </c>
      <c r="M4561" t="s">
        <v>3430</v>
      </c>
    </row>
    <row r="4562" spans="12:13" x14ac:dyDescent="0.25">
      <c r="L4562" s="64">
        <v>921521</v>
      </c>
      <c r="M4562" t="s">
        <v>3430</v>
      </c>
    </row>
    <row r="4563" spans="12:13" x14ac:dyDescent="0.25">
      <c r="L4563" s="64">
        <v>921530</v>
      </c>
      <c r="M4563" t="s">
        <v>3431</v>
      </c>
    </row>
    <row r="4564" spans="12:13" x14ac:dyDescent="0.25">
      <c r="L4564" s="64">
        <v>921531</v>
      </c>
      <c r="M4564" t="s">
        <v>3432</v>
      </c>
    </row>
    <row r="4565" spans="12:13" x14ac:dyDescent="0.25">
      <c r="L4565" s="64">
        <v>921532</v>
      </c>
      <c r="M4565" t="s">
        <v>3433</v>
      </c>
    </row>
    <row r="4566" spans="12:13" x14ac:dyDescent="0.25">
      <c r="L4566" s="64">
        <v>921540</v>
      </c>
      <c r="M4566" t="s">
        <v>3434</v>
      </c>
    </row>
    <row r="4567" spans="12:13" x14ac:dyDescent="0.25">
      <c r="L4567" s="64">
        <v>921541</v>
      </c>
      <c r="M4567" t="s">
        <v>3434</v>
      </c>
    </row>
    <row r="4568" spans="12:13" x14ac:dyDescent="0.25">
      <c r="L4568" s="64">
        <v>921550</v>
      </c>
      <c r="M4568" t="s">
        <v>3435</v>
      </c>
    </row>
    <row r="4569" spans="12:13" x14ac:dyDescent="0.25">
      <c r="L4569" s="64">
        <v>921551</v>
      </c>
      <c r="M4569" t="s">
        <v>3435</v>
      </c>
    </row>
    <row r="4570" spans="12:13" x14ac:dyDescent="0.25">
      <c r="L4570" s="64">
        <v>921560</v>
      </c>
      <c r="M4570" t="s">
        <v>3436</v>
      </c>
    </row>
    <row r="4571" spans="12:13" x14ac:dyDescent="0.25">
      <c r="L4571" s="64">
        <v>921561</v>
      </c>
      <c r="M4571" t="s">
        <v>3437</v>
      </c>
    </row>
    <row r="4572" spans="12:13" x14ac:dyDescent="0.25">
      <c r="L4572" s="64">
        <v>921562</v>
      </c>
      <c r="M4572" t="s">
        <v>3438</v>
      </c>
    </row>
    <row r="4573" spans="12:13" x14ac:dyDescent="0.25">
      <c r="L4573" s="64">
        <v>921565</v>
      </c>
      <c r="M4573" t="s">
        <v>3439</v>
      </c>
    </row>
    <row r="4574" spans="12:13" x14ac:dyDescent="0.25">
      <c r="L4574" s="64">
        <v>921600</v>
      </c>
      <c r="M4574" t="s">
        <v>3440</v>
      </c>
    </row>
    <row r="4575" spans="12:13" x14ac:dyDescent="0.25">
      <c r="L4575" s="64">
        <v>921620</v>
      </c>
      <c r="M4575" t="s">
        <v>3441</v>
      </c>
    </row>
    <row r="4576" spans="12:13" x14ac:dyDescent="0.25">
      <c r="L4576" s="64">
        <v>921621</v>
      </c>
      <c r="M4576" t="s">
        <v>3441</v>
      </c>
    </row>
    <row r="4577" spans="12:13" x14ac:dyDescent="0.25">
      <c r="L4577" s="64">
        <v>921630</v>
      </c>
      <c r="M4577" t="s">
        <v>3442</v>
      </c>
    </row>
    <row r="4578" spans="12:13" x14ac:dyDescent="0.25">
      <c r="L4578" s="64">
        <v>921631</v>
      </c>
      <c r="M4578" t="s">
        <v>3443</v>
      </c>
    </row>
    <row r="4579" spans="12:13" x14ac:dyDescent="0.25">
      <c r="L4579" s="64">
        <v>921632</v>
      </c>
      <c r="M4579" t="s">
        <v>3444</v>
      </c>
    </row>
    <row r="4580" spans="12:13" x14ac:dyDescent="0.25">
      <c r="L4580" s="64">
        <v>921640</v>
      </c>
      <c r="M4580" t="s">
        <v>3445</v>
      </c>
    </row>
    <row r="4581" spans="12:13" x14ac:dyDescent="0.25">
      <c r="L4581" s="64">
        <v>921641</v>
      </c>
      <c r="M4581" t="s">
        <v>3445</v>
      </c>
    </row>
    <row r="4582" spans="12:13" x14ac:dyDescent="0.25">
      <c r="L4582" s="64">
        <v>921650</v>
      </c>
      <c r="M4582" t="s">
        <v>3446</v>
      </c>
    </row>
    <row r="4583" spans="12:13" x14ac:dyDescent="0.25">
      <c r="L4583" s="64">
        <v>921651</v>
      </c>
      <c r="M4583" t="s">
        <v>3446</v>
      </c>
    </row>
    <row r="4584" spans="12:13" x14ac:dyDescent="0.25">
      <c r="L4584" s="64">
        <v>921660</v>
      </c>
      <c r="M4584" t="s">
        <v>3447</v>
      </c>
    </row>
    <row r="4585" spans="12:13" x14ac:dyDescent="0.25">
      <c r="L4585" s="64">
        <v>921661</v>
      </c>
      <c r="M4585" t="s">
        <v>3448</v>
      </c>
    </row>
    <row r="4586" spans="12:13" x14ac:dyDescent="0.25">
      <c r="L4586" s="64">
        <v>921662</v>
      </c>
      <c r="M4586" t="s">
        <v>3449</v>
      </c>
    </row>
    <row r="4587" spans="12:13" x14ac:dyDescent="0.25">
      <c r="L4587" s="64">
        <v>921665</v>
      </c>
      <c r="M4587" t="s">
        <v>3450</v>
      </c>
    </row>
    <row r="4588" spans="12:13" x14ac:dyDescent="0.25">
      <c r="L4588" s="64">
        <v>921700</v>
      </c>
      <c r="M4588" t="s">
        <v>3451</v>
      </c>
    </row>
    <row r="4589" spans="12:13" x14ac:dyDescent="0.25">
      <c r="L4589" s="64">
        <v>921720</v>
      </c>
      <c r="M4589" t="s">
        <v>3452</v>
      </c>
    </row>
    <row r="4590" spans="12:13" x14ac:dyDescent="0.25">
      <c r="L4590" s="64">
        <v>921721</v>
      </c>
      <c r="M4590" t="s">
        <v>3452</v>
      </c>
    </row>
    <row r="4591" spans="12:13" x14ac:dyDescent="0.25">
      <c r="L4591" s="64">
        <v>921730</v>
      </c>
      <c r="M4591" t="s">
        <v>3453</v>
      </c>
    </row>
    <row r="4592" spans="12:13" x14ac:dyDescent="0.25">
      <c r="L4592" s="64">
        <v>921731</v>
      </c>
      <c r="M4592" t="s">
        <v>3454</v>
      </c>
    </row>
    <row r="4593" spans="12:13" x14ac:dyDescent="0.25">
      <c r="L4593" s="64">
        <v>921732</v>
      </c>
      <c r="M4593" t="s">
        <v>3455</v>
      </c>
    </row>
    <row r="4594" spans="12:13" x14ac:dyDescent="0.25">
      <c r="L4594" s="64">
        <v>921740</v>
      </c>
      <c r="M4594" t="s">
        <v>3456</v>
      </c>
    </row>
    <row r="4595" spans="12:13" x14ac:dyDescent="0.25">
      <c r="L4595" s="64">
        <v>921741</v>
      </c>
      <c r="M4595" t="s">
        <v>3456</v>
      </c>
    </row>
    <row r="4596" spans="12:13" x14ac:dyDescent="0.25">
      <c r="L4596" s="64">
        <v>921750</v>
      </c>
      <c r="M4596" t="s">
        <v>3457</v>
      </c>
    </row>
    <row r="4597" spans="12:13" x14ac:dyDescent="0.25">
      <c r="L4597" s="64">
        <v>921751</v>
      </c>
      <c r="M4597" t="s">
        <v>3457</v>
      </c>
    </row>
    <row r="4598" spans="12:13" x14ac:dyDescent="0.25">
      <c r="L4598" s="64">
        <v>921760</v>
      </c>
      <c r="M4598" t="s">
        <v>3458</v>
      </c>
    </row>
    <row r="4599" spans="12:13" x14ac:dyDescent="0.25">
      <c r="L4599" s="64">
        <v>921761</v>
      </c>
      <c r="M4599" t="s">
        <v>3459</v>
      </c>
    </row>
    <row r="4600" spans="12:13" x14ac:dyDescent="0.25">
      <c r="L4600" s="64">
        <v>921762</v>
      </c>
      <c r="M4600" t="s">
        <v>3460</v>
      </c>
    </row>
    <row r="4601" spans="12:13" x14ac:dyDescent="0.25">
      <c r="L4601" s="64">
        <v>921765</v>
      </c>
      <c r="M4601" t="s">
        <v>3461</v>
      </c>
    </row>
    <row r="4602" spans="12:13" x14ac:dyDescent="0.25">
      <c r="L4602" s="64">
        <v>921800</v>
      </c>
      <c r="M4602" t="s">
        <v>3462</v>
      </c>
    </row>
    <row r="4603" spans="12:13" x14ac:dyDescent="0.25">
      <c r="L4603" s="64">
        <v>921820</v>
      </c>
      <c r="M4603" t="s">
        <v>3463</v>
      </c>
    </row>
    <row r="4604" spans="12:13" x14ac:dyDescent="0.25">
      <c r="L4604" s="64">
        <v>921821</v>
      </c>
      <c r="M4604" t="s">
        <v>3463</v>
      </c>
    </row>
    <row r="4605" spans="12:13" x14ac:dyDescent="0.25">
      <c r="L4605" s="64">
        <v>921830</v>
      </c>
      <c r="M4605" t="s">
        <v>3464</v>
      </c>
    </row>
    <row r="4606" spans="12:13" x14ac:dyDescent="0.25">
      <c r="L4606" s="64">
        <v>921831</v>
      </c>
      <c r="M4606" t="s">
        <v>3464</v>
      </c>
    </row>
    <row r="4607" spans="12:13" x14ac:dyDescent="0.25">
      <c r="L4607" s="64">
        <v>921840</v>
      </c>
      <c r="M4607" t="s">
        <v>3465</v>
      </c>
    </row>
    <row r="4608" spans="12:13" x14ac:dyDescent="0.25">
      <c r="L4608" s="64">
        <v>921841</v>
      </c>
      <c r="M4608" t="s">
        <v>3465</v>
      </c>
    </row>
    <row r="4609" spans="12:13" x14ac:dyDescent="0.25">
      <c r="L4609" s="64">
        <v>921850</v>
      </c>
      <c r="M4609" t="s">
        <v>3466</v>
      </c>
    </row>
    <row r="4610" spans="12:13" x14ac:dyDescent="0.25">
      <c r="L4610" s="64">
        <v>921851</v>
      </c>
      <c r="M4610" t="s">
        <v>3466</v>
      </c>
    </row>
    <row r="4611" spans="12:13" x14ac:dyDescent="0.25">
      <c r="L4611" s="64">
        <v>921860</v>
      </c>
      <c r="M4611" t="s">
        <v>3467</v>
      </c>
    </row>
    <row r="4612" spans="12:13" x14ac:dyDescent="0.25">
      <c r="L4612" s="64">
        <v>921861</v>
      </c>
      <c r="M4612" t="s">
        <v>3468</v>
      </c>
    </row>
    <row r="4613" spans="12:13" x14ac:dyDescent="0.25">
      <c r="L4613" s="64">
        <v>921862</v>
      </c>
      <c r="M4613" t="s">
        <v>3469</v>
      </c>
    </row>
    <row r="4614" spans="12:13" x14ac:dyDescent="0.25">
      <c r="L4614" s="64">
        <v>921865</v>
      </c>
      <c r="M4614" t="s">
        <v>3470</v>
      </c>
    </row>
    <row r="4615" spans="12:13" x14ac:dyDescent="0.25">
      <c r="L4615" s="64">
        <v>921900</v>
      </c>
      <c r="M4615" t="s">
        <v>3471</v>
      </c>
    </row>
    <row r="4616" spans="12:13" x14ac:dyDescent="0.25">
      <c r="L4616" s="64">
        <v>921920</v>
      </c>
      <c r="M4616" t="s">
        <v>3472</v>
      </c>
    </row>
    <row r="4617" spans="12:13" x14ac:dyDescent="0.25">
      <c r="L4617" s="64">
        <v>921921</v>
      </c>
      <c r="M4617" t="s">
        <v>3473</v>
      </c>
    </row>
    <row r="4618" spans="12:13" x14ac:dyDescent="0.25">
      <c r="L4618" s="64">
        <v>921922</v>
      </c>
      <c r="M4618" t="s">
        <v>3474</v>
      </c>
    </row>
    <row r="4619" spans="12:13" x14ac:dyDescent="0.25">
      <c r="L4619" s="64">
        <v>921923</v>
      </c>
      <c r="M4619" t="s">
        <v>3475</v>
      </c>
    </row>
    <row r="4620" spans="12:13" x14ac:dyDescent="0.25">
      <c r="L4620" s="64">
        <v>921930</v>
      </c>
      <c r="M4620" t="s">
        <v>3476</v>
      </c>
    </row>
    <row r="4621" spans="12:13" x14ac:dyDescent="0.25">
      <c r="L4621" s="64">
        <v>921931</v>
      </c>
      <c r="M4621" t="s">
        <v>3477</v>
      </c>
    </row>
    <row r="4622" spans="12:13" x14ac:dyDescent="0.25">
      <c r="L4622" s="64">
        <v>921932</v>
      </c>
      <c r="M4622" t="s">
        <v>3478</v>
      </c>
    </row>
    <row r="4623" spans="12:13" x14ac:dyDescent="0.25">
      <c r="L4623" s="64">
        <v>921940</v>
      </c>
      <c r="M4623" t="s">
        <v>3479</v>
      </c>
    </row>
    <row r="4624" spans="12:13" x14ac:dyDescent="0.25">
      <c r="L4624" s="64">
        <v>921941</v>
      </c>
      <c r="M4624" t="s">
        <v>3479</v>
      </c>
    </row>
    <row r="4625" spans="12:13" x14ac:dyDescent="0.25">
      <c r="L4625" s="64">
        <v>921950</v>
      </c>
      <c r="M4625" t="s">
        <v>3481</v>
      </c>
    </row>
    <row r="4626" spans="12:13" x14ac:dyDescent="0.25">
      <c r="L4626" s="64">
        <v>921951</v>
      </c>
      <c r="M4626" t="s">
        <v>3481</v>
      </c>
    </row>
    <row r="4627" spans="12:13" x14ac:dyDescent="0.25">
      <c r="L4627" s="64">
        <v>921960</v>
      </c>
      <c r="M4627" t="s">
        <v>3482</v>
      </c>
    </row>
    <row r="4628" spans="12:13" x14ac:dyDescent="0.25">
      <c r="L4628" s="64">
        <v>921961</v>
      </c>
      <c r="M4628" t="s">
        <v>3483</v>
      </c>
    </row>
    <row r="4629" spans="12:13" x14ac:dyDescent="0.25">
      <c r="L4629" s="64">
        <v>921962</v>
      </c>
      <c r="M4629" t="s">
        <v>3484</v>
      </c>
    </row>
    <row r="4630" spans="12:13" x14ac:dyDescent="0.25">
      <c r="L4630" s="64">
        <v>921965</v>
      </c>
      <c r="M4630" t="s">
        <v>3485</v>
      </c>
    </row>
    <row r="4631" spans="12:13" x14ac:dyDescent="0.25">
      <c r="L4631" s="64">
        <v>922000</v>
      </c>
      <c r="M4631" t="s">
        <v>3486</v>
      </c>
    </row>
    <row r="4632" spans="12:13" x14ac:dyDescent="0.25">
      <c r="L4632" s="64">
        <v>922100</v>
      </c>
      <c r="M4632" t="s">
        <v>3487</v>
      </c>
    </row>
    <row r="4633" spans="12:13" x14ac:dyDescent="0.25">
      <c r="L4633" s="64">
        <v>922120</v>
      </c>
      <c r="M4633" t="s">
        <v>3488</v>
      </c>
    </row>
    <row r="4634" spans="12:13" x14ac:dyDescent="0.25">
      <c r="L4634" s="64">
        <v>922121</v>
      </c>
      <c r="M4634" t="s">
        <v>3488</v>
      </c>
    </row>
    <row r="4635" spans="12:13" x14ac:dyDescent="0.25">
      <c r="L4635" s="64">
        <v>922130</v>
      </c>
      <c r="M4635" t="s">
        <v>3489</v>
      </c>
    </row>
    <row r="4636" spans="12:13" x14ac:dyDescent="0.25">
      <c r="L4636" s="64">
        <v>922131</v>
      </c>
      <c r="M4636" t="s">
        <v>3490</v>
      </c>
    </row>
    <row r="4637" spans="12:13" x14ac:dyDescent="0.25">
      <c r="L4637" s="64">
        <v>922132</v>
      </c>
      <c r="M4637" t="s">
        <v>3491</v>
      </c>
    </row>
    <row r="4638" spans="12:13" x14ac:dyDescent="0.25">
      <c r="L4638" s="64">
        <v>922140</v>
      </c>
      <c r="M4638" t="s">
        <v>3492</v>
      </c>
    </row>
    <row r="4639" spans="12:13" x14ac:dyDescent="0.25">
      <c r="L4639" s="64">
        <v>922141</v>
      </c>
      <c r="M4639" t="s">
        <v>3492</v>
      </c>
    </row>
    <row r="4640" spans="12:13" x14ac:dyDescent="0.25">
      <c r="L4640" s="64">
        <v>922150</v>
      </c>
      <c r="M4640" t="s">
        <v>3493</v>
      </c>
    </row>
    <row r="4641" spans="12:13" x14ac:dyDescent="0.25">
      <c r="L4641" s="64">
        <v>922151</v>
      </c>
      <c r="M4641" t="s">
        <v>3493</v>
      </c>
    </row>
    <row r="4642" spans="12:13" x14ac:dyDescent="0.25">
      <c r="L4642" s="64">
        <v>922160</v>
      </c>
      <c r="M4642" t="s">
        <v>3494</v>
      </c>
    </row>
    <row r="4643" spans="12:13" x14ac:dyDescent="0.25">
      <c r="L4643" s="64">
        <v>922161</v>
      </c>
      <c r="M4643" t="s">
        <v>3495</v>
      </c>
    </row>
    <row r="4644" spans="12:13" x14ac:dyDescent="0.25">
      <c r="L4644" s="64">
        <v>922162</v>
      </c>
      <c r="M4644" t="s">
        <v>3496</v>
      </c>
    </row>
    <row r="4645" spans="12:13" x14ac:dyDescent="0.25">
      <c r="L4645" s="64">
        <v>922165</v>
      </c>
      <c r="M4645" t="s">
        <v>3497</v>
      </c>
    </row>
    <row r="4646" spans="12:13" x14ac:dyDescent="0.25">
      <c r="L4646" s="64">
        <v>922200</v>
      </c>
      <c r="M4646" t="s">
        <v>3498</v>
      </c>
    </row>
    <row r="4647" spans="12:13" x14ac:dyDescent="0.25">
      <c r="L4647" s="64">
        <v>922220</v>
      </c>
      <c r="M4647" t="s">
        <v>3499</v>
      </c>
    </row>
    <row r="4648" spans="12:13" x14ac:dyDescent="0.25">
      <c r="L4648" s="64">
        <v>922221</v>
      </c>
      <c r="M4648" t="s">
        <v>3499</v>
      </c>
    </row>
    <row r="4649" spans="12:13" x14ac:dyDescent="0.25">
      <c r="L4649" s="64">
        <v>922230</v>
      </c>
      <c r="M4649" t="s">
        <v>3500</v>
      </c>
    </row>
    <row r="4650" spans="12:13" x14ac:dyDescent="0.25">
      <c r="L4650" s="64">
        <v>922231</v>
      </c>
      <c r="M4650" t="s">
        <v>3500</v>
      </c>
    </row>
    <row r="4651" spans="12:13" x14ac:dyDescent="0.25">
      <c r="L4651" s="64">
        <v>922240</v>
      </c>
      <c r="M4651" t="s">
        <v>3501</v>
      </c>
    </row>
    <row r="4652" spans="12:13" x14ac:dyDescent="0.25">
      <c r="L4652" s="64">
        <v>922241</v>
      </c>
      <c r="M4652" t="s">
        <v>3501</v>
      </c>
    </row>
    <row r="4653" spans="12:13" x14ac:dyDescent="0.25">
      <c r="L4653" s="64">
        <v>922250</v>
      </c>
      <c r="M4653" t="s">
        <v>3502</v>
      </c>
    </row>
    <row r="4654" spans="12:13" x14ac:dyDescent="0.25">
      <c r="L4654" s="64">
        <v>922251</v>
      </c>
      <c r="M4654" t="s">
        <v>3502</v>
      </c>
    </row>
    <row r="4655" spans="12:13" x14ac:dyDescent="0.25">
      <c r="L4655" s="64">
        <v>922260</v>
      </c>
      <c r="M4655" t="s">
        <v>3503</v>
      </c>
    </row>
    <row r="4656" spans="12:13" x14ac:dyDescent="0.25">
      <c r="L4656" s="64">
        <v>922261</v>
      </c>
      <c r="M4656" t="s">
        <v>3504</v>
      </c>
    </row>
    <row r="4657" spans="12:13" x14ac:dyDescent="0.25">
      <c r="L4657" s="64">
        <v>922262</v>
      </c>
      <c r="M4657" t="s">
        <v>3505</v>
      </c>
    </row>
    <row r="4658" spans="12:13" x14ac:dyDescent="0.25">
      <c r="L4658" s="64">
        <v>922265</v>
      </c>
      <c r="M4658" t="s">
        <v>3506</v>
      </c>
    </row>
    <row r="4659" spans="12:13" x14ac:dyDescent="0.25">
      <c r="L4659" s="64">
        <v>922300</v>
      </c>
      <c r="M4659" t="s">
        <v>3507</v>
      </c>
    </row>
    <row r="4660" spans="12:13" x14ac:dyDescent="0.25">
      <c r="L4660" s="64">
        <v>922320</v>
      </c>
      <c r="M4660" t="s">
        <v>3508</v>
      </c>
    </row>
    <row r="4661" spans="12:13" x14ac:dyDescent="0.25">
      <c r="L4661" s="64">
        <v>922321</v>
      </c>
      <c r="M4661" t="s">
        <v>3508</v>
      </c>
    </row>
    <row r="4662" spans="12:13" x14ac:dyDescent="0.25">
      <c r="L4662" s="64">
        <v>922330</v>
      </c>
      <c r="M4662" t="s">
        <v>3509</v>
      </c>
    </row>
    <row r="4663" spans="12:13" x14ac:dyDescent="0.25">
      <c r="L4663" s="64">
        <v>922331</v>
      </c>
      <c r="M4663" t="s">
        <v>3509</v>
      </c>
    </row>
    <row r="4664" spans="12:13" x14ac:dyDescent="0.25">
      <c r="L4664" s="64">
        <v>922340</v>
      </c>
      <c r="M4664" t="s">
        <v>3510</v>
      </c>
    </row>
    <row r="4665" spans="12:13" x14ac:dyDescent="0.25">
      <c r="L4665" s="64">
        <v>922341</v>
      </c>
      <c r="M4665" t="s">
        <v>3510</v>
      </c>
    </row>
    <row r="4666" spans="12:13" x14ac:dyDescent="0.25">
      <c r="L4666" s="64">
        <v>922350</v>
      </c>
      <c r="M4666" t="s">
        <v>3511</v>
      </c>
    </row>
    <row r="4667" spans="12:13" x14ac:dyDescent="0.25">
      <c r="L4667" s="64">
        <v>922351</v>
      </c>
      <c r="M4667" t="s">
        <v>3511</v>
      </c>
    </row>
    <row r="4668" spans="12:13" x14ac:dyDescent="0.25">
      <c r="L4668" s="64">
        <v>922360</v>
      </c>
      <c r="M4668" t="s">
        <v>3512</v>
      </c>
    </row>
    <row r="4669" spans="12:13" x14ac:dyDescent="0.25">
      <c r="L4669" s="64">
        <v>922361</v>
      </c>
      <c r="M4669" t="s">
        <v>3513</v>
      </c>
    </row>
    <row r="4670" spans="12:13" x14ac:dyDescent="0.25">
      <c r="L4670" s="64">
        <v>922362</v>
      </c>
      <c r="M4670" t="s">
        <v>3514</v>
      </c>
    </row>
    <row r="4671" spans="12:13" x14ac:dyDescent="0.25">
      <c r="L4671" s="64">
        <v>922365</v>
      </c>
      <c r="M4671" t="s">
        <v>3515</v>
      </c>
    </row>
    <row r="4672" spans="12:13" x14ac:dyDescent="0.25">
      <c r="L4672" s="64">
        <v>922400</v>
      </c>
      <c r="M4672" t="s">
        <v>3516</v>
      </c>
    </row>
    <row r="4673" spans="12:13" x14ac:dyDescent="0.25">
      <c r="L4673" s="64">
        <v>922420</v>
      </c>
      <c r="M4673" t="s">
        <v>3517</v>
      </c>
    </row>
    <row r="4674" spans="12:13" x14ac:dyDescent="0.25">
      <c r="L4674" s="64">
        <v>922421</v>
      </c>
      <c r="M4674" t="s">
        <v>3517</v>
      </c>
    </row>
    <row r="4675" spans="12:13" x14ac:dyDescent="0.25">
      <c r="L4675" s="64">
        <v>922430</v>
      </c>
      <c r="M4675" t="s">
        <v>3518</v>
      </c>
    </row>
    <row r="4676" spans="12:13" x14ac:dyDescent="0.25">
      <c r="L4676" s="64">
        <v>922431</v>
      </c>
      <c r="M4676" t="s">
        <v>3518</v>
      </c>
    </row>
    <row r="4677" spans="12:13" x14ac:dyDescent="0.25">
      <c r="L4677" s="64">
        <v>922440</v>
      </c>
      <c r="M4677" t="s">
        <v>3519</v>
      </c>
    </row>
    <row r="4678" spans="12:13" x14ac:dyDescent="0.25">
      <c r="L4678" s="64">
        <v>922441</v>
      </c>
      <c r="M4678" t="s">
        <v>3519</v>
      </c>
    </row>
    <row r="4679" spans="12:13" x14ac:dyDescent="0.25">
      <c r="L4679" s="64">
        <v>922450</v>
      </c>
      <c r="M4679" t="s">
        <v>3520</v>
      </c>
    </row>
    <row r="4680" spans="12:13" x14ac:dyDescent="0.25">
      <c r="L4680" s="64">
        <v>922451</v>
      </c>
      <c r="M4680" t="s">
        <v>3520</v>
      </c>
    </row>
    <row r="4681" spans="12:13" x14ac:dyDescent="0.25">
      <c r="L4681" s="64">
        <v>922460</v>
      </c>
      <c r="M4681" t="s">
        <v>3521</v>
      </c>
    </row>
    <row r="4682" spans="12:13" x14ac:dyDescent="0.25">
      <c r="L4682" s="64">
        <v>922461</v>
      </c>
      <c r="M4682" t="s">
        <v>3522</v>
      </c>
    </row>
    <row r="4683" spans="12:13" x14ac:dyDescent="0.25">
      <c r="L4683" s="64">
        <v>922462</v>
      </c>
      <c r="M4683" t="s">
        <v>3523</v>
      </c>
    </row>
    <row r="4684" spans="12:13" x14ac:dyDescent="0.25">
      <c r="L4684" s="64">
        <v>922465</v>
      </c>
      <c r="M4684" t="s">
        <v>3524</v>
      </c>
    </row>
    <row r="4685" spans="12:13" x14ac:dyDescent="0.25">
      <c r="L4685" s="64">
        <v>922500</v>
      </c>
      <c r="M4685" t="s">
        <v>3525</v>
      </c>
    </row>
    <row r="4686" spans="12:13" x14ac:dyDescent="0.25">
      <c r="L4686" s="64">
        <v>922520</v>
      </c>
      <c r="M4686" t="s">
        <v>3526</v>
      </c>
    </row>
    <row r="4687" spans="12:13" x14ac:dyDescent="0.25">
      <c r="L4687" s="64">
        <v>922521</v>
      </c>
      <c r="M4687" t="s">
        <v>3526</v>
      </c>
    </row>
    <row r="4688" spans="12:13" x14ac:dyDescent="0.25">
      <c r="L4688" s="64">
        <v>922530</v>
      </c>
      <c r="M4688" t="s">
        <v>3527</v>
      </c>
    </row>
    <row r="4689" spans="12:13" x14ac:dyDescent="0.25">
      <c r="L4689" s="64">
        <v>922531</v>
      </c>
      <c r="M4689" t="s">
        <v>3527</v>
      </c>
    </row>
    <row r="4690" spans="12:13" x14ac:dyDescent="0.25">
      <c r="L4690" s="64">
        <v>922540</v>
      </c>
      <c r="M4690" t="s">
        <v>3528</v>
      </c>
    </row>
    <row r="4691" spans="12:13" x14ac:dyDescent="0.25">
      <c r="L4691" s="64">
        <v>922541</v>
      </c>
      <c r="M4691" t="s">
        <v>3528</v>
      </c>
    </row>
    <row r="4692" spans="12:13" x14ac:dyDescent="0.25">
      <c r="L4692" s="64">
        <v>922550</v>
      </c>
      <c r="M4692" t="s">
        <v>3529</v>
      </c>
    </row>
    <row r="4693" spans="12:13" x14ac:dyDescent="0.25">
      <c r="L4693" s="64">
        <v>922551</v>
      </c>
      <c r="M4693" t="s">
        <v>3529</v>
      </c>
    </row>
    <row r="4694" spans="12:13" x14ac:dyDescent="0.25">
      <c r="L4694" s="64">
        <v>922560</v>
      </c>
      <c r="M4694" t="s">
        <v>3530</v>
      </c>
    </row>
    <row r="4695" spans="12:13" x14ac:dyDescent="0.25">
      <c r="L4695" s="64">
        <v>922561</v>
      </c>
      <c r="M4695" t="s">
        <v>3531</v>
      </c>
    </row>
    <row r="4696" spans="12:13" x14ac:dyDescent="0.25">
      <c r="L4696" s="64">
        <v>922562</v>
      </c>
      <c r="M4696" t="s">
        <v>3532</v>
      </c>
    </row>
    <row r="4697" spans="12:13" x14ac:dyDescent="0.25">
      <c r="L4697" s="64">
        <v>922565</v>
      </c>
      <c r="M4697" t="s">
        <v>3533</v>
      </c>
    </row>
    <row r="4698" spans="12:13" x14ac:dyDescent="0.25">
      <c r="L4698" s="64">
        <v>922600</v>
      </c>
      <c r="M4698" t="s">
        <v>3534</v>
      </c>
    </row>
    <row r="4699" spans="12:13" x14ac:dyDescent="0.25">
      <c r="L4699" s="64">
        <v>922620</v>
      </c>
      <c r="M4699" t="s">
        <v>3535</v>
      </c>
    </row>
    <row r="4700" spans="12:13" x14ac:dyDescent="0.25">
      <c r="L4700" s="64">
        <v>922621</v>
      </c>
      <c r="M4700" t="s">
        <v>3535</v>
      </c>
    </row>
    <row r="4701" spans="12:13" x14ac:dyDescent="0.25">
      <c r="L4701" s="64">
        <v>922630</v>
      </c>
      <c r="M4701" t="s">
        <v>3536</v>
      </c>
    </row>
    <row r="4702" spans="12:13" x14ac:dyDescent="0.25">
      <c r="L4702" s="64">
        <v>922631</v>
      </c>
      <c r="M4702" t="s">
        <v>3536</v>
      </c>
    </row>
    <row r="4703" spans="12:13" x14ac:dyDescent="0.25">
      <c r="L4703" s="64">
        <v>922640</v>
      </c>
      <c r="M4703" t="s">
        <v>3537</v>
      </c>
    </row>
    <row r="4704" spans="12:13" x14ac:dyDescent="0.25">
      <c r="L4704" s="64">
        <v>922641</v>
      </c>
      <c r="M4704" t="s">
        <v>3537</v>
      </c>
    </row>
    <row r="4705" spans="12:13" x14ac:dyDescent="0.25">
      <c r="L4705" s="64">
        <v>922650</v>
      </c>
      <c r="M4705" t="s">
        <v>3538</v>
      </c>
    </row>
    <row r="4706" spans="12:13" x14ac:dyDescent="0.25">
      <c r="L4706" s="64">
        <v>922651</v>
      </c>
      <c r="M4706" t="s">
        <v>3538</v>
      </c>
    </row>
    <row r="4707" spans="12:13" x14ac:dyDescent="0.25">
      <c r="L4707" s="64">
        <v>922660</v>
      </c>
      <c r="M4707" t="s">
        <v>3539</v>
      </c>
    </row>
    <row r="4708" spans="12:13" x14ac:dyDescent="0.25">
      <c r="L4708" s="64">
        <v>922661</v>
      </c>
      <c r="M4708" t="s">
        <v>3540</v>
      </c>
    </row>
    <row r="4709" spans="12:13" x14ac:dyDescent="0.25">
      <c r="L4709" s="64">
        <v>922662</v>
      </c>
      <c r="M4709" t="s">
        <v>3541</v>
      </c>
    </row>
    <row r="4710" spans="12:13" x14ac:dyDescent="0.25">
      <c r="L4710" s="64">
        <v>922665</v>
      </c>
      <c r="M4710" t="s">
        <v>3542</v>
      </c>
    </row>
    <row r="4711" spans="12:13" x14ac:dyDescent="0.25">
      <c r="L4711" s="64">
        <v>922700</v>
      </c>
      <c r="M4711" t="s">
        <v>3543</v>
      </c>
    </row>
    <row r="4712" spans="12:13" x14ac:dyDescent="0.25">
      <c r="L4712" s="64">
        <v>922720</v>
      </c>
      <c r="M4712" t="s">
        <v>3544</v>
      </c>
    </row>
    <row r="4713" spans="12:13" x14ac:dyDescent="0.25">
      <c r="L4713" s="64">
        <v>922721</v>
      </c>
      <c r="M4713" t="s">
        <v>3544</v>
      </c>
    </row>
    <row r="4714" spans="12:13" x14ac:dyDescent="0.25">
      <c r="L4714" s="64">
        <v>922730</v>
      </c>
      <c r="M4714" t="s">
        <v>3545</v>
      </c>
    </row>
    <row r="4715" spans="12:13" x14ac:dyDescent="0.25">
      <c r="L4715" s="64">
        <v>922731</v>
      </c>
      <c r="M4715" t="s">
        <v>3546</v>
      </c>
    </row>
    <row r="4716" spans="12:13" x14ac:dyDescent="0.25">
      <c r="L4716" s="64">
        <v>922732</v>
      </c>
      <c r="M4716" t="s">
        <v>3547</v>
      </c>
    </row>
    <row r="4717" spans="12:13" x14ac:dyDescent="0.25">
      <c r="L4717" s="64">
        <v>922740</v>
      </c>
      <c r="M4717" t="s">
        <v>3548</v>
      </c>
    </row>
    <row r="4718" spans="12:13" x14ac:dyDescent="0.25">
      <c r="L4718" s="64">
        <v>922741</v>
      </c>
      <c r="M4718" t="s">
        <v>3548</v>
      </c>
    </row>
    <row r="4719" spans="12:13" x14ac:dyDescent="0.25">
      <c r="L4719" s="64">
        <v>922750</v>
      </c>
      <c r="M4719" t="s">
        <v>3549</v>
      </c>
    </row>
    <row r="4720" spans="12:13" x14ac:dyDescent="0.25">
      <c r="L4720" s="64">
        <v>922751</v>
      </c>
      <c r="M4720" t="s">
        <v>3549</v>
      </c>
    </row>
    <row r="4721" spans="12:13" x14ac:dyDescent="0.25">
      <c r="L4721" s="64">
        <v>922760</v>
      </c>
      <c r="M4721" t="s">
        <v>3550</v>
      </c>
    </row>
    <row r="4722" spans="12:13" x14ac:dyDescent="0.25">
      <c r="L4722" s="64">
        <v>922761</v>
      </c>
      <c r="M4722" t="s">
        <v>3551</v>
      </c>
    </row>
    <row r="4723" spans="12:13" x14ac:dyDescent="0.25">
      <c r="L4723" s="64">
        <v>922762</v>
      </c>
      <c r="M4723" t="s">
        <v>3552</v>
      </c>
    </row>
    <row r="4724" spans="12:13" x14ac:dyDescent="0.25">
      <c r="L4724" s="64">
        <v>922765</v>
      </c>
      <c r="M4724" t="s">
        <v>3553</v>
      </c>
    </row>
    <row r="4725" spans="12:13" x14ac:dyDescent="0.25">
      <c r="L4725" s="64">
        <v>922800</v>
      </c>
      <c r="M4725" t="s">
        <v>1215</v>
      </c>
    </row>
    <row r="4726" spans="12:13" x14ac:dyDescent="0.25">
      <c r="L4726" s="64">
        <v>922810</v>
      </c>
      <c r="M4726" t="s">
        <v>1215</v>
      </c>
    </row>
    <row r="4727" spans="12:13" x14ac:dyDescent="0.25">
      <c r="L4727" s="64">
        <v>922811</v>
      </c>
      <c r="M4727" t="s">
        <v>1215</v>
      </c>
    </row>
    <row r="4728" spans="12:13" x14ac:dyDescent="0.25">
      <c r="L4728" s="64">
        <v>990000</v>
      </c>
      <c r="M4728" t="s">
        <v>3554</v>
      </c>
    </row>
    <row r="4729" spans="12:13" x14ac:dyDescent="0.25">
      <c r="L4729" s="64">
        <v>999000</v>
      </c>
      <c r="M4729" t="s">
        <v>3554</v>
      </c>
    </row>
    <row r="4730" spans="12:13" x14ac:dyDescent="0.25">
      <c r="L4730" s="64">
        <v>999900</v>
      </c>
      <c r="M4730" t="s">
        <v>3554</v>
      </c>
    </row>
    <row r="4731" spans="12:13" x14ac:dyDescent="0.25">
      <c r="L4731" s="64">
        <v>999990</v>
      </c>
      <c r="M4731" t="s">
        <v>3554</v>
      </c>
    </row>
    <row r="4732" spans="12:13" x14ac:dyDescent="0.25">
      <c r="L4732" s="64">
        <v>999999</v>
      </c>
      <c r="M4732" t="s">
        <v>3554</v>
      </c>
    </row>
  </sheetData>
  <autoFilter ref="L2:M4732"/>
  <mergeCells count="3">
    <mergeCell ref="A1:B1"/>
    <mergeCell ref="G1:H1"/>
    <mergeCell ref="L1:M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Рачун финансирања</vt:lpstr>
      <vt:lpstr>Приџ,прим vs Расх,изд</vt:lpstr>
      <vt:lpstr>Оптшти део - (6)</vt:lpstr>
      <vt:lpstr>Капитални расходи</vt:lpstr>
      <vt:lpstr>По основ. нам.</vt:lpstr>
      <vt:lpstr>Програмска</vt:lpstr>
      <vt:lpstr>Расх по функц. </vt:lpstr>
      <vt:lpstr>ПО КОРИСНИЦИМА</vt:lpstr>
      <vt:lpstr>Klasifikacije</vt:lpstr>
      <vt:lpstr>ljkl</vt:lpstr>
      <vt:lpstr>'ПО КОРИСНИЦИМА'!Print_Area</vt:lpstr>
      <vt:lpstr>Ukupno_funkcionalna</vt:lpstr>
      <vt:lpstr>Ukupno_izdaci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LPA</dc:creator>
  <cp:lastModifiedBy>Peric</cp:lastModifiedBy>
  <cp:lastPrinted>2016-07-20T08:32:01Z</cp:lastPrinted>
  <dcterms:created xsi:type="dcterms:W3CDTF">2014-09-23T08:37:30Z</dcterms:created>
  <dcterms:modified xsi:type="dcterms:W3CDTF">2016-08-11T13:03:30Z</dcterms:modified>
</cp:coreProperties>
</file>